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rupoequatorialenergia.sharepoint.com/sites/RelaescomInvestidores/Documentos Compartilhados/General/Divulgação/2024/2T24/Planilha Site/"/>
    </mc:Choice>
  </mc:AlternateContent>
  <xr:revisionPtr revIDLastSave="46" documentId="8_{97516103-EF34-43AE-AC96-4168737E9181}" xr6:coauthVersionLast="47" xr6:coauthVersionMax="47" xr10:uidLastSave="{DC8F39B1-F5C3-4593-89D6-D0A1BE32D0A3}"/>
  <bookViews>
    <workbookView xWindow="28680" yWindow="-75" windowWidth="29040" windowHeight="15720" tabRatio="900" xr2:uid="{00000000-000D-0000-FFFF-FFFF00000000}"/>
  </bookViews>
  <sheets>
    <sheet name="Capa" sheetId="1" r:id="rId1"/>
    <sheet name="Operacional" sheetId="53" r:id="rId2"/>
    <sheet name="Mercado Distribuição" sheetId="12" r:id="rId3"/>
    <sheet name="Bal. Energético Distribuição" sheetId="13" r:id="rId4"/>
    <sheet name="Perdas Distribuição" sheetId="14" r:id="rId5"/>
    <sheet name="DEC FEC" sheetId="15" r:id="rId6"/>
    <sheet name="Contratos Distribuição" sheetId="16" r:id="rId7"/>
    <sheet name="Operacional Renováveis" sheetId="41" r:id="rId8"/>
    <sheet name="Operacional Saneamento" sheetId="44" r:id="rId9"/>
    <sheet name="DRE ITR" sheetId="48" r:id="rId10"/>
    <sheet name="DRE ITR Maranhão" sheetId="55" r:id="rId11"/>
    <sheet name="DRE ITR Pará" sheetId="56" r:id="rId12"/>
    <sheet name="DRE ITR Piauí" sheetId="57" r:id="rId13"/>
    <sheet name="DRE ITR Alagoas" sheetId="58" r:id="rId14"/>
    <sheet name="DRE ITR CEEE-D" sheetId="59" r:id="rId15"/>
    <sheet name="DRE ITR CEA" sheetId="60" r:id="rId16"/>
    <sheet name="DRE ITR Goiás" sheetId="61" r:id="rId17"/>
    <sheet name="DRE ITR Echoenergia" sheetId="63" r:id="rId18"/>
    <sheet name="DRE ITR Echo Crescimento" sheetId="64" r:id="rId19"/>
    <sheet name="DRE ITR SPEs" sheetId="62" r:id="rId20"/>
    <sheet name="DRE ITR EQTT" sheetId="65" r:id="rId21"/>
    <sheet name="DRE ITR INTESA" sheetId="66" state="hidden" r:id="rId22"/>
    <sheet name="DRE ITR CSA" sheetId="67" r:id="rId23"/>
    <sheet name="DRE ITR Serviços" sheetId="68" r:id="rId24"/>
    <sheet name="DRE ITR Holding" sheetId="69" r:id="rId25"/>
    <sheet name="DRE ITR Consolidado" sheetId="70" r:id="rId26"/>
    <sheet name="DRE Resumida" sheetId="49" r:id="rId27"/>
    <sheet name="DRE Maranhão" sheetId="20" r:id="rId28"/>
    <sheet name="DRE Pará" sheetId="21" r:id="rId29"/>
    <sheet name="DRE Piauí" sheetId="22" r:id="rId30"/>
    <sheet name="DRE Alagoas" sheetId="23" r:id="rId31"/>
    <sheet name="DRE CEEE-D" sheetId="24" r:id="rId32"/>
    <sheet name="DRE CEA" sheetId="25" r:id="rId33"/>
    <sheet name="DRE Goiás" sheetId="26" r:id="rId34"/>
    <sheet name="DRE Intesa IFRS" sheetId="35" state="hidden" r:id="rId35"/>
    <sheet name="DRE Intesa Reg" sheetId="36" state="hidden" r:id="rId36"/>
    <sheet name="DRE EQTT IFRS" sheetId="37" r:id="rId37"/>
    <sheet name="DRE EQTT Reg" sheetId="38" r:id="rId38"/>
    <sheet name="DRE Echoenergia" sheetId="42" r:id="rId39"/>
    <sheet name="DRE CSA" sheetId="45" r:id="rId40"/>
    <sheet name="DRE EQTL Serviços" sheetId="47" r:id="rId41"/>
    <sheet name="DRE EQTL Holding" sheetId="8" r:id="rId42"/>
    <sheet name="DRE EQTL Cons " sheetId="7" r:id="rId43"/>
    <sheet name="DRE Individual" sheetId="9" r:id="rId44"/>
    <sheet name="Informações Financeiras Aj." sheetId="71" r:id="rId45"/>
    <sheet name="BPs" sheetId="50" r:id="rId46"/>
    <sheet name="BP Maranhão" sheetId="27" r:id="rId47"/>
    <sheet name="BP Pará" sheetId="28" r:id="rId48"/>
    <sheet name="BP Piauí" sheetId="29" r:id="rId49"/>
    <sheet name="BP Alagoas" sheetId="30" r:id="rId50"/>
    <sheet name="BP CEEE-D " sheetId="31" r:id="rId51"/>
    <sheet name="BP CEA" sheetId="32" r:id="rId52"/>
    <sheet name="BP CELG" sheetId="33" r:id="rId53"/>
    <sheet name="BP CSA" sheetId="46" r:id="rId54"/>
    <sheet name="BP Echoenergia" sheetId="43" r:id="rId55"/>
    <sheet name="BP Echo Crescimento" sheetId="73" r:id="rId56"/>
    <sheet name="BP Transmissão" sheetId="39" r:id="rId57"/>
    <sheet name="BP Intesa" sheetId="40" state="hidden" r:id="rId58"/>
    <sheet name="BP EQTL Holding" sheetId="11" r:id="rId59"/>
    <sheet name="BP EQTL Cons" sheetId="10" r:id="rId60"/>
    <sheet name="Dívida e CAPEX" sheetId="51" r:id="rId61"/>
    <sheet name="Dívida Bruta" sheetId="4" r:id="rId62"/>
    <sheet name="Dívida Líquida" sheetId="5" r:id="rId63"/>
    <sheet name="Dívida Detalhada" sheetId="6" r:id="rId64"/>
    <sheet name="Investimentos" sheetId="3" r:id="rId65"/>
    <sheet name="Balanço CVA" sheetId="17" r:id="rId66"/>
    <sheet name="Sistemas Isolados" sheetId="18" r:id="rId67"/>
    <sheet name="Apuração IR CS " sheetId="19" r:id="rId68"/>
    <sheet name="Dados Regulatórios" sheetId="54" r:id="rId69"/>
    <sheet name="Dados Concessões" sheetId="72" r:id="rId70"/>
    <sheet name="Dados Regulatórios Distribuição" sheetId="2" r:id="rId71"/>
    <sheet name="Dados Leilões Transmissão" sheetId="34" r:id="rId72"/>
    <sheet name="Beneficios Fiscais" sheetId="74" r:id="rId73"/>
    <sheet name="Fluxo Ações Preferenciais" sheetId="75" r:id="rId74"/>
  </sheets>
  <externalReferences>
    <externalReference r:id="rId75"/>
    <externalReference r:id="rId76"/>
  </externalReferences>
  <definedNames>
    <definedName name="LnkTxtIGPMFatorX">[1]VPB1!$F$44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85" i="30" l="1"/>
  <c r="AB53" i="30"/>
  <c r="T84" i="29"/>
  <c r="T57" i="29"/>
  <c r="T92" i="28"/>
  <c r="T59" i="28"/>
  <c r="T82" i="27"/>
  <c r="T53" i="27"/>
  <c r="K68" i="41" l="1"/>
  <c r="K67" i="41"/>
  <c r="K66" i="41"/>
  <c r="K65" i="41"/>
  <c r="M208" i="41" l="1"/>
  <c r="M207" i="41"/>
  <c r="M206" i="41"/>
  <c r="M205" i="41"/>
  <c r="M204" i="41"/>
  <c r="M203" i="41"/>
  <c r="M202" i="41"/>
  <c r="M201" i="41"/>
  <c r="M200" i="41"/>
  <c r="M199" i="41"/>
  <c r="G195" i="41"/>
  <c r="H195" i="41" s="1"/>
  <c r="I195" i="41" s="1"/>
  <c r="J195" i="41" s="1"/>
  <c r="F195" i="41"/>
  <c r="J209" i="41"/>
  <c r="J212" i="41" s="1"/>
  <c r="J210" i="41" l="1"/>
  <c r="Q21" i="42" l="1"/>
  <c r="Q30" i="42"/>
  <c r="Q26" i="42"/>
  <c r="Q22" i="42" l="1"/>
  <c r="F19" i="5"/>
  <c r="E19" i="5"/>
  <c r="D19" i="5"/>
  <c r="G29" i="73"/>
  <c r="L48" i="69" l="1"/>
  <c r="L41" i="69"/>
  <c r="L27" i="69"/>
  <c r="L39" i="69" s="1"/>
  <c r="L57" i="69" s="1"/>
  <c r="L17" i="69"/>
  <c r="L8" i="69"/>
  <c r="L6" i="69"/>
  <c r="T8" i="55" l="1"/>
  <c r="T9" i="55"/>
  <c r="T10" i="55"/>
  <c r="T11" i="55"/>
  <c r="T12" i="55"/>
  <c r="T13" i="55"/>
  <c r="T14" i="55"/>
  <c r="T15" i="55"/>
  <c r="T16" i="55"/>
  <c r="T18" i="55"/>
  <c r="T19" i="55"/>
  <c r="T17" i="55" s="1"/>
  <c r="T20" i="55"/>
  <c r="T21" i="55"/>
  <c r="T22" i="55"/>
  <c r="T23" i="55"/>
  <c r="T24" i="55"/>
  <c r="T25" i="55"/>
  <c r="T29" i="55"/>
  <c r="T27" i="55" s="1"/>
  <c r="T30" i="55"/>
  <c r="T31" i="55"/>
  <c r="T32" i="55"/>
  <c r="T33" i="55"/>
  <c r="T34" i="55"/>
  <c r="T35" i="55"/>
  <c r="T36" i="55"/>
  <c r="T37" i="55"/>
  <c r="T43" i="55"/>
  <c r="T41" i="55" s="1"/>
  <c r="T44" i="55"/>
  <c r="T45" i="55"/>
  <c r="T46" i="55"/>
  <c r="T47" i="55"/>
  <c r="T49" i="55"/>
  <c r="T48" i="55" s="1"/>
  <c r="T50" i="55"/>
  <c r="T51" i="55"/>
  <c r="T52" i="55"/>
  <c r="T53" i="55"/>
  <c r="T54" i="55"/>
  <c r="T55" i="55"/>
  <c r="T62" i="55"/>
  <c r="T61" i="55" s="1"/>
  <c r="T63" i="55"/>
  <c r="T64" i="55"/>
  <c r="T65" i="55"/>
  <c r="T66" i="55"/>
  <c r="T67" i="55"/>
  <c r="T69" i="55"/>
  <c r="T70" i="55"/>
  <c r="T71" i="55"/>
  <c r="T68" i="55" s="1"/>
  <c r="T72" i="55"/>
  <c r="T73" i="55"/>
  <c r="T74" i="55"/>
  <c r="T75" i="55"/>
  <c r="T76" i="55"/>
  <c r="T77" i="55"/>
  <c r="T79" i="55"/>
  <c r="T78" i="55" s="1"/>
  <c r="T80" i="55"/>
  <c r="T90" i="55"/>
  <c r="T91" i="55"/>
  <c r="T92" i="55"/>
  <c r="T89" i="55" s="1"/>
  <c r="T87" i="55" s="1"/>
  <c r="T93" i="55"/>
  <c r="T94" i="55"/>
  <c r="T95" i="55"/>
  <c r="T96" i="55"/>
  <c r="T97" i="55"/>
  <c r="T99" i="55"/>
  <c r="T98" i="55" s="1"/>
  <c r="T100" i="55"/>
  <c r="T101" i="55"/>
  <c r="T102" i="55"/>
  <c r="T103" i="55"/>
  <c r="T104" i="55"/>
  <c r="T105" i="55"/>
  <c r="T106" i="55"/>
  <c r="T107" i="55"/>
  <c r="T111" i="55"/>
  <c r="T113" i="55"/>
  <c r="T114" i="55"/>
  <c r="T115" i="55"/>
  <c r="T116" i="55"/>
  <c r="T121" i="55"/>
  <c r="T122" i="55"/>
  <c r="T124" i="55"/>
  <c r="T6" i="55" l="1"/>
  <c r="T39" i="55" s="1"/>
  <c r="T57" i="55" s="1"/>
  <c r="T85" i="55" s="1"/>
  <c r="T59" i="55"/>
  <c r="T83" i="55" l="1"/>
  <c r="T109" i="55"/>
  <c r="T118" i="55" s="1"/>
  <c r="V56" i="75" l="1"/>
  <c r="V52" i="75"/>
  <c r="V46" i="75"/>
  <c r="V49" i="75" s="1"/>
  <c r="V47" i="75"/>
  <c r="V48" i="75"/>
  <c r="V41" i="75"/>
  <c r="V36" i="75"/>
  <c r="V38" i="75" s="1"/>
  <c r="V28" i="75"/>
  <c r="V23" i="75"/>
  <c r="V25" i="75" s="1"/>
  <c r="V15" i="75"/>
  <c r="V54" i="75" s="1"/>
  <c r="V10" i="75"/>
  <c r="V12" i="75" s="1"/>
  <c r="K78" i="70"/>
  <c r="J78" i="70"/>
  <c r="I78" i="70"/>
  <c r="H78" i="70"/>
  <c r="G78" i="70"/>
  <c r="F78" i="70"/>
  <c r="E78" i="70"/>
  <c r="D78" i="70"/>
  <c r="C78" i="70"/>
  <c r="T78" i="70"/>
  <c r="V51" i="75" l="1"/>
  <c r="U67" i="70" l="1"/>
  <c r="U116" i="70"/>
  <c r="U115" i="70"/>
  <c r="U114" i="70"/>
  <c r="U113" i="70"/>
  <c r="U107" i="70"/>
  <c r="U106" i="70"/>
  <c r="U105" i="70"/>
  <c r="U104" i="70"/>
  <c r="U103" i="70"/>
  <c r="U102" i="70"/>
  <c r="U101" i="70"/>
  <c r="U100" i="70"/>
  <c r="U99" i="70"/>
  <c r="U97" i="70"/>
  <c r="U96" i="70"/>
  <c r="U95" i="70"/>
  <c r="U94" i="70"/>
  <c r="U93" i="70"/>
  <c r="U92" i="70"/>
  <c r="U90" i="70"/>
  <c r="U81" i="70"/>
  <c r="U80" i="70"/>
  <c r="U77" i="70"/>
  <c r="U76" i="70"/>
  <c r="U75" i="70"/>
  <c r="U74" i="70"/>
  <c r="U73" i="70"/>
  <c r="U72" i="70"/>
  <c r="U71" i="70"/>
  <c r="U70" i="70"/>
  <c r="U69" i="70"/>
  <c r="U66" i="70"/>
  <c r="U65" i="70"/>
  <c r="U64" i="70"/>
  <c r="U63" i="70"/>
  <c r="U55" i="70"/>
  <c r="U54" i="70"/>
  <c r="U53" i="70"/>
  <c r="U52" i="70"/>
  <c r="U51" i="70"/>
  <c r="U50" i="70"/>
  <c r="U49" i="70"/>
  <c r="U47" i="70"/>
  <c r="U46" i="70"/>
  <c r="U45" i="70"/>
  <c r="U44" i="70"/>
  <c r="U43" i="70"/>
  <c r="U37" i="70"/>
  <c r="U36" i="70"/>
  <c r="U35" i="70"/>
  <c r="U34" i="70"/>
  <c r="U33" i="70"/>
  <c r="U32" i="70"/>
  <c r="U31" i="70"/>
  <c r="U29" i="70"/>
  <c r="U25" i="70"/>
  <c r="U24" i="70"/>
  <c r="U23" i="70"/>
  <c r="U22" i="70"/>
  <c r="U21" i="70"/>
  <c r="U20" i="70"/>
  <c r="U19" i="70"/>
  <c r="U18" i="70"/>
  <c r="U16" i="70"/>
  <c r="U15" i="70"/>
  <c r="U14" i="70"/>
  <c r="U13" i="70"/>
  <c r="U12" i="70"/>
  <c r="U11" i="70"/>
  <c r="U10" i="70"/>
  <c r="U9" i="70"/>
  <c r="U79" i="69"/>
  <c r="U55" i="69"/>
  <c r="U54" i="69"/>
  <c r="U53" i="69"/>
  <c r="U52" i="69"/>
  <c r="U51" i="69"/>
  <c r="U50" i="69"/>
  <c r="U49" i="69"/>
  <c r="U47" i="69"/>
  <c r="U46" i="69"/>
  <c r="U45" i="69"/>
  <c r="U44" i="69"/>
  <c r="U43" i="69"/>
  <c r="U37" i="69"/>
  <c r="U36" i="69"/>
  <c r="U35" i="69"/>
  <c r="U34" i="69"/>
  <c r="U33" i="69"/>
  <c r="U32" i="69"/>
  <c r="U31" i="69"/>
  <c r="U30" i="69"/>
  <c r="U29" i="69"/>
  <c r="U25" i="69"/>
  <c r="U24" i="69"/>
  <c r="U23" i="69"/>
  <c r="U22" i="69"/>
  <c r="U21" i="69"/>
  <c r="U20" i="69"/>
  <c r="U19" i="69"/>
  <c r="U18" i="69"/>
  <c r="U16" i="69"/>
  <c r="U15" i="69"/>
  <c r="U14" i="69"/>
  <c r="U13" i="69"/>
  <c r="U12" i="69"/>
  <c r="U11" i="69"/>
  <c r="U10" i="69"/>
  <c r="U9" i="69"/>
  <c r="U116" i="69"/>
  <c r="U115" i="69"/>
  <c r="U114" i="69"/>
  <c r="U107" i="69"/>
  <c r="U106" i="69"/>
  <c r="U105" i="69"/>
  <c r="U104" i="69"/>
  <c r="U103" i="69"/>
  <c r="U102" i="69"/>
  <c r="U101" i="69"/>
  <c r="U99" i="69"/>
  <c r="U97" i="69"/>
  <c r="U96" i="69"/>
  <c r="U95" i="69"/>
  <c r="U94" i="69"/>
  <c r="U93" i="69"/>
  <c r="U92" i="69"/>
  <c r="U91" i="69"/>
  <c r="U81" i="69"/>
  <c r="U80" i="69"/>
  <c r="U77" i="69"/>
  <c r="U76" i="69"/>
  <c r="U75" i="69"/>
  <c r="U74" i="69"/>
  <c r="U73" i="69"/>
  <c r="U72" i="69"/>
  <c r="U71" i="69"/>
  <c r="U70" i="69"/>
  <c r="U69" i="69"/>
  <c r="U67" i="69"/>
  <c r="U66" i="69"/>
  <c r="U65" i="69"/>
  <c r="U64" i="69"/>
  <c r="U63" i="69"/>
  <c r="U62" i="69"/>
  <c r="U8" i="69"/>
  <c r="J78" i="69"/>
  <c r="I78" i="69"/>
  <c r="H78" i="69"/>
  <c r="G78" i="69"/>
  <c r="F78" i="69"/>
  <c r="E78" i="69"/>
  <c r="D78" i="69"/>
  <c r="C78" i="69"/>
  <c r="T78" i="69"/>
  <c r="K78" i="69"/>
  <c r="U122" i="68"/>
  <c r="U121" i="68"/>
  <c r="U115" i="68"/>
  <c r="U114" i="68"/>
  <c r="U113" i="68"/>
  <c r="U107" i="68"/>
  <c r="U106" i="68"/>
  <c r="U105" i="68"/>
  <c r="U104" i="68"/>
  <c r="U103" i="68"/>
  <c r="U102" i="68"/>
  <c r="U101" i="68"/>
  <c r="U99" i="68"/>
  <c r="U97" i="68"/>
  <c r="U96" i="68"/>
  <c r="U95" i="68"/>
  <c r="U94" i="68"/>
  <c r="U93" i="68"/>
  <c r="U92" i="68"/>
  <c r="U91" i="68"/>
  <c r="U90" i="68"/>
  <c r="U79" i="68"/>
  <c r="U81" i="68"/>
  <c r="U80" i="68"/>
  <c r="U77" i="68"/>
  <c r="U76" i="68"/>
  <c r="U75" i="68"/>
  <c r="U74" i="68"/>
  <c r="U73" i="68"/>
  <c r="U72" i="68"/>
  <c r="U71" i="68"/>
  <c r="U70" i="68"/>
  <c r="U69" i="68"/>
  <c r="U67" i="68"/>
  <c r="U66" i="68"/>
  <c r="U65" i="68"/>
  <c r="U64" i="68"/>
  <c r="U63" i="68"/>
  <c r="U62" i="68"/>
  <c r="U55" i="68"/>
  <c r="U54" i="68"/>
  <c r="U53" i="68"/>
  <c r="U52" i="68"/>
  <c r="U51" i="68"/>
  <c r="U50" i="68"/>
  <c r="U49" i="68"/>
  <c r="U47" i="68"/>
  <c r="U46" i="68"/>
  <c r="U45" i="68"/>
  <c r="U44" i="68"/>
  <c r="U43" i="68"/>
  <c r="U37" i="68"/>
  <c r="U36" i="68"/>
  <c r="U35" i="68"/>
  <c r="U34" i="68"/>
  <c r="U33" i="68"/>
  <c r="U32" i="68"/>
  <c r="U31" i="68"/>
  <c r="U30" i="68"/>
  <c r="U29" i="68"/>
  <c r="U25" i="68"/>
  <c r="U24" i="68"/>
  <c r="U23" i="68"/>
  <c r="U22" i="68"/>
  <c r="U21" i="68"/>
  <c r="U20" i="68"/>
  <c r="U19" i="68"/>
  <c r="U16" i="68"/>
  <c r="U15" i="68"/>
  <c r="U14" i="68"/>
  <c r="U13" i="68"/>
  <c r="U12" i="68"/>
  <c r="U11" i="68"/>
  <c r="U9" i="68"/>
  <c r="K78" i="68"/>
  <c r="J78" i="68"/>
  <c r="I78" i="68"/>
  <c r="H78" i="68"/>
  <c r="G78" i="68"/>
  <c r="F78" i="68"/>
  <c r="E78" i="68"/>
  <c r="D78" i="68"/>
  <c r="C78" i="68"/>
  <c r="T78" i="68"/>
  <c r="U107" i="67"/>
  <c r="U81" i="67"/>
  <c r="U80" i="67"/>
  <c r="U121" i="67"/>
  <c r="U116" i="67"/>
  <c r="U115" i="67"/>
  <c r="U114" i="67"/>
  <c r="U113" i="67"/>
  <c r="U106" i="67"/>
  <c r="U105" i="67"/>
  <c r="U104" i="67"/>
  <c r="U103" i="67"/>
  <c r="U102" i="67"/>
  <c r="U101" i="67"/>
  <c r="U100" i="67"/>
  <c r="U99" i="67"/>
  <c r="U97" i="67"/>
  <c r="U96" i="67"/>
  <c r="U95" i="67"/>
  <c r="U94" i="67"/>
  <c r="U93" i="67"/>
  <c r="U92" i="67"/>
  <c r="U91" i="67"/>
  <c r="K78" i="67"/>
  <c r="J78" i="67"/>
  <c r="I78" i="67"/>
  <c r="H78" i="67"/>
  <c r="G78" i="67"/>
  <c r="F78" i="67"/>
  <c r="E78" i="67"/>
  <c r="D78" i="67"/>
  <c r="C78" i="67"/>
  <c r="T78" i="67"/>
  <c r="U79" i="67"/>
  <c r="U77" i="67"/>
  <c r="U76" i="67"/>
  <c r="U75" i="67"/>
  <c r="U74" i="67"/>
  <c r="U73" i="67"/>
  <c r="U72" i="67"/>
  <c r="U71" i="67"/>
  <c r="U70" i="67"/>
  <c r="U69" i="67"/>
  <c r="U67" i="67"/>
  <c r="U66" i="67"/>
  <c r="U65" i="67"/>
  <c r="U64" i="67"/>
  <c r="U62" i="67"/>
  <c r="U55" i="67"/>
  <c r="U54" i="67"/>
  <c r="U53" i="67"/>
  <c r="U52" i="67"/>
  <c r="U51" i="67"/>
  <c r="U50" i="67"/>
  <c r="U49" i="67"/>
  <c r="U47" i="67"/>
  <c r="U46" i="67"/>
  <c r="U45" i="67"/>
  <c r="U44" i="67"/>
  <c r="U43" i="67"/>
  <c r="U37" i="67"/>
  <c r="U36" i="67"/>
  <c r="U35" i="67"/>
  <c r="U34" i="67"/>
  <c r="U33" i="67"/>
  <c r="U32" i="67"/>
  <c r="U31" i="67"/>
  <c r="U30" i="67"/>
  <c r="U29" i="67"/>
  <c r="U25" i="67"/>
  <c r="U24" i="67"/>
  <c r="U23" i="67"/>
  <c r="U22" i="67"/>
  <c r="U21" i="67"/>
  <c r="U20" i="67"/>
  <c r="U19" i="67"/>
  <c r="U18" i="67"/>
  <c r="U16" i="67"/>
  <c r="U15" i="67"/>
  <c r="U14" i="67"/>
  <c r="U13" i="67"/>
  <c r="U12" i="67"/>
  <c r="U11" i="67"/>
  <c r="U10" i="67"/>
  <c r="U9" i="67"/>
  <c r="U122" i="65"/>
  <c r="U121" i="65"/>
  <c r="U124" i="65" s="1"/>
  <c r="U116" i="65"/>
  <c r="U115" i="65"/>
  <c r="U114" i="65"/>
  <c r="U107" i="65"/>
  <c r="U106" i="65"/>
  <c r="U105" i="65"/>
  <c r="U103" i="65"/>
  <c r="U102" i="65"/>
  <c r="U101" i="65"/>
  <c r="U100" i="65"/>
  <c r="U99" i="65"/>
  <c r="U97" i="65"/>
  <c r="U96" i="65"/>
  <c r="U95" i="65"/>
  <c r="U94" i="65"/>
  <c r="U93" i="65"/>
  <c r="U92" i="65"/>
  <c r="U91" i="65"/>
  <c r="U90" i="65"/>
  <c r="U81" i="65"/>
  <c r="U80" i="65"/>
  <c r="U79" i="65"/>
  <c r="T78" i="65"/>
  <c r="K78" i="65"/>
  <c r="J78" i="65"/>
  <c r="I78" i="65"/>
  <c r="H78" i="65"/>
  <c r="G78" i="65"/>
  <c r="F78" i="65"/>
  <c r="E78" i="65"/>
  <c r="D78" i="65"/>
  <c r="C78" i="65"/>
  <c r="U77" i="65"/>
  <c r="U76" i="65"/>
  <c r="U75" i="65"/>
  <c r="U74" i="65"/>
  <c r="U73" i="65"/>
  <c r="U72" i="65"/>
  <c r="U71" i="65"/>
  <c r="U69" i="65"/>
  <c r="U67" i="65"/>
  <c r="U66" i="65"/>
  <c r="U65" i="65"/>
  <c r="U64" i="65"/>
  <c r="U63" i="65"/>
  <c r="U55" i="65"/>
  <c r="U54" i="65"/>
  <c r="U53" i="65"/>
  <c r="U52" i="65"/>
  <c r="U51" i="65"/>
  <c r="U50" i="65"/>
  <c r="U49" i="65"/>
  <c r="U47" i="65"/>
  <c r="U46" i="65"/>
  <c r="U45" i="65"/>
  <c r="U44" i="65"/>
  <c r="U43" i="65"/>
  <c r="U37" i="65"/>
  <c r="U36" i="65"/>
  <c r="U35" i="65"/>
  <c r="U34" i="65"/>
  <c r="U33" i="65"/>
  <c r="U32" i="65"/>
  <c r="U31" i="65"/>
  <c r="U30" i="65"/>
  <c r="U29" i="65"/>
  <c r="U25" i="65"/>
  <c r="U24" i="65"/>
  <c r="U23" i="65"/>
  <c r="U22" i="65"/>
  <c r="U21" i="65"/>
  <c r="U20" i="65"/>
  <c r="U19" i="65"/>
  <c r="U18" i="65"/>
  <c r="U16" i="65"/>
  <c r="U15" i="65"/>
  <c r="U14" i="65"/>
  <c r="U13" i="65"/>
  <c r="U12" i="65"/>
  <c r="U11" i="65"/>
  <c r="U10" i="65"/>
  <c r="U9" i="65"/>
  <c r="U70" i="62"/>
  <c r="U122" i="62"/>
  <c r="U121" i="62"/>
  <c r="U116" i="62"/>
  <c r="U115" i="62"/>
  <c r="U114" i="62"/>
  <c r="U113" i="62"/>
  <c r="U107" i="62"/>
  <c r="U106" i="62"/>
  <c r="U105" i="62"/>
  <c r="U104" i="62"/>
  <c r="U103" i="62"/>
  <c r="U102" i="62"/>
  <c r="U101" i="62"/>
  <c r="U100" i="62"/>
  <c r="U99" i="62"/>
  <c r="U97" i="62"/>
  <c r="U96" i="62"/>
  <c r="U95" i="62"/>
  <c r="U94" i="62"/>
  <c r="U93" i="62"/>
  <c r="U91" i="62"/>
  <c r="U90" i="62"/>
  <c r="U81" i="62"/>
  <c r="U79" i="62"/>
  <c r="U77" i="62"/>
  <c r="U76" i="62"/>
  <c r="U75" i="62"/>
  <c r="U74" i="62"/>
  <c r="U73" i="62"/>
  <c r="U72" i="62"/>
  <c r="U71" i="62"/>
  <c r="U69" i="62"/>
  <c r="U67" i="62"/>
  <c r="U66" i="62"/>
  <c r="U65" i="62"/>
  <c r="U64" i="62"/>
  <c r="U63" i="62"/>
  <c r="U55" i="62"/>
  <c r="U54" i="62"/>
  <c r="U53" i="62"/>
  <c r="U52" i="62"/>
  <c r="U51" i="62"/>
  <c r="U50" i="62"/>
  <c r="U49" i="62"/>
  <c r="U47" i="62"/>
  <c r="U46" i="62"/>
  <c r="U45" i="62"/>
  <c r="U44" i="62"/>
  <c r="U43" i="62"/>
  <c r="U37" i="62"/>
  <c r="U36" i="62"/>
  <c r="U35" i="62"/>
  <c r="U34" i="62"/>
  <c r="U33" i="62"/>
  <c r="U32" i="62"/>
  <c r="U31" i="62"/>
  <c r="U29" i="62"/>
  <c r="U25" i="62"/>
  <c r="U24" i="62"/>
  <c r="U23" i="62"/>
  <c r="U22" i="62"/>
  <c r="U21" i="62"/>
  <c r="U20" i="62"/>
  <c r="U19" i="62"/>
  <c r="U18" i="62"/>
  <c r="U16" i="62"/>
  <c r="U15" i="62"/>
  <c r="U14" i="62"/>
  <c r="U13" i="62"/>
  <c r="U12" i="62"/>
  <c r="U11" i="62"/>
  <c r="U10" i="62"/>
  <c r="K78" i="62"/>
  <c r="J78" i="62"/>
  <c r="I78" i="62"/>
  <c r="H78" i="62"/>
  <c r="G78" i="62"/>
  <c r="F78" i="62"/>
  <c r="E78" i="62"/>
  <c r="D78" i="62"/>
  <c r="C78" i="62"/>
  <c r="T78" i="62"/>
  <c r="U122" i="64"/>
  <c r="U116" i="64"/>
  <c r="U114" i="64"/>
  <c r="U113" i="64"/>
  <c r="U107" i="64"/>
  <c r="U106" i="64"/>
  <c r="U105" i="64"/>
  <c r="U104" i="64"/>
  <c r="U103" i="64"/>
  <c r="U101" i="64"/>
  <c r="U100" i="64"/>
  <c r="U99" i="64"/>
  <c r="U97" i="64"/>
  <c r="U96" i="64"/>
  <c r="U95" i="64"/>
  <c r="U94" i="64"/>
  <c r="U93" i="64"/>
  <c r="U92" i="64"/>
  <c r="U91" i="64"/>
  <c r="U90" i="64"/>
  <c r="U81" i="64"/>
  <c r="U80" i="64"/>
  <c r="U79" i="64"/>
  <c r="U77" i="64"/>
  <c r="U76" i="64"/>
  <c r="U75" i="64"/>
  <c r="U74" i="64"/>
  <c r="U72" i="64"/>
  <c r="U71" i="64"/>
  <c r="U70" i="64"/>
  <c r="U69" i="64"/>
  <c r="U67" i="64"/>
  <c r="U66" i="64"/>
  <c r="U65" i="64"/>
  <c r="U64" i="64"/>
  <c r="U63" i="64"/>
  <c r="U62" i="64"/>
  <c r="U55" i="64"/>
  <c r="U54" i="64"/>
  <c r="U53" i="64"/>
  <c r="U52" i="64"/>
  <c r="U51" i="64"/>
  <c r="U49" i="64"/>
  <c r="U47" i="64"/>
  <c r="U46" i="64"/>
  <c r="U45" i="64"/>
  <c r="U44" i="64"/>
  <c r="U43" i="64"/>
  <c r="U37" i="64"/>
  <c r="U36" i="64"/>
  <c r="U35" i="64"/>
  <c r="U34" i="64"/>
  <c r="U33" i="64"/>
  <c r="U31" i="64"/>
  <c r="U30" i="64"/>
  <c r="U29" i="64"/>
  <c r="U25" i="64"/>
  <c r="U24" i="64"/>
  <c r="U23" i="64"/>
  <c r="U22" i="64"/>
  <c r="U21" i="64"/>
  <c r="U20" i="64"/>
  <c r="U19" i="64"/>
  <c r="U18" i="64"/>
  <c r="U16" i="64"/>
  <c r="U15" i="64"/>
  <c r="U14" i="64"/>
  <c r="U13" i="64"/>
  <c r="U12" i="64"/>
  <c r="U11" i="64"/>
  <c r="U10" i="64"/>
  <c r="K78" i="64"/>
  <c r="J78" i="64"/>
  <c r="I78" i="64"/>
  <c r="H78" i="64"/>
  <c r="G78" i="64"/>
  <c r="F78" i="64"/>
  <c r="E78" i="64"/>
  <c r="D78" i="64"/>
  <c r="C78" i="64"/>
  <c r="T78" i="64"/>
  <c r="U121" i="63"/>
  <c r="U116" i="63"/>
  <c r="U115" i="63"/>
  <c r="U114" i="63"/>
  <c r="U113" i="63"/>
  <c r="U107" i="63"/>
  <c r="U106" i="63"/>
  <c r="U105" i="63"/>
  <c r="U104" i="63"/>
  <c r="U103" i="63"/>
  <c r="U102" i="63"/>
  <c r="U101" i="63"/>
  <c r="U100" i="63"/>
  <c r="U99" i="63"/>
  <c r="U97" i="63"/>
  <c r="U96" i="63"/>
  <c r="U95" i="63"/>
  <c r="U94" i="63"/>
  <c r="U93" i="63"/>
  <c r="U92" i="63"/>
  <c r="U91" i="63"/>
  <c r="U90" i="63"/>
  <c r="U81" i="63"/>
  <c r="U79" i="63"/>
  <c r="U77" i="63"/>
  <c r="U76" i="63"/>
  <c r="U75" i="63"/>
  <c r="U74" i="63"/>
  <c r="U73" i="63"/>
  <c r="U72" i="63"/>
  <c r="U71" i="63"/>
  <c r="U70" i="63"/>
  <c r="U69" i="63"/>
  <c r="U67" i="63"/>
  <c r="U66" i="63"/>
  <c r="U65" i="63"/>
  <c r="U64" i="63"/>
  <c r="U63" i="63"/>
  <c r="U55" i="63"/>
  <c r="U54" i="63"/>
  <c r="U53" i="63"/>
  <c r="U52" i="63"/>
  <c r="U51" i="63"/>
  <c r="U50" i="63"/>
  <c r="U49" i="63"/>
  <c r="U47" i="63"/>
  <c r="U46" i="63"/>
  <c r="U45" i="63"/>
  <c r="U44" i="63"/>
  <c r="U43" i="63"/>
  <c r="U37" i="63"/>
  <c r="U36" i="63"/>
  <c r="U35" i="63"/>
  <c r="U34" i="63"/>
  <c r="U33" i="63"/>
  <c r="U32" i="63"/>
  <c r="U31" i="63"/>
  <c r="U30" i="63"/>
  <c r="U29" i="63"/>
  <c r="U25" i="63"/>
  <c r="U24" i="63"/>
  <c r="U23" i="63"/>
  <c r="U22" i="63"/>
  <c r="U21" i="63"/>
  <c r="U20" i="63"/>
  <c r="U19" i="63"/>
  <c r="U18" i="63"/>
  <c r="U16" i="63"/>
  <c r="U15" i="63"/>
  <c r="U14" i="63"/>
  <c r="U13" i="63"/>
  <c r="U12" i="63"/>
  <c r="U11" i="63"/>
  <c r="U9" i="63"/>
  <c r="T78" i="63"/>
  <c r="K78" i="63"/>
  <c r="J78" i="63"/>
  <c r="I78" i="63"/>
  <c r="H78" i="63"/>
  <c r="G78" i="63"/>
  <c r="F78" i="63"/>
  <c r="E78" i="63"/>
  <c r="D78" i="63"/>
  <c r="C78" i="63"/>
  <c r="U122" i="61"/>
  <c r="U121" i="61"/>
  <c r="U116" i="61"/>
  <c r="U115" i="61"/>
  <c r="U114" i="61"/>
  <c r="U107" i="61"/>
  <c r="U106" i="61"/>
  <c r="U105" i="61"/>
  <c r="U104" i="61"/>
  <c r="U103" i="61"/>
  <c r="U102" i="61"/>
  <c r="U101" i="61"/>
  <c r="U100" i="61"/>
  <c r="U99" i="61"/>
  <c r="U97" i="61"/>
  <c r="U96" i="61"/>
  <c r="U95" i="61"/>
  <c r="U94" i="61"/>
  <c r="U93" i="61"/>
  <c r="U92" i="61"/>
  <c r="U91" i="61"/>
  <c r="U81" i="61"/>
  <c r="U80" i="61"/>
  <c r="U79" i="61"/>
  <c r="U77" i="61"/>
  <c r="U76" i="61"/>
  <c r="U75" i="61"/>
  <c r="U74" i="61"/>
  <c r="U73" i="61"/>
  <c r="U72" i="61"/>
  <c r="U71" i="61"/>
  <c r="U70" i="61"/>
  <c r="U69" i="61"/>
  <c r="U67" i="61"/>
  <c r="U66" i="61"/>
  <c r="U65" i="61"/>
  <c r="U64" i="61"/>
  <c r="U63" i="61"/>
  <c r="U62" i="61"/>
  <c r="U55" i="61"/>
  <c r="U54" i="61"/>
  <c r="U53" i="61"/>
  <c r="U52" i="61"/>
  <c r="U51" i="61"/>
  <c r="U50" i="61"/>
  <c r="U47" i="61"/>
  <c r="U46" i="61"/>
  <c r="U45" i="61"/>
  <c r="U44" i="61"/>
  <c r="U43" i="61"/>
  <c r="U37" i="61"/>
  <c r="U36" i="61"/>
  <c r="U35" i="61"/>
  <c r="U34" i="61"/>
  <c r="U33" i="61"/>
  <c r="U32" i="61"/>
  <c r="U31" i="61"/>
  <c r="U30" i="61"/>
  <c r="U29" i="61"/>
  <c r="U25" i="61"/>
  <c r="U24" i="61"/>
  <c r="U23" i="61"/>
  <c r="U22" i="61"/>
  <c r="U21" i="61"/>
  <c r="U20" i="61"/>
  <c r="U19" i="61"/>
  <c r="U18" i="61"/>
  <c r="U16" i="61"/>
  <c r="U15" i="61"/>
  <c r="U14" i="61"/>
  <c r="U13" i="61"/>
  <c r="U12" i="61"/>
  <c r="U11" i="61"/>
  <c r="U10" i="61"/>
  <c r="U9" i="61"/>
  <c r="K78" i="61"/>
  <c r="J78" i="61"/>
  <c r="I78" i="61"/>
  <c r="H78" i="61"/>
  <c r="G78" i="61"/>
  <c r="F78" i="61"/>
  <c r="E78" i="61"/>
  <c r="D78" i="61"/>
  <c r="C78" i="61"/>
  <c r="T78" i="61"/>
  <c r="U77" i="60"/>
  <c r="U53" i="60"/>
  <c r="U122" i="60"/>
  <c r="U121" i="60"/>
  <c r="U116" i="60"/>
  <c r="U115" i="60"/>
  <c r="U114" i="60"/>
  <c r="U113" i="60"/>
  <c r="U107" i="60"/>
  <c r="U106" i="60"/>
  <c r="U105" i="60"/>
  <c r="U104" i="60"/>
  <c r="U103" i="60"/>
  <c r="U102" i="60"/>
  <c r="U101" i="60"/>
  <c r="U99" i="60"/>
  <c r="U97" i="60"/>
  <c r="U96" i="60"/>
  <c r="U95" i="60"/>
  <c r="U94" i="60"/>
  <c r="U93" i="60"/>
  <c r="U92" i="60"/>
  <c r="U91" i="60"/>
  <c r="U90" i="60"/>
  <c r="U81" i="60"/>
  <c r="U80" i="60"/>
  <c r="U79" i="60"/>
  <c r="U76" i="60"/>
  <c r="U75" i="60"/>
  <c r="U74" i="60"/>
  <c r="U73" i="60"/>
  <c r="U72" i="60"/>
  <c r="U71" i="60"/>
  <c r="U70" i="60"/>
  <c r="U69" i="60"/>
  <c r="U67" i="60"/>
  <c r="U66" i="60"/>
  <c r="U65" i="60"/>
  <c r="U64" i="60"/>
  <c r="U63" i="60"/>
  <c r="U62" i="60"/>
  <c r="U55" i="60"/>
  <c r="U54" i="60"/>
  <c r="U52" i="60"/>
  <c r="U51" i="60"/>
  <c r="U50" i="60"/>
  <c r="U49" i="60"/>
  <c r="U47" i="60"/>
  <c r="U46" i="60"/>
  <c r="U45" i="60"/>
  <c r="U44" i="60"/>
  <c r="U43" i="60"/>
  <c r="U37" i="60"/>
  <c r="U36" i="60"/>
  <c r="U35" i="60"/>
  <c r="U34" i="60"/>
  <c r="U33" i="60"/>
  <c r="U32" i="60"/>
  <c r="U31" i="60"/>
  <c r="U30" i="60"/>
  <c r="U29" i="60"/>
  <c r="U25" i="60"/>
  <c r="U24" i="60"/>
  <c r="U23" i="60"/>
  <c r="U22" i="60"/>
  <c r="U21" i="60"/>
  <c r="U20" i="60"/>
  <c r="U19" i="60"/>
  <c r="U18" i="60"/>
  <c r="U16" i="60"/>
  <c r="U15" i="60"/>
  <c r="U14" i="60"/>
  <c r="U13" i="60"/>
  <c r="U12" i="60"/>
  <c r="U11" i="60"/>
  <c r="U10" i="60"/>
  <c r="U9" i="60"/>
  <c r="T78" i="60"/>
  <c r="K78" i="60"/>
  <c r="I78" i="60"/>
  <c r="H78" i="60"/>
  <c r="G78" i="60"/>
  <c r="F78" i="60"/>
  <c r="E78" i="60"/>
  <c r="D78" i="60"/>
  <c r="C78" i="60"/>
  <c r="J78" i="60"/>
  <c r="U17" i="69" l="1"/>
  <c r="U48" i="69"/>
  <c r="U41" i="69" s="1"/>
  <c r="U27" i="69"/>
  <c r="U78" i="67"/>
  <c r="U124" i="61"/>
  <c r="L124" i="61"/>
  <c r="L8" i="68"/>
  <c r="U78" i="65"/>
  <c r="L111" i="68"/>
  <c r="U79" i="70"/>
  <c r="U78" i="70" s="1"/>
  <c r="L78" i="70"/>
  <c r="L111" i="63"/>
  <c r="U48" i="63"/>
  <c r="U41" i="63" s="1"/>
  <c r="L124" i="64"/>
  <c r="U8" i="65"/>
  <c r="L48" i="61"/>
  <c r="L8" i="63"/>
  <c r="L8" i="60"/>
  <c r="L111" i="61"/>
  <c r="U124" i="62"/>
  <c r="L111" i="67"/>
  <c r="U8" i="70"/>
  <c r="U111" i="60"/>
  <c r="L89" i="61"/>
  <c r="L89" i="67"/>
  <c r="AF48" i="39"/>
  <c r="U8" i="67"/>
  <c r="L78" i="69"/>
  <c r="U27" i="61"/>
  <c r="U90" i="61"/>
  <c r="U8" i="60"/>
  <c r="U113" i="61"/>
  <c r="U111" i="61" s="1"/>
  <c r="U78" i="60"/>
  <c r="U124" i="60"/>
  <c r="U68" i="68"/>
  <c r="L61" i="69"/>
  <c r="L61" i="70"/>
  <c r="U68" i="60"/>
  <c r="L78" i="60"/>
  <c r="U78" i="61"/>
  <c r="U49" i="61"/>
  <c r="L48" i="63"/>
  <c r="L78" i="67"/>
  <c r="U124" i="68"/>
  <c r="L8" i="70"/>
  <c r="U62" i="70"/>
  <c r="U61" i="70" s="1"/>
  <c r="U48" i="67"/>
  <c r="L124" i="67"/>
  <c r="U90" i="67"/>
  <c r="L61" i="68"/>
  <c r="AF8" i="39"/>
  <c r="U68" i="61"/>
  <c r="U61" i="61"/>
  <c r="U48" i="60"/>
  <c r="U89" i="60"/>
  <c r="U17" i="60"/>
  <c r="U61" i="60"/>
  <c r="U48" i="61"/>
  <c r="U41" i="61" s="1"/>
  <c r="L8" i="62"/>
  <c r="U9" i="62"/>
  <c r="U8" i="62" s="1"/>
  <c r="L89" i="60"/>
  <c r="L8" i="61"/>
  <c r="L17" i="61"/>
  <c r="L61" i="61"/>
  <c r="L98" i="61"/>
  <c r="U68" i="63"/>
  <c r="U27" i="63"/>
  <c r="L27" i="62"/>
  <c r="U30" i="62"/>
  <c r="U27" i="62" s="1"/>
  <c r="L89" i="62"/>
  <c r="U92" i="62"/>
  <c r="U89" i="62" s="1"/>
  <c r="U87" i="62" s="1"/>
  <c r="U27" i="65"/>
  <c r="U61" i="69"/>
  <c r="U48" i="70"/>
  <c r="U41" i="70" s="1"/>
  <c r="U17" i="63"/>
  <c r="L27" i="64"/>
  <c r="U32" i="64"/>
  <c r="U27" i="64" s="1"/>
  <c r="U48" i="65"/>
  <c r="U41" i="65" s="1"/>
  <c r="L98" i="60"/>
  <c r="L17" i="64"/>
  <c r="U17" i="62"/>
  <c r="U111" i="62"/>
  <c r="U17" i="65"/>
  <c r="U6" i="65" s="1"/>
  <c r="L17" i="60"/>
  <c r="L6" i="60" s="1"/>
  <c r="L61" i="63"/>
  <c r="U61" i="63" s="1"/>
  <c r="U62" i="63"/>
  <c r="L78" i="63"/>
  <c r="U80" i="63"/>
  <c r="U78" i="63" s="1"/>
  <c r="U122" i="63"/>
  <c r="U124" i="63" s="1"/>
  <c r="L124" i="63"/>
  <c r="U89" i="64"/>
  <c r="L111" i="65"/>
  <c r="U113" i="65"/>
  <c r="U111" i="65" s="1"/>
  <c r="U27" i="67"/>
  <c r="U98" i="63"/>
  <c r="U111" i="63"/>
  <c r="U8" i="61"/>
  <c r="U98" i="61"/>
  <c r="U89" i="63"/>
  <c r="U87" i="63" s="1"/>
  <c r="L68" i="70"/>
  <c r="L111" i="60"/>
  <c r="L68" i="60"/>
  <c r="L78" i="61"/>
  <c r="U17" i="64"/>
  <c r="U111" i="64"/>
  <c r="U17" i="67"/>
  <c r="U6" i="67" s="1"/>
  <c r="U48" i="68"/>
  <c r="U41" i="68" s="1"/>
  <c r="U68" i="69"/>
  <c r="U98" i="70"/>
  <c r="L41" i="61"/>
  <c r="U89" i="61"/>
  <c r="U48" i="62"/>
  <c r="U41" i="62" s="1"/>
  <c r="U27" i="60"/>
  <c r="U17" i="61"/>
  <c r="L48" i="60"/>
  <c r="L41" i="60" s="1"/>
  <c r="L27" i="61"/>
  <c r="L27" i="60"/>
  <c r="L89" i="63"/>
  <c r="U10" i="63"/>
  <c r="U8" i="63" s="1"/>
  <c r="U121" i="64"/>
  <c r="U124" i="64" s="1"/>
  <c r="U68" i="67"/>
  <c r="U98" i="67"/>
  <c r="U27" i="68"/>
  <c r="U17" i="70"/>
  <c r="U68" i="70"/>
  <c r="L68" i="61"/>
  <c r="L59" i="61" s="1"/>
  <c r="L61" i="60"/>
  <c r="L59" i="60" s="1"/>
  <c r="U100" i="60"/>
  <c r="U98" i="60" s="1"/>
  <c r="L98" i="64"/>
  <c r="U102" i="64"/>
  <c r="U98" i="64" s="1"/>
  <c r="L111" i="64"/>
  <c r="U115" i="64"/>
  <c r="L48" i="64"/>
  <c r="L68" i="64"/>
  <c r="L61" i="62"/>
  <c r="L78" i="62"/>
  <c r="L98" i="65"/>
  <c r="L61" i="67"/>
  <c r="L59" i="67" s="1"/>
  <c r="L17" i="68"/>
  <c r="L98" i="68"/>
  <c r="L27" i="70"/>
  <c r="L89" i="70"/>
  <c r="U111" i="70"/>
  <c r="L8" i="64"/>
  <c r="U122" i="67"/>
  <c r="U124" i="67" s="1"/>
  <c r="U116" i="68"/>
  <c r="U111" i="68" s="1"/>
  <c r="L68" i="69"/>
  <c r="L17" i="70"/>
  <c r="L68" i="63"/>
  <c r="L98" i="62"/>
  <c r="L8" i="67"/>
  <c r="U63" i="67"/>
  <c r="U61" i="67" s="1"/>
  <c r="U78" i="68"/>
  <c r="L89" i="69"/>
  <c r="L87" i="69" s="1"/>
  <c r="L17" i="62"/>
  <c r="L48" i="62"/>
  <c r="L111" i="62"/>
  <c r="U98" i="62"/>
  <c r="U89" i="65"/>
  <c r="U89" i="67"/>
  <c r="L27" i="68"/>
  <c r="U61" i="68"/>
  <c r="U59" i="68" s="1"/>
  <c r="L98" i="69"/>
  <c r="L111" i="69"/>
  <c r="U78" i="69"/>
  <c r="U78" i="64"/>
  <c r="U68" i="62"/>
  <c r="L98" i="67"/>
  <c r="U111" i="67"/>
  <c r="U89" i="68"/>
  <c r="U87" i="68" s="1"/>
  <c r="L17" i="63"/>
  <c r="L6" i="63" s="1"/>
  <c r="L98" i="63"/>
  <c r="U50" i="64"/>
  <c r="U48" i="64" s="1"/>
  <c r="U41" i="64" s="1"/>
  <c r="U73" i="64"/>
  <c r="U68" i="64" s="1"/>
  <c r="U59" i="64" s="1"/>
  <c r="U62" i="62"/>
  <c r="U61" i="62" s="1"/>
  <c r="U80" i="62"/>
  <c r="U78" i="62" s="1"/>
  <c r="L68" i="65"/>
  <c r="U70" i="65"/>
  <c r="U68" i="65" s="1"/>
  <c r="U104" i="65"/>
  <c r="U98" i="65" s="1"/>
  <c r="L68" i="67"/>
  <c r="L68" i="68"/>
  <c r="L78" i="68"/>
  <c r="U18" i="68"/>
  <c r="U17" i="68" s="1"/>
  <c r="U100" i="68"/>
  <c r="U98" i="68" s="1"/>
  <c r="U90" i="69"/>
  <c r="U89" i="69" s="1"/>
  <c r="L111" i="70"/>
  <c r="L48" i="70"/>
  <c r="L41" i="70" s="1"/>
  <c r="U91" i="70"/>
  <c r="U89" i="70" s="1"/>
  <c r="U87" i="70" s="1"/>
  <c r="L27" i="63"/>
  <c r="U9" i="64"/>
  <c r="U8" i="64" s="1"/>
  <c r="U6" i="64" s="1"/>
  <c r="U39" i="64" s="1"/>
  <c r="L68" i="62"/>
  <c r="L59" i="62" s="1"/>
  <c r="L61" i="65"/>
  <c r="U62" i="65"/>
  <c r="U61" i="65" s="1"/>
  <c r="L48" i="68"/>
  <c r="L41" i="68" s="1"/>
  <c r="L89" i="68"/>
  <c r="L87" i="68" s="1"/>
  <c r="U10" i="68"/>
  <c r="U8" i="68" s="1"/>
  <c r="U100" i="69"/>
  <c r="U98" i="69" s="1"/>
  <c r="U113" i="69"/>
  <c r="U111" i="69" s="1"/>
  <c r="L98" i="70"/>
  <c r="U30" i="70"/>
  <c r="U27" i="70" s="1"/>
  <c r="U6" i="70"/>
  <c r="L59" i="70"/>
  <c r="L6" i="70"/>
  <c r="L39" i="70" s="1"/>
  <c r="L57" i="70" s="1"/>
  <c r="U6" i="69"/>
  <c r="U39" i="69" s="1"/>
  <c r="U57" i="69" s="1"/>
  <c r="L124" i="68"/>
  <c r="U41" i="67"/>
  <c r="L17" i="67"/>
  <c r="L48" i="67"/>
  <c r="L41" i="67" s="1"/>
  <c r="L27" i="67"/>
  <c r="L87" i="67"/>
  <c r="L124" i="65"/>
  <c r="L89" i="65"/>
  <c r="L87" i="65" s="1"/>
  <c r="L78" i="65"/>
  <c r="L59" i="65" s="1"/>
  <c r="L48" i="65"/>
  <c r="L41" i="65" s="1"/>
  <c r="L8" i="65"/>
  <c r="L17" i="65"/>
  <c r="L6" i="65" s="1"/>
  <c r="L27" i="65"/>
  <c r="L124" i="62"/>
  <c r="L41" i="62"/>
  <c r="L89" i="64"/>
  <c r="L78" i="64"/>
  <c r="L41" i="64"/>
  <c r="L41" i="63"/>
  <c r="L87" i="61"/>
  <c r="U59" i="60"/>
  <c r="U41" i="60"/>
  <c r="L124" i="60"/>
  <c r="U59" i="62" l="1"/>
  <c r="L6" i="64"/>
  <c r="L39" i="64" s="1"/>
  <c r="L87" i="64"/>
  <c r="U6" i="63"/>
  <c r="U39" i="63" s="1"/>
  <c r="U57" i="63" s="1"/>
  <c r="U6" i="60"/>
  <c r="U39" i="60" s="1"/>
  <c r="L59" i="68"/>
  <c r="U59" i="70"/>
  <c r="U39" i="67"/>
  <c r="U57" i="67" s="1"/>
  <c r="U85" i="67" s="1"/>
  <c r="U83" i="67" s="1"/>
  <c r="U87" i="64"/>
  <c r="U39" i="65"/>
  <c r="U59" i="61"/>
  <c r="L59" i="69"/>
  <c r="L85" i="69" s="1"/>
  <c r="U87" i="61"/>
  <c r="L87" i="63"/>
  <c r="U6" i="61"/>
  <c r="U39" i="61" s="1"/>
  <c r="L39" i="65"/>
  <c r="L57" i="65" s="1"/>
  <c r="L85" i="65" s="1"/>
  <c r="L109" i="65" s="1"/>
  <c r="L118" i="65" s="1"/>
  <c r="U39" i="70"/>
  <c r="U59" i="65"/>
  <c r="L6" i="62"/>
  <c r="U87" i="69"/>
  <c r="L87" i="62"/>
  <c r="L6" i="61"/>
  <c r="L39" i="61" s="1"/>
  <c r="L57" i="61" s="1"/>
  <c r="U87" i="60"/>
  <c r="L87" i="70"/>
  <c r="U6" i="68"/>
  <c r="U39" i="68" s="1"/>
  <c r="U57" i="68" s="1"/>
  <c r="U85" i="68" s="1"/>
  <c r="U109" i="68" s="1"/>
  <c r="U118" i="68" s="1"/>
  <c r="U87" i="67"/>
  <c r="U59" i="67"/>
  <c r="L57" i="64"/>
  <c r="U59" i="69"/>
  <c r="U85" i="69" s="1"/>
  <c r="U109" i="69" s="1"/>
  <c r="U118" i="69" s="1"/>
  <c r="L87" i="60"/>
  <c r="U57" i="60"/>
  <c r="U57" i="64"/>
  <c r="U85" i="64" s="1"/>
  <c r="U83" i="64" s="1"/>
  <c r="L6" i="67"/>
  <c r="L39" i="67" s="1"/>
  <c r="L57" i="67" s="1"/>
  <c r="L39" i="60"/>
  <c r="L57" i="60" s="1"/>
  <c r="L39" i="62"/>
  <c r="L57" i="62" s="1"/>
  <c r="U6" i="62"/>
  <c r="U39" i="62" s="1"/>
  <c r="U57" i="62" s="1"/>
  <c r="U85" i="62" s="1"/>
  <c r="U87" i="65"/>
  <c r="L59" i="63"/>
  <c r="L59" i="64"/>
  <c r="L85" i="70"/>
  <c r="L83" i="70" s="1"/>
  <c r="U59" i="63"/>
  <c r="U85" i="63" s="1"/>
  <c r="L39" i="63"/>
  <c r="L57" i="63" s="1"/>
  <c r="U57" i="70"/>
  <c r="U85" i="70" s="1"/>
  <c r="U83" i="70" s="1"/>
  <c r="L83" i="69"/>
  <c r="L109" i="69"/>
  <c r="L118" i="69" s="1"/>
  <c r="U83" i="68"/>
  <c r="L85" i="67"/>
  <c r="L83" i="67" s="1"/>
  <c r="U57" i="65"/>
  <c r="U85" i="65" s="1"/>
  <c r="U83" i="65" s="1"/>
  <c r="L85" i="62"/>
  <c r="L85" i="64"/>
  <c r="L83" i="64" s="1"/>
  <c r="U57" i="61"/>
  <c r="U85" i="61" s="1"/>
  <c r="U83" i="61" s="1"/>
  <c r="L85" i="61"/>
  <c r="L83" i="61" s="1"/>
  <c r="U85" i="60"/>
  <c r="L85" i="60"/>
  <c r="L109" i="60" s="1"/>
  <c r="L118" i="60" s="1"/>
  <c r="L109" i="61" l="1"/>
  <c r="L118" i="61" s="1"/>
  <c r="L83" i="60"/>
  <c r="L85" i="63"/>
  <c r="L83" i="63" s="1"/>
  <c r="U83" i="62"/>
  <c r="U109" i="62"/>
  <c r="U118" i="62" s="1"/>
  <c r="U109" i="67"/>
  <c r="U118" i="67" s="1"/>
  <c r="L109" i="62"/>
  <c r="L118" i="62" s="1"/>
  <c r="U83" i="63"/>
  <c r="U109" i="63"/>
  <c r="U118" i="63" s="1"/>
  <c r="L109" i="70"/>
  <c r="L118" i="70" s="1"/>
  <c r="U109" i="64"/>
  <c r="U118" i="64" s="1"/>
  <c r="U109" i="70"/>
  <c r="U118" i="70" s="1"/>
  <c r="U83" i="69"/>
  <c r="L109" i="67"/>
  <c r="L118" i="67" s="1"/>
  <c r="U109" i="65"/>
  <c r="U118" i="65" s="1"/>
  <c r="L83" i="65"/>
  <c r="L83" i="62"/>
  <c r="L109" i="64"/>
  <c r="L118" i="64" s="1"/>
  <c r="L109" i="63"/>
  <c r="L118" i="63" s="1"/>
  <c r="U109" i="61"/>
  <c r="U118" i="61" s="1"/>
  <c r="U109" i="60"/>
  <c r="U118" i="60" s="1"/>
  <c r="U83" i="60"/>
  <c r="U122" i="59" l="1"/>
  <c r="U121" i="59"/>
  <c r="U124" i="59" s="1"/>
  <c r="U116" i="59"/>
  <c r="U115" i="59"/>
  <c r="U114" i="59"/>
  <c r="U107" i="59"/>
  <c r="U106" i="59"/>
  <c r="U105" i="59"/>
  <c r="U104" i="59"/>
  <c r="U103" i="59"/>
  <c r="U102" i="59"/>
  <c r="U101" i="59"/>
  <c r="U100" i="59"/>
  <c r="U99" i="59"/>
  <c r="U97" i="59"/>
  <c r="U96" i="59"/>
  <c r="U95" i="59"/>
  <c r="U94" i="59"/>
  <c r="U93" i="59"/>
  <c r="U92" i="59"/>
  <c r="U91" i="59"/>
  <c r="U90" i="59"/>
  <c r="U81" i="59"/>
  <c r="U80" i="59"/>
  <c r="J78" i="59"/>
  <c r="I78" i="59"/>
  <c r="H78" i="59"/>
  <c r="G78" i="59"/>
  <c r="F78" i="59"/>
  <c r="E78" i="59"/>
  <c r="D78" i="59"/>
  <c r="C78" i="59"/>
  <c r="K78" i="59"/>
  <c r="U79" i="59"/>
  <c r="U77" i="59"/>
  <c r="U76" i="59"/>
  <c r="U75" i="59"/>
  <c r="U74" i="59"/>
  <c r="U73" i="59"/>
  <c r="U72" i="59"/>
  <c r="U71" i="59"/>
  <c r="U70" i="59"/>
  <c r="U69" i="59"/>
  <c r="U67" i="59"/>
  <c r="U66" i="59"/>
  <c r="U65" i="59"/>
  <c r="U64" i="59"/>
  <c r="U63" i="59"/>
  <c r="U62" i="59"/>
  <c r="U55" i="59"/>
  <c r="U54" i="59"/>
  <c r="U53" i="59"/>
  <c r="U52" i="59"/>
  <c r="U51" i="59"/>
  <c r="U50" i="59"/>
  <c r="U49" i="59"/>
  <c r="U47" i="59"/>
  <c r="U46" i="59"/>
  <c r="U45" i="59"/>
  <c r="U44" i="59"/>
  <c r="U43" i="59"/>
  <c r="U37" i="59"/>
  <c r="U36" i="59"/>
  <c r="U35" i="59"/>
  <c r="U34" i="59"/>
  <c r="U33" i="59"/>
  <c r="U32" i="59"/>
  <c r="U31" i="59"/>
  <c r="U30" i="59"/>
  <c r="U29" i="59"/>
  <c r="U25" i="59"/>
  <c r="U24" i="59"/>
  <c r="U23" i="59"/>
  <c r="U22" i="59"/>
  <c r="U21" i="59"/>
  <c r="U20" i="59"/>
  <c r="U19" i="59"/>
  <c r="U18" i="59"/>
  <c r="U16" i="59"/>
  <c r="U15" i="59"/>
  <c r="U14" i="59"/>
  <c r="U13" i="59"/>
  <c r="U12" i="59"/>
  <c r="U11" i="59"/>
  <c r="U10" i="59"/>
  <c r="U9" i="59"/>
  <c r="U8" i="59" s="1"/>
  <c r="L124" i="59"/>
  <c r="U122" i="58"/>
  <c r="U121" i="58"/>
  <c r="U116" i="58"/>
  <c r="U115" i="58"/>
  <c r="U114" i="58"/>
  <c r="U113" i="58"/>
  <c r="U107" i="58"/>
  <c r="U106" i="58"/>
  <c r="U105" i="58"/>
  <c r="U104" i="58"/>
  <c r="U103" i="58"/>
  <c r="U102" i="58"/>
  <c r="U101" i="58"/>
  <c r="U100" i="58"/>
  <c r="U99" i="58"/>
  <c r="U97" i="58"/>
  <c r="U96" i="58"/>
  <c r="U95" i="58"/>
  <c r="U94" i="58"/>
  <c r="U93" i="58"/>
  <c r="U92" i="58"/>
  <c r="U91" i="58"/>
  <c r="U90" i="58"/>
  <c r="U81" i="58"/>
  <c r="J78" i="58"/>
  <c r="I78" i="58"/>
  <c r="H78" i="58"/>
  <c r="G78" i="58"/>
  <c r="F78" i="58"/>
  <c r="E78" i="58"/>
  <c r="D78" i="58"/>
  <c r="C78" i="58"/>
  <c r="T78" i="58"/>
  <c r="K78" i="58"/>
  <c r="U79" i="58"/>
  <c r="U77" i="58"/>
  <c r="U76" i="58"/>
  <c r="U75" i="58"/>
  <c r="U74" i="58"/>
  <c r="U73" i="58"/>
  <c r="U72" i="58"/>
  <c r="U71" i="58"/>
  <c r="U70" i="58"/>
  <c r="U69" i="58"/>
  <c r="U67" i="58"/>
  <c r="U66" i="58"/>
  <c r="U65" i="58"/>
  <c r="U64" i="58"/>
  <c r="U63" i="58"/>
  <c r="U55" i="58"/>
  <c r="U54" i="58"/>
  <c r="U53" i="58"/>
  <c r="U52" i="58"/>
  <c r="U51" i="58"/>
  <c r="U50" i="58"/>
  <c r="U49" i="58"/>
  <c r="U47" i="58"/>
  <c r="U46" i="58"/>
  <c r="U45" i="58"/>
  <c r="U44" i="58"/>
  <c r="U43" i="58"/>
  <c r="U37" i="58"/>
  <c r="U36" i="58"/>
  <c r="U35" i="58"/>
  <c r="U34" i="58"/>
  <c r="U33" i="58"/>
  <c r="U32" i="58"/>
  <c r="U31" i="58"/>
  <c r="U30" i="58"/>
  <c r="U29" i="58"/>
  <c r="U25" i="58"/>
  <c r="U24" i="58"/>
  <c r="U23" i="58"/>
  <c r="U22" i="58"/>
  <c r="U21" i="58"/>
  <c r="U20" i="58"/>
  <c r="U19" i="58"/>
  <c r="U18" i="58"/>
  <c r="U16" i="58"/>
  <c r="U15" i="58"/>
  <c r="U14" i="58"/>
  <c r="U13" i="58"/>
  <c r="U12" i="58"/>
  <c r="U11" i="58"/>
  <c r="U10" i="58"/>
  <c r="U9" i="58"/>
  <c r="U122" i="57"/>
  <c r="U121" i="57"/>
  <c r="U116" i="57"/>
  <c r="U115" i="57"/>
  <c r="U114" i="57"/>
  <c r="U107" i="57"/>
  <c r="U106" i="57"/>
  <c r="U105" i="57"/>
  <c r="U104" i="57"/>
  <c r="U103" i="57"/>
  <c r="U102" i="57"/>
  <c r="U101" i="57"/>
  <c r="U100" i="57"/>
  <c r="U99" i="57"/>
  <c r="U97" i="57"/>
  <c r="U96" i="57"/>
  <c r="U95" i="57"/>
  <c r="U94" i="57"/>
  <c r="U93" i="57"/>
  <c r="U92" i="57"/>
  <c r="U91" i="57"/>
  <c r="U81" i="57"/>
  <c r="U80" i="57"/>
  <c r="U79" i="57"/>
  <c r="U77" i="57"/>
  <c r="U76" i="57"/>
  <c r="U75" i="57"/>
  <c r="U74" i="57"/>
  <c r="U73" i="57"/>
  <c r="U71" i="57"/>
  <c r="U70" i="57"/>
  <c r="U69" i="57"/>
  <c r="U67" i="57"/>
  <c r="U66" i="57"/>
  <c r="U65" i="57"/>
  <c r="U64" i="57"/>
  <c r="U63" i="57"/>
  <c r="U62" i="57"/>
  <c r="U55" i="57"/>
  <c r="U54" i="57"/>
  <c r="U53" i="57"/>
  <c r="U52" i="57"/>
  <c r="U51" i="57"/>
  <c r="U50" i="57"/>
  <c r="U49" i="57"/>
  <c r="U47" i="57"/>
  <c r="U46" i="57"/>
  <c r="U45" i="57"/>
  <c r="U44" i="57"/>
  <c r="U43" i="57"/>
  <c r="U37" i="57"/>
  <c r="U36" i="57"/>
  <c r="U35" i="57"/>
  <c r="U34" i="57"/>
  <c r="U33" i="57"/>
  <c r="U32" i="57"/>
  <c r="U31" i="57"/>
  <c r="U30" i="57"/>
  <c r="U29" i="57"/>
  <c r="U25" i="57"/>
  <c r="U24" i="57"/>
  <c r="U23" i="57"/>
  <c r="U22" i="57"/>
  <c r="U21" i="57"/>
  <c r="U20" i="57"/>
  <c r="U19" i="57"/>
  <c r="U18" i="57"/>
  <c r="U16" i="57"/>
  <c r="U15" i="57"/>
  <c r="U14" i="57"/>
  <c r="U13" i="57"/>
  <c r="U12" i="57"/>
  <c r="U11" i="57"/>
  <c r="U10" i="57"/>
  <c r="U9" i="57"/>
  <c r="T78" i="57"/>
  <c r="K78" i="57"/>
  <c r="J78" i="57"/>
  <c r="I78" i="57"/>
  <c r="H78" i="57"/>
  <c r="G78" i="57"/>
  <c r="F78" i="57"/>
  <c r="E78" i="57"/>
  <c r="D78" i="57"/>
  <c r="C78" i="57"/>
  <c r="U122" i="56"/>
  <c r="U121" i="56"/>
  <c r="U116" i="56"/>
  <c r="U115" i="56"/>
  <c r="U114" i="56"/>
  <c r="U113" i="56"/>
  <c r="U107" i="56"/>
  <c r="U106" i="56"/>
  <c r="U105" i="56"/>
  <c r="U104" i="56"/>
  <c r="U103" i="56"/>
  <c r="U102" i="56"/>
  <c r="U101" i="56"/>
  <c r="U100" i="56"/>
  <c r="U99" i="56"/>
  <c r="U97" i="56"/>
  <c r="U96" i="56"/>
  <c r="U95" i="56"/>
  <c r="U94" i="56"/>
  <c r="U93" i="56"/>
  <c r="U92" i="56"/>
  <c r="U91" i="56"/>
  <c r="U90" i="56"/>
  <c r="T78" i="56"/>
  <c r="K78" i="56"/>
  <c r="J78" i="56"/>
  <c r="I78" i="56"/>
  <c r="H78" i="56"/>
  <c r="G78" i="56"/>
  <c r="F78" i="56"/>
  <c r="E78" i="56"/>
  <c r="D78" i="56"/>
  <c r="C78" i="56"/>
  <c r="U81" i="56"/>
  <c r="U80" i="56"/>
  <c r="U79" i="56"/>
  <c r="U76" i="56"/>
  <c r="U75" i="56"/>
  <c r="U74" i="56"/>
  <c r="U73" i="56"/>
  <c r="U72" i="56"/>
  <c r="U71" i="56"/>
  <c r="U70" i="56"/>
  <c r="U69" i="56"/>
  <c r="U67" i="56"/>
  <c r="U66" i="56"/>
  <c r="U65" i="56"/>
  <c r="U64" i="56"/>
  <c r="U63" i="56"/>
  <c r="U62" i="56"/>
  <c r="U55" i="56"/>
  <c r="U54" i="56"/>
  <c r="U53" i="56"/>
  <c r="U52" i="56"/>
  <c r="U51" i="56"/>
  <c r="U50" i="56"/>
  <c r="U49" i="56"/>
  <c r="U47" i="56"/>
  <c r="U46" i="56"/>
  <c r="U45" i="56"/>
  <c r="U44" i="56"/>
  <c r="U43" i="56"/>
  <c r="U37" i="56"/>
  <c r="U36" i="56"/>
  <c r="U35" i="56"/>
  <c r="U34" i="56"/>
  <c r="U33" i="56"/>
  <c r="U32" i="56"/>
  <c r="U31" i="56"/>
  <c r="U30" i="56"/>
  <c r="U29" i="56"/>
  <c r="U25" i="56"/>
  <c r="U24" i="56"/>
  <c r="U23" i="56"/>
  <c r="U22" i="56"/>
  <c r="U21" i="56"/>
  <c r="U20" i="56"/>
  <c r="U18" i="56"/>
  <c r="U16" i="56"/>
  <c r="U15" i="56"/>
  <c r="U14" i="56"/>
  <c r="U13" i="56"/>
  <c r="U12" i="56"/>
  <c r="U11" i="56"/>
  <c r="U10" i="56"/>
  <c r="U9" i="56"/>
  <c r="J78" i="55"/>
  <c r="I78" i="55"/>
  <c r="H78" i="55"/>
  <c r="G78" i="55"/>
  <c r="F78" i="55"/>
  <c r="E78" i="55"/>
  <c r="D78" i="55"/>
  <c r="C78" i="55"/>
  <c r="K78" i="55"/>
  <c r="U122" i="55"/>
  <c r="U121" i="55"/>
  <c r="U116" i="55"/>
  <c r="U115" i="55"/>
  <c r="U114" i="55"/>
  <c r="U113" i="55"/>
  <c r="U107" i="55"/>
  <c r="U106" i="55"/>
  <c r="U105" i="55"/>
  <c r="U104" i="55"/>
  <c r="U103" i="55"/>
  <c r="U102" i="55"/>
  <c r="U101" i="55"/>
  <c r="U100" i="55"/>
  <c r="U99" i="55"/>
  <c r="U97" i="55"/>
  <c r="U96" i="55"/>
  <c r="U95" i="55"/>
  <c r="U94" i="55"/>
  <c r="U93" i="55"/>
  <c r="U92" i="55"/>
  <c r="U91" i="55"/>
  <c r="U90" i="55"/>
  <c r="U81" i="55"/>
  <c r="U80" i="55"/>
  <c r="U77" i="55"/>
  <c r="U76" i="55"/>
  <c r="U75" i="55"/>
  <c r="U74" i="55"/>
  <c r="U73" i="55"/>
  <c r="U72" i="55"/>
  <c r="U71" i="55"/>
  <c r="U70" i="55"/>
  <c r="U69" i="55"/>
  <c r="U67" i="55"/>
  <c r="U66" i="55"/>
  <c r="U65" i="55"/>
  <c r="U64" i="55"/>
  <c r="U63" i="55"/>
  <c r="U62" i="55"/>
  <c r="U55" i="55"/>
  <c r="U54" i="55"/>
  <c r="U53" i="55"/>
  <c r="U52" i="55"/>
  <c r="U51" i="55"/>
  <c r="U50" i="55"/>
  <c r="U49" i="55"/>
  <c r="U47" i="55"/>
  <c r="U46" i="55"/>
  <c r="U45" i="55"/>
  <c r="U44" i="55"/>
  <c r="U43" i="55"/>
  <c r="U37" i="55"/>
  <c r="U36" i="55"/>
  <c r="U35" i="55"/>
  <c r="U34" i="55"/>
  <c r="U33" i="55"/>
  <c r="U32" i="55"/>
  <c r="U31" i="55"/>
  <c r="U30" i="55"/>
  <c r="U29" i="55"/>
  <c r="U25" i="55"/>
  <c r="U24" i="55"/>
  <c r="U23" i="55"/>
  <c r="U22" i="55"/>
  <c r="U21" i="55"/>
  <c r="U20" i="55"/>
  <c r="U19" i="55"/>
  <c r="U18" i="55"/>
  <c r="U16" i="55"/>
  <c r="U15" i="55"/>
  <c r="U14" i="55"/>
  <c r="U13" i="55"/>
  <c r="U12" i="55"/>
  <c r="U11" i="55"/>
  <c r="U10" i="55"/>
  <c r="U9" i="55"/>
  <c r="L78" i="55" l="1"/>
  <c r="U8" i="56"/>
  <c r="L68" i="57"/>
  <c r="U68" i="58"/>
  <c r="U48" i="59"/>
  <c r="L8" i="59"/>
  <c r="U61" i="57"/>
  <c r="U27" i="58"/>
  <c r="U111" i="56"/>
  <c r="L8" i="57"/>
  <c r="L111" i="57"/>
  <c r="U113" i="57"/>
  <c r="U111" i="57" s="1"/>
  <c r="L111" i="59"/>
  <c r="L111" i="58"/>
  <c r="U124" i="57"/>
  <c r="U113" i="59"/>
  <c r="U111" i="59" s="1"/>
  <c r="U124" i="58"/>
  <c r="U27" i="56"/>
  <c r="U89" i="59"/>
  <c r="U27" i="59"/>
  <c r="U78" i="56"/>
  <c r="U89" i="56"/>
  <c r="U87" i="56" s="1"/>
  <c r="U8" i="58"/>
  <c r="U6" i="58" s="1"/>
  <c r="U68" i="59"/>
  <c r="U78" i="59"/>
  <c r="U98" i="56"/>
  <c r="U89" i="58"/>
  <c r="U98" i="58"/>
  <c r="U61" i="59"/>
  <c r="U98" i="59"/>
  <c r="U87" i="59" s="1"/>
  <c r="U48" i="56"/>
  <c r="U41" i="56" s="1"/>
  <c r="U78" i="57"/>
  <c r="U8" i="57"/>
  <c r="U17" i="57"/>
  <c r="U27" i="57"/>
  <c r="U48" i="57"/>
  <c r="U41" i="57" s="1"/>
  <c r="U98" i="57"/>
  <c r="U48" i="58"/>
  <c r="U41" i="58" s="1"/>
  <c r="U79" i="55"/>
  <c r="U78" i="55" s="1"/>
  <c r="L89" i="57"/>
  <c r="L8" i="58"/>
  <c r="L27" i="58"/>
  <c r="L78" i="58"/>
  <c r="U61" i="56"/>
  <c r="L27" i="57"/>
  <c r="U17" i="58"/>
  <c r="L78" i="56"/>
  <c r="U111" i="58"/>
  <c r="L78" i="57"/>
  <c r="L98" i="58"/>
  <c r="L17" i="56"/>
  <c r="U19" i="56"/>
  <c r="U17" i="56" s="1"/>
  <c r="L98" i="59"/>
  <c r="L48" i="57"/>
  <c r="L41" i="57" s="1"/>
  <c r="L98" i="57"/>
  <c r="U17" i="59"/>
  <c r="U6" i="59" s="1"/>
  <c r="U39" i="59" s="1"/>
  <c r="U72" i="57"/>
  <c r="U68" i="57" s="1"/>
  <c r="U59" i="57" s="1"/>
  <c r="L61" i="58"/>
  <c r="L89" i="58"/>
  <c r="L68" i="59"/>
  <c r="U68" i="56"/>
  <c r="L17" i="57"/>
  <c r="L61" i="57"/>
  <c r="U90" i="57"/>
  <c r="U89" i="57" s="1"/>
  <c r="U62" i="58"/>
  <c r="U61" i="58" s="1"/>
  <c r="U80" i="58"/>
  <c r="U78" i="58" s="1"/>
  <c r="L78" i="59"/>
  <c r="L89" i="59"/>
  <c r="L87" i="59" s="1"/>
  <c r="U41" i="59"/>
  <c r="L48" i="59"/>
  <c r="L41" i="59" s="1"/>
  <c r="L61" i="59"/>
  <c r="L27" i="59"/>
  <c r="L17" i="59"/>
  <c r="L6" i="59" s="1"/>
  <c r="L124" i="58"/>
  <c r="L68" i="58"/>
  <c r="L48" i="58"/>
  <c r="L17" i="58"/>
  <c r="L41" i="58"/>
  <c r="L6" i="58"/>
  <c r="L39" i="58" s="1"/>
  <c r="L57" i="58" s="1"/>
  <c r="L124" i="57"/>
  <c r="U124" i="56"/>
  <c r="U39" i="58" l="1"/>
  <c r="L87" i="57"/>
  <c r="L6" i="57"/>
  <c r="L39" i="57" s="1"/>
  <c r="L57" i="57" s="1"/>
  <c r="U59" i="56"/>
  <c r="U59" i="59"/>
  <c r="L59" i="58"/>
  <c r="L85" i="58" s="1"/>
  <c r="L87" i="58"/>
  <c r="U87" i="58"/>
  <c r="L59" i="57"/>
  <c r="L85" i="57" s="1"/>
  <c r="L83" i="57" s="1"/>
  <c r="U6" i="57"/>
  <c r="U39" i="57" s="1"/>
  <c r="U57" i="57" s="1"/>
  <c r="U87" i="57"/>
  <c r="U57" i="59"/>
  <c r="U85" i="59" s="1"/>
  <c r="U83" i="59" s="1"/>
  <c r="U59" i="58"/>
  <c r="L59" i="59"/>
  <c r="L39" i="59"/>
  <c r="L57" i="59" s="1"/>
  <c r="L85" i="59" s="1"/>
  <c r="L109" i="59" s="1"/>
  <c r="L118" i="59" s="1"/>
  <c r="U57" i="58"/>
  <c r="U85" i="57"/>
  <c r="U83" i="57" s="1"/>
  <c r="L109" i="58" l="1"/>
  <c r="L118" i="58" s="1"/>
  <c r="U85" i="58"/>
  <c r="U83" i="58" s="1"/>
  <c r="L109" i="57"/>
  <c r="L118" i="57" s="1"/>
  <c r="U109" i="57"/>
  <c r="U118" i="57" s="1"/>
  <c r="U109" i="59"/>
  <c r="U118" i="59" s="1"/>
  <c r="L83" i="59"/>
  <c r="U109" i="58"/>
  <c r="U118" i="58" s="1"/>
  <c r="L83" i="58"/>
  <c r="U124" i="55" l="1"/>
  <c r="U111" i="55"/>
  <c r="U98" i="55"/>
  <c r="U89" i="55"/>
  <c r="U68" i="55"/>
  <c r="U61" i="55"/>
  <c r="U48" i="55"/>
  <c r="U41" i="55" s="1"/>
  <c r="U27" i="55"/>
  <c r="U17" i="55"/>
  <c r="U8" i="55"/>
  <c r="U6" i="55" s="1"/>
  <c r="L124" i="55"/>
  <c r="L111" i="55"/>
  <c r="L98" i="55"/>
  <c r="L89" i="55"/>
  <c r="L68" i="55"/>
  <c r="L61" i="55"/>
  <c r="L48" i="55"/>
  <c r="L41" i="55" s="1"/>
  <c r="L27" i="55"/>
  <c r="L17" i="55"/>
  <c r="L8" i="55"/>
  <c r="L6" i="55" s="1"/>
  <c r="L8" i="56"/>
  <c r="L6" i="56" s="1"/>
  <c r="L124" i="56"/>
  <c r="L111" i="56"/>
  <c r="L89" i="56"/>
  <c r="L98" i="56"/>
  <c r="L68" i="56"/>
  <c r="L61" i="56"/>
  <c r="L48" i="56"/>
  <c r="L41" i="56" s="1"/>
  <c r="L27" i="56"/>
  <c r="F9" i="2"/>
  <c r="F8" i="2"/>
  <c r="P75" i="2"/>
  <c r="P74" i="2"/>
  <c r="P73" i="2"/>
  <c r="L87" i="56" l="1"/>
  <c r="U87" i="55"/>
  <c r="U59" i="55"/>
  <c r="U39" i="55"/>
  <c r="U57" i="55" s="1"/>
  <c r="L39" i="55"/>
  <c r="L57" i="55" s="1"/>
  <c r="L87" i="55"/>
  <c r="L59" i="55"/>
  <c r="L39" i="56"/>
  <c r="L57" i="56" s="1"/>
  <c r="L59" i="56"/>
  <c r="F17" i="73"/>
  <c r="E17" i="73"/>
  <c r="D17" i="73"/>
  <c r="C17" i="73"/>
  <c r="L85" i="56" l="1"/>
  <c r="L109" i="56" s="1"/>
  <c r="L118" i="56" s="1"/>
  <c r="U85" i="55"/>
  <c r="L85" i="55"/>
  <c r="L83" i="55" s="1"/>
  <c r="AF37" i="39"/>
  <c r="G17" i="73"/>
  <c r="L83" i="56"/>
  <c r="AV84" i="11"/>
  <c r="AV69" i="11"/>
  <c r="AV53" i="11"/>
  <c r="AF82" i="39"/>
  <c r="AF68" i="39"/>
  <c r="AF28" i="39"/>
  <c r="G47" i="73"/>
  <c r="G39" i="73"/>
  <c r="G30" i="73"/>
  <c r="G8" i="73"/>
  <c r="G27" i="73" l="1"/>
  <c r="AF92" i="39"/>
  <c r="AF27" i="39"/>
  <c r="AF45" i="39" s="1"/>
  <c r="U83" i="55"/>
  <c r="U109" i="55"/>
  <c r="U118" i="55" s="1"/>
  <c r="L109" i="55"/>
  <c r="L118" i="55" s="1"/>
  <c r="AV93" i="11"/>
  <c r="G46" i="73"/>
  <c r="G53" i="73" s="1"/>
  <c r="AF93" i="39" l="1"/>
  <c r="G54" i="73"/>
  <c r="H21" i="46"/>
  <c r="G21" i="46"/>
  <c r="F21" i="46"/>
  <c r="E21" i="46"/>
  <c r="D21" i="46"/>
  <c r="C21" i="46"/>
  <c r="Q66" i="43" l="1"/>
  <c r="Q72" i="43" s="1"/>
  <c r="Q50" i="43"/>
  <c r="Q36" i="43"/>
  <c r="Q22" i="43"/>
  <c r="Q8" i="43"/>
  <c r="I45" i="46"/>
  <c r="I33" i="46"/>
  <c r="N81" i="31" l="1"/>
  <c r="Q65" i="43"/>
  <c r="Q74" i="43" s="1"/>
  <c r="Q33" i="43"/>
  <c r="I57" i="46"/>
  <c r="N64" i="31"/>
  <c r="N46" i="31"/>
  <c r="N37" i="31"/>
  <c r="N24" i="31"/>
  <c r="N8" i="31"/>
  <c r="L65" i="4"/>
  <c r="L64" i="4"/>
  <c r="L66" i="4" s="1"/>
  <c r="F66" i="4"/>
  <c r="K66" i="4"/>
  <c r="J66" i="4"/>
  <c r="I66" i="4"/>
  <c r="H66" i="4"/>
  <c r="G66" i="4"/>
  <c r="M358" i="6"/>
  <c r="N89" i="31" l="1"/>
  <c r="T8" i="27"/>
  <c r="T39" i="29"/>
  <c r="T42" i="28"/>
  <c r="Q75" i="43"/>
  <c r="N23" i="31"/>
  <c r="N43" i="31" s="1"/>
  <c r="AB81" i="30"/>
  <c r="AB64" i="30"/>
  <c r="AB45" i="30"/>
  <c r="AB36" i="30"/>
  <c r="AB24" i="30"/>
  <c r="AB8" i="30"/>
  <c r="T81" i="29"/>
  <c r="T67" i="29"/>
  <c r="T49" i="29"/>
  <c r="T25" i="29"/>
  <c r="T8" i="29"/>
  <c r="T88" i="28"/>
  <c r="T71" i="28"/>
  <c r="T50" i="28"/>
  <c r="T27" i="28"/>
  <c r="T8" i="28"/>
  <c r="T79" i="27"/>
  <c r="T63" i="27"/>
  <c r="T45" i="27"/>
  <c r="T24" i="27"/>
  <c r="BG24" i="19"/>
  <c r="BG30" i="19" s="1"/>
  <c r="BF24" i="19"/>
  <c r="BF26" i="19" s="1"/>
  <c r="BE24" i="19"/>
  <c r="BE26" i="19" s="1"/>
  <c r="BJ24" i="19"/>
  <c r="BI24" i="19"/>
  <c r="BH24" i="19"/>
  <c r="BD24" i="19"/>
  <c r="BD26" i="19" s="1"/>
  <c r="BG11" i="19"/>
  <c r="BG17" i="19" s="1"/>
  <c r="BJ11" i="19"/>
  <c r="BI11" i="19"/>
  <c r="BH11" i="19"/>
  <c r="BF11" i="19"/>
  <c r="BE11" i="19"/>
  <c r="BD11" i="19"/>
  <c r="BD13" i="19" s="1"/>
  <c r="O24" i="18"/>
  <c r="T42" i="27" l="1"/>
  <c r="N90" i="31"/>
  <c r="BD30" i="19"/>
  <c r="BG26" i="19"/>
  <c r="T24" i="29"/>
  <c r="T46" i="29" s="1"/>
  <c r="T26" i="28"/>
  <c r="T47" i="28" s="1"/>
  <c r="T86" i="27"/>
  <c r="T87" i="27" s="1"/>
  <c r="AB90" i="30"/>
  <c r="AB23" i="30"/>
  <c r="AB42" i="30" s="1"/>
  <c r="T89" i="29"/>
  <c r="T97" i="28"/>
  <c r="BH30" i="19"/>
  <c r="BH26" i="19"/>
  <c r="BI30" i="19"/>
  <c r="BI26" i="19"/>
  <c r="BJ30" i="19"/>
  <c r="BJ26" i="19"/>
  <c r="BE30" i="19"/>
  <c r="BF30" i="19"/>
  <c r="BE13" i="19"/>
  <c r="BE17" i="19"/>
  <c r="BH17" i="19"/>
  <c r="BH13" i="19"/>
  <c r="BJ17" i="19"/>
  <c r="BJ13" i="19"/>
  <c r="BF13" i="19"/>
  <c r="BF17" i="19"/>
  <c r="BI17" i="19"/>
  <c r="BI13" i="19"/>
  <c r="BG13" i="19"/>
  <c r="BD17" i="19"/>
  <c r="O20" i="18"/>
  <c r="O28" i="18" s="1"/>
  <c r="O11" i="18"/>
  <c r="O7" i="18"/>
  <c r="AG75" i="3"/>
  <c r="AG69" i="3"/>
  <c r="AG63" i="3"/>
  <c r="AG57" i="3"/>
  <c r="AG48" i="3"/>
  <c r="AG42" i="3"/>
  <c r="AG36" i="3"/>
  <c r="AG30" i="3"/>
  <c r="AG24" i="3"/>
  <c r="AG18" i="3"/>
  <c r="AG12" i="3"/>
  <c r="X51" i="71"/>
  <c r="X52" i="71"/>
  <c r="X49" i="71"/>
  <c r="T40" i="7"/>
  <c r="T27" i="7"/>
  <c r="T9" i="7"/>
  <c r="T19" i="7" s="1"/>
  <c r="AV34" i="8"/>
  <c r="AV22" i="8"/>
  <c r="AV29" i="8" s="1"/>
  <c r="AV13" i="47"/>
  <c r="AV8" i="47"/>
  <c r="Q32" i="42"/>
  <c r="Q9" i="42"/>
  <c r="Q13" i="42" s="1"/>
  <c r="AG78" i="3" l="1"/>
  <c r="O15" i="18"/>
  <c r="AB91" i="30"/>
  <c r="T90" i="29"/>
  <c r="T98" i="28"/>
  <c r="X50" i="71"/>
  <c r="T20" i="7"/>
  <c r="T26" i="7"/>
  <c r="T35" i="7" s="1"/>
  <c r="T37" i="7" s="1"/>
  <c r="T43" i="7" s="1"/>
  <c r="T48" i="7" s="1"/>
  <c r="T50" i="7" s="1"/>
  <c r="AV31" i="8"/>
  <c r="AV37" i="8" s="1"/>
  <c r="AV42" i="8" s="1"/>
  <c r="AV15" i="47"/>
  <c r="AV26" i="47"/>
  <c r="AV12" i="47"/>
  <c r="AV22" i="47" s="1"/>
  <c r="K28" i="45"/>
  <c r="K16" i="45"/>
  <c r="K8" i="45"/>
  <c r="K13" i="45" s="1"/>
  <c r="K15" i="45" s="1"/>
  <c r="Q14" i="42"/>
  <c r="Q29" i="42" s="1"/>
  <c r="Q31" i="42" s="1"/>
  <c r="Q35" i="42" s="1"/>
  <c r="Q38" i="42" s="1"/>
  <c r="AV25" i="47" l="1"/>
  <c r="AV29" i="47" s="1"/>
  <c r="K24" i="45"/>
  <c r="K27" i="45" s="1"/>
  <c r="K31" i="45" s="1"/>
  <c r="K36" i="45" s="1"/>
  <c r="AF31" i="37"/>
  <c r="AF21" i="37"/>
  <c r="T14" i="38"/>
  <c r="T24" i="38" l="1"/>
  <c r="L21" i="26"/>
  <c r="P9" i="25"/>
  <c r="N21" i="24"/>
  <c r="N16" i="24"/>
  <c r="N9" i="24"/>
  <c r="AB31" i="23"/>
  <c r="AB21" i="23"/>
  <c r="T22" i="22"/>
  <c r="AV22" i="20"/>
  <c r="I129" i="41"/>
  <c r="H129" i="41"/>
  <c r="AF9" i="37" l="1"/>
  <c r="AF19" i="37" s="1"/>
  <c r="AF28" i="37" s="1"/>
  <c r="AF30" i="37" s="1"/>
  <c r="AF34" i="37" s="1"/>
  <c r="AF39" i="37" s="1"/>
  <c r="L31" i="26"/>
  <c r="L16" i="26"/>
  <c r="L9" i="26"/>
  <c r="L15" i="26" s="1"/>
  <c r="P32" i="25"/>
  <c r="P21" i="25"/>
  <c r="P16" i="25"/>
  <c r="P15" i="25"/>
  <c r="N31" i="24"/>
  <c r="N15" i="24"/>
  <c r="N20" i="24" s="1"/>
  <c r="AB16" i="23"/>
  <c r="AB9" i="23"/>
  <c r="AB15" i="23" s="1"/>
  <c r="T32" i="22"/>
  <c r="T16" i="22"/>
  <c r="T9" i="22"/>
  <c r="T15" i="22" s="1"/>
  <c r="AV34" i="21"/>
  <c r="AV21" i="21"/>
  <c r="AV16" i="21"/>
  <c r="AV9" i="21"/>
  <c r="AV15" i="21" s="1"/>
  <c r="AV32" i="20"/>
  <c r="AV16" i="20"/>
  <c r="AV9" i="20"/>
  <c r="AV15" i="20" s="1"/>
  <c r="AB22" i="41"/>
  <c r="AA22" i="41"/>
  <c r="Z22" i="41"/>
  <c r="Y22" i="41"/>
  <c r="X22" i="41"/>
  <c r="W22" i="41"/>
  <c r="V22" i="41"/>
  <c r="U22" i="41"/>
  <c r="T22" i="41"/>
  <c r="S22" i="41"/>
  <c r="R22" i="41"/>
  <c r="Q22" i="41"/>
  <c r="P22" i="41"/>
  <c r="O22" i="41"/>
  <c r="N22" i="41"/>
  <c r="M22" i="41"/>
  <c r="L22" i="41"/>
  <c r="K22" i="41"/>
  <c r="J22" i="41"/>
  <c r="I22" i="41"/>
  <c r="H22" i="41"/>
  <c r="G22" i="41"/>
  <c r="F22" i="41"/>
  <c r="E22" i="41"/>
  <c r="T21" i="22" l="1"/>
  <c r="T29" i="22" s="1"/>
  <c r="T31" i="22" s="1"/>
  <c r="P29" i="25"/>
  <c r="P31" i="25" s="1"/>
  <c r="P35" i="25" s="1"/>
  <c r="P40" i="25" s="1"/>
  <c r="T35" i="22"/>
  <c r="T40" i="22" s="1"/>
  <c r="AB20" i="23"/>
  <c r="N28" i="24"/>
  <c r="N30" i="24" s="1"/>
  <c r="N34" i="24" s="1"/>
  <c r="N39" i="24" s="1"/>
  <c r="L20" i="26"/>
  <c r="L28" i="26" s="1"/>
  <c r="L30" i="26" s="1"/>
  <c r="L34" i="26" s="1"/>
  <c r="L39" i="26" s="1"/>
  <c r="P20" i="25"/>
  <c r="AV29" i="20"/>
  <c r="AV31" i="20" s="1"/>
  <c r="AV35" i="20" s="1"/>
  <c r="AV40" i="20" s="1"/>
  <c r="AB28" i="23"/>
  <c r="AB30" i="23" s="1"/>
  <c r="AB34" i="23" s="1"/>
  <c r="AB39" i="23" s="1"/>
  <c r="AV31" i="21"/>
  <c r="AV33" i="21" s="1"/>
  <c r="AV37" i="21" s="1"/>
  <c r="AV42" i="21" s="1"/>
  <c r="AV20" i="21"/>
  <c r="AV21" i="20"/>
  <c r="AV85" i="13"/>
  <c r="AV82" i="13"/>
  <c r="AV80" i="13"/>
  <c r="AV79" i="13"/>
  <c r="AV78" i="13"/>
  <c r="AV83" i="13"/>
  <c r="AV172" i="12" l="1"/>
  <c r="AV164" i="12"/>
  <c r="AV156" i="12"/>
  <c r="AV148" i="12"/>
  <c r="AV140" i="12"/>
  <c r="AV132" i="12"/>
  <c r="AV124" i="12"/>
  <c r="AV116" i="12"/>
  <c r="AV108" i="12"/>
  <c r="AV104" i="12"/>
  <c r="AV111" i="12" s="1"/>
  <c r="AV112" i="12" s="1"/>
  <c r="AV93" i="12"/>
  <c r="AV89" i="12"/>
  <c r="AV78" i="12"/>
  <c r="AV74" i="12"/>
  <c r="AV81" i="12" s="1"/>
  <c r="AV82" i="12" s="1"/>
  <c r="AV63" i="12"/>
  <c r="AV59" i="12"/>
  <c r="AV48" i="12"/>
  <c r="AV44" i="12"/>
  <c r="AV33" i="12"/>
  <c r="AV29" i="12"/>
  <c r="AV17" i="12"/>
  <c r="AV13" i="12"/>
  <c r="AV70" i="13"/>
  <c r="AV61" i="13"/>
  <c r="AV81" i="13" s="1"/>
  <c r="AV84" i="13" s="1"/>
  <c r="AV50" i="13"/>
  <c r="AV40" i="13"/>
  <c r="AV30" i="13"/>
  <c r="AV20" i="13"/>
  <c r="AV16" i="13"/>
  <c r="AV27" i="13" s="1"/>
  <c r="AV37" i="13" s="1"/>
  <c r="AV47" i="13" s="1"/>
  <c r="AV57" i="13" s="1"/>
  <c r="AV9" i="13"/>
  <c r="AV12" i="14"/>
  <c r="AV18" i="14" s="1"/>
  <c r="AV24" i="14" s="1"/>
  <c r="AV30" i="14" s="1"/>
  <c r="AV36" i="14" s="1"/>
  <c r="AV42" i="14" s="1"/>
  <c r="AV12" i="15"/>
  <c r="AV18" i="15" s="1"/>
  <c r="AV24" i="15" s="1"/>
  <c r="AV30" i="15" s="1"/>
  <c r="AV36" i="15" s="1"/>
  <c r="AV42" i="15" s="1"/>
  <c r="AU12" i="15"/>
  <c r="AU18" i="15" s="1"/>
  <c r="AU24" i="15" s="1"/>
  <c r="AU30" i="15" s="1"/>
  <c r="AU36" i="15" s="1"/>
  <c r="AU42" i="15" s="1"/>
  <c r="U56" i="75"/>
  <c r="T56" i="75"/>
  <c r="S56" i="75"/>
  <c r="R56" i="75"/>
  <c r="Q56" i="75"/>
  <c r="P56" i="75"/>
  <c r="O56" i="75"/>
  <c r="N56" i="75"/>
  <c r="M56" i="75"/>
  <c r="L56" i="75"/>
  <c r="K56" i="75"/>
  <c r="J56" i="75"/>
  <c r="I56" i="75"/>
  <c r="H56" i="75"/>
  <c r="G56" i="75"/>
  <c r="F56" i="75"/>
  <c r="E56" i="75"/>
  <c r="D56" i="75"/>
  <c r="K54" i="75"/>
  <c r="J54" i="75"/>
  <c r="I54" i="75"/>
  <c r="H54" i="75"/>
  <c r="G54" i="75"/>
  <c r="F54" i="75"/>
  <c r="E54" i="75"/>
  <c r="D54" i="75"/>
  <c r="U52" i="75"/>
  <c r="T52" i="75"/>
  <c r="S52" i="75"/>
  <c r="R52" i="75"/>
  <c r="Q52" i="75"/>
  <c r="P52" i="75"/>
  <c r="O52" i="75"/>
  <c r="N52" i="75"/>
  <c r="M52" i="75"/>
  <c r="L52" i="75"/>
  <c r="K52" i="75"/>
  <c r="J52" i="75"/>
  <c r="I52" i="75"/>
  <c r="H52" i="75"/>
  <c r="G52" i="75"/>
  <c r="F52" i="75"/>
  <c r="E52" i="75"/>
  <c r="D52" i="75"/>
  <c r="K51" i="75"/>
  <c r="J51" i="75"/>
  <c r="I51" i="75"/>
  <c r="H51" i="75"/>
  <c r="G51" i="75"/>
  <c r="F51" i="75"/>
  <c r="E51" i="75"/>
  <c r="D51" i="75"/>
  <c r="U48" i="75"/>
  <c r="T48" i="75"/>
  <c r="S48" i="75"/>
  <c r="R48" i="75"/>
  <c r="Q48" i="75"/>
  <c r="P48" i="75"/>
  <c r="O48" i="75"/>
  <c r="N48" i="75"/>
  <c r="M48" i="75"/>
  <c r="L48" i="75"/>
  <c r="K48" i="75"/>
  <c r="J48" i="75"/>
  <c r="I48" i="75"/>
  <c r="H48" i="75"/>
  <c r="G48" i="75"/>
  <c r="F48" i="75"/>
  <c r="E48" i="75"/>
  <c r="D48" i="75"/>
  <c r="U47" i="75"/>
  <c r="T47" i="75"/>
  <c r="S47" i="75"/>
  <c r="R47" i="75"/>
  <c r="Q47" i="75"/>
  <c r="P47" i="75"/>
  <c r="O47" i="75"/>
  <c r="N47" i="75"/>
  <c r="M47" i="75"/>
  <c r="L47" i="75"/>
  <c r="K47" i="75"/>
  <c r="J47" i="75"/>
  <c r="I47" i="75"/>
  <c r="H47" i="75"/>
  <c r="G47" i="75"/>
  <c r="F47" i="75"/>
  <c r="E47" i="75"/>
  <c r="D47" i="75"/>
  <c r="U46" i="75"/>
  <c r="T46" i="75"/>
  <c r="S46" i="75"/>
  <c r="R46" i="75"/>
  <c r="Q46" i="75"/>
  <c r="P46" i="75"/>
  <c r="O46" i="75"/>
  <c r="N46" i="75"/>
  <c r="M46" i="75"/>
  <c r="L46" i="75"/>
  <c r="K46" i="75"/>
  <c r="J46" i="75"/>
  <c r="I46" i="75"/>
  <c r="H46" i="75"/>
  <c r="G46" i="75"/>
  <c r="F46" i="75"/>
  <c r="E46" i="75"/>
  <c r="D46" i="75"/>
  <c r="U41" i="75"/>
  <c r="T41" i="75"/>
  <c r="T36" i="75"/>
  <c r="U36" i="75" s="1"/>
  <c r="U38" i="75" s="1"/>
  <c r="U28" i="75"/>
  <c r="T28" i="75"/>
  <c r="S28" i="75"/>
  <c r="R28" i="75"/>
  <c r="Q28" i="75"/>
  <c r="Q23" i="75"/>
  <c r="Q25" i="75" s="1"/>
  <c r="U15" i="75"/>
  <c r="T15" i="75"/>
  <c r="S15" i="75"/>
  <c r="R15" i="75"/>
  <c r="R54" i="75" s="1"/>
  <c r="Q15" i="75"/>
  <c r="Q54" i="75" s="1"/>
  <c r="P15" i="75"/>
  <c r="P54" i="75" s="1"/>
  <c r="O15" i="75"/>
  <c r="O54" i="75" s="1"/>
  <c r="N15" i="75"/>
  <c r="N54" i="75" s="1"/>
  <c r="M15" i="75"/>
  <c r="M54" i="75" s="1"/>
  <c r="L15" i="75"/>
  <c r="L54" i="75" s="1"/>
  <c r="D10" i="75"/>
  <c r="E10" i="75" s="1"/>
  <c r="F10" i="75" s="1"/>
  <c r="G10" i="75" s="1"/>
  <c r="H10" i="75" s="1"/>
  <c r="I10" i="75" s="1"/>
  <c r="J10" i="75" s="1"/>
  <c r="K10" i="75" s="1"/>
  <c r="L10" i="75" s="1"/>
  <c r="AV20" i="12" l="1"/>
  <c r="AV21" i="12" s="1"/>
  <c r="AV174" i="12"/>
  <c r="AV96" i="12"/>
  <c r="AV97" i="12" s="1"/>
  <c r="AV66" i="12"/>
  <c r="AV67" i="12" s="1"/>
  <c r="AV51" i="12"/>
  <c r="AV52" i="12" s="1"/>
  <c r="AV36" i="12"/>
  <c r="AV37" i="12" s="1"/>
  <c r="AV77" i="13"/>
  <c r="AV67" i="13"/>
  <c r="T54" i="75"/>
  <c r="S54" i="75"/>
  <c r="D49" i="75"/>
  <c r="E49" i="75" s="1"/>
  <c r="F49" i="75" s="1"/>
  <c r="G49" i="75" s="1"/>
  <c r="H49" i="75" s="1"/>
  <c r="I49" i="75" s="1"/>
  <c r="J49" i="75" s="1"/>
  <c r="K49" i="75" s="1"/>
  <c r="L49" i="75" s="1"/>
  <c r="M49" i="75" s="1"/>
  <c r="N49" i="75" s="1"/>
  <c r="O49" i="75" s="1"/>
  <c r="P49" i="75" s="1"/>
  <c r="Q49" i="75" s="1"/>
  <c r="R49" i="75" s="1"/>
  <c r="S49" i="75" s="1"/>
  <c r="T49" i="75" s="1"/>
  <c r="U49" i="75" s="1"/>
  <c r="U54" i="75"/>
  <c r="L12" i="75"/>
  <c r="L51" i="75" s="1"/>
  <c r="M10" i="75"/>
  <c r="T38" i="75"/>
  <c r="R23" i="75"/>
  <c r="T127" i="70"/>
  <c r="T126" i="70"/>
  <c r="T122" i="70"/>
  <c r="T121" i="70"/>
  <c r="T77" i="70"/>
  <c r="T127" i="69"/>
  <c r="T126" i="69"/>
  <c r="T122" i="69"/>
  <c r="T121" i="69"/>
  <c r="T127" i="68"/>
  <c r="T126" i="68"/>
  <c r="T77" i="68"/>
  <c r="T127" i="67"/>
  <c r="T126" i="67"/>
  <c r="T77" i="67"/>
  <c r="T126" i="66"/>
  <c r="T125" i="66"/>
  <c r="T77" i="66"/>
  <c r="T67" i="66"/>
  <c r="T127" i="65"/>
  <c r="T126" i="65"/>
  <c r="T77" i="65"/>
  <c r="T67" i="65"/>
  <c r="T127" i="62"/>
  <c r="T126" i="62"/>
  <c r="T127" i="64"/>
  <c r="T126" i="64"/>
  <c r="T67" i="64"/>
  <c r="T127" i="63"/>
  <c r="T126" i="63"/>
  <c r="T77" i="63"/>
  <c r="T67" i="63"/>
  <c r="T127" i="61"/>
  <c r="T126" i="61"/>
  <c r="T77" i="61"/>
  <c r="T127" i="60"/>
  <c r="T126" i="60"/>
  <c r="T77" i="60"/>
  <c r="T127" i="59"/>
  <c r="T126" i="59"/>
  <c r="T77" i="59"/>
  <c r="T127" i="58"/>
  <c r="T126" i="58"/>
  <c r="T127" i="57"/>
  <c r="T126" i="57"/>
  <c r="T124" i="70" l="1"/>
  <c r="AV114" i="12"/>
  <c r="T124" i="69"/>
  <c r="S23" i="75"/>
  <c r="R25" i="75"/>
  <c r="M12" i="75"/>
  <c r="M51" i="75" s="1"/>
  <c r="N10" i="75"/>
  <c r="O10" i="75" l="1"/>
  <c r="N12" i="75"/>
  <c r="N51" i="75" s="1"/>
  <c r="T23" i="75"/>
  <c r="S25" i="75"/>
  <c r="R8" i="5"/>
  <c r="U23" i="75" l="1"/>
  <c r="U25" i="75" s="1"/>
  <c r="T25" i="75"/>
  <c r="O12" i="75"/>
  <c r="O51" i="75" s="1"/>
  <c r="P10" i="75"/>
  <c r="P30" i="42"/>
  <c r="P26" i="42"/>
  <c r="P21" i="42"/>
  <c r="P12" i="75" l="1"/>
  <c r="P51" i="75" s="1"/>
  <c r="Q10" i="75"/>
  <c r="T80" i="68"/>
  <c r="T79" i="68"/>
  <c r="T80" i="67"/>
  <c r="T79" i="67"/>
  <c r="T80" i="66"/>
  <c r="T79" i="66"/>
  <c r="T78" i="66" s="1"/>
  <c r="T80" i="65"/>
  <c r="T79" i="65"/>
  <c r="T80" i="62"/>
  <c r="T79" i="62"/>
  <c r="T80" i="64"/>
  <c r="T79" i="64"/>
  <c r="T80" i="63"/>
  <c r="T79" i="63"/>
  <c r="T80" i="61"/>
  <c r="T79" i="61"/>
  <c r="T80" i="60"/>
  <c r="T79" i="60"/>
  <c r="T80" i="59"/>
  <c r="T79" i="59"/>
  <c r="T78" i="59" s="1"/>
  <c r="T80" i="58"/>
  <c r="T79" i="58"/>
  <c r="T80" i="57"/>
  <c r="T79" i="57"/>
  <c r="T80" i="56"/>
  <c r="T79" i="56"/>
  <c r="T116" i="70"/>
  <c r="T115" i="70"/>
  <c r="T114" i="70"/>
  <c r="T113" i="70"/>
  <c r="T107" i="70"/>
  <c r="T106" i="70"/>
  <c r="T105" i="70"/>
  <c r="T104" i="70"/>
  <c r="T103" i="70"/>
  <c r="T102" i="70"/>
  <c r="T101" i="70"/>
  <c r="T100" i="70"/>
  <c r="T99" i="70"/>
  <c r="T97" i="70"/>
  <c r="T96" i="70"/>
  <c r="T95" i="70"/>
  <c r="T94" i="70"/>
  <c r="T93" i="70"/>
  <c r="T92" i="70"/>
  <c r="T91" i="70"/>
  <c r="T80" i="70"/>
  <c r="T79" i="70"/>
  <c r="T90" i="70"/>
  <c r="T76" i="70"/>
  <c r="T75" i="70"/>
  <c r="T74" i="70"/>
  <c r="T73" i="70"/>
  <c r="T72" i="70"/>
  <c r="T71" i="70"/>
  <c r="T70" i="70"/>
  <c r="T69" i="70"/>
  <c r="T67" i="70"/>
  <c r="T66" i="70"/>
  <c r="T65" i="70"/>
  <c r="T64" i="70"/>
  <c r="T63" i="70"/>
  <c r="T62" i="70"/>
  <c r="T55" i="70"/>
  <c r="T54" i="70"/>
  <c r="T53" i="70"/>
  <c r="T52" i="70"/>
  <c r="T51" i="70"/>
  <c r="T50" i="70"/>
  <c r="T49" i="70"/>
  <c r="T47" i="70"/>
  <c r="T46" i="70"/>
  <c r="T45" i="70"/>
  <c r="T44" i="70"/>
  <c r="T43" i="70"/>
  <c r="T37" i="70"/>
  <c r="T36" i="70"/>
  <c r="T35" i="70"/>
  <c r="T34" i="70"/>
  <c r="T33" i="70"/>
  <c r="T32" i="70"/>
  <c r="T31" i="70"/>
  <c r="T30" i="70"/>
  <c r="T29" i="70"/>
  <c r="T25" i="70"/>
  <c r="T24" i="70"/>
  <c r="T23" i="70"/>
  <c r="T22" i="70"/>
  <c r="T21" i="70"/>
  <c r="T20" i="70"/>
  <c r="T19" i="70"/>
  <c r="T18" i="70"/>
  <c r="T16" i="70"/>
  <c r="T15" i="70"/>
  <c r="T14" i="70"/>
  <c r="T13" i="70"/>
  <c r="T12" i="70"/>
  <c r="T11" i="70"/>
  <c r="T10" i="70"/>
  <c r="T9" i="70"/>
  <c r="T80" i="69"/>
  <c r="T79" i="69"/>
  <c r="T116" i="69"/>
  <c r="T115" i="69"/>
  <c r="T114" i="69"/>
  <c r="T113" i="69"/>
  <c r="T107" i="69"/>
  <c r="T106" i="69"/>
  <c r="T105" i="69"/>
  <c r="T104" i="69"/>
  <c r="T103" i="69"/>
  <c r="T102" i="69"/>
  <c r="T101" i="69"/>
  <c r="T100" i="69"/>
  <c r="T99" i="69"/>
  <c r="T97" i="69"/>
  <c r="T96" i="69"/>
  <c r="T95" i="69"/>
  <c r="T94" i="69"/>
  <c r="T93" i="69"/>
  <c r="T92" i="69"/>
  <c r="T91" i="69"/>
  <c r="T90" i="69"/>
  <c r="T77" i="69"/>
  <c r="T76" i="69"/>
  <c r="T75" i="69"/>
  <c r="T74" i="69"/>
  <c r="T73" i="69"/>
  <c r="T72" i="69"/>
  <c r="T71" i="69"/>
  <c r="T70" i="69"/>
  <c r="T69" i="69"/>
  <c r="T67" i="69"/>
  <c r="T66" i="69"/>
  <c r="T65" i="69"/>
  <c r="T64" i="69"/>
  <c r="T63" i="69"/>
  <c r="T62" i="69"/>
  <c r="T55" i="69"/>
  <c r="T54" i="69"/>
  <c r="T53" i="69"/>
  <c r="T52" i="69"/>
  <c r="T51" i="69"/>
  <c r="T50" i="69"/>
  <c r="T49" i="69"/>
  <c r="T47" i="69"/>
  <c r="T46" i="69"/>
  <c r="T45" i="69"/>
  <c r="T44" i="69"/>
  <c r="T43" i="69"/>
  <c r="T37" i="69"/>
  <c r="T36" i="69"/>
  <c r="T35" i="69"/>
  <c r="T34" i="69"/>
  <c r="T33" i="69"/>
  <c r="T32" i="69"/>
  <c r="T31" i="69"/>
  <c r="T30" i="69"/>
  <c r="T29" i="69"/>
  <c r="T25" i="69"/>
  <c r="T24" i="69"/>
  <c r="T23" i="69"/>
  <c r="T22" i="69"/>
  <c r="T21" i="69"/>
  <c r="T20" i="69"/>
  <c r="T19" i="69"/>
  <c r="T18" i="69"/>
  <c r="T16" i="69"/>
  <c r="T15" i="69"/>
  <c r="T14" i="69"/>
  <c r="T13" i="69"/>
  <c r="T12" i="69"/>
  <c r="T11" i="69"/>
  <c r="T10" i="69"/>
  <c r="T9" i="69"/>
  <c r="T122" i="68"/>
  <c r="T121" i="68"/>
  <c r="T124" i="68" s="1"/>
  <c r="T116" i="68"/>
  <c r="T115" i="68"/>
  <c r="T114" i="68"/>
  <c r="T113" i="68"/>
  <c r="T107" i="68"/>
  <c r="T106" i="68"/>
  <c r="T105" i="68"/>
  <c r="T104" i="68"/>
  <c r="T103" i="68"/>
  <c r="T102" i="68"/>
  <c r="T101" i="68"/>
  <c r="T100" i="68"/>
  <c r="T99" i="68"/>
  <c r="T97" i="68"/>
  <c r="T96" i="68"/>
  <c r="T95" i="68"/>
  <c r="T94" i="68"/>
  <c r="T93" i="68"/>
  <c r="T92" i="68"/>
  <c r="T91" i="68"/>
  <c r="T90" i="68"/>
  <c r="T76" i="68"/>
  <c r="T75" i="68"/>
  <c r="T74" i="68"/>
  <c r="T73" i="68"/>
  <c r="T72" i="68"/>
  <c r="T71" i="68"/>
  <c r="T70" i="68"/>
  <c r="T69" i="68"/>
  <c r="T67" i="68"/>
  <c r="T66" i="68"/>
  <c r="T65" i="68"/>
  <c r="T64" i="68"/>
  <c r="T63" i="68"/>
  <c r="T62" i="68"/>
  <c r="T55" i="68"/>
  <c r="T54" i="68"/>
  <c r="T53" i="68"/>
  <c r="T52" i="68"/>
  <c r="T51" i="68"/>
  <c r="T50" i="68"/>
  <c r="T49" i="68"/>
  <c r="T47" i="68"/>
  <c r="T46" i="68"/>
  <c r="T45" i="68"/>
  <c r="T44" i="68"/>
  <c r="T43" i="68"/>
  <c r="T37" i="68"/>
  <c r="T36" i="68"/>
  <c r="T35" i="68"/>
  <c r="T34" i="68"/>
  <c r="T33" i="68"/>
  <c r="T32" i="68"/>
  <c r="T31" i="68"/>
  <c r="T30" i="68"/>
  <c r="T29" i="68"/>
  <c r="T25" i="68"/>
  <c r="T24" i="68"/>
  <c r="T23" i="68"/>
  <c r="T22" i="68"/>
  <c r="T21" i="68"/>
  <c r="T20" i="68"/>
  <c r="T19" i="68"/>
  <c r="T18" i="68"/>
  <c r="T16" i="68"/>
  <c r="T15" i="68"/>
  <c r="T14" i="68"/>
  <c r="T13" i="68"/>
  <c r="T12" i="68"/>
  <c r="T11" i="68"/>
  <c r="T10" i="68"/>
  <c r="T9" i="68"/>
  <c r="T122" i="67"/>
  <c r="T121" i="67"/>
  <c r="T116" i="67"/>
  <c r="T115" i="67"/>
  <c r="T114" i="67"/>
  <c r="T113" i="67"/>
  <c r="T107" i="67"/>
  <c r="T106" i="67"/>
  <c r="T105" i="67"/>
  <c r="T104" i="67"/>
  <c r="T103" i="67"/>
  <c r="T102" i="67"/>
  <c r="T101" i="67"/>
  <c r="T100" i="67"/>
  <c r="T99" i="67"/>
  <c r="T97" i="67"/>
  <c r="T96" i="67"/>
  <c r="T95" i="67"/>
  <c r="T94" i="67"/>
  <c r="T93" i="67"/>
  <c r="T92" i="67"/>
  <c r="T91" i="67"/>
  <c r="T90" i="67"/>
  <c r="T76" i="67"/>
  <c r="T75" i="67"/>
  <c r="T74" i="67"/>
  <c r="T73" i="67"/>
  <c r="T72" i="67"/>
  <c r="T71" i="67"/>
  <c r="T70" i="67"/>
  <c r="T69" i="67"/>
  <c r="T67" i="67"/>
  <c r="T66" i="67"/>
  <c r="T65" i="67"/>
  <c r="T64" i="67"/>
  <c r="T63" i="67"/>
  <c r="T62" i="67"/>
  <c r="T55" i="67"/>
  <c r="T54" i="67"/>
  <c r="T53" i="67"/>
  <c r="T52" i="67"/>
  <c r="T51" i="67"/>
  <c r="T50" i="67"/>
  <c r="T49" i="67"/>
  <c r="T47" i="67"/>
  <c r="T46" i="67"/>
  <c r="T45" i="67"/>
  <c r="T44" i="67"/>
  <c r="T43" i="67"/>
  <c r="T37" i="67"/>
  <c r="T36" i="67"/>
  <c r="T35" i="67"/>
  <c r="T34" i="67"/>
  <c r="T33" i="67"/>
  <c r="T32" i="67"/>
  <c r="T31" i="67"/>
  <c r="T30" i="67"/>
  <c r="T29" i="67"/>
  <c r="T25" i="67"/>
  <c r="T24" i="67"/>
  <c r="T23" i="67"/>
  <c r="T22" i="67"/>
  <c r="T21" i="67"/>
  <c r="T20" i="67"/>
  <c r="T19" i="67"/>
  <c r="T18" i="67"/>
  <c r="T16" i="67"/>
  <c r="T15" i="67"/>
  <c r="T14" i="67"/>
  <c r="T13" i="67"/>
  <c r="T12" i="67"/>
  <c r="T11" i="67"/>
  <c r="T10" i="67"/>
  <c r="T9" i="67"/>
  <c r="T121" i="66"/>
  <c r="T120" i="66"/>
  <c r="T115" i="66"/>
  <c r="T114" i="66"/>
  <c r="T113" i="66"/>
  <c r="T112" i="66"/>
  <c r="T106" i="66"/>
  <c r="T105" i="66"/>
  <c r="T104" i="66"/>
  <c r="T103" i="66"/>
  <c r="T102" i="66"/>
  <c r="T101" i="66"/>
  <c r="T100" i="66"/>
  <c r="T99" i="66"/>
  <c r="T98" i="66"/>
  <c r="T96" i="66"/>
  <c r="T95" i="66"/>
  <c r="T94" i="66"/>
  <c r="T93" i="66"/>
  <c r="T92" i="66"/>
  <c r="T91" i="66"/>
  <c r="T90" i="66"/>
  <c r="T89" i="66"/>
  <c r="T76" i="66"/>
  <c r="T75" i="66"/>
  <c r="T74" i="66"/>
  <c r="T73" i="66"/>
  <c r="T72" i="66"/>
  <c r="T71" i="66"/>
  <c r="T70" i="66"/>
  <c r="T69" i="66"/>
  <c r="T66" i="66"/>
  <c r="T65" i="66"/>
  <c r="T64" i="66"/>
  <c r="T63" i="66"/>
  <c r="T62" i="66"/>
  <c r="T55" i="66"/>
  <c r="T54" i="66"/>
  <c r="T53" i="66"/>
  <c r="T52" i="66"/>
  <c r="T51" i="66"/>
  <c r="T50" i="66"/>
  <c r="T49" i="66"/>
  <c r="T47" i="66"/>
  <c r="T46" i="66"/>
  <c r="T45" i="66"/>
  <c r="T44" i="66"/>
  <c r="T43" i="66"/>
  <c r="T37" i="66"/>
  <c r="T36" i="66"/>
  <c r="T35" i="66"/>
  <c r="T34" i="66"/>
  <c r="T33" i="66"/>
  <c r="T32" i="66"/>
  <c r="T31" i="66"/>
  <c r="T30" i="66"/>
  <c r="T29" i="66"/>
  <c r="T25" i="66"/>
  <c r="T24" i="66"/>
  <c r="T23" i="66"/>
  <c r="T22" i="66"/>
  <c r="T21" i="66"/>
  <c r="T20" i="66"/>
  <c r="T19" i="66"/>
  <c r="T18" i="66"/>
  <c r="T16" i="66"/>
  <c r="T15" i="66"/>
  <c r="T14" i="66"/>
  <c r="T13" i="66"/>
  <c r="T12" i="66"/>
  <c r="T11" i="66"/>
  <c r="T10" i="66"/>
  <c r="T9" i="66"/>
  <c r="T8" i="66" s="1"/>
  <c r="T122" i="65"/>
  <c r="T121" i="65"/>
  <c r="T116" i="65"/>
  <c r="T115" i="65"/>
  <c r="T114" i="65"/>
  <c r="T113" i="65"/>
  <c r="T107" i="65"/>
  <c r="T106" i="65"/>
  <c r="T105" i="65"/>
  <c r="T104" i="65"/>
  <c r="T103" i="65"/>
  <c r="T102" i="65"/>
  <c r="T101" i="65"/>
  <c r="T100" i="65"/>
  <c r="T99" i="65"/>
  <c r="T97" i="65"/>
  <c r="T96" i="65"/>
  <c r="T95" i="65"/>
  <c r="T94" i="65"/>
  <c r="T93" i="65"/>
  <c r="T92" i="65"/>
  <c r="T91" i="65"/>
  <c r="T90" i="65"/>
  <c r="T76" i="65"/>
  <c r="T75" i="65"/>
  <c r="T74" i="65"/>
  <c r="T73" i="65"/>
  <c r="T72" i="65"/>
  <c r="T71" i="65"/>
  <c r="T70" i="65"/>
  <c r="T69" i="65"/>
  <c r="T66" i="65"/>
  <c r="T65" i="65"/>
  <c r="T64" i="65"/>
  <c r="T63" i="65"/>
  <c r="T62" i="65"/>
  <c r="T55" i="65"/>
  <c r="T54" i="65"/>
  <c r="T53" i="65"/>
  <c r="T52" i="65"/>
  <c r="T51" i="65"/>
  <c r="T50" i="65"/>
  <c r="T49" i="65"/>
  <c r="T47" i="65"/>
  <c r="T46" i="65"/>
  <c r="T45" i="65"/>
  <c r="T44" i="65"/>
  <c r="T43" i="65"/>
  <c r="T37" i="65"/>
  <c r="T36" i="65"/>
  <c r="T35" i="65"/>
  <c r="T34" i="65"/>
  <c r="T33" i="65"/>
  <c r="T32" i="65"/>
  <c r="T31" i="65"/>
  <c r="T30" i="65"/>
  <c r="T29" i="65"/>
  <c r="T25" i="65"/>
  <c r="T24" i="65"/>
  <c r="T23" i="65"/>
  <c r="T22" i="65"/>
  <c r="T21" i="65"/>
  <c r="T20" i="65"/>
  <c r="T19" i="65"/>
  <c r="T18" i="65"/>
  <c r="T16" i="65"/>
  <c r="T15" i="65"/>
  <c r="T14" i="65"/>
  <c r="T13" i="65"/>
  <c r="T12" i="65"/>
  <c r="T11" i="65"/>
  <c r="T10" i="65"/>
  <c r="T9" i="65"/>
  <c r="T122" i="62"/>
  <c r="T121" i="62"/>
  <c r="T116" i="62"/>
  <c r="T115" i="62"/>
  <c r="T114" i="62"/>
  <c r="T113" i="62"/>
  <c r="T107" i="62"/>
  <c r="T106" i="62"/>
  <c r="T105" i="62"/>
  <c r="T104" i="62"/>
  <c r="T103" i="62"/>
  <c r="T102" i="62"/>
  <c r="T101" i="62"/>
  <c r="T100" i="62"/>
  <c r="T99" i="62"/>
  <c r="T97" i="62"/>
  <c r="T96" i="62"/>
  <c r="T95" i="62"/>
  <c r="T94" i="62"/>
  <c r="T93" i="62"/>
  <c r="T92" i="62"/>
  <c r="T91" i="62"/>
  <c r="T90" i="62"/>
  <c r="T77" i="62"/>
  <c r="T76" i="62"/>
  <c r="T75" i="62"/>
  <c r="T74" i="62"/>
  <c r="T73" i="62"/>
  <c r="T72" i="62"/>
  <c r="T71" i="62"/>
  <c r="T70" i="62"/>
  <c r="T69" i="62"/>
  <c r="T67" i="62"/>
  <c r="T66" i="62"/>
  <c r="T65" i="62"/>
  <c r="T64" i="62"/>
  <c r="T63" i="62"/>
  <c r="T62" i="62"/>
  <c r="T55" i="62"/>
  <c r="T54" i="62"/>
  <c r="T53" i="62"/>
  <c r="T52" i="62"/>
  <c r="T51" i="62"/>
  <c r="T50" i="62"/>
  <c r="T49" i="62"/>
  <c r="T47" i="62"/>
  <c r="T46" i="62"/>
  <c r="T45" i="62"/>
  <c r="T44" i="62"/>
  <c r="T43" i="62"/>
  <c r="T37" i="62"/>
  <c r="T36" i="62"/>
  <c r="T35" i="62"/>
  <c r="T34" i="62"/>
  <c r="T33" i="62"/>
  <c r="T32" i="62"/>
  <c r="T31" i="62"/>
  <c r="T30" i="62"/>
  <c r="T29" i="62"/>
  <c r="T25" i="62"/>
  <c r="T24" i="62"/>
  <c r="T23" i="62"/>
  <c r="T22" i="62"/>
  <c r="T21" i="62"/>
  <c r="T20" i="62"/>
  <c r="T19" i="62"/>
  <c r="T18" i="62"/>
  <c r="T16" i="62"/>
  <c r="T15" i="62"/>
  <c r="T14" i="62"/>
  <c r="T13" i="62"/>
  <c r="T12" i="62"/>
  <c r="T11" i="62"/>
  <c r="T10" i="62"/>
  <c r="T9" i="62"/>
  <c r="T122" i="64"/>
  <c r="T121" i="64"/>
  <c r="T124" i="64" s="1"/>
  <c r="T116" i="64"/>
  <c r="T115" i="64"/>
  <c r="T114" i="64"/>
  <c r="T113" i="64"/>
  <c r="T107" i="64"/>
  <c r="T106" i="64"/>
  <c r="T105" i="64"/>
  <c r="T104" i="64"/>
  <c r="T103" i="64"/>
  <c r="T102" i="64"/>
  <c r="T101" i="64"/>
  <c r="T100" i="64"/>
  <c r="T99" i="64"/>
  <c r="T97" i="64"/>
  <c r="T96" i="64"/>
  <c r="T95" i="64"/>
  <c r="T94" i="64"/>
  <c r="T93" i="64"/>
  <c r="T92" i="64"/>
  <c r="T91" i="64"/>
  <c r="T90" i="64"/>
  <c r="T77" i="64"/>
  <c r="T76" i="64"/>
  <c r="T75" i="64"/>
  <c r="T74" i="64"/>
  <c r="T73" i="64"/>
  <c r="T72" i="64"/>
  <c r="T71" i="64"/>
  <c r="T70" i="64"/>
  <c r="T69" i="64"/>
  <c r="T66" i="64"/>
  <c r="T65" i="64"/>
  <c r="T64" i="64"/>
  <c r="T63" i="64"/>
  <c r="T62" i="64"/>
  <c r="T55" i="64"/>
  <c r="T54" i="64"/>
  <c r="T53" i="64"/>
  <c r="T52" i="64"/>
  <c r="T51" i="64"/>
  <c r="T50" i="64"/>
  <c r="T49" i="64"/>
  <c r="T47" i="64"/>
  <c r="T46" i="64"/>
  <c r="T45" i="64"/>
  <c r="T44" i="64"/>
  <c r="T43" i="64"/>
  <c r="T37" i="64"/>
  <c r="T36" i="64"/>
  <c r="T35" i="64"/>
  <c r="T34" i="64"/>
  <c r="T33" i="64"/>
  <c r="T32" i="64"/>
  <c r="T31" i="64"/>
  <c r="T30" i="64"/>
  <c r="T29" i="64"/>
  <c r="T25" i="64"/>
  <c r="T24" i="64"/>
  <c r="T23" i="64"/>
  <c r="T22" i="64"/>
  <c r="T21" i="64"/>
  <c r="T20" i="64"/>
  <c r="T19" i="64"/>
  <c r="T18" i="64"/>
  <c r="T16" i="64"/>
  <c r="T15" i="64"/>
  <c r="T14" i="64"/>
  <c r="T13" i="64"/>
  <c r="T12" i="64"/>
  <c r="T11" i="64"/>
  <c r="T10" i="64"/>
  <c r="T9" i="64"/>
  <c r="T8" i="64" s="1"/>
  <c r="T122" i="63"/>
  <c r="T121" i="63"/>
  <c r="T116" i="63"/>
  <c r="T115" i="63"/>
  <c r="T114" i="63"/>
  <c r="T113" i="63"/>
  <c r="T107" i="63"/>
  <c r="T106" i="63"/>
  <c r="T105" i="63"/>
  <c r="T104" i="63"/>
  <c r="T103" i="63"/>
  <c r="T102" i="63"/>
  <c r="T101" i="63"/>
  <c r="T100" i="63"/>
  <c r="T99" i="63"/>
  <c r="T97" i="63"/>
  <c r="T96" i="63"/>
  <c r="T95" i="63"/>
  <c r="T94" i="63"/>
  <c r="T93" i="63"/>
  <c r="T92" i="63"/>
  <c r="T91" i="63"/>
  <c r="T90" i="63"/>
  <c r="T76" i="63"/>
  <c r="T75" i="63"/>
  <c r="T74" i="63"/>
  <c r="T73" i="63"/>
  <c r="T72" i="63"/>
  <c r="T71" i="63"/>
  <c r="T70" i="63"/>
  <c r="T69" i="63"/>
  <c r="T66" i="63"/>
  <c r="T65" i="63"/>
  <c r="T64" i="63"/>
  <c r="T63" i="63"/>
  <c r="T62" i="63"/>
  <c r="T55" i="63"/>
  <c r="T54" i="63"/>
  <c r="T53" i="63"/>
  <c r="T52" i="63"/>
  <c r="T51" i="63"/>
  <c r="T50" i="63"/>
  <c r="T49" i="63"/>
  <c r="T47" i="63"/>
  <c r="T46" i="63"/>
  <c r="T45" i="63"/>
  <c r="T44" i="63"/>
  <c r="T43" i="63"/>
  <c r="T37" i="63"/>
  <c r="T36" i="63"/>
  <c r="T35" i="63"/>
  <c r="T34" i="63"/>
  <c r="T33" i="63"/>
  <c r="T32" i="63"/>
  <c r="T31" i="63"/>
  <c r="T30" i="63"/>
  <c r="T29" i="63"/>
  <c r="T25" i="63"/>
  <c r="T24" i="63"/>
  <c r="T23" i="63"/>
  <c r="T22" i="63"/>
  <c r="T21" i="63"/>
  <c r="T20" i="63"/>
  <c r="T19" i="63"/>
  <c r="T18" i="63"/>
  <c r="T16" i="63"/>
  <c r="T15" i="63"/>
  <c r="T14" i="63"/>
  <c r="T13" i="63"/>
  <c r="T12" i="63"/>
  <c r="T11" i="63"/>
  <c r="T10" i="63"/>
  <c r="T9" i="63"/>
  <c r="T122" i="61"/>
  <c r="T121" i="61"/>
  <c r="T116" i="61"/>
  <c r="T115" i="61"/>
  <c r="T114" i="61"/>
  <c r="T113" i="61"/>
  <c r="T107" i="61"/>
  <c r="T106" i="61"/>
  <c r="T105" i="61"/>
  <c r="T104" i="61"/>
  <c r="T103" i="61"/>
  <c r="T102" i="61"/>
  <c r="T101" i="61"/>
  <c r="T100" i="61"/>
  <c r="T99" i="61"/>
  <c r="T97" i="61"/>
  <c r="T96" i="61"/>
  <c r="T95" i="61"/>
  <c r="T94" i="61"/>
  <c r="T93" i="61"/>
  <c r="T92" i="61"/>
  <c r="T91" i="61"/>
  <c r="T90" i="61"/>
  <c r="T76" i="61"/>
  <c r="T75" i="61"/>
  <c r="T74" i="61"/>
  <c r="T73" i="61"/>
  <c r="T72" i="61"/>
  <c r="T71" i="61"/>
  <c r="T70" i="61"/>
  <c r="T69" i="61"/>
  <c r="T67" i="61"/>
  <c r="T66" i="61"/>
  <c r="T65" i="61"/>
  <c r="T64" i="61"/>
  <c r="T63" i="61"/>
  <c r="T62" i="61"/>
  <c r="T55" i="61"/>
  <c r="T54" i="61"/>
  <c r="T53" i="61"/>
  <c r="T52" i="61"/>
  <c r="T51" i="61"/>
  <c r="T50" i="61"/>
  <c r="T49" i="61"/>
  <c r="T47" i="61"/>
  <c r="T46" i="61"/>
  <c r="T45" i="61"/>
  <c r="T44" i="61"/>
  <c r="T43" i="61"/>
  <c r="T37" i="61"/>
  <c r="T36" i="61"/>
  <c r="T35" i="61"/>
  <c r="T34" i="61"/>
  <c r="T33" i="61"/>
  <c r="T32" i="61"/>
  <c r="T31" i="61"/>
  <c r="T30" i="61"/>
  <c r="T29" i="61"/>
  <c r="T25" i="61"/>
  <c r="T24" i="61"/>
  <c r="T23" i="61"/>
  <c r="T22" i="61"/>
  <c r="T21" i="61"/>
  <c r="T20" i="61"/>
  <c r="T19" i="61"/>
  <c r="T18" i="61"/>
  <c r="T16" i="61"/>
  <c r="T15" i="61"/>
  <c r="T14" i="61"/>
  <c r="T13" i="61"/>
  <c r="T12" i="61"/>
  <c r="T11" i="61"/>
  <c r="T10" i="61"/>
  <c r="T9" i="61"/>
  <c r="T8" i="61" s="1"/>
  <c r="T122" i="60"/>
  <c r="T121" i="60"/>
  <c r="T116" i="60"/>
  <c r="T115" i="60"/>
  <c r="T114" i="60"/>
  <c r="T113" i="60"/>
  <c r="T107" i="60"/>
  <c r="T106" i="60"/>
  <c r="T105" i="60"/>
  <c r="T104" i="60"/>
  <c r="T103" i="60"/>
  <c r="T102" i="60"/>
  <c r="T101" i="60"/>
  <c r="T100" i="60"/>
  <c r="T99" i="60"/>
  <c r="T97" i="60"/>
  <c r="T96" i="60"/>
  <c r="T95" i="60"/>
  <c r="T94" i="60"/>
  <c r="T93" i="60"/>
  <c r="T92" i="60"/>
  <c r="T91" i="60"/>
  <c r="T90" i="60"/>
  <c r="T76" i="60"/>
  <c r="T75" i="60"/>
  <c r="T74" i="60"/>
  <c r="T73" i="60"/>
  <c r="T72" i="60"/>
  <c r="T71" i="60"/>
  <c r="T70" i="60"/>
  <c r="T69" i="60"/>
  <c r="T67" i="60"/>
  <c r="T66" i="60"/>
  <c r="T65" i="60"/>
  <c r="T64" i="60"/>
  <c r="T63" i="60"/>
  <c r="T62" i="60"/>
  <c r="T55" i="60"/>
  <c r="T54" i="60"/>
  <c r="T53" i="60"/>
  <c r="T52" i="60"/>
  <c r="T51" i="60"/>
  <c r="T50" i="60"/>
  <c r="T49" i="60"/>
  <c r="T47" i="60"/>
  <c r="T46" i="60"/>
  <c r="T45" i="60"/>
  <c r="T44" i="60"/>
  <c r="T43" i="60"/>
  <c r="T37" i="60"/>
  <c r="T36" i="60"/>
  <c r="T35" i="60"/>
  <c r="T34" i="60"/>
  <c r="T33" i="60"/>
  <c r="T32" i="60"/>
  <c r="T31" i="60"/>
  <c r="T30" i="60"/>
  <c r="T29" i="60"/>
  <c r="T25" i="60"/>
  <c r="T24" i="60"/>
  <c r="T23" i="60"/>
  <c r="T22" i="60"/>
  <c r="T21" i="60"/>
  <c r="T20" i="60"/>
  <c r="T19" i="60"/>
  <c r="T18" i="60"/>
  <c r="T16" i="60"/>
  <c r="T15" i="60"/>
  <c r="T14" i="60"/>
  <c r="T13" i="60"/>
  <c r="T12" i="60"/>
  <c r="T11" i="60"/>
  <c r="T10" i="60"/>
  <c r="T9" i="60"/>
  <c r="T122" i="59"/>
  <c r="T121" i="59"/>
  <c r="T116" i="59"/>
  <c r="T115" i="59"/>
  <c r="T114" i="59"/>
  <c r="T113" i="59"/>
  <c r="T107" i="59"/>
  <c r="T106" i="59"/>
  <c r="T105" i="59"/>
  <c r="T104" i="59"/>
  <c r="T103" i="59"/>
  <c r="T102" i="59"/>
  <c r="T101" i="59"/>
  <c r="T100" i="59"/>
  <c r="T99" i="59"/>
  <c r="T97" i="59"/>
  <c r="T96" i="59"/>
  <c r="T95" i="59"/>
  <c r="T94" i="59"/>
  <c r="T93" i="59"/>
  <c r="T92" i="59"/>
  <c r="T91" i="59"/>
  <c r="T90" i="59"/>
  <c r="T76" i="59"/>
  <c r="T75" i="59"/>
  <c r="T74" i="59"/>
  <c r="T73" i="59"/>
  <c r="T72" i="59"/>
  <c r="T71" i="59"/>
  <c r="T70" i="59"/>
  <c r="T69" i="59"/>
  <c r="T67" i="59"/>
  <c r="T66" i="59"/>
  <c r="T65" i="59"/>
  <c r="T64" i="59"/>
  <c r="T63" i="59"/>
  <c r="T62" i="59"/>
  <c r="T55" i="59"/>
  <c r="T54" i="59"/>
  <c r="T53" i="59"/>
  <c r="T52" i="59"/>
  <c r="T51" i="59"/>
  <c r="T50" i="59"/>
  <c r="T49" i="59"/>
  <c r="T47" i="59"/>
  <c r="T46" i="59"/>
  <c r="T45" i="59"/>
  <c r="T44" i="59"/>
  <c r="T43" i="59"/>
  <c r="T37" i="59"/>
  <c r="T36" i="59"/>
  <c r="T35" i="59"/>
  <c r="T34" i="59"/>
  <c r="T33" i="59"/>
  <c r="T32" i="59"/>
  <c r="T31" i="59"/>
  <c r="T30" i="59"/>
  <c r="T29" i="59"/>
  <c r="T25" i="59"/>
  <c r="T24" i="59"/>
  <c r="T23" i="59"/>
  <c r="T22" i="59"/>
  <c r="T21" i="59"/>
  <c r="T20" i="59"/>
  <c r="T19" i="59"/>
  <c r="T18" i="59"/>
  <c r="T16" i="59"/>
  <c r="T15" i="59"/>
  <c r="T14" i="59"/>
  <c r="T13" i="59"/>
  <c r="T12" i="59"/>
  <c r="T11" i="59"/>
  <c r="T10" i="59"/>
  <c r="T9" i="59"/>
  <c r="T8" i="59" s="1"/>
  <c r="T122" i="58"/>
  <c r="T121" i="58"/>
  <c r="T116" i="58"/>
  <c r="T115" i="58"/>
  <c r="T114" i="58"/>
  <c r="T113" i="58"/>
  <c r="T107" i="58"/>
  <c r="T106" i="58"/>
  <c r="T105" i="58"/>
  <c r="T104" i="58"/>
  <c r="T103" i="58"/>
  <c r="T102" i="58"/>
  <c r="T101" i="58"/>
  <c r="T100" i="58"/>
  <c r="T99" i="58"/>
  <c r="T97" i="58"/>
  <c r="T96" i="58"/>
  <c r="T95" i="58"/>
  <c r="T94" i="58"/>
  <c r="T93" i="58"/>
  <c r="T92" i="58"/>
  <c r="T91" i="58"/>
  <c r="T90" i="58"/>
  <c r="T77" i="58"/>
  <c r="T76" i="58"/>
  <c r="T75" i="58"/>
  <c r="T74" i="58"/>
  <c r="T73" i="58"/>
  <c r="T72" i="58"/>
  <c r="T71" i="58"/>
  <c r="T70" i="58"/>
  <c r="T69" i="58"/>
  <c r="T67" i="58"/>
  <c r="T66" i="58"/>
  <c r="T65" i="58"/>
  <c r="T64" i="58"/>
  <c r="T63" i="58"/>
  <c r="T62" i="58"/>
  <c r="T55" i="58"/>
  <c r="T54" i="58"/>
  <c r="T53" i="58"/>
  <c r="T52" i="58"/>
  <c r="T51" i="58"/>
  <c r="T50" i="58"/>
  <c r="T49" i="58"/>
  <c r="T47" i="58"/>
  <c r="T46" i="58"/>
  <c r="T45" i="58"/>
  <c r="T44" i="58"/>
  <c r="T43" i="58"/>
  <c r="T37" i="58"/>
  <c r="T36" i="58"/>
  <c r="T35" i="58"/>
  <c r="T34" i="58"/>
  <c r="T33" i="58"/>
  <c r="T32" i="58"/>
  <c r="T31" i="58"/>
  <c r="T30" i="58"/>
  <c r="T29" i="58"/>
  <c r="T25" i="58"/>
  <c r="T24" i="58"/>
  <c r="T23" i="58"/>
  <c r="T22" i="58"/>
  <c r="T21" i="58"/>
  <c r="T20" i="58"/>
  <c r="T19" i="58"/>
  <c r="T18" i="58"/>
  <c r="T16" i="58"/>
  <c r="T15" i="58"/>
  <c r="T14" i="58"/>
  <c r="T13" i="58"/>
  <c r="T12" i="58"/>
  <c r="T11" i="58"/>
  <c r="T10" i="58"/>
  <c r="T9" i="58"/>
  <c r="T8" i="70" l="1"/>
  <c r="T8" i="68"/>
  <c r="T124" i="65"/>
  <c r="T27" i="64"/>
  <c r="T8" i="63"/>
  <c r="T48" i="58"/>
  <c r="T41" i="58" s="1"/>
  <c r="T8" i="67"/>
  <c r="T98" i="58"/>
  <c r="T68" i="59"/>
  <c r="T89" i="59"/>
  <c r="T27" i="63"/>
  <c r="T98" i="65"/>
  <c r="T68" i="68"/>
  <c r="T68" i="69"/>
  <c r="T98" i="69"/>
  <c r="T111" i="70"/>
  <c r="T8" i="65"/>
  <c r="R10" i="75"/>
  <c r="Q12" i="75"/>
  <c r="Q51" i="75" s="1"/>
  <c r="T111" i="59"/>
  <c r="T68" i="60"/>
  <c r="T124" i="63"/>
  <c r="T98" i="64"/>
  <c r="T89" i="62"/>
  <c r="T27" i="66"/>
  <c r="T17" i="70"/>
  <c r="T6" i="70" s="1"/>
  <c r="T61" i="70"/>
  <c r="T48" i="60"/>
  <c r="T41" i="60" s="1"/>
  <c r="T17" i="67"/>
  <c r="T27" i="67"/>
  <c r="T61" i="60"/>
  <c r="T59" i="60" s="1"/>
  <c r="T111" i="65"/>
  <c r="T8" i="62"/>
  <c r="T111" i="69"/>
  <c r="T8" i="60"/>
  <c r="T17" i="60"/>
  <c r="T110" i="66"/>
  <c r="T8" i="69"/>
  <c r="T17" i="69"/>
  <c r="T27" i="70"/>
  <c r="T98" i="70"/>
  <c r="T48" i="70"/>
  <c r="T41" i="70" s="1"/>
  <c r="T68" i="70"/>
  <c r="T89" i="70"/>
  <c r="T89" i="69"/>
  <c r="T61" i="69"/>
  <c r="T59" i="69" s="1"/>
  <c r="T48" i="69"/>
  <c r="T41" i="69" s="1"/>
  <c r="T27" i="69"/>
  <c r="T89" i="68"/>
  <c r="T111" i="68"/>
  <c r="T98" i="68"/>
  <c r="T48" i="68"/>
  <c r="T41" i="68" s="1"/>
  <c r="T61" i="68"/>
  <c r="T6" i="68"/>
  <c r="T27" i="68"/>
  <c r="T17" i="68"/>
  <c r="T61" i="67"/>
  <c r="T48" i="67"/>
  <c r="T41" i="67" s="1"/>
  <c r="T111" i="67"/>
  <c r="T98" i="67"/>
  <c r="T124" i="67"/>
  <c r="T68" i="67"/>
  <c r="T89" i="67"/>
  <c r="T48" i="66"/>
  <c r="T41" i="66" s="1"/>
  <c r="T123" i="66"/>
  <c r="T17" i="66"/>
  <c r="T6" i="66" s="1"/>
  <c r="T68" i="66"/>
  <c r="T88" i="66"/>
  <c r="T97" i="66"/>
  <c r="T61" i="66"/>
  <c r="T17" i="65"/>
  <c r="T27" i="65"/>
  <c r="T68" i="65"/>
  <c r="T89" i="65"/>
  <c r="T87" i="65" s="1"/>
  <c r="T61" i="65"/>
  <c r="T48" i="65"/>
  <c r="T41" i="65" s="1"/>
  <c r="T68" i="62"/>
  <c r="T111" i="62"/>
  <c r="T27" i="62"/>
  <c r="T48" i="62"/>
  <c r="T41" i="62" s="1"/>
  <c r="T98" i="62"/>
  <c r="T17" i="62"/>
  <c r="T6" i="62" s="1"/>
  <c r="T61" i="62"/>
  <c r="T124" i="62"/>
  <c r="T111" i="64"/>
  <c r="T48" i="64"/>
  <c r="T41" i="64" s="1"/>
  <c r="T17" i="64"/>
  <c r="T6" i="64" s="1"/>
  <c r="T61" i="64"/>
  <c r="T68" i="64"/>
  <c r="T89" i="64"/>
  <c r="T87" i="64" s="1"/>
  <c r="T98" i="63"/>
  <c r="T48" i="63"/>
  <c r="T41" i="63" s="1"/>
  <c r="T17" i="63"/>
  <c r="T6" i="63" s="1"/>
  <c r="T61" i="63"/>
  <c r="T68" i="63"/>
  <c r="T89" i="63"/>
  <c r="T111" i="63"/>
  <c r="T17" i="61"/>
  <c r="T6" i="61" s="1"/>
  <c r="T27" i="61"/>
  <c r="T124" i="61"/>
  <c r="T68" i="61"/>
  <c r="T89" i="61"/>
  <c r="T98" i="61"/>
  <c r="T61" i="61"/>
  <c r="T48" i="61"/>
  <c r="T41" i="61" s="1"/>
  <c r="T111" i="61"/>
  <c r="T89" i="60"/>
  <c r="T98" i="60"/>
  <c r="T111" i="60"/>
  <c r="T27" i="60"/>
  <c r="T124" i="60"/>
  <c r="T98" i="59"/>
  <c r="T61" i="59"/>
  <c r="T59" i="59" s="1"/>
  <c r="T48" i="59"/>
  <c r="T41" i="59" s="1"/>
  <c r="T17" i="59"/>
  <c r="T6" i="59" s="1"/>
  <c r="T27" i="59"/>
  <c r="T124" i="59"/>
  <c r="T61" i="58"/>
  <c r="T111" i="58"/>
  <c r="T8" i="58"/>
  <c r="T27" i="58"/>
  <c r="T17" i="58"/>
  <c r="T124" i="58"/>
  <c r="T68" i="58"/>
  <c r="T89" i="58"/>
  <c r="T87" i="58" s="1"/>
  <c r="T122" i="57"/>
  <c r="T121" i="57"/>
  <c r="T116" i="57"/>
  <c r="T115" i="57"/>
  <c r="T114" i="57"/>
  <c r="T113" i="57"/>
  <c r="T107" i="57"/>
  <c r="T106" i="57"/>
  <c r="T105" i="57"/>
  <c r="T104" i="57"/>
  <c r="T103" i="57"/>
  <c r="T102" i="57"/>
  <c r="T101" i="57"/>
  <c r="T99" i="57"/>
  <c r="T97" i="57"/>
  <c r="T96" i="57"/>
  <c r="T95" i="57"/>
  <c r="T94" i="57"/>
  <c r="T93" i="57"/>
  <c r="T92" i="57"/>
  <c r="T91" i="57"/>
  <c r="T90" i="57"/>
  <c r="T77" i="57"/>
  <c r="T76" i="57"/>
  <c r="T75" i="57"/>
  <c r="T74" i="57"/>
  <c r="T73" i="57"/>
  <c r="T72" i="57"/>
  <c r="T71" i="57"/>
  <c r="T70" i="57"/>
  <c r="T69" i="57"/>
  <c r="T67" i="57"/>
  <c r="T66" i="57"/>
  <c r="T65" i="57"/>
  <c r="T64" i="57"/>
  <c r="T63" i="57"/>
  <c r="T62" i="57"/>
  <c r="T55" i="57"/>
  <c r="T54" i="57"/>
  <c r="T53" i="57"/>
  <c r="T52" i="57"/>
  <c r="T51" i="57"/>
  <c r="T50" i="57"/>
  <c r="T49" i="57"/>
  <c r="T47" i="57"/>
  <c r="T46" i="57"/>
  <c r="T45" i="57"/>
  <c r="T44" i="57"/>
  <c r="T43" i="57"/>
  <c r="T37" i="57"/>
  <c r="T36" i="57"/>
  <c r="T35" i="57"/>
  <c r="T34" i="57"/>
  <c r="T33" i="57"/>
  <c r="T32" i="57"/>
  <c r="T31" i="57"/>
  <c r="T30" i="57"/>
  <c r="T29" i="57"/>
  <c r="T25" i="57"/>
  <c r="T24" i="57"/>
  <c r="T23" i="57"/>
  <c r="T22" i="57"/>
  <c r="T21" i="57"/>
  <c r="T20" i="57"/>
  <c r="T19" i="57"/>
  <c r="T18" i="57"/>
  <c r="T16" i="57"/>
  <c r="T15" i="57"/>
  <c r="T14" i="57"/>
  <c r="T13" i="57"/>
  <c r="T12" i="57"/>
  <c r="T11" i="57"/>
  <c r="T10" i="57"/>
  <c r="T9" i="57"/>
  <c r="T122" i="56"/>
  <c r="T121" i="56"/>
  <c r="T124" i="56" s="1"/>
  <c r="T116" i="56"/>
  <c r="T115" i="56"/>
  <c r="T114" i="56"/>
  <c r="T113" i="56"/>
  <c r="T111" i="56" s="1"/>
  <c r="T107" i="56"/>
  <c r="T106" i="56"/>
  <c r="T105" i="56"/>
  <c r="T104" i="56"/>
  <c r="T103" i="56"/>
  <c r="T102" i="56"/>
  <c r="T101" i="56"/>
  <c r="T100" i="56"/>
  <c r="T99" i="56"/>
  <c r="T97" i="56"/>
  <c r="T96" i="56"/>
  <c r="T95" i="56"/>
  <c r="T94" i="56"/>
  <c r="T93" i="56"/>
  <c r="T92" i="56"/>
  <c r="T91" i="56"/>
  <c r="T77" i="56"/>
  <c r="T76" i="56"/>
  <c r="T75" i="56"/>
  <c r="T74" i="56"/>
  <c r="T73" i="56"/>
  <c r="T72" i="56"/>
  <c r="T71" i="56"/>
  <c r="T70" i="56"/>
  <c r="T69" i="56"/>
  <c r="T67" i="56"/>
  <c r="T66" i="56"/>
  <c r="T65" i="56"/>
  <c r="T64" i="56"/>
  <c r="T63" i="56"/>
  <c r="T62" i="56"/>
  <c r="T61" i="56" s="1"/>
  <c r="T55" i="56"/>
  <c r="T54" i="56"/>
  <c r="T53" i="56"/>
  <c r="T52" i="56"/>
  <c r="T51" i="56"/>
  <c r="T50" i="56"/>
  <c r="T47" i="56"/>
  <c r="T46" i="56"/>
  <c r="T45" i="56"/>
  <c r="T44" i="56"/>
  <c r="T43" i="56"/>
  <c r="T37" i="56"/>
  <c r="T36" i="56"/>
  <c r="T35" i="56"/>
  <c r="T34" i="56"/>
  <c r="T33" i="56"/>
  <c r="T32" i="56"/>
  <c r="T31" i="56"/>
  <c r="T30" i="56"/>
  <c r="T29" i="56"/>
  <c r="T25" i="56"/>
  <c r="T24" i="56"/>
  <c r="T23" i="56"/>
  <c r="T22" i="56"/>
  <c r="T21" i="56"/>
  <c r="T20" i="56"/>
  <c r="T19" i="56"/>
  <c r="T18" i="56"/>
  <c r="T16" i="56"/>
  <c r="T15" i="56"/>
  <c r="T14" i="56"/>
  <c r="T13" i="56"/>
  <c r="T12" i="56"/>
  <c r="T11" i="56"/>
  <c r="T10" i="56"/>
  <c r="T9" i="56"/>
  <c r="T8" i="56" s="1"/>
  <c r="K124" i="70"/>
  <c r="K111" i="70"/>
  <c r="K98" i="70"/>
  <c r="K89" i="70"/>
  <c r="K68" i="70"/>
  <c r="K61" i="70"/>
  <c r="K48" i="70"/>
  <c r="K41" i="70" s="1"/>
  <c r="K27" i="70"/>
  <c r="K17" i="70"/>
  <c r="K8" i="70"/>
  <c r="K111" i="69"/>
  <c r="K98" i="69"/>
  <c r="K89" i="69"/>
  <c r="K68" i="69"/>
  <c r="K61" i="69"/>
  <c r="K48" i="69"/>
  <c r="K41" i="69" s="1"/>
  <c r="K27" i="69"/>
  <c r="K17" i="69"/>
  <c r="K8" i="69"/>
  <c r="K124" i="68"/>
  <c r="K111" i="68"/>
  <c r="K98" i="68"/>
  <c r="K89" i="68"/>
  <c r="K68" i="68"/>
  <c r="K61" i="68"/>
  <c r="K48" i="68"/>
  <c r="K41" i="68" s="1"/>
  <c r="K27" i="68"/>
  <c r="K17" i="68"/>
  <c r="K8" i="68"/>
  <c r="K124" i="67"/>
  <c r="K111" i="67"/>
  <c r="K98" i="67"/>
  <c r="K68" i="67"/>
  <c r="K61" i="67"/>
  <c r="K48" i="67"/>
  <c r="K41" i="67" s="1"/>
  <c r="K27" i="67"/>
  <c r="K17" i="67"/>
  <c r="K8" i="67"/>
  <c r="K123" i="66"/>
  <c r="K110" i="66"/>
  <c r="K97" i="66"/>
  <c r="K88" i="66"/>
  <c r="K78" i="66"/>
  <c r="K68" i="66"/>
  <c r="K61" i="66"/>
  <c r="K48" i="66"/>
  <c r="K41" i="66" s="1"/>
  <c r="K27" i="66"/>
  <c r="K17" i="66"/>
  <c r="K6" i="66" s="1"/>
  <c r="K8" i="66"/>
  <c r="K124" i="65"/>
  <c r="K111" i="65"/>
  <c r="K98" i="65"/>
  <c r="K89" i="65"/>
  <c r="K68" i="65"/>
  <c r="K61" i="65"/>
  <c r="K48" i="65"/>
  <c r="K41" i="65" s="1"/>
  <c r="K27" i="65"/>
  <c r="K17" i="65"/>
  <c r="K8" i="65"/>
  <c r="K124" i="62"/>
  <c r="K111" i="62"/>
  <c r="K98" i="62"/>
  <c r="K89" i="62"/>
  <c r="K68" i="62"/>
  <c r="K61" i="62"/>
  <c r="K48" i="62"/>
  <c r="K41" i="62" s="1"/>
  <c r="K27" i="62"/>
  <c r="K17" i="62"/>
  <c r="K8" i="62"/>
  <c r="K124" i="64"/>
  <c r="K111" i="64"/>
  <c r="K98" i="64"/>
  <c r="K89" i="64"/>
  <c r="K68" i="64"/>
  <c r="K61" i="64"/>
  <c r="K48" i="64"/>
  <c r="K41" i="64" s="1"/>
  <c r="K27" i="64"/>
  <c r="K17" i="64"/>
  <c r="K8" i="64"/>
  <c r="K6" i="64" s="1"/>
  <c r="K124" i="63"/>
  <c r="K111" i="63"/>
  <c r="K98" i="63"/>
  <c r="K89" i="63"/>
  <c r="K68" i="63"/>
  <c r="K61" i="63"/>
  <c r="K48" i="63"/>
  <c r="K41" i="63" s="1"/>
  <c r="K27" i="63"/>
  <c r="K17" i="63"/>
  <c r="K8" i="63"/>
  <c r="K124" i="61"/>
  <c r="K111" i="61"/>
  <c r="K98" i="61"/>
  <c r="K89" i="61"/>
  <c r="K68" i="61"/>
  <c r="K61" i="61"/>
  <c r="K48" i="61"/>
  <c r="K41" i="61" s="1"/>
  <c r="K27" i="61"/>
  <c r="K17" i="61"/>
  <c r="K8" i="61"/>
  <c r="K6" i="61" s="1"/>
  <c r="K124" i="60"/>
  <c r="K111" i="60"/>
  <c r="K98" i="60"/>
  <c r="K89" i="60"/>
  <c r="K87" i="60" s="1"/>
  <c r="K68" i="60"/>
  <c r="K61" i="60"/>
  <c r="K48" i="60"/>
  <c r="K41" i="60" s="1"/>
  <c r="K27" i="60"/>
  <c r="K17" i="60"/>
  <c r="K8" i="60"/>
  <c r="K124" i="59"/>
  <c r="K111" i="59"/>
  <c r="K98" i="59"/>
  <c r="K89" i="59"/>
  <c r="K87" i="59" s="1"/>
  <c r="K68" i="59"/>
  <c r="K61" i="59"/>
  <c r="K48" i="59"/>
  <c r="K41" i="59" s="1"/>
  <c r="K27" i="59"/>
  <c r="K17" i="59"/>
  <c r="K8" i="59"/>
  <c r="K6" i="59" s="1"/>
  <c r="K124" i="58"/>
  <c r="K111" i="58"/>
  <c r="K98" i="58"/>
  <c r="K89" i="58"/>
  <c r="K68" i="58"/>
  <c r="K61" i="58"/>
  <c r="K48" i="58"/>
  <c r="K41" i="58" s="1"/>
  <c r="K27" i="58"/>
  <c r="K17" i="58"/>
  <c r="K8" i="58"/>
  <c r="K61" i="57"/>
  <c r="K124" i="56"/>
  <c r="K61" i="56"/>
  <c r="T6" i="69" l="1"/>
  <c r="T39" i="69" s="1"/>
  <c r="T57" i="69" s="1"/>
  <c r="T85" i="69" s="1"/>
  <c r="T87" i="69"/>
  <c r="T59" i="68"/>
  <c r="T6" i="67"/>
  <c r="T39" i="67" s="1"/>
  <c r="T57" i="67" s="1"/>
  <c r="T6" i="65"/>
  <c r="T39" i="65" s="1"/>
  <c r="T57" i="65" s="1"/>
  <c r="T39" i="64"/>
  <c r="T39" i="63"/>
  <c r="T57" i="63" s="1"/>
  <c r="T87" i="59"/>
  <c r="T98" i="56"/>
  <c r="T68" i="56"/>
  <c r="T59" i="56"/>
  <c r="T17" i="56"/>
  <c r="T6" i="56" s="1"/>
  <c r="U6" i="56" s="1"/>
  <c r="U39" i="56" s="1"/>
  <c r="U57" i="56" s="1"/>
  <c r="U85" i="56" s="1"/>
  <c r="T27" i="56"/>
  <c r="K87" i="63"/>
  <c r="K87" i="65"/>
  <c r="T39" i="66"/>
  <c r="K87" i="70"/>
  <c r="T57" i="64"/>
  <c r="T87" i="67"/>
  <c r="R12" i="75"/>
  <c r="R51" i="75" s="1"/>
  <c r="S10" i="75"/>
  <c r="K8" i="56"/>
  <c r="K87" i="64"/>
  <c r="T89" i="57"/>
  <c r="K59" i="70"/>
  <c r="T111" i="57"/>
  <c r="T39" i="70"/>
  <c r="K8" i="57"/>
  <c r="K6" i="57" s="1"/>
  <c r="K124" i="57"/>
  <c r="T59" i="62"/>
  <c r="T59" i="65"/>
  <c r="K111" i="57"/>
  <c r="K6" i="67"/>
  <c r="K39" i="67" s="1"/>
  <c r="K57" i="67" s="1"/>
  <c r="T124" i="57"/>
  <c r="T87" i="63"/>
  <c r="T87" i="70"/>
  <c r="K59" i="64"/>
  <c r="K6" i="65"/>
  <c r="K39" i="65" s="1"/>
  <c r="K57" i="65" s="1"/>
  <c r="K59" i="69"/>
  <c r="T87" i="62"/>
  <c r="T57" i="66"/>
  <c r="T59" i="70"/>
  <c r="T6" i="60"/>
  <c r="T39" i="60" s="1"/>
  <c r="T57" i="60" s="1"/>
  <c r="T85" i="60" s="1"/>
  <c r="T83" i="60" s="1"/>
  <c r="T57" i="70"/>
  <c r="T39" i="68"/>
  <c r="T57" i="68" s="1"/>
  <c r="T87" i="68"/>
  <c r="T59" i="67"/>
  <c r="T86" i="66"/>
  <c r="T59" i="66"/>
  <c r="T39" i="62"/>
  <c r="T57" i="62" s="1"/>
  <c r="T59" i="64"/>
  <c r="T59" i="63"/>
  <c r="K59" i="63"/>
  <c r="T87" i="61"/>
  <c r="T39" i="61"/>
  <c r="T57" i="61" s="1"/>
  <c r="T59" i="61"/>
  <c r="T87" i="60"/>
  <c r="T39" i="59"/>
  <c r="T57" i="59" s="1"/>
  <c r="T85" i="59" s="1"/>
  <c r="K59" i="59"/>
  <c r="K59" i="58"/>
  <c r="T6" i="58"/>
  <c r="T39" i="58" s="1"/>
  <c r="T57" i="58" s="1"/>
  <c r="K6" i="58"/>
  <c r="K39" i="58" s="1"/>
  <c r="K57" i="58" s="1"/>
  <c r="T59" i="58"/>
  <c r="K98" i="57"/>
  <c r="T100" i="57"/>
  <c r="T98" i="57" s="1"/>
  <c r="T87" i="57" s="1"/>
  <c r="T48" i="57"/>
  <c r="T41" i="57" s="1"/>
  <c r="T17" i="57"/>
  <c r="T27" i="57"/>
  <c r="T8" i="57"/>
  <c r="T61" i="57"/>
  <c r="T68" i="57"/>
  <c r="K89" i="56"/>
  <c r="T90" i="56"/>
  <c r="T89" i="56" s="1"/>
  <c r="T87" i="56" s="1"/>
  <c r="K48" i="56"/>
  <c r="K41" i="56" s="1"/>
  <c r="T49" i="56"/>
  <c r="T48" i="56" s="1"/>
  <c r="T41" i="56" s="1"/>
  <c r="K98" i="56"/>
  <c r="K59" i="65"/>
  <c r="K6" i="70"/>
  <c r="K39" i="70" s="1"/>
  <c r="K57" i="70" s="1"/>
  <c r="K87" i="69"/>
  <c r="K6" i="69"/>
  <c r="K39" i="69" s="1"/>
  <c r="K57" i="69" s="1"/>
  <c r="K85" i="69" s="1"/>
  <c r="K87" i="68"/>
  <c r="K6" i="68"/>
  <c r="K39" i="68" s="1"/>
  <c r="K57" i="68" s="1"/>
  <c r="K59" i="68"/>
  <c r="K59" i="67"/>
  <c r="K86" i="66"/>
  <c r="K59" i="66"/>
  <c r="K39" i="66"/>
  <c r="K57" i="66" s="1"/>
  <c r="K87" i="62"/>
  <c r="K59" i="62"/>
  <c r="K6" i="62"/>
  <c r="K39" i="62" s="1"/>
  <c r="K57" i="62" s="1"/>
  <c r="K39" i="64"/>
  <c r="K57" i="64" s="1"/>
  <c r="K6" i="63"/>
  <c r="K39" i="63" s="1"/>
  <c r="K57" i="63" s="1"/>
  <c r="K87" i="61"/>
  <c r="K59" i="61"/>
  <c r="K39" i="61"/>
  <c r="K57" i="61" s="1"/>
  <c r="K59" i="60"/>
  <c r="K6" i="60"/>
  <c r="K39" i="60" s="1"/>
  <c r="K57" i="60" s="1"/>
  <c r="K39" i="59"/>
  <c r="K57" i="59" s="1"/>
  <c r="K87" i="58"/>
  <c r="K68" i="56"/>
  <c r="K59" i="56" s="1"/>
  <c r="K48" i="57"/>
  <c r="K41" i="57" s="1"/>
  <c r="K111" i="56"/>
  <c r="K17" i="57"/>
  <c r="K17" i="56"/>
  <c r="K6" i="56" s="1"/>
  <c r="K39" i="56" s="1"/>
  <c r="K27" i="57"/>
  <c r="K27" i="56"/>
  <c r="K68" i="57"/>
  <c r="K59" i="57" s="1"/>
  <c r="K89" i="57"/>
  <c r="K68" i="55"/>
  <c r="K61" i="55"/>
  <c r="K98" i="55"/>
  <c r="K48" i="55"/>
  <c r="K17" i="55"/>
  <c r="T85" i="70" l="1"/>
  <c r="T85" i="68"/>
  <c r="T83" i="68" s="1"/>
  <c r="T85" i="67"/>
  <c r="T83" i="67" s="1"/>
  <c r="T85" i="62"/>
  <c r="T85" i="64"/>
  <c r="T83" i="64" s="1"/>
  <c r="T85" i="63"/>
  <c r="T83" i="63" s="1"/>
  <c r="T85" i="58"/>
  <c r="U83" i="56"/>
  <c r="U109" i="56"/>
  <c r="U118" i="56" s="1"/>
  <c r="T39" i="56"/>
  <c r="T57" i="56" s="1"/>
  <c r="T85" i="56" s="1"/>
  <c r="K85" i="70"/>
  <c r="K83" i="70" s="1"/>
  <c r="T85" i="65"/>
  <c r="T83" i="65" s="1"/>
  <c r="T109" i="60"/>
  <c r="T118" i="60" s="1"/>
  <c r="K85" i="64"/>
  <c r="K83" i="64" s="1"/>
  <c r="K85" i="63"/>
  <c r="K83" i="63" s="1"/>
  <c r="K85" i="59"/>
  <c r="K83" i="59" s="1"/>
  <c r="K85" i="58"/>
  <c r="K83" i="58" s="1"/>
  <c r="T10" i="75"/>
  <c r="S12" i="75"/>
  <c r="S51" i="75" s="1"/>
  <c r="T6" i="57"/>
  <c r="T39" i="57" s="1"/>
  <c r="T57" i="57" s="1"/>
  <c r="K85" i="61"/>
  <c r="K109" i="61" s="1"/>
  <c r="K118" i="61" s="1"/>
  <c r="K87" i="56"/>
  <c r="K39" i="57"/>
  <c r="K57" i="57" s="1"/>
  <c r="K85" i="57" s="1"/>
  <c r="K83" i="57" s="1"/>
  <c r="K87" i="57"/>
  <c r="T84" i="66"/>
  <c r="T82" i="66" s="1"/>
  <c r="T109" i="70"/>
  <c r="T118" i="70" s="1"/>
  <c r="T83" i="70"/>
  <c r="T83" i="69"/>
  <c r="T109" i="69"/>
  <c r="T118" i="69" s="1"/>
  <c r="T83" i="62"/>
  <c r="T109" i="62"/>
  <c r="T118" i="62" s="1"/>
  <c r="T109" i="63"/>
  <c r="T118" i="63" s="1"/>
  <c r="T85" i="61"/>
  <c r="T83" i="59"/>
  <c r="T109" i="59"/>
  <c r="T118" i="59" s="1"/>
  <c r="T83" i="58"/>
  <c r="T109" i="58"/>
  <c r="T118" i="58" s="1"/>
  <c r="T59" i="57"/>
  <c r="K57" i="56"/>
  <c r="K85" i="56" s="1"/>
  <c r="K83" i="56" s="1"/>
  <c r="K85" i="65"/>
  <c r="K85" i="68"/>
  <c r="K83" i="68" s="1"/>
  <c r="K85" i="67"/>
  <c r="K83" i="67" s="1"/>
  <c r="K84" i="66"/>
  <c r="K85" i="62"/>
  <c r="K83" i="62" s="1"/>
  <c r="K85" i="60"/>
  <c r="K83" i="60" s="1"/>
  <c r="K83" i="69"/>
  <c r="K109" i="69"/>
  <c r="K118" i="69" s="1"/>
  <c r="K109" i="63" l="1"/>
  <c r="K118" i="63" s="1"/>
  <c r="K83" i="61"/>
  <c r="K109" i="70"/>
  <c r="K118" i="70" s="1"/>
  <c r="T109" i="68"/>
  <c r="T118" i="68" s="1"/>
  <c r="T109" i="67"/>
  <c r="T118" i="67" s="1"/>
  <c r="T109" i="65"/>
  <c r="T118" i="65" s="1"/>
  <c r="T109" i="64"/>
  <c r="T118" i="64" s="1"/>
  <c r="K109" i="64"/>
  <c r="K118" i="64" s="1"/>
  <c r="K109" i="58"/>
  <c r="K118" i="58" s="1"/>
  <c r="T83" i="56"/>
  <c r="T109" i="56"/>
  <c r="T118" i="56" s="1"/>
  <c r="T108" i="66"/>
  <c r="T117" i="66" s="1"/>
  <c r="K109" i="59"/>
  <c r="K118" i="59" s="1"/>
  <c r="U10" i="75"/>
  <c r="U12" i="75" s="1"/>
  <c r="U51" i="75" s="1"/>
  <c r="T12" i="75"/>
  <c r="T51" i="75" s="1"/>
  <c r="T83" i="61"/>
  <c r="T109" i="61"/>
  <c r="T118" i="61" s="1"/>
  <c r="T85" i="57"/>
  <c r="K109" i="68"/>
  <c r="K118" i="68" s="1"/>
  <c r="K109" i="65"/>
  <c r="K118" i="65" s="1"/>
  <c r="K83" i="65"/>
  <c r="K82" i="66"/>
  <c r="K108" i="66"/>
  <c r="K117" i="66" s="1"/>
  <c r="K109" i="62"/>
  <c r="K118" i="62" s="1"/>
  <c r="K109" i="60"/>
  <c r="K118" i="60" s="1"/>
  <c r="K109" i="57"/>
  <c r="K118" i="57" s="1"/>
  <c r="K109" i="56"/>
  <c r="K118" i="56" s="1"/>
  <c r="T83" i="57" l="1"/>
  <c r="T109" i="57"/>
  <c r="T118" i="57" s="1"/>
  <c r="K8" i="55" l="1"/>
  <c r="K6" i="55" s="1"/>
  <c r="K124" i="55"/>
  <c r="K111" i="55"/>
  <c r="K89" i="55"/>
  <c r="K87" i="55" s="1"/>
  <c r="K59" i="55"/>
  <c r="K41" i="55"/>
  <c r="K27" i="55"/>
  <c r="S85" i="9"/>
  <c r="Q85" i="9"/>
  <c r="O85" i="9"/>
  <c r="N85" i="9"/>
  <c r="M85" i="9"/>
  <c r="L85" i="9"/>
  <c r="K85" i="9"/>
  <c r="G85" i="9"/>
  <c r="E85" i="9"/>
  <c r="D85" i="9"/>
  <c r="S72" i="9"/>
  <c r="P72" i="9"/>
  <c r="M72" i="9"/>
  <c r="L72" i="9"/>
  <c r="K72" i="9"/>
  <c r="I72" i="9"/>
  <c r="H72" i="9"/>
  <c r="F72" i="9"/>
  <c r="R85" i="9"/>
  <c r="J85" i="9"/>
  <c r="I85" i="9"/>
  <c r="F85" i="9"/>
  <c r="R72" i="9"/>
  <c r="Q72" i="9"/>
  <c r="O72" i="9"/>
  <c r="N72" i="9"/>
  <c r="J72" i="9"/>
  <c r="G72" i="9"/>
  <c r="C85" i="9"/>
  <c r="C72" i="9"/>
  <c r="D65" i="9" l="1"/>
  <c r="P20" i="9"/>
  <c r="L65" i="9"/>
  <c r="K65" i="9"/>
  <c r="S65" i="9"/>
  <c r="L54" i="9"/>
  <c r="L64" i="9" s="1"/>
  <c r="J65" i="9"/>
  <c r="R65" i="9"/>
  <c r="D54" i="9"/>
  <c r="D64" i="9" s="1"/>
  <c r="D71" i="9" s="1"/>
  <c r="T58" i="9"/>
  <c r="H54" i="9"/>
  <c r="H64" i="9" s="1"/>
  <c r="P54" i="9"/>
  <c r="P64" i="9" s="1"/>
  <c r="T63" i="9"/>
  <c r="T73" i="9"/>
  <c r="T76" i="9"/>
  <c r="T59" i="9"/>
  <c r="C65" i="9"/>
  <c r="P9" i="9"/>
  <c r="C54" i="9"/>
  <c r="C64" i="9" s="1"/>
  <c r="K54" i="9"/>
  <c r="K64" i="9" s="1"/>
  <c r="K71" i="9" s="1"/>
  <c r="K80" i="9" s="1"/>
  <c r="K84" i="9" s="1"/>
  <c r="K88" i="9" s="1"/>
  <c r="K93" i="9" s="1"/>
  <c r="S54" i="9"/>
  <c r="S64" i="9" s="1"/>
  <c r="J54" i="9"/>
  <c r="J64" i="9" s="1"/>
  <c r="J71" i="9" s="1"/>
  <c r="J80" i="9" s="1"/>
  <c r="J84" i="9" s="1"/>
  <c r="J88" i="9" s="1"/>
  <c r="J93" i="9" s="1"/>
  <c r="R54" i="9"/>
  <c r="R64" i="9" s="1"/>
  <c r="R71" i="9" s="1"/>
  <c r="R80" i="9" s="1"/>
  <c r="R84" i="9" s="1"/>
  <c r="R88" i="9" s="1"/>
  <c r="R93" i="9" s="1"/>
  <c r="Q54" i="9"/>
  <c r="Q64" i="9" s="1"/>
  <c r="T62" i="9"/>
  <c r="G65" i="9"/>
  <c r="O65" i="9"/>
  <c r="Q65" i="9"/>
  <c r="T91" i="9"/>
  <c r="T57" i="9"/>
  <c r="H65" i="9"/>
  <c r="P65" i="9"/>
  <c r="T67" i="9"/>
  <c r="T68" i="9"/>
  <c r="N65" i="9"/>
  <c r="T69" i="9"/>
  <c r="T74" i="9"/>
  <c r="T75" i="9"/>
  <c r="T77" i="9"/>
  <c r="T78" i="9"/>
  <c r="T79" i="9"/>
  <c r="T81" i="9"/>
  <c r="T82" i="9"/>
  <c r="T83" i="9"/>
  <c r="T87" i="9"/>
  <c r="T92" i="9"/>
  <c r="T90" i="9"/>
  <c r="T55" i="9"/>
  <c r="G54" i="9"/>
  <c r="G64" i="9" s="1"/>
  <c r="O54" i="9"/>
  <c r="O64" i="9" s="1"/>
  <c r="F54" i="9"/>
  <c r="F64" i="9" s="1"/>
  <c r="N54" i="9"/>
  <c r="N64" i="9" s="1"/>
  <c r="N71" i="9" s="1"/>
  <c r="N80" i="9" s="1"/>
  <c r="N84" i="9" s="1"/>
  <c r="N88" i="9" s="1"/>
  <c r="N93" i="9" s="1"/>
  <c r="E54" i="9"/>
  <c r="E64" i="9" s="1"/>
  <c r="M54" i="9"/>
  <c r="M64" i="9" s="1"/>
  <c r="T60" i="9"/>
  <c r="T70" i="9"/>
  <c r="I54" i="9"/>
  <c r="I64" i="9" s="1"/>
  <c r="T61" i="9"/>
  <c r="H85" i="9"/>
  <c r="P85" i="9"/>
  <c r="I65" i="9"/>
  <c r="E65" i="9"/>
  <c r="M65" i="9"/>
  <c r="K39" i="55"/>
  <c r="K57" i="55" s="1"/>
  <c r="K85" i="55" s="1"/>
  <c r="K109" i="55" s="1"/>
  <c r="K118" i="55" s="1"/>
  <c r="T89" i="9"/>
  <c r="T86" i="9"/>
  <c r="D72" i="9"/>
  <c r="E72" i="9"/>
  <c r="S71" i="9"/>
  <c r="S80" i="9" s="1"/>
  <c r="S84" i="9" s="1"/>
  <c r="S88" i="9" s="1"/>
  <c r="S93" i="9" s="1"/>
  <c r="T66" i="9"/>
  <c r="F65" i="9"/>
  <c r="T56" i="9"/>
  <c r="O71" i="9" l="1"/>
  <c r="O80" i="9" s="1"/>
  <c r="O84" i="9" s="1"/>
  <c r="O88" i="9" s="1"/>
  <c r="O93" i="9" s="1"/>
  <c r="C71" i="9"/>
  <c r="C80" i="9" s="1"/>
  <c r="C84" i="9" s="1"/>
  <c r="C88" i="9" s="1"/>
  <c r="C93" i="9" s="1"/>
  <c r="G71" i="9"/>
  <c r="G80" i="9" s="1"/>
  <c r="G84" i="9" s="1"/>
  <c r="G88" i="9" s="1"/>
  <c r="G93" i="9" s="1"/>
  <c r="L71" i="9"/>
  <c r="L80" i="9" s="1"/>
  <c r="L84" i="9" s="1"/>
  <c r="L88" i="9" s="1"/>
  <c r="L93" i="9" s="1"/>
  <c r="I71" i="9"/>
  <c r="I80" i="9" s="1"/>
  <c r="I84" i="9" s="1"/>
  <c r="I88" i="9" s="1"/>
  <c r="I93" i="9" s="1"/>
  <c r="F71" i="9"/>
  <c r="F80" i="9" s="1"/>
  <c r="F84" i="9" s="1"/>
  <c r="F88" i="9" s="1"/>
  <c r="F93" i="9" s="1"/>
  <c r="H71" i="9"/>
  <c r="H80" i="9" s="1"/>
  <c r="H84" i="9" s="1"/>
  <c r="H88" i="9" s="1"/>
  <c r="H93" i="9" s="1"/>
  <c r="T54" i="9"/>
  <c r="T64" i="9" s="1"/>
  <c r="M71" i="9"/>
  <c r="M80" i="9" s="1"/>
  <c r="M84" i="9" s="1"/>
  <c r="M88" i="9" s="1"/>
  <c r="M93" i="9" s="1"/>
  <c r="E71" i="9"/>
  <c r="E80" i="9" s="1"/>
  <c r="E84" i="9" s="1"/>
  <c r="E88" i="9" s="1"/>
  <c r="E93" i="9" s="1"/>
  <c r="D80" i="9"/>
  <c r="D84" i="9" s="1"/>
  <c r="D88" i="9" s="1"/>
  <c r="D93" i="9" s="1"/>
  <c r="P71" i="9"/>
  <c r="P80" i="9" s="1"/>
  <c r="P84" i="9" s="1"/>
  <c r="P88" i="9" s="1"/>
  <c r="P93" i="9" s="1"/>
  <c r="Q71" i="9"/>
  <c r="Q80" i="9" s="1"/>
  <c r="Q84" i="9" s="1"/>
  <c r="Q88" i="9" s="1"/>
  <c r="Q93" i="9" s="1"/>
  <c r="T65" i="9"/>
  <c r="T72" i="9"/>
  <c r="T85" i="9"/>
  <c r="K83" i="55"/>
  <c r="T71" i="9" l="1"/>
  <c r="T80" i="9" s="1"/>
  <c r="T84" i="9" s="1"/>
  <c r="T88" i="9" s="1"/>
  <c r="T93" i="9" s="1"/>
  <c r="AD52" i="40" l="1"/>
  <c r="AE28" i="40"/>
  <c r="AE19" i="40"/>
  <c r="AE18" i="40" s="1"/>
  <c r="R25" i="29"/>
  <c r="Q25" i="29"/>
  <c r="P25" i="29"/>
  <c r="O25" i="29"/>
  <c r="N25" i="29"/>
  <c r="M25" i="29"/>
  <c r="L25" i="29"/>
  <c r="K25" i="29"/>
  <c r="S63" i="27"/>
  <c r="AU84" i="11" l="1"/>
  <c r="AU69" i="11"/>
  <c r="AU53" i="11"/>
  <c r="AE52" i="40"/>
  <c r="AE46" i="40"/>
  <c r="AE34" i="40"/>
  <c r="AE8" i="40"/>
  <c r="AE31" i="40" s="1"/>
  <c r="AE82" i="39"/>
  <c r="AE68" i="39"/>
  <c r="AE48" i="39"/>
  <c r="AE37" i="39"/>
  <c r="AE28" i="39"/>
  <c r="AE8" i="39"/>
  <c r="F47" i="73"/>
  <c r="F39" i="73"/>
  <c r="F30" i="73"/>
  <c r="F8" i="73"/>
  <c r="P66" i="43"/>
  <c r="P72" i="43" s="1"/>
  <c r="P50" i="43"/>
  <c r="P36" i="43"/>
  <c r="P22" i="43"/>
  <c r="P8" i="43"/>
  <c r="H45" i="46"/>
  <c r="H33" i="46"/>
  <c r="S25" i="29"/>
  <c r="M64" i="31"/>
  <c r="M46" i="31"/>
  <c r="M37" i="31"/>
  <c r="M24" i="31"/>
  <c r="M8" i="31"/>
  <c r="AA81" i="30"/>
  <c r="AA64" i="30"/>
  <c r="AA45" i="30"/>
  <c r="AA36" i="30"/>
  <c r="AA24" i="30"/>
  <c r="AA8" i="30"/>
  <c r="S81" i="29"/>
  <c r="S67" i="29"/>
  <c r="S49" i="29"/>
  <c r="S39" i="29"/>
  <c r="S8" i="29"/>
  <c r="S88" i="28"/>
  <c r="S71" i="28"/>
  <c r="S50" i="28"/>
  <c r="S42" i="28"/>
  <c r="S27" i="28"/>
  <c r="S8" i="28"/>
  <c r="S79" i="27"/>
  <c r="S45" i="27"/>
  <c r="S24" i="27"/>
  <c r="S86" i="27" l="1"/>
  <c r="AU93" i="11"/>
  <c r="AE60" i="40"/>
  <c r="AE61" i="40" s="1"/>
  <c r="AE92" i="39"/>
  <c r="AE27" i="39"/>
  <c r="AE45" i="39" s="1"/>
  <c r="F46" i="73"/>
  <c r="F53" i="73" s="1"/>
  <c r="F27" i="73"/>
  <c r="P65" i="43"/>
  <c r="P74" i="43" s="1"/>
  <c r="P33" i="43"/>
  <c r="H57" i="46"/>
  <c r="M23" i="31"/>
  <c r="M43" i="31" s="1"/>
  <c r="AA90" i="30"/>
  <c r="AA23" i="30"/>
  <c r="AA42" i="30" s="1"/>
  <c r="S89" i="29"/>
  <c r="S24" i="29"/>
  <c r="S46" i="29" s="1"/>
  <c r="S97" i="28"/>
  <c r="S26" i="28"/>
  <c r="S47" i="28" s="1"/>
  <c r="F54" i="73" l="1"/>
  <c r="AE93" i="39"/>
  <c r="P75" i="43"/>
  <c r="AA91" i="30"/>
  <c r="S90" i="29"/>
  <c r="S98" i="28"/>
  <c r="H8" i="2" l="1"/>
  <c r="H7" i="2"/>
  <c r="P137" i="2"/>
  <c r="P123" i="2" l="1"/>
  <c r="P127" i="2" l="1"/>
  <c r="P131" i="2" s="1"/>
  <c r="P141" i="2" l="1"/>
  <c r="H9" i="2" s="1"/>
  <c r="P143" i="2" l="1"/>
  <c r="AF57" i="3" l="1"/>
  <c r="AF48" i="3"/>
  <c r="W52" i="71"/>
  <c r="W51" i="71"/>
  <c r="W50" i="71"/>
  <c r="W49" i="71"/>
  <c r="S40" i="7"/>
  <c r="AT15" i="47"/>
  <c r="AS15" i="47"/>
  <c r="AR15" i="47"/>
  <c r="AQ15" i="47"/>
  <c r="AP15" i="47"/>
  <c r="AO15" i="47"/>
  <c r="AN15" i="47"/>
  <c r="AM15" i="47"/>
  <c r="AU13" i="47"/>
  <c r="P32" i="42"/>
  <c r="P22" i="42"/>
  <c r="P14" i="42"/>
  <c r="P9" i="42"/>
  <c r="P13" i="42" s="1"/>
  <c r="S9" i="38"/>
  <c r="AD15" i="36"/>
  <c r="K21" i="26"/>
  <c r="AU22" i="20"/>
  <c r="L6" i="68"/>
  <c r="L39" i="68" s="1"/>
  <c r="L57" i="68" s="1"/>
  <c r="L85" i="68" s="1"/>
  <c r="M6" i="68"/>
  <c r="N6" i="68"/>
  <c r="O6" i="68"/>
  <c r="L109" i="68" l="1"/>
  <c r="L118" i="68" s="1"/>
  <c r="L83" i="68"/>
  <c r="P29" i="42"/>
  <c r="P31" i="42" s="1"/>
  <c r="P35" i="42" s="1"/>
  <c r="P38" i="42" s="1"/>
  <c r="AU15" i="47"/>
  <c r="J28" i="45"/>
  <c r="AF18" i="3"/>
  <c r="AF75" i="3"/>
  <c r="AF24" i="3"/>
  <c r="AF63" i="3"/>
  <c r="N24" i="18"/>
  <c r="N20" i="18"/>
  <c r="N11" i="18"/>
  <c r="N7" i="18"/>
  <c r="AF69" i="3"/>
  <c r="AF42" i="3"/>
  <c r="AF36" i="3"/>
  <c r="AF30" i="3"/>
  <c r="AF12" i="3"/>
  <c r="S27" i="7"/>
  <c r="S24" i="38"/>
  <c r="S22" i="22"/>
  <c r="S20" i="7"/>
  <c r="S9" i="7"/>
  <c r="S19" i="7" s="1"/>
  <c r="S26" i="7" s="1"/>
  <c r="AU34" i="8"/>
  <c r="AU22" i="8"/>
  <c r="AU29" i="8" s="1"/>
  <c r="AU31" i="8" s="1"/>
  <c r="AU26" i="47"/>
  <c r="AU8" i="47"/>
  <c r="AU12" i="47" s="1"/>
  <c r="J16" i="45"/>
  <c r="J8" i="45"/>
  <c r="J13" i="45" s="1"/>
  <c r="J15" i="45" s="1"/>
  <c r="S14" i="38"/>
  <c r="S13" i="38"/>
  <c r="AE31" i="37"/>
  <c r="AE21" i="37"/>
  <c r="AE9" i="37"/>
  <c r="AE19" i="37" s="1"/>
  <c r="AE31" i="35"/>
  <c r="AE21" i="35"/>
  <c r="AE9" i="35"/>
  <c r="AE19" i="35" s="1"/>
  <c r="K31" i="26"/>
  <c r="K16" i="26"/>
  <c r="K9" i="26"/>
  <c r="K15" i="26" s="1"/>
  <c r="O32" i="25"/>
  <c r="O21" i="25"/>
  <c r="O16" i="25"/>
  <c r="O9" i="25"/>
  <c r="O15" i="25" s="1"/>
  <c r="M31" i="24"/>
  <c r="M21" i="24"/>
  <c r="M16" i="24"/>
  <c r="M9" i="24"/>
  <c r="M15" i="24" s="1"/>
  <c r="AA31" i="23"/>
  <c r="AA21" i="23"/>
  <c r="AA16" i="23"/>
  <c r="AA9" i="23"/>
  <c r="AA15" i="23" s="1"/>
  <c r="S32" i="22"/>
  <c r="S16" i="22"/>
  <c r="S9" i="22"/>
  <c r="S15" i="22" s="1"/>
  <c r="AU34" i="21"/>
  <c r="AU21" i="21"/>
  <c r="AU16" i="21"/>
  <c r="AU9" i="21"/>
  <c r="AU15" i="21" s="1"/>
  <c r="AU32" i="20"/>
  <c r="AU16" i="20"/>
  <c r="AU9" i="20"/>
  <c r="AU15" i="20" s="1"/>
  <c r="N15" i="18" l="1"/>
  <c r="AA20" i="23"/>
  <c r="AU22" i="47"/>
  <c r="AE28" i="37"/>
  <c r="AE30" i="37" s="1"/>
  <c r="AF78" i="3"/>
  <c r="S35" i="7"/>
  <c r="S37" i="7" s="1"/>
  <c r="S43" i="7" s="1"/>
  <c r="S48" i="7" s="1"/>
  <c r="S50" i="7" s="1"/>
  <c r="J24" i="45"/>
  <c r="J27" i="45" s="1"/>
  <c r="J31" i="45" s="1"/>
  <c r="J36" i="45" s="1"/>
  <c r="K20" i="26"/>
  <c r="K28" i="26" s="1"/>
  <c r="K30" i="26" s="1"/>
  <c r="K34" i="26" s="1"/>
  <c r="K39" i="26" s="1"/>
  <c r="N28" i="18"/>
  <c r="AU20" i="21"/>
  <c r="AA28" i="23"/>
  <c r="AA30" i="23" s="1"/>
  <c r="AA34" i="23" s="1"/>
  <c r="AA39" i="23" s="1"/>
  <c r="AE34" i="37"/>
  <c r="AE39" i="37" s="1"/>
  <c r="AU37" i="8"/>
  <c r="AU42" i="8" s="1"/>
  <c r="AU25" i="47"/>
  <c r="AU29" i="47" s="1"/>
  <c r="AU34" i="47" s="1"/>
  <c r="S21" i="38"/>
  <c r="S23" i="38" s="1"/>
  <c r="S27" i="38" s="1"/>
  <c r="S31" i="38" s="1"/>
  <c r="AE28" i="35"/>
  <c r="AE30" i="35" s="1"/>
  <c r="AE34" i="35" s="1"/>
  <c r="AE38" i="35" s="1"/>
  <c r="O29" i="25"/>
  <c r="O31" i="25" s="1"/>
  <c r="O35" i="25" s="1"/>
  <c r="O40" i="25" s="1"/>
  <c r="O20" i="25"/>
  <c r="M20" i="24"/>
  <c r="M28" i="24" s="1"/>
  <c r="M30" i="24" s="1"/>
  <c r="M34" i="24" s="1"/>
  <c r="M39" i="24" s="1"/>
  <c r="S21" i="22"/>
  <c r="S29" i="22" s="1"/>
  <c r="S31" i="22" s="1"/>
  <c r="S35" i="22" s="1"/>
  <c r="S40" i="22" s="1"/>
  <c r="AU31" i="21"/>
  <c r="AU33" i="21" s="1"/>
  <c r="AU37" i="21" s="1"/>
  <c r="AU42" i="21" s="1"/>
  <c r="AU29" i="20"/>
  <c r="AU31" i="20" s="1"/>
  <c r="AU35" i="20" s="1"/>
  <c r="AU40" i="20" s="1"/>
  <c r="AU21" i="20"/>
  <c r="AU12" i="14" l="1"/>
  <c r="AU18" i="14" s="1"/>
  <c r="AU24" i="14" s="1"/>
  <c r="AU30" i="14" s="1"/>
  <c r="AU36" i="14" s="1"/>
  <c r="AU42" i="14" s="1"/>
  <c r="AU70" i="13"/>
  <c r="AU61" i="13"/>
  <c r="AU50" i="13"/>
  <c r="AU40" i="13"/>
  <c r="AU30" i="13"/>
  <c r="AU20" i="13"/>
  <c r="AU16" i="13"/>
  <c r="AU27" i="13" s="1"/>
  <c r="AU37" i="13" s="1"/>
  <c r="AU47" i="13" s="1"/>
  <c r="AU57" i="13" s="1"/>
  <c r="AU9" i="13"/>
  <c r="AU156" i="12"/>
  <c r="AU132" i="12"/>
  <c r="AU124" i="12"/>
  <c r="AU116" i="12"/>
  <c r="AU93" i="12"/>
  <c r="AU74" i="12"/>
  <c r="AU59" i="12"/>
  <c r="AU33" i="12"/>
  <c r="AU13" i="12"/>
  <c r="AU17" i="12" l="1"/>
  <c r="AU104" i="12"/>
  <c r="AU20" i="12"/>
  <c r="AU21" i="12" s="1"/>
  <c r="AU48" i="12"/>
  <c r="AU172" i="12"/>
  <c r="AU78" i="12"/>
  <c r="AU81" i="12" s="1"/>
  <c r="AU82" i="12" s="1"/>
  <c r="AU164" i="12"/>
  <c r="AU44" i="12"/>
  <c r="AU29" i="12"/>
  <c r="AU36" i="12" s="1"/>
  <c r="AU37" i="12" s="1"/>
  <c r="AU140" i="12"/>
  <c r="AU108" i="12"/>
  <c r="AU111" i="12" s="1"/>
  <c r="AU112" i="12" s="1"/>
  <c r="AU81" i="13"/>
  <c r="AU67" i="13"/>
  <c r="AU77" i="13"/>
  <c r="AU148" i="12"/>
  <c r="AU174" i="12" s="1"/>
  <c r="AU89" i="12"/>
  <c r="AU96" i="12" s="1"/>
  <c r="AU97" i="12" s="1"/>
  <c r="AU63" i="12"/>
  <c r="AU66" i="12" s="1"/>
  <c r="AU67" i="12" s="1"/>
  <c r="AU51" i="12" l="1"/>
  <c r="AU52" i="12" s="1"/>
  <c r="AU114" i="12"/>
  <c r="O242" i="2"/>
  <c r="N242" i="2"/>
  <c r="M242" i="2"/>
  <c r="L242" i="2"/>
  <c r="K242" i="2"/>
  <c r="J242" i="2"/>
  <c r="I242" i="2"/>
  <c r="H242" i="2"/>
  <c r="G242" i="2"/>
  <c r="F242" i="2"/>
  <c r="E242" i="2"/>
  <c r="N240" i="2"/>
  <c r="M240" i="2"/>
  <c r="L240" i="2"/>
  <c r="K240" i="2"/>
  <c r="I240" i="2"/>
  <c r="H240" i="2"/>
  <c r="G240" i="2"/>
  <c r="F240" i="2"/>
  <c r="E237" i="2"/>
  <c r="O236" i="2"/>
  <c r="J236" i="2"/>
  <c r="E236" i="2"/>
  <c r="O226" i="2"/>
  <c r="N226" i="2"/>
  <c r="M226" i="2"/>
  <c r="L226" i="2"/>
  <c r="K226" i="2"/>
  <c r="J226" i="2"/>
  <c r="I226" i="2"/>
  <c r="I230" i="2" s="1"/>
  <c r="H226" i="2"/>
  <c r="H230" i="2" s="1"/>
  <c r="G226" i="2"/>
  <c r="F226" i="2"/>
  <c r="E226" i="2"/>
  <c r="O222" i="2"/>
  <c r="N222" i="2"/>
  <c r="M222" i="2"/>
  <c r="L222" i="2"/>
  <c r="K222" i="2"/>
  <c r="J222" i="2"/>
  <c r="I222" i="2"/>
  <c r="H222" i="2"/>
  <c r="G222" i="2"/>
  <c r="F222" i="2"/>
  <c r="E222" i="2"/>
  <c r="J216" i="2"/>
  <c r="K216" i="2" s="1"/>
  <c r="L216" i="2" s="1"/>
  <c r="M216" i="2" s="1"/>
  <c r="N216" i="2" s="1"/>
  <c r="O216" i="2" s="1"/>
  <c r="P216" i="2" s="1"/>
  <c r="H216" i="2"/>
  <c r="G216" i="2" s="1"/>
  <c r="F216" i="2" s="1"/>
  <c r="E216" i="2" s="1"/>
  <c r="O209" i="2"/>
  <c r="N209" i="2"/>
  <c r="M209" i="2"/>
  <c r="L209" i="2"/>
  <c r="K209" i="2"/>
  <c r="J209" i="2"/>
  <c r="I209" i="2"/>
  <c r="H209" i="2"/>
  <c r="G209" i="2"/>
  <c r="F209" i="2"/>
  <c r="E209" i="2"/>
  <c r="O207" i="2"/>
  <c r="N207" i="2"/>
  <c r="J9" i="2" s="1"/>
  <c r="M207" i="2"/>
  <c r="L207" i="2"/>
  <c r="K207" i="2"/>
  <c r="J207" i="2"/>
  <c r="H207" i="2"/>
  <c r="G207" i="2"/>
  <c r="F207" i="2"/>
  <c r="E207" i="2"/>
  <c r="I203" i="2"/>
  <c r="O193" i="2"/>
  <c r="N193" i="2"/>
  <c r="M193" i="2"/>
  <c r="L193" i="2"/>
  <c r="K193" i="2"/>
  <c r="J193" i="2"/>
  <c r="I193" i="2"/>
  <c r="H193" i="2"/>
  <c r="G193" i="2"/>
  <c r="F193" i="2"/>
  <c r="F197" i="2" s="1"/>
  <c r="E193" i="2"/>
  <c r="O189" i="2"/>
  <c r="N189" i="2"/>
  <c r="M189" i="2"/>
  <c r="L189" i="2"/>
  <c r="K189" i="2"/>
  <c r="J189" i="2"/>
  <c r="I189" i="2"/>
  <c r="H189" i="2"/>
  <c r="G189" i="2"/>
  <c r="F189" i="2"/>
  <c r="E189" i="2"/>
  <c r="J183" i="2"/>
  <c r="K183" i="2" s="1"/>
  <c r="L183" i="2" s="1"/>
  <c r="M183" i="2" s="1"/>
  <c r="N183" i="2" s="1"/>
  <c r="O183" i="2" s="1"/>
  <c r="P183" i="2" s="1"/>
  <c r="H183" i="2"/>
  <c r="G183" i="2" s="1"/>
  <c r="F183" i="2" s="1"/>
  <c r="E183" i="2" s="1"/>
  <c r="O176" i="2"/>
  <c r="N176" i="2"/>
  <c r="M176" i="2"/>
  <c r="L176" i="2"/>
  <c r="K176" i="2"/>
  <c r="J176" i="2"/>
  <c r="I176" i="2"/>
  <c r="H176" i="2"/>
  <c r="G176" i="2"/>
  <c r="F176" i="2"/>
  <c r="E176" i="2"/>
  <c r="O174" i="2"/>
  <c r="N174" i="2"/>
  <c r="I9" i="2" s="1"/>
  <c r="L174" i="2"/>
  <c r="K174" i="2"/>
  <c r="J174" i="2"/>
  <c r="I174" i="2"/>
  <c r="G174" i="2"/>
  <c r="F174" i="2"/>
  <c r="E174" i="2"/>
  <c r="H171" i="2"/>
  <c r="O160" i="2"/>
  <c r="N160" i="2"/>
  <c r="M160" i="2"/>
  <c r="L160" i="2"/>
  <c r="K160" i="2"/>
  <c r="K164" i="2" s="1"/>
  <c r="K165" i="2" s="1"/>
  <c r="J160" i="2"/>
  <c r="I160" i="2"/>
  <c r="H160" i="2"/>
  <c r="G160" i="2"/>
  <c r="F160" i="2"/>
  <c r="E160" i="2"/>
  <c r="O156" i="2"/>
  <c r="N156" i="2"/>
  <c r="M156" i="2"/>
  <c r="L156" i="2"/>
  <c r="K156" i="2"/>
  <c r="J156" i="2"/>
  <c r="I156" i="2"/>
  <c r="H156" i="2"/>
  <c r="G156" i="2"/>
  <c r="F156" i="2"/>
  <c r="E156" i="2"/>
  <c r="J150" i="2"/>
  <c r="K150" i="2" s="1"/>
  <c r="L150" i="2" s="1"/>
  <c r="M150" i="2" s="1"/>
  <c r="N150" i="2" s="1"/>
  <c r="O150" i="2" s="1"/>
  <c r="P150" i="2" s="1"/>
  <c r="H150" i="2"/>
  <c r="G150" i="2" s="1"/>
  <c r="F150" i="2" s="1"/>
  <c r="E150" i="2" s="1"/>
  <c r="O143" i="2"/>
  <c r="N143" i="2"/>
  <c r="M143" i="2"/>
  <c r="L143" i="2"/>
  <c r="K143" i="2"/>
  <c r="J143" i="2"/>
  <c r="I143" i="2"/>
  <c r="H143" i="2"/>
  <c r="G143" i="2"/>
  <c r="F143" i="2"/>
  <c r="E143" i="2"/>
  <c r="O141" i="2"/>
  <c r="N141" i="2"/>
  <c r="M141" i="2"/>
  <c r="K141" i="2"/>
  <c r="J141" i="2"/>
  <c r="I141" i="2"/>
  <c r="H141" i="2"/>
  <c r="G141" i="2"/>
  <c r="F141" i="2"/>
  <c r="E138" i="2"/>
  <c r="L137" i="2"/>
  <c r="L139" i="2" s="1"/>
  <c r="L141" i="2" s="1"/>
  <c r="E137" i="2"/>
  <c r="E139" i="2" s="1"/>
  <c r="E141" i="2" s="1"/>
  <c r="O127" i="2"/>
  <c r="N127" i="2"/>
  <c r="M127" i="2"/>
  <c r="L127" i="2"/>
  <c r="K127" i="2"/>
  <c r="J127" i="2"/>
  <c r="I127" i="2"/>
  <c r="H127" i="2"/>
  <c r="G127" i="2"/>
  <c r="F127" i="2"/>
  <c r="E127" i="2"/>
  <c r="O123" i="2"/>
  <c r="N123" i="2"/>
  <c r="M123" i="2"/>
  <c r="L123" i="2"/>
  <c r="K123" i="2"/>
  <c r="J123" i="2"/>
  <c r="I123" i="2"/>
  <c r="H123" i="2"/>
  <c r="G123" i="2"/>
  <c r="F123" i="2"/>
  <c r="E123" i="2"/>
  <c r="J117" i="2"/>
  <c r="K117" i="2" s="1"/>
  <c r="L117" i="2" s="1"/>
  <c r="M117" i="2" s="1"/>
  <c r="N117" i="2" s="1"/>
  <c r="O117" i="2" s="1"/>
  <c r="P117" i="2" s="1"/>
  <c r="H117" i="2"/>
  <c r="G117" i="2" s="1"/>
  <c r="F117" i="2" s="1"/>
  <c r="E117" i="2" s="1"/>
  <c r="O110" i="2"/>
  <c r="N110" i="2"/>
  <c r="M110" i="2"/>
  <c r="L110" i="2"/>
  <c r="K110" i="2"/>
  <c r="J110" i="2"/>
  <c r="I110" i="2"/>
  <c r="H110" i="2"/>
  <c r="G110" i="2"/>
  <c r="F110" i="2"/>
  <c r="E110" i="2"/>
  <c r="N108" i="2"/>
  <c r="M108" i="2"/>
  <c r="K108" i="2"/>
  <c r="J108" i="2"/>
  <c r="I108" i="2"/>
  <c r="H108" i="2"/>
  <c r="G108" i="2"/>
  <c r="F108" i="2"/>
  <c r="E105" i="2"/>
  <c r="O104" i="2"/>
  <c r="L104" i="2"/>
  <c r="L106" i="2" s="1"/>
  <c r="L108" i="2" s="1"/>
  <c r="E104" i="2"/>
  <c r="O94" i="2"/>
  <c r="N94" i="2"/>
  <c r="M94" i="2"/>
  <c r="L94" i="2"/>
  <c r="K94" i="2"/>
  <c r="J94" i="2"/>
  <c r="I94" i="2"/>
  <c r="H94" i="2"/>
  <c r="G94" i="2"/>
  <c r="F94" i="2"/>
  <c r="E94" i="2"/>
  <c r="O90" i="2"/>
  <c r="N90" i="2"/>
  <c r="M90" i="2"/>
  <c r="L90" i="2"/>
  <c r="K90" i="2"/>
  <c r="J90" i="2"/>
  <c r="I90" i="2"/>
  <c r="H90" i="2"/>
  <c r="G90" i="2"/>
  <c r="F90" i="2"/>
  <c r="E90" i="2"/>
  <c r="J84" i="2"/>
  <c r="K84" i="2" s="1"/>
  <c r="L84" i="2" s="1"/>
  <c r="M84" i="2" s="1"/>
  <c r="N84" i="2" s="1"/>
  <c r="O84" i="2" s="1"/>
  <c r="P84" i="2" s="1"/>
  <c r="H84" i="2"/>
  <c r="G84" i="2" s="1"/>
  <c r="F84" i="2" s="1"/>
  <c r="E84" i="2" s="1"/>
  <c r="M79" i="2"/>
  <c r="N79" i="2" s="1"/>
  <c r="L79" i="2"/>
  <c r="H79" i="2"/>
  <c r="H77" i="2" s="1"/>
  <c r="L78" i="2"/>
  <c r="M78" i="2" s="1"/>
  <c r="H78" i="2"/>
  <c r="I78" i="2" s="1"/>
  <c r="O77" i="2"/>
  <c r="K77" i="2"/>
  <c r="G77" i="2"/>
  <c r="F77" i="2"/>
  <c r="E77" i="2"/>
  <c r="N75" i="2"/>
  <c r="M75" i="2"/>
  <c r="L75" i="2"/>
  <c r="J75" i="2"/>
  <c r="I75" i="2"/>
  <c r="H75" i="2"/>
  <c r="F75" i="2"/>
  <c r="E75" i="2"/>
  <c r="O72" i="2"/>
  <c r="K72" i="2"/>
  <c r="G72" i="2"/>
  <c r="O71" i="2"/>
  <c r="K71" i="2"/>
  <c r="G71" i="2"/>
  <c r="O61" i="2"/>
  <c r="N61" i="2"/>
  <c r="M61" i="2"/>
  <c r="L61" i="2"/>
  <c r="K61" i="2"/>
  <c r="J61" i="2"/>
  <c r="I61" i="2"/>
  <c r="H61" i="2"/>
  <c r="G61" i="2"/>
  <c r="F61" i="2"/>
  <c r="E61" i="2"/>
  <c r="O57" i="2"/>
  <c r="N57" i="2"/>
  <c r="M57" i="2"/>
  <c r="L57" i="2"/>
  <c r="K57" i="2"/>
  <c r="J57" i="2"/>
  <c r="I57" i="2"/>
  <c r="H57" i="2"/>
  <c r="G57" i="2"/>
  <c r="F57" i="2"/>
  <c r="E57" i="2"/>
  <c r="J51" i="2"/>
  <c r="K51" i="2" s="1"/>
  <c r="L51" i="2" s="1"/>
  <c r="M51" i="2" s="1"/>
  <c r="N51" i="2" s="1"/>
  <c r="O51" i="2" s="1"/>
  <c r="P51" i="2" s="1"/>
  <c r="H51" i="2"/>
  <c r="G51" i="2" s="1"/>
  <c r="F51" i="2" s="1"/>
  <c r="E51" i="2" s="1"/>
  <c r="N46" i="2"/>
  <c r="O46" i="2" s="1"/>
  <c r="J46" i="2"/>
  <c r="K46" i="2" s="1"/>
  <c r="L46" i="2" s="1"/>
  <c r="N45" i="2"/>
  <c r="O45" i="2" s="1"/>
  <c r="J45" i="2"/>
  <c r="M44" i="2"/>
  <c r="I44" i="2"/>
  <c r="H44" i="2"/>
  <c r="G44" i="2"/>
  <c r="F44" i="2"/>
  <c r="E44" i="2"/>
  <c r="O42" i="2"/>
  <c r="N42" i="2"/>
  <c r="L42" i="2"/>
  <c r="K42" i="2"/>
  <c r="J42" i="2"/>
  <c r="H42" i="2"/>
  <c r="G42" i="2"/>
  <c r="F42" i="2"/>
  <c r="M39" i="2"/>
  <c r="I39" i="2"/>
  <c r="E39" i="2"/>
  <c r="M38" i="2"/>
  <c r="I38" i="2"/>
  <c r="E38" i="2"/>
  <c r="O28" i="2"/>
  <c r="N28" i="2"/>
  <c r="M28" i="2"/>
  <c r="L28" i="2"/>
  <c r="K28" i="2"/>
  <c r="J28" i="2"/>
  <c r="I28" i="2"/>
  <c r="H28" i="2"/>
  <c r="G28" i="2"/>
  <c r="F28" i="2"/>
  <c r="E28" i="2"/>
  <c r="O24" i="2"/>
  <c r="N24" i="2"/>
  <c r="M24" i="2"/>
  <c r="L24" i="2"/>
  <c r="K24" i="2"/>
  <c r="J24" i="2"/>
  <c r="I24" i="2"/>
  <c r="H24" i="2"/>
  <c r="G24" i="2"/>
  <c r="F24" i="2"/>
  <c r="E24" i="2"/>
  <c r="K19" i="2"/>
  <c r="L19" i="2" s="1"/>
  <c r="G19" i="2"/>
  <c r="H19" i="2" s="1"/>
  <c r="J18" i="2"/>
  <c r="K18" i="2" s="1"/>
  <c r="L18" i="2" s="1"/>
  <c r="M18" i="2" s="1"/>
  <c r="N18" i="2" s="1"/>
  <c r="O18" i="2" s="1"/>
  <c r="P18" i="2" s="1"/>
  <c r="H18" i="2"/>
  <c r="G18" i="2" s="1"/>
  <c r="F18" i="2" s="1"/>
  <c r="E18" i="2" s="1"/>
  <c r="E9" i="2"/>
  <c r="J8" i="2"/>
  <c r="I8" i="2"/>
  <c r="E8" i="2"/>
  <c r="K7" i="2"/>
  <c r="J7" i="2"/>
  <c r="I7" i="2"/>
  <c r="G7" i="2"/>
  <c r="F7" i="2"/>
  <c r="E7" i="2"/>
  <c r="J44" i="2" l="1"/>
  <c r="I79" i="2"/>
  <c r="J79" i="2" s="1"/>
  <c r="E98" i="2"/>
  <c r="E99" i="2" s="1"/>
  <c r="E106" i="2" s="1"/>
  <c r="E108" i="2" s="1"/>
  <c r="G98" i="2"/>
  <c r="I131" i="2"/>
  <c r="K32" i="2"/>
  <c r="K131" i="2"/>
  <c r="K132" i="2" s="1"/>
  <c r="E65" i="2"/>
  <c r="E131" i="2"/>
  <c r="G32" i="2"/>
  <c r="O32" i="2"/>
  <c r="M98" i="2"/>
  <c r="J197" i="2"/>
  <c r="I32" i="2"/>
  <c r="I33" i="2" s="1"/>
  <c r="I40" i="2" s="1"/>
  <c r="I42" i="2" s="1"/>
  <c r="O98" i="2"/>
  <c r="O99" i="2" s="1"/>
  <c r="O106" i="2" s="1"/>
  <c r="L65" i="2"/>
  <c r="J131" i="2"/>
  <c r="E197" i="2"/>
  <c r="M197" i="2"/>
  <c r="F32" i="2"/>
  <c r="N32" i="2"/>
  <c r="L98" i="2"/>
  <c r="M131" i="2"/>
  <c r="K230" i="2"/>
  <c r="M65" i="2"/>
  <c r="J65" i="2"/>
  <c r="K98" i="2"/>
  <c r="N197" i="2"/>
  <c r="K197" i="2"/>
  <c r="I164" i="2"/>
  <c r="H32" i="2"/>
  <c r="K45" i="2"/>
  <c r="K44" i="2" s="1"/>
  <c r="K65" i="2"/>
  <c r="K66" i="2" s="1"/>
  <c r="K73" i="2" s="1"/>
  <c r="K75" i="2" s="1"/>
  <c r="F98" i="2"/>
  <c r="N98" i="2"/>
  <c r="L131" i="2"/>
  <c r="L197" i="2"/>
  <c r="J230" i="2"/>
  <c r="J231" i="2" s="1"/>
  <c r="J238" i="2" s="1"/>
  <c r="J240" i="2" s="1"/>
  <c r="O44" i="2"/>
  <c r="H98" i="2"/>
  <c r="F131" i="2"/>
  <c r="F65" i="2"/>
  <c r="N65" i="2"/>
  <c r="I98" i="2"/>
  <c r="G131" i="2"/>
  <c r="O131" i="2"/>
  <c r="O132" i="2" s="1"/>
  <c r="E164" i="2"/>
  <c r="M164" i="2"/>
  <c r="M165" i="2" s="1"/>
  <c r="M172" i="2" s="1"/>
  <c r="M174" i="2" s="1"/>
  <c r="G197" i="2"/>
  <c r="O197" i="2"/>
  <c r="O198" i="2" s="1"/>
  <c r="E230" i="2"/>
  <c r="E231" i="2" s="1"/>
  <c r="E238" i="2" s="1"/>
  <c r="E240" i="2" s="1"/>
  <c r="M230" i="2"/>
  <c r="L32" i="2"/>
  <c r="G65" i="2"/>
  <c r="G66" i="2" s="1"/>
  <c r="G73" i="2" s="1"/>
  <c r="G75" i="2" s="1"/>
  <c r="O65" i="2"/>
  <c r="O66" i="2" s="1"/>
  <c r="O73" i="2" s="1"/>
  <c r="O75" i="2" s="1"/>
  <c r="J98" i="2"/>
  <c r="H131" i="2"/>
  <c r="F164" i="2"/>
  <c r="H197" i="2"/>
  <c r="F230" i="2"/>
  <c r="N230" i="2"/>
  <c r="J32" i="2"/>
  <c r="E32" i="2"/>
  <c r="E33" i="2" s="1"/>
  <c r="E40" i="2" s="1"/>
  <c r="E42" i="2" s="1"/>
  <c r="M32" i="2"/>
  <c r="M33" i="2" s="1"/>
  <c r="M40" i="2" s="1"/>
  <c r="M42" i="2" s="1"/>
  <c r="H65" i="2"/>
  <c r="G164" i="2"/>
  <c r="O164" i="2"/>
  <c r="O165" i="2" s="1"/>
  <c r="I197" i="2"/>
  <c r="I198" i="2" s="1"/>
  <c r="I205" i="2" s="1"/>
  <c r="I207" i="2" s="1"/>
  <c r="G230" i="2"/>
  <c r="O230" i="2"/>
  <c r="O231" i="2" s="1"/>
  <c r="O238" i="2" s="1"/>
  <c r="K8" i="2" s="1"/>
  <c r="L230" i="2"/>
  <c r="N44" i="2"/>
  <c r="I65" i="2"/>
  <c r="H164" i="2"/>
  <c r="H165" i="2" s="1"/>
  <c r="H172" i="2" s="1"/>
  <c r="H174" i="2" s="1"/>
  <c r="O108" i="2"/>
  <c r="G9" i="2" s="1"/>
  <c r="G8" i="2"/>
  <c r="I77" i="2"/>
  <c r="J78" i="2"/>
  <c r="J77" i="2" s="1"/>
  <c r="N78" i="2"/>
  <c r="N77" i="2" s="1"/>
  <c r="M77" i="2"/>
  <c r="L77" i="2"/>
  <c r="C47" i="73"/>
  <c r="D47" i="73"/>
  <c r="L45" i="2" l="1"/>
  <c r="L44" i="2" s="1"/>
  <c r="O240" i="2"/>
  <c r="K9" i="2" s="1"/>
  <c r="D39" i="73"/>
  <c r="C39" i="73"/>
  <c r="D30" i="73"/>
  <c r="C30" i="73"/>
  <c r="C29" i="73"/>
  <c r="D8" i="73"/>
  <c r="C8" i="73"/>
  <c r="E47" i="73" l="1"/>
  <c r="E39" i="73"/>
  <c r="E8" i="73"/>
  <c r="C46" i="73"/>
  <c r="C53" i="73" s="1"/>
  <c r="E30" i="73"/>
  <c r="D46" i="73"/>
  <c r="D53" i="73" s="1"/>
  <c r="C27" i="73"/>
  <c r="D27" i="73"/>
  <c r="E46" i="73" l="1"/>
  <c r="E53" i="73" s="1"/>
  <c r="E27" i="73"/>
  <c r="C54" i="73"/>
  <c r="D54" i="73"/>
  <c r="E54" i="73" l="1"/>
  <c r="I209" i="41" l="1"/>
  <c r="I212" i="41" s="1"/>
  <c r="H209" i="41"/>
  <c r="H212" i="41" s="1"/>
  <c r="G209" i="41"/>
  <c r="G212" i="41" s="1"/>
  <c r="F209" i="41"/>
  <c r="F210" i="41" s="1"/>
  <c r="E209" i="41"/>
  <c r="E210" i="41" s="1"/>
  <c r="H210" i="41" l="1"/>
  <c r="I210" i="41"/>
  <c r="G210" i="41"/>
  <c r="E212" i="41"/>
  <c r="F212" i="41"/>
  <c r="X13" i="40" l="1"/>
  <c r="X16" i="40"/>
  <c r="AS72" i="13" l="1"/>
  <c r="AR72" i="13"/>
  <c r="AQ72" i="13"/>
  <c r="AP72" i="13"/>
  <c r="AO72" i="13"/>
  <c r="AN72" i="13"/>
  <c r="AM72" i="13"/>
  <c r="AL72" i="13"/>
  <c r="AT72" i="13"/>
  <c r="AS83" i="13" l="1"/>
  <c r="AR83" i="13"/>
  <c r="AQ83" i="13"/>
  <c r="AO83" i="13"/>
  <c r="AN83" i="13"/>
  <c r="AM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AT83" i="13"/>
  <c r="AS74" i="13" l="1"/>
  <c r="AR74" i="13"/>
  <c r="AQ74" i="13"/>
  <c r="AO74" i="13"/>
  <c r="AN74" i="13"/>
  <c r="AM74" i="13"/>
  <c r="AL74" i="13"/>
  <c r="AT74" i="13"/>
  <c r="AS64" i="13"/>
  <c r="AR64" i="13"/>
  <c r="AQ64" i="13"/>
  <c r="AP64" i="13"/>
  <c r="AO64" i="13"/>
  <c r="AN64" i="13"/>
  <c r="AM64" i="13"/>
  <c r="AL64" i="13"/>
  <c r="AK64" i="13"/>
  <c r="AJ64" i="13"/>
  <c r="AI64" i="13"/>
  <c r="AT64" i="13"/>
  <c r="AS54" i="13"/>
  <c r="AR54" i="13"/>
  <c r="AQ54" i="13"/>
  <c r="AP54" i="13"/>
  <c r="AO54" i="13"/>
  <c r="AN54" i="13"/>
  <c r="AM54" i="13"/>
  <c r="AL54" i="13"/>
  <c r="AK54" i="13"/>
  <c r="AJ54" i="13"/>
  <c r="AI54" i="13"/>
  <c r="AT54" i="13"/>
  <c r="X43" i="13"/>
  <c r="W43" i="13"/>
  <c r="V43" i="13"/>
  <c r="U43" i="13"/>
  <c r="T43" i="13"/>
  <c r="S43" i="13"/>
  <c r="AS44" i="13"/>
  <c r="AR44" i="13"/>
  <c r="AQ44" i="13"/>
  <c r="AP44" i="13"/>
  <c r="AO44" i="13"/>
  <c r="AN44" i="13"/>
  <c r="AM44" i="13"/>
  <c r="AL44" i="13"/>
  <c r="AK44" i="13"/>
  <c r="AJ44" i="13"/>
  <c r="AI44" i="13"/>
  <c r="AH44" i="13"/>
  <c r="AG44" i="13"/>
  <c r="AF44" i="13"/>
  <c r="AE44" i="13"/>
  <c r="AD44" i="13"/>
  <c r="AC44" i="13"/>
  <c r="AB44" i="13"/>
  <c r="AA44" i="13"/>
  <c r="AT44" i="13"/>
  <c r="AS34" i="13"/>
  <c r="AR34" i="13"/>
  <c r="AQ34" i="13"/>
  <c r="AO34" i="13"/>
  <c r="AN34" i="13"/>
  <c r="AM34" i="13"/>
  <c r="AL34" i="13"/>
  <c r="AK34" i="13"/>
  <c r="AJ34" i="13"/>
  <c r="AI34" i="13"/>
  <c r="AH34" i="13"/>
  <c r="AG34" i="13"/>
  <c r="AF34" i="13"/>
  <c r="AE34" i="13"/>
  <c r="AD34" i="13"/>
  <c r="AC34" i="13"/>
  <c r="AB34" i="13"/>
  <c r="AA34" i="13"/>
  <c r="AT34" i="13"/>
  <c r="AS24" i="13"/>
  <c r="AR24" i="13"/>
  <c r="AQ24" i="13"/>
  <c r="AP24" i="13"/>
  <c r="AO24" i="13"/>
  <c r="AN24" i="13"/>
  <c r="AM24" i="13"/>
  <c r="AL24" i="13"/>
  <c r="AK24" i="13"/>
  <c r="AJ24" i="13"/>
  <c r="AI24" i="13"/>
  <c r="AH24" i="13"/>
  <c r="AG24" i="13"/>
  <c r="AF24" i="13"/>
  <c r="AT24" i="13"/>
  <c r="AS13" i="13"/>
  <c r="AR13" i="13"/>
  <c r="AQ13" i="13"/>
  <c r="AP13" i="13"/>
  <c r="AO13" i="13"/>
  <c r="AN13" i="13"/>
  <c r="AM13" i="13"/>
  <c r="AL13" i="13"/>
  <c r="AK13" i="13"/>
  <c r="AJ13" i="13"/>
  <c r="AI13" i="13"/>
  <c r="AH13" i="13"/>
  <c r="AG13" i="13"/>
  <c r="AF13" i="13"/>
  <c r="AE13" i="13"/>
  <c r="AD13" i="13"/>
  <c r="AC13" i="13"/>
  <c r="AB13" i="13"/>
  <c r="AA13" i="13"/>
  <c r="AT13" i="13"/>
  <c r="AP32" i="13"/>
  <c r="AP83" i="13" s="1"/>
  <c r="AT85" i="13" l="1"/>
  <c r="AP34" i="13"/>
  <c r="V52" i="71" l="1"/>
  <c r="L47" i="4" l="1"/>
  <c r="K48" i="4" l="1"/>
  <c r="F48" i="4"/>
  <c r="G48" i="4"/>
  <c r="I48" i="4"/>
  <c r="H48" i="4"/>
  <c r="J48" i="4"/>
  <c r="L48" i="4" l="1"/>
  <c r="AD8" i="40" l="1"/>
  <c r="L8" i="31"/>
  <c r="V50" i="71"/>
  <c r="O22" i="42" l="1"/>
  <c r="J8" i="67" l="1"/>
  <c r="J8" i="60"/>
  <c r="J8" i="63"/>
  <c r="J111" i="63"/>
  <c r="J111" i="62"/>
  <c r="J111" i="67"/>
  <c r="J61" i="67"/>
  <c r="J110" i="66"/>
  <c r="J61" i="61"/>
  <c r="J17" i="58"/>
  <c r="J111" i="59"/>
  <c r="J111" i="65"/>
  <c r="J111" i="70"/>
  <c r="J17" i="61"/>
  <c r="J89" i="67"/>
  <c r="J48" i="60"/>
  <c r="J41" i="60" s="1"/>
  <c r="J61" i="58"/>
  <c r="J111" i="58"/>
  <c r="J48" i="62"/>
  <c r="J41" i="62" s="1"/>
  <c r="J61" i="62"/>
  <c r="J8" i="62"/>
  <c r="J61" i="66"/>
  <c r="J98" i="59"/>
  <c r="J61" i="60"/>
  <c r="J89" i="60"/>
  <c r="J89" i="62"/>
  <c r="J27" i="63"/>
  <c r="J17" i="67"/>
  <c r="J48" i="67"/>
  <c r="J41" i="67" s="1"/>
  <c r="J17" i="68"/>
  <c r="J27" i="68"/>
  <c r="J111" i="68"/>
  <c r="J48" i="69"/>
  <c r="J41" i="69" s="1"/>
  <c r="J8" i="59"/>
  <c r="J17" i="59"/>
  <c r="J48" i="59"/>
  <c r="J41" i="59" s="1"/>
  <c r="J98" i="62"/>
  <c r="J61" i="63"/>
  <c r="J8" i="64"/>
  <c r="J17" i="64"/>
  <c r="J111" i="64"/>
  <c r="J48" i="65"/>
  <c r="J41" i="65" s="1"/>
  <c r="J17" i="66"/>
  <c r="J27" i="67"/>
  <c r="J111" i="69"/>
  <c r="J89" i="69"/>
  <c r="J98" i="69"/>
  <c r="J68" i="59"/>
  <c r="J17" i="60"/>
  <c r="J89" i="61"/>
  <c r="J27" i="62"/>
  <c r="J61" i="64"/>
  <c r="J17" i="65"/>
  <c r="J27" i="65"/>
  <c r="J68" i="68"/>
  <c r="J68" i="70"/>
  <c r="J68" i="58"/>
  <c r="J61" i="59"/>
  <c r="J27" i="60"/>
  <c r="J48" i="61"/>
  <c r="J41" i="61" s="1"/>
  <c r="J111" i="61"/>
  <c r="J61" i="70"/>
  <c r="J8" i="61"/>
  <c r="J98" i="63"/>
  <c r="J61" i="68"/>
  <c r="J89" i="68"/>
  <c r="J27" i="69"/>
  <c r="J98" i="58"/>
  <c r="J68" i="62"/>
  <c r="J48" i="63"/>
  <c r="J41" i="63" s="1"/>
  <c r="J89" i="64"/>
  <c r="J68" i="65"/>
  <c r="J8" i="66"/>
  <c r="J6" i="66" s="1"/>
  <c r="J48" i="68"/>
  <c r="J41" i="68" s="1"/>
  <c r="J98" i="68"/>
  <c r="J17" i="70"/>
  <c r="J27" i="70"/>
  <c r="J89" i="59"/>
  <c r="J68" i="61"/>
  <c r="J17" i="63"/>
  <c r="J48" i="64"/>
  <c r="J41" i="64" s="1"/>
  <c r="J98" i="64"/>
  <c r="J98" i="65"/>
  <c r="J48" i="66"/>
  <c r="J41" i="66" s="1"/>
  <c r="J98" i="67"/>
  <c r="J48" i="70"/>
  <c r="J41" i="70" s="1"/>
  <c r="J98" i="70"/>
  <c r="J89" i="70"/>
  <c r="J68" i="69"/>
  <c r="J61" i="69"/>
  <c r="J17" i="69"/>
  <c r="J8" i="69"/>
  <c r="J8" i="68"/>
  <c r="J68" i="67"/>
  <c r="J97" i="66"/>
  <c r="J88" i="66"/>
  <c r="J78" i="66"/>
  <c r="J68" i="66"/>
  <c r="J27" i="66"/>
  <c r="J89" i="65"/>
  <c r="J61" i="65"/>
  <c r="J8" i="65"/>
  <c r="J68" i="64"/>
  <c r="J27" i="64"/>
  <c r="J89" i="63"/>
  <c r="J68" i="63"/>
  <c r="J17" i="62"/>
  <c r="J98" i="61"/>
  <c r="J27" i="61"/>
  <c r="J111" i="60"/>
  <c r="J98" i="60"/>
  <c r="J68" i="60"/>
  <c r="J27" i="59"/>
  <c r="J89" i="58"/>
  <c r="J48" i="58"/>
  <c r="J41" i="58" s="1"/>
  <c r="J27" i="58"/>
  <c r="J8" i="58"/>
  <c r="J6" i="60" l="1"/>
  <c r="J39" i="60" s="1"/>
  <c r="J57" i="60" s="1"/>
  <c r="J6" i="67"/>
  <c r="J39" i="67" s="1"/>
  <c r="J57" i="67" s="1"/>
  <c r="J6" i="70"/>
  <c r="J39" i="70" s="1"/>
  <c r="J57" i="70" s="1"/>
  <c r="J87" i="58"/>
  <c r="J87" i="59"/>
  <c r="J6" i="59"/>
  <c r="J39" i="59" s="1"/>
  <c r="J57" i="59" s="1"/>
  <c r="J6" i="63"/>
  <c r="J39" i="63" s="1"/>
  <c r="J57" i="63" s="1"/>
  <c r="J87" i="64"/>
  <c r="J87" i="62"/>
  <c r="J6" i="65"/>
  <c r="J39" i="65" s="1"/>
  <c r="J57" i="65" s="1"/>
  <c r="J87" i="69"/>
  <c r="J59" i="58"/>
  <c r="J59" i="66"/>
  <c r="J59" i="65"/>
  <c r="J6" i="64"/>
  <c r="J39" i="64" s="1"/>
  <c r="J57" i="64" s="1"/>
  <c r="J87" i="67"/>
  <c r="J87" i="65"/>
  <c r="J59" i="70"/>
  <c r="J59" i="61"/>
  <c r="J87" i="60"/>
  <c r="J6" i="61"/>
  <c r="J39" i="61" s="1"/>
  <c r="J57" i="61" s="1"/>
  <c r="J59" i="62"/>
  <c r="J39" i="66"/>
  <c r="J57" i="66" s="1"/>
  <c r="J87" i="63"/>
  <c r="J87" i="68"/>
  <c r="J87" i="61"/>
  <c r="J6" i="58"/>
  <c r="J39" i="58" s="1"/>
  <c r="J57" i="58" s="1"/>
  <c r="J59" i="60"/>
  <c r="J59" i="64"/>
  <c r="J6" i="62"/>
  <c r="J39" i="62" s="1"/>
  <c r="J57" i="62" s="1"/>
  <c r="J86" i="66"/>
  <c r="J87" i="70"/>
  <c r="J59" i="68"/>
  <c r="J59" i="59"/>
  <c r="J59" i="63"/>
  <c r="J59" i="67"/>
  <c r="J59" i="69"/>
  <c r="J6" i="69"/>
  <c r="J39" i="69" s="1"/>
  <c r="J57" i="69" s="1"/>
  <c r="J85" i="65" l="1"/>
  <c r="J83" i="65" s="1"/>
  <c r="J85" i="59"/>
  <c r="J83" i="59" s="1"/>
  <c r="J85" i="60"/>
  <c r="J109" i="60" s="1"/>
  <c r="J118" i="60" s="1"/>
  <c r="J122" i="60" s="1"/>
  <c r="J85" i="62"/>
  <c r="J83" i="62" s="1"/>
  <c r="J85" i="58"/>
  <c r="J109" i="58" s="1"/>
  <c r="J118" i="58" s="1"/>
  <c r="J122" i="58" s="1"/>
  <c r="J85" i="70"/>
  <c r="J83" i="70" s="1"/>
  <c r="J85" i="67"/>
  <c r="J83" i="67" s="1"/>
  <c r="J85" i="61"/>
  <c r="J109" i="61" s="1"/>
  <c r="J118" i="61" s="1"/>
  <c r="J122" i="61" s="1"/>
  <c r="J84" i="66"/>
  <c r="J82" i="66" s="1"/>
  <c r="J85" i="63"/>
  <c r="J83" i="63" s="1"/>
  <c r="J85" i="64"/>
  <c r="J85" i="69"/>
  <c r="J109" i="69" s="1"/>
  <c r="J118" i="69" s="1"/>
  <c r="J121" i="58" l="1"/>
  <c r="J121" i="60"/>
  <c r="J121" i="61"/>
  <c r="J83" i="60"/>
  <c r="J109" i="59"/>
  <c r="J118" i="59" s="1"/>
  <c r="J122" i="59" s="1"/>
  <c r="J121" i="59" s="1"/>
  <c r="J124" i="59" s="1"/>
  <c r="J109" i="65"/>
  <c r="J118" i="65" s="1"/>
  <c r="J122" i="65" s="1"/>
  <c r="J83" i="61"/>
  <c r="J109" i="62"/>
  <c r="J118" i="62" s="1"/>
  <c r="J122" i="62" s="1"/>
  <c r="J109" i="67"/>
  <c r="J118" i="67" s="1"/>
  <c r="J122" i="67" s="1"/>
  <c r="J109" i="70"/>
  <c r="J118" i="70" s="1"/>
  <c r="J108" i="66"/>
  <c r="J117" i="66" s="1"/>
  <c r="J121" i="66" s="1"/>
  <c r="J83" i="58"/>
  <c r="J109" i="63"/>
  <c r="J118" i="63" s="1"/>
  <c r="J121" i="63" s="1"/>
  <c r="J83" i="69"/>
  <c r="J83" i="64"/>
  <c r="J109" i="64"/>
  <c r="J118" i="64" s="1"/>
  <c r="J120" i="66" l="1"/>
  <c r="J122" i="64"/>
  <c r="J121" i="67"/>
  <c r="J124" i="61"/>
  <c r="J121" i="62"/>
  <c r="J124" i="60"/>
  <c r="J124" i="63"/>
  <c r="J121" i="65"/>
  <c r="J124" i="58"/>
  <c r="J111" i="57"/>
  <c r="J98" i="57"/>
  <c r="J89" i="57"/>
  <c r="J68" i="57"/>
  <c r="J61" i="57"/>
  <c r="J48" i="57"/>
  <c r="J41" i="57" s="1"/>
  <c r="J27" i="57"/>
  <c r="J17" i="57"/>
  <c r="J8" i="57"/>
  <c r="J127" i="56"/>
  <c r="K127" i="56" s="1"/>
  <c r="J126" i="56"/>
  <c r="K126" i="56" s="1"/>
  <c r="J127" i="55"/>
  <c r="K127" i="55" s="1"/>
  <c r="T127" i="55" s="1"/>
  <c r="J126" i="55"/>
  <c r="K126" i="55" s="1"/>
  <c r="T126" i="55" s="1"/>
  <c r="U126" i="55" l="1"/>
  <c r="L126" i="55"/>
  <c r="U127" i="55"/>
  <c r="L127" i="55"/>
  <c r="T126" i="56"/>
  <c r="U126" i="56" s="1"/>
  <c r="L126" i="56"/>
  <c r="T127" i="56"/>
  <c r="U127" i="56" s="1"/>
  <c r="L127" i="56"/>
  <c r="J124" i="67"/>
  <c r="J121" i="64"/>
  <c r="J124" i="65"/>
  <c r="J124" i="62"/>
  <c r="J123" i="66"/>
  <c r="J87" i="57"/>
  <c r="J6" i="57"/>
  <c r="J39" i="57" s="1"/>
  <c r="J57" i="57" s="1"/>
  <c r="J89" i="56"/>
  <c r="J111" i="55"/>
  <c r="J27" i="55"/>
  <c r="J61" i="55"/>
  <c r="J8" i="56"/>
  <c r="J8" i="55"/>
  <c r="J17" i="55"/>
  <c r="J17" i="56"/>
  <c r="J68" i="56"/>
  <c r="J98" i="55"/>
  <c r="J98" i="56"/>
  <c r="J48" i="56"/>
  <c r="J41" i="56" s="1"/>
  <c r="J111" i="56"/>
  <c r="J27" i="56"/>
  <c r="J61" i="56"/>
  <c r="J59" i="57"/>
  <c r="J89" i="55"/>
  <c r="J68" i="55"/>
  <c r="J48" i="55"/>
  <c r="J41" i="55" s="1"/>
  <c r="J124" i="64" l="1"/>
  <c r="J85" i="57"/>
  <c r="J83" i="57" s="1"/>
  <c r="J87" i="55"/>
  <c r="J6" i="55"/>
  <c r="J39" i="55" s="1"/>
  <c r="J57" i="55" s="1"/>
  <c r="J87" i="56"/>
  <c r="M20" i="18"/>
  <c r="J59" i="56"/>
  <c r="M24" i="18"/>
  <c r="J59" i="55"/>
  <c r="M11" i="18"/>
  <c r="J6" i="56"/>
  <c r="J39" i="56" s="1"/>
  <c r="J57" i="56" s="1"/>
  <c r="M7" i="18"/>
  <c r="M28" i="18" l="1"/>
  <c r="J109" i="57"/>
  <c r="J118" i="57" s="1"/>
  <c r="J122" i="57" s="1"/>
  <c r="J85" i="55"/>
  <c r="J83" i="55" s="1"/>
  <c r="J85" i="56"/>
  <c r="J109" i="56" s="1"/>
  <c r="J118" i="56" s="1"/>
  <c r="J122" i="56" s="1"/>
  <c r="M15" i="18"/>
  <c r="J121" i="56" l="1"/>
  <c r="J121" i="57"/>
  <c r="J109" i="55"/>
  <c r="J118" i="55" s="1"/>
  <c r="J122" i="55" s="1"/>
  <c r="J83" i="56"/>
  <c r="J121" i="55" l="1"/>
  <c r="J124" i="56"/>
  <c r="J124" i="57"/>
  <c r="J124" i="55" l="1"/>
  <c r="O19" i="5"/>
  <c r="M19" i="5"/>
  <c r="L19" i="5"/>
  <c r="AT84" i="11" l="1"/>
  <c r="AT69" i="11"/>
  <c r="AT53" i="11"/>
  <c r="AT93" i="11" l="1"/>
  <c r="AD28" i="40"/>
  <c r="AT29" i="11" l="1"/>
  <c r="AT43" i="11"/>
  <c r="AT8" i="11"/>
  <c r="AD46" i="40"/>
  <c r="AD34" i="40"/>
  <c r="AD19" i="40"/>
  <c r="AD18" i="40" s="1"/>
  <c r="AT28" i="11" l="1"/>
  <c r="AT50" i="11" s="1"/>
  <c r="AT94" i="11" s="1"/>
  <c r="AD60" i="40"/>
  <c r="AD31" i="40"/>
  <c r="AD61" i="40" l="1"/>
  <c r="AT80" i="10" l="1"/>
  <c r="AT29" i="10"/>
  <c r="AT8" i="10"/>
  <c r="AT45" i="10"/>
  <c r="AT55" i="10" l="1"/>
  <c r="AT28" i="10"/>
  <c r="AT52" i="10" s="1"/>
  <c r="AT100" i="10" l="1"/>
  <c r="AT110" i="10" s="1"/>
  <c r="AT111" i="10" s="1"/>
  <c r="AE75" i="3" l="1"/>
  <c r="AE69" i="3"/>
  <c r="AE48" i="3"/>
  <c r="AE36" i="3"/>
  <c r="AE24" i="3"/>
  <c r="AE18" i="3" l="1"/>
  <c r="AE12" i="3"/>
  <c r="AE30" i="3"/>
  <c r="AE42" i="3"/>
  <c r="O66" i="43"/>
  <c r="O72" i="43" s="1"/>
  <c r="AE63" i="3"/>
  <c r="AE57" i="3"/>
  <c r="AD82" i="39"/>
  <c r="AD68" i="39"/>
  <c r="AD48" i="39"/>
  <c r="AD37" i="39"/>
  <c r="AD28" i="39"/>
  <c r="AD8" i="39"/>
  <c r="O50" i="43"/>
  <c r="O36" i="43"/>
  <c r="O8" i="43"/>
  <c r="G45" i="46"/>
  <c r="G33" i="46"/>
  <c r="L81" i="31"/>
  <c r="L64" i="31"/>
  <c r="L46" i="31"/>
  <c r="L37" i="31"/>
  <c r="L24" i="31"/>
  <c r="R48" i="29"/>
  <c r="AE78" i="3" l="1"/>
  <c r="G57" i="46"/>
  <c r="AD92" i="39"/>
  <c r="AD27" i="39"/>
  <c r="AD45" i="39" s="1"/>
  <c r="O65" i="43"/>
  <c r="O74" i="43" s="1"/>
  <c r="L89" i="31"/>
  <c r="L23" i="31"/>
  <c r="L43" i="31" s="1"/>
  <c r="Z81" i="30"/>
  <c r="Z64" i="30"/>
  <c r="Z36" i="30"/>
  <c r="Z24" i="30"/>
  <c r="Z8" i="30"/>
  <c r="R81" i="29"/>
  <c r="R67" i="29"/>
  <c r="R49" i="29"/>
  <c r="R39" i="29"/>
  <c r="R8" i="29"/>
  <c r="R88" i="28"/>
  <c r="R71" i="28"/>
  <c r="R50" i="28"/>
  <c r="R42" i="28"/>
  <c r="R27" i="28"/>
  <c r="R8" i="28"/>
  <c r="R79" i="27"/>
  <c r="AD93" i="39" l="1"/>
  <c r="L90" i="31"/>
  <c r="Z23" i="30"/>
  <c r="Z42" i="30" s="1"/>
  <c r="R89" i="29"/>
  <c r="R24" i="29"/>
  <c r="R46" i="29" s="1"/>
  <c r="R97" i="28"/>
  <c r="R26" i="28"/>
  <c r="R47" i="28" s="1"/>
  <c r="R90" i="29" l="1"/>
  <c r="R98" i="28"/>
  <c r="G37" i="33" l="1"/>
  <c r="G85" i="33" l="1"/>
  <c r="G62" i="46" l="1"/>
  <c r="G63" i="46" s="1"/>
  <c r="I65" i="32"/>
  <c r="I30" i="32" l="1"/>
  <c r="I22" i="32"/>
  <c r="G66" i="33"/>
  <c r="G46" i="33"/>
  <c r="G23" i="33"/>
  <c r="G22" i="33" s="1"/>
  <c r="G8" i="46" l="1"/>
  <c r="G30" i="46" s="1"/>
  <c r="G64" i="46" s="1"/>
  <c r="I54" i="32"/>
  <c r="I39" i="32"/>
  <c r="I21" i="32"/>
  <c r="I8" i="32"/>
  <c r="G95" i="33"/>
  <c r="G8" i="33"/>
  <c r="G43" i="33" s="1"/>
  <c r="I73" i="32" l="1"/>
  <c r="I36" i="32"/>
  <c r="G96" i="33"/>
  <c r="I74" i="32" l="1"/>
  <c r="Z45" i="30"/>
  <c r="Z90" i="30" s="1"/>
  <c r="Z91" i="30" s="1"/>
  <c r="R63" i="27" l="1"/>
  <c r="R45" i="27"/>
  <c r="R24" i="27"/>
  <c r="R8" i="27"/>
  <c r="K9" i="9"/>
  <c r="K19" i="9" s="1"/>
  <c r="L9" i="9"/>
  <c r="L19" i="9" s="1"/>
  <c r="G9" i="9"/>
  <c r="G19" i="9" s="1"/>
  <c r="K20" i="9"/>
  <c r="L20" i="9"/>
  <c r="I20" i="9"/>
  <c r="M20" i="9"/>
  <c r="E20" i="9"/>
  <c r="M9" i="9"/>
  <c r="M19" i="9" s="1"/>
  <c r="E9" i="9"/>
  <c r="E19" i="9" s="1"/>
  <c r="O40" i="9"/>
  <c r="M40" i="9"/>
  <c r="L40" i="9"/>
  <c r="K40" i="9"/>
  <c r="J40" i="9"/>
  <c r="I40" i="9"/>
  <c r="H40" i="9"/>
  <c r="G40" i="9"/>
  <c r="F40" i="9"/>
  <c r="E40" i="9"/>
  <c r="D40" i="9"/>
  <c r="C40" i="9"/>
  <c r="I27" i="9"/>
  <c r="H27" i="9"/>
  <c r="E27" i="9"/>
  <c r="AT13" i="47"/>
  <c r="G27" i="9" l="1"/>
  <c r="O27" i="9"/>
  <c r="R9" i="7"/>
  <c r="R19" i="7" s="1"/>
  <c r="R26" i="7" s="1"/>
  <c r="L26" i="9"/>
  <c r="R20" i="7"/>
  <c r="AT34" i="8"/>
  <c r="F27" i="9"/>
  <c r="F20" i="9"/>
  <c r="F9" i="9"/>
  <c r="F19" i="9" s="1"/>
  <c r="V49" i="71"/>
  <c r="E26" i="9"/>
  <c r="E35" i="9" s="1"/>
  <c r="E39" i="9" s="1"/>
  <c r="E43" i="9" s="1"/>
  <c r="E48" i="9" s="1"/>
  <c r="M27" i="9"/>
  <c r="L27" i="9"/>
  <c r="D27" i="9"/>
  <c r="D20" i="9"/>
  <c r="D9" i="9"/>
  <c r="D19" i="9" s="1"/>
  <c r="V51" i="71"/>
  <c r="K27" i="9"/>
  <c r="C27" i="9"/>
  <c r="C20" i="9"/>
  <c r="C9" i="9"/>
  <c r="C19" i="9" s="1"/>
  <c r="R86" i="27"/>
  <c r="R42" i="27"/>
  <c r="J27" i="9"/>
  <c r="J20" i="9"/>
  <c r="J9" i="9"/>
  <c r="J19" i="9" s="1"/>
  <c r="AT22" i="8"/>
  <c r="AT29" i="8" s="1"/>
  <c r="AT31" i="8" s="1"/>
  <c r="I9" i="9"/>
  <c r="AT8" i="47"/>
  <c r="AT12" i="47" s="1"/>
  <c r="H20" i="9"/>
  <c r="H9" i="9"/>
  <c r="H19" i="9" s="1"/>
  <c r="O20" i="9"/>
  <c r="G20" i="9"/>
  <c r="O9" i="9"/>
  <c r="O19" i="9" s="1"/>
  <c r="M26" i="9"/>
  <c r="K26" i="9"/>
  <c r="R40" i="7"/>
  <c r="R27" i="7"/>
  <c r="AT26" i="47"/>
  <c r="O9" i="42"/>
  <c r="O32" i="42"/>
  <c r="O14" i="42"/>
  <c r="AC15" i="36"/>
  <c r="AB15" i="36"/>
  <c r="AA15" i="36"/>
  <c r="Z15" i="36"/>
  <c r="Y15" i="36"/>
  <c r="X15" i="36"/>
  <c r="W15" i="36"/>
  <c r="N32" i="25"/>
  <c r="I19" i="9" l="1"/>
  <c r="I26" i="9" s="1"/>
  <c r="I35" i="9" s="1"/>
  <c r="I39" i="9" s="1"/>
  <c r="I43" i="9" s="1"/>
  <c r="I48" i="9" s="1"/>
  <c r="C26" i="9"/>
  <c r="C35" i="9" s="1"/>
  <c r="C39" i="9" s="1"/>
  <c r="K35" i="9"/>
  <c r="K39" i="9" s="1"/>
  <c r="K43" i="9" s="1"/>
  <c r="K48" i="9" s="1"/>
  <c r="O26" i="9"/>
  <c r="O35" i="9" s="1"/>
  <c r="O39" i="9" s="1"/>
  <c r="O43" i="9" s="1"/>
  <c r="O48" i="9" s="1"/>
  <c r="G26" i="9"/>
  <c r="G35" i="9" s="1"/>
  <c r="G39" i="9" s="1"/>
  <c r="G43" i="9" s="1"/>
  <c r="G48" i="9" s="1"/>
  <c r="AT37" i="8"/>
  <c r="AT42" i="8" s="1"/>
  <c r="D26" i="9"/>
  <c r="D35" i="9" s="1"/>
  <c r="D39" i="9" s="1"/>
  <c r="D43" i="9" s="1"/>
  <c r="D48" i="9" s="1"/>
  <c r="F26" i="9"/>
  <c r="F35" i="9" s="1"/>
  <c r="F39" i="9" s="1"/>
  <c r="F43" i="9" s="1"/>
  <c r="F48" i="9" s="1"/>
  <c r="F16" i="26"/>
  <c r="L31" i="24"/>
  <c r="R9" i="38"/>
  <c r="R13" i="38" s="1"/>
  <c r="M35" i="9"/>
  <c r="M39" i="9" s="1"/>
  <c r="M43" i="9" s="1"/>
  <c r="L35" i="9"/>
  <c r="L39" i="9" s="1"/>
  <c r="L43" i="9" s="1"/>
  <c r="L48" i="9" s="1"/>
  <c r="H26" i="9"/>
  <c r="H35" i="9" s="1"/>
  <c r="H39" i="9" s="1"/>
  <c r="H43" i="9" s="1"/>
  <c r="H48" i="9" s="1"/>
  <c r="J26" i="9"/>
  <c r="J35" i="9" s="1"/>
  <c r="F21" i="26"/>
  <c r="AT9" i="21"/>
  <c r="AT15" i="21" s="1"/>
  <c r="L16" i="24"/>
  <c r="AT16" i="21"/>
  <c r="AT34" i="21"/>
  <c r="Z9" i="23"/>
  <c r="Z15" i="23" s="1"/>
  <c r="R87" i="27"/>
  <c r="N16" i="25"/>
  <c r="R32" i="22"/>
  <c r="F9" i="26"/>
  <c r="F15" i="26" s="1"/>
  <c r="F20" i="26" s="1"/>
  <c r="AT32" i="20"/>
  <c r="N9" i="25"/>
  <c r="N15" i="25" s="1"/>
  <c r="F31" i="26"/>
  <c r="R35" i="7"/>
  <c r="R37" i="7" s="1"/>
  <c r="R43" i="7" s="1"/>
  <c r="R48" i="7" s="1"/>
  <c r="R50" i="7" s="1"/>
  <c r="AT22" i="47"/>
  <c r="AT25" i="47" s="1"/>
  <c r="AT29" i="47" s="1"/>
  <c r="AT34" i="47" s="1"/>
  <c r="O13" i="42"/>
  <c r="O29" i="42" s="1"/>
  <c r="R24" i="38"/>
  <c r="R14" i="38"/>
  <c r="AD31" i="37"/>
  <c r="AD21" i="37"/>
  <c r="AD9" i="37"/>
  <c r="AD19" i="37" s="1"/>
  <c r="AD21" i="35"/>
  <c r="AD31" i="35"/>
  <c r="AD9" i="35"/>
  <c r="AD19" i="35" s="1"/>
  <c r="J31" i="26"/>
  <c r="J21" i="26"/>
  <c r="J16" i="26"/>
  <c r="J9" i="26"/>
  <c r="J15" i="26" s="1"/>
  <c r="N21" i="25"/>
  <c r="L21" i="24"/>
  <c r="L9" i="24"/>
  <c r="L15" i="24" s="1"/>
  <c r="Z31" i="23"/>
  <c r="Z21" i="23"/>
  <c r="Z16" i="23"/>
  <c r="R22" i="22"/>
  <c r="R16" i="22"/>
  <c r="R9" i="22"/>
  <c r="R15" i="22" s="1"/>
  <c r="AT21" i="21"/>
  <c r="AT22" i="20"/>
  <c r="AT16" i="20"/>
  <c r="AT9" i="20"/>
  <c r="AT15" i="20" s="1"/>
  <c r="AT20" i="21" l="1"/>
  <c r="J20" i="26"/>
  <c r="J28" i="26" s="1"/>
  <c r="J30" i="26" s="1"/>
  <c r="J34" i="26" s="1"/>
  <c r="J39" i="26" s="1"/>
  <c r="C43" i="9"/>
  <c r="F28" i="26"/>
  <c r="F30" i="26" s="1"/>
  <c r="F34" i="26" s="1"/>
  <c r="F39" i="26" s="1"/>
  <c r="R21" i="38"/>
  <c r="R23" i="38" s="1"/>
  <c r="R27" i="38" s="1"/>
  <c r="R31" i="38" s="1"/>
  <c r="L20" i="24"/>
  <c r="L28" i="24" s="1"/>
  <c r="L30" i="24" s="1"/>
  <c r="L34" i="24" s="1"/>
  <c r="L39" i="24" s="1"/>
  <c r="N20" i="25"/>
  <c r="O31" i="42"/>
  <c r="O35" i="42" s="1"/>
  <c r="O38" i="42" s="1"/>
  <c r="Z20" i="23"/>
  <c r="AT31" i="21"/>
  <c r="AT33" i="21" s="1"/>
  <c r="AT37" i="21" s="1"/>
  <c r="AT42" i="21" s="1"/>
  <c r="AD28" i="37"/>
  <c r="AD30" i="37" s="1"/>
  <c r="AD34" i="37" s="1"/>
  <c r="AD39" i="37" s="1"/>
  <c r="AD28" i="35"/>
  <c r="AD30" i="35" s="1"/>
  <c r="AD34" i="35" s="1"/>
  <c r="AD38" i="35" s="1"/>
  <c r="N29" i="25"/>
  <c r="N31" i="25" s="1"/>
  <c r="N35" i="25" s="1"/>
  <c r="N40" i="25" s="1"/>
  <c r="Z28" i="23"/>
  <c r="Z30" i="23" s="1"/>
  <c r="Z34" i="23" s="1"/>
  <c r="Z39" i="23" s="1"/>
  <c r="R21" i="22"/>
  <c r="R29" i="22" s="1"/>
  <c r="R31" i="22" s="1"/>
  <c r="R35" i="22" s="1"/>
  <c r="R40" i="22" s="1"/>
  <c r="AT29" i="20"/>
  <c r="AT31" i="20" s="1"/>
  <c r="AT35" i="20" s="1"/>
  <c r="AT40" i="20" s="1"/>
  <c r="AT21" i="20"/>
  <c r="C48" i="9" l="1"/>
  <c r="AT12" i="15"/>
  <c r="AT18" i="15" s="1"/>
  <c r="AT24" i="15" s="1"/>
  <c r="AT30" i="15" s="1"/>
  <c r="AT36" i="15" s="1"/>
  <c r="AT42" i="15" s="1"/>
  <c r="AT12" i="14"/>
  <c r="AT18" i="14" s="1"/>
  <c r="AT24" i="14" s="1"/>
  <c r="AT30" i="14" s="1"/>
  <c r="AT36" i="14" s="1"/>
  <c r="AT42" i="14" s="1"/>
  <c r="AT70" i="13"/>
  <c r="AT73" i="13" s="1"/>
  <c r="AT61" i="13"/>
  <c r="AT63" i="13" s="1"/>
  <c r="AT50" i="13"/>
  <c r="AT53" i="13" s="1"/>
  <c r="AT40" i="13"/>
  <c r="AT43" i="13" s="1"/>
  <c r="AT30" i="13"/>
  <c r="AT33" i="13" s="1"/>
  <c r="AT20" i="13"/>
  <c r="AT23" i="13" s="1"/>
  <c r="AT16" i="13"/>
  <c r="AT27" i="13" s="1"/>
  <c r="AT37" i="13" s="1"/>
  <c r="AT47" i="13" s="1"/>
  <c r="AT57" i="13" s="1"/>
  <c r="AT9" i="13"/>
  <c r="AT12" i="13" s="1"/>
  <c r="AT172" i="12"/>
  <c r="AT164" i="12"/>
  <c r="AT156" i="12"/>
  <c r="AT148" i="12"/>
  <c r="AT140" i="12"/>
  <c r="AT132" i="12"/>
  <c r="AT124" i="12"/>
  <c r="AT108" i="12"/>
  <c r="AT104" i="12"/>
  <c r="AT111" i="12" s="1"/>
  <c r="AT112" i="12" s="1"/>
  <c r="AT93" i="12"/>
  <c r="AT89" i="12"/>
  <c r="AT78" i="12"/>
  <c r="AT74" i="12"/>
  <c r="AT96" i="12" l="1"/>
  <c r="AT97" i="12" s="1"/>
  <c r="AT174" i="12"/>
  <c r="AT81" i="12"/>
  <c r="AT82" i="12" s="1"/>
  <c r="AT77" i="13"/>
  <c r="AT67" i="13"/>
  <c r="AT81" i="13"/>
  <c r="AT84" i="13" s="1"/>
  <c r="AT63" i="12"/>
  <c r="AT59" i="12"/>
  <c r="AT66" i="12" s="1"/>
  <c r="AT67" i="12" s="1"/>
  <c r="AT48" i="12"/>
  <c r="AT44" i="12"/>
  <c r="AT51" i="12" s="1"/>
  <c r="AT52" i="12" s="1"/>
  <c r="AT33" i="12"/>
  <c r="AT29" i="12"/>
  <c r="AT36" i="12" s="1"/>
  <c r="AT37" i="12" s="1"/>
  <c r="AT17" i="12"/>
  <c r="AT13" i="12"/>
  <c r="AT20" i="12" s="1"/>
  <c r="AT21" i="12" s="1"/>
  <c r="AT114" i="12" l="1"/>
  <c r="K47" i="72"/>
  <c r="J47" i="72"/>
  <c r="I47" i="72"/>
  <c r="H47" i="72"/>
  <c r="K17" i="72"/>
  <c r="K30" i="72" s="1"/>
  <c r="K42" i="72" s="1"/>
  <c r="K54" i="72" s="1"/>
  <c r="K66" i="72" s="1"/>
  <c r="K78" i="72" s="1"/>
  <c r="T52" i="71" l="1"/>
  <c r="S52" i="71"/>
  <c r="R52" i="71"/>
  <c r="Q52" i="71"/>
  <c r="P52" i="71"/>
  <c r="O52" i="71"/>
  <c r="N52" i="71"/>
  <c r="M52" i="71"/>
  <c r="L52" i="71"/>
  <c r="K52" i="71"/>
  <c r="J52" i="71"/>
  <c r="I52" i="71"/>
  <c r="H52" i="71"/>
  <c r="G52" i="71"/>
  <c r="F52" i="71"/>
  <c r="E52" i="71"/>
  <c r="D52" i="71"/>
  <c r="C52" i="71"/>
  <c r="T51" i="71"/>
  <c r="S51" i="71"/>
  <c r="R51" i="71"/>
  <c r="Q51" i="71"/>
  <c r="P51" i="71"/>
  <c r="O51" i="71"/>
  <c r="N51" i="71"/>
  <c r="M51" i="71"/>
  <c r="L51" i="71"/>
  <c r="K51" i="71"/>
  <c r="J51" i="71"/>
  <c r="I51" i="71"/>
  <c r="H51" i="71"/>
  <c r="G51" i="71"/>
  <c r="F51" i="71"/>
  <c r="E51" i="71"/>
  <c r="D51" i="71"/>
  <c r="C51" i="71"/>
  <c r="T50" i="71"/>
  <c r="S50" i="71"/>
  <c r="R50" i="71"/>
  <c r="Q50" i="71"/>
  <c r="P50" i="71"/>
  <c r="O50" i="71"/>
  <c r="N50" i="71"/>
  <c r="M50" i="71"/>
  <c r="L50" i="71"/>
  <c r="K50" i="71"/>
  <c r="J50" i="71"/>
  <c r="I50" i="71"/>
  <c r="H50" i="71"/>
  <c r="G50" i="71"/>
  <c r="F50" i="71"/>
  <c r="E50" i="71"/>
  <c r="D50" i="71"/>
  <c r="C50" i="71"/>
  <c r="T49" i="71"/>
  <c r="S49" i="71"/>
  <c r="R49" i="71"/>
  <c r="Q49" i="71"/>
  <c r="P49" i="71"/>
  <c r="O49" i="71"/>
  <c r="N49" i="71"/>
  <c r="M49" i="71"/>
  <c r="L49" i="71"/>
  <c r="K49" i="71"/>
  <c r="J49" i="71"/>
  <c r="I49" i="71"/>
  <c r="H49" i="71"/>
  <c r="G49" i="71"/>
  <c r="F49" i="71"/>
  <c r="E49" i="71"/>
  <c r="D49" i="71"/>
  <c r="C49" i="71"/>
  <c r="U52" i="71"/>
  <c r="U49" i="71" l="1"/>
  <c r="U50" i="71"/>
  <c r="U51" i="71"/>
  <c r="Q48" i="29"/>
  <c r="Q49" i="28"/>
  <c r="Q44" i="27"/>
  <c r="C27" i="67"/>
  <c r="C17" i="67"/>
  <c r="C8" i="67"/>
  <c r="C111" i="58" l="1"/>
  <c r="C98" i="58"/>
  <c r="C89" i="58"/>
  <c r="C68" i="58"/>
  <c r="C61" i="58"/>
  <c r="C48" i="58"/>
  <c r="C41" i="58" s="1"/>
  <c r="C27" i="58"/>
  <c r="C17" i="58"/>
  <c r="C8" i="58"/>
  <c r="C6" i="58" s="1"/>
  <c r="D111" i="59"/>
  <c r="D98" i="59"/>
  <c r="D89" i="59"/>
  <c r="D68" i="59"/>
  <c r="D61" i="59"/>
  <c r="D48" i="59"/>
  <c r="D41" i="59" s="1"/>
  <c r="D27" i="59"/>
  <c r="D17" i="59"/>
  <c r="D8" i="59"/>
  <c r="D6" i="59" s="1"/>
  <c r="D87" i="59" l="1"/>
  <c r="D59" i="59"/>
  <c r="D39" i="59"/>
  <c r="D57" i="59" s="1"/>
  <c r="C87" i="58"/>
  <c r="C59" i="58"/>
  <c r="C39" i="58"/>
  <c r="C57" i="58" s="1"/>
  <c r="D85" i="59" l="1"/>
  <c r="D109" i="59"/>
  <c r="D118" i="59" s="1"/>
  <c r="C85" i="58"/>
  <c r="C83" i="58" s="1"/>
  <c r="D83" i="59"/>
  <c r="D122" i="59"/>
  <c r="D121" i="59" s="1"/>
  <c r="D124" i="59" s="1"/>
  <c r="C109" i="58" l="1"/>
  <c r="C118" i="58" s="1"/>
  <c r="C122" i="58" s="1"/>
  <c r="C121" i="58" s="1"/>
  <c r="C124" i="58" s="1"/>
  <c r="E111" i="60"/>
  <c r="E98" i="60"/>
  <c r="E89" i="60"/>
  <c r="E68" i="60"/>
  <c r="E61" i="60"/>
  <c r="E48" i="60"/>
  <c r="E41" i="60" s="1"/>
  <c r="E27" i="60"/>
  <c r="E17" i="60"/>
  <c r="E8" i="60"/>
  <c r="F111" i="62"/>
  <c r="F98" i="62"/>
  <c r="F89" i="62"/>
  <c r="F68" i="62"/>
  <c r="F61" i="62"/>
  <c r="F48" i="62"/>
  <c r="F41" i="62" s="1"/>
  <c r="F27" i="62"/>
  <c r="F17" i="62"/>
  <c r="F8" i="62"/>
  <c r="F6" i="62" s="1"/>
  <c r="F39" i="62" l="1"/>
  <c r="E6" i="60"/>
  <c r="E39" i="60" s="1"/>
  <c r="E57" i="60" s="1"/>
  <c r="E87" i="60"/>
  <c r="E59" i="60"/>
  <c r="F87" i="62"/>
  <c r="F59" i="62"/>
  <c r="F57" i="62"/>
  <c r="E85" i="60" l="1"/>
  <c r="E83" i="60" s="1"/>
  <c r="E109" i="60"/>
  <c r="E118" i="60" s="1"/>
  <c r="E122" i="60" s="1"/>
  <c r="F85" i="62"/>
  <c r="E121" i="60" l="1"/>
  <c r="E124" i="60" s="1"/>
  <c r="F109" i="62"/>
  <c r="F118" i="62" s="1"/>
  <c r="F122" i="62" s="1"/>
  <c r="F121" i="62" s="1"/>
  <c r="F124" i="62" s="1"/>
  <c r="F83" i="62"/>
  <c r="H111" i="70" l="1"/>
  <c r="G111" i="70"/>
  <c r="F111" i="70"/>
  <c r="E111" i="70"/>
  <c r="D111" i="70"/>
  <c r="C111" i="70"/>
  <c r="H111" i="69"/>
  <c r="G111" i="69"/>
  <c r="F111" i="69"/>
  <c r="E111" i="69"/>
  <c r="D111" i="69"/>
  <c r="C111" i="69"/>
  <c r="H48" i="69"/>
  <c r="H41" i="69" s="1"/>
  <c r="G48" i="69"/>
  <c r="G41" i="69" s="1"/>
  <c r="F48" i="69"/>
  <c r="F41" i="69" s="1"/>
  <c r="E48" i="69"/>
  <c r="E41" i="69" s="1"/>
  <c r="D48" i="69"/>
  <c r="C48" i="69"/>
  <c r="D41" i="69"/>
  <c r="C41" i="69"/>
  <c r="H27" i="69"/>
  <c r="G27" i="69"/>
  <c r="F27" i="69"/>
  <c r="E27" i="69"/>
  <c r="D27" i="69"/>
  <c r="C27" i="69"/>
  <c r="H17" i="69"/>
  <c r="G17" i="69"/>
  <c r="F17" i="69"/>
  <c r="E17" i="69"/>
  <c r="D17" i="69"/>
  <c r="C17" i="69"/>
  <c r="H8" i="69"/>
  <c r="G8" i="69"/>
  <c r="F8" i="69"/>
  <c r="E8" i="69"/>
  <c r="D8" i="69"/>
  <c r="C8" i="69"/>
  <c r="H111" i="67"/>
  <c r="G111" i="67"/>
  <c r="F111" i="67"/>
  <c r="E111" i="67"/>
  <c r="D111" i="67"/>
  <c r="C111" i="67"/>
  <c r="H111" i="68"/>
  <c r="G111" i="68"/>
  <c r="F111" i="68"/>
  <c r="E111" i="68"/>
  <c r="D111" i="68"/>
  <c r="C111" i="68"/>
  <c r="H110" i="66"/>
  <c r="G110" i="66"/>
  <c r="F110" i="66"/>
  <c r="E110" i="66"/>
  <c r="D110" i="66"/>
  <c r="C110" i="66"/>
  <c r="H111" i="65"/>
  <c r="G111" i="65"/>
  <c r="F111" i="65"/>
  <c r="E111" i="65"/>
  <c r="D111" i="65"/>
  <c r="C111" i="65"/>
  <c r="H111" i="64"/>
  <c r="G111" i="64"/>
  <c r="F111" i="64"/>
  <c r="E111" i="64"/>
  <c r="D111" i="64"/>
  <c r="C111" i="64"/>
  <c r="H111" i="63"/>
  <c r="G111" i="63"/>
  <c r="F111" i="63"/>
  <c r="E111" i="63"/>
  <c r="D111" i="63"/>
  <c r="C111" i="63"/>
  <c r="H111" i="62"/>
  <c r="G111" i="62"/>
  <c r="E111" i="62"/>
  <c r="D111" i="62"/>
  <c r="C111" i="62"/>
  <c r="C111" i="60" l="1"/>
  <c r="D111" i="60"/>
  <c r="F111" i="60"/>
  <c r="G111" i="60"/>
  <c r="H111" i="60"/>
  <c r="C124" i="61"/>
  <c r="D124" i="61"/>
  <c r="E124" i="61"/>
  <c r="F124" i="61"/>
  <c r="G124" i="61"/>
  <c r="H124" i="61"/>
  <c r="C111" i="61"/>
  <c r="D111" i="61"/>
  <c r="E111" i="61"/>
  <c r="F111" i="61"/>
  <c r="G111" i="61"/>
  <c r="H111" i="61"/>
  <c r="C111" i="59" l="1"/>
  <c r="E111" i="59"/>
  <c r="F111" i="59"/>
  <c r="G111" i="59"/>
  <c r="H111" i="59"/>
  <c r="D111" i="58"/>
  <c r="E111" i="58"/>
  <c r="F111" i="58"/>
  <c r="G111" i="58"/>
  <c r="H111" i="58"/>
  <c r="C111" i="57"/>
  <c r="D111" i="57"/>
  <c r="E111" i="57"/>
  <c r="F111" i="57"/>
  <c r="G111" i="57"/>
  <c r="H111" i="57"/>
  <c r="C111" i="56"/>
  <c r="D111" i="56"/>
  <c r="E111" i="56"/>
  <c r="F111" i="56"/>
  <c r="G111" i="56"/>
  <c r="H111" i="56"/>
  <c r="H111" i="55"/>
  <c r="G111" i="55"/>
  <c r="F111" i="55"/>
  <c r="E111" i="55"/>
  <c r="D111" i="55"/>
  <c r="C111" i="55"/>
  <c r="C6" i="67" l="1"/>
  <c r="C39" i="67" s="1"/>
  <c r="J6" i="68"/>
  <c r="J39" i="68" s="1"/>
  <c r="J57" i="68" s="1"/>
  <c r="J85" i="68" s="1"/>
  <c r="H6" i="69"/>
  <c r="H39" i="69" s="1"/>
  <c r="H57" i="69" s="1"/>
  <c r="G6" i="69"/>
  <c r="G39" i="69" s="1"/>
  <c r="G57" i="69" s="1"/>
  <c r="F6" i="69"/>
  <c r="F39" i="69" s="1"/>
  <c r="F57" i="69" s="1"/>
  <c r="E6" i="69"/>
  <c r="E39" i="69" s="1"/>
  <c r="E57" i="69" s="1"/>
  <c r="D6" i="69"/>
  <c r="D39" i="69" s="1"/>
  <c r="D57" i="69" s="1"/>
  <c r="C6" i="69"/>
  <c r="C39" i="69" s="1"/>
  <c r="C57" i="69" s="1"/>
  <c r="I111" i="70"/>
  <c r="I98" i="70"/>
  <c r="H98" i="70"/>
  <c r="G98" i="70"/>
  <c r="F98" i="70"/>
  <c r="E98" i="70"/>
  <c r="D98" i="70"/>
  <c r="C98" i="70"/>
  <c r="I89" i="70"/>
  <c r="H89" i="70"/>
  <c r="G89" i="70"/>
  <c r="F89" i="70"/>
  <c r="E89" i="70"/>
  <c r="D89" i="70"/>
  <c r="C89" i="70"/>
  <c r="I68" i="70"/>
  <c r="H68" i="70"/>
  <c r="G68" i="70"/>
  <c r="F68" i="70"/>
  <c r="E68" i="70"/>
  <c r="D68" i="70"/>
  <c r="C68" i="70"/>
  <c r="I61" i="70"/>
  <c r="H61" i="70"/>
  <c r="G61" i="70"/>
  <c r="F61" i="70"/>
  <c r="E61" i="70"/>
  <c r="D61" i="70"/>
  <c r="C61" i="70"/>
  <c r="I48" i="70"/>
  <c r="I41" i="70" s="1"/>
  <c r="H48" i="70"/>
  <c r="H41" i="70" s="1"/>
  <c r="G48" i="70"/>
  <c r="G41" i="70" s="1"/>
  <c r="F48" i="70"/>
  <c r="F41" i="70" s="1"/>
  <c r="E48" i="70"/>
  <c r="D48" i="70"/>
  <c r="D41" i="70" s="1"/>
  <c r="C48" i="70"/>
  <c r="C41" i="70" s="1"/>
  <c r="E41" i="70"/>
  <c r="I27" i="70"/>
  <c r="H27" i="70"/>
  <c r="G27" i="70"/>
  <c r="F27" i="70"/>
  <c r="E27" i="70"/>
  <c r="D27" i="70"/>
  <c r="C27" i="70"/>
  <c r="I17" i="70"/>
  <c r="H17" i="70"/>
  <c r="G17" i="70"/>
  <c r="F17" i="70"/>
  <c r="E17" i="70"/>
  <c r="D17" i="70"/>
  <c r="C17" i="70"/>
  <c r="I8" i="70"/>
  <c r="H8" i="70"/>
  <c r="G8" i="70"/>
  <c r="F8" i="70"/>
  <c r="E8" i="70"/>
  <c r="D8" i="70"/>
  <c r="C8" i="70"/>
  <c r="I111" i="69"/>
  <c r="I98" i="69"/>
  <c r="H98" i="69"/>
  <c r="G98" i="69"/>
  <c r="F98" i="69"/>
  <c r="E98" i="69"/>
  <c r="D98" i="69"/>
  <c r="C98" i="69"/>
  <c r="I89" i="69"/>
  <c r="H89" i="69"/>
  <c r="G89" i="69"/>
  <c r="F89" i="69"/>
  <c r="E89" i="69"/>
  <c r="D89" i="69"/>
  <c r="C89" i="69"/>
  <c r="I68" i="69"/>
  <c r="H68" i="69"/>
  <c r="G68" i="69"/>
  <c r="F68" i="69"/>
  <c r="E68" i="69"/>
  <c r="D68" i="69"/>
  <c r="C68" i="69"/>
  <c r="I61" i="69"/>
  <c r="H61" i="69"/>
  <c r="G61" i="69"/>
  <c r="F61" i="69"/>
  <c r="E61" i="69"/>
  <c r="D61" i="69"/>
  <c r="C61" i="69"/>
  <c r="I48" i="69"/>
  <c r="I41" i="69" s="1"/>
  <c r="I27" i="69"/>
  <c r="I17" i="69"/>
  <c r="I8" i="69"/>
  <c r="I111" i="68"/>
  <c r="I98" i="68"/>
  <c r="H98" i="68"/>
  <c r="G98" i="68"/>
  <c r="F98" i="68"/>
  <c r="E98" i="68"/>
  <c r="D98" i="68"/>
  <c r="C98" i="68"/>
  <c r="I89" i="68"/>
  <c r="H89" i="68"/>
  <c r="G89" i="68"/>
  <c r="F89" i="68"/>
  <c r="E89" i="68"/>
  <c r="D89" i="68"/>
  <c r="C89" i="68"/>
  <c r="I68" i="68"/>
  <c r="H68" i="68"/>
  <c r="G68" i="68"/>
  <c r="F68" i="68"/>
  <c r="E68" i="68"/>
  <c r="D68" i="68"/>
  <c r="C68" i="68"/>
  <c r="I61" i="68"/>
  <c r="H61" i="68"/>
  <c r="G61" i="68"/>
  <c r="F61" i="68"/>
  <c r="E61" i="68"/>
  <c r="D61" i="68"/>
  <c r="C61" i="68"/>
  <c r="I48" i="68"/>
  <c r="I41" i="68" s="1"/>
  <c r="H48" i="68"/>
  <c r="H41" i="68" s="1"/>
  <c r="G48" i="68"/>
  <c r="G41" i="68" s="1"/>
  <c r="F48" i="68"/>
  <c r="F41" i="68" s="1"/>
  <c r="E48" i="68"/>
  <c r="E41" i="68" s="1"/>
  <c r="D48" i="68"/>
  <c r="D41" i="68" s="1"/>
  <c r="C48" i="68"/>
  <c r="C41" i="68" s="1"/>
  <c r="I27" i="68"/>
  <c r="H27" i="68"/>
  <c r="G27" i="68"/>
  <c r="F27" i="68"/>
  <c r="E27" i="68"/>
  <c r="D27" i="68"/>
  <c r="C27" i="68"/>
  <c r="I17" i="68"/>
  <c r="H17" i="68"/>
  <c r="G17" i="68"/>
  <c r="F17" i="68"/>
  <c r="E17" i="68"/>
  <c r="D17" i="68"/>
  <c r="C17" i="68"/>
  <c r="I8" i="68"/>
  <c r="H8" i="68"/>
  <c r="H6" i="68" s="1"/>
  <c r="G8" i="68"/>
  <c r="F8" i="68"/>
  <c r="E8" i="68"/>
  <c r="D8" i="68"/>
  <c r="D6" i="68" s="1"/>
  <c r="C8" i="68"/>
  <c r="F87" i="69" l="1"/>
  <c r="G6" i="68"/>
  <c r="G6" i="70"/>
  <c r="E6" i="68"/>
  <c r="E6" i="70"/>
  <c r="I6" i="68"/>
  <c r="I39" i="68" s="1"/>
  <c r="I57" i="68" s="1"/>
  <c r="H87" i="70"/>
  <c r="I6" i="69"/>
  <c r="I39" i="69" s="1"/>
  <c r="I57" i="69" s="1"/>
  <c r="C6" i="70"/>
  <c r="C39" i="70" s="1"/>
  <c r="C57" i="70" s="1"/>
  <c r="I87" i="68"/>
  <c r="J83" i="68"/>
  <c r="J109" i="68"/>
  <c r="J118" i="68" s="1"/>
  <c r="J122" i="68" s="1"/>
  <c r="J121" i="68" s="1"/>
  <c r="J124" i="68" s="1"/>
  <c r="C87" i="68"/>
  <c r="F6" i="68"/>
  <c r="F39" i="68" s="1"/>
  <c r="F57" i="68" s="1"/>
  <c r="C87" i="70"/>
  <c r="C59" i="70"/>
  <c r="C87" i="69"/>
  <c r="C59" i="69"/>
  <c r="C59" i="68"/>
  <c r="C6" i="68"/>
  <c r="D6" i="70"/>
  <c r="D87" i="70"/>
  <c r="D59" i="70"/>
  <c r="D39" i="70"/>
  <c r="D57" i="70" s="1"/>
  <c r="D87" i="69"/>
  <c r="D87" i="68"/>
  <c r="D59" i="68"/>
  <c r="D39" i="68"/>
  <c r="D57" i="68" s="1"/>
  <c r="E87" i="70"/>
  <c r="E59" i="70"/>
  <c r="E39" i="70"/>
  <c r="E57" i="70" s="1"/>
  <c r="E85" i="70" s="1"/>
  <c r="E109" i="70" s="1"/>
  <c r="E118" i="70" s="1"/>
  <c r="E87" i="69"/>
  <c r="E59" i="69"/>
  <c r="E85" i="69" s="1"/>
  <c r="E83" i="69" s="1"/>
  <c r="E87" i="68"/>
  <c r="E59" i="68"/>
  <c r="E39" i="68"/>
  <c r="E57" i="68" s="1"/>
  <c r="F87" i="70"/>
  <c r="F59" i="70"/>
  <c r="F6" i="70"/>
  <c r="F39" i="70" s="1"/>
  <c r="F57" i="70" s="1"/>
  <c r="F59" i="69"/>
  <c r="F85" i="69" s="1"/>
  <c r="F87" i="68"/>
  <c r="F59" i="68"/>
  <c r="G87" i="70"/>
  <c r="G59" i="70"/>
  <c r="G87" i="69"/>
  <c r="G59" i="69"/>
  <c r="G85" i="69" s="1"/>
  <c r="G87" i="68"/>
  <c r="G59" i="68"/>
  <c r="H59" i="70"/>
  <c r="H6" i="70"/>
  <c r="H39" i="70" s="1"/>
  <c r="H57" i="70" s="1"/>
  <c r="H87" i="69"/>
  <c r="H59" i="69"/>
  <c r="H85" i="69" s="1"/>
  <c r="D59" i="69"/>
  <c r="D85" i="69" s="1"/>
  <c r="D83" i="69" s="1"/>
  <c r="H87" i="68"/>
  <c r="H59" i="68"/>
  <c r="I87" i="70"/>
  <c r="I59" i="70"/>
  <c r="I6" i="70"/>
  <c r="I39" i="70" s="1"/>
  <c r="I57" i="70" s="1"/>
  <c r="I87" i="69"/>
  <c r="I59" i="69"/>
  <c r="G39" i="68"/>
  <c r="G57" i="68" s="1"/>
  <c r="H39" i="68"/>
  <c r="H57" i="68" s="1"/>
  <c r="C39" i="68"/>
  <c r="C57" i="68" s="1"/>
  <c r="C85" i="68" s="1"/>
  <c r="I59" i="68"/>
  <c r="G39" i="70"/>
  <c r="G57" i="70" s="1"/>
  <c r="C85" i="69"/>
  <c r="G85" i="70" l="1"/>
  <c r="C85" i="70"/>
  <c r="I85" i="69"/>
  <c r="I109" i="69" s="1"/>
  <c r="I118" i="69" s="1"/>
  <c r="E85" i="68"/>
  <c r="E109" i="68" s="1"/>
  <c r="E118" i="68" s="1"/>
  <c r="E122" i="68" s="1"/>
  <c r="E121" i="68" s="1"/>
  <c r="E124" i="68" s="1"/>
  <c r="H85" i="70"/>
  <c r="E109" i="69"/>
  <c r="E118" i="69" s="1"/>
  <c r="H109" i="70"/>
  <c r="H118" i="70" s="1"/>
  <c r="H85" i="68"/>
  <c r="H83" i="68" s="1"/>
  <c r="D85" i="70"/>
  <c r="D85" i="68"/>
  <c r="D83" i="68" s="1"/>
  <c r="E83" i="70"/>
  <c r="E83" i="68"/>
  <c r="F85" i="70"/>
  <c r="F109" i="70" s="1"/>
  <c r="F118" i="70" s="1"/>
  <c r="F85" i="68"/>
  <c r="F109" i="68" s="1"/>
  <c r="F118" i="68" s="1"/>
  <c r="F122" i="68" s="1"/>
  <c r="F121" i="68" s="1"/>
  <c r="F124" i="68" s="1"/>
  <c r="G85" i="68"/>
  <c r="G109" i="68" s="1"/>
  <c r="G118" i="68" s="1"/>
  <c r="G122" i="68" s="1"/>
  <c r="G121" i="68" s="1"/>
  <c r="G124" i="68" s="1"/>
  <c r="H83" i="70"/>
  <c r="H83" i="69"/>
  <c r="H109" i="69"/>
  <c r="H118" i="69" s="1"/>
  <c r="D109" i="69"/>
  <c r="D118" i="69" s="1"/>
  <c r="I85" i="70"/>
  <c r="I109" i="70" s="1"/>
  <c r="I118" i="70" s="1"/>
  <c r="I85" i="68"/>
  <c r="I83" i="68" s="1"/>
  <c r="C109" i="70"/>
  <c r="C118" i="70" s="1"/>
  <c r="C83" i="70"/>
  <c r="G83" i="70"/>
  <c r="G109" i="70"/>
  <c r="G118" i="70" s="1"/>
  <c r="G83" i="69"/>
  <c r="G109" i="69"/>
  <c r="G118" i="69" s="1"/>
  <c r="F109" i="69"/>
  <c r="F118" i="69" s="1"/>
  <c r="F83" i="69"/>
  <c r="C109" i="69"/>
  <c r="C118" i="69" s="1"/>
  <c r="C83" i="69"/>
  <c r="C109" i="68"/>
  <c r="C118" i="68" s="1"/>
  <c r="C122" i="68" s="1"/>
  <c r="C121" i="68" s="1"/>
  <c r="C124" i="68" s="1"/>
  <c r="C83" i="68"/>
  <c r="I83" i="69" l="1"/>
  <c r="H109" i="68"/>
  <c r="H118" i="68" s="1"/>
  <c r="D109" i="68"/>
  <c r="D118" i="68" s="1"/>
  <c r="D122" i="68" s="1"/>
  <c r="D121" i="68" s="1"/>
  <c r="D124" i="68" s="1"/>
  <c r="F83" i="70"/>
  <c r="F83" i="68"/>
  <c r="H122" i="68"/>
  <c r="H121" i="68" s="1"/>
  <c r="H124" i="68" s="1"/>
  <c r="I109" i="68"/>
  <c r="I118" i="68" s="1"/>
  <c r="I122" i="68" s="1"/>
  <c r="D109" i="70"/>
  <c r="D118" i="70" s="1"/>
  <c r="D83" i="70"/>
  <c r="G83" i="68"/>
  <c r="I83" i="70"/>
  <c r="I121" i="68" l="1"/>
  <c r="I124" i="68" s="1"/>
  <c r="I111" i="67"/>
  <c r="I98" i="67"/>
  <c r="H98" i="67"/>
  <c r="G98" i="67"/>
  <c r="F98" i="67"/>
  <c r="E98" i="67"/>
  <c r="D98" i="67"/>
  <c r="C98" i="67"/>
  <c r="I89" i="67"/>
  <c r="H89" i="67"/>
  <c r="G89" i="67"/>
  <c r="F89" i="67"/>
  <c r="E89" i="67"/>
  <c r="D89" i="67"/>
  <c r="C89" i="67"/>
  <c r="I68" i="67"/>
  <c r="H68" i="67"/>
  <c r="G68" i="67"/>
  <c r="F68" i="67"/>
  <c r="E68" i="67"/>
  <c r="D68" i="67"/>
  <c r="C68" i="67"/>
  <c r="I61" i="67"/>
  <c r="H61" i="67"/>
  <c r="G61" i="67"/>
  <c r="F61" i="67"/>
  <c r="E61" i="67"/>
  <c r="D61" i="67"/>
  <c r="C61" i="67"/>
  <c r="I48" i="67"/>
  <c r="I41" i="67" s="1"/>
  <c r="H48" i="67"/>
  <c r="H41" i="67" s="1"/>
  <c r="G48" i="67"/>
  <c r="G41" i="67" s="1"/>
  <c r="F48" i="67"/>
  <c r="F41" i="67" s="1"/>
  <c r="E48" i="67"/>
  <c r="E41" i="67" s="1"/>
  <c r="D48" i="67"/>
  <c r="D41" i="67" s="1"/>
  <c r="C48" i="67"/>
  <c r="C41" i="67" s="1"/>
  <c r="C57" i="67" s="1"/>
  <c r="I27" i="67"/>
  <c r="H27" i="67"/>
  <c r="G27" i="67"/>
  <c r="F27" i="67"/>
  <c r="E27" i="67"/>
  <c r="D27" i="67"/>
  <c r="I17" i="67"/>
  <c r="H17" i="67"/>
  <c r="G17" i="67"/>
  <c r="F17" i="67"/>
  <c r="E17" i="67"/>
  <c r="D17" i="67"/>
  <c r="I8" i="67"/>
  <c r="H8" i="67"/>
  <c r="G8" i="67"/>
  <c r="F8" i="67"/>
  <c r="E8" i="67"/>
  <c r="D8" i="67"/>
  <c r="I110" i="66"/>
  <c r="I97" i="66"/>
  <c r="I88" i="66"/>
  <c r="I78" i="66"/>
  <c r="I68" i="66"/>
  <c r="I61" i="66"/>
  <c r="I48" i="66"/>
  <c r="I41" i="66" s="1"/>
  <c r="I27" i="66"/>
  <c r="I17" i="66"/>
  <c r="I8" i="66"/>
  <c r="H97" i="66"/>
  <c r="G97" i="66"/>
  <c r="F97" i="66"/>
  <c r="E97" i="66"/>
  <c r="D97" i="66"/>
  <c r="C97" i="66"/>
  <c r="H88" i="66"/>
  <c r="G88" i="66"/>
  <c r="F88" i="66"/>
  <c r="E88" i="66"/>
  <c r="D88" i="66"/>
  <c r="C88" i="66"/>
  <c r="H78" i="66"/>
  <c r="G78" i="66"/>
  <c r="F78" i="66"/>
  <c r="E78" i="66"/>
  <c r="D78" i="66"/>
  <c r="C78" i="66"/>
  <c r="H68" i="66"/>
  <c r="G68" i="66"/>
  <c r="F68" i="66"/>
  <c r="E68" i="66"/>
  <c r="D68" i="66"/>
  <c r="C68" i="66"/>
  <c r="H61" i="66"/>
  <c r="G61" i="66"/>
  <c r="F61" i="66"/>
  <c r="E61" i="66"/>
  <c r="D61" i="66"/>
  <c r="C61" i="66"/>
  <c r="H48" i="66"/>
  <c r="H41" i="66" s="1"/>
  <c r="G48" i="66"/>
  <c r="G41" i="66" s="1"/>
  <c r="F48" i="66"/>
  <c r="F41" i="66" s="1"/>
  <c r="E48" i="66"/>
  <c r="E41" i="66" s="1"/>
  <c r="D48" i="66"/>
  <c r="D41" i="66" s="1"/>
  <c r="C48" i="66"/>
  <c r="C41" i="66" s="1"/>
  <c r="H27" i="66"/>
  <c r="G27" i="66"/>
  <c r="F27" i="66"/>
  <c r="E27" i="66"/>
  <c r="D27" i="66"/>
  <c r="C27" i="66"/>
  <c r="H17" i="66"/>
  <c r="G17" i="66"/>
  <c r="F17" i="66"/>
  <c r="E17" i="66"/>
  <c r="D17" i="66"/>
  <c r="C17" i="66"/>
  <c r="H8" i="66"/>
  <c r="G8" i="66"/>
  <c r="F8" i="66"/>
  <c r="F6" i="66" s="1"/>
  <c r="F39" i="66" s="1"/>
  <c r="E8" i="66"/>
  <c r="D8" i="66"/>
  <c r="D6" i="66" s="1"/>
  <c r="C8" i="66"/>
  <c r="C6" i="66" s="1"/>
  <c r="I111" i="65"/>
  <c r="I98" i="65"/>
  <c r="H98" i="65"/>
  <c r="G98" i="65"/>
  <c r="F98" i="65"/>
  <c r="E98" i="65"/>
  <c r="D98" i="65"/>
  <c r="C98" i="65"/>
  <c r="I89" i="65"/>
  <c r="H89" i="65"/>
  <c r="G89" i="65"/>
  <c r="F89" i="65"/>
  <c r="E89" i="65"/>
  <c r="D89" i="65"/>
  <c r="C89" i="65"/>
  <c r="I68" i="65"/>
  <c r="H68" i="65"/>
  <c r="G68" i="65"/>
  <c r="F68" i="65"/>
  <c r="E68" i="65"/>
  <c r="D68" i="65"/>
  <c r="C68" i="65"/>
  <c r="I61" i="65"/>
  <c r="H61" i="65"/>
  <c r="G61" i="65"/>
  <c r="F61" i="65"/>
  <c r="E61" i="65"/>
  <c r="D61" i="65"/>
  <c r="C61" i="65"/>
  <c r="I48" i="65"/>
  <c r="I41" i="65" s="1"/>
  <c r="H48" i="65"/>
  <c r="H41" i="65" s="1"/>
  <c r="G48" i="65"/>
  <c r="G41" i="65" s="1"/>
  <c r="F48" i="65"/>
  <c r="F41" i="65" s="1"/>
  <c r="E48" i="65"/>
  <c r="E41" i="65" s="1"/>
  <c r="D48" i="65"/>
  <c r="D41" i="65" s="1"/>
  <c r="C48" i="65"/>
  <c r="C41" i="65" s="1"/>
  <c r="I27" i="65"/>
  <c r="H27" i="65"/>
  <c r="G27" i="65"/>
  <c r="F27" i="65"/>
  <c r="E27" i="65"/>
  <c r="D27" i="65"/>
  <c r="C27" i="65"/>
  <c r="I17" i="65"/>
  <c r="H17" i="65"/>
  <c r="G17" i="65"/>
  <c r="F17" i="65"/>
  <c r="E17" i="65"/>
  <c r="D17" i="65"/>
  <c r="C17" i="65"/>
  <c r="I8" i="65"/>
  <c r="H8" i="65"/>
  <c r="H6" i="65" s="1"/>
  <c r="G8" i="65"/>
  <c r="F8" i="65"/>
  <c r="E8" i="65"/>
  <c r="E6" i="65" s="1"/>
  <c r="D8" i="65"/>
  <c r="C8" i="65"/>
  <c r="I111" i="64"/>
  <c r="I98" i="64"/>
  <c r="I87" i="64" s="1"/>
  <c r="H98" i="64"/>
  <c r="G98" i="64"/>
  <c r="F98" i="64"/>
  <c r="E98" i="64"/>
  <c r="D98" i="64"/>
  <c r="C98" i="64"/>
  <c r="I89" i="64"/>
  <c r="H89" i="64"/>
  <c r="G89" i="64"/>
  <c r="F89" i="64"/>
  <c r="E89" i="64"/>
  <c r="D89" i="64"/>
  <c r="C89" i="64"/>
  <c r="I68" i="64"/>
  <c r="H68" i="64"/>
  <c r="G68" i="64"/>
  <c r="F68" i="64"/>
  <c r="E68" i="64"/>
  <c r="D68" i="64"/>
  <c r="C68" i="64"/>
  <c r="I61" i="64"/>
  <c r="H61" i="64"/>
  <c r="G61" i="64"/>
  <c r="F61" i="64"/>
  <c r="E61" i="64"/>
  <c r="D61" i="64"/>
  <c r="C61" i="64"/>
  <c r="C59" i="64" s="1"/>
  <c r="I48" i="64"/>
  <c r="I41" i="64" s="1"/>
  <c r="H48" i="64"/>
  <c r="G48" i="64"/>
  <c r="G41" i="64" s="1"/>
  <c r="F48" i="64"/>
  <c r="F41" i="64" s="1"/>
  <c r="E48" i="64"/>
  <c r="E41" i="64" s="1"/>
  <c r="D48" i="64"/>
  <c r="D41" i="64" s="1"/>
  <c r="C48" i="64"/>
  <c r="C41" i="64" s="1"/>
  <c r="H41" i="64"/>
  <c r="I27" i="64"/>
  <c r="H27" i="64"/>
  <c r="G27" i="64"/>
  <c r="F27" i="64"/>
  <c r="E27" i="64"/>
  <c r="D27" i="64"/>
  <c r="C27" i="64"/>
  <c r="I17" i="64"/>
  <c r="H17" i="64"/>
  <c r="H6" i="64" s="1"/>
  <c r="G17" i="64"/>
  <c r="F17" i="64"/>
  <c r="E17" i="64"/>
  <c r="D17" i="64"/>
  <c r="C17" i="64"/>
  <c r="I8" i="64"/>
  <c r="I6" i="64" s="1"/>
  <c r="H8" i="64"/>
  <c r="G8" i="64"/>
  <c r="F8" i="64"/>
  <c r="E8" i="64"/>
  <c r="D8" i="64"/>
  <c r="D6" i="64" s="1"/>
  <c r="C8" i="64"/>
  <c r="I111" i="63"/>
  <c r="I98" i="63"/>
  <c r="H98" i="63"/>
  <c r="G98" i="63"/>
  <c r="F98" i="63"/>
  <c r="E98" i="63"/>
  <c r="D98" i="63"/>
  <c r="C98" i="63"/>
  <c r="I89" i="63"/>
  <c r="H89" i="63"/>
  <c r="G89" i="63"/>
  <c r="F89" i="63"/>
  <c r="E89" i="63"/>
  <c r="D89" i="63"/>
  <c r="C89" i="63"/>
  <c r="I68" i="63"/>
  <c r="H68" i="63"/>
  <c r="G68" i="63"/>
  <c r="F68" i="63"/>
  <c r="E68" i="63"/>
  <c r="D68" i="63"/>
  <c r="C68" i="63"/>
  <c r="I61" i="63"/>
  <c r="H61" i="63"/>
  <c r="G61" i="63"/>
  <c r="F61" i="63"/>
  <c r="E61" i="63"/>
  <c r="D61" i="63"/>
  <c r="C61" i="63"/>
  <c r="I48" i="63"/>
  <c r="I41" i="63" s="1"/>
  <c r="H48" i="63"/>
  <c r="H41" i="63" s="1"/>
  <c r="G48" i="63"/>
  <c r="G41" i="63" s="1"/>
  <c r="F48" i="63"/>
  <c r="F41" i="63" s="1"/>
  <c r="E48" i="63"/>
  <c r="E41" i="63" s="1"/>
  <c r="D48" i="63"/>
  <c r="D41" i="63" s="1"/>
  <c r="C48" i="63"/>
  <c r="C41" i="63"/>
  <c r="I27" i="63"/>
  <c r="H27" i="63"/>
  <c r="G27" i="63"/>
  <c r="F27" i="63"/>
  <c r="E27" i="63"/>
  <c r="D27" i="63"/>
  <c r="C27" i="63"/>
  <c r="I17" i="63"/>
  <c r="H17" i="63"/>
  <c r="G17" i="63"/>
  <c r="F17" i="63"/>
  <c r="E17" i="63"/>
  <c r="D17" i="63"/>
  <c r="C17" i="63"/>
  <c r="I8" i="63"/>
  <c r="H8" i="63"/>
  <c r="G8" i="63"/>
  <c r="F8" i="63"/>
  <c r="E8" i="63"/>
  <c r="D8" i="63"/>
  <c r="C8" i="63"/>
  <c r="I111" i="62"/>
  <c r="I98" i="62"/>
  <c r="H98" i="62"/>
  <c r="G98" i="62"/>
  <c r="E98" i="62"/>
  <c r="D98" i="62"/>
  <c r="C98" i="62"/>
  <c r="I89" i="62"/>
  <c r="H89" i="62"/>
  <c r="G89" i="62"/>
  <c r="E89" i="62"/>
  <c r="D89" i="62"/>
  <c r="C89" i="62"/>
  <c r="I68" i="62"/>
  <c r="H68" i="62"/>
  <c r="G68" i="62"/>
  <c r="E68" i="62"/>
  <c r="D68" i="62"/>
  <c r="C68" i="62"/>
  <c r="I61" i="62"/>
  <c r="H61" i="62"/>
  <c r="G61" i="62"/>
  <c r="E61" i="62"/>
  <c r="D61" i="62"/>
  <c r="C61" i="62"/>
  <c r="I48" i="62"/>
  <c r="I41" i="62" s="1"/>
  <c r="H48" i="62"/>
  <c r="H41" i="62" s="1"/>
  <c r="G48" i="62"/>
  <c r="G41" i="62" s="1"/>
  <c r="E48" i="62"/>
  <c r="E41" i="62" s="1"/>
  <c r="D48" i="62"/>
  <c r="D41" i="62" s="1"/>
  <c r="C48" i="62"/>
  <c r="C41" i="62" s="1"/>
  <c r="I27" i="62"/>
  <c r="H27" i="62"/>
  <c r="G27" i="62"/>
  <c r="E27" i="62"/>
  <c r="D27" i="62"/>
  <c r="C27" i="62"/>
  <c r="I17" i="62"/>
  <c r="H17" i="62"/>
  <c r="G17" i="62"/>
  <c r="E17" i="62"/>
  <c r="D17" i="62"/>
  <c r="C17" i="62"/>
  <c r="I8" i="62"/>
  <c r="H8" i="62"/>
  <c r="G8" i="62"/>
  <c r="E8" i="62"/>
  <c r="D8" i="62"/>
  <c r="C8" i="62"/>
  <c r="H98" i="61"/>
  <c r="G98" i="61"/>
  <c r="F98" i="61"/>
  <c r="E98" i="61"/>
  <c r="D98" i="61"/>
  <c r="C98" i="61"/>
  <c r="H89" i="61"/>
  <c r="G89" i="61"/>
  <c r="F89" i="61"/>
  <c r="F87" i="61" s="1"/>
  <c r="E89" i="61"/>
  <c r="E87" i="61" s="1"/>
  <c r="D89" i="61"/>
  <c r="D87" i="61" s="1"/>
  <c r="C89" i="61"/>
  <c r="H68" i="61"/>
  <c r="G68" i="61"/>
  <c r="F68" i="61"/>
  <c r="E68" i="61"/>
  <c r="D68" i="61"/>
  <c r="C68" i="61"/>
  <c r="H61" i="61"/>
  <c r="G61" i="61"/>
  <c r="F61" i="61"/>
  <c r="E61" i="61"/>
  <c r="D61" i="61"/>
  <c r="C61" i="61"/>
  <c r="H48" i="61"/>
  <c r="H41" i="61" s="1"/>
  <c r="G48" i="61"/>
  <c r="G41" i="61" s="1"/>
  <c r="F48" i="61"/>
  <c r="F41" i="61" s="1"/>
  <c r="E48" i="61"/>
  <c r="E41" i="61" s="1"/>
  <c r="D48" i="61"/>
  <c r="D41" i="61" s="1"/>
  <c r="C48" i="61"/>
  <c r="C41" i="61" s="1"/>
  <c r="H27" i="61"/>
  <c r="G27" i="61"/>
  <c r="F27" i="61"/>
  <c r="E27" i="61"/>
  <c r="D27" i="61"/>
  <c r="C27" i="61"/>
  <c r="H17" i="61"/>
  <c r="G17" i="61"/>
  <c r="F17" i="61"/>
  <c r="E17" i="61"/>
  <c r="D17" i="61"/>
  <c r="C17" i="61"/>
  <c r="H8" i="61"/>
  <c r="G8" i="61"/>
  <c r="G6" i="61" s="1"/>
  <c r="F8" i="61"/>
  <c r="F6" i="61" s="1"/>
  <c r="E8" i="61"/>
  <c r="D8" i="61"/>
  <c r="C8" i="61"/>
  <c r="H98" i="60"/>
  <c r="H87" i="60" s="1"/>
  <c r="G98" i="60"/>
  <c r="F98" i="60"/>
  <c r="D98" i="60"/>
  <c r="C98" i="60"/>
  <c r="H89" i="60"/>
  <c r="G89" i="60"/>
  <c r="F89" i="60"/>
  <c r="D89" i="60"/>
  <c r="C89" i="60"/>
  <c r="H68" i="60"/>
  <c r="G68" i="60"/>
  <c r="F68" i="60"/>
  <c r="D68" i="60"/>
  <c r="C68" i="60"/>
  <c r="H61" i="60"/>
  <c r="G61" i="60"/>
  <c r="F61" i="60"/>
  <c r="D61" i="60"/>
  <c r="C61" i="60"/>
  <c r="C59" i="60" s="1"/>
  <c r="H48" i="60"/>
  <c r="H41" i="60" s="1"/>
  <c r="G48" i="60"/>
  <c r="G41" i="60" s="1"/>
  <c r="F48" i="60"/>
  <c r="F41" i="60" s="1"/>
  <c r="D48" i="60"/>
  <c r="D41" i="60" s="1"/>
  <c r="C48" i="60"/>
  <c r="C41" i="60" s="1"/>
  <c r="H27" i="60"/>
  <c r="G27" i="60"/>
  <c r="F27" i="60"/>
  <c r="D27" i="60"/>
  <c r="C27" i="60"/>
  <c r="H17" i="60"/>
  <c r="G17" i="60"/>
  <c r="F17" i="60"/>
  <c r="D17" i="60"/>
  <c r="C17" i="60"/>
  <c r="H8" i="60"/>
  <c r="H6" i="60" s="1"/>
  <c r="G8" i="60"/>
  <c r="G6" i="60" s="1"/>
  <c r="G39" i="60" s="1"/>
  <c r="F8" i="60"/>
  <c r="D8" i="60"/>
  <c r="C8" i="60"/>
  <c r="C6" i="60" s="1"/>
  <c r="H98" i="59"/>
  <c r="G98" i="59"/>
  <c r="F98" i="59"/>
  <c r="E98" i="59"/>
  <c r="C98" i="59"/>
  <c r="H89" i="59"/>
  <c r="G89" i="59"/>
  <c r="F89" i="59"/>
  <c r="E89" i="59"/>
  <c r="C89" i="59"/>
  <c r="H68" i="59"/>
  <c r="G68" i="59"/>
  <c r="F68" i="59"/>
  <c r="E68" i="59"/>
  <c r="C68" i="59"/>
  <c r="H61" i="59"/>
  <c r="G61" i="59"/>
  <c r="F61" i="59"/>
  <c r="E61" i="59"/>
  <c r="C61" i="59"/>
  <c r="H48" i="59"/>
  <c r="H41" i="59" s="1"/>
  <c r="G48" i="59"/>
  <c r="G41" i="59" s="1"/>
  <c r="F48" i="59"/>
  <c r="F41" i="59" s="1"/>
  <c r="E48" i="59"/>
  <c r="E41" i="59" s="1"/>
  <c r="C48" i="59"/>
  <c r="C41" i="59" s="1"/>
  <c r="H27" i="59"/>
  <c r="G27" i="59"/>
  <c r="F27" i="59"/>
  <c r="E27" i="59"/>
  <c r="C27" i="59"/>
  <c r="H17" i="59"/>
  <c r="G17" i="59"/>
  <c r="F17" i="59"/>
  <c r="E17" i="59"/>
  <c r="C17" i="59"/>
  <c r="H8" i="59"/>
  <c r="G8" i="59"/>
  <c r="F8" i="59"/>
  <c r="E8" i="59"/>
  <c r="C8" i="59"/>
  <c r="H98" i="58"/>
  <c r="G98" i="58"/>
  <c r="F98" i="58"/>
  <c r="E98" i="58"/>
  <c r="D98" i="58"/>
  <c r="H89" i="58"/>
  <c r="G89" i="58"/>
  <c r="F89" i="58"/>
  <c r="E89" i="58"/>
  <c r="D89" i="58"/>
  <c r="H68" i="58"/>
  <c r="G68" i="58"/>
  <c r="F68" i="58"/>
  <c r="E68" i="58"/>
  <c r="D68" i="58"/>
  <c r="H61" i="58"/>
  <c r="G61" i="58"/>
  <c r="F61" i="58"/>
  <c r="E61" i="58"/>
  <c r="D61" i="58"/>
  <c r="H48" i="58"/>
  <c r="H41" i="58" s="1"/>
  <c r="G48" i="58"/>
  <c r="G41" i="58" s="1"/>
  <c r="F48" i="58"/>
  <c r="F41" i="58" s="1"/>
  <c r="E48" i="58"/>
  <c r="E41" i="58" s="1"/>
  <c r="D48" i="58"/>
  <c r="D41" i="58" s="1"/>
  <c r="H27" i="58"/>
  <c r="G27" i="58"/>
  <c r="F27" i="58"/>
  <c r="E27" i="58"/>
  <c r="D27" i="58"/>
  <c r="H17" i="58"/>
  <c r="G17" i="58"/>
  <c r="F17" i="58"/>
  <c r="E17" i="58"/>
  <c r="D17" i="58"/>
  <c r="H8" i="58"/>
  <c r="G8" i="58"/>
  <c r="F8" i="58"/>
  <c r="E8" i="58"/>
  <c r="D8" i="58"/>
  <c r="H98" i="57"/>
  <c r="G98" i="57"/>
  <c r="F98" i="57"/>
  <c r="E98" i="57"/>
  <c r="D98" i="57"/>
  <c r="C98" i="57"/>
  <c r="H89" i="57"/>
  <c r="G89" i="57"/>
  <c r="F89" i="57"/>
  <c r="E89" i="57"/>
  <c r="D89" i="57"/>
  <c r="C89" i="57"/>
  <c r="H68" i="57"/>
  <c r="G68" i="57"/>
  <c r="F68" i="57"/>
  <c r="E68" i="57"/>
  <c r="D68" i="57"/>
  <c r="C68" i="57"/>
  <c r="H61" i="57"/>
  <c r="G61" i="57"/>
  <c r="F61" i="57"/>
  <c r="E61" i="57"/>
  <c r="D61" i="57"/>
  <c r="C61" i="57"/>
  <c r="H48" i="57"/>
  <c r="H41" i="57" s="1"/>
  <c r="G48" i="57"/>
  <c r="G41" i="57" s="1"/>
  <c r="F48" i="57"/>
  <c r="F41" i="57" s="1"/>
  <c r="E48" i="57"/>
  <c r="E41" i="57" s="1"/>
  <c r="D48" i="57"/>
  <c r="D41" i="57" s="1"/>
  <c r="C48" i="57"/>
  <c r="C41" i="57" s="1"/>
  <c r="H27" i="57"/>
  <c r="G27" i="57"/>
  <c r="F27" i="57"/>
  <c r="E27" i="57"/>
  <c r="D27" i="57"/>
  <c r="C27" i="57"/>
  <c r="H17" i="57"/>
  <c r="G17" i="57"/>
  <c r="F17" i="57"/>
  <c r="E17" i="57"/>
  <c r="D17" i="57"/>
  <c r="C17" i="57"/>
  <c r="H8" i="57"/>
  <c r="G8" i="57"/>
  <c r="F8" i="57"/>
  <c r="E8" i="57"/>
  <c r="D8" i="57"/>
  <c r="C8" i="57"/>
  <c r="H98" i="56"/>
  <c r="G98" i="56"/>
  <c r="F98" i="56"/>
  <c r="E98" i="56"/>
  <c r="D98" i="56"/>
  <c r="C98" i="56"/>
  <c r="H89" i="56"/>
  <c r="G89" i="56"/>
  <c r="F89" i="56"/>
  <c r="E89" i="56"/>
  <c r="D89" i="56"/>
  <c r="C89" i="56"/>
  <c r="H68" i="56"/>
  <c r="G68" i="56"/>
  <c r="F68" i="56"/>
  <c r="E68" i="56"/>
  <c r="D68" i="56"/>
  <c r="C68" i="56"/>
  <c r="H61" i="56"/>
  <c r="G61" i="56"/>
  <c r="F61" i="56"/>
  <c r="E61" i="56"/>
  <c r="D61" i="56"/>
  <c r="C61" i="56"/>
  <c r="H48" i="56"/>
  <c r="H41" i="56" s="1"/>
  <c r="G48" i="56"/>
  <c r="G41" i="56" s="1"/>
  <c r="F48" i="56"/>
  <c r="F41" i="56" s="1"/>
  <c r="E48" i="56"/>
  <c r="E41" i="56" s="1"/>
  <c r="D48" i="56"/>
  <c r="D41" i="56" s="1"/>
  <c r="C48" i="56"/>
  <c r="C41" i="56" s="1"/>
  <c r="H27" i="56"/>
  <c r="G27" i="56"/>
  <c r="F27" i="56"/>
  <c r="E27" i="56"/>
  <c r="D27" i="56"/>
  <c r="C27" i="56"/>
  <c r="H17" i="56"/>
  <c r="G17" i="56"/>
  <c r="F17" i="56"/>
  <c r="E17" i="56"/>
  <c r="D17" i="56"/>
  <c r="C17" i="56"/>
  <c r="H8" i="56"/>
  <c r="G8" i="56"/>
  <c r="F8" i="56"/>
  <c r="E8" i="56"/>
  <c r="D8" i="56"/>
  <c r="C8" i="56"/>
  <c r="H98" i="55"/>
  <c r="G98" i="55"/>
  <c r="F98" i="55"/>
  <c r="E98" i="55"/>
  <c r="D98" i="55"/>
  <c r="C98" i="55"/>
  <c r="H89" i="55"/>
  <c r="G89" i="55"/>
  <c r="F89" i="55"/>
  <c r="E89" i="55"/>
  <c r="D89" i="55"/>
  <c r="C89" i="55"/>
  <c r="H68" i="55"/>
  <c r="G68" i="55"/>
  <c r="F68" i="55"/>
  <c r="E68" i="55"/>
  <c r="D68" i="55"/>
  <c r="C68" i="55"/>
  <c r="H61" i="55"/>
  <c r="G61" i="55"/>
  <c r="F61" i="55"/>
  <c r="E61" i="55"/>
  <c r="D61" i="55"/>
  <c r="C61" i="55"/>
  <c r="H48" i="55"/>
  <c r="H41" i="55" s="1"/>
  <c r="G48" i="55"/>
  <c r="G41" i="55" s="1"/>
  <c r="F48" i="55"/>
  <c r="F41" i="55" s="1"/>
  <c r="E48" i="55"/>
  <c r="E41" i="55" s="1"/>
  <c r="D48" i="55"/>
  <c r="D41" i="55" s="1"/>
  <c r="C48" i="55"/>
  <c r="C41" i="55" s="1"/>
  <c r="H27" i="55"/>
  <c r="G27" i="55"/>
  <c r="F27" i="55"/>
  <c r="E27" i="55"/>
  <c r="D27" i="55"/>
  <c r="C27" i="55"/>
  <c r="H17" i="55"/>
  <c r="G17" i="55"/>
  <c r="F17" i="55"/>
  <c r="E17" i="55"/>
  <c r="D17" i="55"/>
  <c r="C17" i="55"/>
  <c r="H8" i="55"/>
  <c r="G8" i="55"/>
  <c r="F8" i="55"/>
  <c r="E8" i="55"/>
  <c r="D8" i="55"/>
  <c r="C8" i="55"/>
  <c r="I111" i="61"/>
  <c r="I98" i="61"/>
  <c r="I89" i="61"/>
  <c r="I68" i="61"/>
  <c r="I61" i="61"/>
  <c r="I48" i="61"/>
  <c r="I41" i="61" s="1"/>
  <c r="I27" i="61"/>
  <c r="I17" i="61"/>
  <c r="I8" i="61"/>
  <c r="I111" i="60"/>
  <c r="I98" i="60"/>
  <c r="I89" i="60"/>
  <c r="I68" i="60"/>
  <c r="I61" i="60"/>
  <c r="I48" i="60"/>
  <c r="I41" i="60" s="1"/>
  <c r="I27" i="60"/>
  <c r="I17" i="60"/>
  <c r="I8" i="60"/>
  <c r="I111" i="59"/>
  <c r="I98" i="59"/>
  <c r="I89" i="59"/>
  <c r="I68" i="59"/>
  <c r="I61" i="59"/>
  <c r="I48" i="59"/>
  <c r="I41" i="59" s="1"/>
  <c r="I27" i="59"/>
  <c r="I17" i="59"/>
  <c r="I8" i="59"/>
  <c r="I111" i="58"/>
  <c r="I98" i="58"/>
  <c r="I89" i="58"/>
  <c r="I68" i="58"/>
  <c r="I61" i="58"/>
  <c r="I48" i="58"/>
  <c r="I41" i="58" s="1"/>
  <c r="I27" i="58"/>
  <c r="I17" i="58"/>
  <c r="I8" i="58"/>
  <c r="I111" i="57"/>
  <c r="I98" i="57"/>
  <c r="I89" i="57"/>
  <c r="I68" i="57"/>
  <c r="I61" i="57"/>
  <c r="I48" i="57"/>
  <c r="I41" i="57" s="1"/>
  <c r="I27" i="57"/>
  <c r="I17" i="57"/>
  <c r="I8" i="57"/>
  <c r="I111" i="56"/>
  <c r="I98" i="56"/>
  <c r="I89" i="56"/>
  <c r="I68" i="56"/>
  <c r="I61" i="56"/>
  <c r="I48" i="56"/>
  <c r="I41" i="56" s="1"/>
  <c r="I27" i="56"/>
  <c r="I17" i="56"/>
  <c r="I8" i="56"/>
  <c r="C6" i="65" l="1"/>
  <c r="G59" i="65"/>
  <c r="F6" i="64"/>
  <c r="D87" i="64"/>
  <c r="E6" i="63"/>
  <c r="E39" i="63" s="1"/>
  <c r="E57" i="63" s="1"/>
  <c r="G6" i="63"/>
  <c r="G39" i="63" s="1"/>
  <c r="G57" i="63" s="1"/>
  <c r="E6" i="59"/>
  <c r="C6" i="64"/>
  <c r="C39" i="64" s="1"/>
  <c r="C57" i="64" s="1"/>
  <c r="C85" i="64" s="1"/>
  <c r="D87" i="56"/>
  <c r="F6" i="63"/>
  <c r="F39" i="63" s="1"/>
  <c r="F57" i="63" s="1"/>
  <c r="I6" i="59"/>
  <c r="G6" i="56"/>
  <c r="G39" i="56" s="1"/>
  <c r="G57" i="56" s="1"/>
  <c r="E59" i="57"/>
  <c r="H87" i="56"/>
  <c r="C87" i="61"/>
  <c r="I6" i="56"/>
  <c r="I6" i="60"/>
  <c r="H87" i="65"/>
  <c r="I86" i="66"/>
  <c r="G6" i="67"/>
  <c r="I59" i="66"/>
  <c r="E86" i="66"/>
  <c r="H6" i="66"/>
  <c r="H39" i="66" s="1"/>
  <c r="H57" i="66" s="1"/>
  <c r="H84" i="66" s="1"/>
  <c r="H86" i="66"/>
  <c r="H87" i="62"/>
  <c r="E6" i="62"/>
  <c r="F87" i="64"/>
  <c r="F39" i="64"/>
  <c r="I6" i="63"/>
  <c r="I39" i="63" s="1"/>
  <c r="I57" i="63" s="1"/>
  <c r="G87" i="63"/>
  <c r="I87" i="63"/>
  <c r="F39" i="61"/>
  <c r="F57" i="61" s="1"/>
  <c r="H59" i="61"/>
  <c r="D87" i="60"/>
  <c r="D6" i="58"/>
  <c r="D39" i="58" s="1"/>
  <c r="D57" i="58" s="1"/>
  <c r="H87" i="57"/>
  <c r="F87" i="56"/>
  <c r="F6" i="58"/>
  <c r="F39" i="58" s="1"/>
  <c r="F57" i="58" s="1"/>
  <c r="F85" i="58" s="1"/>
  <c r="G59" i="64"/>
  <c r="I6" i="65"/>
  <c r="I39" i="65" s="1"/>
  <c r="I57" i="65" s="1"/>
  <c r="H87" i="67"/>
  <c r="G6" i="64"/>
  <c r="G39" i="64" s="1"/>
  <c r="G57" i="64" s="1"/>
  <c r="C6" i="63"/>
  <c r="C39" i="63" s="1"/>
  <c r="C57" i="63" s="1"/>
  <c r="I6" i="57"/>
  <c r="I39" i="57" s="1"/>
  <c r="I57" i="57" s="1"/>
  <c r="I6" i="61"/>
  <c r="I39" i="61" s="1"/>
  <c r="I57" i="61" s="1"/>
  <c r="C6" i="56"/>
  <c r="C39" i="56" s="1"/>
  <c r="C57" i="56" s="1"/>
  <c r="D6" i="61"/>
  <c r="C59" i="61"/>
  <c r="D6" i="63"/>
  <c r="D39" i="63" s="1"/>
  <c r="D57" i="63" s="1"/>
  <c r="I59" i="64"/>
  <c r="F86" i="66"/>
  <c r="G87" i="58"/>
  <c r="D6" i="60"/>
  <c r="D39" i="60" s="1"/>
  <c r="D57" i="60" s="1"/>
  <c r="E6" i="61"/>
  <c r="E39" i="61" s="1"/>
  <c r="E57" i="61" s="1"/>
  <c r="D59" i="61"/>
  <c r="F59" i="61"/>
  <c r="D39" i="64"/>
  <c r="D57" i="64" s="1"/>
  <c r="I6" i="66"/>
  <c r="I39" i="66" s="1"/>
  <c r="I57" i="66" s="1"/>
  <c r="I6" i="58"/>
  <c r="I39" i="58" s="1"/>
  <c r="I57" i="58" s="1"/>
  <c r="H87" i="59"/>
  <c r="E59" i="61"/>
  <c r="C87" i="64"/>
  <c r="F6" i="56"/>
  <c r="F39" i="56" s="1"/>
  <c r="F59" i="57"/>
  <c r="F57" i="64"/>
  <c r="F85" i="64" s="1"/>
  <c r="F83" i="64" s="1"/>
  <c r="D59" i="66"/>
  <c r="F87" i="60"/>
  <c r="D39" i="61"/>
  <c r="D57" i="61" s="1"/>
  <c r="D85" i="61" s="1"/>
  <c r="E87" i="63"/>
  <c r="E6" i="64"/>
  <c r="E39" i="64" s="1"/>
  <c r="E57" i="64" s="1"/>
  <c r="D59" i="64"/>
  <c r="F59" i="64"/>
  <c r="E87" i="64"/>
  <c r="D86" i="66"/>
  <c r="C6" i="61"/>
  <c r="C39" i="61" s="1"/>
  <c r="C57" i="61" s="1"/>
  <c r="C85" i="61" s="1"/>
  <c r="G6" i="58"/>
  <c r="G39" i="58" s="1"/>
  <c r="G57" i="58" s="1"/>
  <c r="F6" i="55"/>
  <c r="F39" i="55" s="1"/>
  <c r="F57" i="55" s="1"/>
  <c r="H6" i="56"/>
  <c r="H39" i="56" s="1"/>
  <c r="H57" i="56" s="1"/>
  <c r="H87" i="58"/>
  <c r="C87" i="60"/>
  <c r="I6" i="62"/>
  <c r="I39" i="62" s="1"/>
  <c r="I57" i="62" s="1"/>
  <c r="I59" i="62"/>
  <c r="G87" i="62"/>
  <c r="E59" i="64"/>
  <c r="G87" i="64"/>
  <c r="I6" i="67"/>
  <c r="F59" i="67"/>
  <c r="H6" i="59"/>
  <c r="H39" i="59" s="1"/>
  <c r="H57" i="59" s="1"/>
  <c r="C87" i="59"/>
  <c r="E87" i="59"/>
  <c r="F59" i="59"/>
  <c r="E59" i="59"/>
  <c r="C87" i="67"/>
  <c r="C59" i="67"/>
  <c r="C85" i="67" s="1"/>
  <c r="C83" i="67" s="1"/>
  <c r="C86" i="66"/>
  <c r="C59" i="66"/>
  <c r="C87" i="65"/>
  <c r="C59" i="65"/>
  <c r="C39" i="65"/>
  <c r="C57" i="65" s="1"/>
  <c r="C87" i="63"/>
  <c r="C59" i="63"/>
  <c r="C87" i="62"/>
  <c r="C59" i="62"/>
  <c r="C6" i="62"/>
  <c r="C39" i="62" s="1"/>
  <c r="C57" i="62" s="1"/>
  <c r="C59" i="59"/>
  <c r="C6" i="59"/>
  <c r="C39" i="59" s="1"/>
  <c r="C57" i="59" s="1"/>
  <c r="C87" i="57"/>
  <c r="C59" i="57"/>
  <c r="C6" i="57"/>
  <c r="C39" i="57" s="1"/>
  <c r="C57" i="57" s="1"/>
  <c r="C87" i="56"/>
  <c r="C59" i="56"/>
  <c r="C87" i="55"/>
  <c r="D87" i="67"/>
  <c r="D59" i="67"/>
  <c r="D6" i="67"/>
  <c r="D39" i="67" s="1"/>
  <c r="D57" i="67" s="1"/>
  <c r="D85" i="67" s="1"/>
  <c r="D87" i="65"/>
  <c r="D59" i="65"/>
  <c r="D6" i="65"/>
  <c r="D39" i="65" s="1"/>
  <c r="D57" i="65" s="1"/>
  <c r="D87" i="63"/>
  <c r="D59" i="63"/>
  <c r="D87" i="62"/>
  <c r="D59" i="62"/>
  <c r="D6" i="62"/>
  <c r="D39" i="62" s="1"/>
  <c r="D57" i="62" s="1"/>
  <c r="D59" i="60"/>
  <c r="D87" i="58"/>
  <c r="D59" i="58"/>
  <c r="D87" i="57"/>
  <c r="D59" i="57"/>
  <c r="D6" i="57"/>
  <c r="D39" i="57" s="1"/>
  <c r="D57" i="57" s="1"/>
  <c r="D59" i="56"/>
  <c r="D6" i="56"/>
  <c r="D39" i="56" s="1"/>
  <c r="D57" i="56" s="1"/>
  <c r="D87" i="55"/>
  <c r="D59" i="55"/>
  <c r="D6" i="55"/>
  <c r="D39" i="55" s="1"/>
  <c r="D57" i="55" s="1"/>
  <c r="E87" i="67"/>
  <c r="E59" i="67"/>
  <c r="E6" i="67"/>
  <c r="E39" i="67" s="1"/>
  <c r="E57" i="67" s="1"/>
  <c r="E59" i="66"/>
  <c r="E6" i="66"/>
  <c r="E39" i="66" s="1"/>
  <c r="E57" i="66" s="1"/>
  <c r="E87" i="65"/>
  <c r="E59" i="65"/>
  <c r="E39" i="65"/>
  <c r="E57" i="65" s="1"/>
  <c r="E59" i="63"/>
  <c r="E87" i="62"/>
  <c r="E59" i="62"/>
  <c r="E39" i="62"/>
  <c r="E57" i="62" s="1"/>
  <c r="E39" i="59"/>
  <c r="E57" i="59" s="1"/>
  <c r="E87" i="58"/>
  <c r="E59" i="58"/>
  <c r="E6" i="58"/>
  <c r="E39" i="58" s="1"/>
  <c r="E57" i="58" s="1"/>
  <c r="E87" i="57"/>
  <c r="E6" i="57"/>
  <c r="E39" i="57" s="1"/>
  <c r="E57" i="57" s="1"/>
  <c r="E87" i="56"/>
  <c r="E59" i="56"/>
  <c r="E6" i="56"/>
  <c r="E39" i="56" s="1"/>
  <c r="E57" i="56" s="1"/>
  <c r="E59" i="55"/>
  <c r="E6" i="55"/>
  <c r="E39" i="55" s="1"/>
  <c r="E57" i="55" s="1"/>
  <c r="E85" i="55" s="1"/>
  <c r="F87" i="67"/>
  <c r="F6" i="67"/>
  <c r="F59" i="66"/>
  <c r="F57" i="66"/>
  <c r="F87" i="65"/>
  <c r="F59" i="65"/>
  <c r="F6" i="65"/>
  <c r="F39" i="65" s="1"/>
  <c r="F57" i="65" s="1"/>
  <c r="F87" i="63"/>
  <c r="F59" i="63"/>
  <c r="F59" i="60"/>
  <c r="F6" i="60"/>
  <c r="F39" i="60" s="1"/>
  <c r="F57" i="60" s="1"/>
  <c r="F87" i="59"/>
  <c r="F6" i="59"/>
  <c r="F39" i="59" s="1"/>
  <c r="F57" i="59" s="1"/>
  <c r="F87" i="58"/>
  <c r="F59" i="58"/>
  <c r="F87" i="57"/>
  <c r="F6" i="57"/>
  <c r="F39" i="57" s="1"/>
  <c r="F57" i="57" s="1"/>
  <c r="F85" i="57" s="1"/>
  <c r="F59" i="56"/>
  <c r="F57" i="56"/>
  <c r="F85" i="56" s="1"/>
  <c r="F83" i="56" s="1"/>
  <c r="G87" i="67"/>
  <c r="G59" i="67"/>
  <c r="G86" i="66"/>
  <c r="G59" i="66"/>
  <c r="G6" i="66"/>
  <c r="G39" i="66" s="1"/>
  <c r="G57" i="66" s="1"/>
  <c r="G84" i="66" s="1"/>
  <c r="G108" i="66" s="1"/>
  <c r="G117" i="66" s="1"/>
  <c r="G87" i="65"/>
  <c r="G6" i="65"/>
  <c r="G39" i="65" s="1"/>
  <c r="G57" i="65" s="1"/>
  <c r="G85" i="65" s="1"/>
  <c r="G59" i="63"/>
  <c r="G59" i="62"/>
  <c r="G6" i="62"/>
  <c r="G39" i="62" s="1"/>
  <c r="G57" i="62" s="1"/>
  <c r="G87" i="60"/>
  <c r="G59" i="60"/>
  <c r="G57" i="60"/>
  <c r="G87" i="61"/>
  <c r="G59" i="61"/>
  <c r="G39" i="61"/>
  <c r="G57" i="61" s="1"/>
  <c r="G87" i="59"/>
  <c r="G59" i="59"/>
  <c r="G6" i="59"/>
  <c r="G39" i="59" s="1"/>
  <c r="G57" i="59" s="1"/>
  <c r="G59" i="58"/>
  <c r="G87" i="57"/>
  <c r="G59" i="57"/>
  <c r="G6" i="57"/>
  <c r="G39" i="57" s="1"/>
  <c r="G57" i="57" s="1"/>
  <c r="G87" i="56"/>
  <c r="G59" i="56"/>
  <c r="H59" i="67"/>
  <c r="H6" i="67"/>
  <c r="H39" i="67" s="1"/>
  <c r="H57" i="67" s="1"/>
  <c r="H59" i="66"/>
  <c r="H59" i="65"/>
  <c r="H39" i="65"/>
  <c r="H57" i="65" s="1"/>
  <c r="H39" i="64"/>
  <c r="H57" i="64" s="1"/>
  <c r="H59" i="64"/>
  <c r="H87" i="64"/>
  <c r="H87" i="63"/>
  <c r="H59" i="63"/>
  <c r="H6" i="63"/>
  <c r="H39" i="63" s="1"/>
  <c r="H57" i="63" s="1"/>
  <c r="H59" i="62"/>
  <c r="H6" i="62"/>
  <c r="H39" i="62" s="1"/>
  <c r="H57" i="62" s="1"/>
  <c r="H59" i="60"/>
  <c r="H87" i="61"/>
  <c r="H6" i="61"/>
  <c r="H39" i="61" s="1"/>
  <c r="H57" i="61" s="1"/>
  <c r="H85" i="61" s="1"/>
  <c r="H59" i="59"/>
  <c r="H59" i="58"/>
  <c r="H6" i="58"/>
  <c r="H39" i="58" s="1"/>
  <c r="H57" i="58" s="1"/>
  <c r="H59" i="57"/>
  <c r="H6" i="57"/>
  <c r="H39" i="57" s="1"/>
  <c r="H57" i="57" s="1"/>
  <c r="H59" i="56"/>
  <c r="F59" i="55"/>
  <c r="E87" i="55"/>
  <c r="C6" i="55"/>
  <c r="C39" i="55" s="1"/>
  <c r="C57" i="55" s="1"/>
  <c r="F87" i="55"/>
  <c r="C59" i="55"/>
  <c r="G6" i="55"/>
  <c r="G39" i="55" s="1"/>
  <c r="G57" i="55" s="1"/>
  <c r="G59" i="55"/>
  <c r="G87" i="55"/>
  <c r="H6" i="55"/>
  <c r="H39" i="55" s="1"/>
  <c r="H57" i="55" s="1"/>
  <c r="I87" i="67"/>
  <c r="I59" i="67"/>
  <c r="I39" i="67"/>
  <c r="I57" i="67" s="1"/>
  <c r="G39" i="67"/>
  <c r="G57" i="67" s="1"/>
  <c r="I87" i="65"/>
  <c r="I59" i="65"/>
  <c r="C39" i="66"/>
  <c r="C57" i="66" s="1"/>
  <c r="C84" i="66" s="1"/>
  <c r="D39" i="66"/>
  <c r="D57" i="66" s="1"/>
  <c r="I39" i="64"/>
  <c r="I57" i="64" s="1"/>
  <c r="I59" i="63"/>
  <c r="I87" i="62"/>
  <c r="I87" i="60"/>
  <c r="I59" i="60"/>
  <c r="I39" i="60"/>
  <c r="I57" i="60" s="1"/>
  <c r="I87" i="61"/>
  <c r="I59" i="61"/>
  <c r="I87" i="59"/>
  <c r="I59" i="59"/>
  <c r="I39" i="59"/>
  <c r="I57" i="59" s="1"/>
  <c r="I87" i="58"/>
  <c r="I59" i="58"/>
  <c r="F85" i="61"/>
  <c r="H39" i="60"/>
  <c r="H57" i="60" s="1"/>
  <c r="C39" i="60"/>
  <c r="C57" i="60" s="1"/>
  <c r="C85" i="60" s="1"/>
  <c r="H87" i="55"/>
  <c r="H59" i="55"/>
  <c r="I87" i="57"/>
  <c r="I59" i="57"/>
  <c r="I87" i="56"/>
  <c r="I59" i="56"/>
  <c r="I39" i="56"/>
  <c r="I57" i="56" s="1"/>
  <c r="I17" i="55"/>
  <c r="I8" i="55"/>
  <c r="C85" i="65" l="1"/>
  <c r="C83" i="65" s="1"/>
  <c r="H85" i="65"/>
  <c r="E85" i="61"/>
  <c r="E85" i="57"/>
  <c r="G85" i="56"/>
  <c r="H85" i="56"/>
  <c r="H83" i="56" s="1"/>
  <c r="G109" i="56"/>
  <c r="G118" i="56" s="1"/>
  <c r="G122" i="56" s="1"/>
  <c r="G121" i="56" s="1"/>
  <c r="G124" i="56" s="1"/>
  <c r="E85" i="64"/>
  <c r="C109" i="64"/>
  <c r="C118" i="64" s="1"/>
  <c r="C122" i="64" s="1"/>
  <c r="C121" i="64" s="1"/>
  <c r="C124" i="64" s="1"/>
  <c r="H85" i="58"/>
  <c r="H83" i="58" s="1"/>
  <c r="H85" i="63"/>
  <c r="H83" i="63" s="1"/>
  <c r="F85" i="60"/>
  <c r="C85" i="63"/>
  <c r="C109" i="63" s="1"/>
  <c r="C118" i="63" s="1"/>
  <c r="C122" i="63" s="1"/>
  <c r="C121" i="63" s="1"/>
  <c r="C124" i="63" s="1"/>
  <c r="E85" i="63"/>
  <c r="E83" i="63" s="1"/>
  <c r="I84" i="66"/>
  <c r="I108" i="66" s="1"/>
  <c r="I117" i="66" s="1"/>
  <c r="I85" i="62"/>
  <c r="I83" i="62" s="1"/>
  <c r="D85" i="63"/>
  <c r="D109" i="63" s="1"/>
  <c r="D118" i="63" s="1"/>
  <c r="H85" i="59"/>
  <c r="H109" i="59" s="1"/>
  <c r="H118" i="59" s="1"/>
  <c r="H85" i="57"/>
  <c r="H109" i="57" s="1"/>
  <c r="H118" i="57" s="1"/>
  <c r="H122" i="57" s="1"/>
  <c r="H121" i="57" s="1"/>
  <c r="H124" i="57" s="1"/>
  <c r="F85" i="59"/>
  <c r="E85" i="56"/>
  <c r="E109" i="56" s="1"/>
  <c r="E118" i="56" s="1"/>
  <c r="E122" i="56" s="1"/>
  <c r="E121" i="56" s="1"/>
  <c r="E124" i="56" s="1"/>
  <c r="D85" i="65"/>
  <c r="D109" i="65" s="1"/>
  <c r="D118" i="65" s="1"/>
  <c r="C109" i="65"/>
  <c r="C118" i="65" s="1"/>
  <c r="C122" i="65" s="1"/>
  <c r="C121" i="65" s="1"/>
  <c r="C124" i="65" s="1"/>
  <c r="F85" i="65"/>
  <c r="F109" i="65" s="1"/>
  <c r="F118" i="65" s="1"/>
  <c r="F122" i="65" s="1"/>
  <c r="F121" i="65" s="1"/>
  <c r="F124" i="65" s="1"/>
  <c r="C85" i="62"/>
  <c r="C83" i="62" s="1"/>
  <c r="C83" i="64"/>
  <c r="G85" i="64"/>
  <c r="F109" i="58"/>
  <c r="F118" i="58" s="1"/>
  <c r="H85" i="67"/>
  <c r="H83" i="67" s="1"/>
  <c r="G83" i="64"/>
  <c r="G109" i="64"/>
  <c r="G118" i="64" s="1"/>
  <c r="G122" i="64" s="1"/>
  <c r="G121" i="64" s="1"/>
  <c r="G124" i="64" s="1"/>
  <c r="E109" i="64"/>
  <c r="E118" i="64" s="1"/>
  <c r="E122" i="64" s="1"/>
  <c r="E121" i="64" s="1"/>
  <c r="E124" i="64" s="1"/>
  <c r="E83" i="64"/>
  <c r="F109" i="64"/>
  <c r="F118" i="64" s="1"/>
  <c r="F122" i="64" s="1"/>
  <c r="F121" i="64" s="1"/>
  <c r="F124" i="64" s="1"/>
  <c r="C109" i="67"/>
  <c r="C118" i="67" s="1"/>
  <c r="C122" i="67" s="1"/>
  <c r="C121" i="67" s="1"/>
  <c r="C124" i="67" s="1"/>
  <c r="G85" i="58"/>
  <c r="G85" i="60"/>
  <c r="G109" i="60" s="1"/>
  <c r="G118" i="60" s="1"/>
  <c r="G122" i="60" s="1"/>
  <c r="G121" i="60" s="1"/>
  <c r="G124" i="60" s="1"/>
  <c r="D85" i="64"/>
  <c r="G85" i="63"/>
  <c r="G83" i="63" s="1"/>
  <c r="G85" i="59"/>
  <c r="G83" i="59" s="1"/>
  <c r="C85" i="56"/>
  <c r="C83" i="56" s="1"/>
  <c r="C85" i="59"/>
  <c r="C109" i="59" s="1"/>
  <c r="C118" i="59" s="1"/>
  <c r="C122" i="59" s="1"/>
  <c r="C121" i="59" s="1"/>
  <c r="C124" i="59" s="1"/>
  <c r="I85" i="64"/>
  <c r="I109" i="64" s="1"/>
  <c r="I118" i="64" s="1"/>
  <c r="D84" i="66"/>
  <c r="D108" i="66" s="1"/>
  <c r="D117" i="66" s="1"/>
  <c r="D121" i="66" s="1"/>
  <c r="D120" i="66" s="1"/>
  <c r="D123" i="66" s="1"/>
  <c r="F39" i="67"/>
  <c r="G85" i="67"/>
  <c r="G83" i="67" s="1"/>
  <c r="E85" i="59"/>
  <c r="E83" i="59" s="1"/>
  <c r="C109" i="62"/>
  <c r="C118" i="62" s="1"/>
  <c r="C122" i="62" s="1"/>
  <c r="C121" i="62" s="1"/>
  <c r="C124" i="62" s="1"/>
  <c r="C85" i="57"/>
  <c r="C83" i="57" s="1"/>
  <c r="D85" i="62"/>
  <c r="D109" i="62" s="1"/>
  <c r="D118" i="62" s="1"/>
  <c r="D122" i="62" s="1"/>
  <c r="D121" i="62" s="1"/>
  <c r="D124" i="62" s="1"/>
  <c r="D85" i="60"/>
  <c r="D83" i="60" s="1"/>
  <c r="D85" i="58"/>
  <c r="D109" i="58" s="1"/>
  <c r="D118" i="58" s="1"/>
  <c r="D122" i="58" s="1"/>
  <c r="D121" i="58" s="1"/>
  <c r="D124" i="58" s="1"/>
  <c r="D85" i="57"/>
  <c r="D83" i="57" s="1"/>
  <c r="D85" i="56"/>
  <c r="D83" i="56" s="1"/>
  <c r="D85" i="55"/>
  <c r="D109" i="55" s="1"/>
  <c r="D118" i="55" s="1"/>
  <c r="D122" i="55" s="1"/>
  <c r="D121" i="55" s="1"/>
  <c r="D124" i="55" s="1"/>
  <c r="E85" i="67"/>
  <c r="E109" i="67" s="1"/>
  <c r="E118" i="67" s="1"/>
  <c r="E122" i="67" s="1"/>
  <c r="E121" i="67" s="1"/>
  <c r="E124" i="67" s="1"/>
  <c r="E84" i="66"/>
  <c r="E82" i="66" s="1"/>
  <c r="E85" i="65"/>
  <c r="E83" i="65" s="1"/>
  <c r="F85" i="63"/>
  <c r="F83" i="63" s="1"/>
  <c r="E109" i="63"/>
  <c r="E118" i="63" s="1"/>
  <c r="E85" i="62"/>
  <c r="E83" i="62" s="1"/>
  <c r="E85" i="58"/>
  <c r="E83" i="58" s="1"/>
  <c r="E83" i="57"/>
  <c r="E109" i="57"/>
  <c r="E118" i="57" s="1"/>
  <c r="E122" i="57" s="1"/>
  <c r="E121" i="57" s="1"/>
  <c r="E124" i="57" s="1"/>
  <c r="E109" i="55"/>
  <c r="E118" i="55" s="1"/>
  <c r="E122" i="55" s="1"/>
  <c r="E121" i="55" s="1"/>
  <c r="E124" i="55" s="1"/>
  <c r="F84" i="66"/>
  <c r="F109" i="63"/>
  <c r="F118" i="63" s="1"/>
  <c r="F83" i="60"/>
  <c r="F109" i="60"/>
  <c r="F118" i="60" s="1"/>
  <c r="F122" i="60" s="1"/>
  <c r="F83" i="59"/>
  <c r="F109" i="59"/>
  <c r="F118" i="59" s="1"/>
  <c r="F122" i="59" s="1"/>
  <c r="F121" i="59" s="1"/>
  <c r="F124" i="59" s="1"/>
  <c r="F83" i="58"/>
  <c r="F122" i="58"/>
  <c r="F121" i="58" s="1"/>
  <c r="F124" i="58" s="1"/>
  <c r="F83" i="57"/>
  <c r="F109" i="57"/>
  <c r="F118" i="57" s="1"/>
  <c r="F122" i="57" s="1"/>
  <c r="F121" i="57" s="1"/>
  <c r="F124" i="57" s="1"/>
  <c r="F109" i="56"/>
  <c r="F118" i="56" s="1"/>
  <c r="F122" i="56" s="1"/>
  <c r="F121" i="56" s="1"/>
  <c r="F124" i="56" s="1"/>
  <c r="G121" i="66"/>
  <c r="G120" i="66" s="1"/>
  <c r="G123" i="66" s="1"/>
  <c r="G85" i="62"/>
  <c r="G83" i="62" s="1"/>
  <c r="G85" i="61"/>
  <c r="G85" i="57"/>
  <c r="G83" i="57" s="1"/>
  <c r="G83" i="56"/>
  <c r="C85" i="55"/>
  <c r="C109" i="55" s="1"/>
  <c r="C118" i="55" s="1"/>
  <c r="C122" i="55" s="1"/>
  <c r="C121" i="55" s="1"/>
  <c r="C124" i="55" s="1"/>
  <c r="E83" i="55"/>
  <c r="G85" i="55"/>
  <c r="G83" i="55" s="1"/>
  <c r="G82" i="66"/>
  <c r="H85" i="64"/>
  <c r="H109" i="64" s="1"/>
  <c r="H118" i="64" s="1"/>
  <c r="H122" i="64" s="1"/>
  <c r="H109" i="63"/>
  <c r="H118" i="63" s="1"/>
  <c r="H85" i="62"/>
  <c r="H109" i="62" s="1"/>
  <c r="H118" i="62" s="1"/>
  <c r="H122" i="62" s="1"/>
  <c r="H121" i="62" s="1"/>
  <c r="H124" i="62" s="1"/>
  <c r="H85" i="60"/>
  <c r="H83" i="60" s="1"/>
  <c r="H109" i="61"/>
  <c r="H118" i="61" s="1"/>
  <c r="H83" i="61"/>
  <c r="H109" i="58"/>
  <c r="H118" i="58" s="1"/>
  <c r="F85" i="55"/>
  <c r="I6" i="55"/>
  <c r="H85" i="55"/>
  <c r="H83" i="55" s="1"/>
  <c r="I85" i="67"/>
  <c r="I83" i="67" s="1"/>
  <c r="D109" i="67"/>
  <c r="D118" i="67" s="1"/>
  <c r="D122" i="67" s="1"/>
  <c r="D121" i="67" s="1"/>
  <c r="D124" i="67" s="1"/>
  <c r="D83" i="67"/>
  <c r="I85" i="65"/>
  <c r="I83" i="65" s="1"/>
  <c r="C108" i="66"/>
  <c r="C117" i="66" s="1"/>
  <c r="C121" i="66" s="1"/>
  <c r="C120" i="66" s="1"/>
  <c r="C123" i="66" s="1"/>
  <c r="C82" i="66"/>
  <c r="H82" i="66"/>
  <c r="H108" i="66"/>
  <c r="H117" i="66" s="1"/>
  <c r="H121" i="66" s="1"/>
  <c r="H120" i="66" s="1"/>
  <c r="H123" i="66" s="1"/>
  <c r="G83" i="65"/>
  <c r="G109" i="65"/>
  <c r="G118" i="65" s="1"/>
  <c r="H83" i="65"/>
  <c r="H109" i="65"/>
  <c r="H118" i="65" s="1"/>
  <c r="H122" i="65" s="1"/>
  <c r="H121" i="65" s="1"/>
  <c r="H124" i="65" s="1"/>
  <c r="D83" i="65"/>
  <c r="I83" i="64"/>
  <c r="I85" i="63"/>
  <c r="I83" i="63" s="1"/>
  <c r="I85" i="60"/>
  <c r="I109" i="60" s="1"/>
  <c r="I118" i="60" s="1"/>
  <c r="I122" i="60" s="1"/>
  <c r="I85" i="61"/>
  <c r="I109" i="61" s="1"/>
  <c r="I118" i="61" s="1"/>
  <c r="I122" i="61" s="1"/>
  <c r="I85" i="59"/>
  <c r="I109" i="59" s="1"/>
  <c r="I118" i="59" s="1"/>
  <c r="I122" i="59" s="1"/>
  <c r="I85" i="58"/>
  <c r="I83" i="58" s="1"/>
  <c r="F83" i="61"/>
  <c r="F109" i="61"/>
  <c r="F118" i="61" s="1"/>
  <c r="C109" i="61"/>
  <c r="C118" i="61" s="1"/>
  <c r="C83" i="61"/>
  <c r="D109" i="61"/>
  <c r="D118" i="61" s="1"/>
  <c r="D83" i="61"/>
  <c r="E83" i="61"/>
  <c r="E109" i="61"/>
  <c r="E118" i="61" s="1"/>
  <c r="C83" i="60"/>
  <c r="C109" i="60"/>
  <c r="C118" i="60" s="1"/>
  <c r="C122" i="60" s="1"/>
  <c r="C121" i="60" s="1"/>
  <c r="C124" i="60" s="1"/>
  <c r="C109" i="56"/>
  <c r="C118" i="56" s="1"/>
  <c r="C122" i="56" s="1"/>
  <c r="C121" i="56" s="1"/>
  <c r="C124" i="56" s="1"/>
  <c r="E83" i="56"/>
  <c r="I85" i="57"/>
  <c r="I109" i="57" s="1"/>
  <c r="I118" i="57" s="1"/>
  <c r="I85" i="56"/>
  <c r="I83" i="56" s="1"/>
  <c r="I61" i="55"/>
  <c r="I98" i="55"/>
  <c r="I68" i="55"/>
  <c r="I111" i="55"/>
  <c r="I48" i="55"/>
  <c r="I41" i="55" s="1"/>
  <c r="I27" i="55"/>
  <c r="I89" i="55"/>
  <c r="G109" i="67" l="1"/>
  <c r="G118" i="67" s="1"/>
  <c r="G122" i="67" s="1"/>
  <c r="G121" i="67" s="1"/>
  <c r="G124" i="67" s="1"/>
  <c r="F83" i="65"/>
  <c r="I109" i="62"/>
  <c r="I118" i="62" s="1"/>
  <c r="D83" i="62"/>
  <c r="G109" i="63"/>
  <c r="G118" i="63" s="1"/>
  <c r="D83" i="63"/>
  <c r="I109" i="63"/>
  <c r="I118" i="63" s="1"/>
  <c r="I121" i="63" s="1"/>
  <c r="I124" i="63" s="1"/>
  <c r="C83" i="59"/>
  <c r="H83" i="59"/>
  <c r="H83" i="57"/>
  <c r="H109" i="56"/>
  <c r="H118" i="56" s="1"/>
  <c r="H122" i="56" s="1"/>
  <c r="I82" i="66"/>
  <c r="E109" i="59"/>
  <c r="E118" i="59" s="1"/>
  <c r="E122" i="59" s="1"/>
  <c r="E121" i="59" s="1"/>
  <c r="E124" i="59" s="1"/>
  <c r="H109" i="60"/>
  <c r="H118" i="60" s="1"/>
  <c r="H122" i="60" s="1"/>
  <c r="H121" i="60" s="1"/>
  <c r="H124" i="60" s="1"/>
  <c r="I83" i="57"/>
  <c r="H83" i="62"/>
  <c r="G109" i="62"/>
  <c r="G118" i="62" s="1"/>
  <c r="G122" i="62" s="1"/>
  <c r="G121" i="62" s="1"/>
  <c r="G124" i="62" s="1"/>
  <c r="C83" i="63"/>
  <c r="H109" i="67"/>
  <c r="H118" i="67" s="1"/>
  <c r="H122" i="67" s="1"/>
  <c r="H121" i="67" s="1"/>
  <c r="H124" i="67" s="1"/>
  <c r="I83" i="60"/>
  <c r="G109" i="59"/>
  <c r="G118" i="59" s="1"/>
  <c r="G122" i="59" s="1"/>
  <c r="G121" i="59" s="1"/>
  <c r="G124" i="59" s="1"/>
  <c r="C109" i="57"/>
  <c r="C118" i="57" s="1"/>
  <c r="C122" i="57" s="1"/>
  <c r="C121" i="57" s="1"/>
  <c r="C124" i="57" s="1"/>
  <c r="I109" i="56"/>
  <c r="I118" i="56" s="1"/>
  <c r="I122" i="56" s="1"/>
  <c r="I121" i="56" s="1"/>
  <c r="D109" i="56"/>
  <c r="D118" i="56" s="1"/>
  <c r="D122" i="56" s="1"/>
  <c r="D121" i="56" s="1"/>
  <c r="D124" i="56" s="1"/>
  <c r="I109" i="67"/>
  <c r="I118" i="67" s="1"/>
  <c r="I122" i="67" s="1"/>
  <c r="I121" i="67" s="1"/>
  <c r="G109" i="55"/>
  <c r="G118" i="55" s="1"/>
  <c r="G122" i="55" s="1"/>
  <c r="G121" i="55" s="1"/>
  <c r="G124" i="55" s="1"/>
  <c r="H109" i="55"/>
  <c r="H118" i="55" s="1"/>
  <c r="H122" i="55" s="1"/>
  <c r="H121" i="55" s="1"/>
  <c r="H124" i="55" s="1"/>
  <c r="D83" i="55"/>
  <c r="D109" i="60"/>
  <c r="D118" i="60" s="1"/>
  <c r="D122" i="60" s="1"/>
  <c r="D121" i="60" s="1"/>
  <c r="D124" i="60" s="1"/>
  <c r="G109" i="58"/>
  <c r="G118" i="58" s="1"/>
  <c r="G122" i="58" s="1"/>
  <c r="G121" i="58" s="1"/>
  <c r="G124" i="58" s="1"/>
  <c r="G83" i="58"/>
  <c r="H122" i="58"/>
  <c r="H121" i="58" s="1"/>
  <c r="D82" i="66"/>
  <c r="I121" i="60"/>
  <c r="I121" i="61"/>
  <c r="D109" i="57"/>
  <c r="D118" i="57" s="1"/>
  <c r="D122" i="57" s="1"/>
  <c r="D121" i="57" s="1"/>
  <c r="D124" i="57" s="1"/>
  <c r="G83" i="60"/>
  <c r="E108" i="66"/>
  <c r="E117" i="66" s="1"/>
  <c r="E121" i="66" s="1"/>
  <c r="E120" i="66" s="1"/>
  <c r="E123" i="66" s="1"/>
  <c r="G122" i="63"/>
  <c r="G121" i="63" s="1"/>
  <c r="G124" i="63" s="1"/>
  <c r="H122" i="63"/>
  <c r="G109" i="57"/>
  <c r="G118" i="57" s="1"/>
  <c r="G122" i="57" s="1"/>
  <c r="G121" i="57" s="1"/>
  <c r="G124" i="57" s="1"/>
  <c r="E109" i="58"/>
  <c r="E118" i="58" s="1"/>
  <c r="E122" i="58" s="1"/>
  <c r="E121" i="58" s="1"/>
  <c r="E124" i="58" s="1"/>
  <c r="D83" i="58"/>
  <c r="D83" i="64"/>
  <c r="D109" i="64"/>
  <c r="D118" i="64" s="1"/>
  <c r="D122" i="64" s="1"/>
  <c r="D121" i="64" s="1"/>
  <c r="D124" i="64" s="1"/>
  <c r="F57" i="67"/>
  <c r="F85" i="67" s="1"/>
  <c r="I121" i="59"/>
  <c r="C83" i="55"/>
  <c r="D122" i="63"/>
  <c r="D121" i="63" s="1"/>
  <c r="D124" i="63" s="1"/>
  <c r="E83" i="67"/>
  <c r="E109" i="65"/>
  <c r="E118" i="65" s="1"/>
  <c r="E122" i="65" s="1"/>
  <c r="E121" i="65" s="1"/>
  <c r="E124" i="65" s="1"/>
  <c r="F122" i="63"/>
  <c r="F121" i="63" s="1"/>
  <c r="F124" i="63" s="1"/>
  <c r="E122" i="63"/>
  <c r="E121" i="63" s="1"/>
  <c r="E124" i="63" s="1"/>
  <c r="E109" i="62"/>
  <c r="E118" i="62" s="1"/>
  <c r="E122" i="62" s="1"/>
  <c r="E121" i="62" s="1"/>
  <c r="E124" i="62" s="1"/>
  <c r="F108" i="66"/>
  <c r="F117" i="66" s="1"/>
  <c r="F121" i="66" s="1"/>
  <c r="F120" i="66" s="1"/>
  <c r="F123" i="66" s="1"/>
  <c r="F82" i="66"/>
  <c r="F121" i="60"/>
  <c r="F124" i="60" s="1"/>
  <c r="D122" i="65"/>
  <c r="D121" i="65" s="1"/>
  <c r="D124" i="65" s="1"/>
  <c r="G122" i="65"/>
  <c r="G121" i="65" s="1"/>
  <c r="G124" i="65" s="1"/>
  <c r="G109" i="61"/>
  <c r="G118" i="61" s="1"/>
  <c r="G83" i="61"/>
  <c r="H122" i="59"/>
  <c r="H83" i="64"/>
  <c r="H121" i="64"/>
  <c r="F109" i="55"/>
  <c r="F118" i="55" s="1"/>
  <c r="F122" i="55" s="1"/>
  <c r="F121" i="55" s="1"/>
  <c r="F124" i="55" s="1"/>
  <c r="F83" i="55"/>
  <c r="I122" i="57"/>
  <c r="I121" i="57"/>
  <c r="I121" i="66"/>
  <c r="I109" i="65"/>
  <c r="I118" i="65" s="1"/>
  <c r="I122" i="64"/>
  <c r="I122" i="62"/>
  <c r="I83" i="61"/>
  <c r="I83" i="59"/>
  <c r="I109" i="58"/>
  <c r="I118" i="58" s="1"/>
  <c r="I122" i="58" s="1"/>
  <c r="I39" i="55"/>
  <c r="I57" i="55" s="1"/>
  <c r="I59" i="55"/>
  <c r="I87" i="55"/>
  <c r="H124" i="58" l="1"/>
  <c r="I124" i="60"/>
  <c r="I121" i="58"/>
  <c r="H121" i="63"/>
  <c r="H121" i="56"/>
  <c r="I124" i="61"/>
  <c r="I120" i="66"/>
  <c r="I124" i="57"/>
  <c r="I124" i="56"/>
  <c r="I121" i="62"/>
  <c r="I121" i="64"/>
  <c r="F83" i="67"/>
  <c r="F109" i="67"/>
  <c r="I124" i="67"/>
  <c r="H121" i="59"/>
  <c r="H124" i="59" s="1"/>
  <c r="I124" i="59"/>
  <c r="H124" i="64"/>
  <c r="I122" i="65"/>
  <c r="I85" i="55"/>
  <c r="H124" i="63" l="1"/>
  <c r="I123" i="66"/>
  <c r="I124" i="58"/>
  <c r="I124" i="64"/>
  <c r="H124" i="56"/>
  <c r="I124" i="62"/>
  <c r="F118" i="67"/>
  <c r="F122" i="67" s="1"/>
  <c r="F121" i="67" s="1"/>
  <c r="F124" i="67" s="1"/>
  <c r="I121" i="65"/>
  <c r="I109" i="55"/>
  <c r="I118" i="55" s="1"/>
  <c r="I83" i="55"/>
  <c r="I124" i="65" l="1"/>
  <c r="I122" i="55"/>
  <c r="I121" i="55" l="1"/>
  <c r="AH34" i="47"/>
  <c r="AE34" i="47"/>
  <c r="AD34" i="47"/>
  <c r="AC34" i="47"/>
  <c r="AB34" i="47"/>
  <c r="AS26" i="47"/>
  <c r="AR26" i="47"/>
  <c r="AQ26" i="47"/>
  <c r="AP26" i="47"/>
  <c r="AO26" i="47"/>
  <c r="AN26" i="47"/>
  <c r="AM26" i="47"/>
  <c r="AL26" i="47"/>
  <c r="AK26" i="47"/>
  <c r="AJ26" i="47"/>
  <c r="AI26" i="47"/>
  <c r="AH26" i="47"/>
  <c r="AG26" i="47"/>
  <c r="AF26" i="47"/>
  <c r="AE26" i="47"/>
  <c r="AD26" i="47"/>
  <c r="AC26" i="47"/>
  <c r="AB26" i="47"/>
  <c r="AA26" i="47"/>
  <c r="Z26" i="47"/>
  <c r="Y26" i="47"/>
  <c r="X26" i="47"/>
  <c r="W26" i="47"/>
  <c r="V26" i="47"/>
  <c r="U26" i="47"/>
  <c r="T26" i="47"/>
  <c r="S26" i="47"/>
  <c r="R26" i="47"/>
  <c r="Q26" i="47"/>
  <c r="P26" i="47"/>
  <c r="O26" i="47"/>
  <c r="N26" i="47"/>
  <c r="M26" i="47"/>
  <c r="L26" i="47"/>
  <c r="K26" i="47"/>
  <c r="J26" i="47"/>
  <c r="I26" i="47"/>
  <c r="H26" i="47"/>
  <c r="G26" i="47"/>
  <c r="AH25" i="47"/>
  <c r="AF25" i="47"/>
  <c r="AF29" i="47" s="1"/>
  <c r="AF34" i="47" s="1"/>
  <c r="AE25" i="47"/>
  <c r="AD25" i="47"/>
  <c r="AC25" i="47"/>
  <c r="AB25" i="47"/>
  <c r="X20" i="47"/>
  <c r="W20" i="47"/>
  <c r="W15" i="47" s="1"/>
  <c r="V20" i="47"/>
  <c r="V15" i="47" s="1"/>
  <c r="AM22" i="47"/>
  <c r="AM25" i="47" s="1"/>
  <c r="AL15" i="47"/>
  <c r="AK15" i="47"/>
  <c r="AJ15" i="47"/>
  <c r="AI15" i="47"/>
  <c r="AG15" i="47"/>
  <c r="AF15" i="47"/>
  <c r="AA15" i="47"/>
  <c r="Z15" i="47"/>
  <c r="Y15" i="47"/>
  <c r="X15" i="47"/>
  <c r="U15" i="47"/>
  <c r="T15" i="47"/>
  <c r="S15" i="47"/>
  <c r="R15" i="47"/>
  <c r="Q15" i="47"/>
  <c r="P15" i="47"/>
  <c r="O15" i="47"/>
  <c r="N15" i="47"/>
  <c r="M15" i="47"/>
  <c r="L15" i="47"/>
  <c r="K15" i="47"/>
  <c r="J15" i="47"/>
  <c r="I15" i="47"/>
  <c r="H15" i="47"/>
  <c r="G15" i="47"/>
  <c r="AS13" i="47"/>
  <c r="AA14" i="47"/>
  <c r="AR13" i="47"/>
  <c r="AQ13" i="47"/>
  <c r="AP13" i="47"/>
  <c r="AO13" i="47"/>
  <c r="AN13" i="47"/>
  <c r="AL13" i="47"/>
  <c r="AK13" i="47"/>
  <c r="AI13" i="47"/>
  <c r="AG13" i="47"/>
  <c r="AF13" i="47"/>
  <c r="AE13" i="47"/>
  <c r="AD13" i="47"/>
  <c r="AC13" i="47"/>
  <c r="AB13" i="47"/>
  <c r="AA13" i="47"/>
  <c r="Z13" i="47"/>
  <c r="Y13" i="47"/>
  <c r="X13" i="47"/>
  <c r="W13" i="47"/>
  <c r="V13" i="47"/>
  <c r="U13" i="47"/>
  <c r="T13" i="47"/>
  <c r="S13" i="47"/>
  <c r="R13" i="47"/>
  <c r="Q13" i="47"/>
  <c r="P13" i="47"/>
  <c r="O13" i="47"/>
  <c r="N13" i="47"/>
  <c r="M13" i="47"/>
  <c r="L13" i="47"/>
  <c r="K13" i="47"/>
  <c r="J13" i="47"/>
  <c r="I13" i="47"/>
  <c r="H13" i="47"/>
  <c r="G13" i="47"/>
  <c r="AS8" i="47"/>
  <c r="AS12" i="47" s="1"/>
  <c r="AR8" i="47"/>
  <c r="AR12" i="47" s="1"/>
  <c r="AR22" i="47" s="1"/>
  <c r="AR25" i="47" s="1"/>
  <c r="AQ8" i="47"/>
  <c r="AQ12" i="47" s="1"/>
  <c r="AP8" i="47"/>
  <c r="AP12" i="47" s="1"/>
  <c r="AO8" i="47"/>
  <c r="AO12" i="47" s="1"/>
  <c r="AN8" i="47"/>
  <c r="AN12" i="47" s="1"/>
  <c r="AM8" i="47"/>
  <c r="AL8" i="47"/>
  <c r="AK8" i="47"/>
  <c r="AK12" i="47" s="1"/>
  <c r="AJ8" i="47"/>
  <c r="AJ12" i="47" s="1"/>
  <c r="AJ22" i="47" s="1"/>
  <c r="AJ25" i="47" s="1"/>
  <c r="AI8" i="47"/>
  <c r="AH8" i="47"/>
  <c r="AG8" i="47"/>
  <c r="AG12" i="47" s="1"/>
  <c r="AG22" i="47" s="1"/>
  <c r="AG25" i="47" s="1"/>
  <c r="AG29" i="47" s="1"/>
  <c r="AG34" i="47" s="1"/>
  <c r="AF8" i="47"/>
  <c r="AF12" i="47" s="1"/>
  <c r="AE8" i="47"/>
  <c r="AE12" i="47" s="1"/>
  <c r="AD8" i="47"/>
  <c r="AD12" i="47" s="1"/>
  <c r="AC8" i="47"/>
  <c r="AC12" i="47" s="1"/>
  <c r="AB8" i="47"/>
  <c r="AB12" i="47" s="1"/>
  <c r="AA8" i="47"/>
  <c r="AA12" i="47" s="1"/>
  <c r="Z8" i="47"/>
  <c r="Z12" i="47" s="1"/>
  <c r="Z22" i="47" s="1"/>
  <c r="Z25" i="47" s="1"/>
  <c r="Z29" i="47" s="1"/>
  <c r="Z34" i="47" s="1"/>
  <c r="Y8" i="47"/>
  <c r="Y12" i="47" s="1"/>
  <c r="X8" i="47"/>
  <c r="X12" i="47" s="1"/>
  <c r="W8" i="47"/>
  <c r="W12" i="47" s="1"/>
  <c r="V8" i="47"/>
  <c r="V12" i="47" s="1"/>
  <c r="U8" i="47"/>
  <c r="U12" i="47" s="1"/>
  <c r="T8" i="47"/>
  <c r="T12" i="47" s="1"/>
  <c r="S8" i="47"/>
  <c r="S12" i="47" s="1"/>
  <c r="R8" i="47"/>
  <c r="R12" i="47" s="1"/>
  <c r="R22" i="47" s="1"/>
  <c r="R25" i="47" s="1"/>
  <c r="R29" i="47" s="1"/>
  <c r="R34" i="47" s="1"/>
  <c r="Q8" i="47"/>
  <c r="Q12" i="47" s="1"/>
  <c r="P8" i="47"/>
  <c r="P12" i="47" s="1"/>
  <c r="O8" i="47"/>
  <c r="O12" i="47" s="1"/>
  <c r="N8" i="47"/>
  <c r="N12" i="47" s="1"/>
  <c r="M8" i="47"/>
  <c r="M12" i="47" s="1"/>
  <c r="L8" i="47"/>
  <c r="L12" i="47" s="1"/>
  <c r="K8" i="47"/>
  <c r="K12" i="47" s="1"/>
  <c r="J8" i="47"/>
  <c r="J12" i="47" s="1"/>
  <c r="J22" i="47" s="1"/>
  <c r="J25" i="47" s="1"/>
  <c r="J29" i="47" s="1"/>
  <c r="J34" i="47" s="1"/>
  <c r="I8" i="47"/>
  <c r="I12" i="47" s="1"/>
  <c r="H8" i="47"/>
  <c r="H12" i="47" s="1"/>
  <c r="G8" i="47"/>
  <c r="G12" i="47" s="1"/>
  <c r="E62" i="46"/>
  <c r="D62" i="46"/>
  <c r="C62" i="46"/>
  <c r="F62" i="46"/>
  <c r="F45" i="46"/>
  <c r="E45" i="46"/>
  <c r="D45" i="46"/>
  <c r="C45" i="46"/>
  <c r="F33" i="46"/>
  <c r="E33" i="46"/>
  <c r="D33" i="46"/>
  <c r="C33" i="46"/>
  <c r="E32" i="46"/>
  <c r="D32" i="46"/>
  <c r="C32" i="46"/>
  <c r="F8" i="46"/>
  <c r="E8" i="46"/>
  <c r="D8" i="46"/>
  <c r="C8" i="46"/>
  <c r="C30" i="46" s="1"/>
  <c r="H28" i="45"/>
  <c r="G28" i="45"/>
  <c r="F28" i="45"/>
  <c r="E28" i="45"/>
  <c r="D28" i="45"/>
  <c r="H16" i="45"/>
  <c r="G16" i="45"/>
  <c r="F16" i="45"/>
  <c r="E16" i="45"/>
  <c r="D16" i="45"/>
  <c r="F14" i="45"/>
  <c r="H8" i="45"/>
  <c r="H13" i="45" s="1"/>
  <c r="H15" i="45" s="1"/>
  <c r="G8" i="45"/>
  <c r="G13" i="45" s="1"/>
  <c r="G15" i="45" s="1"/>
  <c r="F8" i="45"/>
  <c r="F13" i="45" s="1"/>
  <c r="E8" i="45"/>
  <c r="E13" i="45" s="1"/>
  <c r="E15" i="45" s="1"/>
  <c r="E24" i="45" s="1"/>
  <c r="E27" i="45" s="1"/>
  <c r="E31" i="45" s="1"/>
  <c r="E36" i="45" s="1"/>
  <c r="D8" i="45"/>
  <c r="D13" i="45" s="1"/>
  <c r="D15" i="45" s="1"/>
  <c r="D24" i="45" s="1"/>
  <c r="D27" i="45" s="1"/>
  <c r="D31" i="45" s="1"/>
  <c r="D36" i="45" s="1"/>
  <c r="I10" i="44"/>
  <c r="H10" i="44"/>
  <c r="G10" i="44"/>
  <c r="F10" i="44"/>
  <c r="E10" i="44"/>
  <c r="N66" i="43"/>
  <c r="M66" i="43"/>
  <c r="M72" i="43" s="1"/>
  <c r="L66" i="43"/>
  <c r="L72" i="43" s="1"/>
  <c r="K66" i="43"/>
  <c r="K72" i="43" s="1"/>
  <c r="J66" i="43"/>
  <c r="I66" i="43"/>
  <c r="H66" i="43"/>
  <c r="G66" i="43"/>
  <c r="F66" i="43"/>
  <c r="E66" i="43"/>
  <c r="D66" i="43"/>
  <c r="C66" i="43"/>
  <c r="N50" i="43"/>
  <c r="M50" i="43"/>
  <c r="L50" i="43"/>
  <c r="K50" i="43"/>
  <c r="J50" i="43"/>
  <c r="I50" i="43"/>
  <c r="H50" i="43"/>
  <c r="G50" i="43"/>
  <c r="F50" i="43"/>
  <c r="E50" i="43"/>
  <c r="D50" i="43"/>
  <c r="C50" i="43"/>
  <c r="N36" i="43"/>
  <c r="N65" i="43" s="1"/>
  <c r="M36" i="43"/>
  <c r="L36" i="43"/>
  <c r="K36" i="43"/>
  <c r="J36" i="43"/>
  <c r="I36" i="43"/>
  <c r="H36" i="43"/>
  <c r="G36" i="43"/>
  <c r="G65" i="43" s="1"/>
  <c r="F36" i="43"/>
  <c r="F65" i="43" s="1"/>
  <c r="E36" i="43"/>
  <c r="D36" i="43"/>
  <c r="C36" i="43"/>
  <c r="M35" i="43"/>
  <c r="L35" i="43"/>
  <c r="K35" i="43"/>
  <c r="J35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N8" i="43"/>
  <c r="M8" i="43"/>
  <c r="M33" i="43" s="1"/>
  <c r="L8" i="43"/>
  <c r="L33" i="43" s="1"/>
  <c r="K8" i="43"/>
  <c r="J8" i="43"/>
  <c r="J33" i="43" s="1"/>
  <c r="I8" i="43"/>
  <c r="H8" i="43"/>
  <c r="G8" i="43"/>
  <c r="F8" i="43"/>
  <c r="E8" i="43"/>
  <c r="E33" i="43" s="1"/>
  <c r="D8" i="43"/>
  <c r="D33" i="43" s="1"/>
  <c r="C8" i="43"/>
  <c r="C33" i="43" s="1"/>
  <c r="N32" i="42"/>
  <c r="M32" i="42"/>
  <c r="L32" i="42"/>
  <c r="K32" i="42"/>
  <c r="J32" i="42"/>
  <c r="I32" i="42"/>
  <c r="H32" i="42"/>
  <c r="G32" i="42"/>
  <c r="F32" i="42"/>
  <c r="E32" i="42"/>
  <c r="D32" i="42"/>
  <c r="C32" i="42"/>
  <c r="L30" i="42"/>
  <c r="L26" i="42"/>
  <c r="L22" i="42" s="1"/>
  <c r="N22" i="42"/>
  <c r="M22" i="42"/>
  <c r="K22" i="42"/>
  <c r="J22" i="42"/>
  <c r="I22" i="42"/>
  <c r="H22" i="42"/>
  <c r="G22" i="42"/>
  <c r="F22" i="42"/>
  <c r="E22" i="42"/>
  <c r="D22" i="42"/>
  <c r="C22" i="42"/>
  <c r="L21" i="42"/>
  <c r="L14" i="42" s="1"/>
  <c r="N14" i="42"/>
  <c r="M14" i="42"/>
  <c r="K14" i="42"/>
  <c r="J14" i="42"/>
  <c r="I14" i="42"/>
  <c r="H14" i="42"/>
  <c r="G14" i="42"/>
  <c r="F14" i="42"/>
  <c r="E14" i="42"/>
  <c r="D14" i="42"/>
  <c r="C14" i="42"/>
  <c r="M13" i="42"/>
  <c r="J13" i="42"/>
  <c r="N9" i="42"/>
  <c r="N13" i="42" s="1"/>
  <c r="M9" i="42"/>
  <c r="L9" i="42"/>
  <c r="L13" i="42" s="1"/>
  <c r="K9" i="42"/>
  <c r="K13" i="42" s="1"/>
  <c r="J9" i="42"/>
  <c r="I9" i="42"/>
  <c r="I13" i="42" s="1"/>
  <c r="I29" i="42" s="1"/>
  <c r="I31" i="42" s="1"/>
  <c r="I35" i="42" s="1"/>
  <c r="I38" i="42" s="1"/>
  <c r="H9" i="42"/>
  <c r="H13" i="42" s="1"/>
  <c r="H29" i="42" s="1"/>
  <c r="H31" i="42" s="1"/>
  <c r="H35" i="42" s="1"/>
  <c r="H38" i="42" s="1"/>
  <c r="G9" i="42"/>
  <c r="G13" i="42" s="1"/>
  <c r="F9" i="42"/>
  <c r="F13" i="42" s="1"/>
  <c r="E9" i="42"/>
  <c r="E13" i="42" s="1"/>
  <c r="E29" i="42" s="1"/>
  <c r="E31" i="42" s="1"/>
  <c r="E35" i="42" s="1"/>
  <c r="E38" i="42" s="1"/>
  <c r="D9" i="42"/>
  <c r="D13" i="42" s="1"/>
  <c r="D29" i="42" s="1"/>
  <c r="D31" i="42" s="1"/>
  <c r="D35" i="42" s="1"/>
  <c r="D38" i="42" s="1"/>
  <c r="C9" i="42"/>
  <c r="C13" i="42" s="1"/>
  <c r="AC52" i="40"/>
  <c r="AA52" i="40"/>
  <c r="AB52" i="40"/>
  <c r="Z52" i="40"/>
  <c r="Y52" i="40"/>
  <c r="X52" i="40"/>
  <c r="W52" i="40"/>
  <c r="V52" i="40"/>
  <c r="U52" i="40"/>
  <c r="T52" i="40"/>
  <c r="S52" i="40"/>
  <c r="R52" i="40"/>
  <c r="Q52" i="40"/>
  <c r="P52" i="40"/>
  <c r="O52" i="40"/>
  <c r="N52" i="40"/>
  <c r="M52" i="40"/>
  <c r="L52" i="40"/>
  <c r="K52" i="40"/>
  <c r="J52" i="40"/>
  <c r="I52" i="40"/>
  <c r="H52" i="40"/>
  <c r="G52" i="40"/>
  <c r="F52" i="40"/>
  <c r="E52" i="40"/>
  <c r="D52" i="40"/>
  <c r="C52" i="40"/>
  <c r="AC46" i="40"/>
  <c r="AB46" i="40"/>
  <c r="AA46" i="40"/>
  <c r="Z46" i="40"/>
  <c r="Y46" i="40"/>
  <c r="X46" i="40"/>
  <c r="W46" i="40"/>
  <c r="V46" i="40"/>
  <c r="U46" i="40"/>
  <c r="T46" i="40"/>
  <c r="S46" i="40"/>
  <c r="R46" i="40"/>
  <c r="Q46" i="40"/>
  <c r="P46" i="40"/>
  <c r="O46" i="40"/>
  <c r="N46" i="40"/>
  <c r="M46" i="40"/>
  <c r="L46" i="40"/>
  <c r="K46" i="40"/>
  <c r="J46" i="40"/>
  <c r="I46" i="40"/>
  <c r="H46" i="40"/>
  <c r="G46" i="40"/>
  <c r="F46" i="40"/>
  <c r="E46" i="40"/>
  <c r="D46" i="40"/>
  <c r="C46" i="40"/>
  <c r="T45" i="40"/>
  <c r="T34" i="40" s="1"/>
  <c r="AB34" i="40"/>
  <c r="AA34" i="40"/>
  <c r="Z34" i="40"/>
  <c r="Y34" i="40"/>
  <c r="X34" i="40"/>
  <c r="W34" i="40"/>
  <c r="V34" i="40"/>
  <c r="U34" i="40"/>
  <c r="S34" i="40"/>
  <c r="R34" i="40"/>
  <c r="Q34" i="40"/>
  <c r="P34" i="40"/>
  <c r="O34" i="40"/>
  <c r="N34" i="40"/>
  <c r="M34" i="40"/>
  <c r="L34" i="40"/>
  <c r="K34" i="40"/>
  <c r="J34" i="40"/>
  <c r="I34" i="40"/>
  <c r="H34" i="40"/>
  <c r="G34" i="40"/>
  <c r="F34" i="40"/>
  <c r="E34" i="40"/>
  <c r="D34" i="40"/>
  <c r="C34" i="40"/>
  <c r="AA33" i="40"/>
  <c r="Z33" i="40"/>
  <c r="W33" i="40"/>
  <c r="T33" i="40"/>
  <c r="S33" i="40"/>
  <c r="R33" i="40"/>
  <c r="Q33" i="40"/>
  <c r="P33" i="40"/>
  <c r="O33" i="40"/>
  <c r="AC28" i="40"/>
  <c r="AB28" i="40"/>
  <c r="AA28" i="40"/>
  <c r="Z28" i="40"/>
  <c r="Y28" i="40"/>
  <c r="X28" i="40"/>
  <c r="W28" i="40"/>
  <c r="V28" i="40"/>
  <c r="U28" i="40"/>
  <c r="T28" i="40"/>
  <c r="S28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F28" i="40"/>
  <c r="E28" i="40"/>
  <c r="D28" i="40"/>
  <c r="C28" i="40"/>
  <c r="AC19" i="40"/>
  <c r="AB19" i="40"/>
  <c r="AA19" i="40"/>
  <c r="AA18" i="40" s="1"/>
  <c r="Z19" i="40"/>
  <c r="Y19" i="40"/>
  <c r="X19" i="40"/>
  <c r="W19" i="40"/>
  <c r="V19" i="40"/>
  <c r="V18" i="40" s="1"/>
  <c r="U19" i="40"/>
  <c r="T19" i="40"/>
  <c r="S19" i="40"/>
  <c r="S18" i="40" s="1"/>
  <c r="R19" i="40"/>
  <c r="Q19" i="40"/>
  <c r="Q18" i="40" s="1"/>
  <c r="P19" i="40"/>
  <c r="P18" i="40" s="1"/>
  <c r="O19" i="40"/>
  <c r="N19" i="40"/>
  <c r="N18" i="40" s="1"/>
  <c r="M19" i="40"/>
  <c r="L19" i="40"/>
  <c r="K19" i="40"/>
  <c r="K18" i="40" s="1"/>
  <c r="J19" i="40"/>
  <c r="I19" i="40"/>
  <c r="H19" i="40"/>
  <c r="G19" i="40"/>
  <c r="G18" i="40" s="1"/>
  <c r="F19" i="40"/>
  <c r="F18" i="40" s="1"/>
  <c r="E19" i="40"/>
  <c r="D19" i="40"/>
  <c r="C19" i="40"/>
  <c r="C18" i="40" s="1"/>
  <c r="L18" i="40"/>
  <c r="H18" i="40"/>
  <c r="AC8" i="40"/>
  <c r="N13" i="40"/>
  <c r="N8" i="40" s="1"/>
  <c r="AB8" i="40"/>
  <c r="AA8" i="40"/>
  <c r="Z8" i="40"/>
  <c r="Y8" i="40"/>
  <c r="X8" i="40"/>
  <c r="W8" i="40"/>
  <c r="V8" i="40"/>
  <c r="U8" i="40"/>
  <c r="T8" i="40"/>
  <c r="S8" i="40"/>
  <c r="R8" i="40"/>
  <c r="Q8" i="40"/>
  <c r="P8" i="40"/>
  <c r="O8" i="40"/>
  <c r="M8" i="40"/>
  <c r="L8" i="40"/>
  <c r="K8" i="40"/>
  <c r="J8" i="40"/>
  <c r="I8" i="40"/>
  <c r="H8" i="40"/>
  <c r="G8" i="40"/>
  <c r="F8" i="40"/>
  <c r="E8" i="40"/>
  <c r="D8" i="40"/>
  <c r="C8" i="40"/>
  <c r="S90" i="39"/>
  <c r="S85" i="39"/>
  <c r="AC82" i="39"/>
  <c r="AB82" i="39"/>
  <c r="AA82" i="39"/>
  <c r="Z82" i="39"/>
  <c r="Y82" i="39"/>
  <c r="X82" i="39"/>
  <c r="R82" i="39"/>
  <c r="Q82" i="39"/>
  <c r="O82" i="39"/>
  <c r="N82" i="39"/>
  <c r="M82" i="39"/>
  <c r="L82" i="39"/>
  <c r="K82" i="39"/>
  <c r="J82" i="39"/>
  <c r="I82" i="39"/>
  <c r="H82" i="39"/>
  <c r="G82" i="39"/>
  <c r="F82" i="39"/>
  <c r="E82" i="39"/>
  <c r="D82" i="39"/>
  <c r="C82" i="39"/>
  <c r="X81" i="39"/>
  <c r="X68" i="39" s="1"/>
  <c r="S81" i="39"/>
  <c r="S68" i="39" s="1"/>
  <c r="N73" i="39"/>
  <c r="N68" i="39" s="1"/>
  <c r="AB68" i="39"/>
  <c r="AA68" i="39"/>
  <c r="Z68" i="39"/>
  <c r="Y68" i="39"/>
  <c r="R68" i="39"/>
  <c r="Q68" i="39"/>
  <c r="O68" i="39"/>
  <c r="M68" i="39"/>
  <c r="L68" i="39"/>
  <c r="K68" i="39"/>
  <c r="J68" i="39"/>
  <c r="I68" i="39"/>
  <c r="H68" i="39"/>
  <c r="G68" i="39"/>
  <c r="F68" i="39"/>
  <c r="E68" i="39"/>
  <c r="D68" i="39"/>
  <c r="C68" i="39"/>
  <c r="X66" i="39"/>
  <c r="X48" i="39" s="1"/>
  <c r="S66" i="39"/>
  <c r="S48" i="39" s="1"/>
  <c r="N66" i="39"/>
  <c r="N48" i="39" s="1"/>
  <c r="M66" i="39"/>
  <c r="M48" i="39" s="1"/>
  <c r="Z48" i="39"/>
  <c r="AC48" i="39"/>
  <c r="AB48" i="39"/>
  <c r="AA48" i="39"/>
  <c r="Y48" i="39"/>
  <c r="R48" i="39"/>
  <c r="Q48" i="39"/>
  <c r="O48" i="39"/>
  <c r="L48" i="39"/>
  <c r="K48" i="39"/>
  <c r="J48" i="39"/>
  <c r="I48" i="39"/>
  <c r="H48" i="39"/>
  <c r="G48" i="39"/>
  <c r="F48" i="39"/>
  <c r="E48" i="39"/>
  <c r="D48" i="39"/>
  <c r="C48" i="39"/>
  <c r="AA47" i="39"/>
  <c r="Z47" i="39"/>
  <c r="T47" i="39"/>
  <c r="AC37" i="39"/>
  <c r="AB37" i="39"/>
  <c r="AA37" i="39"/>
  <c r="Z37" i="39"/>
  <c r="Y37" i="39"/>
  <c r="X37" i="39"/>
  <c r="W37" i="39"/>
  <c r="V37" i="39"/>
  <c r="U37" i="39"/>
  <c r="T37" i="39"/>
  <c r="S37" i="39"/>
  <c r="R37" i="39"/>
  <c r="Q37" i="39"/>
  <c r="P37" i="39"/>
  <c r="O37" i="39"/>
  <c r="N37" i="39"/>
  <c r="M37" i="39"/>
  <c r="L37" i="39"/>
  <c r="K37" i="39"/>
  <c r="J37" i="39"/>
  <c r="I37" i="39"/>
  <c r="H37" i="39"/>
  <c r="G37" i="39"/>
  <c r="F37" i="39"/>
  <c r="E37" i="39"/>
  <c r="D37" i="39"/>
  <c r="C37" i="39"/>
  <c r="X36" i="39"/>
  <c r="X32" i="39"/>
  <c r="S29" i="39"/>
  <c r="S28" i="39" s="1"/>
  <c r="S27" i="39" s="1"/>
  <c r="AB28" i="39"/>
  <c r="AB27" i="39" s="1"/>
  <c r="AA28" i="39"/>
  <c r="Z28" i="39"/>
  <c r="Z27" i="39" s="1"/>
  <c r="Y28" i="39"/>
  <c r="W28" i="39"/>
  <c r="V28" i="39"/>
  <c r="U28" i="39"/>
  <c r="T28" i="39"/>
  <c r="R28" i="39"/>
  <c r="R27" i="39" s="1"/>
  <c r="Q28" i="39"/>
  <c r="P28" i="39"/>
  <c r="O28" i="39"/>
  <c r="N28" i="39"/>
  <c r="M28" i="39"/>
  <c r="L28" i="39"/>
  <c r="K28" i="39"/>
  <c r="J28" i="39"/>
  <c r="J27" i="39" s="1"/>
  <c r="I28" i="39"/>
  <c r="H28" i="39"/>
  <c r="G28" i="39"/>
  <c r="F28" i="39"/>
  <c r="E28" i="39"/>
  <c r="D28" i="39"/>
  <c r="D27" i="39" s="1"/>
  <c r="C28" i="39"/>
  <c r="C27" i="39" s="1"/>
  <c r="N25" i="39"/>
  <c r="N8" i="39" s="1"/>
  <c r="AC8" i="39"/>
  <c r="N9" i="39"/>
  <c r="L9" i="39"/>
  <c r="AB8" i="39"/>
  <c r="AA8" i="39"/>
  <c r="Z8" i="39"/>
  <c r="Y8" i="39"/>
  <c r="X8" i="39"/>
  <c r="W8" i="39"/>
  <c r="V8" i="39"/>
  <c r="U8" i="39"/>
  <c r="T8" i="39"/>
  <c r="S8" i="39"/>
  <c r="R8" i="39"/>
  <c r="Q8" i="39"/>
  <c r="P8" i="39"/>
  <c r="O8" i="39"/>
  <c r="M8" i="39"/>
  <c r="L8" i="39"/>
  <c r="K8" i="39"/>
  <c r="J8" i="39"/>
  <c r="I8" i="39"/>
  <c r="H8" i="39"/>
  <c r="G8" i="39"/>
  <c r="F8" i="39"/>
  <c r="E8" i="39"/>
  <c r="D8" i="39"/>
  <c r="C8" i="39"/>
  <c r="Q24" i="38"/>
  <c r="P24" i="38"/>
  <c r="O24" i="38"/>
  <c r="N24" i="38"/>
  <c r="M24" i="38"/>
  <c r="L24" i="38"/>
  <c r="K24" i="38"/>
  <c r="J24" i="38"/>
  <c r="I24" i="38"/>
  <c r="H24" i="38"/>
  <c r="G24" i="38"/>
  <c r="F24" i="38"/>
  <c r="E24" i="38"/>
  <c r="D24" i="38"/>
  <c r="C24" i="38"/>
  <c r="Q14" i="38"/>
  <c r="P14" i="38"/>
  <c r="O14" i="38"/>
  <c r="N14" i="38"/>
  <c r="M14" i="38"/>
  <c r="L14" i="38"/>
  <c r="K14" i="38"/>
  <c r="J14" i="38"/>
  <c r="I14" i="38"/>
  <c r="H14" i="38"/>
  <c r="G14" i="38"/>
  <c r="F14" i="38"/>
  <c r="E14" i="38"/>
  <c r="D14" i="38"/>
  <c r="C14" i="38"/>
  <c r="H13" i="38"/>
  <c r="H21" i="38" s="1"/>
  <c r="H23" i="38" s="1"/>
  <c r="H27" i="38" s="1"/>
  <c r="H31" i="38" s="1"/>
  <c r="Q9" i="38"/>
  <c r="Q13" i="38" s="1"/>
  <c r="P9" i="38"/>
  <c r="P13" i="38" s="1"/>
  <c r="P21" i="38" s="1"/>
  <c r="P23" i="38" s="1"/>
  <c r="P27" i="38" s="1"/>
  <c r="P31" i="38" s="1"/>
  <c r="O9" i="38"/>
  <c r="O13" i="38" s="1"/>
  <c r="O21" i="38" s="1"/>
  <c r="O23" i="38" s="1"/>
  <c r="O27" i="38" s="1"/>
  <c r="O31" i="38" s="1"/>
  <c r="N9" i="38"/>
  <c r="N13" i="38" s="1"/>
  <c r="N21" i="38" s="1"/>
  <c r="N23" i="38" s="1"/>
  <c r="N27" i="38" s="1"/>
  <c r="N31" i="38" s="1"/>
  <c r="M9" i="38"/>
  <c r="M13" i="38" s="1"/>
  <c r="M21" i="38" s="1"/>
  <c r="M23" i="38" s="1"/>
  <c r="M27" i="38" s="1"/>
  <c r="M31" i="38" s="1"/>
  <c r="L9" i="38"/>
  <c r="L13" i="38" s="1"/>
  <c r="L21" i="38" s="1"/>
  <c r="L23" i="38" s="1"/>
  <c r="L27" i="38" s="1"/>
  <c r="L31" i="38" s="1"/>
  <c r="K9" i="38"/>
  <c r="K13" i="38" s="1"/>
  <c r="J9" i="38"/>
  <c r="J13" i="38" s="1"/>
  <c r="J21" i="38" s="1"/>
  <c r="J23" i="38" s="1"/>
  <c r="I9" i="38"/>
  <c r="I13" i="38" s="1"/>
  <c r="H9" i="38"/>
  <c r="G9" i="38"/>
  <c r="G13" i="38" s="1"/>
  <c r="G21" i="38" s="1"/>
  <c r="G23" i="38" s="1"/>
  <c r="G27" i="38" s="1"/>
  <c r="G31" i="38" s="1"/>
  <c r="F9" i="38"/>
  <c r="F13" i="38" s="1"/>
  <c r="F21" i="38" s="1"/>
  <c r="F23" i="38" s="1"/>
  <c r="F27" i="38" s="1"/>
  <c r="F31" i="38" s="1"/>
  <c r="E9" i="38"/>
  <c r="E13" i="38" s="1"/>
  <c r="E21" i="38" s="1"/>
  <c r="E23" i="38" s="1"/>
  <c r="E27" i="38" s="1"/>
  <c r="E31" i="38" s="1"/>
  <c r="D9" i="38"/>
  <c r="D13" i="38" s="1"/>
  <c r="D21" i="38" s="1"/>
  <c r="D23" i="38" s="1"/>
  <c r="D27" i="38" s="1"/>
  <c r="D31" i="38" s="1"/>
  <c r="C9" i="38"/>
  <c r="C13" i="38" s="1"/>
  <c r="N32" i="37"/>
  <c r="AC31" i="37"/>
  <c r="AB31" i="37"/>
  <c r="AA31" i="37"/>
  <c r="Z31" i="37"/>
  <c r="Y31" i="37"/>
  <c r="X31" i="37"/>
  <c r="W31" i="37"/>
  <c r="V31" i="37"/>
  <c r="U31" i="37"/>
  <c r="T31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E31" i="37"/>
  <c r="D31" i="37"/>
  <c r="C31" i="37"/>
  <c r="G25" i="37"/>
  <c r="G21" i="37" s="1"/>
  <c r="AC21" i="37"/>
  <c r="AB21" i="37"/>
  <c r="AA21" i="37"/>
  <c r="Z21" i="37"/>
  <c r="Y21" i="37"/>
  <c r="X21" i="37"/>
  <c r="W21" i="37"/>
  <c r="V21" i="37"/>
  <c r="U21" i="37"/>
  <c r="T21" i="37"/>
  <c r="S21" i="37"/>
  <c r="R21" i="37"/>
  <c r="Q21" i="37"/>
  <c r="P21" i="37"/>
  <c r="O21" i="37"/>
  <c r="N21" i="37"/>
  <c r="M21" i="37"/>
  <c r="L21" i="37"/>
  <c r="K21" i="37"/>
  <c r="J21" i="37"/>
  <c r="I21" i="37"/>
  <c r="H21" i="37"/>
  <c r="F21" i="37"/>
  <c r="E21" i="37"/>
  <c r="D21" i="37"/>
  <c r="C21" i="37"/>
  <c r="U19" i="37"/>
  <c r="AC9" i="37"/>
  <c r="AC19" i="37" s="1"/>
  <c r="AB9" i="37"/>
  <c r="AB19" i="37" s="1"/>
  <c r="AA9" i="37"/>
  <c r="AA19" i="37" s="1"/>
  <c r="Z9" i="37"/>
  <c r="Z19" i="37" s="1"/>
  <c r="Z28" i="37" s="1"/>
  <c r="Z30" i="37" s="1"/>
  <c r="Z34" i="37" s="1"/>
  <c r="Z39" i="37" s="1"/>
  <c r="Y9" i="37"/>
  <c r="Y19" i="37" s="1"/>
  <c r="Y28" i="37" s="1"/>
  <c r="Y30" i="37" s="1"/>
  <c r="Y34" i="37" s="1"/>
  <c r="Y39" i="37" s="1"/>
  <c r="X9" i="37"/>
  <c r="X19" i="37" s="1"/>
  <c r="X28" i="37" s="1"/>
  <c r="X30" i="37" s="1"/>
  <c r="X34" i="37" s="1"/>
  <c r="X39" i="37" s="1"/>
  <c r="W9" i="37"/>
  <c r="W19" i="37" s="1"/>
  <c r="W28" i="37" s="1"/>
  <c r="W30" i="37" s="1"/>
  <c r="V9" i="37"/>
  <c r="V19" i="37" s="1"/>
  <c r="U9" i="37"/>
  <c r="T9" i="37"/>
  <c r="T19" i="37" s="1"/>
  <c r="T28" i="37" s="1"/>
  <c r="T30" i="37" s="1"/>
  <c r="T34" i="37" s="1"/>
  <c r="T39" i="37" s="1"/>
  <c r="S9" i="37"/>
  <c r="S19" i="37" s="1"/>
  <c r="R9" i="37"/>
  <c r="R19" i="37" s="1"/>
  <c r="R28" i="37" s="1"/>
  <c r="R30" i="37" s="1"/>
  <c r="R34" i="37" s="1"/>
  <c r="R39" i="37" s="1"/>
  <c r="Q9" i="37"/>
  <c r="Q19" i="37" s="1"/>
  <c r="Q28" i="37" s="1"/>
  <c r="Q30" i="37" s="1"/>
  <c r="Q34" i="37" s="1"/>
  <c r="Q39" i="37" s="1"/>
  <c r="P9" i="37"/>
  <c r="P19" i="37" s="1"/>
  <c r="P28" i="37" s="1"/>
  <c r="P30" i="37" s="1"/>
  <c r="P34" i="37" s="1"/>
  <c r="P39" i="37" s="1"/>
  <c r="O9" i="37"/>
  <c r="O19" i="37" s="1"/>
  <c r="O28" i="37" s="1"/>
  <c r="O30" i="37" s="1"/>
  <c r="N9" i="37"/>
  <c r="N19" i="37" s="1"/>
  <c r="N28" i="37" s="1"/>
  <c r="N30" i="37" s="1"/>
  <c r="N34" i="37" s="1"/>
  <c r="N39" i="37" s="1"/>
  <c r="M9" i="37"/>
  <c r="M19" i="37" s="1"/>
  <c r="M28" i="37" s="1"/>
  <c r="M30" i="37" s="1"/>
  <c r="M34" i="37" s="1"/>
  <c r="M39" i="37" s="1"/>
  <c r="L9" i="37"/>
  <c r="L19" i="37" s="1"/>
  <c r="K9" i="37"/>
  <c r="K19" i="37" s="1"/>
  <c r="J9" i="37"/>
  <c r="J19" i="37" s="1"/>
  <c r="J28" i="37" s="1"/>
  <c r="J30" i="37" s="1"/>
  <c r="J34" i="37" s="1"/>
  <c r="J39" i="37" s="1"/>
  <c r="I9" i="37"/>
  <c r="I19" i="37" s="1"/>
  <c r="I28" i="37" s="1"/>
  <c r="I30" i="37" s="1"/>
  <c r="I34" i="37" s="1"/>
  <c r="I39" i="37" s="1"/>
  <c r="H9" i="37"/>
  <c r="H19" i="37" s="1"/>
  <c r="H28" i="37" s="1"/>
  <c r="H30" i="37" s="1"/>
  <c r="H34" i="37" s="1"/>
  <c r="H39" i="37" s="1"/>
  <c r="G9" i="37"/>
  <c r="G19" i="37" s="1"/>
  <c r="G28" i="37" s="1"/>
  <c r="G30" i="37" s="1"/>
  <c r="F9" i="37"/>
  <c r="F19" i="37" s="1"/>
  <c r="F28" i="37" s="1"/>
  <c r="F30" i="37" s="1"/>
  <c r="F34" i="37" s="1"/>
  <c r="F39" i="37" s="1"/>
  <c r="E9" i="37"/>
  <c r="E19" i="37" s="1"/>
  <c r="E28" i="37" s="1"/>
  <c r="E30" i="37" s="1"/>
  <c r="E34" i="37" s="1"/>
  <c r="E39" i="37" s="1"/>
  <c r="D9" i="37"/>
  <c r="D19" i="37" s="1"/>
  <c r="C9" i="37"/>
  <c r="C19" i="37" s="1"/>
  <c r="AC25" i="36"/>
  <c r="AB25" i="36"/>
  <c r="AA25" i="36"/>
  <c r="Z25" i="36"/>
  <c r="Y25" i="36"/>
  <c r="X25" i="36"/>
  <c r="W25" i="36"/>
  <c r="V25" i="36"/>
  <c r="U25" i="36"/>
  <c r="T25" i="36"/>
  <c r="S25" i="36"/>
  <c r="R25" i="36"/>
  <c r="Q25" i="36"/>
  <c r="P25" i="36"/>
  <c r="O25" i="36"/>
  <c r="N25" i="36"/>
  <c r="M25" i="36"/>
  <c r="L25" i="36"/>
  <c r="K25" i="36"/>
  <c r="J25" i="36"/>
  <c r="I25" i="36"/>
  <c r="H25" i="36"/>
  <c r="G25" i="36"/>
  <c r="F25" i="36"/>
  <c r="E25" i="36"/>
  <c r="D25" i="36"/>
  <c r="C25" i="36"/>
  <c r="O19" i="36"/>
  <c r="O15" i="36" s="1"/>
  <c r="V15" i="36"/>
  <c r="U15" i="36"/>
  <c r="T15" i="36"/>
  <c r="S15" i="36"/>
  <c r="R15" i="36"/>
  <c r="Q15" i="36"/>
  <c r="P15" i="36"/>
  <c r="N15" i="36"/>
  <c r="M15" i="36"/>
  <c r="L15" i="36"/>
  <c r="K15" i="36"/>
  <c r="J15" i="36"/>
  <c r="I15" i="36"/>
  <c r="H15" i="36"/>
  <c r="G15" i="36"/>
  <c r="F15" i="36"/>
  <c r="E15" i="36"/>
  <c r="D15" i="36"/>
  <c r="C15" i="36"/>
  <c r="AC9" i="36"/>
  <c r="AC14" i="36" s="1"/>
  <c r="AB9" i="36"/>
  <c r="AB14" i="36" s="1"/>
  <c r="AB22" i="36" s="1"/>
  <c r="AB24" i="36" s="1"/>
  <c r="AB28" i="36" s="1"/>
  <c r="AB31" i="36" s="1"/>
  <c r="AA9" i="36"/>
  <c r="AA14" i="36" s="1"/>
  <c r="AA22" i="36" s="1"/>
  <c r="AA24" i="36" s="1"/>
  <c r="Z9" i="36"/>
  <c r="Z14" i="36" s="1"/>
  <c r="Z22" i="36" s="1"/>
  <c r="Z24" i="36" s="1"/>
  <c r="Y9" i="36"/>
  <c r="Y14" i="36" s="1"/>
  <c r="Y22" i="36" s="1"/>
  <c r="Y24" i="36" s="1"/>
  <c r="X9" i="36"/>
  <c r="X14" i="36" s="1"/>
  <c r="W9" i="36"/>
  <c r="W14" i="36" s="1"/>
  <c r="V9" i="36"/>
  <c r="V14" i="36" s="1"/>
  <c r="U9" i="36"/>
  <c r="U14" i="36" s="1"/>
  <c r="T9" i="36"/>
  <c r="T14" i="36" s="1"/>
  <c r="T22" i="36" s="1"/>
  <c r="T24" i="36" s="1"/>
  <c r="T28" i="36" s="1"/>
  <c r="T31" i="36" s="1"/>
  <c r="S9" i="36"/>
  <c r="S14" i="36" s="1"/>
  <c r="R9" i="36"/>
  <c r="R14" i="36" s="1"/>
  <c r="R22" i="36" s="1"/>
  <c r="R24" i="36" s="1"/>
  <c r="Q9" i="36"/>
  <c r="Q14" i="36" s="1"/>
  <c r="Q22" i="36" s="1"/>
  <c r="Q24" i="36" s="1"/>
  <c r="P9" i="36"/>
  <c r="P14" i="36" s="1"/>
  <c r="O9" i="36"/>
  <c r="O14" i="36" s="1"/>
  <c r="N9" i="36"/>
  <c r="N14" i="36" s="1"/>
  <c r="M9" i="36"/>
  <c r="M14" i="36" s="1"/>
  <c r="L9" i="36"/>
  <c r="L14" i="36" s="1"/>
  <c r="L22" i="36" s="1"/>
  <c r="L24" i="36" s="1"/>
  <c r="L28" i="36" s="1"/>
  <c r="L31" i="36" s="1"/>
  <c r="K9" i="36"/>
  <c r="K14" i="36" s="1"/>
  <c r="K22" i="36" s="1"/>
  <c r="K24" i="36" s="1"/>
  <c r="J9" i="36"/>
  <c r="J14" i="36" s="1"/>
  <c r="J22" i="36" s="1"/>
  <c r="J24" i="36" s="1"/>
  <c r="I9" i="36"/>
  <c r="I14" i="36" s="1"/>
  <c r="H9" i="36"/>
  <c r="H14" i="36" s="1"/>
  <c r="G9" i="36"/>
  <c r="G14" i="36" s="1"/>
  <c r="F9" i="36"/>
  <c r="F14" i="36" s="1"/>
  <c r="E9" i="36"/>
  <c r="E14" i="36" s="1"/>
  <c r="D9" i="36"/>
  <c r="D14" i="36" s="1"/>
  <c r="D22" i="36" s="1"/>
  <c r="D24" i="36" s="1"/>
  <c r="D28" i="36" s="1"/>
  <c r="D31" i="36" s="1"/>
  <c r="C9" i="36"/>
  <c r="C14" i="36" s="1"/>
  <c r="C22" i="36" s="1"/>
  <c r="C24" i="36" s="1"/>
  <c r="L35" i="35"/>
  <c r="AC31" i="35"/>
  <c r="AB31" i="35"/>
  <c r="AA31" i="35"/>
  <c r="Z31" i="35"/>
  <c r="Y31" i="35"/>
  <c r="X31" i="35"/>
  <c r="W31" i="35"/>
  <c r="V31" i="35"/>
  <c r="U31" i="35"/>
  <c r="T31" i="35"/>
  <c r="S31" i="35"/>
  <c r="R31" i="35"/>
  <c r="Q31" i="35"/>
  <c r="P31" i="35"/>
  <c r="O31" i="35"/>
  <c r="N31" i="35"/>
  <c r="M31" i="35"/>
  <c r="L31" i="35"/>
  <c r="K31" i="35"/>
  <c r="J31" i="35"/>
  <c r="I31" i="35"/>
  <c r="H31" i="35"/>
  <c r="G31" i="35"/>
  <c r="F31" i="35"/>
  <c r="E31" i="35"/>
  <c r="D31" i="35"/>
  <c r="C31" i="35"/>
  <c r="AB21" i="35"/>
  <c r="AA21" i="35"/>
  <c r="Z21" i="35"/>
  <c r="Y21" i="35"/>
  <c r="X21" i="35"/>
  <c r="W21" i="35"/>
  <c r="V21" i="35"/>
  <c r="U21" i="35"/>
  <c r="T21" i="35"/>
  <c r="S21" i="35"/>
  <c r="R21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D21" i="35"/>
  <c r="C21" i="35"/>
  <c r="AC9" i="35"/>
  <c r="AC19" i="35" s="1"/>
  <c r="O14" i="35"/>
  <c r="AB9" i="35"/>
  <c r="AB19" i="35" s="1"/>
  <c r="AB28" i="35" s="1"/>
  <c r="AB30" i="35" s="1"/>
  <c r="AA9" i="35"/>
  <c r="AA19" i="35" s="1"/>
  <c r="Z9" i="35"/>
  <c r="Z19" i="35" s="1"/>
  <c r="Y9" i="35"/>
  <c r="Y19" i="35" s="1"/>
  <c r="Y28" i="35" s="1"/>
  <c r="Y30" i="35" s="1"/>
  <c r="X9" i="35"/>
  <c r="X19" i="35" s="1"/>
  <c r="W9" i="35"/>
  <c r="W19" i="35" s="1"/>
  <c r="V9" i="35"/>
  <c r="V19" i="35" s="1"/>
  <c r="U9" i="35"/>
  <c r="U19" i="35" s="1"/>
  <c r="T9" i="35"/>
  <c r="T19" i="35" s="1"/>
  <c r="T28" i="35" s="1"/>
  <c r="T30" i="35" s="1"/>
  <c r="S9" i="35"/>
  <c r="S19" i="35" s="1"/>
  <c r="R9" i="35"/>
  <c r="R19" i="35" s="1"/>
  <c r="Q9" i="35"/>
  <c r="Q19" i="35" s="1"/>
  <c r="Q28" i="35" s="1"/>
  <c r="Q30" i="35" s="1"/>
  <c r="P9" i="35"/>
  <c r="P19" i="35" s="1"/>
  <c r="O9" i="35"/>
  <c r="O19" i="35" s="1"/>
  <c r="N9" i="35"/>
  <c r="N19" i="35" s="1"/>
  <c r="M9" i="35"/>
  <c r="M19" i="35" s="1"/>
  <c r="M28" i="35" s="1"/>
  <c r="M30" i="35" s="1"/>
  <c r="M34" i="35" s="1"/>
  <c r="M38" i="35" s="1"/>
  <c r="L9" i="35"/>
  <c r="L19" i="35" s="1"/>
  <c r="L28" i="35" s="1"/>
  <c r="L30" i="35" s="1"/>
  <c r="K9" i="35"/>
  <c r="K19" i="35" s="1"/>
  <c r="J9" i="35"/>
  <c r="J19" i="35" s="1"/>
  <c r="J28" i="35" s="1"/>
  <c r="J30" i="35" s="1"/>
  <c r="I9" i="35"/>
  <c r="I19" i="35" s="1"/>
  <c r="I28" i="35" s="1"/>
  <c r="I30" i="35" s="1"/>
  <c r="H9" i="35"/>
  <c r="H19" i="35" s="1"/>
  <c r="G9" i="35"/>
  <c r="G19" i="35" s="1"/>
  <c r="F9" i="35"/>
  <c r="F19" i="35" s="1"/>
  <c r="E9" i="35"/>
  <c r="E19" i="35" s="1"/>
  <c r="E28" i="35" s="1"/>
  <c r="E30" i="35" s="1"/>
  <c r="E34" i="35" s="1"/>
  <c r="E38" i="35" s="1"/>
  <c r="D9" i="35"/>
  <c r="D19" i="35" s="1"/>
  <c r="D28" i="35" s="1"/>
  <c r="D30" i="35" s="1"/>
  <c r="C9" i="35"/>
  <c r="C19" i="35" s="1"/>
  <c r="I12" i="34"/>
  <c r="H12" i="34"/>
  <c r="L13" i="34"/>
  <c r="K14" i="34"/>
  <c r="J12" i="34"/>
  <c r="G12" i="34"/>
  <c r="F12" i="34"/>
  <c r="E12" i="34"/>
  <c r="D12" i="34"/>
  <c r="L8" i="34"/>
  <c r="F85" i="33"/>
  <c r="E85" i="33"/>
  <c r="D85" i="33"/>
  <c r="C85" i="33"/>
  <c r="F66" i="33"/>
  <c r="E66" i="33"/>
  <c r="D66" i="33"/>
  <c r="C66" i="33"/>
  <c r="F46" i="33"/>
  <c r="E46" i="33"/>
  <c r="D46" i="33"/>
  <c r="C46" i="33"/>
  <c r="D45" i="33"/>
  <c r="C45" i="33"/>
  <c r="F37" i="33"/>
  <c r="E37" i="33"/>
  <c r="D37" i="33"/>
  <c r="C37" i="33"/>
  <c r="F23" i="33"/>
  <c r="E23" i="33"/>
  <c r="D23" i="33"/>
  <c r="C23" i="33"/>
  <c r="F8" i="33"/>
  <c r="E8" i="33"/>
  <c r="D8" i="33"/>
  <c r="C8" i="33"/>
  <c r="H65" i="32"/>
  <c r="G65" i="32"/>
  <c r="F65" i="32"/>
  <c r="E65" i="32"/>
  <c r="D65" i="32"/>
  <c r="C65" i="32"/>
  <c r="H54" i="32"/>
  <c r="G54" i="32"/>
  <c r="F54" i="32"/>
  <c r="E54" i="32"/>
  <c r="D54" i="32"/>
  <c r="C54" i="32"/>
  <c r="H39" i="32"/>
  <c r="G39" i="32"/>
  <c r="F39" i="32"/>
  <c r="E39" i="32"/>
  <c r="D39" i="32"/>
  <c r="C39" i="32"/>
  <c r="F38" i="32"/>
  <c r="E38" i="32"/>
  <c r="C38" i="32"/>
  <c r="H30" i="32"/>
  <c r="G30" i="32"/>
  <c r="F30" i="32"/>
  <c r="E30" i="32"/>
  <c r="D30" i="32"/>
  <c r="C30" i="32"/>
  <c r="H22" i="32"/>
  <c r="G22" i="32"/>
  <c r="F22" i="32"/>
  <c r="E22" i="32"/>
  <c r="D22" i="32"/>
  <c r="C22" i="32"/>
  <c r="H8" i="32"/>
  <c r="G8" i="32"/>
  <c r="F8" i="32"/>
  <c r="E8" i="32"/>
  <c r="D8" i="32"/>
  <c r="C8" i="32"/>
  <c r="K81" i="31"/>
  <c r="J81" i="31"/>
  <c r="I81" i="31"/>
  <c r="H81" i="31"/>
  <c r="G81" i="31"/>
  <c r="F81" i="31"/>
  <c r="E81" i="31"/>
  <c r="D81" i="31"/>
  <c r="C81" i="31"/>
  <c r="K64" i="31"/>
  <c r="J64" i="31"/>
  <c r="I64" i="31"/>
  <c r="H64" i="31"/>
  <c r="G64" i="31"/>
  <c r="F64" i="31"/>
  <c r="E64" i="31"/>
  <c r="D64" i="31"/>
  <c r="C64" i="31"/>
  <c r="K46" i="31"/>
  <c r="J46" i="31"/>
  <c r="I46" i="31"/>
  <c r="H46" i="31"/>
  <c r="G46" i="31"/>
  <c r="F46" i="31"/>
  <c r="E46" i="31"/>
  <c r="D46" i="31"/>
  <c r="C46" i="31"/>
  <c r="I45" i="31"/>
  <c r="H45" i="31"/>
  <c r="F45" i="31"/>
  <c r="E45" i="31"/>
  <c r="D45" i="31"/>
  <c r="J37" i="31"/>
  <c r="I37" i="31"/>
  <c r="H37" i="31"/>
  <c r="G37" i="31"/>
  <c r="F37" i="31"/>
  <c r="E37" i="31"/>
  <c r="D37" i="31"/>
  <c r="C37" i="31"/>
  <c r="K24" i="31"/>
  <c r="J24" i="31"/>
  <c r="I24" i="31"/>
  <c r="H24" i="31"/>
  <c r="G24" i="31"/>
  <c r="F24" i="31"/>
  <c r="E24" i="31"/>
  <c r="D24" i="31"/>
  <c r="C24" i="31"/>
  <c r="K8" i="31"/>
  <c r="J8" i="31"/>
  <c r="I8" i="31"/>
  <c r="H8" i="31"/>
  <c r="G8" i="31"/>
  <c r="F8" i="31"/>
  <c r="E8" i="31"/>
  <c r="D8" i="31"/>
  <c r="C8" i="31"/>
  <c r="Y81" i="30"/>
  <c r="X81" i="30"/>
  <c r="W81" i="30"/>
  <c r="V81" i="30"/>
  <c r="U81" i="30"/>
  <c r="T81" i="30"/>
  <c r="S81" i="30"/>
  <c r="R81" i="30"/>
  <c r="Q81" i="30"/>
  <c r="P81" i="30"/>
  <c r="O81" i="30"/>
  <c r="N81" i="30"/>
  <c r="M81" i="30"/>
  <c r="L81" i="30"/>
  <c r="K81" i="30"/>
  <c r="J81" i="30"/>
  <c r="I81" i="30"/>
  <c r="H81" i="30"/>
  <c r="G81" i="30"/>
  <c r="F81" i="30"/>
  <c r="E81" i="30"/>
  <c r="D81" i="30"/>
  <c r="C81" i="30"/>
  <c r="Y64" i="30"/>
  <c r="J69" i="30"/>
  <c r="X64" i="30"/>
  <c r="W64" i="30"/>
  <c r="V64" i="30"/>
  <c r="U64" i="30"/>
  <c r="T64" i="30"/>
  <c r="S64" i="30"/>
  <c r="R64" i="30"/>
  <c r="Q64" i="30"/>
  <c r="P64" i="30"/>
  <c r="O64" i="30"/>
  <c r="N64" i="30"/>
  <c r="M64" i="30"/>
  <c r="L64" i="30"/>
  <c r="K64" i="30"/>
  <c r="J64" i="30"/>
  <c r="I64" i="30"/>
  <c r="H64" i="30"/>
  <c r="G64" i="30"/>
  <c r="F64" i="30"/>
  <c r="E64" i="30"/>
  <c r="D64" i="30"/>
  <c r="C64" i="30"/>
  <c r="X45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W44" i="30"/>
  <c r="V44" i="30"/>
  <c r="P44" i="30"/>
  <c r="O44" i="30"/>
  <c r="N44" i="30"/>
  <c r="M44" i="30"/>
  <c r="L44" i="30"/>
  <c r="K44" i="30"/>
  <c r="D44" i="30"/>
  <c r="C44" i="30"/>
  <c r="Y36" i="30"/>
  <c r="X36" i="30"/>
  <c r="W36" i="30"/>
  <c r="W23" i="30" s="1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Y24" i="30"/>
  <c r="X24" i="30"/>
  <c r="W24" i="30"/>
  <c r="V24" i="30"/>
  <c r="U24" i="30"/>
  <c r="U23" i="30" s="1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E23" i="30" s="1"/>
  <c r="D24" i="30"/>
  <c r="C24" i="30"/>
  <c r="Y8" i="30"/>
  <c r="X8" i="30"/>
  <c r="W8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Q67" i="29"/>
  <c r="P67" i="29"/>
  <c r="O67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P48" i="29"/>
  <c r="O48" i="29"/>
  <c r="N48" i="29"/>
  <c r="K48" i="29"/>
  <c r="J48" i="29"/>
  <c r="I48" i="29"/>
  <c r="H48" i="29"/>
  <c r="G48" i="29"/>
  <c r="F48" i="29"/>
  <c r="E48" i="29"/>
  <c r="D48" i="29"/>
  <c r="C48" i="29"/>
  <c r="Q39" i="29"/>
  <c r="Q24" i="29" s="1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L24" i="29"/>
  <c r="J25" i="29"/>
  <c r="I25" i="29"/>
  <c r="I24" i="29" s="1"/>
  <c r="H25" i="29"/>
  <c r="G25" i="29"/>
  <c r="F25" i="29"/>
  <c r="E25" i="29"/>
  <c r="D25" i="29"/>
  <c r="D24" i="29" s="1"/>
  <c r="C25" i="29"/>
  <c r="C24" i="29" s="1"/>
  <c r="P8" i="29"/>
  <c r="O8" i="29"/>
  <c r="N8" i="29"/>
  <c r="M8" i="29"/>
  <c r="L8" i="29"/>
  <c r="K8" i="29"/>
  <c r="J8" i="29"/>
  <c r="I8" i="29"/>
  <c r="H8" i="29"/>
  <c r="G8" i="29"/>
  <c r="F8" i="29"/>
  <c r="E8" i="29"/>
  <c r="D8" i="29"/>
  <c r="C8" i="29"/>
  <c r="Q88" i="28"/>
  <c r="P88" i="28"/>
  <c r="O88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Q71" i="28"/>
  <c r="P71" i="28"/>
  <c r="O71" i="28"/>
  <c r="N71" i="28"/>
  <c r="M71" i="28"/>
  <c r="L71" i="28"/>
  <c r="K71" i="28"/>
  <c r="J71" i="28"/>
  <c r="I71" i="28"/>
  <c r="H71" i="28"/>
  <c r="G71" i="28"/>
  <c r="F71" i="28"/>
  <c r="E71" i="28"/>
  <c r="D71" i="28"/>
  <c r="C71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P49" i="28"/>
  <c r="O49" i="28"/>
  <c r="N49" i="28"/>
  <c r="C49" i="28"/>
  <c r="Q42" i="28"/>
  <c r="P42" i="28"/>
  <c r="O42" i="28"/>
  <c r="N42" i="28"/>
  <c r="M42" i="28"/>
  <c r="L42" i="28"/>
  <c r="K42" i="28"/>
  <c r="J42" i="28"/>
  <c r="I42" i="28"/>
  <c r="H42" i="28"/>
  <c r="G42" i="28"/>
  <c r="G26" i="28" s="1"/>
  <c r="F42" i="28"/>
  <c r="E42" i="28"/>
  <c r="D42" i="28"/>
  <c r="C42" i="28"/>
  <c r="Q27" i="28"/>
  <c r="P27" i="28"/>
  <c r="P26" i="28" s="1"/>
  <c r="O27" i="28"/>
  <c r="N27" i="28"/>
  <c r="M27" i="28"/>
  <c r="L27" i="28"/>
  <c r="L26" i="28" s="1"/>
  <c r="K27" i="28"/>
  <c r="J27" i="28"/>
  <c r="J26" i="28" s="1"/>
  <c r="J47" i="28" s="1"/>
  <c r="I27" i="28"/>
  <c r="H27" i="28"/>
  <c r="G27" i="28"/>
  <c r="F27" i="28"/>
  <c r="E27" i="28"/>
  <c r="D27" i="28"/>
  <c r="D26" i="28" s="1"/>
  <c r="C27" i="28"/>
  <c r="H26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C47" i="28" s="1"/>
  <c r="C98" i="28" s="1"/>
  <c r="C81" i="27"/>
  <c r="C79" i="27" s="1"/>
  <c r="Q79" i="27"/>
  <c r="P79" i="27"/>
  <c r="O79" i="27"/>
  <c r="N79" i="27"/>
  <c r="M79" i="27"/>
  <c r="L79" i="27"/>
  <c r="K79" i="27"/>
  <c r="J79" i="27"/>
  <c r="I79" i="27"/>
  <c r="H79" i="27"/>
  <c r="G79" i="27"/>
  <c r="F79" i="27"/>
  <c r="E79" i="27"/>
  <c r="D79" i="27"/>
  <c r="Q63" i="27"/>
  <c r="P63" i="27"/>
  <c r="O63" i="27"/>
  <c r="N63" i="27"/>
  <c r="M63" i="27"/>
  <c r="L63" i="27"/>
  <c r="K63" i="27"/>
  <c r="J63" i="27"/>
  <c r="I63" i="27"/>
  <c r="H63" i="27"/>
  <c r="G63" i="27"/>
  <c r="F63" i="27"/>
  <c r="E63" i="27"/>
  <c r="D63" i="27"/>
  <c r="C63" i="27"/>
  <c r="C58" i="27"/>
  <c r="C54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C38" i="27"/>
  <c r="C37" i="27"/>
  <c r="C34" i="27"/>
  <c r="C32" i="27"/>
  <c r="C28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19" i="27"/>
  <c r="C18" i="27"/>
  <c r="C16" i="27"/>
  <c r="C15" i="27"/>
  <c r="Q8" i="27"/>
  <c r="H11" i="27"/>
  <c r="H8" i="27" s="1"/>
  <c r="P8" i="27"/>
  <c r="O8" i="27"/>
  <c r="O42" i="27" s="1"/>
  <c r="N8" i="27"/>
  <c r="M8" i="27"/>
  <c r="M42" i="27" s="1"/>
  <c r="L8" i="27"/>
  <c r="L42" i="27" s="1"/>
  <c r="K8" i="27"/>
  <c r="J8" i="27"/>
  <c r="J42" i="27" s="1"/>
  <c r="I8" i="27"/>
  <c r="G8" i="27"/>
  <c r="G42" i="27" s="1"/>
  <c r="F8" i="27"/>
  <c r="E8" i="27"/>
  <c r="E42" i="27" s="1"/>
  <c r="D8" i="27"/>
  <c r="D42" i="27" s="1"/>
  <c r="I31" i="26"/>
  <c r="H31" i="26"/>
  <c r="G31" i="26"/>
  <c r="E31" i="26"/>
  <c r="D31" i="26"/>
  <c r="C31" i="26"/>
  <c r="I21" i="26"/>
  <c r="H21" i="26"/>
  <c r="G21" i="26"/>
  <c r="E21" i="26"/>
  <c r="D21" i="26"/>
  <c r="C21" i="26"/>
  <c r="I16" i="26"/>
  <c r="E16" i="26"/>
  <c r="H16" i="26"/>
  <c r="G16" i="26"/>
  <c r="D16" i="26"/>
  <c r="C16" i="26"/>
  <c r="E9" i="26"/>
  <c r="E15" i="26" s="1"/>
  <c r="I9" i="26"/>
  <c r="H9" i="26"/>
  <c r="H15" i="26" s="1"/>
  <c r="G9" i="26"/>
  <c r="G15" i="26" s="1"/>
  <c r="G20" i="26" s="1"/>
  <c r="D9" i="26"/>
  <c r="D15" i="26" s="1"/>
  <c r="C9" i="26"/>
  <c r="C15" i="26" s="1"/>
  <c r="C20" i="26" s="1"/>
  <c r="M32" i="25"/>
  <c r="L32" i="25"/>
  <c r="K32" i="25"/>
  <c r="J32" i="25"/>
  <c r="I32" i="25"/>
  <c r="H32" i="25"/>
  <c r="G32" i="25"/>
  <c r="F32" i="25"/>
  <c r="D32" i="25"/>
  <c r="C32" i="25"/>
  <c r="F29" i="25"/>
  <c r="F31" i="25" s="1"/>
  <c r="F35" i="25" s="1"/>
  <c r="F40" i="25" s="1"/>
  <c r="M21" i="25"/>
  <c r="L21" i="25"/>
  <c r="K21" i="25"/>
  <c r="J21" i="25"/>
  <c r="I21" i="25"/>
  <c r="H21" i="25"/>
  <c r="G21" i="25"/>
  <c r="D21" i="25"/>
  <c r="C21" i="25"/>
  <c r="M16" i="25"/>
  <c r="L16" i="25"/>
  <c r="K16" i="25"/>
  <c r="J16" i="25"/>
  <c r="I16" i="25"/>
  <c r="H16" i="25"/>
  <c r="G16" i="25"/>
  <c r="D16" i="25"/>
  <c r="C16" i="25"/>
  <c r="M9" i="25"/>
  <c r="M15" i="25" s="1"/>
  <c r="L9" i="25"/>
  <c r="L15" i="25" s="1"/>
  <c r="K9" i="25"/>
  <c r="K15" i="25" s="1"/>
  <c r="J9" i="25"/>
  <c r="J15" i="25" s="1"/>
  <c r="I9" i="25"/>
  <c r="I15" i="25" s="1"/>
  <c r="H9" i="25"/>
  <c r="H15" i="25" s="1"/>
  <c r="G9" i="25"/>
  <c r="G15" i="25" s="1"/>
  <c r="D9" i="25"/>
  <c r="D15" i="25" s="1"/>
  <c r="C9" i="25"/>
  <c r="C15" i="25" s="1"/>
  <c r="K31" i="24"/>
  <c r="J31" i="24"/>
  <c r="I31" i="24"/>
  <c r="H31" i="24"/>
  <c r="G31" i="24"/>
  <c r="F31" i="24"/>
  <c r="E31" i="24"/>
  <c r="D31" i="24"/>
  <c r="C31" i="24"/>
  <c r="K21" i="24"/>
  <c r="J21" i="24"/>
  <c r="I21" i="24"/>
  <c r="H21" i="24"/>
  <c r="G21" i="24"/>
  <c r="F21" i="24"/>
  <c r="E21" i="24"/>
  <c r="D21" i="24"/>
  <c r="C21" i="24"/>
  <c r="K16" i="24"/>
  <c r="J16" i="24"/>
  <c r="I16" i="24"/>
  <c r="H16" i="24"/>
  <c r="G16" i="24"/>
  <c r="F16" i="24"/>
  <c r="E16" i="24"/>
  <c r="D16" i="24"/>
  <c r="C16" i="24"/>
  <c r="K9" i="24"/>
  <c r="K15" i="24" s="1"/>
  <c r="K20" i="24" s="1"/>
  <c r="J9" i="24"/>
  <c r="J15" i="24" s="1"/>
  <c r="J20" i="24" s="1"/>
  <c r="I9" i="24"/>
  <c r="I15" i="24" s="1"/>
  <c r="H9" i="24"/>
  <c r="H15" i="24" s="1"/>
  <c r="H20" i="24" s="1"/>
  <c r="G9" i="24"/>
  <c r="G15" i="24" s="1"/>
  <c r="F9" i="24"/>
  <c r="F15" i="24" s="1"/>
  <c r="F20" i="24" s="1"/>
  <c r="F28" i="24" s="1"/>
  <c r="F30" i="24" s="1"/>
  <c r="F34" i="24" s="1"/>
  <c r="F39" i="24" s="1"/>
  <c r="E9" i="24"/>
  <c r="E15" i="24" s="1"/>
  <c r="E20" i="24" s="1"/>
  <c r="E28" i="24" s="1"/>
  <c r="E30" i="24" s="1"/>
  <c r="E34" i="24" s="1"/>
  <c r="E39" i="24" s="1"/>
  <c r="D9" i="24"/>
  <c r="D15" i="24" s="1"/>
  <c r="C9" i="24"/>
  <c r="C15" i="24" s="1"/>
  <c r="C20" i="24" s="1"/>
  <c r="Y31" i="23"/>
  <c r="X31" i="23"/>
  <c r="W31" i="23"/>
  <c r="V31" i="23"/>
  <c r="U31" i="23"/>
  <c r="T31" i="23"/>
  <c r="Y21" i="23"/>
  <c r="X21" i="23"/>
  <c r="W21" i="23"/>
  <c r="V21" i="23"/>
  <c r="U21" i="23"/>
  <c r="T21" i="23"/>
  <c r="Y16" i="23"/>
  <c r="X16" i="23"/>
  <c r="W16" i="23"/>
  <c r="V16" i="23"/>
  <c r="U16" i="23"/>
  <c r="T16" i="23"/>
  <c r="X9" i="23"/>
  <c r="X15" i="23" s="1"/>
  <c r="W9" i="23"/>
  <c r="W15" i="23" s="1"/>
  <c r="W28" i="23" s="1"/>
  <c r="W30" i="23" s="1"/>
  <c r="V9" i="23"/>
  <c r="V15" i="23" s="1"/>
  <c r="U9" i="23"/>
  <c r="U15" i="23" s="1"/>
  <c r="T9" i="23"/>
  <c r="T15" i="23" s="1"/>
  <c r="T20" i="23" s="1"/>
  <c r="Q32" i="22"/>
  <c r="P32" i="22"/>
  <c r="O32" i="22"/>
  <c r="N32" i="22"/>
  <c r="M32" i="22"/>
  <c r="L3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P16" i="22"/>
  <c r="O16" i="22"/>
  <c r="N16" i="22"/>
  <c r="M16" i="22"/>
  <c r="L16" i="22"/>
  <c r="K16" i="22"/>
  <c r="J16" i="22"/>
  <c r="I16" i="22"/>
  <c r="I21" i="22" s="1"/>
  <c r="I29" i="22" s="1"/>
  <c r="H16" i="22"/>
  <c r="G16" i="22"/>
  <c r="F16" i="22"/>
  <c r="E16" i="22"/>
  <c r="D16" i="22"/>
  <c r="C16" i="22"/>
  <c r="K15" i="22"/>
  <c r="J15" i="22"/>
  <c r="I15" i="22"/>
  <c r="H15" i="22"/>
  <c r="H21" i="22" s="1"/>
  <c r="H29" i="22" s="1"/>
  <c r="G15" i="22"/>
  <c r="G21" i="22" s="1"/>
  <c r="F15" i="22"/>
  <c r="E15" i="22"/>
  <c r="E21" i="22" s="1"/>
  <c r="E29" i="22" s="1"/>
  <c r="D15" i="22"/>
  <c r="D21" i="22" s="1"/>
  <c r="D29" i="22" s="1"/>
  <c r="C15" i="22"/>
  <c r="Q9" i="22"/>
  <c r="Q15" i="22" s="1"/>
  <c r="P9" i="22"/>
  <c r="P15" i="22" s="1"/>
  <c r="P21" i="22" s="1"/>
  <c r="P29" i="22" s="1"/>
  <c r="P31" i="22" s="1"/>
  <c r="P35" i="22" s="1"/>
  <c r="P40" i="22" s="1"/>
  <c r="O9" i="22"/>
  <c r="O15" i="22" s="1"/>
  <c r="O21" i="22" s="1"/>
  <c r="O29" i="22" s="1"/>
  <c r="O31" i="22" s="1"/>
  <c r="O35" i="22" s="1"/>
  <c r="O40" i="22" s="1"/>
  <c r="N9" i="22"/>
  <c r="N15" i="22" s="1"/>
  <c r="M9" i="22"/>
  <c r="M15" i="22" s="1"/>
  <c r="M21" i="22" s="1"/>
  <c r="M29" i="22" s="1"/>
  <c r="M31" i="22" s="1"/>
  <c r="M35" i="22" s="1"/>
  <c r="M40" i="22" s="1"/>
  <c r="L9" i="22"/>
  <c r="L15" i="22" s="1"/>
  <c r="L21" i="22" s="1"/>
  <c r="L29" i="22" s="1"/>
  <c r="L31" i="22" s="1"/>
  <c r="AS34" i="21"/>
  <c r="AR34" i="21"/>
  <c r="AQ34" i="21"/>
  <c r="AP34" i="21"/>
  <c r="AO34" i="21"/>
  <c r="AN34" i="21"/>
  <c r="AB34" i="21"/>
  <c r="AA34" i="21"/>
  <c r="Z34" i="21"/>
  <c r="Y34" i="21"/>
  <c r="X34" i="21"/>
  <c r="W34" i="21"/>
  <c r="V34" i="21"/>
  <c r="U34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AM31" i="21"/>
  <c r="AL31" i="21"/>
  <c r="AK31" i="21"/>
  <c r="AJ31" i="21"/>
  <c r="AI31" i="21"/>
  <c r="AH31" i="21"/>
  <c r="AG31" i="21"/>
  <c r="AF31" i="21"/>
  <c r="AE31" i="21"/>
  <c r="AD31" i="21"/>
  <c r="AC31" i="21"/>
  <c r="AS21" i="21"/>
  <c r="AR21" i="21"/>
  <c r="AQ21" i="21"/>
  <c r="AP21" i="21"/>
  <c r="AO21" i="21"/>
  <c r="AN21" i="21"/>
  <c r="AB21" i="21"/>
  <c r="AA21" i="21"/>
  <c r="Z21" i="21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AS16" i="21"/>
  <c r="AR16" i="21"/>
  <c r="AQ16" i="21"/>
  <c r="AP16" i="21"/>
  <c r="AO16" i="21"/>
  <c r="AN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AR9" i="21"/>
  <c r="AR15" i="21" s="1"/>
  <c r="AQ9" i="21"/>
  <c r="AQ15" i="21" s="1"/>
  <c r="AP9" i="21"/>
  <c r="AP15" i="21" s="1"/>
  <c r="AO9" i="21"/>
  <c r="AO15" i="21" s="1"/>
  <c r="AN9" i="21"/>
  <c r="AN15" i="21" s="1"/>
  <c r="AN31" i="21" s="1"/>
  <c r="AN33" i="21" s="1"/>
  <c r="AN37" i="21" s="1"/>
  <c r="AN42" i="21" s="1"/>
  <c r="AM9" i="21"/>
  <c r="AL9" i="21"/>
  <c r="AK9" i="21"/>
  <c r="AJ9" i="21"/>
  <c r="AI9" i="21"/>
  <c r="AH9" i="21"/>
  <c r="AG9" i="21"/>
  <c r="AF9" i="21"/>
  <c r="AE9" i="21"/>
  <c r="AD9" i="21"/>
  <c r="AC9" i="21"/>
  <c r="AB9" i="21"/>
  <c r="AB15" i="21" s="1"/>
  <c r="AA9" i="21"/>
  <c r="AA15" i="21" s="1"/>
  <c r="Z9" i="21"/>
  <c r="Z15" i="21" s="1"/>
  <c r="Y9" i="21"/>
  <c r="Y15" i="21" s="1"/>
  <c r="X9" i="21"/>
  <c r="X15" i="21" s="1"/>
  <c r="W9" i="21"/>
  <c r="W15" i="21" s="1"/>
  <c r="V9" i="21"/>
  <c r="V15" i="21" s="1"/>
  <c r="U9" i="21"/>
  <c r="U15" i="21" s="1"/>
  <c r="U20" i="21" s="1"/>
  <c r="T9" i="21"/>
  <c r="T15" i="21" s="1"/>
  <c r="T20" i="21" s="1"/>
  <c r="S9" i="21"/>
  <c r="S15" i="21" s="1"/>
  <c r="R9" i="21"/>
  <c r="R15" i="21" s="1"/>
  <c r="Q9" i="21"/>
  <c r="Q15" i="21" s="1"/>
  <c r="P9" i="21"/>
  <c r="P15" i="21" s="1"/>
  <c r="O9" i="21"/>
  <c r="O15" i="21" s="1"/>
  <c r="N9" i="21"/>
  <c r="N15" i="21" s="1"/>
  <c r="M9" i="21"/>
  <c r="M15" i="21" s="1"/>
  <c r="M31" i="21" s="1"/>
  <c r="M33" i="21" s="1"/>
  <c r="M37" i="21" s="1"/>
  <c r="M42" i="21" s="1"/>
  <c r="L9" i="21"/>
  <c r="L15" i="21" s="1"/>
  <c r="K9" i="21"/>
  <c r="K15" i="21" s="1"/>
  <c r="J9" i="21"/>
  <c r="J15" i="21" s="1"/>
  <c r="I9" i="21"/>
  <c r="I15" i="21" s="1"/>
  <c r="H9" i="21"/>
  <c r="H15" i="21" s="1"/>
  <c r="G9" i="21"/>
  <c r="G15" i="21" s="1"/>
  <c r="F9" i="21"/>
  <c r="F15" i="21" s="1"/>
  <c r="E9" i="21"/>
  <c r="E15" i="21" s="1"/>
  <c r="E20" i="21" s="1"/>
  <c r="D9" i="21"/>
  <c r="D15" i="21" s="1"/>
  <c r="C9" i="21"/>
  <c r="C15" i="21" s="1"/>
  <c r="AS32" i="20"/>
  <c r="AR32" i="20"/>
  <c r="AQ32" i="20"/>
  <c r="AP32" i="20"/>
  <c r="AO32" i="20"/>
  <c r="AN32" i="20"/>
  <c r="AM32" i="20"/>
  <c r="AL32" i="20"/>
  <c r="AK32" i="20"/>
  <c r="AJ32" i="20"/>
  <c r="AI32" i="20"/>
  <c r="AH32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AR22" i="20"/>
  <c r="AQ22" i="20"/>
  <c r="AP22" i="20"/>
  <c r="AO22" i="20"/>
  <c r="AN22" i="20"/>
  <c r="AM22" i="20"/>
  <c r="AL22" i="20"/>
  <c r="AK22" i="20"/>
  <c r="AJ22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AR9" i="20"/>
  <c r="AR15" i="20" s="1"/>
  <c r="AQ9" i="20"/>
  <c r="AQ15" i="20" s="1"/>
  <c r="AP9" i="20"/>
  <c r="AP15" i="20" s="1"/>
  <c r="AO9" i="20"/>
  <c r="AO15" i="20" s="1"/>
  <c r="AN9" i="20"/>
  <c r="AN15" i="20" s="1"/>
  <c r="AM9" i="20"/>
  <c r="AM15" i="20" s="1"/>
  <c r="AL9" i="20"/>
  <c r="AL15" i="20" s="1"/>
  <c r="AL21" i="20" s="1"/>
  <c r="AK9" i="20"/>
  <c r="AK15" i="20" s="1"/>
  <c r="AJ9" i="20"/>
  <c r="AJ15" i="20" s="1"/>
  <c r="AI9" i="20"/>
  <c r="AI15" i="20" s="1"/>
  <c r="AH9" i="20"/>
  <c r="AH15" i="20" s="1"/>
  <c r="AG9" i="20"/>
  <c r="AG15" i="20" s="1"/>
  <c r="AF9" i="20"/>
  <c r="AF15" i="20" s="1"/>
  <c r="AE9" i="20"/>
  <c r="AE15" i="20" s="1"/>
  <c r="AD9" i="20"/>
  <c r="AD15" i="20" s="1"/>
  <c r="AD21" i="20" s="1"/>
  <c r="AC9" i="20"/>
  <c r="AC15" i="20" s="1"/>
  <c r="AB9" i="20"/>
  <c r="AB15" i="20" s="1"/>
  <c r="AA9" i="20"/>
  <c r="AA15" i="20" s="1"/>
  <c r="Z9" i="20"/>
  <c r="Z15" i="20" s="1"/>
  <c r="Y9" i="20"/>
  <c r="Y15" i="20" s="1"/>
  <c r="X9" i="20"/>
  <c r="X15" i="20" s="1"/>
  <c r="W9" i="20"/>
  <c r="W15" i="20" s="1"/>
  <c r="V9" i="20"/>
  <c r="V15" i="20" s="1"/>
  <c r="V21" i="20" s="1"/>
  <c r="U9" i="20"/>
  <c r="U15" i="20" s="1"/>
  <c r="T9" i="20"/>
  <c r="T15" i="20" s="1"/>
  <c r="S9" i="20"/>
  <c r="S15" i="20" s="1"/>
  <c r="R9" i="20"/>
  <c r="R15" i="20" s="1"/>
  <c r="Q9" i="20"/>
  <c r="Q15" i="20" s="1"/>
  <c r="Q29" i="20" s="1"/>
  <c r="Q31" i="20" s="1"/>
  <c r="Q35" i="20" s="1"/>
  <c r="Q40" i="20" s="1"/>
  <c r="P9" i="20"/>
  <c r="P15" i="20" s="1"/>
  <c r="O9" i="20"/>
  <c r="O15" i="20" s="1"/>
  <c r="N9" i="20"/>
  <c r="N15" i="20" s="1"/>
  <c r="N21" i="20" s="1"/>
  <c r="M9" i="20"/>
  <c r="M15" i="20" s="1"/>
  <c r="L9" i="20"/>
  <c r="L15" i="20" s="1"/>
  <c r="K9" i="20"/>
  <c r="K15" i="20" s="1"/>
  <c r="J9" i="20"/>
  <c r="J15" i="20" s="1"/>
  <c r="I9" i="20"/>
  <c r="I15" i="20" s="1"/>
  <c r="H9" i="20"/>
  <c r="H15" i="20" s="1"/>
  <c r="G9" i="20"/>
  <c r="G15" i="20" s="1"/>
  <c r="F9" i="20"/>
  <c r="F15" i="20" s="1"/>
  <c r="F21" i="20" s="1"/>
  <c r="E9" i="20"/>
  <c r="E15" i="20" s="1"/>
  <c r="D9" i="20"/>
  <c r="D15" i="20" s="1"/>
  <c r="C9" i="20"/>
  <c r="C15" i="20" s="1"/>
  <c r="Q30" i="19"/>
  <c r="P30" i="19"/>
  <c r="T26" i="19"/>
  <c r="Q26" i="19"/>
  <c r="P26" i="19"/>
  <c r="M26" i="19"/>
  <c r="AG24" i="19"/>
  <c r="AF24" i="19"/>
  <c r="Z24" i="19"/>
  <c r="Y24" i="19"/>
  <c r="Y26" i="19" s="1"/>
  <c r="X24" i="19"/>
  <c r="X26" i="19" s="1"/>
  <c r="W24" i="19"/>
  <c r="W30" i="19" s="1"/>
  <c r="V24" i="19"/>
  <c r="V26" i="19" s="1"/>
  <c r="U24" i="19"/>
  <c r="U26" i="19" s="1"/>
  <c r="T24" i="19"/>
  <c r="T30" i="19" s="1"/>
  <c r="O24" i="19"/>
  <c r="O30" i="19" s="1"/>
  <c r="N24" i="19"/>
  <c r="N30" i="19" s="1"/>
  <c r="M24" i="19"/>
  <c r="M30" i="19" s="1"/>
  <c r="L24" i="19"/>
  <c r="L26" i="19" s="1"/>
  <c r="K24" i="19"/>
  <c r="G24" i="19"/>
  <c r="F24" i="19"/>
  <c r="F26" i="19" s="1"/>
  <c r="E24" i="19"/>
  <c r="E26" i="19" s="1"/>
  <c r="D24" i="19"/>
  <c r="D26" i="19" s="1"/>
  <c r="C24" i="19"/>
  <c r="AE24" i="19"/>
  <c r="AE26" i="19" s="1"/>
  <c r="AD24" i="19"/>
  <c r="AC24" i="19"/>
  <c r="AC30" i="19" s="1"/>
  <c r="O17" i="19"/>
  <c r="AI17" i="19"/>
  <c r="Z13" i="19"/>
  <c r="Y13" i="19"/>
  <c r="X13" i="19"/>
  <c r="W13" i="19"/>
  <c r="V13" i="19"/>
  <c r="U13" i="19"/>
  <c r="T13" i="19"/>
  <c r="Q13" i="19"/>
  <c r="P13" i="19"/>
  <c r="O13" i="19"/>
  <c r="N13" i="19"/>
  <c r="M13" i="19"/>
  <c r="L13" i="19"/>
  <c r="K13" i="19"/>
  <c r="F13" i="19"/>
  <c r="E13" i="19"/>
  <c r="D13" i="19"/>
  <c r="C13" i="19"/>
  <c r="AG11" i="19"/>
  <c r="AF11" i="19"/>
  <c r="AD11" i="19"/>
  <c r="AD17" i="19" s="1"/>
  <c r="AC11" i="19"/>
  <c r="Z11" i="19"/>
  <c r="Z17" i="19" s="1"/>
  <c r="Y11" i="19"/>
  <c r="Y17" i="19" s="1"/>
  <c r="X11" i="19"/>
  <c r="X17" i="19" s="1"/>
  <c r="W11" i="19"/>
  <c r="W17" i="19" s="1"/>
  <c r="V11" i="19"/>
  <c r="V17" i="19" s="1"/>
  <c r="U11" i="19"/>
  <c r="U17" i="19" s="1"/>
  <c r="T11" i="19"/>
  <c r="T17" i="19" s="1"/>
  <c r="Q11" i="19"/>
  <c r="Q17" i="19" s="1"/>
  <c r="P11" i="19"/>
  <c r="P17" i="19" s="1"/>
  <c r="O11" i="19"/>
  <c r="N11" i="19"/>
  <c r="N17" i="19" s="1"/>
  <c r="M11" i="19"/>
  <c r="M17" i="19" s="1"/>
  <c r="L11" i="19"/>
  <c r="L17" i="19" s="1"/>
  <c r="K11" i="19"/>
  <c r="K17" i="19" s="1"/>
  <c r="H11" i="19"/>
  <c r="H17" i="19" s="1"/>
  <c r="G11" i="19"/>
  <c r="F11" i="19"/>
  <c r="F17" i="19" s="1"/>
  <c r="E11" i="19"/>
  <c r="E17" i="19" s="1"/>
  <c r="D11" i="19"/>
  <c r="D17" i="19" s="1"/>
  <c r="C11" i="19"/>
  <c r="C17" i="19" s="1"/>
  <c r="AH11" i="19"/>
  <c r="AF13" i="19"/>
  <c r="AD13" i="19"/>
  <c r="AC13" i="19"/>
  <c r="L24" i="18"/>
  <c r="H24" i="18"/>
  <c r="K24" i="18"/>
  <c r="J24" i="18"/>
  <c r="I24" i="18"/>
  <c r="G24" i="18"/>
  <c r="G28" i="18" s="1"/>
  <c r="F24" i="18"/>
  <c r="E24" i="18"/>
  <c r="D24" i="18"/>
  <c r="C24" i="18"/>
  <c r="H20" i="18"/>
  <c r="L20" i="18"/>
  <c r="K20" i="18"/>
  <c r="K28" i="18" s="1"/>
  <c r="J20" i="18"/>
  <c r="I20" i="18"/>
  <c r="G20" i="18"/>
  <c r="F20" i="18"/>
  <c r="E20" i="18"/>
  <c r="E28" i="18" s="1"/>
  <c r="D20" i="18"/>
  <c r="C20" i="18"/>
  <c r="L11" i="18"/>
  <c r="K11" i="18"/>
  <c r="J11" i="18"/>
  <c r="I11" i="18"/>
  <c r="H11" i="18"/>
  <c r="G11" i="18"/>
  <c r="G15" i="18" s="1"/>
  <c r="F11" i="18"/>
  <c r="E11" i="18"/>
  <c r="D11" i="18"/>
  <c r="C11" i="18"/>
  <c r="L7" i="18"/>
  <c r="K7" i="18"/>
  <c r="J7" i="18"/>
  <c r="I7" i="18"/>
  <c r="H7" i="18"/>
  <c r="G7" i="18"/>
  <c r="F7" i="18"/>
  <c r="F15" i="18" s="1"/>
  <c r="E7" i="18"/>
  <c r="E15" i="18" s="1"/>
  <c r="D7" i="18"/>
  <c r="C7" i="18"/>
  <c r="E61" i="17"/>
  <c r="H61" i="17"/>
  <c r="D61" i="17"/>
  <c r="G61" i="17"/>
  <c r="C61" i="17"/>
  <c r="I61" i="17"/>
  <c r="D52" i="17"/>
  <c r="C52" i="17"/>
  <c r="I52" i="17"/>
  <c r="H52" i="17"/>
  <c r="G42" i="17"/>
  <c r="H34" i="17"/>
  <c r="I34" i="17"/>
  <c r="E34" i="17"/>
  <c r="D34" i="17"/>
  <c r="G24" i="17"/>
  <c r="F24" i="17"/>
  <c r="I14" i="17"/>
  <c r="H14" i="17"/>
  <c r="E14" i="17"/>
  <c r="D14" i="17"/>
  <c r="R59" i="16"/>
  <c r="Q59" i="16"/>
  <c r="I59" i="16"/>
  <c r="H59" i="16"/>
  <c r="E59" i="16"/>
  <c r="D59" i="16"/>
  <c r="G59" i="16"/>
  <c r="I51" i="16"/>
  <c r="H51" i="16"/>
  <c r="E51" i="16"/>
  <c r="N50" i="16" s="1"/>
  <c r="D51" i="16"/>
  <c r="P49" i="16"/>
  <c r="G51" i="16"/>
  <c r="P51" i="16" s="1"/>
  <c r="I43" i="16"/>
  <c r="R42" i="16" s="1"/>
  <c r="H43" i="16"/>
  <c r="E43" i="16"/>
  <c r="D43" i="16"/>
  <c r="I35" i="16"/>
  <c r="H35" i="16"/>
  <c r="Q35" i="16" s="1"/>
  <c r="E35" i="16"/>
  <c r="D35" i="16"/>
  <c r="M35" i="16" s="1"/>
  <c r="C35" i="16"/>
  <c r="L32" i="16" s="1"/>
  <c r="M34" i="16"/>
  <c r="Q32" i="16"/>
  <c r="M32" i="16"/>
  <c r="Q31" i="16"/>
  <c r="M31" i="16"/>
  <c r="I27" i="16"/>
  <c r="R26" i="16" s="1"/>
  <c r="H27" i="16"/>
  <c r="Q27" i="16" s="1"/>
  <c r="E27" i="16"/>
  <c r="N25" i="16" s="1"/>
  <c r="D27" i="16"/>
  <c r="C27" i="16"/>
  <c r="Q26" i="16"/>
  <c r="Q25" i="16"/>
  <c r="O25" i="16"/>
  <c r="Q24" i="16"/>
  <c r="Q23" i="16"/>
  <c r="N23" i="16"/>
  <c r="F27" i="16"/>
  <c r="O27" i="16" s="1"/>
  <c r="I19" i="16"/>
  <c r="H19" i="16"/>
  <c r="Q19" i="16" s="1"/>
  <c r="E19" i="16"/>
  <c r="D19" i="16"/>
  <c r="M19" i="16" s="1"/>
  <c r="C19" i="16"/>
  <c r="L19" i="16" s="1"/>
  <c r="N18" i="16"/>
  <c r="L18" i="16"/>
  <c r="N17" i="16"/>
  <c r="L17" i="16"/>
  <c r="F19" i="16"/>
  <c r="L15" i="16"/>
  <c r="R14" i="16"/>
  <c r="R22" i="16" s="1"/>
  <c r="R30" i="16" s="1"/>
  <c r="R38" i="16" s="1"/>
  <c r="R46" i="16" s="1"/>
  <c r="R54" i="16" s="1"/>
  <c r="Q14" i="16"/>
  <c r="Q22" i="16" s="1"/>
  <c r="Q30" i="16" s="1"/>
  <c r="Q38" i="16" s="1"/>
  <c r="Q46" i="16" s="1"/>
  <c r="Q54" i="16" s="1"/>
  <c r="P14" i="16"/>
  <c r="P22" i="16" s="1"/>
  <c r="P30" i="16" s="1"/>
  <c r="P38" i="16" s="1"/>
  <c r="P46" i="16" s="1"/>
  <c r="P54" i="16" s="1"/>
  <c r="O14" i="16"/>
  <c r="O22" i="16" s="1"/>
  <c r="O30" i="16" s="1"/>
  <c r="O38" i="16" s="1"/>
  <c r="O46" i="16" s="1"/>
  <c r="O54" i="16" s="1"/>
  <c r="N14" i="16"/>
  <c r="N22" i="16" s="1"/>
  <c r="N30" i="16" s="1"/>
  <c r="N38" i="16" s="1"/>
  <c r="N46" i="16" s="1"/>
  <c r="N54" i="16" s="1"/>
  <c r="M14" i="16"/>
  <c r="M22" i="16" s="1"/>
  <c r="M30" i="16" s="1"/>
  <c r="M38" i="16" s="1"/>
  <c r="M46" i="16" s="1"/>
  <c r="M54" i="16" s="1"/>
  <c r="L14" i="16"/>
  <c r="L22" i="16" s="1"/>
  <c r="L30" i="16" s="1"/>
  <c r="L38" i="16" s="1"/>
  <c r="L46" i="16" s="1"/>
  <c r="L54" i="16" s="1"/>
  <c r="K14" i="16"/>
  <c r="K22" i="16" s="1"/>
  <c r="K30" i="16" s="1"/>
  <c r="K38" i="16" s="1"/>
  <c r="K46" i="16" s="1"/>
  <c r="K54" i="16" s="1"/>
  <c r="I11" i="16"/>
  <c r="R10" i="16" s="1"/>
  <c r="H11" i="16"/>
  <c r="E11" i="16"/>
  <c r="N11" i="16" s="1"/>
  <c r="D11" i="16"/>
  <c r="M10" i="16" s="1"/>
  <c r="C11" i="16"/>
  <c r="N10" i="16"/>
  <c r="Q9" i="16"/>
  <c r="R8" i="16"/>
  <c r="Q8" i="16"/>
  <c r="AS12" i="15"/>
  <c r="AS18" i="15" s="1"/>
  <c r="AS24" i="15" s="1"/>
  <c r="AS30" i="15" s="1"/>
  <c r="AS36" i="15" s="1"/>
  <c r="AS42" i="15" s="1"/>
  <c r="AR12" i="15"/>
  <c r="AR18" i="15" s="1"/>
  <c r="AR24" i="15" s="1"/>
  <c r="AR30" i="15" s="1"/>
  <c r="AR36" i="15" s="1"/>
  <c r="AR42" i="15" s="1"/>
  <c r="AQ12" i="15"/>
  <c r="AQ18" i="15" s="1"/>
  <c r="AQ24" i="15" s="1"/>
  <c r="AQ30" i="15" s="1"/>
  <c r="AQ36" i="15" s="1"/>
  <c r="AQ42" i="15" s="1"/>
  <c r="AP12" i="15"/>
  <c r="AP18" i="15" s="1"/>
  <c r="AP24" i="15" s="1"/>
  <c r="AP30" i="15" s="1"/>
  <c r="AP36" i="15" s="1"/>
  <c r="AP42" i="15" s="1"/>
  <c r="AO12" i="15"/>
  <c r="AO18" i="15" s="1"/>
  <c r="AO24" i="15" s="1"/>
  <c r="AO30" i="15" s="1"/>
  <c r="AO36" i="15" s="1"/>
  <c r="AO42" i="15" s="1"/>
  <c r="AN12" i="15"/>
  <c r="AN18" i="15" s="1"/>
  <c r="AN24" i="15" s="1"/>
  <c r="AN30" i="15" s="1"/>
  <c r="AN36" i="15" s="1"/>
  <c r="AN42" i="15" s="1"/>
  <c r="AM12" i="15"/>
  <c r="AM18" i="15" s="1"/>
  <c r="AM24" i="15" s="1"/>
  <c r="AM30" i="15" s="1"/>
  <c r="AM36" i="15" s="1"/>
  <c r="AM42" i="15" s="1"/>
  <c r="AL12" i="15"/>
  <c r="AL18" i="15" s="1"/>
  <c r="AL24" i="15" s="1"/>
  <c r="AL30" i="15" s="1"/>
  <c r="AL36" i="15" s="1"/>
  <c r="AL42" i="15" s="1"/>
  <c r="AK12" i="15"/>
  <c r="AK18" i="15" s="1"/>
  <c r="AK24" i="15" s="1"/>
  <c r="AK30" i="15" s="1"/>
  <c r="AK36" i="15" s="1"/>
  <c r="AK42" i="15" s="1"/>
  <c r="AJ12" i="15"/>
  <c r="AJ18" i="15" s="1"/>
  <c r="AJ24" i="15" s="1"/>
  <c r="AJ30" i="15" s="1"/>
  <c r="AJ36" i="15" s="1"/>
  <c r="AJ42" i="15" s="1"/>
  <c r="AI12" i="15"/>
  <c r="AI18" i="15" s="1"/>
  <c r="AI24" i="15" s="1"/>
  <c r="AI30" i="15" s="1"/>
  <c r="AI36" i="15" s="1"/>
  <c r="AI42" i="15" s="1"/>
  <c r="AH12" i="15"/>
  <c r="AH18" i="15" s="1"/>
  <c r="AH24" i="15" s="1"/>
  <c r="AH30" i="15" s="1"/>
  <c r="AH36" i="15" s="1"/>
  <c r="AH42" i="15" s="1"/>
  <c r="AG12" i="15"/>
  <c r="AG18" i="15" s="1"/>
  <c r="AG24" i="15" s="1"/>
  <c r="AG30" i="15" s="1"/>
  <c r="AG36" i="15" s="1"/>
  <c r="AG42" i="15" s="1"/>
  <c r="AF12" i="15"/>
  <c r="AF18" i="15" s="1"/>
  <c r="AF24" i="15" s="1"/>
  <c r="AF30" i="15" s="1"/>
  <c r="AF36" i="15" s="1"/>
  <c r="AF42" i="15" s="1"/>
  <c r="AE12" i="15"/>
  <c r="AE18" i="15" s="1"/>
  <c r="AE24" i="15" s="1"/>
  <c r="AE30" i="15" s="1"/>
  <c r="AE36" i="15" s="1"/>
  <c r="AE42" i="15" s="1"/>
  <c r="AD12" i="15"/>
  <c r="AD18" i="15" s="1"/>
  <c r="AD24" i="15" s="1"/>
  <c r="AD30" i="15" s="1"/>
  <c r="AD36" i="15" s="1"/>
  <c r="AD42" i="15" s="1"/>
  <c r="AC12" i="15"/>
  <c r="AC18" i="15" s="1"/>
  <c r="AC24" i="15" s="1"/>
  <c r="AC30" i="15" s="1"/>
  <c r="AC36" i="15" s="1"/>
  <c r="AC42" i="15" s="1"/>
  <c r="AB12" i="15"/>
  <c r="AB18" i="15" s="1"/>
  <c r="AB24" i="15" s="1"/>
  <c r="AB30" i="15" s="1"/>
  <c r="AB36" i="15" s="1"/>
  <c r="AB42" i="15" s="1"/>
  <c r="AA12" i="15"/>
  <c r="AA18" i="15" s="1"/>
  <c r="AA24" i="15" s="1"/>
  <c r="AA30" i="15" s="1"/>
  <c r="AA36" i="15" s="1"/>
  <c r="AA42" i="15" s="1"/>
  <c r="AS12" i="14"/>
  <c r="AS18" i="14" s="1"/>
  <c r="AS24" i="14" s="1"/>
  <c r="AS30" i="14" s="1"/>
  <c r="AS36" i="14" s="1"/>
  <c r="AS42" i="14" s="1"/>
  <c r="AR12" i="14"/>
  <c r="AR18" i="14" s="1"/>
  <c r="AR24" i="14" s="1"/>
  <c r="AR30" i="14" s="1"/>
  <c r="AR36" i="14" s="1"/>
  <c r="AR42" i="14" s="1"/>
  <c r="AQ12" i="14"/>
  <c r="AQ18" i="14" s="1"/>
  <c r="AQ24" i="14" s="1"/>
  <c r="AQ30" i="14" s="1"/>
  <c r="AQ36" i="14" s="1"/>
  <c r="AQ42" i="14" s="1"/>
  <c r="AP12" i="14"/>
  <c r="AP18" i="14" s="1"/>
  <c r="AP24" i="14" s="1"/>
  <c r="AP30" i="14" s="1"/>
  <c r="AP36" i="14" s="1"/>
  <c r="AP42" i="14" s="1"/>
  <c r="AO12" i="14"/>
  <c r="AO18" i="14" s="1"/>
  <c r="AO24" i="14" s="1"/>
  <c r="AO30" i="14" s="1"/>
  <c r="AO36" i="14" s="1"/>
  <c r="AO42" i="14" s="1"/>
  <c r="AN12" i="14"/>
  <c r="AN18" i="14" s="1"/>
  <c r="AN24" i="14" s="1"/>
  <c r="AN30" i="14" s="1"/>
  <c r="AN36" i="14" s="1"/>
  <c r="AN42" i="14" s="1"/>
  <c r="AM12" i="14"/>
  <c r="AM18" i="14" s="1"/>
  <c r="AM24" i="14" s="1"/>
  <c r="AM30" i="14" s="1"/>
  <c r="AM36" i="14" s="1"/>
  <c r="AM42" i="14" s="1"/>
  <c r="AL12" i="14"/>
  <c r="AL18" i="14" s="1"/>
  <c r="AL24" i="14" s="1"/>
  <c r="AL30" i="14" s="1"/>
  <c r="AL36" i="14" s="1"/>
  <c r="AL42" i="14" s="1"/>
  <c r="AK12" i="14"/>
  <c r="AK18" i="14" s="1"/>
  <c r="AK24" i="14" s="1"/>
  <c r="AK30" i="14" s="1"/>
  <c r="AK36" i="14" s="1"/>
  <c r="AK42" i="14" s="1"/>
  <c r="AJ12" i="14"/>
  <c r="AJ18" i="14" s="1"/>
  <c r="AJ24" i="14" s="1"/>
  <c r="AJ30" i="14" s="1"/>
  <c r="AJ36" i="14" s="1"/>
  <c r="AJ42" i="14" s="1"/>
  <c r="AI12" i="14"/>
  <c r="AI18" i="14" s="1"/>
  <c r="AI24" i="14" s="1"/>
  <c r="AI30" i="14" s="1"/>
  <c r="AI36" i="14" s="1"/>
  <c r="AI42" i="14" s="1"/>
  <c r="AH12" i="14"/>
  <c r="AH18" i="14" s="1"/>
  <c r="AH24" i="14" s="1"/>
  <c r="AH30" i="14" s="1"/>
  <c r="AH36" i="14" s="1"/>
  <c r="AH42" i="14" s="1"/>
  <c r="AG12" i="14"/>
  <c r="AG18" i="14" s="1"/>
  <c r="AG24" i="14" s="1"/>
  <c r="AG30" i="14" s="1"/>
  <c r="AG36" i="14" s="1"/>
  <c r="AG42" i="14" s="1"/>
  <c r="AF12" i="14"/>
  <c r="AF18" i="14" s="1"/>
  <c r="AF24" i="14" s="1"/>
  <c r="AF30" i="14" s="1"/>
  <c r="AF36" i="14" s="1"/>
  <c r="AF42" i="14" s="1"/>
  <c r="AE12" i="14"/>
  <c r="AE18" i="14" s="1"/>
  <c r="AE24" i="14" s="1"/>
  <c r="AE30" i="14" s="1"/>
  <c r="AE36" i="14" s="1"/>
  <c r="AE42" i="14" s="1"/>
  <c r="AD12" i="14"/>
  <c r="AD18" i="14" s="1"/>
  <c r="AD24" i="14" s="1"/>
  <c r="AD30" i="14" s="1"/>
  <c r="AD36" i="14" s="1"/>
  <c r="AD42" i="14" s="1"/>
  <c r="AC12" i="14"/>
  <c r="AC18" i="14" s="1"/>
  <c r="AC24" i="14" s="1"/>
  <c r="AC30" i="14" s="1"/>
  <c r="AC36" i="14" s="1"/>
  <c r="AC42" i="14" s="1"/>
  <c r="AB12" i="14"/>
  <c r="AB18" i="14" s="1"/>
  <c r="AB24" i="14" s="1"/>
  <c r="AB30" i="14" s="1"/>
  <c r="AB36" i="14" s="1"/>
  <c r="AB42" i="14" s="1"/>
  <c r="AA12" i="14"/>
  <c r="AA18" i="14" s="1"/>
  <c r="AA24" i="14" s="1"/>
  <c r="AA30" i="14" s="1"/>
  <c r="AA36" i="14" s="1"/>
  <c r="AA42" i="14" s="1"/>
  <c r="AS85" i="13"/>
  <c r="AR85" i="13"/>
  <c r="AQ85" i="13"/>
  <c r="AO85" i="13"/>
  <c r="AN85" i="13"/>
  <c r="AM85" i="13"/>
  <c r="AL85" i="13"/>
  <c r="AK85" i="13"/>
  <c r="AJ85" i="13"/>
  <c r="AI85" i="13"/>
  <c r="AH85" i="13"/>
  <c r="AG85" i="13"/>
  <c r="AF85" i="13"/>
  <c r="AE85" i="13"/>
  <c r="AD85" i="13"/>
  <c r="AC85" i="13"/>
  <c r="AB85" i="13"/>
  <c r="AA85" i="13"/>
  <c r="AS82" i="13"/>
  <c r="AR82" i="13"/>
  <c r="AQ82" i="13"/>
  <c r="AO82" i="13"/>
  <c r="AN82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AA82" i="13"/>
  <c r="AS80" i="13"/>
  <c r="AR80" i="13"/>
  <c r="AQ80" i="13"/>
  <c r="AP80" i="13"/>
  <c r="AO80" i="13"/>
  <c r="AN80" i="13"/>
  <c r="AM80" i="13"/>
  <c r="AL80" i="13"/>
  <c r="AK80" i="13"/>
  <c r="AJ80" i="13"/>
  <c r="AI80" i="13"/>
  <c r="AH80" i="13"/>
  <c r="AG80" i="13"/>
  <c r="AF80" i="13"/>
  <c r="AE80" i="13"/>
  <c r="AD80" i="13"/>
  <c r="AC80" i="13"/>
  <c r="AB80" i="13"/>
  <c r="AA80" i="13"/>
  <c r="AS79" i="13"/>
  <c r="AR79" i="13"/>
  <c r="AQ79" i="13"/>
  <c r="AP79" i="13"/>
  <c r="AO79" i="13"/>
  <c r="AN79" i="13"/>
  <c r="AM79" i="13"/>
  <c r="AL79" i="13"/>
  <c r="AK79" i="13"/>
  <c r="AJ79" i="13"/>
  <c r="AI79" i="13"/>
  <c r="AH79" i="13"/>
  <c r="AG79" i="13"/>
  <c r="AF79" i="13"/>
  <c r="AE79" i="13"/>
  <c r="AD79" i="13"/>
  <c r="AC79" i="13"/>
  <c r="AB79" i="13"/>
  <c r="AA79" i="13"/>
  <c r="AS78" i="13"/>
  <c r="AR78" i="13"/>
  <c r="AQ78" i="13"/>
  <c r="AP78" i="13"/>
  <c r="AO78" i="13"/>
  <c r="AN78" i="13"/>
  <c r="AM78" i="13"/>
  <c r="AL78" i="13"/>
  <c r="AK78" i="13"/>
  <c r="AJ78" i="13"/>
  <c r="AI78" i="13"/>
  <c r="AH78" i="13"/>
  <c r="AG78" i="13"/>
  <c r="AF78" i="13"/>
  <c r="AE78" i="13"/>
  <c r="AD78" i="13"/>
  <c r="AC78" i="13"/>
  <c r="AB78" i="13"/>
  <c r="AA78" i="13"/>
  <c r="AS70" i="13"/>
  <c r="AR70" i="13"/>
  <c r="AQ70" i="13"/>
  <c r="AP70" i="13"/>
  <c r="AO70" i="13"/>
  <c r="AN70" i="13"/>
  <c r="AM70" i="13"/>
  <c r="AL70" i="13"/>
  <c r="AS61" i="13"/>
  <c r="AS63" i="13" s="1"/>
  <c r="AR61" i="13"/>
  <c r="AR63" i="13" s="1"/>
  <c r="AQ61" i="13"/>
  <c r="AP61" i="13"/>
  <c r="AO61" i="13"/>
  <c r="AO63" i="13" s="1"/>
  <c r="AN61" i="13"/>
  <c r="AN63" i="13" s="1"/>
  <c r="AM61" i="13"/>
  <c r="AM63" i="13" s="1"/>
  <c r="AL61" i="13"/>
  <c r="AL63" i="13" s="1"/>
  <c r="AK61" i="13"/>
  <c r="AJ61" i="13"/>
  <c r="AJ63" i="13" s="1"/>
  <c r="AI61" i="13"/>
  <c r="AH61" i="13"/>
  <c r="AH63" i="13" s="1"/>
  <c r="AS50" i="13"/>
  <c r="AR50" i="13"/>
  <c r="AQ50" i="13"/>
  <c r="AP50" i="13"/>
  <c r="AO50" i="13"/>
  <c r="AN50" i="13"/>
  <c r="AM50" i="13"/>
  <c r="AL50" i="13"/>
  <c r="AK50" i="13"/>
  <c r="AJ50" i="13"/>
  <c r="AI50" i="13"/>
  <c r="AH50" i="13"/>
  <c r="AG50" i="13"/>
  <c r="AS40" i="13"/>
  <c r="AS43" i="13" s="1"/>
  <c r="AR40" i="13"/>
  <c r="AR43" i="13" s="1"/>
  <c r="AQ40" i="13"/>
  <c r="AQ43" i="13" s="1"/>
  <c r="AP40" i="13"/>
  <c r="AP43" i="13" s="1"/>
  <c r="AO40" i="13"/>
  <c r="AO43" i="13" s="1"/>
  <c r="AN40" i="13"/>
  <c r="AN43" i="13" s="1"/>
  <c r="AM40" i="13"/>
  <c r="AM43" i="13" s="1"/>
  <c r="AL40" i="13"/>
  <c r="AL43" i="13" s="1"/>
  <c r="AK40" i="13"/>
  <c r="AK43" i="13" s="1"/>
  <c r="AJ40" i="13"/>
  <c r="AJ43" i="13" s="1"/>
  <c r="AI40" i="13"/>
  <c r="AI43" i="13" s="1"/>
  <c r="AH40" i="13"/>
  <c r="AH43" i="13" s="1"/>
  <c r="AG40" i="13"/>
  <c r="AG43" i="13" s="1"/>
  <c r="AF40" i="13"/>
  <c r="AE40" i="13"/>
  <c r="AE43" i="13" s="1"/>
  <c r="AD40" i="13"/>
  <c r="AD43" i="13" s="1"/>
  <c r="AC40" i="13"/>
  <c r="AB40" i="13"/>
  <c r="AB43" i="13" s="1"/>
  <c r="AA40" i="13"/>
  <c r="AA43" i="13" s="1"/>
  <c r="Z40" i="13"/>
  <c r="Z43" i="13" s="1"/>
  <c r="Y40" i="13"/>
  <c r="AS30" i="13"/>
  <c r="AS33" i="13" s="1"/>
  <c r="AR30" i="13"/>
  <c r="AR33" i="13" s="1"/>
  <c r="AQ30" i="13"/>
  <c r="AQ33" i="13" s="1"/>
  <c r="AP30" i="13"/>
  <c r="AP33" i="13" s="1"/>
  <c r="AO30" i="13"/>
  <c r="AO33" i="13" s="1"/>
  <c r="AN30" i="13"/>
  <c r="AN33" i="13" s="1"/>
  <c r="AM30" i="13"/>
  <c r="AM33" i="13" s="1"/>
  <c r="AL30" i="13"/>
  <c r="AL33" i="13" s="1"/>
  <c r="AK30" i="13"/>
  <c r="AK33" i="13" s="1"/>
  <c r="AJ30" i="13"/>
  <c r="AJ33" i="13" s="1"/>
  <c r="AI30" i="13"/>
  <c r="AI33" i="13" s="1"/>
  <c r="AH30" i="13"/>
  <c r="AH33" i="13" s="1"/>
  <c r="AG30" i="13"/>
  <c r="AG33" i="13" s="1"/>
  <c r="AF30" i="13"/>
  <c r="AF33" i="13" s="1"/>
  <c r="AE30" i="13"/>
  <c r="AE33" i="13" s="1"/>
  <c r="AD30" i="13"/>
  <c r="AD33" i="13" s="1"/>
  <c r="AC30" i="13"/>
  <c r="AC33" i="13" s="1"/>
  <c r="AB30" i="13"/>
  <c r="AB33" i="13" s="1"/>
  <c r="AA30" i="13"/>
  <c r="AA33" i="13" s="1"/>
  <c r="Z30" i="13"/>
  <c r="Z33" i="13" s="1"/>
  <c r="Y30" i="13"/>
  <c r="Y33" i="13" s="1"/>
  <c r="X30" i="13"/>
  <c r="W30" i="13"/>
  <c r="W33" i="13" s="1"/>
  <c r="V30" i="13"/>
  <c r="V33" i="13" s="1"/>
  <c r="U30" i="13"/>
  <c r="T30" i="13"/>
  <c r="S30" i="13"/>
  <c r="R30" i="13"/>
  <c r="R33" i="13" s="1"/>
  <c r="Q30" i="13"/>
  <c r="P30" i="13"/>
  <c r="O30" i="13"/>
  <c r="O33" i="13" s="1"/>
  <c r="N30" i="13"/>
  <c r="N33" i="13" s="1"/>
  <c r="M30" i="13"/>
  <c r="L30" i="13"/>
  <c r="K30" i="13"/>
  <c r="J30" i="13"/>
  <c r="J33" i="13" s="1"/>
  <c r="I30" i="13"/>
  <c r="H30" i="13"/>
  <c r="G30" i="13"/>
  <c r="G33" i="13" s="1"/>
  <c r="F30" i="13"/>
  <c r="F33" i="13" s="1"/>
  <c r="E30" i="13"/>
  <c r="D30" i="13"/>
  <c r="C30" i="13"/>
  <c r="AK27" i="13"/>
  <c r="AK37" i="13" s="1"/>
  <c r="AK47" i="13" s="1"/>
  <c r="AK57" i="13" s="1"/>
  <c r="AJ27" i="13"/>
  <c r="AJ37" i="13" s="1"/>
  <c r="AJ47" i="13" s="1"/>
  <c r="AJ57" i="13" s="1"/>
  <c r="AI27" i="13"/>
  <c r="AI37" i="13" s="1"/>
  <c r="AI47" i="13" s="1"/>
  <c r="AI57" i="13" s="1"/>
  <c r="AH27" i="13"/>
  <c r="AH37" i="13" s="1"/>
  <c r="AH47" i="13" s="1"/>
  <c r="AH57" i="13" s="1"/>
  <c r="AG27" i="13"/>
  <c r="AG37" i="13" s="1"/>
  <c r="AG47" i="13" s="1"/>
  <c r="AG57" i="13" s="1"/>
  <c r="AF27" i="13"/>
  <c r="AF37" i="13" s="1"/>
  <c r="AF47" i="13" s="1"/>
  <c r="AF57" i="13" s="1"/>
  <c r="AS20" i="13"/>
  <c r="AS23" i="13" s="1"/>
  <c r="AR20" i="13"/>
  <c r="AR23" i="13" s="1"/>
  <c r="AQ20" i="13"/>
  <c r="AQ23" i="13" s="1"/>
  <c r="AP20" i="13"/>
  <c r="AP23" i="13" s="1"/>
  <c r="AO20" i="13"/>
  <c r="AO23" i="13" s="1"/>
  <c r="AN20" i="13"/>
  <c r="AN23" i="13" s="1"/>
  <c r="AM20" i="13"/>
  <c r="AM23" i="13" s="1"/>
  <c r="AL20" i="13"/>
  <c r="AL23" i="13" s="1"/>
  <c r="AK20" i="13"/>
  <c r="AK23" i="13" s="1"/>
  <c r="AJ20" i="13"/>
  <c r="AJ23" i="13" s="1"/>
  <c r="AI20" i="13"/>
  <c r="AI23" i="13" s="1"/>
  <c r="AH20" i="13"/>
  <c r="AH23" i="13" s="1"/>
  <c r="AG20" i="13"/>
  <c r="AG23" i="13" s="1"/>
  <c r="AF20" i="13"/>
  <c r="AF23" i="13" s="1"/>
  <c r="AE20" i="13"/>
  <c r="AE23" i="13" s="1"/>
  <c r="AD20" i="13"/>
  <c r="AD23" i="13" s="1"/>
  <c r="AC20" i="13"/>
  <c r="AC23" i="13" s="1"/>
  <c r="AB20" i="13"/>
  <c r="AB23" i="13" s="1"/>
  <c r="AA20" i="13"/>
  <c r="AA23" i="13" s="1"/>
  <c r="Z20" i="13"/>
  <c r="Z23" i="13" s="1"/>
  <c r="Y20" i="13"/>
  <c r="Y23" i="13" s="1"/>
  <c r="X20" i="13"/>
  <c r="X23" i="13" s="1"/>
  <c r="W20" i="13"/>
  <c r="V20" i="13"/>
  <c r="V23" i="13" s="1"/>
  <c r="U20" i="13"/>
  <c r="U23" i="13" s="1"/>
  <c r="T20" i="13"/>
  <c r="T23" i="13" s="1"/>
  <c r="S20" i="13"/>
  <c r="S23" i="13" s="1"/>
  <c r="R20" i="13"/>
  <c r="R23" i="13" s="1"/>
  <c r="Q20" i="13"/>
  <c r="Q23" i="13" s="1"/>
  <c r="P20" i="13"/>
  <c r="P23" i="13" s="1"/>
  <c r="O20" i="13"/>
  <c r="O23" i="13" s="1"/>
  <c r="N20" i="13"/>
  <c r="N23" i="13" s="1"/>
  <c r="M20" i="13"/>
  <c r="M23" i="13" s="1"/>
  <c r="L20" i="13"/>
  <c r="L23" i="13" s="1"/>
  <c r="K20" i="13"/>
  <c r="K23" i="13" s="1"/>
  <c r="J20" i="13"/>
  <c r="J23" i="13" s="1"/>
  <c r="I20" i="13"/>
  <c r="I23" i="13" s="1"/>
  <c r="H20" i="13"/>
  <c r="H23" i="13" s="1"/>
  <c r="G20" i="13"/>
  <c r="G23" i="13" s="1"/>
  <c r="F20" i="13"/>
  <c r="F23" i="13" s="1"/>
  <c r="E20" i="13"/>
  <c r="E23" i="13" s="1"/>
  <c r="D20" i="13"/>
  <c r="D23" i="13" s="1"/>
  <c r="C20" i="13"/>
  <c r="C23" i="13" s="1"/>
  <c r="AS16" i="13"/>
  <c r="AS27" i="13" s="1"/>
  <c r="AS37" i="13" s="1"/>
  <c r="AS47" i="13" s="1"/>
  <c r="AS57" i="13" s="1"/>
  <c r="AR16" i="13"/>
  <c r="AR27" i="13" s="1"/>
  <c r="AR37" i="13" s="1"/>
  <c r="AR47" i="13" s="1"/>
  <c r="AR57" i="13" s="1"/>
  <c r="AQ16" i="13"/>
  <c r="AQ27" i="13" s="1"/>
  <c r="AQ37" i="13" s="1"/>
  <c r="AQ47" i="13" s="1"/>
  <c r="AQ57" i="13" s="1"/>
  <c r="AP16" i="13"/>
  <c r="AP27" i="13" s="1"/>
  <c r="AP37" i="13" s="1"/>
  <c r="AP47" i="13" s="1"/>
  <c r="AP57" i="13" s="1"/>
  <c r="AO16" i="13"/>
  <c r="AO27" i="13" s="1"/>
  <c r="AO37" i="13" s="1"/>
  <c r="AO47" i="13" s="1"/>
  <c r="AO57" i="13" s="1"/>
  <c r="AN16" i="13"/>
  <c r="AN27" i="13" s="1"/>
  <c r="AN37" i="13" s="1"/>
  <c r="AN47" i="13" s="1"/>
  <c r="AN57" i="13" s="1"/>
  <c r="AM16" i="13"/>
  <c r="AM27" i="13" s="1"/>
  <c r="AM37" i="13" s="1"/>
  <c r="AM47" i="13" s="1"/>
  <c r="AM57" i="13" s="1"/>
  <c r="AL16" i="13"/>
  <c r="AL27" i="13" s="1"/>
  <c r="AL37" i="13" s="1"/>
  <c r="AL47" i="13" s="1"/>
  <c r="AL57" i="13" s="1"/>
  <c r="AL67" i="13" s="1"/>
  <c r="AK16" i="13"/>
  <c r="AJ16" i="13"/>
  <c r="AI16" i="13"/>
  <c r="AH16" i="13"/>
  <c r="AG16" i="13"/>
  <c r="AF16" i="13"/>
  <c r="AE16" i="13"/>
  <c r="AE27" i="13" s="1"/>
  <c r="AE37" i="13" s="1"/>
  <c r="AE47" i="13" s="1"/>
  <c r="AE57" i="13" s="1"/>
  <c r="AA16" i="13"/>
  <c r="AA27" i="13" s="1"/>
  <c r="AA37" i="13" s="1"/>
  <c r="AA47" i="13" s="1"/>
  <c r="AA57" i="13" s="1"/>
  <c r="AA67" i="13" s="1"/>
  <c r="AS9" i="13"/>
  <c r="AS12" i="13" s="1"/>
  <c r="AR9" i="13"/>
  <c r="AR12" i="13" s="1"/>
  <c r="AQ9" i="13"/>
  <c r="AQ12" i="13" s="1"/>
  <c r="AP9" i="13"/>
  <c r="AP12" i="13" s="1"/>
  <c r="AO9" i="13"/>
  <c r="AO12" i="13" s="1"/>
  <c r="AN9" i="13"/>
  <c r="AN12" i="13" s="1"/>
  <c r="AM9" i="13"/>
  <c r="AM12" i="13" s="1"/>
  <c r="AL9" i="13"/>
  <c r="AL12" i="13" s="1"/>
  <c r="AK9" i="13"/>
  <c r="AK12" i="13" s="1"/>
  <c r="AJ9" i="13"/>
  <c r="AJ12" i="13" s="1"/>
  <c r="AI9" i="13"/>
  <c r="AI12" i="13" s="1"/>
  <c r="AH9" i="13"/>
  <c r="AH12" i="13" s="1"/>
  <c r="AG9" i="13"/>
  <c r="AG12" i="13" s="1"/>
  <c r="AF9" i="13"/>
  <c r="AF12" i="13" s="1"/>
  <c r="AE9" i="13"/>
  <c r="AD9" i="13"/>
  <c r="AD12" i="13" s="1"/>
  <c r="AC9" i="13"/>
  <c r="AC12" i="13" s="1"/>
  <c r="AB9" i="13"/>
  <c r="AB12" i="13" s="1"/>
  <c r="AA9" i="13"/>
  <c r="AA12" i="13" s="1"/>
  <c r="Z9" i="13"/>
  <c r="Z12" i="13" s="1"/>
  <c r="Y9" i="13"/>
  <c r="Y12" i="13" s="1"/>
  <c r="X9" i="13"/>
  <c r="X12" i="13" s="1"/>
  <c r="W9" i="13"/>
  <c r="W12" i="13" s="1"/>
  <c r="V9" i="13"/>
  <c r="U9" i="13"/>
  <c r="U12" i="13" s="1"/>
  <c r="T9" i="13"/>
  <c r="T12" i="13" s="1"/>
  <c r="S9" i="13"/>
  <c r="S12" i="13" s="1"/>
  <c r="R9" i="13"/>
  <c r="Q9" i="13"/>
  <c r="Q12" i="13" s="1"/>
  <c r="P9" i="13"/>
  <c r="P12" i="13" s="1"/>
  <c r="O9" i="13"/>
  <c r="N9" i="13"/>
  <c r="M9" i="13"/>
  <c r="M12" i="13" s="1"/>
  <c r="L9" i="13"/>
  <c r="L12" i="13" s="1"/>
  <c r="K9" i="13"/>
  <c r="K12" i="13" s="1"/>
  <c r="J9" i="13"/>
  <c r="I9" i="13"/>
  <c r="I12" i="13" s="1"/>
  <c r="H9" i="13"/>
  <c r="H12" i="13" s="1"/>
  <c r="G9" i="13"/>
  <c r="F9" i="13"/>
  <c r="F12" i="13" s="1"/>
  <c r="E9" i="13"/>
  <c r="E12" i="13" s="1"/>
  <c r="D9" i="13"/>
  <c r="D12" i="13" s="1"/>
  <c r="C9" i="13"/>
  <c r="C12" i="13" s="1"/>
  <c r="AS172" i="12"/>
  <c r="AR172" i="12"/>
  <c r="AQ172" i="12"/>
  <c r="AP172" i="12"/>
  <c r="AO172" i="12"/>
  <c r="AN172" i="12"/>
  <c r="AM172" i="12"/>
  <c r="AL172" i="12"/>
  <c r="AS164" i="12"/>
  <c r="AR164" i="12"/>
  <c r="AQ164" i="12"/>
  <c r="AP164" i="12"/>
  <c r="AO164" i="12"/>
  <c r="AN164" i="12"/>
  <c r="AM164" i="12"/>
  <c r="AL164" i="12"/>
  <c r="AK164" i="12"/>
  <c r="AJ164" i="12"/>
  <c r="AI164" i="12"/>
  <c r="AH164" i="12"/>
  <c r="AG164" i="12"/>
  <c r="AF164" i="12"/>
  <c r="AE164" i="12"/>
  <c r="AD164" i="12"/>
  <c r="AC164" i="12"/>
  <c r="AB164" i="12"/>
  <c r="AA164" i="12"/>
  <c r="Z164" i="12"/>
  <c r="Y164" i="12"/>
  <c r="X164" i="12"/>
  <c r="W164" i="12"/>
  <c r="V164" i="12"/>
  <c r="U164" i="12"/>
  <c r="T164" i="12"/>
  <c r="S164" i="12"/>
  <c r="R164" i="12"/>
  <c r="Q164" i="12"/>
  <c r="P164" i="12"/>
  <c r="O164" i="12"/>
  <c r="N164" i="12"/>
  <c r="M164" i="12"/>
  <c r="L164" i="12"/>
  <c r="K164" i="12"/>
  <c r="J164" i="12"/>
  <c r="I164" i="12"/>
  <c r="H164" i="12"/>
  <c r="G164" i="12"/>
  <c r="F164" i="12"/>
  <c r="E164" i="12"/>
  <c r="D164" i="12"/>
  <c r="C164" i="12"/>
  <c r="AS156" i="12"/>
  <c r="AR156" i="12"/>
  <c r="AQ156" i="12"/>
  <c r="AP156" i="12"/>
  <c r="AO156" i="12"/>
  <c r="AN156" i="12"/>
  <c r="AM156" i="12"/>
  <c r="AL156" i="12"/>
  <c r="AK156" i="12"/>
  <c r="AJ156" i="12"/>
  <c r="AI156" i="12"/>
  <c r="AH156" i="12"/>
  <c r="AG156" i="12"/>
  <c r="AF156" i="12"/>
  <c r="AE156" i="12"/>
  <c r="AD156" i="12"/>
  <c r="AC156" i="12"/>
  <c r="AB156" i="12"/>
  <c r="AA156" i="12"/>
  <c r="Z156" i="12"/>
  <c r="Y156" i="12"/>
  <c r="X156" i="12"/>
  <c r="W156" i="12"/>
  <c r="V156" i="12"/>
  <c r="U156" i="12"/>
  <c r="T156" i="12"/>
  <c r="S156" i="12"/>
  <c r="R156" i="12"/>
  <c r="Q156" i="12"/>
  <c r="P156" i="12"/>
  <c r="O156" i="12"/>
  <c r="N156" i="12"/>
  <c r="M156" i="12"/>
  <c r="L156" i="12"/>
  <c r="K156" i="12"/>
  <c r="J156" i="12"/>
  <c r="I156" i="12"/>
  <c r="H156" i="12"/>
  <c r="G156" i="12"/>
  <c r="F156" i="12"/>
  <c r="E156" i="12"/>
  <c r="D156" i="12"/>
  <c r="C156" i="12"/>
  <c r="AS148" i="12"/>
  <c r="AR148" i="12"/>
  <c r="AQ148" i="12"/>
  <c r="AP148" i="12"/>
  <c r="AO148" i="12"/>
  <c r="AN148" i="12"/>
  <c r="AM148" i="12"/>
  <c r="AL148" i="12"/>
  <c r="AK148" i="12"/>
  <c r="AJ148" i="12"/>
  <c r="AI148" i="12"/>
  <c r="AH148" i="12"/>
  <c r="AG148" i="12"/>
  <c r="AF148" i="12"/>
  <c r="AE148" i="12"/>
  <c r="AD148" i="12"/>
  <c r="AC148" i="12"/>
  <c r="AB148" i="12"/>
  <c r="AA148" i="12"/>
  <c r="Z148" i="12"/>
  <c r="Y148" i="12"/>
  <c r="X148" i="12"/>
  <c r="W148" i="12"/>
  <c r="V148" i="12"/>
  <c r="U148" i="12"/>
  <c r="T148" i="12"/>
  <c r="S148" i="12"/>
  <c r="R148" i="12"/>
  <c r="Q148" i="12"/>
  <c r="P148" i="12"/>
  <c r="O148" i="12"/>
  <c r="N148" i="12"/>
  <c r="M148" i="12"/>
  <c r="L148" i="12"/>
  <c r="K148" i="12"/>
  <c r="J148" i="12"/>
  <c r="I148" i="12"/>
  <c r="H148" i="12"/>
  <c r="G148" i="12"/>
  <c r="F148" i="12"/>
  <c r="E148" i="12"/>
  <c r="D148" i="12"/>
  <c r="C148" i="12"/>
  <c r="AS140" i="12"/>
  <c r="AR140" i="12"/>
  <c r="AQ140" i="12"/>
  <c r="AP140" i="12"/>
  <c r="AO140" i="12"/>
  <c r="AN140" i="12"/>
  <c r="AM140" i="12"/>
  <c r="AL140" i="12"/>
  <c r="AK140" i="12"/>
  <c r="AJ140" i="12"/>
  <c r="AI140" i="12"/>
  <c r="AH140" i="12"/>
  <c r="AG140" i="12"/>
  <c r="AF140" i="12"/>
  <c r="AE140" i="12"/>
  <c r="AD140" i="12"/>
  <c r="AC140" i="12"/>
  <c r="AB140" i="12"/>
  <c r="AA140" i="12"/>
  <c r="Z140" i="12"/>
  <c r="Y140" i="12"/>
  <c r="X140" i="12"/>
  <c r="W140" i="12"/>
  <c r="V140" i="12"/>
  <c r="U140" i="12"/>
  <c r="T140" i="12"/>
  <c r="S140" i="12"/>
  <c r="R140" i="12"/>
  <c r="Q140" i="12"/>
  <c r="P140" i="12"/>
  <c r="O140" i="12"/>
  <c r="N140" i="12"/>
  <c r="M140" i="12"/>
  <c r="L140" i="12"/>
  <c r="K140" i="12"/>
  <c r="J140" i="12"/>
  <c r="I140" i="12"/>
  <c r="H140" i="12"/>
  <c r="G140" i="12"/>
  <c r="F140" i="12"/>
  <c r="E140" i="12"/>
  <c r="D140" i="12"/>
  <c r="C140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C132" i="12"/>
  <c r="AS124" i="12"/>
  <c r="AR124" i="12"/>
  <c r="AQ124" i="12"/>
  <c r="AP124" i="12"/>
  <c r="AO124" i="12"/>
  <c r="AN124" i="12"/>
  <c r="AM124" i="12"/>
  <c r="AL124" i="12"/>
  <c r="AK124" i="12"/>
  <c r="AK174" i="12" s="1"/>
  <c r="AJ124" i="12"/>
  <c r="AI124" i="12"/>
  <c r="AH124" i="12"/>
  <c r="AH174" i="12" s="1"/>
  <c r="AG124" i="12"/>
  <c r="AF124" i="12"/>
  <c r="AE124" i="12"/>
  <c r="AD124" i="12"/>
  <c r="AC124" i="12"/>
  <c r="AC174" i="12" s="1"/>
  <c r="AB124" i="12"/>
  <c r="AA124" i="12"/>
  <c r="Z124" i="12"/>
  <c r="Z174" i="12" s="1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J174" i="12" s="1"/>
  <c r="I124" i="12"/>
  <c r="H124" i="12"/>
  <c r="G124" i="12"/>
  <c r="F124" i="12"/>
  <c r="E124" i="12"/>
  <c r="E174" i="12" s="1"/>
  <c r="D124" i="12"/>
  <c r="C124" i="12"/>
  <c r="AS116" i="12"/>
  <c r="AR116" i="12"/>
  <c r="AQ116" i="12"/>
  <c r="AP116" i="12"/>
  <c r="AO116" i="12"/>
  <c r="AN116" i="12"/>
  <c r="AM116" i="12"/>
  <c r="AL116" i="12"/>
  <c r="AK116" i="12"/>
  <c r="AJ116" i="12"/>
  <c r="AI116" i="12"/>
  <c r="AS108" i="12"/>
  <c r="AR108" i="12"/>
  <c r="AQ108" i="12"/>
  <c r="AP108" i="12"/>
  <c r="AO108" i="12"/>
  <c r="AN108" i="12"/>
  <c r="AM108" i="12"/>
  <c r="AL108" i="12"/>
  <c r="AS104" i="12"/>
  <c r="AS111" i="12" s="1"/>
  <c r="AS112" i="12" s="1"/>
  <c r="AR104" i="12"/>
  <c r="AR111" i="12" s="1"/>
  <c r="AR112" i="12" s="1"/>
  <c r="AQ104" i="12"/>
  <c r="AQ111" i="12" s="1"/>
  <c r="AQ112" i="12" s="1"/>
  <c r="AP104" i="12"/>
  <c r="AP111" i="12" s="1"/>
  <c r="AO104" i="12"/>
  <c r="AO111" i="12" s="1"/>
  <c r="AO112" i="12" s="1"/>
  <c r="AN104" i="12"/>
  <c r="AN111" i="12" s="1"/>
  <c r="AN112" i="12" s="1"/>
  <c r="AM104" i="12"/>
  <c r="AM111" i="12" s="1"/>
  <c r="AM112" i="12" s="1"/>
  <c r="AL104" i="12"/>
  <c r="AL111" i="12" s="1"/>
  <c r="AL112" i="12" s="1"/>
  <c r="AS93" i="12"/>
  <c r="AR93" i="12"/>
  <c r="AQ93" i="12"/>
  <c r="AP93" i="12"/>
  <c r="AO93" i="12"/>
  <c r="AN93" i="12"/>
  <c r="AM93" i="12"/>
  <c r="AL93" i="12"/>
  <c r="AK93" i="12"/>
  <c r="AJ93" i="12"/>
  <c r="AI93" i="12"/>
  <c r="AH93" i="12"/>
  <c r="AS89" i="12"/>
  <c r="AR89" i="12"/>
  <c r="AQ89" i="12"/>
  <c r="AQ96" i="12" s="1"/>
  <c r="AQ97" i="12" s="1"/>
  <c r="AP89" i="12"/>
  <c r="AP96" i="12" s="1"/>
  <c r="AP97" i="12" s="1"/>
  <c r="AO89" i="12"/>
  <c r="AO96" i="12" s="1"/>
  <c r="AO97" i="12" s="1"/>
  <c r="AN89" i="12"/>
  <c r="AM89" i="12"/>
  <c r="AM96" i="12" s="1"/>
  <c r="AM97" i="12" s="1"/>
  <c r="AL89" i="12"/>
  <c r="AK89" i="12"/>
  <c r="AJ89" i="12"/>
  <c r="AJ96" i="12" s="1"/>
  <c r="AJ97" i="12" s="1"/>
  <c r="AI89" i="12"/>
  <c r="AI96" i="12" s="1"/>
  <c r="AI97" i="12" s="1"/>
  <c r="AH89" i="12"/>
  <c r="AH96" i="12" s="1"/>
  <c r="AH97" i="12" s="1"/>
  <c r="AS78" i="12"/>
  <c r="AR78" i="12"/>
  <c r="AQ78" i="12"/>
  <c r="AP78" i="12"/>
  <c r="AO78" i="12"/>
  <c r="AN78" i="12"/>
  <c r="AM78" i="12"/>
  <c r="AL78" i="12"/>
  <c r="AK78" i="12"/>
  <c r="AJ78" i="12"/>
  <c r="AI78" i="12"/>
  <c r="AH78" i="12"/>
  <c r="AG78" i="12"/>
  <c r="AS74" i="12"/>
  <c r="AR74" i="12"/>
  <c r="AR81" i="12" s="1"/>
  <c r="AR82" i="12" s="1"/>
  <c r="AQ74" i="12"/>
  <c r="AQ81" i="12" s="1"/>
  <c r="AQ82" i="12" s="1"/>
  <c r="AP74" i="12"/>
  <c r="AP81" i="12" s="1"/>
  <c r="AP82" i="12" s="1"/>
  <c r="AO74" i="12"/>
  <c r="AN74" i="12"/>
  <c r="AM74" i="12"/>
  <c r="AL74" i="12"/>
  <c r="AK74" i="12"/>
  <c r="AJ74" i="12"/>
  <c r="AJ81" i="12" s="1"/>
  <c r="AJ82" i="12" s="1"/>
  <c r="AI74" i="12"/>
  <c r="AI81" i="12" s="1"/>
  <c r="AI82" i="12" s="1"/>
  <c r="AH74" i="12"/>
  <c r="AH81" i="12" s="1"/>
  <c r="AH82" i="12" s="1"/>
  <c r="AG74" i="12"/>
  <c r="AG81" i="12" s="1"/>
  <c r="AG82" i="12" s="1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AS59" i="12"/>
  <c r="AR59" i="12"/>
  <c r="AR66" i="12" s="1"/>
  <c r="AR67" i="12" s="1"/>
  <c r="AQ59" i="12"/>
  <c r="AQ66" i="12" s="1"/>
  <c r="AQ67" i="12" s="1"/>
  <c r="AP59" i="12"/>
  <c r="AP66" i="12" s="1"/>
  <c r="AP67" i="12" s="1"/>
  <c r="AO59" i="12"/>
  <c r="AN59" i="12"/>
  <c r="AM59" i="12"/>
  <c r="AM66" i="12" s="1"/>
  <c r="AM67" i="12" s="1"/>
  <c r="AL59" i="12"/>
  <c r="AK59" i="12"/>
  <c r="AJ59" i="12"/>
  <c r="AJ66" i="12" s="1"/>
  <c r="AJ67" i="12" s="1"/>
  <c r="AI59" i="12"/>
  <c r="AI66" i="12" s="1"/>
  <c r="AI67" i="12" s="1"/>
  <c r="AH59" i="12"/>
  <c r="AH66" i="12" s="1"/>
  <c r="AH67" i="12" s="1"/>
  <c r="AG59" i="12"/>
  <c r="AG66" i="12" s="1"/>
  <c r="AG67" i="12" s="1"/>
  <c r="AF59" i="12"/>
  <c r="AE59" i="12"/>
  <c r="AE66" i="12" s="1"/>
  <c r="AE67" i="12" s="1"/>
  <c r="AD59" i="12"/>
  <c r="AC59" i="12"/>
  <c r="AB59" i="12"/>
  <c r="AB66" i="12" s="1"/>
  <c r="AB67" i="12" s="1"/>
  <c r="AA59" i="12"/>
  <c r="AA66" i="12" s="1"/>
  <c r="AA67" i="12" s="1"/>
  <c r="Z59" i="12"/>
  <c r="Z66" i="12" s="1"/>
  <c r="Z67" i="12" s="1"/>
  <c r="Y59" i="12"/>
  <c r="Y66" i="12" s="1"/>
  <c r="Y67" i="12" s="1"/>
  <c r="X59" i="12"/>
  <c r="W59" i="12"/>
  <c r="W66" i="12" s="1"/>
  <c r="W67" i="12" s="1"/>
  <c r="V59" i="12"/>
  <c r="U59" i="12"/>
  <c r="T59" i="12"/>
  <c r="T66" i="12" s="1"/>
  <c r="T67" i="12" s="1"/>
  <c r="S59" i="12"/>
  <c r="S66" i="12" s="1"/>
  <c r="S67" i="12" s="1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AS44" i="12"/>
  <c r="AR44" i="12"/>
  <c r="AR51" i="12" s="1"/>
  <c r="AR52" i="12" s="1"/>
  <c r="AQ44" i="12"/>
  <c r="AQ51" i="12" s="1"/>
  <c r="AQ52" i="12" s="1"/>
  <c r="AP44" i="12"/>
  <c r="AO44" i="12"/>
  <c r="AN44" i="12"/>
  <c r="AN51" i="12" s="1"/>
  <c r="AN52" i="12" s="1"/>
  <c r="AM44" i="12"/>
  <c r="AL44" i="12"/>
  <c r="AL51" i="12" s="1"/>
  <c r="AL52" i="12" s="1"/>
  <c r="AK44" i="12"/>
  <c r="AJ44" i="12"/>
  <c r="AJ51" i="12" s="1"/>
  <c r="AJ52" i="12" s="1"/>
  <c r="AI44" i="12"/>
  <c r="AI51" i="12" s="1"/>
  <c r="AI52" i="12" s="1"/>
  <c r="AH44" i="12"/>
  <c r="AH51" i="12" s="1"/>
  <c r="AH52" i="12" s="1"/>
  <c r="AG44" i="12"/>
  <c r="AF44" i="12"/>
  <c r="AF51" i="12" s="1"/>
  <c r="AF52" i="12" s="1"/>
  <c r="AE44" i="12"/>
  <c r="AD44" i="12"/>
  <c r="AC44" i="12"/>
  <c r="AB44" i="12"/>
  <c r="AB51" i="12" s="1"/>
  <c r="AB52" i="12" s="1"/>
  <c r="AA44" i="12"/>
  <c r="AA51" i="12" s="1"/>
  <c r="AA52" i="12" s="1"/>
  <c r="Z44" i="12"/>
  <c r="Y44" i="12"/>
  <c r="X44" i="12"/>
  <c r="X51" i="12" s="1"/>
  <c r="X52" i="12" s="1"/>
  <c r="W44" i="12"/>
  <c r="V44" i="12"/>
  <c r="V51" i="12" s="1"/>
  <c r="V52" i="12" s="1"/>
  <c r="U44" i="12"/>
  <c r="T44" i="12"/>
  <c r="T51" i="12" s="1"/>
  <c r="T52" i="12" s="1"/>
  <c r="S44" i="12"/>
  <c r="S51" i="12" s="1"/>
  <c r="S52" i="12" s="1"/>
  <c r="R44" i="12"/>
  <c r="R51" i="12" s="1"/>
  <c r="R52" i="12" s="1"/>
  <c r="Q44" i="12"/>
  <c r="P44" i="12"/>
  <c r="P51" i="12" s="1"/>
  <c r="P52" i="12" s="1"/>
  <c r="O44" i="12"/>
  <c r="N44" i="12"/>
  <c r="N51" i="12" s="1"/>
  <c r="N52" i="12" s="1"/>
  <c r="M44" i="12"/>
  <c r="L44" i="12"/>
  <c r="L51" i="12" s="1"/>
  <c r="L52" i="12" s="1"/>
  <c r="K44" i="12"/>
  <c r="K51" i="12" s="1"/>
  <c r="K52" i="12" s="1"/>
  <c r="J44" i="12"/>
  <c r="J51" i="12" s="1"/>
  <c r="J52" i="12" s="1"/>
  <c r="I44" i="12"/>
  <c r="H44" i="12"/>
  <c r="H51" i="12" s="1"/>
  <c r="H52" i="12" s="1"/>
  <c r="G44" i="12"/>
  <c r="F44" i="12"/>
  <c r="E44" i="12"/>
  <c r="D44" i="12"/>
  <c r="D51" i="12" s="1"/>
  <c r="D52" i="12" s="1"/>
  <c r="C44" i="12"/>
  <c r="C51" i="12" s="1"/>
  <c r="C52" i="12" s="1"/>
  <c r="AS33" i="12"/>
  <c r="AR33" i="12"/>
  <c r="AQ33" i="12"/>
  <c r="AP33" i="12"/>
  <c r="AO33" i="12"/>
  <c r="AN33" i="12"/>
  <c r="AM33" i="12"/>
  <c r="AL33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AS29" i="12"/>
  <c r="AR29" i="12"/>
  <c r="AR36" i="12" s="1"/>
  <c r="AR37" i="12" s="1"/>
  <c r="AQ29" i="12"/>
  <c r="AQ36" i="12" s="1"/>
  <c r="AQ37" i="12" s="1"/>
  <c r="AP29" i="12"/>
  <c r="AP36" i="12" s="1"/>
  <c r="AP37" i="12" s="1"/>
  <c r="AO29" i="12"/>
  <c r="AN29" i="12"/>
  <c r="AN36" i="12" s="1"/>
  <c r="AN37" i="12" s="1"/>
  <c r="AM29" i="12"/>
  <c r="AL29" i="12"/>
  <c r="AK29" i="12"/>
  <c r="AJ29" i="12"/>
  <c r="AJ36" i="12" s="1"/>
  <c r="AJ37" i="12" s="1"/>
  <c r="AI29" i="12"/>
  <c r="AI36" i="12" s="1"/>
  <c r="AI37" i="12" s="1"/>
  <c r="AH29" i="12"/>
  <c r="AH36" i="12" s="1"/>
  <c r="AH37" i="12" s="1"/>
  <c r="AG29" i="12"/>
  <c r="AF29" i="12"/>
  <c r="AF36" i="12" s="1"/>
  <c r="AF37" i="12" s="1"/>
  <c r="AE29" i="12"/>
  <c r="AD29" i="12"/>
  <c r="AC29" i="12"/>
  <c r="AB29" i="12"/>
  <c r="AB36" i="12" s="1"/>
  <c r="AB37" i="12" s="1"/>
  <c r="AA29" i="12"/>
  <c r="AA36" i="12" s="1"/>
  <c r="AA37" i="12" s="1"/>
  <c r="Z29" i="12"/>
  <c r="Z36" i="12" s="1"/>
  <c r="Z37" i="12" s="1"/>
  <c r="Y29" i="12"/>
  <c r="X29" i="12"/>
  <c r="X36" i="12" s="1"/>
  <c r="X37" i="12" s="1"/>
  <c r="W29" i="12"/>
  <c r="V29" i="12"/>
  <c r="V36" i="12" s="1"/>
  <c r="V37" i="12" s="1"/>
  <c r="U29" i="12"/>
  <c r="T29" i="12"/>
  <c r="T36" i="12" s="1"/>
  <c r="T37" i="12" s="1"/>
  <c r="S29" i="12"/>
  <c r="S36" i="12" s="1"/>
  <c r="S37" i="12" s="1"/>
  <c r="R29" i="12"/>
  <c r="R36" i="12" s="1"/>
  <c r="R37" i="12" s="1"/>
  <c r="Q29" i="12"/>
  <c r="P29" i="12"/>
  <c r="P36" i="12" s="1"/>
  <c r="P37" i="12" s="1"/>
  <c r="O29" i="12"/>
  <c r="N29" i="12"/>
  <c r="M29" i="12"/>
  <c r="L29" i="12"/>
  <c r="L36" i="12" s="1"/>
  <c r="L37" i="12" s="1"/>
  <c r="K29" i="12"/>
  <c r="K36" i="12" s="1"/>
  <c r="K37" i="12" s="1"/>
  <c r="J29" i="12"/>
  <c r="J36" i="12" s="1"/>
  <c r="J37" i="12" s="1"/>
  <c r="I29" i="12"/>
  <c r="H29" i="12"/>
  <c r="H36" i="12" s="1"/>
  <c r="H37" i="12" s="1"/>
  <c r="G29" i="12"/>
  <c r="F29" i="12"/>
  <c r="E29" i="12"/>
  <c r="D29" i="12"/>
  <c r="D36" i="12" s="1"/>
  <c r="D37" i="12" s="1"/>
  <c r="C29" i="12"/>
  <c r="C36" i="12" s="1"/>
  <c r="C37" i="12" s="1"/>
  <c r="AM20" i="12"/>
  <c r="AM21" i="12" s="1"/>
  <c r="AS17" i="12"/>
  <c r="AR17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Y20" i="12" s="1"/>
  <c r="X17" i="12"/>
  <c r="W17" i="12"/>
  <c r="V17" i="12"/>
  <c r="U17" i="12"/>
  <c r="T17" i="12"/>
  <c r="S17" i="12"/>
  <c r="R17" i="12"/>
  <c r="Q17" i="12"/>
  <c r="Q20" i="12" s="1"/>
  <c r="P17" i="12"/>
  <c r="O17" i="12"/>
  <c r="N17" i="12"/>
  <c r="M17" i="12"/>
  <c r="L17" i="12"/>
  <c r="K17" i="12"/>
  <c r="J17" i="12"/>
  <c r="J20" i="12" s="1"/>
  <c r="I17" i="12"/>
  <c r="I20" i="12" s="1"/>
  <c r="H17" i="12"/>
  <c r="G17" i="12"/>
  <c r="F17" i="12"/>
  <c r="E17" i="12"/>
  <c r="D17" i="12"/>
  <c r="C17" i="12"/>
  <c r="AS13" i="12"/>
  <c r="AS20" i="12" s="1"/>
  <c r="AS21" i="12" s="1"/>
  <c r="AR13" i="12"/>
  <c r="AR20" i="12" s="1"/>
  <c r="AR21" i="12" s="1"/>
  <c r="AQ13" i="12"/>
  <c r="AQ20" i="12" s="1"/>
  <c r="AQ21" i="12" s="1"/>
  <c r="AP13" i="12"/>
  <c r="AO13" i="12"/>
  <c r="AN13" i="12"/>
  <c r="AM13" i="12"/>
  <c r="AL13" i="12"/>
  <c r="AK13" i="12"/>
  <c r="AK20" i="12" s="1"/>
  <c r="AK21" i="12" s="1"/>
  <c r="AJ13" i="12"/>
  <c r="AJ20" i="12" s="1"/>
  <c r="AJ21" i="12" s="1"/>
  <c r="AI13" i="12"/>
  <c r="AI20" i="12" s="1"/>
  <c r="AI21" i="12" s="1"/>
  <c r="AH13" i="12"/>
  <c r="AG13" i="12"/>
  <c r="AF13" i="12"/>
  <c r="AE13" i="12"/>
  <c r="AE20" i="12" s="1"/>
  <c r="AE21" i="12" s="1"/>
  <c r="AD13" i="12"/>
  <c r="AC13" i="12"/>
  <c r="AC20" i="12" s="1"/>
  <c r="AC21" i="12" s="1"/>
  <c r="AB13" i="12"/>
  <c r="AB20" i="12" s="1"/>
  <c r="AB21" i="12" s="1"/>
  <c r="AA13" i="12"/>
  <c r="AA20" i="12" s="1"/>
  <c r="AA21" i="12" s="1"/>
  <c r="Z13" i="12"/>
  <c r="Y13" i="12"/>
  <c r="X13" i="12"/>
  <c r="W13" i="12"/>
  <c r="W20" i="12" s="1"/>
  <c r="V13" i="12"/>
  <c r="U13" i="12"/>
  <c r="U20" i="12" s="1"/>
  <c r="T13" i="12"/>
  <c r="T20" i="12" s="1"/>
  <c r="T21" i="12" s="1"/>
  <c r="S13" i="12"/>
  <c r="S20" i="12" s="1"/>
  <c r="S21" i="12" s="1"/>
  <c r="R13" i="12"/>
  <c r="Q13" i="12"/>
  <c r="P13" i="12"/>
  <c r="O13" i="12"/>
  <c r="O20" i="12" s="1"/>
  <c r="N13" i="12"/>
  <c r="N20" i="12" s="1"/>
  <c r="M13" i="12"/>
  <c r="M20" i="12" s="1"/>
  <c r="L13" i="12"/>
  <c r="L20" i="12" s="1"/>
  <c r="K13" i="12"/>
  <c r="K20" i="12" s="1"/>
  <c r="J13" i="12"/>
  <c r="I13" i="12"/>
  <c r="H13" i="12"/>
  <c r="G13" i="12"/>
  <c r="G20" i="12" s="1"/>
  <c r="F13" i="12"/>
  <c r="E13" i="12"/>
  <c r="E20" i="12" s="1"/>
  <c r="D13" i="12"/>
  <c r="D20" i="12" s="1"/>
  <c r="C13" i="12"/>
  <c r="C20" i="12" s="1"/>
  <c r="AB90" i="11"/>
  <c r="AD88" i="11"/>
  <c r="AD84" i="11" s="1"/>
  <c r="AB85" i="11"/>
  <c r="AR84" i="11"/>
  <c r="AQ84" i="11"/>
  <c r="AP84" i="11"/>
  <c r="AO84" i="11"/>
  <c r="AN84" i="11"/>
  <c r="AM84" i="11"/>
  <c r="AL84" i="11"/>
  <c r="AK84" i="11"/>
  <c r="AJ84" i="11"/>
  <c r="AI84" i="11"/>
  <c r="AH84" i="11"/>
  <c r="AG84" i="11"/>
  <c r="AE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AD82" i="11"/>
  <c r="AR69" i="11"/>
  <c r="AQ69" i="11"/>
  <c r="AP69" i="11"/>
  <c r="AO69" i="11"/>
  <c r="AN69" i="11"/>
  <c r="AM69" i="11"/>
  <c r="AL69" i="11"/>
  <c r="AK69" i="11"/>
  <c r="AJ69" i="11"/>
  <c r="AI69" i="11"/>
  <c r="AH69" i="11"/>
  <c r="AG69" i="11"/>
  <c r="AE69" i="11"/>
  <c r="AD69" i="11"/>
  <c r="AC69" i="11"/>
  <c r="AB69" i="11"/>
  <c r="AA69" i="11"/>
  <c r="Z69" i="11"/>
  <c r="Y69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C69" i="11"/>
  <c r="AD68" i="11"/>
  <c r="AD53" i="11" s="1"/>
  <c r="AB68" i="11"/>
  <c r="AB53" i="11" s="1"/>
  <c r="AR53" i="11"/>
  <c r="AQ53" i="11"/>
  <c r="AP53" i="11"/>
  <c r="AO53" i="11"/>
  <c r="AN53" i="11"/>
  <c r="AM53" i="11"/>
  <c r="AL53" i="11"/>
  <c r="AK53" i="11"/>
  <c r="AJ53" i="11"/>
  <c r="AI53" i="11"/>
  <c r="AH53" i="11"/>
  <c r="AG53" i="11"/>
  <c r="AC53" i="11"/>
  <c r="AA53" i="11"/>
  <c r="AA93" i="11" s="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AR52" i="11"/>
  <c r="AQ52" i="11"/>
  <c r="AP52" i="11"/>
  <c r="AO52" i="11"/>
  <c r="AN52" i="11"/>
  <c r="AM52" i="11"/>
  <c r="AL52" i="11"/>
  <c r="AK52" i="11"/>
  <c r="AJ52" i="11"/>
  <c r="AI52" i="11"/>
  <c r="AH52" i="11"/>
  <c r="AG52" i="11"/>
  <c r="AF52" i="11"/>
  <c r="AE52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AD48" i="11"/>
  <c r="AD43" i="11" s="1"/>
  <c r="AS43" i="11"/>
  <c r="AR43" i="11"/>
  <c r="AQ43" i="11"/>
  <c r="AP43" i="11"/>
  <c r="AO43" i="11"/>
  <c r="AN43" i="11"/>
  <c r="AM43" i="11"/>
  <c r="AL43" i="11"/>
  <c r="AL28" i="11" s="1"/>
  <c r="AK43" i="11"/>
  <c r="AJ43" i="11"/>
  <c r="AI43" i="11"/>
  <c r="AH43" i="11"/>
  <c r="AG43" i="11"/>
  <c r="AF43" i="11"/>
  <c r="AE43" i="11"/>
  <c r="AC43" i="11"/>
  <c r="AB43" i="11"/>
  <c r="AA43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N43" i="11"/>
  <c r="N28" i="11" s="1"/>
  <c r="M43" i="11"/>
  <c r="L43" i="11"/>
  <c r="K43" i="11"/>
  <c r="J43" i="11"/>
  <c r="I43" i="11"/>
  <c r="H43" i="11"/>
  <c r="G43" i="11"/>
  <c r="F43" i="11"/>
  <c r="F28" i="11" s="1"/>
  <c r="E43" i="11"/>
  <c r="D43" i="11"/>
  <c r="C43" i="11"/>
  <c r="AS29" i="11"/>
  <c r="AR29" i="11"/>
  <c r="AR28" i="11" s="1"/>
  <c r="AQ29" i="11"/>
  <c r="AP29" i="11"/>
  <c r="AO29" i="11"/>
  <c r="AN29" i="11"/>
  <c r="AM29" i="11"/>
  <c r="AL29" i="11"/>
  <c r="AK29" i="11"/>
  <c r="AJ29" i="11"/>
  <c r="AJ28" i="11" s="1"/>
  <c r="AI29" i="11"/>
  <c r="AH29" i="11"/>
  <c r="AG29" i="11"/>
  <c r="AF29" i="11"/>
  <c r="AE29" i="11"/>
  <c r="AD29" i="11"/>
  <c r="AC29" i="11"/>
  <c r="AB29" i="11"/>
  <c r="AA29" i="11"/>
  <c r="AA28" i="11" s="1"/>
  <c r="Z29" i="11"/>
  <c r="Y29" i="11"/>
  <c r="X29" i="11"/>
  <c r="X28" i="11" s="1"/>
  <c r="W29" i="11"/>
  <c r="V29" i="11"/>
  <c r="U29" i="11"/>
  <c r="T29" i="11"/>
  <c r="T28" i="11" s="1"/>
  <c r="S29" i="11"/>
  <c r="S28" i="11" s="1"/>
  <c r="R29" i="11"/>
  <c r="Q29" i="11"/>
  <c r="P29" i="11"/>
  <c r="P28" i="11" s="1"/>
  <c r="O29" i="11"/>
  <c r="N29" i="11"/>
  <c r="M29" i="11"/>
  <c r="L29" i="11"/>
  <c r="L28" i="11" s="1"/>
  <c r="K29" i="11"/>
  <c r="K28" i="11" s="1"/>
  <c r="J29" i="11"/>
  <c r="I29" i="11"/>
  <c r="H29" i="11"/>
  <c r="H28" i="11" s="1"/>
  <c r="H50" i="11" s="1"/>
  <c r="G29" i="11"/>
  <c r="G28" i="11" s="1"/>
  <c r="F29" i="11"/>
  <c r="E29" i="11"/>
  <c r="D29" i="11"/>
  <c r="D28" i="11" s="1"/>
  <c r="C29" i="11"/>
  <c r="C28" i="11" s="1"/>
  <c r="V28" i="11"/>
  <c r="R28" i="11"/>
  <c r="AB24" i="11"/>
  <c r="AB8" i="11" s="1"/>
  <c r="AS8" i="11"/>
  <c r="AR8" i="11"/>
  <c r="AQ8" i="11"/>
  <c r="AP8" i="11"/>
  <c r="AO8" i="11"/>
  <c r="AN8" i="11"/>
  <c r="AM8" i="11"/>
  <c r="AL8" i="11"/>
  <c r="AJ8" i="11"/>
  <c r="AI8" i="11"/>
  <c r="AH8" i="11"/>
  <c r="AG8" i="11"/>
  <c r="AD8" i="11"/>
  <c r="AC8" i="11"/>
  <c r="AC50" i="11" s="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AS100" i="10"/>
  <c r="AR100" i="10"/>
  <c r="AQ100" i="10"/>
  <c r="AP100" i="10"/>
  <c r="AO100" i="10"/>
  <c r="AN100" i="10"/>
  <c r="AM100" i="10"/>
  <c r="AL100" i="10"/>
  <c r="AK100" i="10"/>
  <c r="AJ100" i="10"/>
  <c r="AI100" i="10"/>
  <c r="AH100" i="10"/>
  <c r="AG100" i="10"/>
  <c r="AF100" i="10"/>
  <c r="AE100" i="10"/>
  <c r="AD100" i="10"/>
  <c r="AC100" i="10"/>
  <c r="AB100" i="10"/>
  <c r="AA100" i="10"/>
  <c r="Z100" i="10"/>
  <c r="Y100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C100" i="10"/>
  <c r="AD97" i="10"/>
  <c r="K86" i="10"/>
  <c r="K80" i="10" s="1"/>
  <c r="AR80" i="10"/>
  <c r="AQ80" i="10"/>
  <c r="AP80" i="10"/>
  <c r="AO80" i="10"/>
  <c r="AN80" i="10"/>
  <c r="AM80" i="10"/>
  <c r="AL80" i="10"/>
  <c r="AK80" i="10"/>
  <c r="AJ80" i="10"/>
  <c r="AI80" i="10"/>
  <c r="AH80" i="10"/>
  <c r="AG80" i="10"/>
  <c r="AF80" i="10"/>
  <c r="AE80" i="10"/>
  <c r="AD80" i="10"/>
  <c r="AC80" i="10"/>
  <c r="AB80" i="10"/>
  <c r="AA80" i="10"/>
  <c r="Z80" i="10"/>
  <c r="Y80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J80" i="10"/>
  <c r="I80" i="10"/>
  <c r="H80" i="10"/>
  <c r="G80" i="10"/>
  <c r="F80" i="10"/>
  <c r="E80" i="10"/>
  <c r="D80" i="10"/>
  <c r="C80" i="10"/>
  <c r="AK59" i="10"/>
  <c r="AK55" i="10" s="1"/>
  <c r="AR55" i="10"/>
  <c r="AQ55" i="10"/>
  <c r="AP55" i="10"/>
  <c r="AO55" i="10"/>
  <c r="AN55" i="10"/>
  <c r="AM55" i="10"/>
  <c r="AL55" i="10"/>
  <c r="AJ55" i="10"/>
  <c r="AI55" i="10"/>
  <c r="AH55" i="10"/>
  <c r="AG55" i="10"/>
  <c r="AF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AQ54" i="10"/>
  <c r="AP54" i="10"/>
  <c r="AA54" i="10"/>
  <c r="Z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AD49" i="10"/>
  <c r="AD46" i="10"/>
  <c r="Z46" i="10"/>
  <c r="Z45" i="10" s="1"/>
  <c r="AS45" i="10"/>
  <c r="AR45" i="10"/>
  <c r="AQ45" i="10"/>
  <c r="AP45" i="10"/>
  <c r="AO45" i="10"/>
  <c r="AN45" i="10"/>
  <c r="AM45" i="10"/>
  <c r="AL45" i="10"/>
  <c r="AK45" i="10"/>
  <c r="AJ45" i="10"/>
  <c r="AI45" i="10"/>
  <c r="AH45" i="10"/>
  <c r="AG45" i="10"/>
  <c r="AF45" i="10"/>
  <c r="AE45" i="10"/>
  <c r="AC45" i="10"/>
  <c r="AB45" i="10"/>
  <c r="AA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AD42" i="10"/>
  <c r="AD29" i="10" s="1"/>
  <c r="Z42" i="10"/>
  <c r="Z29" i="10" s="1"/>
  <c r="M37" i="10"/>
  <c r="M29" i="10" s="1"/>
  <c r="K36" i="10"/>
  <c r="K29" i="10" s="1"/>
  <c r="J36" i="10"/>
  <c r="J29" i="10" s="1"/>
  <c r="I36" i="10"/>
  <c r="I29" i="10" s="1"/>
  <c r="H36" i="10"/>
  <c r="F36" i="10"/>
  <c r="F29" i="10" s="1"/>
  <c r="V35" i="10"/>
  <c r="V29" i="10" s="1"/>
  <c r="S35" i="10"/>
  <c r="S29" i="10" s="1"/>
  <c r="O35" i="10"/>
  <c r="O29" i="10" s="1"/>
  <c r="O28" i="10" s="1"/>
  <c r="N35" i="10"/>
  <c r="N29" i="10" s="1"/>
  <c r="G35" i="10"/>
  <c r="G29" i="10" s="1"/>
  <c r="E35" i="10"/>
  <c r="E29" i="10" s="1"/>
  <c r="E28" i="10" s="1"/>
  <c r="D35" i="10"/>
  <c r="AS29" i="10"/>
  <c r="AS28" i="10" s="1"/>
  <c r="AR29" i="10"/>
  <c r="AR28" i="10" s="1"/>
  <c r="AQ29" i="10"/>
  <c r="AQ28" i="10" s="1"/>
  <c r="AP29" i="10"/>
  <c r="AO29" i="10"/>
  <c r="AO28" i="10" s="1"/>
  <c r="AN29" i="10"/>
  <c r="AN28" i="10" s="1"/>
  <c r="AM29" i="10"/>
  <c r="AM28" i="10" s="1"/>
  <c r="AL29" i="10"/>
  <c r="AK29" i="10"/>
  <c r="AJ29" i="10"/>
  <c r="AJ28" i="10" s="1"/>
  <c r="AI29" i="10"/>
  <c r="AI28" i="10" s="1"/>
  <c r="AH29" i="10"/>
  <c r="AG29" i="10"/>
  <c r="AG28" i="10" s="1"/>
  <c r="AF29" i="10"/>
  <c r="AE29" i="10"/>
  <c r="AE28" i="10" s="1"/>
  <c r="AC29" i="10"/>
  <c r="AB29" i="10"/>
  <c r="AA29" i="10"/>
  <c r="Y29" i="10"/>
  <c r="X29" i="10"/>
  <c r="X28" i="10" s="1"/>
  <c r="W29" i="10"/>
  <c r="U29" i="10"/>
  <c r="T29" i="10"/>
  <c r="R29" i="10"/>
  <c r="Q29" i="10"/>
  <c r="Q28" i="10" s="1"/>
  <c r="P29" i="10"/>
  <c r="L29" i="10"/>
  <c r="L28" i="10" s="1"/>
  <c r="H29" i="10"/>
  <c r="D29" i="10"/>
  <c r="D28" i="10" s="1"/>
  <c r="C29" i="10"/>
  <c r="T2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AO22" i="8"/>
  <c r="AO29" i="8" s="1"/>
  <c r="AO31" i="8" s="1"/>
  <c r="AO37" i="8" s="1"/>
  <c r="AO42" i="8" s="1"/>
  <c r="AB23" i="8"/>
  <c r="AR22" i="8"/>
  <c r="AR29" i="8" s="1"/>
  <c r="AR31" i="8" s="1"/>
  <c r="AR37" i="8" s="1"/>
  <c r="AR42" i="8" s="1"/>
  <c r="AQ22" i="8"/>
  <c r="AQ29" i="8" s="1"/>
  <c r="AQ31" i="8" s="1"/>
  <c r="AQ37" i="8" s="1"/>
  <c r="AQ42" i="8" s="1"/>
  <c r="AP22" i="8"/>
  <c r="AP29" i="8" s="1"/>
  <c r="AP31" i="8" s="1"/>
  <c r="AP37" i="8" s="1"/>
  <c r="AP42" i="8" s="1"/>
  <c r="AN22" i="8"/>
  <c r="AN29" i="8" s="1"/>
  <c r="AN31" i="8" s="1"/>
  <c r="AN37" i="8" s="1"/>
  <c r="AN42" i="8" s="1"/>
  <c r="AM22" i="8"/>
  <c r="AM29" i="8" s="1"/>
  <c r="AM31" i="8" s="1"/>
  <c r="AM37" i="8" s="1"/>
  <c r="AM42" i="8" s="1"/>
  <c r="AL22" i="8"/>
  <c r="AL29" i="8" s="1"/>
  <c r="AL31" i="8" s="1"/>
  <c r="AL37" i="8" s="1"/>
  <c r="AL42" i="8" s="1"/>
  <c r="AK22" i="8"/>
  <c r="AK29" i="8" s="1"/>
  <c r="AK31" i="8" s="1"/>
  <c r="AK37" i="8" s="1"/>
  <c r="AK42" i="8" s="1"/>
  <c r="AJ22" i="8"/>
  <c r="AJ29" i="8" s="1"/>
  <c r="AJ31" i="8" s="1"/>
  <c r="AI22" i="8"/>
  <c r="AI29" i="8" s="1"/>
  <c r="AI31" i="8" s="1"/>
  <c r="AH22" i="8"/>
  <c r="AH29" i="8" s="1"/>
  <c r="AH31" i="8" s="1"/>
  <c r="AH37" i="8" s="1"/>
  <c r="AH42" i="8" s="1"/>
  <c r="AG22" i="8"/>
  <c r="AG29" i="8" s="1"/>
  <c r="AG31" i="8" s="1"/>
  <c r="AG37" i="8" s="1"/>
  <c r="AG42" i="8" s="1"/>
  <c r="AB22" i="8"/>
  <c r="AB29" i="8" s="1"/>
  <c r="AB31" i="8" s="1"/>
  <c r="AB37" i="8" s="1"/>
  <c r="AB42" i="8" s="1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AB21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W15" i="8"/>
  <c r="AA9" i="8"/>
  <c r="AA15" i="8" s="1"/>
  <c r="Z9" i="8"/>
  <c r="Z15" i="8" s="1"/>
  <c r="Z21" i="8" s="1"/>
  <c r="Y9" i="8"/>
  <c r="Y15" i="8" s="1"/>
  <c r="X9" i="8"/>
  <c r="X15" i="8" s="1"/>
  <c r="W9" i="8"/>
  <c r="V9" i="8"/>
  <c r="V15" i="8" s="1"/>
  <c r="U9" i="8"/>
  <c r="U15" i="8" s="1"/>
  <c r="U21" i="8" s="1"/>
  <c r="T9" i="8"/>
  <c r="T15" i="8" s="1"/>
  <c r="S9" i="8"/>
  <c r="S15" i="8" s="1"/>
  <c r="R9" i="8"/>
  <c r="R15" i="8" s="1"/>
  <c r="Q9" i="8"/>
  <c r="Q15" i="8" s="1"/>
  <c r="P9" i="8"/>
  <c r="P15" i="8" s="1"/>
  <c r="O9" i="8"/>
  <c r="O15" i="8" s="1"/>
  <c r="N9" i="8"/>
  <c r="N15" i="8" s="1"/>
  <c r="M9" i="8"/>
  <c r="M15" i="8" s="1"/>
  <c r="M29" i="8" s="1"/>
  <c r="M31" i="8" s="1"/>
  <c r="L9" i="8"/>
  <c r="L15" i="8" s="1"/>
  <c r="K9" i="8"/>
  <c r="K15" i="8" s="1"/>
  <c r="J9" i="8"/>
  <c r="J15" i="8" s="1"/>
  <c r="J21" i="8" s="1"/>
  <c r="I9" i="8"/>
  <c r="I15" i="8" s="1"/>
  <c r="H9" i="8"/>
  <c r="H15" i="8" s="1"/>
  <c r="H21" i="8" s="1"/>
  <c r="G9" i="8"/>
  <c r="G15" i="8" s="1"/>
  <c r="F9" i="8"/>
  <c r="F15" i="8" s="1"/>
  <c r="E9" i="8"/>
  <c r="E15" i="8" s="1"/>
  <c r="E21" i="8" s="1"/>
  <c r="D9" i="8"/>
  <c r="D15" i="8" s="1"/>
  <c r="D21" i="8" s="1"/>
  <c r="C9" i="8"/>
  <c r="C15" i="8" s="1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M26" i="7"/>
  <c r="M35" i="7" s="1"/>
  <c r="M37" i="7" s="1"/>
  <c r="M43" i="7" s="1"/>
  <c r="M48" i="7" s="1"/>
  <c r="M50" i="7" s="1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Q9" i="7"/>
  <c r="Q19" i="7" s="1"/>
  <c r="Q26" i="7" s="1"/>
  <c r="P9" i="7"/>
  <c r="P19" i="7" s="1"/>
  <c r="P26" i="7" s="1"/>
  <c r="P35" i="7" s="1"/>
  <c r="P37" i="7" s="1"/>
  <c r="P43" i="7" s="1"/>
  <c r="P48" i="7" s="1"/>
  <c r="P50" i="7" s="1"/>
  <c r="O9" i="7"/>
  <c r="O19" i="7" s="1"/>
  <c r="O26" i="7" s="1"/>
  <c r="O35" i="7" s="1"/>
  <c r="O37" i="7" s="1"/>
  <c r="O43" i="7" s="1"/>
  <c r="O48" i="7" s="1"/>
  <c r="O50" i="7" s="1"/>
  <c r="N9" i="7"/>
  <c r="N19" i="7" s="1"/>
  <c r="N26" i="7" s="1"/>
  <c r="N35" i="7" s="1"/>
  <c r="N37" i="7" s="1"/>
  <c r="N43" i="7" s="1"/>
  <c r="N48" i="7" s="1"/>
  <c r="N50" i="7" s="1"/>
  <c r="M9" i="7"/>
  <c r="M19" i="7" s="1"/>
  <c r="L9" i="7"/>
  <c r="L19" i="7" s="1"/>
  <c r="L26" i="7" s="1"/>
  <c r="L35" i="7" s="1"/>
  <c r="L37" i="7" s="1"/>
  <c r="L43" i="7" s="1"/>
  <c r="L48" i="7" s="1"/>
  <c r="L50" i="7" s="1"/>
  <c r="K9" i="7"/>
  <c r="K19" i="7" s="1"/>
  <c r="K26" i="7" s="1"/>
  <c r="K35" i="7" s="1"/>
  <c r="K37" i="7" s="1"/>
  <c r="J9" i="7"/>
  <c r="J19" i="7" s="1"/>
  <c r="J26" i="7" s="1"/>
  <c r="I9" i="7"/>
  <c r="I19" i="7" s="1"/>
  <c r="I26" i="7" s="1"/>
  <c r="H9" i="7"/>
  <c r="H19" i="7" s="1"/>
  <c r="H26" i="7" s="1"/>
  <c r="G9" i="7"/>
  <c r="G19" i="7" s="1"/>
  <c r="G26" i="7" s="1"/>
  <c r="G35" i="7" s="1"/>
  <c r="G37" i="7" s="1"/>
  <c r="G43" i="7" s="1"/>
  <c r="G48" i="7" s="1"/>
  <c r="G50" i="7" s="1"/>
  <c r="F9" i="7"/>
  <c r="F19" i="7" s="1"/>
  <c r="F26" i="7" s="1"/>
  <c r="F35" i="7" s="1"/>
  <c r="F37" i="7" s="1"/>
  <c r="F43" i="7" s="1"/>
  <c r="F48" i="7" s="1"/>
  <c r="F50" i="7" s="1"/>
  <c r="E9" i="7"/>
  <c r="E19" i="7" s="1"/>
  <c r="E26" i="7" s="1"/>
  <c r="E35" i="7" s="1"/>
  <c r="E37" i="7" s="1"/>
  <c r="E43" i="7" s="1"/>
  <c r="E48" i="7" s="1"/>
  <c r="E50" i="7" s="1"/>
  <c r="D9" i="7"/>
  <c r="D19" i="7" s="1"/>
  <c r="D26" i="7" s="1"/>
  <c r="D35" i="7" s="1"/>
  <c r="D37" i="7" s="1"/>
  <c r="D43" i="7" s="1"/>
  <c r="D48" i="7" s="1"/>
  <c r="D50" i="7" s="1"/>
  <c r="C9" i="7"/>
  <c r="C19" i="7" s="1"/>
  <c r="C26" i="7" s="1"/>
  <c r="C35" i="7" s="1"/>
  <c r="C37" i="7" s="1"/>
  <c r="R23" i="5"/>
  <c r="R17" i="5"/>
  <c r="R16" i="5"/>
  <c r="R15" i="5"/>
  <c r="R14" i="5"/>
  <c r="R13" i="5"/>
  <c r="R12" i="5"/>
  <c r="R11" i="5"/>
  <c r="R10" i="5"/>
  <c r="Q18" i="5"/>
  <c r="Q20" i="5" s="1"/>
  <c r="P18" i="5"/>
  <c r="P20" i="5" s="1"/>
  <c r="O18" i="5"/>
  <c r="O20" i="5" s="1"/>
  <c r="N18" i="5"/>
  <c r="N20" i="5" s="1"/>
  <c r="M18" i="5"/>
  <c r="M20" i="5" s="1"/>
  <c r="L18" i="5"/>
  <c r="K18" i="5"/>
  <c r="K20" i="5" s="1"/>
  <c r="J18" i="5"/>
  <c r="J20" i="5" s="1"/>
  <c r="I18" i="5"/>
  <c r="I20" i="5" s="1"/>
  <c r="H18" i="5"/>
  <c r="H20" i="5" s="1"/>
  <c r="G18" i="5"/>
  <c r="G20" i="5" s="1"/>
  <c r="F18" i="5"/>
  <c r="F20" i="5" s="1"/>
  <c r="E18" i="5"/>
  <c r="E20" i="5" s="1"/>
  <c r="D18" i="5"/>
  <c r="K99" i="4"/>
  <c r="L98" i="4"/>
  <c r="I99" i="4"/>
  <c r="G99" i="4"/>
  <c r="L97" i="4"/>
  <c r="J99" i="4"/>
  <c r="H99" i="4"/>
  <c r="F99" i="4"/>
  <c r="K93" i="4"/>
  <c r="L92" i="4"/>
  <c r="L91" i="4"/>
  <c r="G93" i="4"/>
  <c r="L90" i="4"/>
  <c r="J93" i="4"/>
  <c r="I93" i="4"/>
  <c r="H93" i="4"/>
  <c r="L89" i="4"/>
  <c r="I85" i="4"/>
  <c r="G85" i="4"/>
  <c r="L84" i="4"/>
  <c r="J85" i="4"/>
  <c r="L83" i="4"/>
  <c r="L82" i="4"/>
  <c r="L81" i="4"/>
  <c r="K85" i="4"/>
  <c r="H85" i="4"/>
  <c r="F85" i="4"/>
  <c r="L80" i="4"/>
  <c r="J76" i="4"/>
  <c r="L75" i="4"/>
  <c r="K76" i="4"/>
  <c r="I76" i="4"/>
  <c r="H76" i="4"/>
  <c r="G76" i="4"/>
  <c r="H71" i="4"/>
  <c r="F71" i="4"/>
  <c r="K71" i="4"/>
  <c r="J71" i="4"/>
  <c r="I71" i="4"/>
  <c r="G71" i="4"/>
  <c r="F61" i="4"/>
  <c r="J61" i="4"/>
  <c r="L60" i="4"/>
  <c r="L59" i="4"/>
  <c r="K61" i="4"/>
  <c r="I61" i="4"/>
  <c r="H61" i="4"/>
  <c r="G61" i="4"/>
  <c r="H55" i="4"/>
  <c r="F55" i="4"/>
  <c r="I55" i="4"/>
  <c r="L53" i="4"/>
  <c r="K55" i="4"/>
  <c r="J55" i="4"/>
  <c r="L52" i="4"/>
  <c r="G55" i="4"/>
  <c r="L45" i="4"/>
  <c r="K42" i="4"/>
  <c r="L41" i="4"/>
  <c r="L40" i="4"/>
  <c r="J42" i="4"/>
  <c r="I42" i="4"/>
  <c r="H42" i="4"/>
  <c r="G42" i="4"/>
  <c r="L39" i="4"/>
  <c r="H36" i="4"/>
  <c r="F36" i="4"/>
  <c r="I36" i="4"/>
  <c r="L34" i="4"/>
  <c r="L33" i="4"/>
  <c r="L32" i="4"/>
  <c r="L31" i="4"/>
  <c r="K36" i="4"/>
  <c r="J36" i="4"/>
  <c r="G36" i="4"/>
  <c r="K28" i="4"/>
  <c r="L27" i="4"/>
  <c r="L26" i="4"/>
  <c r="G28" i="4"/>
  <c r="L25" i="4"/>
  <c r="J28" i="4"/>
  <c r="I28" i="4"/>
  <c r="H28" i="4"/>
  <c r="L24" i="4"/>
  <c r="I21" i="4"/>
  <c r="G21" i="4"/>
  <c r="L20" i="4"/>
  <c r="J21" i="4"/>
  <c r="L19" i="4"/>
  <c r="L18" i="4"/>
  <c r="L17" i="4"/>
  <c r="H21" i="4"/>
  <c r="F21" i="4"/>
  <c r="L13" i="4"/>
  <c r="L12" i="4"/>
  <c r="L11" i="4"/>
  <c r="L10" i="4"/>
  <c r="I14" i="4"/>
  <c r="G14" i="4"/>
  <c r="G101" i="4" s="1"/>
  <c r="L9" i="4"/>
  <c r="K14" i="4"/>
  <c r="J14" i="4"/>
  <c r="H14" i="4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AB75" i="3"/>
  <c r="Z75" i="3"/>
  <c r="AD75" i="3"/>
  <c r="AC75" i="3"/>
  <c r="AA75" i="3"/>
  <c r="Z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AD69" i="3"/>
  <c r="AC69" i="3"/>
  <c r="AB69" i="3"/>
  <c r="AA69" i="3"/>
  <c r="Y69" i="3"/>
  <c r="Z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AD63" i="3"/>
  <c r="AC63" i="3"/>
  <c r="AB63" i="3"/>
  <c r="AA63" i="3"/>
  <c r="Y63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AD57" i="3"/>
  <c r="AD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AD48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AD42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AD30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B17" i="3"/>
  <c r="B23" i="3" s="1"/>
  <c r="B29" i="3" s="1"/>
  <c r="B35" i="3" s="1"/>
  <c r="B41" i="3" s="1"/>
  <c r="B47" i="3" s="1"/>
  <c r="AD18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AD12" i="3"/>
  <c r="J28" i="36" l="1"/>
  <c r="J31" i="36" s="1"/>
  <c r="R28" i="36"/>
  <c r="R31" i="36" s="1"/>
  <c r="Z28" i="36"/>
  <c r="Z31" i="36" s="1"/>
  <c r="H101" i="4"/>
  <c r="J101" i="4"/>
  <c r="I101" i="4"/>
  <c r="U27" i="39"/>
  <c r="E27" i="39"/>
  <c r="M27" i="39"/>
  <c r="F27" i="39"/>
  <c r="F24" i="29"/>
  <c r="S28" i="10"/>
  <c r="P28" i="10"/>
  <c r="H28" i="10"/>
  <c r="C57" i="46"/>
  <c r="E30" i="46"/>
  <c r="J23" i="31"/>
  <c r="E23" i="31"/>
  <c r="F23" i="30"/>
  <c r="N23" i="30"/>
  <c r="V23" i="30"/>
  <c r="G23" i="30"/>
  <c r="O23" i="30"/>
  <c r="D23" i="30"/>
  <c r="L23" i="30"/>
  <c r="AJ29" i="47"/>
  <c r="AJ34" i="47" s="1"/>
  <c r="AR29" i="47"/>
  <c r="AR34" i="47" s="1"/>
  <c r="AL22" i="47"/>
  <c r="AL25" i="47" s="1"/>
  <c r="AL29" i="47" s="1"/>
  <c r="AL34" i="47" s="1"/>
  <c r="AP22" i="47"/>
  <c r="AP25" i="47" s="1"/>
  <c r="AP29" i="47" s="1"/>
  <c r="AP34" i="47" s="1"/>
  <c r="D93" i="11"/>
  <c r="L93" i="11"/>
  <c r="T93" i="11"/>
  <c r="AO66" i="12"/>
  <c r="AO67" i="12" s="1"/>
  <c r="L16" i="16"/>
  <c r="H15" i="18"/>
  <c r="C28" i="18"/>
  <c r="H28" i="24"/>
  <c r="H30" i="24" s="1"/>
  <c r="H34" i="24" s="1"/>
  <c r="H39" i="24" s="1"/>
  <c r="F42" i="27"/>
  <c r="E24" i="29"/>
  <c r="R28" i="35"/>
  <c r="R30" i="35" s="1"/>
  <c r="Z28" i="35"/>
  <c r="Z30" i="35" s="1"/>
  <c r="V28" i="37"/>
  <c r="V30" i="37" s="1"/>
  <c r="V34" i="37" s="1"/>
  <c r="V39" i="37" s="1"/>
  <c r="AA28" i="10"/>
  <c r="AA52" i="10" s="1"/>
  <c r="O28" i="11"/>
  <c r="W28" i="11"/>
  <c r="R20" i="12"/>
  <c r="R21" i="12" s="1"/>
  <c r="AP20" i="12"/>
  <c r="AP21" i="12" s="1"/>
  <c r="F36" i="12"/>
  <c r="F37" i="12" s="1"/>
  <c r="F51" i="12"/>
  <c r="F52" i="12" s="1"/>
  <c r="AD51" i="12"/>
  <c r="AD52" i="12" s="1"/>
  <c r="F174" i="12"/>
  <c r="N174" i="12"/>
  <c r="V174" i="12"/>
  <c r="AD174" i="12"/>
  <c r="AL174" i="12"/>
  <c r="P47" i="16"/>
  <c r="D28" i="18"/>
  <c r="H28" i="18"/>
  <c r="E30" i="19"/>
  <c r="N21" i="22"/>
  <c r="N29" i="22" s="1"/>
  <c r="N31" i="22" s="1"/>
  <c r="N35" i="22" s="1"/>
  <c r="N40" i="22" s="1"/>
  <c r="G29" i="22"/>
  <c r="I20" i="24"/>
  <c r="I28" i="24" s="1"/>
  <c r="I30" i="24" s="1"/>
  <c r="I34" i="24" s="1"/>
  <c r="I39" i="24" s="1"/>
  <c r="G29" i="25"/>
  <c r="G31" i="25" s="1"/>
  <c r="G35" i="25" s="1"/>
  <c r="G40" i="25" s="1"/>
  <c r="J97" i="28"/>
  <c r="J43" i="31"/>
  <c r="G23" i="31"/>
  <c r="C22" i="33"/>
  <c r="C43" i="33" s="1"/>
  <c r="C28" i="35"/>
  <c r="C30" i="35" s="1"/>
  <c r="C34" i="35" s="1"/>
  <c r="C38" i="35" s="1"/>
  <c r="K28" i="35"/>
  <c r="K30" i="35" s="1"/>
  <c r="K34" i="35" s="1"/>
  <c r="K38" i="35" s="1"/>
  <c r="S28" i="35"/>
  <c r="S30" i="35" s="1"/>
  <c r="S34" i="35" s="1"/>
  <c r="S38" i="35" s="1"/>
  <c r="AA28" i="35"/>
  <c r="AA30" i="35" s="1"/>
  <c r="AA34" i="35" s="1"/>
  <c r="AA38" i="35" s="1"/>
  <c r="R45" i="39"/>
  <c r="D18" i="40"/>
  <c r="T18" i="40"/>
  <c r="AB18" i="40"/>
  <c r="J29" i="42"/>
  <c r="J31" i="42" s="1"/>
  <c r="J35" i="42" s="1"/>
  <c r="J38" i="42" s="1"/>
  <c r="M20" i="21"/>
  <c r="AI37" i="8"/>
  <c r="AI42" i="8" s="1"/>
  <c r="AG20" i="12"/>
  <c r="AG21" i="12" s="1"/>
  <c r="AO20" i="12"/>
  <c r="AO21" i="12" s="1"/>
  <c r="H174" i="12"/>
  <c r="P174" i="12"/>
  <c r="X174" i="12"/>
  <c r="AF174" i="12"/>
  <c r="AN174" i="12"/>
  <c r="M174" i="12"/>
  <c r="R7" i="16"/>
  <c r="M17" i="16"/>
  <c r="R39" i="16"/>
  <c r="C15" i="18"/>
  <c r="AH29" i="20"/>
  <c r="AH31" i="20" s="1"/>
  <c r="AH35" i="20" s="1"/>
  <c r="AH40" i="20" s="1"/>
  <c r="F20" i="21"/>
  <c r="N20" i="21"/>
  <c r="V20" i="21"/>
  <c r="C28" i="24"/>
  <c r="C30" i="24" s="1"/>
  <c r="C34" i="24" s="1"/>
  <c r="C39" i="24" s="1"/>
  <c r="K28" i="24"/>
  <c r="K30" i="24" s="1"/>
  <c r="K34" i="24" s="1"/>
  <c r="K39" i="24" s="1"/>
  <c r="I29" i="25"/>
  <c r="I31" i="25" s="1"/>
  <c r="I35" i="25" s="1"/>
  <c r="I40" i="25" s="1"/>
  <c r="F26" i="28"/>
  <c r="N26" i="28"/>
  <c r="N42" i="30"/>
  <c r="I23" i="30"/>
  <c r="Q23" i="30"/>
  <c r="Y23" i="30"/>
  <c r="E22" i="33"/>
  <c r="E43" i="33" s="1"/>
  <c r="C28" i="36"/>
  <c r="C31" i="36" s="1"/>
  <c r="K28" i="36"/>
  <c r="K31" i="36" s="1"/>
  <c r="S22" i="36"/>
  <c r="S24" i="36" s="1"/>
  <c r="S28" i="36" s="1"/>
  <c r="S31" i="36" s="1"/>
  <c r="AA28" i="36"/>
  <c r="AA31" i="36" s="1"/>
  <c r="C21" i="38"/>
  <c r="C23" i="38" s="1"/>
  <c r="C27" i="38" s="1"/>
  <c r="C31" i="38" s="1"/>
  <c r="K21" i="38"/>
  <c r="K23" i="38" s="1"/>
  <c r="K27" i="38" s="1"/>
  <c r="K31" i="38" s="1"/>
  <c r="X28" i="39"/>
  <c r="I174" i="12"/>
  <c r="Q174" i="12"/>
  <c r="M33" i="16"/>
  <c r="J29" i="25"/>
  <c r="J31" i="25" s="1"/>
  <c r="J35" i="25" s="1"/>
  <c r="J40" i="25" s="1"/>
  <c r="H86" i="27"/>
  <c r="P86" i="27"/>
  <c r="I86" i="27"/>
  <c r="E97" i="28"/>
  <c r="I23" i="31"/>
  <c r="I43" i="31" s="1"/>
  <c r="C43" i="7"/>
  <c r="C48" i="7" s="1"/>
  <c r="C50" i="7" s="1"/>
  <c r="K43" i="7"/>
  <c r="K48" i="7" s="1"/>
  <c r="K50" i="7" s="1"/>
  <c r="F20" i="12"/>
  <c r="V20" i="12"/>
  <c r="V21" i="12" s="1"/>
  <c r="AD20" i="12"/>
  <c r="AD21" i="12" s="1"/>
  <c r="AL20" i="12"/>
  <c r="AL21" i="12" s="1"/>
  <c r="AS81" i="12"/>
  <c r="AS82" i="12" s="1"/>
  <c r="K28" i="37"/>
  <c r="K30" i="37" s="1"/>
  <c r="K34" i="37" s="1"/>
  <c r="K39" i="37" s="1"/>
  <c r="S28" i="37"/>
  <c r="S30" i="37" s="1"/>
  <c r="S34" i="37" s="1"/>
  <c r="S39" i="37" s="1"/>
  <c r="AA28" i="37"/>
  <c r="AA30" i="37" s="1"/>
  <c r="AA34" i="37" s="1"/>
  <c r="AA39" i="37" s="1"/>
  <c r="L29" i="42"/>
  <c r="L31" i="42" s="1"/>
  <c r="L35" i="42" s="1"/>
  <c r="L38" i="42" s="1"/>
  <c r="D65" i="43"/>
  <c r="D74" i="43" s="1"/>
  <c r="D75" i="43" s="1"/>
  <c r="L65" i="43"/>
  <c r="I21" i="8"/>
  <c r="Y21" i="8"/>
  <c r="AO81" i="12"/>
  <c r="AO82" i="12" s="1"/>
  <c r="R11" i="16"/>
  <c r="E21" i="20"/>
  <c r="M21" i="20"/>
  <c r="U21" i="20"/>
  <c r="AC21" i="20"/>
  <c r="AK21" i="20"/>
  <c r="C28" i="26"/>
  <c r="C30" i="26" s="1"/>
  <c r="C34" i="26" s="1"/>
  <c r="C39" i="26" s="1"/>
  <c r="C45" i="27"/>
  <c r="I26" i="28"/>
  <c r="Q26" i="28"/>
  <c r="Q47" i="28" s="1"/>
  <c r="G97" i="28"/>
  <c r="O97" i="28"/>
  <c r="D23" i="31"/>
  <c r="H28" i="35"/>
  <c r="H30" i="35" s="1"/>
  <c r="H34" i="35" s="1"/>
  <c r="H38" i="35" s="1"/>
  <c r="I33" i="43"/>
  <c r="E65" i="43"/>
  <c r="M65" i="43"/>
  <c r="D30" i="46"/>
  <c r="I22" i="47"/>
  <c r="I25" i="47" s="1"/>
  <c r="I29" i="47" s="1"/>
  <c r="I34" i="47" s="1"/>
  <c r="Q22" i="47"/>
  <c r="Q25" i="47" s="1"/>
  <c r="Q29" i="47" s="1"/>
  <c r="Q34" i="47" s="1"/>
  <c r="R50" i="11"/>
  <c r="G36" i="12"/>
  <c r="G37" i="12" s="1"/>
  <c r="O36" i="12"/>
  <c r="O37" i="12" s="1"/>
  <c r="W36" i="12"/>
  <c r="W37" i="12" s="1"/>
  <c r="AE36" i="12"/>
  <c r="AE37" i="12" s="1"/>
  <c r="AM36" i="12"/>
  <c r="AM37" i="12" s="1"/>
  <c r="G51" i="12"/>
  <c r="G52" i="12" s="1"/>
  <c r="O51" i="12"/>
  <c r="O52" i="12" s="1"/>
  <c r="W51" i="12"/>
  <c r="W52" i="12" s="1"/>
  <c r="AE51" i="12"/>
  <c r="AE52" i="12" s="1"/>
  <c r="AM51" i="12"/>
  <c r="AM52" i="12" s="1"/>
  <c r="X66" i="12"/>
  <c r="X67" i="12" s="1"/>
  <c r="AF66" i="12"/>
  <c r="AF67" i="12" s="1"/>
  <c r="AN66" i="12"/>
  <c r="AN67" i="12" s="1"/>
  <c r="R9" i="16"/>
  <c r="N42" i="27"/>
  <c r="H97" i="28"/>
  <c r="P97" i="28"/>
  <c r="F21" i="32"/>
  <c r="I34" i="35"/>
  <c r="I38" i="35" s="1"/>
  <c r="Y34" i="35"/>
  <c r="Y38" i="35" s="1"/>
  <c r="AC28" i="37"/>
  <c r="AC30" i="37" s="1"/>
  <c r="AC34" i="37" s="1"/>
  <c r="AC39" i="37" s="1"/>
  <c r="E18" i="40"/>
  <c r="E31" i="40" s="1"/>
  <c r="M18" i="40"/>
  <c r="U18" i="40"/>
  <c r="AC18" i="40"/>
  <c r="J18" i="40"/>
  <c r="J31" i="40" s="1"/>
  <c r="R18" i="40"/>
  <c r="R31" i="40" s="1"/>
  <c r="F29" i="42"/>
  <c r="F31" i="42" s="1"/>
  <c r="F35" i="42" s="1"/>
  <c r="F38" i="42" s="1"/>
  <c r="F15" i="45"/>
  <c r="F24" i="45" s="1"/>
  <c r="F27" i="45" s="1"/>
  <c r="F31" i="45" s="1"/>
  <c r="F36" i="45" s="1"/>
  <c r="K33" i="43"/>
  <c r="I28" i="10"/>
  <c r="I52" i="10" s="1"/>
  <c r="AN52" i="10"/>
  <c r="AD45" i="10"/>
  <c r="Y28" i="10"/>
  <c r="AI110" i="10"/>
  <c r="X18" i="40"/>
  <c r="U31" i="40"/>
  <c r="Z18" i="40"/>
  <c r="Z31" i="40" s="1"/>
  <c r="J45" i="39"/>
  <c r="Z45" i="39"/>
  <c r="S82" i="39"/>
  <c r="S92" i="39" s="1"/>
  <c r="I92" i="39"/>
  <c r="V27" i="39"/>
  <c r="V45" i="39" s="1"/>
  <c r="V93" i="39" s="1"/>
  <c r="N27" i="39"/>
  <c r="N45" i="39" s="1"/>
  <c r="C21" i="32"/>
  <c r="E21" i="32"/>
  <c r="E36" i="32" s="1"/>
  <c r="D73" i="32"/>
  <c r="M23" i="30"/>
  <c r="J23" i="30"/>
  <c r="R23" i="30"/>
  <c r="E42" i="30"/>
  <c r="U42" i="30"/>
  <c r="V42" i="30"/>
  <c r="G42" i="30"/>
  <c r="I42" i="30"/>
  <c r="Q42" i="30"/>
  <c r="I90" i="30"/>
  <c r="I46" i="29"/>
  <c r="J24" i="29"/>
  <c r="J46" i="29" s="1"/>
  <c r="N89" i="29"/>
  <c r="E26" i="28"/>
  <c r="M26" i="28"/>
  <c r="F47" i="28"/>
  <c r="N47" i="28"/>
  <c r="G47" i="28"/>
  <c r="O26" i="28"/>
  <c r="O47" i="28" s="1"/>
  <c r="J28" i="18"/>
  <c r="AP29" i="20"/>
  <c r="AP31" i="20" s="1"/>
  <c r="AP35" i="20" s="1"/>
  <c r="AP40" i="20" s="1"/>
  <c r="AP21" i="20"/>
  <c r="T21" i="8"/>
  <c r="T29" i="8"/>
  <c r="T31" i="8" s="1"/>
  <c r="T37" i="8" s="1"/>
  <c r="T42" i="8" s="1"/>
  <c r="J29" i="20"/>
  <c r="J31" i="20" s="1"/>
  <c r="J35" i="20" s="1"/>
  <c r="J40" i="20" s="1"/>
  <c r="J21" i="20"/>
  <c r="AQ77" i="13"/>
  <c r="AQ67" i="13"/>
  <c r="D29" i="25"/>
  <c r="D31" i="25" s="1"/>
  <c r="D35" i="25" s="1"/>
  <c r="D40" i="25" s="1"/>
  <c r="D20" i="25"/>
  <c r="Z29" i="20"/>
  <c r="Z31" i="20" s="1"/>
  <c r="Z35" i="20" s="1"/>
  <c r="Z40" i="20" s="1"/>
  <c r="Z21" i="20"/>
  <c r="M37" i="8"/>
  <c r="M42" i="8" s="1"/>
  <c r="X21" i="8"/>
  <c r="I29" i="8"/>
  <c r="I31" i="8" s="1"/>
  <c r="I37" i="8" s="1"/>
  <c r="I42" i="8" s="1"/>
  <c r="N28" i="10"/>
  <c r="N52" i="10" s="1"/>
  <c r="Z20" i="12"/>
  <c r="AH20" i="12"/>
  <c r="AH21" i="12" s="1"/>
  <c r="N81" i="13"/>
  <c r="N12" i="13"/>
  <c r="V81" i="13"/>
  <c r="V12" i="13"/>
  <c r="H81" i="13"/>
  <c r="H33" i="13"/>
  <c r="P81" i="13"/>
  <c r="P33" i="13"/>
  <c r="X81" i="13"/>
  <c r="X33" i="13"/>
  <c r="AG81" i="13"/>
  <c r="AG84" i="13" s="1"/>
  <c r="AI81" i="13"/>
  <c r="AI84" i="13" s="1"/>
  <c r="AI63" i="13"/>
  <c r="AQ81" i="13"/>
  <c r="AQ84" i="13" s="1"/>
  <c r="AQ63" i="13"/>
  <c r="AH81" i="13"/>
  <c r="AH84" i="13" s="1"/>
  <c r="R23" i="16"/>
  <c r="R25" i="16"/>
  <c r="N27" i="16"/>
  <c r="P50" i="16"/>
  <c r="I15" i="18"/>
  <c r="N26" i="19"/>
  <c r="L30" i="19"/>
  <c r="E29" i="20"/>
  <c r="E31" i="20" s="1"/>
  <c r="E35" i="20" s="1"/>
  <c r="E40" i="20" s="1"/>
  <c r="L35" i="22"/>
  <c r="L40" i="22" s="1"/>
  <c r="T28" i="23"/>
  <c r="T30" i="23" s="1"/>
  <c r="T34" i="23" s="1"/>
  <c r="T39" i="23" s="1"/>
  <c r="M97" i="28"/>
  <c r="N24" i="29"/>
  <c r="N46" i="29" s="1"/>
  <c r="C23" i="30"/>
  <c r="K23" i="30"/>
  <c r="K42" i="30" s="1"/>
  <c r="S23" i="30"/>
  <c r="S42" i="30" s="1"/>
  <c r="T23" i="30"/>
  <c r="T42" i="30" s="1"/>
  <c r="E43" i="31"/>
  <c r="Q28" i="36"/>
  <c r="Q31" i="36" s="1"/>
  <c r="G34" i="37"/>
  <c r="G39" i="37" s="1"/>
  <c r="O34" i="37"/>
  <c r="O39" i="37" s="1"/>
  <c r="W34" i="37"/>
  <c r="W39" i="37" s="1"/>
  <c r="X27" i="39"/>
  <c r="X45" i="39" s="1"/>
  <c r="G29" i="42"/>
  <c r="G31" i="42" s="1"/>
  <c r="G35" i="42" s="1"/>
  <c r="G38" i="42" s="1"/>
  <c r="G24" i="45"/>
  <c r="G27" i="45" s="1"/>
  <c r="G31" i="45" s="1"/>
  <c r="G36" i="45" s="1"/>
  <c r="Q15" i="16"/>
  <c r="J27" i="38"/>
  <c r="J31" i="38" s="1"/>
  <c r="H35" i="7"/>
  <c r="H37" i="7" s="1"/>
  <c r="H43" i="7" s="1"/>
  <c r="H48" i="7" s="1"/>
  <c r="H50" i="7" s="1"/>
  <c r="R21" i="8"/>
  <c r="W93" i="11"/>
  <c r="U66" i="12"/>
  <c r="U67" i="12" s="1"/>
  <c r="AC66" i="12"/>
  <c r="AC67" i="12" s="1"/>
  <c r="AK66" i="12"/>
  <c r="AK67" i="12" s="1"/>
  <c r="AS66" i="12"/>
  <c r="AS67" i="12" s="1"/>
  <c r="AL96" i="12"/>
  <c r="AL97" i="12" s="1"/>
  <c r="G81" i="13"/>
  <c r="G12" i="13"/>
  <c r="O81" i="13"/>
  <c r="O12" i="13"/>
  <c r="AE81" i="13"/>
  <c r="AE84" i="13" s="1"/>
  <c r="AE12" i="13"/>
  <c r="I81" i="13"/>
  <c r="I33" i="13"/>
  <c r="Q81" i="13"/>
  <c r="Q33" i="13"/>
  <c r="AF81" i="13"/>
  <c r="AF84" i="13" s="1"/>
  <c r="AF43" i="13"/>
  <c r="M9" i="16"/>
  <c r="M16" i="16"/>
  <c r="M18" i="16"/>
  <c r="O24" i="16"/>
  <c r="N26" i="16"/>
  <c r="L33" i="16"/>
  <c r="J15" i="18"/>
  <c r="N29" i="20"/>
  <c r="N31" i="20" s="1"/>
  <c r="N35" i="20" s="1"/>
  <c r="N40" i="20" s="1"/>
  <c r="AD29" i="20"/>
  <c r="AD31" i="20" s="1"/>
  <c r="AD35" i="20" s="1"/>
  <c r="AD40" i="20" s="1"/>
  <c r="D31" i="21"/>
  <c r="D33" i="21" s="1"/>
  <c r="D37" i="21" s="1"/>
  <c r="D42" i="21" s="1"/>
  <c r="L31" i="21"/>
  <c r="L33" i="21" s="1"/>
  <c r="L37" i="21" s="1"/>
  <c r="L42" i="21" s="1"/>
  <c r="T31" i="21"/>
  <c r="T33" i="21" s="1"/>
  <c r="T37" i="21" s="1"/>
  <c r="T42" i="21" s="1"/>
  <c r="AB31" i="21"/>
  <c r="AB33" i="21" s="1"/>
  <c r="AB37" i="21" s="1"/>
  <c r="AB42" i="21" s="1"/>
  <c r="AN20" i="21"/>
  <c r="F21" i="22"/>
  <c r="F29" i="22" s="1"/>
  <c r="D20" i="24"/>
  <c r="D28" i="24" s="1"/>
  <c r="D30" i="24" s="1"/>
  <c r="D34" i="24" s="1"/>
  <c r="D39" i="24" s="1"/>
  <c r="C24" i="27"/>
  <c r="C42" i="27" s="1"/>
  <c r="H47" i="28"/>
  <c r="F97" i="28"/>
  <c r="N97" i="28"/>
  <c r="G24" i="29"/>
  <c r="G46" i="29" s="1"/>
  <c r="O24" i="29"/>
  <c r="O46" i="29" s="1"/>
  <c r="H23" i="31"/>
  <c r="H89" i="31"/>
  <c r="D34" i="35"/>
  <c r="D38" i="35" s="1"/>
  <c r="L34" i="35"/>
  <c r="L38" i="35" s="1"/>
  <c r="T34" i="35"/>
  <c r="T38" i="35" s="1"/>
  <c r="AB34" i="35"/>
  <c r="AB38" i="35" s="1"/>
  <c r="E45" i="39"/>
  <c r="E92" i="39"/>
  <c r="M92" i="39"/>
  <c r="O18" i="40"/>
  <c r="O31" i="40" s="1"/>
  <c r="H24" i="45"/>
  <c r="H27" i="45" s="1"/>
  <c r="H31" i="45" s="1"/>
  <c r="H36" i="45" s="1"/>
  <c r="Q17" i="16"/>
  <c r="L12" i="34"/>
  <c r="U29" i="8"/>
  <c r="U31" i="8" s="1"/>
  <c r="U37" i="8" s="1"/>
  <c r="U42" i="8" s="1"/>
  <c r="D50" i="11"/>
  <c r="L50" i="11"/>
  <c r="T50" i="11"/>
  <c r="AJ50" i="11"/>
  <c r="AR50" i="11"/>
  <c r="I28" i="11"/>
  <c r="I50" i="11" s="1"/>
  <c r="Q28" i="11"/>
  <c r="Q50" i="11" s="1"/>
  <c r="Y28" i="11"/>
  <c r="Y50" i="11" s="1"/>
  <c r="AH28" i="11"/>
  <c r="AH50" i="11" s="1"/>
  <c r="AP28" i="11"/>
  <c r="AP50" i="11" s="1"/>
  <c r="E36" i="12"/>
  <c r="E37" i="12" s="1"/>
  <c r="M36" i="12"/>
  <c r="M37" i="12" s="1"/>
  <c r="U36" i="12"/>
  <c r="U37" i="12" s="1"/>
  <c r="AC36" i="12"/>
  <c r="AC37" i="12" s="1"/>
  <c r="AK36" i="12"/>
  <c r="AK37" i="12" s="1"/>
  <c r="AS36" i="12"/>
  <c r="AS37" i="12" s="1"/>
  <c r="I51" i="12"/>
  <c r="I52" i="12" s="1"/>
  <c r="Q51" i="12"/>
  <c r="Q52" i="12" s="1"/>
  <c r="Y51" i="12"/>
  <c r="Y52" i="12" s="1"/>
  <c r="AG51" i="12"/>
  <c r="AG52" i="12" s="1"/>
  <c r="AG114" i="12" s="1"/>
  <c r="AO51" i="12"/>
  <c r="AO52" i="12" s="1"/>
  <c r="V66" i="12"/>
  <c r="V67" i="12" s="1"/>
  <c r="AD66" i="12"/>
  <c r="AD67" i="12" s="1"/>
  <c r="AL66" i="12"/>
  <c r="AL67" i="12" s="1"/>
  <c r="U174" i="12"/>
  <c r="AS174" i="12"/>
  <c r="R174" i="12"/>
  <c r="AP174" i="12"/>
  <c r="Y81" i="13"/>
  <c r="Y43" i="13"/>
  <c r="AK81" i="13"/>
  <c r="AK84" i="13" s="1"/>
  <c r="AK63" i="13"/>
  <c r="M7" i="16"/>
  <c r="N9" i="16"/>
  <c r="Q16" i="16"/>
  <c r="N24" i="16"/>
  <c r="AK29" i="20"/>
  <c r="AK31" i="20" s="1"/>
  <c r="AK35" i="20" s="1"/>
  <c r="AK40" i="20" s="1"/>
  <c r="F31" i="21"/>
  <c r="F33" i="21" s="1"/>
  <c r="F37" i="21" s="1"/>
  <c r="F42" i="21" s="1"/>
  <c r="G28" i="26"/>
  <c r="G30" i="26" s="1"/>
  <c r="G34" i="26" s="1"/>
  <c r="G39" i="26" s="1"/>
  <c r="E20" i="26"/>
  <c r="E28" i="26" s="1"/>
  <c r="E30" i="26" s="1"/>
  <c r="E34" i="26" s="1"/>
  <c r="E39" i="26" s="1"/>
  <c r="F89" i="29"/>
  <c r="H89" i="29"/>
  <c r="P89" i="29"/>
  <c r="I89" i="31"/>
  <c r="D21" i="32"/>
  <c r="G73" i="32"/>
  <c r="C95" i="33"/>
  <c r="F45" i="39"/>
  <c r="AA92" i="39"/>
  <c r="M29" i="42"/>
  <c r="M31" i="42" s="1"/>
  <c r="M35" i="42" s="1"/>
  <c r="M38" i="42" s="1"/>
  <c r="Y29" i="8"/>
  <c r="Y31" i="8" s="1"/>
  <c r="Y37" i="8" s="1"/>
  <c r="Y42" i="8" s="1"/>
  <c r="J28" i="11"/>
  <c r="J50" i="11" s="1"/>
  <c r="H20" i="12"/>
  <c r="P20" i="12"/>
  <c r="X20" i="12"/>
  <c r="X114" i="12" s="1"/>
  <c r="AF20" i="12"/>
  <c r="AF21" i="12" s="1"/>
  <c r="AF114" i="12" s="1"/>
  <c r="AN20" i="12"/>
  <c r="AN21" i="12" s="1"/>
  <c r="N36" i="12"/>
  <c r="N37" i="12" s="1"/>
  <c r="AD36" i="12"/>
  <c r="AD37" i="12" s="1"/>
  <c r="AL36" i="12"/>
  <c r="AL37" i="12" s="1"/>
  <c r="Z51" i="12"/>
  <c r="Z52" i="12" s="1"/>
  <c r="AP51" i="12"/>
  <c r="AN96" i="12"/>
  <c r="AN97" i="12" s="1"/>
  <c r="AR96" i="12"/>
  <c r="AR97" i="12" s="1"/>
  <c r="AR114" i="12" s="1"/>
  <c r="Y174" i="12"/>
  <c r="AO174" i="12"/>
  <c r="C81" i="13"/>
  <c r="C33" i="13"/>
  <c r="K81" i="13"/>
  <c r="K33" i="13"/>
  <c r="S81" i="13"/>
  <c r="S33" i="13"/>
  <c r="N7" i="16"/>
  <c r="M11" i="16"/>
  <c r="Q18" i="16"/>
  <c r="L31" i="16"/>
  <c r="Q33" i="16"/>
  <c r="V31" i="21"/>
  <c r="V33" i="21" s="1"/>
  <c r="V37" i="21" s="1"/>
  <c r="V42" i="21" s="1"/>
  <c r="W20" i="23"/>
  <c r="P47" i="28"/>
  <c r="J42" i="30"/>
  <c r="R42" i="30"/>
  <c r="F22" i="33"/>
  <c r="F43" i="33" s="1"/>
  <c r="D95" i="33"/>
  <c r="F28" i="35"/>
  <c r="F30" i="35" s="1"/>
  <c r="F34" i="35" s="1"/>
  <c r="F38" i="35" s="1"/>
  <c r="N28" i="35"/>
  <c r="N30" i="35" s="1"/>
  <c r="N34" i="35" s="1"/>
  <c r="N38" i="35" s="1"/>
  <c r="V28" i="35"/>
  <c r="V30" i="35" s="1"/>
  <c r="V34" i="35" s="1"/>
  <c r="V38" i="35" s="1"/>
  <c r="H27" i="39"/>
  <c r="H45" i="39" s="1"/>
  <c r="P27" i="39"/>
  <c r="P45" i="39" s="1"/>
  <c r="P93" i="39" s="1"/>
  <c r="Q31" i="40"/>
  <c r="N22" i="47"/>
  <c r="N25" i="47" s="1"/>
  <c r="N29" i="47" s="1"/>
  <c r="N34" i="47" s="1"/>
  <c r="AP81" i="13"/>
  <c r="AP63" i="13"/>
  <c r="AD81" i="13"/>
  <c r="AD84" i="13" s="1"/>
  <c r="F46" i="29"/>
  <c r="Q29" i="8"/>
  <c r="Q31" i="8" s="1"/>
  <c r="Q37" i="8" s="1"/>
  <c r="Q42" i="8" s="1"/>
  <c r="C28" i="10"/>
  <c r="C52" i="10" s="1"/>
  <c r="F50" i="11"/>
  <c r="N50" i="11"/>
  <c r="V50" i="11"/>
  <c r="J81" i="13"/>
  <c r="J12" i="13"/>
  <c r="R81" i="13"/>
  <c r="R12" i="13"/>
  <c r="W81" i="13"/>
  <c r="W23" i="13"/>
  <c r="D81" i="13"/>
  <c r="D33" i="13"/>
  <c r="L81" i="13"/>
  <c r="L33" i="13"/>
  <c r="T81" i="13"/>
  <c r="T33" i="13"/>
  <c r="R24" i="16"/>
  <c r="L34" i="16"/>
  <c r="L35" i="16"/>
  <c r="N47" i="16"/>
  <c r="K15" i="18"/>
  <c r="W26" i="19"/>
  <c r="V30" i="19"/>
  <c r="U31" i="21"/>
  <c r="U33" i="21" s="1"/>
  <c r="U37" i="21" s="1"/>
  <c r="U42" i="21" s="1"/>
  <c r="G20" i="24"/>
  <c r="G28" i="24" s="1"/>
  <c r="G30" i="24" s="1"/>
  <c r="G34" i="24" s="1"/>
  <c r="G39" i="24" s="1"/>
  <c r="G20" i="25"/>
  <c r="K24" i="29"/>
  <c r="K46" i="29" s="1"/>
  <c r="Q90" i="30"/>
  <c r="C23" i="31"/>
  <c r="E95" i="33"/>
  <c r="C28" i="37"/>
  <c r="C30" i="37" s="1"/>
  <c r="C34" i="37" s="1"/>
  <c r="C39" i="37" s="1"/>
  <c r="U28" i="37"/>
  <c r="U30" i="37" s="1"/>
  <c r="U34" i="37" s="1"/>
  <c r="U39" i="37" s="1"/>
  <c r="F92" i="39"/>
  <c r="C29" i="42"/>
  <c r="C31" i="42" s="1"/>
  <c r="C35" i="42" s="1"/>
  <c r="C38" i="42" s="1"/>
  <c r="K29" i="42"/>
  <c r="K31" i="42" s="1"/>
  <c r="K35" i="42" s="1"/>
  <c r="K38" i="42" s="1"/>
  <c r="C65" i="43"/>
  <c r="Q21" i="8"/>
  <c r="O50" i="11"/>
  <c r="AM28" i="11"/>
  <c r="AM50" i="11" s="1"/>
  <c r="E81" i="13"/>
  <c r="E33" i="13"/>
  <c r="M81" i="13"/>
  <c r="M33" i="13"/>
  <c r="U81" i="13"/>
  <c r="U33" i="13"/>
  <c r="AL81" i="13"/>
  <c r="AL84" i="13" s="1"/>
  <c r="F81" i="13"/>
  <c r="M8" i="16"/>
  <c r="J21" i="22"/>
  <c r="J29" i="22" s="1"/>
  <c r="J98" i="28"/>
  <c r="G21" i="32"/>
  <c r="G36" i="32" s="1"/>
  <c r="D28" i="37"/>
  <c r="D30" i="37" s="1"/>
  <c r="D34" i="37" s="1"/>
  <c r="D39" i="37" s="1"/>
  <c r="L28" i="37"/>
  <c r="L30" i="37" s="1"/>
  <c r="L34" i="37" s="1"/>
  <c r="L39" i="37" s="1"/>
  <c r="AB28" i="37"/>
  <c r="AB30" i="37" s="1"/>
  <c r="AB34" i="37" s="1"/>
  <c r="AB39" i="37" s="1"/>
  <c r="G60" i="40"/>
  <c r="O60" i="40"/>
  <c r="H29" i="8"/>
  <c r="H31" i="8" s="1"/>
  <c r="X29" i="8"/>
  <c r="X31" i="8" s="1"/>
  <c r="AE93" i="11"/>
  <c r="G174" i="12"/>
  <c r="O174" i="12"/>
  <c r="W174" i="12"/>
  <c r="AE174" i="12"/>
  <c r="AM174" i="12"/>
  <c r="AG174" i="12"/>
  <c r="AC81" i="13"/>
  <c r="AC84" i="13" s="1"/>
  <c r="AC43" i="13"/>
  <c r="AM81" i="13"/>
  <c r="AM84" i="13" s="1"/>
  <c r="Z81" i="13"/>
  <c r="N8" i="16"/>
  <c r="M15" i="16"/>
  <c r="O23" i="16"/>
  <c r="Q34" i="16"/>
  <c r="P48" i="16"/>
  <c r="F28" i="18"/>
  <c r="D30" i="19"/>
  <c r="L20" i="21"/>
  <c r="E47" i="28"/>
  <c r="E98" i="28" s="1"/>
  <c r="M47" i="28"/>
  <c r="M98" i="28" s="1"/>
  <c r="E46" i="29"/>
  <c r="M24" i="29"/>
  <c r="M46" i="29" s="1"/>
  <c r="M42" i="30"/>
  <c r="F23" i="31"/>
  <c r="F89" i="31"/>
  <c r="I21" i="38"/>
  <c r="I23" i="38" s="1"/>
  <c r="I27" i="38" s="1"/>
  <c r="I31" i="38" s="1"/>
  <c r="Q21" i="38"/>
  <c r="Q23" i="38" s="1"/>
  <c r="Q27" i="38" s="1"/>
  <c r="Q31" i="38" s="1"/>
  <c r="G27" i="39"/>
  <c r="G45" i="39" s="1"/>
  <c r="O27" i="39"/>
  <c r="O45" i="39" s="1"/>
  <c r="W27" i="39"/>
  <c r="W45" i="39" s="1"/>
  <c r="W93" i="39" s="1"/>
  <c r="J92" i="39"/>
  <c r="W60" i="40"/>
  <c r="W18" i="40"/>
  <c r="X31" i="40"/>
  <c r="AA31" i="40"/>
  <c r="AP112" i="12"/>
  <c r="AP71" i="13"/>
  <c r="AP52" i="12"/>
  <c r="AP114" i="12" s="1"/>
  <c r="I28" i="18"/>
  <c r="Z28" i="11"/>
  <c r="Z50" i="11" s="1"/>
  <c r="AJ93" i="11"/>
  <c r="AR93" i="11"/>
  <c r="AR94" i="11" s="1"/>
  <c r="I93" i="11"/>
  <c r="Q93" i="11"/>
  <c r="Y93" i="11"/>
  <c r="AK93" i="11"/>
  <c r="P50" i="11"/>
  <c r="C93" i="11"/>
  <c r="K93" i="11"/>
  <c r="S93" i="11"/>
  <c r="AG28" i="11"/>
  <c r="AB28" i="10"/>
  <c r="AB52" i="10" s="1"/>
  <c r="O52" i="10"/>
  <c r="K28" i="10"/>
  <c r="K52" i="10" s="1"/>
  <c r="F110" i="10"/>
  <c r="T52" i="10"/>
  <c r="S52" i="10"/>
  <c r="AL28" i="10"/>
  <c r="AL52" i="10" s="1"/>
  <c r="R110" i="10"/>
  <c r="AM52" i="10"/>
  <c r="E52" i="10"/>
  <c r="C110" i="10"/>
  <c r="S110" i="10"/>
  <c r="AF28" i="10"/>
  <c r="AF52" i="10" s="1"/>
  <c r="AD28" i="10"/>
  <c r="AD52" i="10" s="1"/>
  <c r="X52" i="10"/>
  <c r="AG52" i="10"/>
  <c r="AO52" i="10"/>
  <c r="G28" i="10"/>
  <c r="G52" i="10" s="1"/>
  <c r="W28" i="10"/>
  <c r="W52" i="10" s="1"/>
  <c r="E110" i="10"/>
  <c r="M110" i="10"/>
  <c r="U110" i="10"/>
  <c r="AC110" i="10"/>
  <c r="V110" i="10"/>
  <c r="AL110" i="10"/>
  <c r="AA110" i="10"/>
  <c r="G110" i="10"/>
  <c r="W110" i="10"/>
  <c r="AM110" i="10"/>
  <c r="G74" i="43"/>
  <c r="K65" i="43"/>
  <c r="K74" i="43" s="1"/>
  <c r="K75" i="43" s="1"/>
  <c r="V22" i="47"/>
  <c r="V25" i="47" s="1"/>
  <c r="V29" i="47" s="1"/>
  <c r="V34" i="47" s="1"/>
  <c r="U28" i="35"/>
  <c r="U30" i="35" s="1"/>
  <c r="U34" i="35" s="1"/>
  <c r="U38" i="35" s="1"/>
  <c r="U22" i="36"/>
  <c r="U24" i="36" s="1"/>
  <c r="U28" i="36" s="1"/>
  <c r="U31" i="36" s="1"/>
  <c r="E22" i="36"/>
  <c r="E24" i="36" s="1"/>
  <c r="E28" i="36" s="1"/>
  <c r="E31" i="36" s="1"/>
  <c r="M22" i="36"/>
  <c r="M24" i="36" s="1"/>
  <c r="M28" i="36" s="1"/>
  <c r="M31" i="36" s="1"/>
  <c r="F22" i="36"/>
  <c r="F24" i="36" s="1"/>
  <c r="F28" i="36" s="1"/>
  <c r="F31" i="36" s="1"/>
  <c r="N22" i="36"/>
  <c r="N24" i="36" s="1"/>
  <c r="N28" i="36" s="1"/>
  <c r="N31" i="36" s="1"/>
  <c r="V22" i="36"/>
  <c r="V24" i="36" s="1"/>
  <c r="V28" i="36" s="1"/>
  <c r="V31" i="36" s="1"/>
  <c r="G22" i="36"/>
  <c r="G24" i="36" s="1"/>
  <c r="G28" i="36" s="1"/>
  <c r="G31" i="36" s="1"/>
  <c r="O22" i="36"/>
  <c r="O24" i="36" s="1"/>
  <c r="O28" i="36" s="1"/>
  <c r="O31" i="36" s="1"/>
  <c r="W22" i="36"/>
  <c r="W24" i="36" s="1"/>
  <c r="W28" i="36" s="1"/>
  <c r="W31" i="36" s="1"/>
  <c r="P22" i="36"/>
  <c r="P24" i="36" s="1"/>
  <c r="P28" i="36" s="1"/>
  <c r="P31" i="36" s="1"/>
  <c r="X22" i="36"/>
  <c r="X24" i="36" s="1"/>
  <c r="X28" i="36" s="1"/>
  <c r="X31" i="36" s="1"/>
  <c r="H22" i="36"/>
  <c r="H24" i="36" s="1"/>
  <c r="H28" i="36" s="1"/>
  <c r="H31" i="36" s="1"/>
  <c r="G28" i="35"/>
  <c r="G30" i="35" s="1"/>
  <c r="G34" i="35" s="1"/>
  <c r="G38" i="35" s="1"/>
  <c r="O28" i="35"/>
  <c r="O30" i="35" s="1"/>
  <c r="O34" i="35" s="1"/>
  <c r="O38" i="35" s="1"/>
  <c r="W28" i="35"/>
  <c r="W30" i="35" s="1"/>
  <c r="W34" i="35" s="1"/>
  <c r="W38" i="35" s="1"/>
  <c r="P28" i="35"/>
  <c r="P30" i="35" s="1"/>
  <c r="P34" i="35" s="1"/>
  <c r="P38" i="35" s="1"/>
  <c r="X28" i="35"/>
  <c r="X30" i="35" s="1"/>
  <c r="X34" i="35" s="1"/>
  <c r="X38" i="35" s="1"/>
  <c r="AS81" i="13"/>
  <c r="AS84" i="13" s="1"/>
  <c r="I78" i="3"/>
  <c r="Z78" i="3"/>
  <c r="E78" i="3"/>
  <c r="M78" i="3"/>
  <c r="U78" i="3"/>
  <c r="D78" i="3"/>
  <c r="L78" i="3"/>
  <c r="T78" i="3"/>
  <c r="R78" i="3"/>
  <c r="F78" i="3"/>
  <c r="N78" i="3"/>
  <c r="V78" i="3"/>
  <c r="Q78" i="3"/>
  <c r="W78" i="3"/>
  <c r="K78" i="3"/>
  <c r="S78" i="3"/>
  <c r="AA78" i="3"/>
  <c r="J78" i="3"/>
  <c r="G78" i="3"/>
  <c r="O78" i="3"/>
  <c r="H78" i="3"/>
  <c r="P78" i="3"/>
  <c r="X78" i="3"/>
  <c r="L28" i="4"/>
  <c r="L20" i="5"/>
  <c r="D57" i="46"/>
  <c r="D63" i="46" s="1"/>
  <c r="E57" i="46"/>
  <c r="E63" i="46" s="1"/>
  <c r="E64" i="46" s="1"/>
  <c r="C63" i="46"/>
  <c r="C64" i="46" s="1"/>
  <c r="F57" i="46"/>
  <c r="C50" i="11"/>
  <c r="K50" i="11"/>
  <c r="S50" i="11"/>
  <c r="AA50" i="11"/>
  <c r="AI28" i="11"/>
  <c r="AI50" i="11" s="1"/>
  <c r="AQ28" i="11"/>
  <c r="AQ50" i="11" s="1"/>
  <c r="AG50" i="11"/>
  <c r="AO28" i="11"/>
  <c r="AO50" i="11" s="1"/>
  <c r="G93" i="11"/>
  <c r="O93" i="11"/>
  <c r="AI93" i="11"/>
  <c r="AQ93" i="11"/>
  <c r="J93" i="11"/>
  <c r="R93" i="11"/>
  <c r="Z93" i="11"/>
  <c r="G50" i="11"/>
  <c r="W50" i="11"/>
  <c r="AB28" i="11"/>
  <c r="AB50" i="11" s="1"/>
  <c r="AK28" i="11"/>
  <c r="AK50" i="11" s="1"/>
  <c r="E93" i="11"/>
  <c r="M93" i="11"/>
  <c r="U93" i="11"/>
  <c r="AC93" i="11"/>
  <c r="AL93" i="11"/>
  <c r="AB84" i="11"/>
  <c r="AB93" i="11" s="1"/>
  <c r="X50" i="11"/>
  <c r="E28" i="11"/>
  <c r="E50" i="11" s="1"/>
  <c r="M28" i="11"/>
  <c r="M50" i="11" s="1"/>
  <c r="U28" i="11"/>
  <c r="U50" i="11" s="1"/>
  <c r="AD28" i="11"/>
  <c r="AD50" i="11" s="1"/>
  <c r="AN93" i="11"/>
  <c r="AL50" i="11"/>
  <c r="H93" i="11"/>
  <c r="P93" i="11"/>
  <c r="X93" i="11"/>
  <c r="AG93" i="11"/>
  <c r="AO93" i="11"/>
  <c r="AK110" i="10"/>
  <c r="AQ52" i="10"/>
  <c r="F28" i="10"/>
  <c r="F52" i="10" s="1"/>
  <c r="Z110" i="10"/>
  <c r="AH110" i="10"/>
  <c r="AP110" i="10"/>
  <c r="D52" i="10"/>
  <c r="P52" i="10"/>
  <c r="Y52" i="10"/>
  <c r="H110" i="10"/>
  <c r="P110" i="10"/>
  <c r="X110" i="10"/>
  <c r="AF110" i="10"/>
  <c r="AN110" i="10"/>
  <c r="AN111" i="10" s="1"/>
  <c r="J110" i="10"/>
  <c r="Q52" i="10"/>
  <c r="AH28" i="10"/>
  <c r="AH52" i="10" s="1"/>
  <c r="AP28" i="10"/>
  <c r="AP52" i="10" s="1"/>
  <c r="K110" i="10"/>
  <c r="I110" i="10"/>
  <c r="Q110" i="10"/>
  <c r="Y110" i="10"/>
  <c r="AG110" i="10"/>
  <c r="AO110" i="10"/>
  <c r="AI52" i="10"/>
  <c r="AR52" i="10"/>
  <c r="R28" i="10"/>
  <c r="R52" i="10" s="1"/>
  <c r="N110" i="10"/>
  <c r="AD110" i="10"/>
  <c r="AQ110" i="10"/>
  <c r="AJ52" i="10"/>
  <c r="H52" i="10"/>
  <c r="O110" i="10"/>
  <c r="AE110" i="10"/>
  <c r="D110" i="10"/>
  <c r="L110" i="10"/>
  <c r="T110" i="10"/>
  <c r="AB110" i="10"/>
  <c r="AJ110" i="10"/>
  <c r="AR110" i="10"/>
  <c r="H31" i="40"/>
  <c r="F31" i="40"/>
  <c r="N31" i="40"/>
  <c r="V31" i="40"/>
  <c r="H60" i="40"/>
  <c r="P60" i="40"/>
  <c r="X60" i="40"/>
  <c r="K31" i="40"/>
  <c r="G31" i="40"/>
  <c r="W31" i="40"/>
  <c r="I60" i="40"/>
  <c r="Q60" i="40"/>
  <c r="Y60" i="40"/>
  <c r="AB60" i="40"/>
  <c r="P31" i="40"/>
  <c r="D60" i="40"/>
  <c r="L60" i="40"/>
  <c r="T60" i="40"/>
  <c r="C31" i="40"/>
  <c r="M60" i="40"/>
  <c r="U60" i="40"/>
  <c r="D31" i="40"/>
  <c r="S31" i="40"/>
  <c r="I18" i="40"/>
  <c r="I31" i="40" s="1"/>
  <c r="Y18" i="40"/>
  <c r="Y31" i="40" s="1"/>
  <c r="F60" i="40"/>
  <c r="N60" i="40"/>
  <c r="V60" i="40"/>
  <c r="M45" i="39"/>
  <c r="U45" i="39"/>
  <c r="U93" i="39" s="1"/>
  <c r="N92" i="39"/>
  <c r="K27" i="39"/>
  <c r="K45" i="39" s="1"/>
  <c r="AA27" i="39"/>
  <c r="AA45" i="39" s="1"/>
  <c r="R92" i="39"/>
  <c r="R93" i="39" s="1"/>
  <c r="I27" i="39"/>
  <c r="I45" i="39" s="1"/>
  <c r="Q27" i="39"/>
  <c r="Q45" i="39" s="1"/>
  <c r="Y27" i="39"/>
  <c r="Y45" i="39" s="1"/>
  <c r="L27" i="39"/>
  <c r="L45" i="39" s="1"/>
  <c r="T27" i="39"/>
  <c r="T45" i="39" s="1"/>
  <c r="T93" i="39" s="1"/>
  <c r="Z92" i="39"/>
  <c r="Z93" i="39" s="1"/>
  <c r="C92" i="39"/>
  <c r="K92" i="39"/>
  <c r="D45" i="39"/>
  <c r="F74" i="43"/>
  <c r="G33" i="43"/>
  <c r="G75" i="43" s="1"/>
  <c r="I65" i="43"/>
  <c r="I74" i="43" s="1"/>
  <c r="I75" i="43" s="1"/>
  <c r="F33" i="43"/>
  <c r="N33" i="43"/>
  <c r="H65" i="43"/>
  <c r="H74" i="43" s="1"/>
  <c r="H33" i="43"/>
  <c r="J65" i="43"/>
  <c r="C74" i="43"/>
  <c r="C75" i="43" s="1"/>
  <c r="F30" i="46"/>
  <c r="C73" i="32"/>
  <c r="F36" i="32"/>
  <c r="C36" i="32"/>
  <c r="D36" i="32"/>
  <c r="D74" i="32" s="1"/>
  <c r="F73" i="32"/>
  <c r="F74" i="32" s="1"/>
  <c r="J89" i="31"/>
  <c r="J90" i="31" s="1"/>
  <c r="C43" i="31"/>
  <c r="E89" i="31"/>
  <c r="F43" i="31"/>
  <c r="G89" i="31"/>
  <c r="H43" i="31"/>
  <c r="F42" i="30"/>
  <c r="C90" i="30"/>
  <c r="K90" i="30"/>
  <c r="S90" i="30"/>
  <c r="D90" i="30"/>
  <c r="J90" i="30"/>
  <c r="J91" i="30" s="1"/>
  <c r="E90" i="30"/>
  <c r="M90" i="30"/>
  <c r="U90" i="30"/>
  <c r="R90" i="30"/>
  <c r="R91" i="30" s="1"/>
  <c r="G90" i="30"/>
  <c r="O90" i="30"/>
  <c r="W90" i="30"/>
  <c r="C42" i="30"/>
  <c r="H90" i="30"/>
  <c r="P90" i="30"/>
  <c r="X90" i="30"/>
  <c r="D42" i="30"/>
  <c r="L42" i="30"/>
  <c r="I89" i="29"/>
  <c r="I90" i="29" s="1"/>
  <c r="D46" i="29"/>
  <c r="L46" i="29"/>
  <c r="K89" i="29"/>
  <c r="D89" i="29"/>
  <c r="L89" i="29"/>
  <c r="C46" i="29"/>
  <c r="H24" i="29"/>
  <c r="H46" i="29" s="1"/>
  <c r="H90" i="29" s="1"/>
  <c r="P24" i="29"/>
  <c r="P46" i="29" s="1"/>
  <c r="E89" i="29"/>
  <c r="E90" i="29" s="1"/>
  <c r="M89" i="29"/>
  <c r="G89" i="29"/>
  <c r="O89" i="29"/>
  <c r="D47" i="28"/>
  <c r="L47" i="28"/>
  <c r="H98" i="28"/>
  <c r="P98" i="28"/>
  <c r="I97" i="28"/>
  <c r="K97" i="28"/>
  <c r="D97" i="28"/>
  <c r="D98" i="28" s="1"/>
  <c r="L97" i="28"/>
  <c r="I47" i="28"/>
  <c r="K26" i="28"/>
  <c r="K47" i="28" s="1"/>
  <c r="K98" i="28" s="1"/>
  <c r="F98" i="28"/>
  <c r="G98" i="28"/>
  <c r="O98" i="28"/>
  <c r="E86" i="27"/>
  <c r="M86" i="27"/>
  <c r="F86" i="27"/>
  <c r="F87" i="27" s="1"/>
  <c r="N86" i="27"/>
  <c r="G86" i="27"/>
  <c r="G87" i="27" s="1"/>
  <c r="Q86" i="27"/>
  <c r="O86" i="27"/>
  <c r="O87" i="27" s="1"/>
  <c r="I42" i="27"/>
  <c r="I87" i="27" s="1"/>
  <c r="J86" i="27"/>
  <c r="J87" i="27" s="1"/>
  <c r="Q42" i="27"/>
  <c r="K42" i="27"/>
  <c r="D86" i="27"/>
  <c r="L86" i="27"/>
  <c r="M22" i="47"/>
  <c r="M25" i="47" s="1"/>
  <c r="M29" i="47" s="1"/>
  <c r="M34" i="47" s="1"/>
  <c r="U22" i="47"/>
  <c r="U25" i="47" s="1"/>
  <c r="U29" i="47" s="1"/>
  <c r="U34" i="47" s="1"/>
  <c r="AK22" i="47"/>
  <c r="AK25" i="47" s="1"/>
  <c r="AK29" i="47" s="1"/>
  <c r="AK34" i="47" s="1"/>
  <c r="G22" i="47"/>
  <c r="G25" i="47" s="1"/>
  <c r="G29" i="47" s="1"/>
  <c r="G34" i="47" s="1"/>
  <c r="O22" i="47"/>
  <c r="O25" i="47" s="1"/>
  <c r="O29" i="47" s="1"/>
  <c r="O34" i="47" s="1"/>
  <c r="W22" i="47"/>
  <c r="W25" i="47" s="1"/>
  <c r="W29" i="47" s="1"/>
  <c r="W34" i="47" s="1"/>
  <c r="AI22" i="47"/>
  <c r="AI25" i="47" s="1"/>
  <c r="AI29" i="47" s="1"/>
  <c r="AI34" i="47" s="1"/>
  <c r="H22" i="47"/>
  <c r="H25" i="47" s="1"/>
  <c r="H29" i="47" s="1"/>
  <c r="H34" i="47" s="1"/>
  <c r="P22" i="47"/>
  <c r="P25" i="47" s="1"/>
  <c r="P29" i="47" s="1"/>
  <c r="P34" i="47" s="1"/>
  <c r="X22" i="47"/>
  <c r="X25" i="47" s="1"/>
  <c r="X29" i="47" s="1"/>
  <c r="X34" i="47" s="1"/>
  <c r="AN22" i="47"/>
  <c r="AN25" i="47" s="1"/>
  <c r="AN29" i="47" s="1"/>
  <c r="AN34" i="47" s="1"/>
  <c r="Y22" i="47"/>
  <c r="Y25" i="47" s="1"/>
  <c r="Y29" i="47" s="1"/>
  <c r="Y34" i="47" s="1"/>
  <c r="AO22" i="47"/>
  <c r="AO25" i="47" s="1"/>
  <c r="AO29" i="47" s="1"/>
  <c r="AO34" i="47" s="1"/>
  <c r="K22" i="47"/>
  <c r="K25" i="47" s="1"/>
  <c r="K29" i="47" s="1"/>
  <c r="K34" i="47" s="1"/>
  <c r="S22" i="47"/>
  <c r="S25" i="47" s="1"/>
  <c r="S29" i="47" s="1"/>
  <c r="S34" i="47" s="1"/>
  <c r="AA22" i="47"/>
  <c r="AA25" i="47" s="1"/>
  <c r="AA29" i="47" s="1"/>
  <c r="AA34" i="47" s="1"/>
  <c r="AQ22" i="47"/>
  <c r="AQ25" i="47" s="1"/>
  <c r="AQ29" i="47" s="1"/>
  <c r="AQ34" i="47" s="1"/>
  <c r="L22" i="47"/>
  <c r="L25" i="47" s="1"/>
  <c r="L29" i="47" s="1"/>
  <c r="L34" i="47" s="1"/>
  <c r="T22" i="47"/>
  <c r="T25" i="47" s="1"/>
  <c r="T29" i="47" s="1"/>
  <c r="T34" i="47" s="1"/>
  <c r="AM29" i="47"/>
  <c r="AM34" i="47" s="1"/>
  <c r="I124" i="55"/>
  <c r="AS22" i="47"/>
  <c r="AS25" i="47" s="1"/>
  <c r="AS29" i="47" s="1"/>
  <c r="AS34" i="47" s="1"/>
  <c r="F63" i="46"/>
  <c r="E74" i="43"/>
  <c r="E75" i="43" s="1"/>
  <c r="N29" i="42"/>
  <c r="N31" i="42" s="1"/>
  <c r="N35" i="42" s="1"/>
  <c r="N38" i="42" s="1"/>
  <c r="N72" i="43"/>
  <c r="N74" i="43"/>
  <c r="J74" i="43"/>
  <c r="J75" i="43" s="1"/>
  <c r="L74" i="43"/>
  <c r="L75" i="43" s="1"/>
  <c r="J72" i="43"/>
  <c r="M74" i="43"/>
  <c r="M75" i="43" s="1"/>
  <c r="G92" i="39"/>
  <c r="O92" i="39"/>
  <c r="AB92" i="39"/>
  <c r="AB31" i="40"/>
  <c r="L14" i="34"/>
  <c r="AC68" i="39"/>
  <c r="AC92" i="39" s="1"/>
  <c r="H92" i="39"/>
  <c r="Q92" i="39"/>
  <c r="AC34" i="40"/>
  <c r="J60" i="40"/>
  <c r="R60" i="40"/>
  <c r="Z60" i="40"/>
  <c r="J34" i="35"/>
  <c r="J38" i="35" s="1"/>
  <c r="R34" i="35"/>
  <c r="R38" i="35" s="1"/>
  <c r="Z34" i="35"/>
  <c r="Z38" i="35" s="1"/>
  <c r="AC22" i="36"/>
  <c r="AC24" i="36" s="1"/>
  <c r="AC28" i="36" s="1"/>
  <c r="AC31" i="36" s="1"/>
  <c r="C45" i="39"/>
  <c r="S45" i="39"/>
  <c r="AC28" i="39"/>
  <c r="AC27" i="39" s="1"/>
  <c r="AC45" i="39" s="1"/>
  <c r="M93" i="39"/>
  <c r="T31" i="40"/>
  <c r="C60" i="40"/>
  <c r="K60" i="40"/>
  <c r="S60" i="40"/>
  <c r="AB45" i="39"/>
  <c r="AC31" i="40"/>
  <c r="AA60" i="40"/>
  <c r="AC21" i="35"/>
  <c r="AC28" i="35" s="1"/>
  <c r="AC30" i="35" s="1"/>
  <c r="AC34" i="35" s="1"/>
  <c r="AC38" i="35" s="1"/>
  <c r="Q34" i="35"/>
  <c r="Q38" i="35" s="1"/>
  <c r="X92" i="39"/>
  <c r="L31" i="40"/>
  <c r="E60" i="40"/>
  <c r="AC60" i="40"/>
  <c r="I22" i="36"/>
  <c r="I24" i="36" s="1"/>
  <c r="I28" i="36" s="1"/>
  <c r="I31" i="36" s="1"/>
  <c r="Y28" i="36"/>
  <c r="Y31" i="36" s="1"/>
  <c r="D92" i="39"/>
  <c r="L92" i="39"/>
  <c r="Y92" i="39"/>
  <c r="M31" i="40"/>
  <c r="AJ77" i="13"/>
  <c r="AJ67" i="13"/>
  <c r="Z21" i="12"/>
  <c r="Z114" i="12"/>
  <c r="AE114" i="12"/>
  <c r="AQ114" i="12"/>
  <c r="AI67" i="13"/>
  <c r="AI77" i="13"/>
  <c r="G27" i="16"/>
  <c r="P23" i="16" s="1"/>
  <c r="K114" i="12"/>
  <c r="J21" i="12"/>
  <c r="J114" i="12"/>
  <c r="D29" i="20"/>
  <c r="D31" i="20" s="1"/>
  <c r="D35" i="20" s="1"/>
  <c r="D40" i="20" s="1"/>
  <c r="D21" i="20"/>
  <c r="T29" i="20"/>
  <c r="T31" i="20" s="1"/>
  <c r="T35" i="20" s="1"/>
  <c r="T40" i="20" s="1"/>
  <c r="T21" i="20"/>
  <c r="AJ29" i="20"/>
  <c r="AJ31" i="20" s="1"/>
  <c r="AJ35" i="20" s="1"/>
  <c r="AJ40" i="20" s="1"/>
  <c r="AJ21" i="20"/>
  <c r="AR29" i="20"/>
  <c r="AR31" i="20" s="1"/>
  <c r="AR35" i="20" s="1"/>
  <c r="AR40" i="20" s="1"/>
  <c r="AR21" i="20"/>
  <c r="K29" i="20"/>
  <c r="K31" i="20" s="1"/>
  <c r="K35" i="20" s="1"/>
  <c r="K40" i="20" s="1"/>
  <c r="K21" i="20"/>
  <c r="D114" i="12"/>
  <c r="L114" i="12"/>
  <c r="T114" i="12"/>
  <c r="I21" i="12"/>
  <c r="Q21" i="12"/>
  <c r="Y21" i="12"/>
  <c r="Y114" i="12"/>
  <c r="N114" i="12"/>
  <c r="N21" i="12"/>
  <c r="L21" i="12"/>
  <c r="AD114" i="12"/>
  <c r="G21" i="12"/>
  <c r="C114" i="12"/>
  <c r="S114" i="12"/>
  <c r="K21" i="12"/>
  <c r="L10" i="16"/>
  <c r="L11" i="16"/>
  <c r="L8" i="16"/>
  <c r="L7" i="16"/>
  <c r="L9" i="16"/>
  <c r="L29" i="20"/>
  <c r="L31" i="20" s="1"/>
  <c r="L35" i="20" s="1"/>
  <c r="L40" i="20" s="1"/>
  <c r="L21" i="20"/>
  <c r="AB29" i="20"/>
  <c r="AB31" i="20" s="1"/>
  <c r="AB35" i="20" s="1"/>
  <c r="AB40" i="20" s="1"/>
  <c r="AB21" i="20"/>
  <c r="E21" i="12"/>
  <c r="M21" i="12"/>
  <c r="U21" i="12"/>
  <c r="O21" i="12"/>
  <c r="AK81" i="12"/>
  <c r="AK82" i="12" s="1"/>
  <c r="AE77" i="13"/>
  <c r="AE67" i="13"/>
  <c r="AM77" i="13"/>
  <c r="AM67" i="13"/>
  <c r="AR77" i="13"/>
  <c r="AR67" i="13"/>
  <c r="V114" i="12"/>
  <c r="Q36" i="12"/>
  <c r="Q37" i="12" s="1"/>
  <c r="AG36" i="12"/>
  <c r="AG37" i="12" s="1"/>
  <c r="AJ114" i="12"/>
  <c r="AH114" i="12"/>
  <c r="H114" i="12"/>
  <c r="H21" i="12"/>
  <c r="P114" i="12"/>
  <c r="P21" i="12"/>
  <c r="W114" i="12"/>
  <c r="C21" i="12"/>
  <c r="W21" i="12"/>
  <c r="AI114" i="12"/>
  <c r="AP67" i="13"/>
  <c r="AP77" i="13"/>
  <c r="F43" i="16"/>
  <c r="O39" i="16" s="1"/>
  <c r="H20" i="21"/>
  <c r="H31" i="21"/>
  <c r="H33" i="21" s="1"/>
  <c r="H37" i="21" s="1"/>
  <c r="H42" i="21" s="1"/>
  <c r="AA114" i="12"/>
  <c r="I36" i="12"/>
  <c r="I37" i="12" s="1"/>
  <c r="Y36" i="12"/>
  <c r="Y37" i="12" s="1"/>
  <c r="AO36" i="12"/>
  <c r="AO37" i="12" s="1"/>
  <c r="AO114" i="12" s="1"/>
  <c r="AB114" i="12"/>
  <c r="AO77" i="13"/>
  <c r="AO67" i="13"/>
  <c r="F114" i="12"/>
  <c r="F21" i="12"/>
  <c r="D21" i="12"/>
  <c r="E51" i="12"/>
  <c r="E52" i="12" s="1"/>
  <c r="M51" i="12"/>
  <c r="M52" i="12" s="1"/>
  <c r="U51" i="12"/>
  <c r="U52" i="12" s="1"/>
  <c r="AC51" i="12"/>
  <c r="AC52" i="12" s="1"/>
  <c r="AC114" i="12" s="1"/>
  <c r="AK51" i="12"/>
  <c r="AK52" i="12" s="1"/>
  <c r="AS51" i="12"/>
  <c r="AS52" i="12" s="1"/>
  <c r="R114" i="12"/>
  <c r="AH67" i="13"/>
  <c r="AH77" i="13"/>
  <c r="AR81" i="13"/>
  <c r="AR84" i="13" s="1"/>
  <c r="F95" i="33"/>
  <c r="AS77" i="13"/>
  <c r="AS67" i="13"/>
  <c r="O17" i="16"/>
  <c r="O16" i="16"/>
  <c r="O19" i="16"/>
  <c r="R18" i="16"/>
  <c r="R19" i="16"/>
  <c r="R16" i="16"/>
  <c r="R15" i="16"/>
  <c r="R17" i="16"/>
  <c r="Q51" i="16"/>
  <c r="Q50" i="16"/>
  <c r="Q49" i="16"/>
  <c r="Q48" i="16"/>
  <c r="Q47" i="16"/>
  <c r="N58" i="16"/>
  <c r="N56" i="16"/>
  <c r="AJ81" i="13"/>
  <c r="AJ84" i="13" s="1"/>
  <c r="AA77" i="13"/>
  <c r="G43" i="16"/>
  <c r="P43" i="16" s="1"/>
  <c r="AF77" i="13"/>
  <c r="AF67" i="13"/>
  <c r="AA81" i="13"/>
  <c r="AA84" i="13" s="1"/>
  <c r="F11" i="16"/>
  <c r="O7" i="16"/>
  <c r="Q7" i="16"/>
  <c r="Q10" i="16"/>
  <c r="Q11" i="16"/>
  <c r="L27" i="16"/>
  <c r="L24" i="16"/>
  <c r="L23" i="16"/>
  <c r="L26" i="16"/>
  <c r="L25" i="16"/>
  <c r="N34" i="16"/>
  <c r="N35" i="16"/>
  <c r="N32" i="16"/>
  <c r="N31" i="16"/>
  <c r="N33" i="16"/>
  <c r="AB81" i="13"/>
  <c r="AB84" i="13" s="1"/>
  <c r="AL77" i="13"/>
  <c r="G11" i="16"/>
  <c r="P10" i="16" s="1"/>
  <c r="H21" i="20"/>
  <c r="H29" i="20"/>
  <c r="H31" i="20" s="1"/>
  <c r="H35" i="20" s="1"/>
  <c r="H40" i="20" s="1"/>
  <c r="X21" i="20"/>
  <c r="X29" i="20"/>
  <c r="X31" i="20" s="1"/>
  <c r="X35" i="20" s="1"/>
  <c r="X40" i="20" s="1"/>
  <c r="AF21" i="20"/>
  <c r="AF29" i="20"/>
  <c r="AF31" i="20" s="1"/>
  <c r="AF35" i="20" s="1"/>
  <c r="AF40" i="20" s="1"/>
  <c r="AM81" i="12"/>
  <c r="AM82" i="12" s="1"/>
  <c r="AM114" i="12" s="1"/>
  <c r="AN81" i="13"/>
  <c r="AN84" i="13" s="1"/>
  <c r="P34" i="16"/>
  <c r="D42" i="17"/>
  <c r="D67" i="17" s="1"/>
  <c r="D8" i="17" s="1"/>
  <c r="E42" i="17"/>
  <c r="AL81" i="12"/>
  <c r="AL82" i="12" s="1"/>
  <c r="AG77" i="13"/>
  <c r="AG67" i="13"/>
  <c r="F42" i="17"/>
  <c r="P21" i="20"/>
  <c r="P29" i="20"/>
  <c r="P31" i="20" s="1"/>
  <c r="P35" i="20" s="1"/>
  <c r="P40" i="20" s="1"/>
  <c r="AN21" i="20"/>
  <c r="AN29" i="20"/>
  <c r="AN31" i="20" s="1"/>
  <c r="AN35" i="20" s="1"/>
  <c r="AN40" i="20" s="1"/>
  <c r="AN81" i="12"/>
  <c r="AN82" i="12" s="1"/>
  <c r="C174" i="12"/>
  <c r="K174" i="12"/>
  <c r="S174" i="12"/>
  <c r="AA174" i="12"/>
  <c r="AI174" i="12"/>
  <c r="AQ174" i="12"/>
  <c r="AN77" i="13"/>
  <c r="AN67" i="13"/>
  <c r="AO81" i="13"/>
  <c r="AO84" i="13" s="1"/>
  <c r="F59" i="16"/>
  <c r="O57" i="16" s="1"/>
  <c r="AF17" i="19"/>
  <c r="AQ29" i="20"/>
  <c r="AQ31" i="20" s="1"/>
  <c r="AQ35" i="20" s="1"/>
  <c r="AQ40" i="20" s="1"/>
  <c r="AQ21" i="20"/>
  <c r="AK77" i="13"/>
  <c r="AK67" i="13"/>
  <c r="C42" i="17"/>
  <c r="C67" i="17" s="1"/>
  <c r="C8" i="17" s="1"/>
  <c r="AK96" i="12"/>
  <c r="AK97" i="12" s="1"/>
  <c r="AS96" i="12"/>
  <c r="AS97" i="12" s="1"/>
  <c r="D174" i="12"/>
  <c r="L174" i="12"/>
  <c r="T174" i="12"/>
  <c r="AB174" i="12"/>
  <c r="AJ174" i="12"/>
  <c r="AR174" i="12"/>
  <c r="O15" i="16"/>
  <c r="P55" i="16"/>
  <c r="P57" i="16"/>
  <c r="E52" i="17"/>
  <c r="AD26" i="19"/>
  <c r="AD30" i="19"/>
  <c r="G19" i="16"/>
  <c r="P17" i="16" s="1"/>
  <c r="M23" i="16"/>
  <c r="M26" i="16"/>
  <c r="R35" i="16"/>
  <c r="R32" i="16"/>
  <c r="R31" i="16"/>
  <c r="R51" i="16"/>
  <c r="R50" i="16"/>
  <c r="R49" i="16"/>
  <c r="R48" i="16"/>
  <c r="R47" i="16"/>
  <c r="H24" i="17"/>
  <c r="H39" i="17" s="1"/>
  <c r="H7" i="17" s="1"/>
  <c r="I24" i="17"/>
  <c r="I39" i="17" s="1"/>
  <c r="I7" i="17" s="1"/>
  <c r="F34" i="17"/>
  <c r="G34" i="17"/>
  <c r="L28" i="18"/>
  <c r="C30" i="19"/>
  <c r="C26" i="19"/>
  <c r="Z30" i="19"/>
  <c r="Z26" i="19"/>
  <c r="AS9" i="20"/>
  <c r="AS15" i="20" s="1"/>
  <c r="C20" i="21"/>
  <c r="C31" i="21"/>
  <c r="C33" i="21" s="1"/>
  <c r="C37" i="21" s="1"/>
  <c r="C42" i="21" s="1"/>
  <c r="K20" i="21"/>
  <c r="K31" i="21"/>
  <c r="K33" i="21" s="1"/>
  <c r="K37" i="21" s="1"/>
  <c r="K42" i="21" s="1"/>
  <c r="S20" i="21"/>
  <c r="S31" i="21"/>
  <c r="S33" i="21" s="1"/>
  <c r="S37" i="21" s="1"/>
  <c r="S42" i="21" s="1"/>
  <c r="AA20" i="21"/>
  <c r="AA31" i="21"/>
  <c r="AA33" i="21" s="1"/>
  <c r="AA37" i="21" s="1"/>
  <c r="AA42" i="21" s="1"/>
  <c r="X20" i="21"/>
  <c r="X31" i="21"/>
  <c r="X33" i="21" s="1"/>
  <c r="X37" i="21" s="1"/>
  <c r="X42" i="21" s="1"/>
  <c r="C20" i="25"/>
  <c r="C29" i="25"/>
  <c r="C31" i="25" s="1"/>
  <c r="C35" i="25" s="1"/>
  <c r="C40" i="25" s="1"/>
  <c r="M20" i="25"/>
  <c r="M29" i="25"/>
  <c r="M31" i="25" s="1"/>
  <c r="M35" i="25" s="1"/>
  <c r="M40" i="25" s="1"/>
  <c r="O9" i="16"/>
  <c r="C14" i="17"/>
  <c r="D15" i="18"/>
  <c r="L15" i="18"/>
  <c r="AF26" i="19"/>
  <c r="AF30" i="19"/>
  <c r="G21" i="20"/>
  <c r="G29" i="20"/>
  <c r="G31" i="20" s="1"/>
  <c r="G35" i="20" s="1"/>
  <c r="G40" i="20" s="1"/>
  <c r="AP31" i="21"/>
  <c r="AP33" i="21" s="1"/>
  <c r="AP37" i="21" s="1"/>
  <c r="AP42" i="21" s="1"/>
  <c r="AP20" i="21"/>
  <c r="F35" i="16"/>
  <c r="O33" i="16" s="1"/>
  <c r="R34" i="16"/>
  <c r="M43" i="16"/>
  <c r="M42" i="16"/>
  <c r="M41" i="16"/>
  <c r="M40" i="16"/>
  <c r="M39" i="16"/>
  <c r="P56" i="16"/>
  <c r="C24" i="17"/>
  <c r="H42" i="17"/>
  <c r="H67" i="17" s="1"/>
  <c r="H8" i="17" s="1"/>
  <c r="I42" i="17"/>
  <c r="I67" i="17" s="1"/>
  <c r="I8" i="17" s="1"/>
  <c r="F52" i="17"/>
  <c r="G52" i="17"/>
  <c r="G67" i="17" s="1"/>
  <c r="G8" i="17" s="1"/>
  <c r="I29" i="20"/>
  <c r="I31" i="20" s="1"/>
  <c r="I35" i="20" s="1"/>
  <c r="I40" i="20" s="1"/>
  <c r="I21" i="20"/>
  <c r="Y29" i="20"/>
  <c r="Y31" i="20" s="1"/>
  <c r="Y35" i="20" s="1"/>
  <c r="Y40" i="20" s="1"/>
  <c r="Y21" i="20"/>
  <c r="AG29" i="20"/>
  <c r="AG31" i="20" s="1"/>
  <c r="AG35" i="20" s="1"/>
  <c r="AG40" i="20" s="1"/>
  <c r="AG21" i="20"/>
  <c r="AO29" i="20"/>
  <c r="AO31" i="20" s="1"/>
  <c r="AO35" i="20" s="1"/>
  <c r="AO40" i="20" s="1"/>
  <c r="AO21" i="20"/>
  <c r="O18" i="16"/>
  <c r="N19" i="16"/>
  <c r="N16" i="16"/>
  <c r="N15" i="16"/>
  <c r="M25" i="16"/>
  <c r="G35" i="16"/>
  <c r="P33" i="16" s="1"/>
  <c r="N43" i="16"/>
  <c r="N42" i="16"/>
  <c r="N41" i="16"/>
  <c r="N40" i="16"/>
  <c r="N39" i="16"/>
  <c r="F51" i="16"/>
  <c r="P58" i="16"/>
  <c r="D24" i="17"/>
  <c r="D39" i="17" s="1"/>
  <c r="D7" i="17" s="1"/>
  <c r="E24" i="17"/>
  <c r="E39" i="17" s="1"/>
  <c r="E7" i="17" s="1"/>
  <c r="C34" i="17"/>
  <c r="AE13" i="19"/>
  <c r="AE11" i="19"/>
  <c r="AE17" i="19" s="1"/>
  <c r="AC26" i="19"/>
  <c r="AE30" i="19"/>
  <c r="R29" i="20"/>
  <c r="R31" i="20" s="1"/>
  <c r="R35" i="20" s="1"/>
  <c r="R40" i="20" s="1"/>
  <c r="R21" i="20"/>
  <c r="G20" i="21"/>
  <c r="G31" i="21"/>
  <c r="G33" i="21" s="1"/>
  <c r="G37" i="21" s="1"/>
  <c r="G42" i="21" s="1"/>
  <c r="O20" i="21"/>
  <c r="O31" i="21"/>
  <c r="O33" i="21" s="1"/>
  <c r="O37" i="21" s="1"/>
  <c r="O42" i="21" s="1"/>
  <c r="W20" i="21"/>
  <c r="W31" i="21"/>
  <c r="W33" i="21" s="1"/>
  <c r="W37" i="21" s="1"/>
  <c r="W42" i="21" s="1"/>
  <c r="M24" i="16"/>
  <c r="O26" i="16"/>
  <c r="M27" i="16"/>
  <c r="R33" i="16"/>
  <c r="Q42" i="16"/>
  <c r="Q41" i="16"/>
  <c r="Q40" i="16"/>
  <c r="Q39" i="16"/>
  <c r="Q43" i="16"/>
  <c r="M50" i="16"/>
  <c r="M49" i="16"/>
  <c r="M48" i="16"/>
  <c r="M47" i="16"/>
  <c r="M51" i="16"/>
  <c r="N55" i="16"/>
  <c r="N57" i="16"/>
  <c r="M59" i="16"/>
  <c r="F14" i="17"/>
  <c r="G14" i="17"/>
  <c r="F61" i="17"/>
  <c r="AC17" i="19"/>
  <c r="K26" i="19"/>
  <c r="K30" i="19"/>
  <c r="C29" i="20"/>
  <c r="C31" i="20" s="1"/>
  <c r="C35" i="20" s="1"/>
  <c r="C40" i="20" s="1"/>
  <c r="C21" i="20"/>
  <c r="S29" i="20"/>
  <c r="S31" i="20" s="1"/>
  <c r="S35" i="20" s="1"/>
  <c r="S40" i="20" s="1"/>
  <c r="S21" i="20"/>
  <c r="Q21" i="20"/>
  <c r="P20" i="21"/>
  <c r="P31" i="21"/>
  <c r="P33" i="21" s="1"/>
  <c r="P37" i="21" s="1"/>
  <c r="P42" i="21" s="1"/>
  <c r="O26" i="19"/>
  <c r="F30" i="19"/>
  <c r="F29" i="20"/>
  <c r="F31" i="20" s="1"/>
  <c r="F35" i="20" s="1"/>
  <c r="F40" i="20" s="1"/>
  <c r="AL29" i="20"/>
  <c r="AL31" i="20" s="1"/>
  <c r="AL35" i="20" s="1"/>
  <c r="AL40" i="20" s="1"/>
  <c r="I20" i="21"/>
  <c r="I31" i="21"/>
  <c r="I33" i="21" s="1"/>
  <c r="I37" i="21" s="1"/>
  <c r="I42" i="21" s="1"/>
  <c r="Q20" i="21"/>
  <c r="Q31" i="21"/>
  <c r="Q33" i="21" s="1"/>
  <c r="Q37" i="21" s="1"/>
  <c r="Q42" i="21" s="1"/>
  <c r="Y20" i="21"/>
  <c r="Y31" i="21"/>
  <c r="Y33" i="21" s="1"/>
  <c r="Y37" i="21" s="1"/>
  <c r="Y42" i="21" s="1"/>
  <c r="AO31" i="21"/>
  <c r="AO33" i="21" s="1"/>
  <c r="AO37" i="21" s="1"/>
  <c r="AO42" i="21" s="1"/>
  <c r="AO20" i="21"/>
  <c r="AQ31" i="21"/>
  <c r="AQ33" i="21" s="1"/>
  <c r="AQ37" i="21" s="1"/>
  <c r="AQ42" i="21" s="1"/>
  <c r="AQ20" i="21"/>
  <c r="R43" i="16"/>
  <c r="N51" i="16"/>
  <c r="U30" i="19"/>
  <c r="AS22" i="20"/>
  <c r="M29" i="20"/>
  <c r="M31" i="20" s="1"/>
  <c r="M35" i="20" s="1"/>
  <c r="M40" i="20" s="1"/>
  <c r="J20" i="21"/>
  <c r="J31" i="21"/>
  <c r="J33" i="21" s="1"/>
  <c r="J37" i="21" s="1"/>
  <c r="J42" i="21" s="1"/>
  <c r="R20" i="21"/>
  <c r="R31" i="21"/>
  <c r="R33" i="21" s="1"/>
  <c r="R37" i="21" s="1"/>
  <c r="R42" i="21" s="1"/>
  <c r="Z20" i="21"/>
  <c r="Z31" i="21"/>
  <c r="Z33" i="21" s="1"/>
  <c r="Z37" i="21" s="1"/>
  <c r="Z42" i="21" s="1"/>
  <c r="AB20" i="21"/>
  <c r="E31" i="21"/>
  <c r="E33" i="21" s="1"/>
  <c r="E37" i="21" s="1"/>
  <c r="E42" i="21" s="1"/>
  <c r="W34" i="23"/>
  <c r="W39" i="23" s="1"/>
  <c r="R27" i="16"/>
  <c r="AA29" i="20"/>
  <c r="AA31" i="20" s="1"/>
  <c r="AA35" i="20" s="1"/>
  <c r="AA40" i="20" s="1"/>
  <c r="AA21" i="20"/>
  <c r="U29" i="20"/>
  <c r="U31" i="20" s="1"/>
  <c r="U35" i="20" s="1"/>
  <c r="U40" i="20" s="1"/>
  <c r="AR31" i="21"/>
  <c r="AR33" i="21" s="1"/>
  <c r="AR37" i="21" s="1"/>
  <c r="AR42" i="21" s="1"/>
  <c r="AR20" i="21"/>
  <c r="D20" i="21"/>
  <c r="V28" i="23"/>
  <c r="V30" i="23" s="1"/>
  <c r="V34" i="23" s="1"/>
  <c r="V39" i="23" s="1"/>
  <c r="V20" i="23"/>
  <c r="U20" i="23"/>
  <c r="U28" i="23"/>
  <c r="U30" i="23" s="1"/>
  <c r="U34" i="23" s="1"/>
  <c r="U39" i="23" s="1"/>
  <c r="AH21" i="20"/>
  <c r="V29" i="20"/>
  <c r="V31" i="20" s="1"/>
  <c r="V35" i="20" s="1"/>
  <c r="V40" i="20" s="1"/>
  <c r="AS9" i="21"/>
  <c r="AS15" i="21" s="1"/>
  <c r="N31" i="21"/>
  <c r="N33" i="21" s="1"/>
  <c r="N37" i="21" s="1"/>
  <c r="N42" i="21" s="1"/>
  <c r="Y42" i="30"/>
  <c r="R40" i="16"/>
  <c r="R41" i="16"/>
  <c r="N48" i="16"/>
  <c r="N49" i="16"/>
  <c r="O21" i="20"/>
  <c r="O29" i="20"/>
  <c r="O31" i="20" s="1"/>
  <c r="O35" i="20" s="1"/>
  <c r="O40" i="20" s="1"/>
  <c r="W21" i="20"/>
  <c r="W29" i="20"/>
  <c r="W31" i="20" s="1"/>
  <c r="W35" i="20" s="1"/>
  <c r="W40" i="20" s="1"/>
  <c r="AE21" i="20"/>
  <c r="AE29" i="20"/>
  <c r="AE31" i="20" s="1"/>
  <c r="AE35" i="20" s="1"/>
  <c r="AE40" i="20" s="1"/>
  <c r="AM21" i="20"/>
  <c r="AM29" i="20"/>
  <c r="AM31" i="20" s="1"/>
  <c r="AM35" i="20" s="1"/>
  <c r="AM40" i="20" s="1"/>
  <c r="AI29" i="20"/>
  <c r="AI31" i="20" s="1"/>
  <c r="AI35" i="20" s="1"/>
  <c r="AI40" i="20" s="1"/>
  <c r="AI21" i="20"/>
  <c r="AC29" i="20"/>
  <c r="AC31" i="20" s="1"/>
  <c r="AC35" i="20" s="1"/>
  <c r="AC40" i="20" s="1"/>
  <c r="X28" i="23"/>
  <c r="X30" i="23" s="1"/>
  <c r="X34" i="23" s="1"/>
  <c r="X39" i="23" s="1"/>
  <c r="X20" i="23"/>
  <c r="L20" i="25"/>
  <c r="L29" i="25"/>
  <c r="L31" i="25" s="1"/>
  <c r="L35" i="25" s="1"/>
  <c r="L40" i="25" s="1"/>
  <c r="K29" i="25"/>
  <c r="K31" i="25" s="1"/>
  <c r="K35" i="25" s="1"/>
  <c r="K40" i="25" s="1"/>
  <c r="K20" i="25"/>
  <c r="N98" i="28"/>
  <c r="Q89" i="29"/>
  <c r="J28" i="24"/>
  <c r="J30" i="24" s="1"/>
  <c r="J34" i="24" s="1"/>
  <c r="J39" i="24" s="1"/>
  <c r="I15" i="26"/>
  <c r="I20" i="26" s="1"/>
  <c r="I28" i="26" s="1"/>
  <c r="I30" i="26" s="1"/>
  <c r="I34" i="26" s="1"/>
  <c r="I39" i="26" s="1"/>
  <c r="H42" i="27"/>
  <c r="H87" i="27" s="1"/>
  <c r="P42" i="27"/>
  <c r="P87" i="27" s="1"/>
  <c r="E87" i="27"/>
  <c r="M87" i="27"/>
  <c r="C86" i="27"/>
  <c r="C87" i="27" s="1"/>
  <c r="K86" i="27"/>
  <c r="J89" i="29"/>
  <c r="H23" i="30"/>
  <c r="H42" i="30" s="1"/>
  <c r="P23" i="30"/>
  <c r="P42" i="30" s="1"/>
  <c r="X23" i="30"/>
  <c r="X42" i="30" s="1"/>
  <c r="Y45" i="30"/>
  <c r="Y90" i="30" s="1"/>
  <c r="D43" i="31"/>
  <c r="E90" i="31"/>
  <c r="H21" i="32"/>
  <c r="H36" i="32" s="1"/>
  <c r="E73" i="32"/>
  <c r="D22" i="33"/>
  <c r="D43" i="33" s="1"/>
  <c r="Y9" i="23"/>
  <c r="Y15" i="23" s="1"/>
  <c r="D87" i="27"/>
  <c r="L87" i="27"/>
  <c r="C89" i="29"/>
  <c r="L90" i="30"/>
  <c r="L91" i="30" s="1"/>
  <c r="T90" i="30"/>
  <c r="H29" i="25"/>
  <c r="H31" i="25" s="1"/>
  <c r="H35" i="25" s="1"/>
  <c r="H40" i="25" s="1"/>
  <c r="H20" i="25"/>
  <c r="C89" i="31"/>
  <c r="K89" i="31"/>
  <c r="D20" i="26"/>
  <c r="D28" i="26" s="1"/>
  <c r="D30" i="26" s="1"/>
  <c r="D34" i="26" s="1"/>
  <c r="D39" i="26" s="1"/>
  <c r="N87" i="27"/>
  <c r="Q97" i="28"/>
  <c r="F90" i="30"/>
  <c r="N90" i="30"/>
  <c r="N91" i="30" s="1"/>
  <c r="V90" i="30"/>
  <c r="Q91" i="30"/>
  <c r="G43" i="31"/>
  <c r="G90" i="31" s="1"/>
  <c r="D89" i="31"/>
  <c r="H73" i="32"/>
  <c r="C21" i="22"/>
  <c r="C29" i="22" s="1"/>
  <c r="K21" i="22"/>
  <c r="K29" i="22" s="1"/>
  <c r="Q16" i="22"/>
  <c r="Q21" i="22" s="1"/>
  <c r="Q29" i="22" s="1"/>
  <c r="Q31" i="22" s="1"/>
  <c r="Q35" i="22" s="1"/>
  <c r="Q40" i="22" s="1"/>
  <c r="I20" i="25"/>
  <c r="Q8" i="29"/>
  <c r="Q46" i="29" s="1"/>
  <c r="O42" i="30"/>
  <c r="W42" i="30"/>
  <c r="H20" i="26"/>
  <c r="H28" i="26" s="1"/>
  <c r="H30" i="26" s="1"/>
  <c r="H34" i="26" s="1"/>
  <c r="H39" i="26" s="1"/>
  <c r="K37" i="31"/>
  <c r="K23" i="31" s="1"/>
  <c r="K43" i="31" s="1"/>
  <c r="J20" i="25"/>
  <c r="Q35" i="7"/>
  <c r="Q37" i="7" s="1"/>
  <c r="F29" i="8"/>
  <c r="F31" i="8" s="1"/>
  <c r="F37" i="8" s="1"/>
  <c r="F42" i="8" s="1"/>
  <c r="F21" i="8"/>
  <c r="N29" i="8"/>
  <c r="N31" i="8" s="1"/>
  <c r="N37" i="8" s="1"/>
  <c r="N42" i="8" s="1"/>
  <c r="N21" i="8"/>
  <c r="V29" i="8"/>
  <c r="V31" i="8" s="1"/>
  <c r="V37" i="8" s="1"/>
  <c r="V42" i="8" s="1"/>
  <c r="V21" i="8"/>
  <c r="G29" i="8"/>
  <c r="G31" i="8" s="1"/>
  <c r="G37" i="8" s="1"/>
  <c r="G42" i="8" s="1"/>
  <c r="G21" i="8"/>
  <c r="P21" i="8"/>
  <c r="P29" i="8"/>
  <c r="P31" i="8" s="1"/>
  <c r="P37" i="8" s="1"/>
  <c r="P42" i="8" s="1"/>
  <c r="S29" i="8"/>
  <c r="S31" i="8" s="1"/>
  <c r="S37" i="8" s="1"/>
  <c r="S42" i="8" s="1"/>
  <c r="S21" i="8"/>
  <c r="M21" i="8"/>
  <c r="I35" i="7"/>
  <c r="I37" i="7" s="1"/>
  <c r="I43" i="7" s="1"/>
  <c r="I48" i="7" s="1"/>
  <c r="I50" i="7" s="1"/>
  <c r="J35" i="7"/>
  <c r="J37" i="7" s="1"/>
  <c r="J43" i="7" s="1"/>
  <c r="J48" i="7" s="1"/>
  <c r="J50" i="7" s="1"/>
  <c r="Q40" i="7"/>
  <c r="L21" i="8"/>
  <c r="L29" i="8"/>
  <c r="L31" i="8" s="1"/>
  <c r="L37" i="8" s="1"/>
  <c r="L42" i="8" s="1"/>
  <c r="C29" i="8"/>
  <c r="C31" i="8" s="1"/>
  <c r="C37" i="8" s="1"/>
  <c r="C42" i="8" s="1"/>
  <c r="C21" i="8"/>
  <c r="W29" i="8"/>
  <c r="W31" i="8" s="1"/>
  <c r="W37" i="8" s="1"/>
  <c r="W42" i="8" s="1"/>
  <c r="W21" i="8"/>
  <c r="H37" i="8"/>
  <c r="H42" i="8" s="1"/>
  <c r="X37" i="8"/>
  <c r="X42" i="8" s="1"/>
  <c r="AJ37" i="8"/>
  <c r="AJ42" i="8" s="1"/>
  <c r="D29" i="8"/>
  <c r="D31" i="8" s="1"/>
  <c r="D37" i="8" s="1"/>
  <c r="D42" i="8" s="1"/>
  <c r="AI94" i="11"/>
  <c r="AS22" i="8"/>
  <c r="AS29" i="8" s="1"/>
  <c r="AS31" i="8" s="1"/>
  <c r="AS37" i="8" s="1"/>
  <c r="AS42" i="8" s="1"/>
  <c r="E29" i="8"/>
  <c r="E31" i="8" s="1"/>
  <c r="E37" i="8" s="1"/>
  <c r="E42" i="8" s="1"/>
  <c r="K29" i="8"/>
  <c r="K31" i="8" s="1"/>
  <c r="K37" i="8" s="1"/>
  <c r="K42" i="8" s="1"/>
  <c r="K21" i="8"/>
  <c r="AS8" i="10"/>
  <c r="AS52" i="10" s="1"/>
  <c r="AC28" i="10"/>
  <c r="AC52" i="10" s="1"/>
  <c r="Z28" i="10"/>
  <c r="Z52" i="10" s="1"/>
  <c r="AS28" i="11"/>
  <c r="AS50" i="11" s="1"/>
  <c r="AS53" i="11"/>
  <c r="AM93" i="11"/>
  <c r="J29" i="8"/>
  <c r="J31" i="8" s="1"/>
  <c r="J37" i="8" s="1"/>
  <c r="J42" i="8" s="1"/>
  <c r="R29" i="8"/>
  <c r="R31" i="8" s="1"/>
  <c r="R37" i="8" s="1"/>
  <c r="R42" i="8" s="1"/>
  <c r="Z29" i="8"/>
  <c r="Z31" i="8" s="1"/>
  <c r="Z37" i="8" s="1"/>
  <c r="Z42" i="8" s="1"/>
  <c r="O29" i="8"/>
  <c r="O31" i="8" s="1"/>
  <c r="O37" i="8" s="1"/>
  <c r="O42" i="8" s="1"/>
  <c r="O21" i="8"/>
  <c r="L52" i="10"/>
  <c r="U28" i="10"/>
  <c r="U52" i="10" s="1"/>
  <c r="AN28" i="11"/>
  <c r="AN50" i="11" s="1"/>
  <c r="AG94" i="11"/>
  <c r="AD93" i="11"/>
  <c r="AA29" i="8"/>
  <c r="AA31" i="8" s="1"/>
  <c r="AA37" i="8" s="1"/>
  <c r="AA42" i="8" s="1"/>
  <c r="AA21" i="8"/>
  <c r="AK28" i="10"/>
  <c r="AK52" i="10" s="1"/>
  <c r="J28" i="10"/>
  <c r="J52" i="10" s="1"/>
  <c r="AS80" i="10"/>
  <c r="AS84" i="11"/>
  <c r="AS55" i="10"/>
  <c r="Q20" i="7"/>
  <c r="M28" i="10"/>
  <c r="M52" i="10" s="1"/>
  <c r="V28" i="10"/>
  <c r="V52" i="10" s="1"/>
  <c r="AS69" i="11"/>
  <c r="F93" i="11"/>
  <c r="N93" i="11"/>
  <c r="V93" i="11"/>
  <c r="AH93" i="11"/>
  <c r="AP93" i="11"/>
  <c r="AP94" i="11" s="1"/>
  <c r="AC78" i="3"/>
  <c r="L99" i="4"/>
  <c r="L21" i="4"/>
  <c r="L93" i="4"/>
  <c r="D20" i="5"/>
  <c r="R18" i="5"/>
  <c r="AB78" i="3"/>
  <c r="AD78" i="3"/>
  <c r="Y78" i="3"/>
  <c r="L85" i="4"/>
  <c r="L42" i="4"/>
  <c r="L46" i="4"/>
  <c r="F93" i="4"/>
  <c r="L8" i="4"/>
  <c r="L14" i="4" s="1"/>
  <c r="K21" i="4"/>
  <c r="K101" i="4" s="1"/>
  <c r="L69" i="4"/>
  <c r="F28" i="4"/>
  <c r="F42" i="4"/>
  <c r="L35" i="4"/>
  <c r="L36" i="4" s="1"/>
  <c r="L54" i="4"/>
  <c r="L55" i="4" s="1"/>
  <c r="L70" i="4"/>
  <c r="F76" i="4"/>
  <c r="F14" i="4"/>
  <c r="F101" i="4" s="1"/>
  <c r="L58" i="4"/>
  <c r="L61" i="4" s="1"/>
  <c r="L74" i="4"/>
  <c r="L76" i="4" s="1"/>
  <c r="M90" i="29" l="1"/>
  <c r="E96" i="33"/>
  <c r="G74" i="32"/>
  <c r="I90" i="31"/>
  <c r="F90" i="31"/>
  <c r="K91" i="30"/>
  <c r="V91" i="30"/>
  <c r="I91" i="30"/>
  <c r="Q98" i="28"/>
  <c r="P41" i="16"/>
  <c r="S93" i="39"/>
  <c r="Q87" i="27"/>
  <c r="D64" i="46"/>
  <c r="J90" i="29"/>
  <c r="O40" i="16"/>
  <c r="K87" i="27"/>
  <c r="P40" i="16"/>
  <c r="F64" i="46"/>
  <c r="O114" i="12"/>
  <c r="G114" i="12"/>
  <c r="X93" i="39"/>
  <c r="AS114" i="12"/>
  <c r="L90" i="29"/>
  <c r="H90" i="31"/>
  <c r="X91" i="30"/>
  <c r="P42" i="16"/>
  <c r="AP111" i="10"/>
  <c r="S91" i="30"/>
  <c r="D96" i="33"/>
  <c r="AR111" i="10"/>
  <c r="AB61" i="40"/>
  <c r="Y61" i="40"/>
  <c r="K93" i="39"/>
  <c r="C96" i="33"/>
  <c r="W91" i="30"/>
  <c r="U91" i="30"/>
  <c r="O91" i="30"/>
  <c r="M91" i="30"/>
  <c r="K90" i="29"/>
  <c r="P90" i="29"/>
  <c r="D90" i="29"/>
  <c r="C90" i="29"/>
  <c r="F90" i="29"/>
  <c r="N90" i="29"/>
  <c r="AA61" i="40"/>
  <c r="AK114" i="12"/>
  <c r="AC61" i="40"/>
  <c r="AA93" i="39"/>
  <c r="H75" i="43"/>
  <c r="N93" i="39"/>
  <c r="X61" i="40"/>
  <c r="O34" i="16"/>
  <c r="AB93" i="39"/>
  <c r="P91" i="30"/>
  <c r="P8" i="16"/>
  <c r="X21" i="12"/>
  <c r="I98" i="28"/>
  <c r="AQ111" i="10"/>
  <c r="AO111" i="10"/>
  <c r="AQ94" i="11"/>
  <c r="AH94" i="11"/>
  <c r="O58" i="16"/>
  <c r="P18" i="16"/>
  <c r="AN114" i="12"/>
  <c r="L98" i="28"/>
  <c r="O90" i="29"/>
  <c r="AL114" i="12"/>
  <c r="Y93" i="39"/>
  <c r="G90" i="29"/>
  <c r="Z61" i="40"/>
  <c r="D90" i="31"/>
  <c r="P24" i="16"/>
  <c r="AM111" i="10"/>
  <c r="O31" i="16"/>
  <c r="O55" i="16"/>
  <c r="W61" i="40"/>
  <c r="G39" i="17"/>
  <c r="AP74" i="13"/>
  <c r="AP85" i="13" s="1"/>
  <c r="AP82" i="13"/>
  <c r="L71" i="4"/>
  <c r="R20" i="5"/>
  <c r="D9" i="17"/>
  <c r="D11" i="17" s="1"/>
  <c r="E67" i="17"/>
  <c r="F39" i="17"/>
  <c r="F7" i="17" s="1"/>
  <c r="I9" i="17"/>
  <c r="I11" i="17" s="1"/>
  <c r="F67" i="17"/>
  <c r="F8" i="17" s="1"/>
  <c r="H9" i="17"/>
  <c r="H11" i="17" s="1"/>
  <c r="AM94" i="11"/>
  <c r="AN94" i="11"/>
  <c r="AO94" i="11"/>
  <c r="AS93" i="11"/>
  <c r="AS94" i="11" s="1"/>
  <c r="AS110" i="10"/>
  <c r="AS111" i="10" s="1"/>
  <c r="O93" i="39"/>
  <c r="L93" i="39"/>
  <c r="N75" i="43"/>
  <c r="F75" i="43"/>
  <c r="C74" i="32"/>
  <c r="C90" i="31"/>
  <c r="T91" i="30"/>
  <c r="Q93" i="39"/>
  <c r="AC93" i="39"/>
  <c r="E74" i="32"/>
  <c r="O51" i="16"/>
  <c r="O47" i="16"/>
  <c r="O49" i="16"/>
  <c r="O50" i="16"/>
  <c r="O11" i="16"/>
  <c r="O10" i="16"/>
  <c r="P59" i="16"/>
  <c r="F96" i="33"/>
  <c r="U114" i="12"/>
  <c r="I114" i="12"/>
  <c r="O32" i="16"/>
  <c r="O35" i="16"/>
  <c r="P11" i="16"/>
  <c r="P9" i="16"/>
  <c r="P27" i="16"/>
  <c r="P25" i="16"/>
  <c r="O8" i="16"/>
  <c r="P15" i="16"/>
  <c r="P19" i="16"/>
  <c r="P16" i="16"/>
  <c r="P7" i="16"/>
  <c r="O56" i="16"/>
  <c r="O43" i="16"/>
  <c r="O41" i="16"/>
  <c r="O42" i="16"/>
  <c r="M114" i="12"/>
  <c r="P26" i="16"/>
  <c r="K90" i="31"/>
  <c r="AS20" i="21"/>
  <c r="AS31" i="21"/>
  <c r="AS33" i="21" s="1"/>
  <c r="AS37" i="21" s="1"/>
  <c r="AS42" i="21" s="1"/>
  <c r="Y28" i="23"/>
  <c r="Y30" i="23" s="1"/>
  <c r="Y34" i="23" s="1"/>
  <c r="Y39" i="23" s="1"/>
  <c r="Y20" i="23"/>
  <c r="P35" i="16"/>
  <c r="P31" i="16"/>
  <c r="C39" i="17"/>
  <c r="O48" i="16"/>
  <c r="AS21" i="20"/>
  <c r="AS29" i="20"/>
  <c r="AS31" i="20" s="1"/>
  <c r="AS35" i="20" s="1"/>
  <c r="AS40" i="20" s="1"/>
  <c r="H74" i="32"/>
  <c r="Q90" i="29"/>
  <c r="Y91" i="30"/>
  <c r="N59" i="16"/>
  <c r="P32" i="16"/>
  <c r="P39" i="16"/>
  <c r="E114" i="12"/>
  <c r="Q114" i="12"/>
  <c r="Q43" i="7"/>
  <c r="Q48" i="7" s="1"/>
  <c r="Q50" i="7" s="1"/>
  <c r="L101" i="4"/>
  <c r="G7" i="17" l="1"/>
  <c r="G9" i="17" s="1"/>
  <c r="G11" i="17" s="1"/>
  <c r="E8" i="17"/>
  <c r="E9" i="17" s="1"/>
  <c r="E11" i="17" s="1"/>
  <c r="C7" i="17"/>
  <c r="C9" i="17" s="1"/>
  <c r="C11" i="17" s="1"/>
  <c r="O59" i="16"/>
  <c r="AP84" i="13"/>
  <c r="F9" i="17"/>
  <c r="F11" i="17" s="1"/>
  <c r="O22" i="43" l="1"/>
  <c r="O33" i="43" s="1"/>
  <c r="O75" i="43" s="1"/>
  <c r="I28" i="45" l="1"/>
  <c r="I8" i="45" l="1"/>
  <c r="I13" i="45" s="1"/>
  <c r="I15" i="45" s="1"/>
  <c r="I16" i="45" l="1"/>
  <c r="I24" i="45" s="1"/>
  <c r="I27" i="45" s="1"/>
  <c r="I31" i="45" s="1"/>
  <c r="I36" i="45" s="1"/>
  <c r="C28" i="45" l="1"/>
  <c r="T25" i="9"/>
  <c r="C8" i="45" l="1"/>
  <c r="N27" i="9" l="1"/>
  <c r="N40" i="9"/>
  <c r="C13" i="45"/>
  <c r="C15" i="45" s="1"/>
  <c r="N9" i="9"/>
  <c r="N19" i="9" s="1"/>
  <c r="C16" i="45" l="1"/>
  <c r="C24" i="45" s="1"/>
  <c r="C27" i="45" s="1"/>
  <c r="C31" i="45" s="1"/>
  <c r="C36" i="45" s="1"/>
  <c r="N20" i="9"/>
  <c r="N26" i="9" s="1"/>
  <c r="N35" i="9" s="1"/>
  <c r="N39" i="9" s="1"/>
  <c r="N43" i="9" s="1"/>
  <c r="N48" i="9" s="1"/>
  <c r="AD9" i="36" l="1"/>
  <c r="AD14" i="36" s="1"/>
  <c r="AD25" i="36" l="1"/>
  <c r="AD22" i="36" l="1"/>
  <c r="AD24" i="36" s="1"/>
  <c r="AD28" i="36" s="1"/>
  <c r="AD31" i="36" s="1"/>
  <c r="M81" i="31" l="1"/>
  <c r="M89" i="31" s="1"/>
  <c r="M90" i="31" s="1"/>
  <c r="H37" i="33" l="1"/>
  <c r="H62" i="46" l="1"/>
  <c r="H63" i="46" s="1"/>
  <c r="S8" i="27" l="1"/>
  <c r="S42" i="27" s="1"/>
  <c r="S87" i="27" s="1"/>
  <c r="H85" i="33" l="1"/>
  <c r="J65" i="32"/>
  <c r="J30" i="32"/>
  <c r="AU43" i="11"/>
  <c r="AU29" i="11" l="1"/>
  <c r="AU28" i="11" s="1"/>
  <c r="AU8" i="11"/>
  <c r="H66" i="33"/>
  <c r="H46" i="33"/>
  <c r="H23" i="33"/>
  <c r="H22" i="33" s="1"/>
  <c r="J39" i="32"/>
  <c r="J22" i="32"/>
  <c r="J21" i="32" s="1"/>
  <c r="AU50" i="11" l="1"/>
  <c r="AU94" i="11" s="1"/>
  <c r="H8" i="46"/>
  <c r="H30" i="46" s="1"/>
  <c r="H64" i="46" s="1"/>
  <c r="H95" i="33"/>
  <c r="H8" i="33"/>
  <c r="H43" i="33" s="1"/>
  <c r="J54" i="32"/>
  <c r="J73" i="32" s="1"/>
  <c r="J8" i="32"/>
  <c r="J36" i="32" s="1"/>
  <c r="H96" i="33" l="1"/>
  <c r="J74" i="32"/>
  <c r="AU45" i="10" l="1"/>
  <c r="AU29" i="10"/>
  <c r="AU100" i="10" l="1"/>
  <c r="AU80" i="10"/>
  <c r="AU55" i="10"/>
  <c r="AU28" i="10"/>
  <c r="AU8" i="10"/>
  <c r="AU110" i="10" l="1"/>
  <c r="AU52" i="10"/>
  <c r="AU111" i="10" l="1"/>
  <c r="K89" i="67" l="1"/>
  <c r="K87" i="67" s="1"/>
  <c r="K109" i="67" s="1"/>
  <c r="K118" i="67" s="1"/>
  <c r="AE25" i="36" l="1"/>
  <c r="AE9" i="36"/>
  <c r="AE14" i="36" s="1"/>
  <c r="AE15" i="36" l="1"/>
  <c r="AE22" i="36"/>
  <c r="AE24" i="36" s="1"/>
  <c r="AE28" i="36" s="1"/>
  <c r="AE31" i="36" s="1"/>
  <c r="T9" i="38" l="1"/>
  <c r="T13" i="38" s="1"/>
  <c r="T21" i="38" s="1"/>
  <c r="T23" i="38" s="1"/>
  <c r="T27" i="38" s="1"/>
  <c r="T31" i="38" s="1"/>
  <c r="I85" i="33" l="1"/>
  <c r="I62" i="46" l="1"/>
  <c r="I63" i="46" s="1"/>
  <c r="I37" i="33" l="1"/>
  <c r="K65" i="32" l="1"/>
  <c r="I46" i="33"/>
  <c r="AV43" i="11"/>
  <c r="AV29" i="11"/>
  <c r="K30" i="32" l="1"/>
  <c r="K22" i="32"/>
  <c r="K54" i="32"/>
  <c r="I66" i="33"/>
  <c r="I95" i="33" s="1"/>
  <c r="AV8" i="11"/>
  <c r="K8" i="32"/>
  <c r="I8" i="33"/>
  <c r="I8" i="46"/>
  <c r="I21" i="46"/>
  <c r="K39" i="32"/>
  <c r="AV28" i="11"/>
  <c r="I23" i="33"/>
  <c r="I22" i="33" s="1"/>
  <c r="K73" i="32" l="1"/>
  <c r="K21" i="32"/>
  <c r="K36" i="32" s="1"/>
  <c r="AV50" i="11"/>
  <c r="AV94" i="11" s="1"/>
  <c r="I30" i="46"/>
  <c r="I64" i="46" s="1"/>
  <c r="I43" i="33"/>
  <c r="I96" i="33" s="1"/>
  <c r="K74" i="32" l="1"/>
  <c r="AV45" i="10" l="1"/>
  <c r="AV29" i="10"/>
  <c r="AV55" i="10"/>
  <c r="AV8" i="10"/>
  <c r="AV80" i="10"/>
  <c r="AV100" i="10"/>
  <c r="AV28" i="10" l="1"/>
  <c r="AV52" i="10" s="1"/>
  <c r="AV110" i="10"/>
  <c r="AV111" i="10" l="1"/>
  <c r="T22" i="9" l="1"/>
  <c r="S20" i="9" l="1"/>
  <c r="T21" i="9"/>
  <c r="Q20" i="9" l="1"/>
  <c r="AV34" i="47" l="1"/>
  <c r="M48" i="9" l="1"/>
  <c r="T46" i="9"/>
  <c r="T14" i="9" l="1"/>
  <c r="T11" i="9"/>
  <c r="T16" i="9"/>
  <c r="T13" i="9"/>
  <c r="T47" i="9"/>
  <c r="T24" i="9"/>
  <c r="T12" i="9"/>
  <c r="T44" i="9"/>
  <c r="T45" i="9"/>
  <c r="R20" i="9" l="1"/>
  <c r="T23" i="9"/>
  <c r="T20" i="9" s="1"/>
  <c r="S27" i="9" l="1"/>
  <c r="S40" i="9"/>
  <c r="R9" i="9" l="1"/>
  <c r="R19" i="9" s="1"/>
  <c r="R26" i="9" s="1"/>
  <c r="P40" i="9"/>
  <c r="P27" i="9" l="1"/>
  <c r="T31" i="9"/>
  <c r="R27" i="9" l="1"/>
  <c r="R35" i="9" s="1"/>
  <c r="T36" i="9" l="1"/>
  <c r="T33" i="9"/>
  <c r="T34" i="9"/>
  <c r="T17" i="9" l="1"/>
  <c r="R40" i="9"/>
  <c r="T29" i="9"/>
  <c r="T30" i="9"/>
  <c r="Q9" i="9" l="1"/>
  <c r="Q19" i="9" s="1"/>
  <c r="Q26" i="9" s="1"/>
  <c r="T10" i="9"/>
  <c r="T42" i="9"/>
  <c r="P19" i="9"/>
  <c r="P26" i="9" s="1"/>
  <c r="P35" i="9" s="1"/>
  <c r="P39" i="9" s="1"/>
  <c r="P43" i="9" s="1"/>
  <c r="P48" i="9" s="1"/>
  <c r="T18" i="9"/>
  <c r="T28" i="9"/>
  <c r="T32" i="9"/>
  <c r="R39" i="9"/>
  <c r="R43" i="9" s="1"/>
  <c r="R48" i="9" s="1"/>
  <c r="T38" i="9" l="1"/>
  <c r="T27" i="9"/>
  <c r="Q27" i="9"/>
  <c r="Q35" i="9" s="1"/>
  <c r="Q39" i="9" s="1"/>
  <c r="Q40" i="9"/>
  <c r="T41" i="9"/>
  <c r="T40" i="9" s="1"/>
  <c r="Q43" i="9" l="1"/>
  <c r="Q48" i="9" s="1"/>
  <c r="J39" i="9" l="1"/>
  <c r="J43" i="9" s="1"/>
  <c r="J48" i="9" s="1"/>
  <c r="T37" i="9"/>
  <c r="S9" i="9" l="1"/>
  <c r="S19" i="9" s="1"/>
  <c r="S26" i="9" s="1"/>
  <c r="S35" i="9" s="1"/>
  <c r="S39" i="9" s="1"/>
  <c r="S43" i="9" s="1"/>
  <c r="S48" i="9" s="1"/>
  <c r="T15" i="9"/>
  <c r="T9" i="9" s="1"/>
  <c r="T19" i="9" s="1"/>
  <c r="T26" i="9" s="1"/>
  <c r="T35" i="9" s="1"/>
  <c r="T39" i="9" s="1"/>
  <c r="T43" i="9" s="1"/>
  <c r="T48" i="9" s="1"/>
</calcChain>
</file>

<file path=xl/sharedStrings.xml><?xml version="1.0" encoding="utf-8"?>
<sst xmlns="http://schemas.openxmlformats.org/spreadsheetml/2006/main" count="9587" uniqueCount="1286">
  <si>
    <t>Planilha de Dados Operacionais e Financeiros</t>
  </si>
  <si>
    <t>Informações Financeiras</t>
  </si>
  <si>
    <t>Informações Operacionais</t>
  </si>
  <si>
    <t>Informações Regulatórias</t>
  </si>
  <si>
    <t>Operacional</t>
  </si>
  <si>
    <t>Distribuição</t>
  </si>
  <si>
    <t>Renováveis</t>
  </si>
  <si>
    <t>Saneamento</t>
  </si>
  <si>
    <t>Classes de consumo (MWh)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</si>
  <si>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</si>
  <si>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</si>
  <si>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</si>
  <si>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</si>
  <si>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</si>
  <si>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</si>
  <si>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</si>
  <si>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</si>
  <si>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</si>
  <si>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</si>
  <si>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</si>
  <si>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</si>
  <si>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</si>
  <si>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</si>
  <si>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</si>
  <si>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</si>
  <si>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</si>
  <si>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</si>
  <si>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</si>
  <si>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</si>
  <si>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</si>
  <si>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</si>
  <si>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</si>
  <si>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</si>
  <si>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</si>
  <si>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</si>
  <si>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</si>
  <si>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</si>
  <si>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</si>
  <si>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</si>
  <si>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</si>
  <si>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</si>
  <si>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</si>
  <si>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</si>
  <si>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</si>
  <si>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</si>
  <si>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</si>
  <si>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</si>
  <si>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</si>
  <si>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</si>
  <si>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</si>
  <si>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</si>
  <si>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</si>
  <si>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</si>
  <si>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1T24</t>
  </si>
  <si>
    <t>2T24</t>
  </si>
  <si>
    <t>Maranhão</t>
  </si>
  <si>
    <t>Residencial</t>
  </si>
  <si>
    <t>Industrial</t>
  </si>
  <si>
    <t>Comercial</t>
  </si>
  <si>
    <t>Outros</t>
  </si>
  <si>
    <t>Total (cativo)</t>
  </si>
  <si>
    <t>Consumidores livres</t>
  </si>
  <si>
    <t xml:space="preserve">Energia de Conexão - outras Distribuidoras </t>
  </si>
  <si>
    <t>(-) Energia de Compensação GD (A)</t>
  </si>
  <si>
    <t>Total Distribuida - Maranhão* (B)</t>
  </si>
  <si>
    <t>Total Faturada (B) - (A)</t>
  </si>
  <si>
    <t xml:space="preserve">(*) Inclui mercados cativo, livre, uso distribuidora e consumo próprio </t>
  </si>
  <si>
    <t>Pará</t>
  </si>
  <si>
    <t>Total Distribuida - Pará (B)</t>
  </si>
  <si>
    <t>Piauí</t>
  </si>
  <si>
    <t>Total Distribuida - Piauí (B)</t>
  </si>
  <si>
    <t>Alagoas</t>
  </si>
  <si>
    <t>Total Distribuida - Alagoas (B)</t>
  </si>
  <si>
    <t>CEEE-D</t>
  </si>
  <si>
    <t>Total Distribuida - CEEE (B)</t>
  </si>
  <si>
    <t>CEA</t>
  </si>
  <si>
    <t>Total Distribuida - CEA (B)</t>
  </si>
  <si>
    <t>Goiás</t>
  </si>
  <si>
    <t>Total Faturada - Equatorial</t>
  </si>
  <si>
    <t xml:space="preserve">Número de consumidores </t>
  </si>
  <si>
    <t>Residencial - convencional</t>
  </si>
  <si>
    <t>Residencial - baixa renda</t>
  </si>
  <si>
    <t>Total Maranhão</t>
  </si>
  <si>
    <t>Total Pará</t>
  </si>
  <si>
    <t>Total Piauí</t>
  </si>
  <si>
    <t>Total Alagoas</t>
  </si>
  <si>
    <t>Total CEEE-D</t>
  </si>
  <si>
    <t>Total CEA</t>
  </si>
  <si>
    <t>Total Goiás</t>
  </si>
  <si>
    <t>Consumidores Consolidado</t>
  </si>
  <si>
    <t>Bal. energético (MWh) - Maranhão</t>
  </si>
  <si>
    <t>Sistema interligado</t>
  </si>
  <si>
    <t>Energia injetada pela Geração Distribuída</t>
  </si>
  <si>
    <t>Energia injetada</t>
  </si>
  <si>
    <t>Energia distribuída*</t>
  </si>
  <si>
    <t>Energia de conexão com outras distribuidoras</t>
  </si>
  <si>
    <t xml:space="preserve">Perdas totais </t>
  </si>
  <si>
    <t xml:space="preserve">Perdas sem Geração Distribuída </t>
  </si>
  <si>
    <t xml:space="preserve">(*) Inclui mercados cativo e livre e consumo próprio </t>
  </si>
  <si>
    <t>Bal. energético (MWh) - Pará</t>
  </si>
  <si>
    <t>Sistema isolado</t>
  </si>
  <si>
    <t>(*) Inclui mercados cativo e livre, consumo próprio.</t>
  </si>
  <si>
    <t>Bal. energético (MWh) - Piauí</t>
  </si>
  <si>
    <t>Bal. energético (MWh) - Alagoas</t>
  </si>
  <si>
    <t>Bal. energético (MWh) - CEEE-D</t>
  </si>
  <si>
    <t>Bal. energético (MWh) - CEA</t>
  </si>
  <si>
    <t>Bal. energético (MWh) - Goiás</t>
  </si>
  <si>
    <t>Bal. energético Consolidado (MWh) - Total</t>
  </si>
  <si>
    <t>Maranhão - últ. 12 meses (%)</t>
  </si>
  <si>
    <t>PT / Inj</t>
  </si>
  <si>
    <t>PT / Inj - Regulatória</t>
  </si>
  <si>
    <t>PNT / BT</t>
  </si>
  <si>
    <t>PNT / BT - Regulatória</t>
  </si>
  <si>
    <t>Pará (%) - últ. 12 meses (%)</t>
  </si>
  <si>
    <t>Piauí (%) - últ. 12 meses (%)</t>
  </si>
  <si>
    <t>Alagoas (%) - últ. 12 meses (%)</t>
  </si>
  <si>
    <t>CEEE-D (%) - últ. 12 meses (%)</t>
  </si>
  <si>
    <t>CEA (%) - últ. 12 meses (%)</t>
  </si>
  <si>
    <t>Goiás (%) - últ. 12 meses (%)</t>
  </si>
  <si>
    <t>Em relação à cobertura tarifária para compra de energia da CEA, cumpre destacar que além do valor usual implícito no nível de perdas  regulatórias, na REH 3.006, de 16 de dezembro DE 2021, a ANEEL homologou o valor de adicional R$ 89.372.044,46, a ser recebido em 12 parcelas no período Dez/21 a Nov/22, referente ao Parágrafo único do Art. 4º B da Lei 12.111, de 9 de dezembro de 2009. Este mecanismo complementar, previsto em Lei, se extingue no processo tarifário de 2025, e o montante de energia associado será reduzido gradativamente 25% a cada ano, partindo do processo de 2021</t>
  </si>
  <si>
    <t>Maranhão - últ. 12 meses</t>
  </si>
  <si>
    <t>DEC (12 meses)</t>
  </si>
  <si>
    <t>DEC - Regulatório</t>
  </si>
  <si>
    <t>FEC (12 meses)</t>
  </si>
  <si>
    <t>FEC - Regulatório</t>
  </si>
  <si>
    <t>Pará - últ. 12 meses</t>
  </si>
  <si>
    <t> 36,43</t>
  </si>
  <si>
    <t> 31,54</t>
  </si>
  <si>
    <t>36,56 </t>
  </si>
  <si>
    <t>33,72 </t>
  </si>
  <si>
    <t>31,22 </t>
  </si>
  <si>
    <t>Piauí - últ. 12 meses</t>
  </si>
  <si>
    <t>Alagoas - últ. 12 meses</t>
  </si>
  <si>
    <t>CEEE-D - últ. 12 meses</t>
  </si>
  <si>
    <t>CEA - últ. 12 meses</t>
  </si>
  <si>
    <t>Goiás - últ. 12 meses</t>
  </si>
  <si>
    <t>Contratos  (MWh)</t>
  </si>
  <si>
    <t>Fonte hídrica</t>
  </si>
  <si>
    <t>Fonte térmica</t>
  </si>
  <si>
    <t>Cotas de garantia física</t>
  </si>
  <si>
    <t>Outras fontes</t>
  </si>
  <si>
    <t>Total - MWh</t>
  </si>
  <si>
    <t>Echoenergia (100%)</t>
  </si>
  <si>
    <t>Geração Parque (GWh)</t>
  </si>
  <si>
    <t>3T24</t>
  </si>
  <si>
    <t>4T24</t>
  </si>
  <si>
    <t>São Clemente</t>
  </si>
  <si>
    <t>Tianguá</t>
  </si>
  <si>
    <t>Echo 1</t>
  </si>
  <si>
    <t>Echo 2</t>
  </si>
  <si>
    <t>Echo 4</t>
  </si>
  <si>
    <t>Echo 5</t>
  </si>
  <si>
    <t>Echo 3</t>
  </si>
  <si>
    <t>Echo 6</t>
  </si>
  <si>
    <t>Echo 7</t>
  </si>
  <si>
    <t>Echo 8</t>
  </si>
  <si>
    <t>Echo 9</t>
  </si>
  <si>
    <t>Echo 10</t>
  </si>
  <si>
    <t>Ribeiro Gonçalves</t>
  </si>
  <si>
    <t>Barreiras 1</t>
  </si>
  <si>
    <t>Total</t>
  </si>
  <si>
    <t>Ventos (m/s)</t>
  </si>
  <si>
    <t/>
  </si>
  <si>
    <t>Disponibilidade (%)</t>
  </si>
  <si>
    <t>Curva de sazonalização (MWm)</t>
  </si>
  <si>
    <t>Realizado</t>
  </si>
  <si>
    <t>P90</t>
  </si>
  <si>
    <t>P50</t>
  </si>
  <si>
    <t>P10</t>
  </si>
  <si>
    <t>Média LTM</t>
  </si>
  <si>
    <t>GF Outorgada Sazonalizada (MWm)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</si>
  <si>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</si>
  <si>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</si>
  <si>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</si>
  <si>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</si>
  <si>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</si>
  <si>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</si>
  <si>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</si>
  <si>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</si>
  <si>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</si>
  <si>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</si>
  <si>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</si>
  <si>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</si>
  <si>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Ano</t>
  </si>
  <si>
    <t>Portfolio de Ativos</t>
  </si>
  <si>
    <t>Complexo</t>
  </si>
  <si>
    <t>Local</t>
  </si>
  <si>
    <t>Entrada em Operação</t>
  </si>
  <si>
    <t>Fim da Autorização</t>
  </si>
  <si>
    <t>Capac. Instalada (MW)</t>
  </si>
  <si>
    <t>Garantia Física (MWm)</t>
  </si>
  <si>
    <t>CEG ANEEL</t>
  </si>
  <si>
    <t>Fonte Eólica</t>
  </si>
  <si>
    <t>Em Operação</t>
  </si>
  <si>
    <t>EOL Ventos de São Clemente 1</t>
  </si>
  <si>
    <t>Caetés - PE</t>
  </si>
  <si>
    <t>EOL.CV.PE.031818-3.01</t>
  </si>
  <si>
    <t>EOL Ventos de São Clemente 2</t>
  </si>
  <si>
    <t>EOL.CV.PE.031819-1.01</t>
  </si>
  <si>
    <t>EOL Ventos de São Clemente 3</t>
  </si>
  <si>
    <t>EOL.CV.PE.031820-5.01</t>
  </si>
  <si>
    <t>EOL Ventos de São Clemente 4</t>
  </si>
  <si>
    <t>EOL.CV.PE.031821-3.01</t>
  </si>
  <si>
    <t>EOL Ventos de São Clemente 5</t>
  </si>
  <si>
    <t>Venturosa - PE</t>
  </si>
  <si>
    <t>EOL.CV.PE.031822-1.01</t>
  </si>
  <si>
    <t>EOL Ventos de São Clemente 6</t>
  </si>
  <si>
    <t>EOL.CV.PE.031823-0.01</t>
  </si>
  <si>
    <t>EOL Ventos de São Clemente 7</t>
  </si>
  <si>
    <t>Pedra e Caetés - PE</t>
  </si>
  <si>
    <t>EOL.CV.PE.031824-8.01</t>
  </si>
  <si>
    <t>EOL Ventos de São Clemente 8</t>
  </si>
  <si>
    <t>EOL.CV.PE.031825-6.01</t>
  </si>
  <si>
    <t>EOL Ventos do Morro do Chapéu</t>
  </si>
  <si>
    <t>Tianguá-CE</t>
  </si>
  <si>
    <t>EOL.CV.CE.030582-0.01</t>
  </si>
  <si>
    <t>EOL Ventos do Parazinho</t>
  </si>
  <si>
    <t>Ubajara -CE</t>
  </si>
  <si>
    <t>EOL.CV.CE.030596-0.01</t>
  </si>
  <si>
    <t>EOL Vento Formoso</t>
  </si>
  <si>
    <t>EOL.CV.CE.030595-2.01</t>
  </si>
  <si>
    <t>EOL Ventos de Tianguá Norte</t>
  </si>
  <si>
    <t>EOL.CV.CE.030584-7.01</t>
  </si>
  <si>
    <t>EOL Ventos de Tianguá</t>
  </si>
  <si>
    <t>EOL.CV.CE.030585-5.01</t>
  </si>
  <si>
    <t>EOL Pedra do Reino</t>
  </si>
  <si>
    <t>Sobradinho - BA</t>
  </si>
  <si>
    <t>EOL.CV.BA.030288-0.01</t>
  </si>
  <si>
    <t>EOL Pedra do Reino III</t>
  </si>
  <si>
    <t>EOL.CV.BA.030608-8.01</t>
  </si>
  <si>
    <t>EOL Cabeço Preto</t>
  </si>
  <si>
    <t>João Câmara - RN</t>
  </si>
  <si>
    <t>EOL.CV.RN.030333-0.01</t>
  </si>
  <si>
    <t>EOL Cabeço Preto IV</t>
  </si>
  <si>
    <t>EOL.CV.RN.030501-4.01</t>
  </si>
  <si>
    <t>EOL Serra de Santana I</t>
  </si>
  <si>
    <t>Lagoa Nova - RN</t>
  </si>
  <si>
    <t>EOL.CV.RN.030625-8.01</t>
  </si>
  <si>
    <t>EOL Serra de Santana II</t>
  </si>
  <si>
    <t>EOL.CV.RN.030609-6.01</t>
  </si>
  <si>
    <t>EOL Serra de Santana III</t>
  </si>
  <si>
    <t>Bodó - RN</t>
  </si>
  <si>
    <t>EOL.CV.RN.030615-0.01</t>
  </si>
  <si>
    <t>EOL Lanchinha</t>
  </si>
  <si>
    <t>Tenente Laurentino Cruz - RN</t>
  </si>
  <si>
    <t>EOL.CV.RN.030860-9.01</t>
  </si>
  <si>
    <t>EOL Pelado</t>
  </si>
  <si>
    <t>EOL.CV.RN.030856-0.01</t>
  </si>
  <si>
    <t>EOL Pedra Rajada</t>
  </si>
  <si>
    <t>Cerro Corá - RN</t>
  </si>
  <si>
    <t>EOL.CV.RN.032352-7.01</t>
  </si>
  <si>
    <t>EOL Pedra Rajada II</t>
  </si>
  <si>
    <t>EOL.CV.RN.032353-5.01</t>
  </si>
  <si>
    <t>EOL Cabeço Vermelho</t>
  </si>
  <si>
    <t>Jardim de Angicos - RN</t>
  </si>
  <si>
    <t>EOL.CV.RN.031651-2.01</t>
  </si>
  <si>
    <t>EOL Cabeço Vermelho II</t>
  </si>
  <si>
    <t>EOL.CV.RN.031665-2.01</t>
  </si>
  <si>
    <t>EOL Pedra do Reino IV</t>
  </si>
  <si>
    <t>EOL.CV.BA.034777-9.01</t>
  </si>
  <si>
    <t>EOL Boa Esperança I</t>
  </si>
  <si>
    <t>EOL.CV.RN.033666-1.01</t>
  </si>
  <si>
    <t>EOL Vila Sergipe I</t>
  </si>
  <si>
    <t>Serra do Mel - RN</t>
  </si>
  <si>
    <t>EOL.CV.RN.038142-0.01</t>
  </si>
  <si>
    <t>EOL Vila Rio Grande do Norte I</t>
  </si>
  <si>
    <t>EOL.CV.RN.038141-1.01</t>
  </si>
  <si>
    <t>EOL Vila Rio Grande do Norte II</t>
  </si>
  <si>
    <t>EOL.CV.RN.038140-3.01</t>
  </si>
  <si>
    <t>EOL Vila Piauí III</t>
  </si>
  <si>
    <t>EOL.CV.RN.036979-9.01</t>
  </si>
  <si>
    <t>EOL Vila Sergipe II</t>
  </si>
  <si>
    <t>EOL.CV.RN.038143-8.01</t>
  </si>
  <si>
    <t>EOL Vila Sergipe III</t>
  </si>
  <si>
    <t>EOL.CV.RN.038144-6.01</t>
  </si>
  <si>
    <t>EOL Vila Piauí I</t>
  </si>
  <si>
    <t>EOL.CV.RN.036975-6.01</t>
  </si>
  <si>
    <t>EOL Vila Piauí II</t>
  </si>
  <si>
    <t>EOL.CV.RN.036973-0.01</t>
  </si>
  <si>
    <t>EOL Vila Alagoas II</t>
  </si>
  <si>
    <t>EOL.CV.RN.036977-2.01</t>
  </si>
  <si>
    <t>EOL Vila Espírito Santo I (antiga EOL Potiguar B 21)</t>
  </si>
  <si>
    <t>EOL.CV.RN.040594-9.01</t>
  </si>
  <si>
    <t>EOL Vila Espírito Santo II (antiga EOL Potiguar B 22)</t>
  </si>
  <si>
    <t>EOL.CV.RN.040595-7.01</t>
  </si>
  <si>
    <t>EOL Vila Espírito Santo III (antiga EOL Potiguar B 23)</t>
  </si>
  <si>
    <t>EOL.CV.RN.040596-5.01</t>
  </si>
  <si>
    <t>EOL Vila Espírito Santo IV (antiga EOL Potiguar B 24)</t>
  </si>
  <si>
    <t>EOL.CV.RN.040597-3.01</t>
  </si>
  <si>
    <t>EOL Vila Espírito Santo V (antiga EOL Potiguar B 25)</t>
  </si>
  <si>
    <t>EOL.CV.RN.040598-1.01</t>
  </si>
  <si>
    <t>Fonte Solar</t>
  </si>
  <si>
    <t>Em operação</t>
  </si>
  <si>
    <t>UFV Sertão Solar Barreiras XV</t>
  </si>
  <si>
    <t>Barreiras - BA</t>
  </si>
  <si>
    <t>UFV.RS.BA.044511-8.01</t>
  </si>
  <si>
    <t>UFV Ribeiro Gonçalves I</t>
  </si>
  <si>
    <t>UFV Sertão Solar Barreiras XVI</t>
  </si>
  <si>
    <t>UFV.RS.BA.044512-6.01</t>
  </si>
  <si>
    <t>UFV Ribeiro Gonçalves II</t>
  </si>
  <si>
    <t>UFV Sertão Solar Barreiras XVII</t>
  </si>
  <si>
    <t>UFV.RS.BA.044513-4.01</t>
  </si>
  <si>
    <t>UFV Ribeiro Gonçalves III</t>
  </si>
  <si>
    <t>UFV Sertão Solar Barreiras XVIII</t>
  </si>
  <si>
    <t>UFV.RS.BA.044514-2.01</t>
  </si>
  <si>
    <t>UFV Ribeiro Gonçalves IV</t>
  </si>
  <si>
    <t>UFV Sertão Solar Barreiras XIX</t>
  </si>
  <si>
    <t>UFV.RS.BA.044510-0.01</t>
  </si>
  <si>
    <t>UFV Ribeiro Gonçalves VI</t>
  </si>
  <si>
    <t>UFV Sertão Solar Barreiras XX</t>
  </si>
  <si>
    <t>UFV.RS.BA.044515-0.01</t>
  </si>
  <si>
    <t>UFV Ribeiro Gonçalves VII</t>
  </si>
  <si>
    <t>UFV Sertão Solar Barreiras XXI</t>
  </si>
  <si>
    <t>UFV.RS.BA.049771-1.01</t>
  </si>
  <si>
    <t>UFV Ribeiro Gonçalves VIII</t>
  </si>
  <si>
    <t>Ribeiro Gonçalves - PI</t>
  </si>
  <si>
    <t>UFV.RS.PI.041904-4.01</t>
  </si>
  <si>
    <t>UFV.RS.PI.041905-2.01</t>
  </si>
  <si>
    <t>UFV.RS.PI.041906-0.01</t>
  </si>
  <si>
    <t>UFV.RS.PI.041907-9.01</t>
  </si>
  <si>
    <t>UFV.RS.PI.041909-5.01</t>
  </si>
  <si>
    <t>UFV.RS.PI.044295-0.01</t>
  </si>
  <si>
    <t>UFV.RS.PI.044296-8.01</t>
  </si>
  <si>
    <t>Balanço de Energia</t>
  </si>
  <si>
    <t>Garantia Física</t>
  </si>
  <si>
    <t>São Clemente I</t>
  </si>
  <si>
    <t>São Clemente II</t>
  </si>
  <si>
    <t>São Clemente III</t>
  </si>
  <si>
    <t>São Clemente IV</t>
  </si>
  <si>
    <t>São Clemente V</t>
  </si>
  <si>
    <t>São Clemente VI</t>
  </si>
  <si>
    <t>São Clemente VII</t>
  </si>
  <si>
    <t>São Clemente VIII</t>
  </si>
  <si>
    <t>Morro do Chapéu</t>
  </si>
  <si>
    <t>Parazinho</t>
  </si>
  <si>
    <t>Formoso</t>
  </si>
  <si>
    <t>Tianguá Norte</t>
  </si>
  <si>
    <t>Cabeço Preto</t>
  </si>
  <si>
    <t>Cabeço Preto IV</t>
  </si>
  <si>
    <t>Pedra do Reino</t>
  </si>
  <si>
    <t>Pedra do Reino III</t>
  </si>
  <si>
    <t>Serra de Santana I</t>
  </si>
  <si>
    <t>Serra de Santana II</t>
  </si>
  <si>
    <t>Serra de Santana III</t>
  </si>
  <si>
    <t>Pelado</t>
  </si>
  <si>
    <t>Lanchinha</t>
  </si>
  <si>
    <t>Vila Sergipe I</t>
  </si>
  <si>
    <t>Vila Rio Grande do Norte I</t>
  </si>
  <si>
    <t>Vila Rio Grande do Norte II</t>
  </si>
  <si>
    <t>Cabeço Vermelho</t>
  </si>
  <si>
    <t>Cabeço Vermelho II</t>
  </si>
  <si>
    <t>Pedra Rajada</t>
  </si>
  <si>
    <t>Pedra Rajada II</t>
  </si>
  <si>
    <t>Pedra do Reino IV</t>
  </si>
  <si>
    <t>Boa Esperança I</t>
  </si>
  <si>
    <t>Vila Piauí III</t>
  </si>
  <si>
    <t>Vila Sergipe II</t>
  </si>
  <si>
    <t>Vila Sergipe III</t>
  </si>
  <si>
    <t>Vila Piauí I</t>
  </si>
  <si>
    <t>Vila Piauí II</t>
  </si>
  <si>
    <t>Vila Alagoas II</t>
  </si>
  <si>
    <t>Vila Espiríto Santo I</t>
  </si>
  <si>
    <t>Vila Espiríto Santo II</t>
  </si>
  <si>
    <t>Vila Espiríto Santo III</t>
  </si>
  <si>
    <t>Vila Espiríto Santo IV</t>
  </si>
  <si>
    <t>Vila Espiríto Santo V</t>
  </si>
  <si>
    <t>(Em MW médios)</t>
  </si>
  <si>
    <t>Data de Referência</t>
  </si>
  <si>
    <t>Preço Bruto Corrigido (R$/MWh)</t>
  </si>
  <si>
    <t>Preço Líquido de PIS/COFINS/P&amp;D (R$/Mwh)</t>
  </si>
  <si>
    <t>Venda Leilões Governo*</t>
  </si>
  <si>
    <t>-</t>
  </si>
  <si>
    <t>2010 - 02º LFA - 2013-20</t>
  </si>
  <si>
    <t>2013 - 18º LEN - 2018-20</t>
  </si>
  <si>
    <t>2014 - 19º LEN - 2017-20</t>
  </si>
  <si>
    <t>2014 - 20º LEN - 2019-20</t>
  </si>
  <si>
    <t>2009 - 02º LER - 2012-20</t>
  </si>
  <si>
    <t>2010 - 03º LER - 2013-20</t>
  </si>
  <si>
    <t>2011 - 04º LER - 2014-20</t>
  </si>
  <si>
    <t>2014 - 06º LER - 2017-20</t>
  </si>
  <si>
    <t>2015 - 08º LER - 2018-20</t>
  </si>
  <si>
    <t>Vendas Bilaterais</t>
  </si>
  <si>
    <t>Vendas Totais</t>
  </si>
  <si>
    <t>Saldo de Energia</t>
  </si>
  <si>
    <t>Preço médio de venda (R$/MWh)</t>
  </si>
  <si>
    <t>Volume Contratado (%)</t>
  </si>
  <si>
    <t>*AAA = tipo do leilão (LFA -&gt; Fontes Alternativas; LEN -&gt; Energia Nova; LER -&gt; Energia de Reserva)</t>
  </si>
  <si>
    <t>Identificação Parques ONS (SINtegre)</t>
  </si>
  <si>
    <t>Nome do Complexo</t>
  </si>
  <si>
    <t>EOL BAIXA VERDE</t>
  </si>
  <si>
    <t>EOL MOXOTÓ</t>
  </si>
  <si>
    <t>CABEÇO VERMELHO</t>
  </si>
  <si>
    <t>Cabeço Preto II</t>
  </si>
  <si>
    <t>CABEÇO VERMELHO II</t>
  </si>
  <si>
    <t>EOL BOA ESPERANÇA I</t>
  </si>
  <si>
    <t>EOL PEDRA DO REINO</t>
  </si>
  <si>
    <t>EOL PEDRA REINO IV</t>
  </si>
  <si>
    <t>EOL SOBRADINHO</t>
  </si>
  <si>
    <t>EOL MORRO DO CHAPÉU</t>
  </si>
  <si>
    <t>Santa Rosália</t>
  </si>
  <si>
    <t>EOL VENTO FORMOSO</t>
  </si>
  <si>
    <t>N V DE TIANGUÁ NORTE</t>
  </si>
  <si>
    <t>N VENTOS PARAZINHO</t>
  </si>
  <si>
    <t>VENTOS DE TIANGUÁ</t>
  </si>
  <si>
    <t>VENTOS S CLEMENTE 1</t>
  </si>
  <si>
    <t>VENTOS S CLEMENTE 2</t>
  </si>
  <si>
    <t>VENTOS S CLEMENTE 3</t>
  </si>
  <si>
    <t>VENTOS S CLEMENTE 4</t>
  </si>
  <si>
    <t>VENTOS S CLEMENTE 5</t>
  </si>
  <si>
    <t>VENTOS S CLEMENTE 6</t>
  </si>
  <si>
    <t>VENTOS S CLEMENTE 7</t>
  </si>
  <si>
    <t>VENTOS S CLEMENTE 8</t>
  </si>
  <si>
    <t>GESTAMP LAGOA NOVA</t>
  </si>
  <si>
    <t>Serra de Santana I&amp;II</t>
  </si>
  <si>
    <t>GESTAMP SANTANA</t>
  </si>
  <si>
    <t>LANCHINHA</t>
  </si>
  <si>
    <t>EÓLICA SERIDO</t>
  </si>
  <si>
    <t>GESTAMP P RAJADA</t>
  </si>
  <si>
    <t>GESTAMP P RAJADA II</t>
  </si>
  <si>
    <t>PARAÍSO</t>
  </si>
  <si>
    <t>VILA PIAUÍ 1</t>
  </si>
  <si>
    <t>Serra do Mel IB</t>
  </si>
  <si>
    <t>VILA PIAUÍ 2</t>
  </si>
  <si>
    <t>VILA PIAUÍ 3</t>
  </si>
  <si>
    <t>VILA RGNORTE 1</t>
  </si>
  <si>
    <t>VILA RGNORTE 2</t>
  </si>
  <si>
    <t>VILA SERGIPE 1</t>
  </si>
  <si>
    <t>VILA SERGIPE 2</t>
  </si>
  <si>
    <t>VILA SERGIPE 3</t>
  </si>
  <si>
    <t>ESPÍRITO SANTO I</t>
  </si>
  <si>
    <t>Serra do Mel IIB</t>
  </si>
  <si>
    <t>ESPÍRITO SANTO II</t>
  </si>
  <si>
    <t>ESPÍRITO SANTO III</t>
  </si>
  <si>
    <t>ESPÍRITO SANTO IV</t>
  </si>
  <si>
    <t>ESPÍRITO SANTO V</t>
  </si>
  <si>
    <t>VILA ALAGOAS II</t>
  </si>
  <si>
    <t>CSA (100%)</t>
  </si>
  <si>
    <t>Indicadores Operacionais - Água</t>
  </si>
  <si>
    <t>Ligações ativas (mil)</t>
  </si>
  <si>
    <t>Economias ativas (mil)</t>
  </si>
  <si>
    <t>Relação Ecnomias/Ligações</t>
  </si>
  <si>
    <r>
      <t>Volume Faturado (mil m</t>
    </r>
    <r>
      <rPr>
        <vertAlign val="superscript"/>
        <sz val="9"/>
        <rFont val="Calibri"/>
        <family val="2"/>
        <scheme val="minor"/>
      </rPr>
      <t>3</t>
    </r>
    <r>
      <rPr>
        <sz val="9"/>
        <rFont val="Calibri"/>
        <family val="2"/>
        <scheme val="minor"/>
      </rPr>
      <t>)</t>
    </r>
  </si>
  <si>
    <t>Índice de Cobertura (%)</t>
  </si>
  <si>
    <t>Índice de Perda da Distribuição (%)</t>
  </si>
  <si>
    <t>Extensão de rede (km)</t>
  </si>
  <si>
    <t>Indicadores Operacionais - Esgoto</t>
  </si>
  <si>
    <t>Índice de cobertura (%)</t>
  </si>
  <si>
    <t>Indicadores Operacionais - Consolidado CSA</t>
  </si>
  <si>
    <t>Hidrômetros instalados (mil)</t>
  </si>
  <si>
    <t>DRE ITR</t>
  </si>
  <si>
    <t>Transmissão</t>
  </si>
  <si>
    <t>Serviços e Outros</t>
  </si>
  <si>
    <t>DRE ITR - Equatorial Maranhão</t>
  </si>
  <si>
    <t>3M22</t>
  </si>
  <si>
    <t>6M22</t>
  </si>
  <si>
    <t>9M22</t>
  </si>
  <si>
    <t>3M23</t>
  </si>
  <si>
    <t>6M23</t>
  </si>
  <si>
    <t>9M23</t>
  </si>
  <si>
    <t>3M24</t>
  </si>
  <si>
    <t>6M24</t>
  </si>
  <si>
    <t>9M24</t>
  </si>
  <si>
    <t>3M25</t>
  </si>
  <si>
    <t>6M25</t>
  </si>
  <si>
    <t>9M25</t>
  </si>
  <si>
    <t>Receita operacional</t>
  </si>
  <si>
    <t>Fornecimento De Energia Elétrica</t>
  </si>
  <si>
    <t>Valores  Parcela A e Outros Itens Financeiros</t>
  </si>
  <si>
    <t>Suprimento de energia elétrica</t>
  </si>
  <si>
    <t>Geração de energia elétrica</t>
  </si>
  <si>
    <t>Receita de construção</t>
  </si>
  <si>
    <t>Operações com Transmissão de Energia Elétrica</t>
  </si>
  <si>
    <t>Receita de operação e manutenção</t>
  </si>
  <si>
    <t>Abastecimento de água e serviços de esgoto</t>
  </si>
  <si>
    <t>Outras receitas</t>
  </si>
  <si>
    <t>Receita Pela Disponibilidade - Uso Da Rede</t>
  </si>
  <si>
    <t>Atualização Ativo Financeiro</t>
  </si>
  <si>
    <t>Atualização Ativo de Contratos</t>
  </si>
  <si>
    <t>Atualização Ativo de Contrato em serviço</t>
  </si>
  <si>
    <t>(-) Pis e Cofins - diferido s/ ativo de contrato</t>
  </si>
  <si>
    <t>Ativo de contrato - Ganho de realização</t>
  </si>
  <si>
    <t>Receita de ajuste de realização futura de contratos de energia elétrica</t>
  </si>
  <si>
    <t>(-) Deduções da receita</t>
  </si>
  <si>
    <t>(-) ICMS</t>
  </si>
  <si>
    <t>(-) Pis e Cofins - corrente</t>
  </si>
  <si>
    <t>(-) Pis e Cofins - diferido</t>
  </si>
  <si>
    <t>(-) Encargos Do Consumidor - RGR</t>
  </si>
  <si>
    <t>(-) Encargos Do Consumidor - P&amp;D e PEE</t>
  </si>
  <si>
    <t>(-) Encargos Do Consumidor - Taxa de fiscalização e outros</t>
  </si>
  <si>
    <t>(-) Encargos Do Consumidor - CDE</t>
  </si>
  <si>
    <t>(-) ISS</t>
  </si>
  <si>
    <t>Receita operacional líquida</t>
  </si>
  <si>
    <t>Custos de energia elétrica, construção e operação</t>
  </si>
  <si>
    <t>Energia elétrica comprada para revenda e custos de transmissão</t>
  </si>
  <si>
    <t xml:space="preserve">Custo de Construção </t>
  </si>
  <si>
    <t>Variações das margens do ativo de contrato</t>
  </si>
  <si>
    <t>PIS/COFINS diferidos s/ variações da margem</t>
  </si>
  <si>
    <t>Ativo de contrato - Perda de realização</t>
  </si>
  <si>
    <t>Custo de operação</t>
  </si>
  <si>
    <t>Custo De Operação - Pessoal</t>
  </si>
  <si>
    <t>Custo De Operação - Material</t>
  </si>
  <si>
    <t>Custo De Operação - Serv. Terceiros</t>
  </si>
  <si>
    <t>Custo De Operação - Deprec. Amortização</t>
  </si>
  <si>
    <t>Custo De Operação - Subvenção CCC</t>
  </si>
  <si>
    <t>Custo De Operação - Arrendamentos E Alugúeis</t>
  </si>
  <si>
    <t>Custo De Operação - Outros</t>
  </si>
  <si>
    <t>Lucro bruto</t>
  </si>
  <si>
    <t>Despesas operacionais</t>
  </si>
  <si>
    <t>Despesas com vendas</t>
  </si>
  <si>
    <t>Despesas Com Vendas - Pessoal</t>
  </si>
  <si>
    <t>Despesas Com Vendas - Material</t>
  </si>
  <si>
    <t>Despesas Com Vendas - Serviços De Terceiros</t>
  </si>
  <si>
    <t>Despesas Com Vendas - Arrendamentos E Aluguéis</t>
  </si>
  <si>
    <t>Despesas Com Vendas - Outros</t>
  </si>
  <si>
    <t xml:space="preserve">Perdas esperada por redução ao valor recuperável </t>
  </si>
  <si>
    <t>Despesas gerais, administrativas e amortização</t>
  </si>
  <si>
    <t>Despesas Administrativas - Pessoal</t>
  </si>
  <si>
    <t>Despesas Administrativas - Material</t>
  </si>
  <si>
    <t>Despesas Administrativas - Serviço De Terceiro</t>
  </si>
  <si>
    <t>Despesas Administrativas - Arrendamento E Aluguéis</t>
  </si>
  <si>
    <t>Despesas Administrativas - Outros</t>
  </si>
  <si>
    <t>Despesas Administrativas - Prov/Rev De Contingência</t>
  </si>
  <si>
    <t>Despesas Administrativas - Deprec. Amortização</t>
  </si>
  <si>
    <t>Amortização do direito de concessão</t>
  </si>
  <si>
    <t>Resultado da equivalência patrimonial</t>
  </si>
  <si>
    <t>Outras despesas operacionais, líquidas</t>
  </si>
  <si>
    <t>Outras despesas operacionais</t>
  </si>
  <si>
    <t>Outras despesas não recorrentes</t>
  </si>
  <si>
    <t>Baixa de recebíveis incobráveis</t>
  </si>
  <si>
    <t>EBITDA</t>
  </si>
  <si>
    <t>Resultado antes do RF líquido, IR e CS</t>
  </si>
  <si>
    <t>Resultado financeiro</t>
  </si>
  <si>
    <t>Receitas financeiras</t>
  </si>
  <si>
    <t>RF - Rendas Financeiras</t>
  </si>
  <si>
    <t>(-) RF - Pis e Cofins</t>
  </si>
  <si>
    <t>RF - Receita Financeiras Ativo de Contrato</t>
  </si>
  <si>
    <t>RF - Acréscimo Moratório Sobre Energia</t>
  </si>
  <si>
    <t>RF - Atualização VNR - Receita</t>
  </si>
  <si>
    <t>RF - P&amp;D e PEE</t>
  </si>
  <si>
    <t>RF - Outras receitas financeiras</t>
  </si>
  <si>
    <t>RF - Variação Monetária E Cambial Ativa</t>
  </si>
  <si>
    <t>Despesas financeiras</t>
  </si>
  <si>
    <t>RF - Encargos De Dívidas</t>
  </si>
  <si>
    <t>RF - Encargos De RJ</t>
  </si>
  <si>
    <t>RF - Variação Monetária E Cambial Passiva</t>
  </si>
  <si>
    <t>RF - Partes relacionadas</t>
  </si>
  <si>
    <t>RF - Valores a receber/devolver parcela A</t>
  </si>
  <si>
    <t>RF - Juros, multas s/ operação de energia</t>
  </si>
  <si>
    <t>RF - Atualização VNR - Despesa</t>
  </si>
  <si>
    <t xml:space="preserve">RF - Despesa P&amp;D e PEE </t>
  </si>
  <si>
    <t>RF - Outras despesas financeiras</t>
  </si>
  <si>
    <t>Resultado antes do imposto de renda e da contribuição social</t>
  </si>
  <si>
    <t>Impostos sobre o lucro</t>
  </si>
  <si>
    <t>Contribuição social</t>
  </si>
  <si>
    <t>Imposto de renda</t>
  </si>
  <si>
    <t>Incentivos fiscais</t>
  </si>
  <si>
    <t>IRPJ e CSLL diferidos</t>
  </si>
  <si>
    <t>Lucro líquido do exercício</t>
  </si>
  <si>
    <t>Resultado atribuível aos:</t>
  </si>
  <si>
    <t>Atribuível aos acionistas da controladora</t>
  </si>
  <si>
    <t>Atribuível aos acionistas não controladores</t>
  </si>
  <si>
    <t>Controlador</t>
  </si>
  <si>
    <t>Minoritários</t>
  </si>
  <si>
    <t>DRE ITR - Equatorial Pará</t>
  </si>
  <si>
    <t>DRE ITR - Equatorial Piauí</t>
  </si>
  <si>
    <t>DRE ITR - Equatorial Alagoas</t>
  </si>
  <si>
    <t>DRE ITR - CEEE-D</t>
  </si>
  <si>
    <t>DRE ITR - CEA</t>
  </si>
  <si>
    <t>Empresa não consolidada no período</t>
  </si>
  <si>
    <t>DRE ITR - Equatorial Goiás</t>
  </si>
  <si>
    <t>Considera apenas o mês de Março de 22</t>
  </si>
  <si>
    <t>DRE ITR - Echoenergia</t>
  </si>
  <si>
    <t>3M22*</t>
  </si>
  <si>
    <t>Empresa não existia no período</t>
  </si>
  <si>
    <t>DRE ITR - Echo Crescimento</t>
  </si>
  <si>
    <t>DRE ITR - SPEs</t>
  </si>
  <si>
    <t>DRE ITR - EQTT</t>
  </si>
  <si>
    <t>DRE ITR - INTESA</t>
  </si>
  <si>
    <t>DRE ITR - CSA</t>
  </si>
  <si>
    <t>DRE ITR - Equatorial Serviços</t>
  </si>
  <si>
    <t>DRE ITR - Equatorial Energia - Holding</t>
  </si>
  <si>
    <t>DRE ITR - Equatorial Energia - Consolidado</t>
  </si>
  <si>
    <t>DRE Resumida</t>
  </si>
  <si>
    <t>DRE Individual</t>
  </si>
  <si>
    <t>Maranhão (100%)</t>
  </si>
  <si>
    <t>Demonstração do resultado (R$ mil) - IFRS</t>
  </si>
  <si>
    <t>Fornecimento de energia elétrica</t>
  </si>
  <si>
    <t>Deduções da receita operacional</t>
  </si>
  <si>
    <t>Custo do serviço de energia elétrica</t>
  </si>
  <si>
    <t>Energia elétrica comprada para revenda</t>
  </si>
  <si>
    <t>Encargo uso do sistema de transmissão e distribuição</t>
  </si>
  <si>
    <t>Custos de construção</t>
  </si>
  <si>
    <t>Outras despesas não-gerenciáveis</t>
  </si>
  <si>
    <t>Margem Bruta Operacional</t>
  </si>
  <si>
    <t>Custo/despesa operacional</t>
  </si>
  <si>
    <t>Pessoal</t>
  </si>
  <si>
    <t>Material</t>
  </si>
  <si>
    <t>Serviço de terceiros</t>
  </si>
  <si>
    <t>Provisões</t>
  </si>
  <si>
    <t>Outras receitas/despesas operacionais</t>
  </si>
  <si>
    <t>Depreciação e amortização</t>
  </si>
  <si>
    <t>Resultado do serviço</t>
  </si>
  <si>
    <t>Resultado antes do imposto de renda</t>
  </si>
  <si>
    <t>Impostos diferidos</t>
  </si>
  <si>
    <t>Resultado do exercício</t>
  </si>
  <si>
    <t>Pará (100%)</t>
  </si>
  <si>
    <t>Contratação de energia e potência - SI</t>
  </si>
  <si>
    <t>Subvenção CCC</t>
  </si>
  <si>
    <t>Matéria prima p/ produção de energia eletrica</t>
  </si>
  <si>
    <t xml:space="preserve">Resultado operacional </t>
  </si>
  <si>
    <t>Piauí (100%)</t>
  </si>
  <si>
    <t>Alagoas (100%)</t>
  </si>
  <si>
    <t>CEEE-D (100%)</t>
  </si>
  <si>
    <t>CEA (100%)</t>
  </si>
  <si>
    <t>Goiás (100%)</t>
  </si>
  <si>
    <t>INTESA Societário</t>
  </si>
  <si>
    <t>Transmissão de energia</t>
  </si>
  <si>
    <t>Receita de Operação e Manutenção</t>
  </si>
  <si>
    <t>Receita Financeira - Atualização TIR</t>
  </si>
  <si>
    <t>Receita Ativo de Contrato</t>
  </si>
  <si>
    <t>Ativo de contrato - Ganho/Perda de realização</t>
  </si>
  <si>
    <t>Atualização ativo de contrato em serviço</t>
  </si>
  <si>
    <t>Variação da margem do ativo de contrato</t>
  </si>
  <si>
    <t>Custo de construção</t>
  </si>
  <si>
    <t>Imposto de renda e contribuição social</t>
  </si>
  <si>
    <t>Subvenção do imposto de renda</t>
  </si>
  <si>
    <t xml:space="preserve"> </t>
  </si>
  <si>
    <t>INTESA Regulatório</t>
  </si>
  <si>
    <t>Demonstração do resultado (R$ mil) - Contabilidade Regulatória</t>
  </si>
  <si>
    <t>Equatorial Transmissão Societário Consolidado</t>
  </si>
  <si>
    <t xml:space="preserve">Atualização ativo de contrato em serviço </t>
  </si>
  <si>
    <t>Receita ativo de contrato</t>
  </si>
  <si>
    <t>Equatorial Transmissão Regulatório Consolidado</t>
  </si>
  <si>
    <t>Demonstração do resultado (R$ mil) - Regulatório</t>
  </si>
  <si>
    <t>Consolidação dos dados a partir de Março/2022</t>
  </si>
  <si>
    <t>Receita Operacional</t>
  </si>
  <si>
    <t>Deduções da receita</t>
  </si>
  <si>
    <t>PIS</t>
  </si>
  <si>
    <t>COFINS</t>
  </si>
  <si>
    <t>ICMS</t>
  </si>
  <si>
    <t>Custos operacionais</t>
  </si>
  <si>
    <t>Engenharia e gestão de processos O&amp;M</t>
  </si>
  <si>
    <t>Encargos de conexão e transmissão</t>
  </si>
  <si>
    <t xml:space="preserve">Compra de energia </t>
  </si>
  <si>
    <t>Gastos com pessoal</t>
  </si>
  <si>
    <t>Materiais</t>
  </si>
  <si>
    <t>Serviços de terceiros</t>
  </si>
  <si>
    <t>Despesas gerais e administrativas</t>
  </si>
  <si>
    <t>Remuneração baseada em ações</t>
  </si>
  <si>
    <t>Outras receitas (despesas) operacionais</t>
  </si>
  <si>
    <t>Equivalência Patrimonial</t>
  </si>
  <si>
    <t>Depreciação e Amortização</t>
  </si>
  <si>
    <t>IR/CS diferido</t>
  </si>
  <si>
    <t>IR/CS corrente</t>
  </si>
  <si>
    <t>Lucro (prejuízo) líquido</t>
  </si>
  <si>
    <t>Receita abastecimento de água e serviço de esgoto</t>
  </si>
  <si>
    <t>PECLD</t>
  </si>
  <si>
    <t>Amortização de ágio</t>
  </si>
  <si>
    <t>EQUATORIAL SERVIÇOS CONSOLIDADO</t>
  </si>
  <si>
    <t>Demonstração do resultado por empresa (R$ mil)</t>
  </si>
  <si>
    <t>Resultado Financeiro</t>
  </si>
  <si>
    <t>Equatorial Energia - Controladora</t>
  </si>
  <si>
    <t>Equivalencia patrimonial</t>
  </si>
  <si>
    <t>Equatorial Energia - Consolidado</t>
  </si>
  <si>
    <t>Deduções à receita operacional</t>
  </si>
  <si>
    <t>Participações minoritárias</t>
  </si>
  <si>
    <t>Lucro do exercício atribuído aos acionistas da controladora</t>
  </si>
  <si>
    <t>Resultados 2T24 (Tabela 2T23 abaixo)</t>
  </si>
  <si>
    <t>Echoenergia</t>
  </si>
  <si>
    <t>Intesa</t>
  </si>
  <si>
    <t>Serviços</t>
  </si>
  <si>
    <t>CSA</t>
  </si>
  <si>
    <t>Holding</t>
  </si>
  <si>
    <t>PPA</t>
  </si>
  <si>
    <t>Participações e EQTD</t>
  </si>
  <si>
    <t>Eliminações</t>
  </si>
  <si>
    <t>Consolidado</t>
  </si>
  <si>
    <t xml:space="preserve">Receita Operacional </t>
  </si>
  <si>
    <t>Sistemas Isolados e Subv. CCC</t>
  </si>
  <si>
    <t>Resultados 2T23</t>
  </si>
  <si>
    <t>PMSO Ajustado</t>
  </si>
  <si>
    <t>Ebitda Ajustado</t>
  </si>
  <si>
    <t>Resultado Financeiro Ajustado</t>
  </si>
  <si>
    <t>Lucro Ajustado</t>
  </si>
  <si>
    <t>Soma Distribuidoras</t>
  </si>
  <si>
    <t>Consolidado Grupo</t>
  </si>
  <si>
    <t>PMSO</t>
  </si>
  <si>
    <t>Ebitda</t>
  </si>
  <si>
    <t>BPs</t>
  </si>
  <si>
    <t>Ativo (R$ MM)</t>
  </si>
  <si>
    <t>Circulante</t>
  </si>
  <si>
    <t>Caixa e equivalentes de caixa</t>
  </si>
  <si>
    <t>Aplicações financeiras</t>
  </si>
  <si>
    <t>Contas a receber de clientes</t>
  </si>
  <si>
    <t>Baixa renda</t>
  </si>
  <si>
    <t>Contas a receber - bandeiras tarifárias</t>
  </si>
  <si>
    <t>Serviços pedidos</t>
  </si>
  <si>
    <t>Partes Relacionadas</t>
  </si>
  <si>
    <t>Aquisição de combustível - conta CCC</t>
  </si>
  <si>
    <t>Depósitos vinculados</t>
  </si>
  <si>
    <t>Valores a receber da parcela A 
e outros itens financeiros</t>
  </si>
  <si>
    <t>Instrumentos financeiros derivativos</t>
  </si>
  <si>
    <t>Almoxarifado</t>
  </si>
  <si>
    <t>Impostos e contribuições a recuperar</t>
  </si>
  <si>
    <t>Impostos e contribuições sobre o lucro a recuperar</t>
  </si>
  <si>
    <t>Outros créditos a receber</t>
  </si>
  <si>
    <t>Não circulante</t>
  </si>
  <si>
    <t xml:space="preserve">Benefício pós-emprego </t>
  </si>
  <si>
    <t>Ativo financeiro da concessão</t>
  </si>
  <si>
    <t>Investimentos</t>
  </si>
  <si>
    <t>Adiantamento a fornecedor</t>
  </si>
  <si>
    <t>Intangível</t>
  </si>
  <si>
    <t>Ativos de contrato</t>
  </si>
  <si>
    <t>Direito de Uso</t>
  </si>
  <si>
    <t>Total do ativo</t>
  </si>
  <si>
    <t>Passivo e patrimônio líquido   (R$ MM)</t>
  </si>
  <si>
    <t>Fornecedores</t>
  </si>
  <si>
    <t>Obrigações e encargos sobre folha de pagamento</t>
  </si>
  <si>
    <t>Empréstimos e financiamentos</t>
  </si>
  <si>
    <t>Debêntures</t>
  </si>
  <si>
    <t>Valores a devolver de parcela A e outros itens financeiros </t>
  </si>
  <si>
    <t>Impostos e contribuições a recolher</t>
  </si>
  <si>
    <t>Impostos e contribuições sobre o lucro a recolher</t>
  </si>
  <si>
    <t>Dividendos a pagar</t>
  </si>
  <si>
    <t>Encargos setoriais</t>
  </si>
  <si>
    <t>Contribuição de iluminação pública</t>
  </si>
  <si>
    <t>Pesquisa e desenvolvimento de eficiência energética</t>
  </si>
  <si>
    <t>Participação nos lucros</t>
  </si>
  <si>
    <t>Provisão para riscos cíveis, fiscais, trabalhistas e regulatórios</t>
  </si>
  <si>
    <t>PIS/COFINS a serem restituídos a consumidores</t>
  </si>
  <si>
    <t>Outras contas a pagar</t>
  </si>
  <si>
    <t>Passivo de arrendamento</t>
  </si>
  <si>
    <t>Imposto de renda e contribuição social diferidos</t>
  </si>
  <si>
    <t>Participação minoritária</t>
  </si>
  <si>
    <t>Patrimônio líquido</t>
  </si>
  <si>
    <t>Capital social</t>
  </si>
  <si>
    <t>Reserva de capital</t>
  </si>
  <si>
    <t>Reservas de Lucros</t>
  </si>
  <si>
    <t>Ajuste de avaliação patrimonial</t>
  </si>
  <si>
    <t>Lucros acumulados</t>
  </si>
  <si>
    <t xml:space="preserve">Total do passivo e patrimônio líquido </t>
  </si>
  <si>
    <t>Aplicações Financeiras</t>
  </si>
  <si>
    <t>(-) Provisão para créditos de liquidação duvidosa</t>
  </si>
  <si>
    <t>Depósitos Judiciais</t>
  </si>
  <si>
    <t>Valores a receber de parcela A e outros itens financeiros</t>
  </si>
  <si>
    <t>Partes relacionadas - mútuos</t>
  </si>
  <si>
    <t>Outros Créditos a receber</t>
  </si>
  <si>
    <t>Recuperação de custo de energia e encargos</t>
  </si>
  <si>
    <t>Realizável a longo prazo</t>
  </si>
  <si>
    <t>Sub-rogação da CCC - valores aplicados</t>
  </si>
  <si>
    <t>Imposto de renda e contribuições social diferidos</t>
  </si>
  <si>
    <t>Benefício pós-emprego</t>
  </si>
  <si>
    <t>Permanente</t>
  </si>
  <si>
    <t>Direito de uso</t>
  </si>
  <si>
    <t>Passivo e patrimônio líquido</t>
  </si>
  <si>
    <t>Empréstimos e Financiamentos</t>
  </si>
  <si>
    <t>Impostos sobre lucro a recolher</t>
  </si>
  <si>
    <t>Pesquisa e desenvolvimento e eficiência energética</t>
  </si>
  <si>
    <t xml:space="preserve">Participação nos lucros </t>
  </si>
  <si>
    <t>Partes relacionadas</t>
  </si>
  <si>
    <t>Valores a pagar da recuperação judicial</t>
  </si>
  <si>
    <t>Provisões para riscos cíveis, fiscais, trabalhistas e regulatórios</t>
  </si>
  <si>
    <t>Capital Social</t>
  </si>
  <si>
    <t>Reservas de reavaliação</t>
  </si>
  <si>
    <t>Reservas de capital</t>
  </si>
  <si>
    <t>Reservas de lucros</t>
  </si>
  <si>
    <t>Dividendos antecipados</t>
  </si>
  <si>
    <t>Investimentos de curto prazo</t>
  </si>
  <si>
    <t>Imposto de renda e contribuição social diferido</t>
  </si>
  <si>
    <t>Ativo de Contrato</t>
  </si>
  <si>
    <t>Imobilizado</t>
  </si>
  <si>
    <t>Impostos e contribuições sobre lucro a recolher</t>
  </si>
  <si>
    <t>Provisões para processos cíveis, fiscais e trabalhistas</t>
  </si>
  <si>
    <t>Passivo de Arrendamento</t>
  </si>
  <si>
    <t>Valores a receber da parcela A e outros itens financeiros</t>
  </si>
  <si>
    <t>Plano de aposentadoria e pensão</t>
  </si>
  <si>
    <t>Encargos Setoriais</t>
  </si>
  <si>
    <t>Outros resultados abrangentes</t>
  </si>
  <si>
    <t>Ajustes de avaliação patrimonial</t>
  </si>
  <si>
    <t>Resultado do Exercício</t>
  </si>
  <si>
    <t>Direito de Ressarcimento</t>
  </si>
  <si>
    <t>Serviços Pedidos</t>
  </si>
  <si>
    <t>Ativo de contrato</t>
  </si>
  <si>
    <t xml:space="preserve">Dividendos </t>
  </si>
  <si>
    <t>Encargos do consumidor</t>
  </si>
  <si>
    <t>Provisão para processos cíveis, fiscais e trabalhistas</t>
  </si>
  <si>
    <t>Impostos e contribuições a recolher Diferidos</t>
  </si>
  <si>
    <t>Outros Resultados Abrangentes</t>
  </si>
  <si>
    <t>Baixa renda e viva luz</t>
  </si>
  <si>
    <t>Estoques</t>
  </si>
  <si>
    <t>Adiantamento para futuro aumento de capital</t>
  </si>
  <si>
    <t>Prejuízos acumulados</t>
  </si>
  <si>
    <t xml:space="preserve">Valores a receber da parcela A </t>
  </si>
  <si>
    <t>Valores a devolver da parcela A 
e outros itens financeiros</t>
  </si>
  <si>
    <t>CELG-D</t>
  </si>
  <si>
    <t>Depósitos judiciais</t>
  </si>
  <si>
    <t>AFAC</t>
  </si>
  <si>
    <t>Ativo Circulante</t>
  </si>
  <si>
    <t>Caixa e equivalente de caixa</t>
  </si>
  <si>
    <t>Contas a receber</t>
  </si>
  <si>
    <t>Adiantanemento a fornecedores</t>
  </si>
  <si>
    <t>Despesas pagas antecipademente</t>
  </si>
  <si>
    <t>Dividendos a receber</t>
  </si>
  <si>
    <t>Contas a receber partes relacionadas</t>
  </si>
  <si>
    <t>Instrumento financeiro derivativo</t>
  </si>
  <si>
    <t>Outras contas a receber</t>
  </si>
  <si>
    <t>Ativo Não Circulante</t>
  </si>
  <si>
    <t>Depóstivo vinculados</t>
  </si>
  <si>
    <t>Total Ativo</t>
  </si>
  <si>
    <t>Passivo Circulantes</t>
  </si>
  <si>
    <t>Adiantamento de clientes</t>
  </si>
  <si>
    <t>Outras obrigações sociais e trabalhistas</t>
  </si>
  <si>
    <t>Arrendamentos</t>
  </si>
  <si>
    <t>Derivativos a pagar</t>
  </si>
  <si>
    <t>Passivo Não Circulante</t>
  </si>
  <si>
    <t>Outras obrigações tributárias</t>
  </si>
  <si>
    <t>IR/CS a recolher</t>
  </si>
  <si>
    <t>Provisões judiciais</t>
  </si>
  <si>
    <t>Tributos diferidos</t>
  </si>
  <si>
    <t>Total Passivo</t>
  </si>
  <si>
    <t>Patrimônio Líquido</t>
  </si>
  <si>
    <t>Total Passivo e Patrimônio Líquido</t>
  </si>
  <si>
    <t>Fundos vinculados</t>
  </si>
  <si>
    <t>Compromissos futuros</t>
  </si>
  <si>
    <t>Provisão de ressarcimento</t>
  </si>
  <si>
    <t>Financiamentos</t>
  </si>
  <si>
    <t>Compensação de infraestrutura</t>
  </si>
  <si>
    <t>Provisão para desmobilização</t>
  </si>
  <si>
    <t>Contas a pagar sobre aquisição</t>
  </si>
  <si>
    <t>Total Patrimônio Líquido</t>
  </si>
  <si>
    <t>PL Acionistas controladores</t>
  </si>
  <si>
    <t>PL acionistas não controladores</t>
  </si>
  <si>
    <t>Echo Crescimento (100%)</t>
  </si>
  <si>
    <t>PIS e COFINS diferidos</t>
  </si>
  <si>
    <t>Ativo (R$ mil)</t>
  </si>
  <si>
    <t>Contas a Receber de Clientes</t>
  </si>
  <si>
    <t>Ativos Contratuais</t>
  </si>
  <si>
    <t>Tributos e contribuições compensáveis</t>
  </si>
  <si>
    <t>Despesas antecipadas</t>
  </si>
  <si>
    <t>Compromisso futuros</t>
  </si>
  <si>
    <t>Mútuos</t>
  </si>
  <si>
    <t>Adiantamento a fornecedores</t>
  </si>
  <si>
    <t>Outros contas a receber</t>
  </si>
  <si>
    <t>Ativos Classificados como mantidos para venda</t>
  </si>
  <si>
    <t>Ativo Financeiro da concessão</t>
  </si>
  <si>
    <t>Passivo e patrimônio líquido   (R$ mil)</t>
  </si>
  <si>
    <t>Encargos de dívidas</t>
  </si>
  <si>
    <t>Provisões de encargos societários</t>
  </si>
  <si>
    <t>Impostos e contribuições sociais sobre o lucro</t>
  </si>
  <si>
    <t>Pis e Cofins Diferidos</t>
  </si>
  <si>
    <t>Provisões de ressarcimento</t>
  </si>
  <si>
    <t>Passivos associados a ativos classificados mantidos para venda</t>
  </si>
  <si>
    <t xml:space="preserve">Incentivos fiscais </t>
  </si>
  <si>
    <t>Impostos e contribuição social diferido</t>
  </si>
  <si>
    <t>Impostos e contribuição a recolher</t>
  </si>
  <si>
    <t>Participação dos acionistas controladores</t>
  </si>
  <si>
    <t>Dividendos Antecipados</t>
  </si>
  <si>
    <t>INTESA Societário Consolidado</t>
  </si>
  <si>
    <t>Investimentos de Curto Prazo</t>
  </si>
  <si>
    <t>Contas a Receber</t>
  </si>
  <si>
    <t>Ativo Financeiro</t>
  </si>
  <si>
    <t>Outros créditos</t>
  </si>
  <si>
    <t>Ativo de Contrato Transmissão</t>
  </si>
  <si>
    <t>Tributos a compensar</t>
  </si>
  <si>
    <t xml:space="preserve">Títulos e valores mobiliários </t>
  </si>
  <si>
    <t>Provisões de encargos setoriais</t>
  </si>
  <si>
    <t>Impostos e contribuições sociais</t>
  </si>
  <si>
    <t>Pis e Cofins diferidos</t>
  </si>
  <si>
    <t>Reserva de incentivos fiscais</t>
  </si>
  <si>
    <t>Reserva de retenção de lucros</t>
  </si>
  <si>
    <t>Equatorial Energia - Holding</t>
  </si>
  <si>
    <t xml:space="preserve">Dividendos a Receber </t>
  </si>
  <si>
    <t>Devolução de capital social a liquidar</t>
  </si>
  <si>
    <t>Títulos e Valores Mobiliários</t>
  </si>
  <si>
    <t xml:space="preserve">Adiantamento para Futuro Aumento de Capital </t>
  </si>
  <si>
    <t xml:space="preserve">Imposto de Renda e Contribuição Social Diferidos </t>
  </si>
  <si>
    <t>Provisão para perdas em investimentos</t>
  </si>
  <si>
    <t>Valores a devolver da parcela A</t>
  </si>
  <si>
    <t>Resultado do período</t>
  </si>
  <si>
    <t>Ações em tesouraria</t>
  </si>
  <si>
    <t>Ativo contratuais</t>
  </si>
  <si>
    <t>2T34</t>
  </si>
  <si>
    <t>Fornecedores - Risco Sacado</t>
  </si>
  <si>
    <t>Valores a devolver da parcela A e outros itens financeiros</t>
  </si>
  <si>
    <t>Valores a pagar de acordo com o plano de recuperação judicial</t>
  </si>
  <si>
    <t>Provisões para riscos cíveis, fiscais, trabalhistas, regulatórios e ambientais</t>
  </si>
  <si>
    <t>Compromissos Futuros</t>
  </si>
  <si>
    <t>Encargos setorial CCC</t>
  </si>
  <si>
    <t>Provisão para perda em investimento</t>
  </si>
  <si>
    <t>Participação controladores</t>
  </si>
  <si>
    <t>Dívida e CAPEX</t>
  </si>
  <si>
    <t>Dívida</t>
  </si>
  <si>
    <t>CAPEX</t>
  </si>
  <si>
    <t>Indexador</t>
  </si>
  <si>
    <t>Spread</t>
  </si>
  <si>
    <t>2027 a 2034</t>
  </si>
  <si>
    <t>2035 a 2044</t>
  </si>
  <si>
    <t>2044 a 2049</t>
  </si>
  <si>
    <t>Moeda Nacional</t>
  </si>
  <si>
    <t>% do CDI</t>
  </si>
  <si>
    <t>CDI+</t>
  </si>
  <si>
    <t>+ 1,4% aa</t>
  </si>
  <si>
    <t>IPCA</t>
  </si>
  <si>
    <t>+ 2,4% a + 6,9% aa</t>
  </si>
  <si>
    <t>IGP-M</t>
  </si>
  <si>
    <t>+ 1,0% aa</t>
  </si>
  <si>
    <t>Pré-fixado (R$)</t>
  </si>
  <si>
    <t>1% a 10%  aa</t>
  </si>
  <si>
    <t>AVP/Custo de Captação</t>
  </si>
  <si>
    <t>Equatorial Pará (Total)</t>
  </si>
  <si>
    <t>CDI +</t>
  </si>
  <si>
    <t>+ 0,17% + 1,65%aa</t>
  </si>
  <si>
    <t>+ 4,1% a + 6,3% aa</t>
  </si>
  <si>
    <t>Equatorial Maranhão (Total)</t>
  </si>
  <si>
    <t>+0,97% +1,77% aa</t>
  </si>
  <si>
    <t xml:space="preserve"> +3,93% a 4,43% aa</t>
  </si>
  <si>
    <t>+5,0% aa</t>
  </si>
  <si>
    <t>Equatorial Piauí (Total)</t>
  </si>
  <si>
    <t>124,9% aa</t>
  </si>
  <si>
    <t>0,74% à 1,63% aa</t>
  </si>
  <si>
    <t>IPCA+</t>
  </si>
  <si>
    <t>+3,92 à 4,4% a.a.</t>
  </si>
  <si>
    <t>SELIC</t>
  </si>
  <si>
    <t>+ 0,5% aa</t>
  </si>
  <si>
    <t>Equatorial Alagoas (Total)</t>
  </si>
  <si>
    <t>Rio Grande do Sul</t>
  </si>
  <si>
    <t>+ 1,08% a 1,85% aa</t>
  </si>
  <si>
    <t>+ 5,40% à 7,38% a.a.</t>
  </si>
  <si>
    <t>Equatorial Rio Grande do Sul (Total)</t>
  </si>
  <si>
    <t>AMAPÁ</t>
  </si>
  <si>
    <t>+ 1,38%  + 1,85% aa</t>
  </si>
  <si>
    <t>+ 6,50% aa</t>
  </si>
  <si>
    <t>Equatorial Energia (Total)</t>
  </si>
  <si>
    <t>+1,60% aa</t>
  </si>
  <si>
    <t>+ 1,68% a + 6,79%</t>
  </si>
  <si>
    <t xml:space="preserve"> 0%</t>
  </si>
  <si>
    <t>Equatorial Transmissão</t>
  </si>
  <si>
    <t>+1,6% a 5,3%</t>
  </si>
  <si>
    <t>Equatorial Transmissão (Total)</t>
  </si>
  <si>
    <t>Equatorial Serviços</t>
  </si>
  <si>
    <t>+ 1,48% a.a.</t>
  </si>
  <si>
    <t>ENOVA</t>
  </si>
  <si>
    <t>+ 1,12% a 1,50%</t>
  </si>
  <si>
    <t>+ 1,1% a 2,3% a.a.</t>
  </si>
  <si>
    <t>Enova (Total)</t>
  </si>
  <si>
    <t>Telecom</t>
  </si>
  <si>
    <t>1,7%  aa</t>
  </si>
  <si>
    <t>Telecom (Total)</t>
  </si>
  <si>
    <t>+ 1,6% a + 2,2%</t>
  </si>
  <si>
    <t>+ 1,0% a + 9,0% aa</t>
  </si>
  <si>
    <t>TJLP+</t>
  </si>
  <si>
    <t>+ 2,0% a 2,9% aa</t>
  </si>
  <si>
    <t>+ 2,5% à 7,6% a.a.</t>
  </si>
  <si>
    <t>Echoenergia (Total)</t>
  </si>
  <si>
    <t>Equatorial Goiás</t>
  </si>
  <si>
    <t>+ 0,3% à 1,65% a.a.</t>
  </si>
  <si>
    <t>+ 6,4% à 7,1% a.a.</t>
  </si>
  <si>
    <t>6,8% a.a.</t>
  </si>
  <si>
    <t>Equatorial Goias (Total)</t>
  </si>
  <si>
    <t>Equatorial 
Energia</t>
  </si>
  <si>
    <t>+1,3% à 1,7% a.a.</t>
  </si>
  <si>
    <t>Equatorial Consolidado</t>
  </si>
  <si>
    <t>Equatorial Energia</t>
  </si>
  <si>
    <t>EQTL Transmissão</t>
  </si>
  <si>
    <t>EQTL Serviços</t>
  </si>
  <si>
    <t>CELG</t>
  </si>
  <si>
    <t>Equatorial</t>
  </si>
  <si>
    <t>EQTL Part</t>
  </si>
  <si>
    <t>Dívida bruta</t>
  </si>
  <si>
    <t>Disponibilidades</t>
  </si>
  <si>
    <t>Ativo reg. líquido</t>
  </si>
  <si>
    <t>Sub rogação CCC</t>
  </si>
  <si>
    <t>Ativos financeiros sobras fisicas</t>
  </si>
  <si>
    <t>Mútuo</t>
  </si>
  <si>
    <t>Baixa Renda a Receber</t>
  </si>
  <si>
    <t>Dep. Judicial de bancos</t>
  </si>
  <si>
    <t>Swap</t>
  </si>
  <si>
    <t>Dívida líquida</t>
  </si>
  <si>
    <t>Part. EQTL</t>
  </si>
  <si>
    <t>Dívida Líquida (Proporcional)</t>
  </si>
  <si>
    <t>Dívida Curto prazo</t>
  </si>
  <si>
    <t>Custo Médio: 11,36% a.a.</t>
  </si>
  <si>
    <t>Prazo Médio: 5,4 anos</t>
  </si>
  <si>
    <t>Data base: 31/03/2024</t>
  </si>
  <si>
    <t>Empresa</t>
  </si>
  <si>
    <t>Grupo</t>
  </si>
  <si>
    <t>Instituição</t>
  </si>
  <si>
    <t>Moeda</t>
  </si>
  <si>
    <t>Início</t>
  </si>
  <si>
    <t>Vencto.</t>
  </si>
  <si>
    <t>Encargos Financeiros</t>
  </si>
  <si>
    <t>Prazo Médio (anos)</t>
  </si>
  <si>
    <t>Frequência Amortização</t>
  </si>
  <si>
    <t>Total Contabilizado</t>
  </si>
  <si>
    <t>Equatorial Pará</t>
  </si>
  <si>
    <t>Empréstimos e Financiamentos RJ - Moeda Nacional</t>
  </si>
  <si>
    <t>DAYCOVAL</t>
  </si>
  <si>
    <t>PRÉ-FIXADO</t>
  </si>
  <si>
    <t>R$</t>
  </si>
  <si>
    <t>Bullet</t>
  </si>
  <si>
    <t>BANPARÁ</t>
  </si>
  <si>
    <t>Semestral</t>
  </si>
  <si>
    <t>BNB</t>
  </si>
  <si>
    <t>Banco do Brasil</t>
  </si>
  <si>
    <t>BASA</t>
  </si>
  <si>
    <t>Mensal</t>
  </si>
  <si>
    <t>Empréstimos e Financiamentos - Moeda Estrangeira</t>
  </si>
  <si>
    <t>Scotiabank</t>
  </si>
  <si>
    <t>U$ SWAP</t>
  </si>
  <si>
    <t>US$</t>
  </si>
  <si>
    <t>Empréstimos e Financiamentos - Moeda Nacional</t>
  </si>
  <si>
    <t>CEF</t>
  </si>
  <si>
    <t>BNDES</t>
  </si>
  <si>
    <t xml:space="preserve">Debêntures </t>
  </si>
  <si>
    <t>CDI</t>
  </si>
  <si>
    <t>Anual</t>
  </si>
  <si>
    <t>(-) Custo de captação</t>
  </si>
  <si>
    <t>CCAP/AVP</t>
  </si>
  <si>
    <t>(-) Custo de Captação Debentures</t>
  </si>
  <si>
    <t>AVP RJ</t>
  </si>
  <si>
    <t>Equatorial Maranhão</t>
  </si>
  <si>
    <t>IBM</t>
  </si>
  <si>
    <t>CITIBANK</t>
  </si>
  <si>
    <t>Equatorial Piauí</t>
  </si>
  <si>
    <t>CCEE</t>
  </si>
  <si>
    <t>SANTANDER</t>
  </si>
  <si>
    <t>BOCOM</t>
  </si>
  <si>
    <t>China Construction Bank</t>
  </si>
  <si>
    <t>BOFA</t>
  </si>
  <si>
    <t>AVP</t>
  </si>
  <si>
    <t>Equatorial Alagoas</t>
  </si>
  <si>
    <t>Trimestral</t>
  </si>
  <si>
    <t>EQTT</t>
  </si>
  <si>
    <t>SPE01</t>
  </si>
  <si>
    <t>SPE02</t>
  </si>
  <si>
    <t>SPE03</t>
  </si>
  <si>
    <t xml:space="preserve"> Mensal </t>
  </si>
  <si>
    <t xml:space="preserve"> Semestral </t>
  </si>
  <si>
    <t>SPE04</t>
  </si>
  <si>
    <t>SPE05</t>
  </si>
  <si>
    <t>SPE06</t>
  </si>
  <si>
    <t>SPE08</t>
  </si>
  <si>
    <t>SMBC</t>
  </si>
  <si>
    <t>Nota Comercial</t>
  </si>
  <si>
    <t>Anual após carência</t>
  </si>
  <si>
    <t>Equatorial Telecom</t>
  </si>
  <si>
    <t xml:space="preserve">Semestral </t>
  </si>
  <si>
    <t>TJLP</t>
  </si>
  <si>
    <t>(-) Custo de Captação</t>
  </si>
  <si>
    <t>SAFRA</t>
  </si>
  <si>
    <t>Oliveira Trust</t>
  </si>
  <si>
    <t>CELGPAR</t>
  </si>
  <si>
    <t>Investimentos (R$MM)</t>
  </si>
  <si>
    <t>Ativos elétricos</t>
  </si>
  <si>
    <t>Obrigações especiais</t>
  </si>
  <si>
    <t>Ativos não elétricos</t>
  </si>
  <si>
    <t>Geramar</t>
  </si>
  <si>
    <t>Geração</t>
  </si>
  <si>
    <t>SPEs</t>
  </si>
  <si>
    <t>Enova</t>
  </si>
  <si>
    <t>Projetos em Construção</t>
  </si>
  <si>
    <t>Manutenção, Renovação e Melhorias</t>
  </si>
  <si>
    <t>Outros Investimentos</t>
  </si>
  <si>
    <t>Em 30.06.2024</t>
  </si>
  <si>
    <t>Ativos/Passivos Regulatórios Líquidos</t>
  </si>
  <si>
    <t>Ativos regulatórios</t>
  </si>
  <si>
    <t>Passivos regulatórios</t>
  </si>
  <si>
    <t>Ativo Regulatório Líquido (p/ Dívida Líquida)</t>
  </si>
  <si>
    <t>Rec. ult. demanda / energia reativa</t>
  </si>
  <si>
    <t>Ativo regulatório líquido</t>
  </si>
  <si>
    <t>Ativos Regulatórios</t>
  </si>
  <si>
    <t>Constituição CVAs</t>
  </si>
  <si>
    <t>CDE</t>
  </si>
  <si>
    <t>Proinfa</t>
  </si>
  <si>
    <t>ESS</t>
  </si>
  <si>
    <t>Itaipu</t>
  </si>
  <si>
    <t>Rede básica</t>
  </si>
  <si>
    <t>Compra de energia</t>
  </si>
  <si>
    <t>Neutralidade</t>
  </si>
  <si>
    <t>Sobrecontratação</t>
  </si>
  <si>
    <t>Amortização CVAs</t>
  </si>
  <si>
    <t>Energia RTE</t>
  </si>
  <si>
    <t>Neutralidade parc. A</t>
  </si>
  <si>
    <t>Outros ativos regulatórios</t>
  </si>
  <si>
    <t>PIS/COFINS</t>
  </si>
  <si>
    <t>Garantia CCEAR</t>
  </si>
  <si>
    <t>Saldo final</t>
  </si>
  <si>
    <t>Passivos Regulatórios</t>
  </si>
  <si>
    <t>CEPISA violação do limite de continuidade</t>
  </si>
  <si>
    <t>Exposição financeira</t>
  </si>
  <si>
    <t>Devolução PIS/COFINS</t>
  </si>
  <si>
    <t>Em 31/03/2024</t>
  </si>
  <si>
    <t>Sistemas Isolados (Pará)</t>
  </si>
  <si>
    <t>Receitas / Reembolsos</t>
  </si>
  <si>
    <t>Receita de ACR</t>
  </si>
  <si>
    <t>(-) Pis/Cofins</t>
  </si>
  <si>
    <t>Custos / Despesas</t>
  </si>
  <si>
    <t>Superávit (Défict) do SI</t>
  </si>
  <si>
    <t>Energia Injetada (GWh)</t>
  </si>
  <si>
    <t>Sistemas Isolados (Amapá)</t>
  </si>
  <si>
    <t>Em 31.12.2022</t>
  </si>
  <si>
    <t>Em 31.03.2023</t>
  </si>
  <si>
    <t>Em 30.06.2023</t>
  </si>
  <si>
    <t>Em 30.09.2023</t>
  </si>
  <si>
    <t>Em 31.12.2023</t>
  </si>
  <si>
    <t>Em 30/06/2024</t>
  </si>
  <si>
    <t>IRPJ / CSLL 4T22 (R$ milhões)</t>
  </si>
  <si>
    <t>IRPJ / CSLL 1T23 (R$ milhões)</t>
  </si>
  <si>
    <t>IRPJ / CSLL 2T23 (R$ milhões)</t>
  </si>
  <si>
    <t>IRPJ / CSLL 3T23 (R$ milhões)</t>
  </si>
  <si>
    <t>IRPJ / CSLL 4T23 (R$ milhões)</t>
  </si>
  <si>
    <t>IRPJ / CSLL 1T24 (R$ milhões)</t>
  </si>
  <si>
    <t>LAIR (a)</t>
  </si>
  <si>
    <t>Despesas IRPJ / CSLL</t>
  </si>
  <si>
    <t>(+) Ativo Fiscal Diferido</t>
  </si>
  <si>
    <t>(=) Imposto Calculado</t>
  </si>
  <si>
    <t>(=) Imposto Caixa (b)</t>
  </si>
  <si>
    <t>(b/a) Taxa Efetiva</t>
  </si>
  <si>
    <t>Lucro Real</t>
  </si>
  <si>
    <t>Taxa Efetiva sobre Lucro Real</t>
  </si>
  <si>
    <t>OK</t>
  </si>
  <si>
    <t>IRPJ / CSLL 4T21 (R$ milhões)</t>
  </si>
  <si>
    <t>IRPJ / CSLL 1T22 (R$ milhões)</t>
  </si>
  <si>
    <t>IRPJ / CSLL 2T22 (R$ milhões)</t>
  </si>
  <si>
    <t>IRPJ / CSLL 3T22 (R$ milhões)</t>
  </si>
  <si>
    <t>Dados Regulatórios</t>
  </si>
  <si>
    <r>
      <t>Área de concessão (km</t>
    </r>
    <r>
      <rPr>
        <vertAlign val="superscript"/>
        <sz val="9"/>
        <color theme="1"/>
        <rFont val="Calibri"/>
        <family val="2"/>
        <scheme val="minor"/>
      </rPr>
      <t>2</t>
    </r>
    <r>
      <rPr>
        <sz val="9"/>
        <color theme="1"/>
        <rFont val="Calibri"/>
        <family val="2"/>
        <scheme val="minor"/>
      </rPr>
      <t>)</t>
    </r>
  </si>
  <si>
    <t>Municípios atendidos</t>
  </si>
  <si>
    <t>População Atendida (milhões de pessoas)</t>
  </si>
  <si>
    <t>Número de subestações</t>
  </si>
  <si>
    <t>Capacida Instalada (MVA)</t>
  </si>
  <si>
    <t>ND</t>
  </si>
  <si>
    <t>Linhas de Transmissão (em km)</t>
  </si>
  <si>
    <t>Linhas de Distribuição (em km)</t>
  </si>
  <si>
    <t>Transformadores de Distribuição</t>
  </si>
  <si>
    <t>BRR Líquida (Última RTP) - R$ Milhões</t>
  </si>
  <si>
    <t>Parcela B Vigente - R$ Milhões</t>
  </si>
  <si>
    <t>Tarifa fio B Vigente - R$</t>
  </si>
  <si>
    <t>Último processo Tarifário</t>
  </si>
  <si>
    <t>RTA 2023</t>
  </si>
  <si>
    <t>RTA 2024</t>
  </si>
  <si>
    <t>RTP 2023</t>
  </si>
  <si>
    <t>RTP 2024</t>
  </si>
  <si>
    <t>RTA 2022</t>
  </si>
  <si>
    <t>Contrato Antigo</t>
  </si>
  <si>
    <t>Processo</t>
  </si>
  <si>
    <t>RTP</t>
  </si>
  <si>
    <t>RTA</t>
  </si>
  <si>
    <t>BRR Líquida</t>
  </si>
  <si>
    <t>Próxima RTP - 2025 (4 anos)</t>
  </si>
  <si>
    <t>Vencimento da Concessão - ago/30</t>
  </si>
  <si>
    <t>Custo de Administração, Operação e Manutenção (CAOM)</t>
  </si>
  <si>
    <t>Custos Operacionais (CO)</t>
  </si>
  <si>
    <t>Receitas Irrecuperáveis - Encargos Setoriais (Vi)</t>
  </si>
  <si>
    <t>Demais Receitas Irrecuperáveis (Vse)</t>
  </si>
  <si>
    <t>Custo Anual dos Ativos (CAA)</t>
  </si>
  <si>
    <t>Remuneração do Capital (RC)</t>
  </si>
  <si>
    <t>Quota de Reintegração Regulatória (QRR)</t>
  </si>
  <si>
    <t>Custo anual das instalações móveis e imóveis (CAIMI)</t>
  </si>
  <si>
    <t>CAOM + CAA</t>
  </si>
  <si>
    <t>VPB com ajustes de Mercado e Qualidade</t>
  </si>
  <si>
    <t>Ajuste de PB associado ao SCEE</t>
  </si>
  <si>
    <t>(-) Outras Receitas</t>
  </si>
  <si>
    <t>(-) Ultrapassagem de Demanda</t>
  </si>
  <si>
    <t>(-) Excedente de Reativo</t>
  </si>
  <si>
    <t>(-) UDEROR</t>
  </si>
  <si>
    <t>Receitas Irrecuperáveis</t>
  </si>
  <si>
    <t>Parcela B (VPB) - R$ Milhões</t>
  </si>
  <si>
    <t>Mercado (GWh)</t>
  </si>
  <si>
    <t>Tarifa Fio B - R$</t>
  </si>
  <si>
    <t>Fator X</t>
  </si>
  <si>
    <t>Pd</t>
  </si>
  <si>
    <t>T</t>
  </si>
  <si>
    <t>Q</t>
  </si>
  <si>
    <t>Próxima RTP - 2027 (4 anos)</t>
  </si>
  <si>
    <t>Vencimento da Concessão - jul/28</t>
  </si>
  <si>
    <t>Contrato Novo</t>
  </si>
  <si>
    <t>RTE</t>
  </si>
  <si>
    <t>Próxima RTP - 2028 (5 anos)</t>
  </si>
  <si>
    <t>Vencimento da Concessão - out/48</t>
  </si>
  <si>
    <t>Próxima RTP - 2024 (5 anos)</t>
  </si>
  <si>
    <t>Vencimento da Concessão - mar/49</t>
  </si>
  <si>
    <t>Próxima RTP - 2026 (5 anos)</t>
  </si>
  <si>
    <t>Vencimento da Concessão - jul/45</t>
  </si>
  <si>
    <t>Próxima RTP - 2027 (5 anos)</t>
  </si>
  <si>
    <t>Vencimento da Concessão - nov/51</t>
  </si>
  <si>
    <t>Próxima RTP - 2023 (5 anos)</t>
  </si>
  <si>
    <t>Informação</t>
  </si>
  <si>
    <t>SPE 1</t>
  </si>
  <si>
    <t>SPE 2</t>
  </si>
  <si>
    <t>SPE 3</t>
  </si>
  <si>
    <t>SPE 4</t>
  </si>
  <si>
    <t>SPE 5</t>
  </si>
  <si>
    <t>SPE 6</t>
  </si>
  <si>
    <t>SPE 7</t>
  </si>
  <si>
    <t>SPE 8</t>
  </si>
  <si>
    <t>Contrato de Concessão nº</t>
  </si>
  <si>
    <t>07/2017</t>
  </si>
  <si>
    <t>08/2017</t>
  </si>
  <si>
    <t>10/2017</t>
  </si>
  <si>
    <t>12/2017</t>
  </si>
  <si>
    <t>13/2017</t>
  </si>
  <si>
    <t>14/2017</t>
  </si>
  <si>
    <t>20/2017</t>
  </si>
  <si>
    <t>48/2017</t>
  </si>
  <si>
    <t>Localização</t>
  </si>
  <si>
    <t>BA</t>
  </si>
  <si>
    <t>BA/PI</t>
  </si>
  <si>
    <t>BA/MG</t>
  </si>
  <si>
    <t>MG</t>
  </si>
  <si>
    <t>PA</t>
  </si>
  <si>
    <t>Extensão da Linha (Km)</t>
  </si>
  <si>
    <t>Tensão da Linha (kV)</t>
  </si>
  <si>
    <t>230/500</t>
  </si>
  <si>
    <t>Fim da Concessão</t>
  </si>
  <si>
    <t>Início da Operação</t>
  </si>
  <si>
    <t>RAP Original</t>
  </si>
  <si>
    <t>Reforços (R$ Mil)</t>
  </si>
  <si>
    <t>RAP (R$ Mil)</t>
  </si>
  <si>
    <t>Índice de Reajuste RAP</t>
  </si>
  <si>
    <t>Redução da RAP em 50%</t>
  </si>
  <si>
    <t>Não</t>
  </si>
  <si>
    <t>Percentual Benefício Sudam/Sudene</t>
  </si>
  <si>
    <t>Impostos Indiretos</t>
  </si>
  <si>
    <t>Próxima Revisão Tarifária</t>
  </si>
  <si>
    <t>Benefício de Redução de 75% do IRPJ</t>
  </si>
  <si>
    <t xml:space="preserve">Empresa </t>
  </si>
  <si>
    <t>Autarquia</t>
  </si>
  <si>
    <t xml:space="preserve">Laudo </t>
  </si>
  <si>
    <t>Percentual de receita incentivada</t>
  </si>
  <si>
    <t xml:space="preserve">Prazo de Fruição </t>
  </si>
  <si>
    <t xml:space="preserve">Inicío </t>
  </si>
  <si>
    <t xml:space="preserve">Final </t>
  </si>
  <si>
    <t>Sudene</t>
  </si>
  <si>
    <t>80/2020</t>
  </si>
  <si>
    <t>79/2020</t>
  </si>
  <si>
    <t>146/2021</t>
  </si>
  <si>
    <t>104/2021</t>
  </si>
  <si>
    <t>105/2021</t>
  </si>
  <si>
    <t>216/2021</t>
  </si>
  <si>
    <t>Sudam</t>
  </si>
  <si>
    <t>10/2022</t>
  </si>
  <si>
    <t>98/2020</t>
  </si>
  <si>
    <t>EQTL MA</t>
  </si>
  <si>
    <t>37/2023</t>
  </si>
  <si>
    <t>EQTL PA</t>
  </si>
  <si>
    <t>180/2018</t>
  </si>
  <si>
    <t>EQTL PI</t>
  </si>
  <si>
    <t>38/2023</t>
  </si>
  <si>
    <t>EQTL AL</t>
  </si>
  <si>
    <t>91/2023</t>
  </si>
  <si>
    <t>88/2023</t>
  </si>
  <si>
    <t>EQTL TELECOM</t>
  </si>
  <si>
    <t>139/2023</t>
  </si>
  <si>
    <t>**</t>
  </si>
  <si>
    <t>214/2023</t>
  </si>
  <si>
    <t xml:space="preserve">* A SPE 4 e SPE 6 passa por municipios que não estão na área de atuação da Sudene </t>
  </si>
  <si>
    <t>** EQTL Telecom - Receita incentivada no MA (SCM - Serviço de Comunicação Multimidia/STFC - Serviço Telefônico Fixo Comutado)e no PA (SCM - Serviço de Comunicação Multimidia)</t>
  </si>
  <si>
    <t>Classe A</t>
  </si>
  <si>
    <t>Estrutura Societária</t>
  </si>
  <si>
    <t>(+) Investimento</t>
  </si>
  <si>
    <r>
      <t xml:space="preserve">(+) Correção da </t>
    </r>
    <r>
      <rPr>
        <i/>
        <sz val="11"/>
        <color theme="1"/>
        <rFont val="Aptos Narrow"/>
        <family val="2"/>
      </rPr>
      <t>Call</t>
    </r>
    <r>
      <rPr>
        <sz val="11"/>
        <color theme="1"/>
        <rFont val="Aptos Narrow"/>
        <family val="2"/>
      </rPr>
      <t xml:space="preserve"> (100% CDI)</t>
    </r>
  </si>
  <si>
    <t>(-) Pg Dividendos</t>
  </si>
  <si>
    <t>(=) Preço de Exercício Classe A</t>
  </si>
  <si>
    <t>MTM Fx Dividendos</t>
  </si>
  <si>
    <t>(=) Aj Preço de Exercício Classe A MTM</t>
  </si>
  <si>
    <t>Impacto Opção (RF)</t>
  </si>
  <si>
    <t>% Direito Dividendos</t>
  </si>
  <si>
    <t>Classe B</t>
  </si>
  <si>
    <r>
      <t xml:space="preserve">(+) Correção da </t>
    </r>
    <r>
      <rPr>
        <i/>
        <sz val="11"/>
        <color theme="1"/>
        <rFont val="Aptos Narrow"/>
        <family val="2"/>
      </rPr>
      <t>Call</t>
    </r>
    <r>
      <rPr>
        <sz val="11"/>
        <color theme="1"/>
        <rFont val="Aptos Narrow"/>
        <family val="2"/>
      </rPr>
      <t xml:space="preserve"> (101% CDI)</t>
    </r>
  </si>
  <si>
    <t>(=) Preço de Exercício Classe B</t>
  </si>
  <si>
    <t>(=) Aj Preço de Exercício Classe B MTM</t>
  </si>
  <si>
    <t>Classe C</t>
  </si>
  <si>
    <r>
      <t xml:space="preserve">(+) Correção da </t>
    </r>
    <r>
      <rPr>
        <i/>
        <sz val="11"/>
        <color theme="1"/>
        <rFont val="Aptos Narrow"/>
        <family val="2"/>
      </rPr>
      <t>Call</t>
    </r>
    <r>
      <rPr>
        <sz val="11"/>
        <color theme="1"/>
        <rFont val="Aptos Narrow"/>
        <family val="2"/>
      </rPr>
      <t xml:space="preserve"> (105% CDI)</t>
    </r>
  </si>
  <si>
    <t>(=) Preço de Exercício Classe C</t>
  </si>
  <si>
    <t>(=) Aj Preço de Exercício Classe C MTM</t>
  </si>
  <si>
    <r>
      <t xml:space="preserve">(+) Correção da </t>
    </r>
    <r>
      <rPr>
        <i/>
        <sz val="11"/>
        <color theme="1"/>
        <rFont val="Aptos Narrow"/>
        <family val="2"/>
      </rPr>
      <t>Call</t>
    </r>
  </si>
  <si>
    <t>(=) Preço de Exercício</t>
  </si>
  <si>
    <t>(=) Aj Preço de Exercício MTM</t>
  </si>
  <si>
    <t>Classe A e B</t>
  </si>
  <si>
    <t>% de Direito</t>
  </si>
  <si>
    <t>2030+</t>
  </si>
  <si>
    <t>Período de Exercício da Call</t>
  </si>
  <si>
    <t>31 de março de 2025 (inclusive) a 31 de março de 2030 para Classe A e B</t>
  </si>
  <si>
    <t>31 de março de 2025 (inclusive) a 31 de dezembro de 2028 para Classe C</t>
  </si>
  <si>
    <t>Dividendos  a pagar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</si>
</sst>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1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-* #,##0.0_-;\-* #,##0.0_-;_-* &quot;-&quot;??_-;_-@_-"/>
    <numFmt numFmtId="166" formatCode="_-* #,##0.0_-;\-* #,##0.0_-;_-* &quot;-&quot;?_-;_-@_-"/>
    <numFmt numFmtId="167" formatCode="0.0%"/>
    <numFmt numFmtId="168" formatCode="[$-416]mmm\-yy;@"/>
    <numFmt numFmtId="169" formatCode="_-* #,##0_-;\-* #,##0_-;_-* &quot;-&quot;??_-;_-@_-"/>
    <numFmt numFmtId="170" formatCode="#,##0_ ;\-#,##0\ "/>
    <numFmt numFmtId="171" formatCode="_(* #,##0_);_(* \(#,##0\);_(* &quot;-&quot;??_);_(@_)"/>
    <numFmt numFmtId="172" formatCode="&quot;CDI&quot;\ \+\ 0.0%\ &quot;aa&quot;\ "/>
    <numFmt numFmtId="173" formatCode="0.0%\ &quot;aa&quot;\ "/>
    <numFmt numFmtId="174" formatCode="&quot;IPCA&quot;\ \+\ 0.00%\ &quot;aa&quot;\ "/>
    <numFmt numFmtId="175" formatCode="&quot;IGP-M&quot;\ \+\ \1\%\ &quot;aa&quot;\ "/>
    <numFmt numFmtId="176" formatCode="&quot;TJLP&quot;\ \+\ 0.00%\ &quot;aa&quot;\ "/>
    <numFmt numFmtId="177" formatCode="&quot;SELIC&quot;\ \+\ 0.00%\ &quot;aa&quot;\ "/>
    <numFmt numFmtId="178" formatCode="0.0%\ &quot;CDI&quot;\ "/>
    <numFmt numFmtId="179" formatCode="&quot;IPCA +&quot;0.0%\ "/>
    <numFmt numFmtId="180" formatCode="#,##0.0"/>
    <numFmt numFmtId="181" formatCode="&quot;CDI&quot;\ \+\ 0.00%\ &quot;aa&quot;\ "/>
    <numFmt numFmtId="182" formatCode="&quot;IPCA +&quot;0.00%\ "/>
    <numFmt numFmtId="183" formatCode="&quot;CDI +&quot;0.00%\ "/>
    <numFmt numFmtId="184" formatCode="&quot;CDI +&quot;0.000%\ "/>
    <numFmt numFmtId="185" formatCode="&quot;CDI +&quot;0.0%\ "/>
    <numFmt numFmtId="186" formatCode="&quot;TJLP +&quot;0.00%\ "/>
    <numFmt numFmtId="187" formatCode="\ _(* #,##0_);_(* \(#,##0\);_(* &quot;-&quot;_);_(@_)"/>
    <numFmt numFmtId="188" formatCode="_(* #,##0.000_);_(* \(#,##0.000\);_(* &quot;-&quot;??_);_(@_)"/>
    <numFmt numFmtId="189" formatCode="0.0"/>
    <numFmt numFmtId="190" formatCode="#,##0.000"/>
    <numFmt numFmtId="191" formatCode="&quot;IPCA +&quot;0.000%\ "/>
    <numFmt numFmtId="192" formatCode="_(* #,##0.0000_);_(* \(#,##0.0000\);_(* &quot;-&quot;??_);_(@_)"/>
    <numFmt numFmtId="193" formatCode="_-* #,##0.000_-;\-* #,##0.000_-;_-* &quot;-&quot;??_-;_-@_-"/>
    <numFmt numFmtId="194" formatCode="_(* #,##0_);_(* \(#,##0\);_(* \-??_);_(@_)"/>
    <numFmt numFmtId="195" formatCode="_(&quot;R$ &quot;* #,##0.00_);_(&quot;R$ &quot;* \(#,##0.00\);_(&quot;R$ &quot;* &quot;-&quot;??_);_(@_)"/>
    <numFmt numFmtId="196" formatCode="&quot;$&quot;#,##0_);[Red]\(&quot;$&quot;#,##0\)"/>
    <numFmt numFmtId="197" formatCode="0.0000"/>
    <numFmt numFmtId="198" formatCode="0.000"/>
    <numFmt numFmtId="199" formatCode="#,##0.0_);\(#,##0.0\)"/>
    <numFmt numFmtId="200" formatCode="m\-d\-\y\y"/>
    <numFmt numFmtId="201" formatCode="General_)"/>
    <numFmt numFmtId="202" formatCode="#\ ###\ ###\ ##0\ "/>
    <numFmt numFmtId="203" formatCode="&quot;\&quot;#,##0.00;[Red]&quot;\&quot;\-#,##0.00"/>
    <numFmt numFmtId="204" formatCode="&quot;$&quot;#,##0\ ;\(&quot;$&quot;#,##0\)"/>
    <numFmt numFmtId="205" formatCode="#,#00"/>
    <numFmt numFmtId="206" formatCode="0.0%;_(&quot;-&quot;_)"/>
    <numFmt numFmtId="207" formatCode="\$#,"/>
    <numFmt numFmtId="208" formatCode="0.00_)"/>
    <numFmt numFmtId="209" formatCode="0.00%;\(0.00%\)"/>
    <numFmt numFmtId="210" formatCode="#,##0.00;\(#,##0.00\)"/>
    <numFmt numFmtId="211" formatCode="#,"/>
    <numFmt numFmtId="212" formatCode="#.##000"/>
    <numFmt numFmtId="213" formatCode="#.##0,"/>
    <numFmt numFmtId="214" formatCode="000"/>
    <numFmt numFmtId="215" formatCode="_-&quot;$&quot;* #,##0_-;\-&quot;$&quot;* #,##0_-;_-&quot;$&quot;* &quot;-&quot;_-;_-@_-"/>
    <numFmt numFmtId="216" formatCode="_-&quot;$&quot;* #,##0.00_-;\-&quot;$&quot;* #,##0.00_-;_-&quot;$&quot;* &quot;-&quot;??_-;_-@_-"/>
    <numFmt numFmtId="217" formatCode="[Blue]General"/>
    <numFmt numFmtId="218" formatCode="#,##0.00&quot; $&quot;;\-#,##0.00&quot; $&quot;"/>
    <numFmt numFmtId="219" formatCode="_ * #,##0.00_ ;_ * \-#,##0.00_ ;_ * &quot;-&quot;??_ ;_ @_ "/>
    <numFmt numFmtId="220" formatCode="_-* #,##0.00\ &quot;kr&quot;_-;\-* #,##0.00\ &quot;kr&quot;_-;_-* &quot;-&quot;??\ &quot;kr&quot;_-;_-@_-"/>
    <numFmt numFmtId="221" formatCode="mm/yy"/>
    <numFmt numFmtId="222" formatCode="dd/mm/yy"/>
    <numFmt numFmtId="223" formatCode="###0;[Blue]\(###0\)"/>
    <numFmt numFmtId="224" formatCode="#,##0;[Blue]\(#,##0\)"/>
    <numFmt numFmtId="225" formatCode="#,##0.0;[Blue]\(#,##0.0\)"/>
    <numFmt numFmtId="226" formatCode="0%;[Red]\(0%\)"/>
    <numFmt numFmtId="227" formatCode="#,##0.0%;[Blue]\(#,##0.0%\)"/>
    <numFmt numFmtId="228" formatCode="0.0%;[Blue]\(0.0%\)"/>
    <numFmt numFmtId="229" formatCode="0.00%;[Red]\(0.00%\)"/>
    <numFmt numFmtId="230" formatCode="#,##0.0_);[Red]\(#,##0.0\)"/>
    <numFmt numFmtId="231" formatCode="_([$€-2]* #,##0.0000_);_([$€-2]* \(#,##0.0000\);_([$€-2]* &quot;-&quot;??_)"/>
    <numFmt numFmtId="232" formatCode="&quot;$&quot;#,##0_);\(&quot;$&quot;#,##0\)"/>
    <numFmt numFmtId="233" formatCode="_(* #,##0.0_);_(* \(#,##0.0\);_(* &quot;-&quot;?_);_(@_)"/>
    <numFmt numFmtId="234" formatCode="#,##0.00\ &quot;m³/d&quot;"/>
    <numFmt numFmtId="235" formatCode="0.000_)"/>
    <numFmt numFmtId="236" formatCode="#,##0_);[Red]\(#,##0\);"/>
    <numFmt numFmtId="237" formatCode="#,##0.0000_);[Red]\(#,##0.00000\)"/>
    <numFmt numFmtId="238" formatCode="&quot;$&quot;#,##0_);[Red]\(&quot;$&quot;#,##0\);"/>
    <numFmt numFmtId="239" formatCode="_(* #,##0.00_);_(* \(#,##0.00\);_(* \-??_);_(@_)"/>
    <numFmt numFmtId="240" formatCode=";;;"/>
    <numFmt numFmtId="241" formatCode="#,##0.00\ &quot;Pts&quot;;\-#,##0.00\ &quot;Pts&quot;"/>
    <numFmt numFmtId="242" formatCode="0.00000000"/>
    <numFmt numFmtId="243" formatCode="#,##0.00&quot;F&quot;_);\(#,##0.00&quot;F&quot;\)"/>
    <numFmt numFmtId="244" formatCode="0\ 000\ 000\ 000"/>
    <numFmt numFmtId="245" formatCode="#,##0;\(#,##0\)"/>
    <numFmt numFmtId="246" formatCode="_ * #,##0_ ;_ * \-#,##0_ ;_ * &quot;-&quot;_ ;_ @_ "/>
    <numFmt numFmtId="247" formatCode="0.0000000000"/>
    <numFmt numFmtId="248" formatCode="_(&quot;N$&quot;* #,##0_);_(&quot;N$&quot;* \(#,##0\);_(&quot;N$&quot;* &quot;-&quot;_);_(@_)"/>
    <numFmt numFmtId="249" formatCode="_(&quot;N$&quot;* #,##0.00_);_(&quot;N$&quot;* \(#,##0.00\);_(&quot;N$&quot;* &quot;-&quot;??_);_(@_)"/>
    <numFmt numFmtId="250" formatCode="&quot;$&quot;#,##0.00_);\(&quot;$&quot;#,##0.00\)"/>
    <numFmt numFmtId="251" formatCode="#,##0.0%;[Red]\(#,##0.0%\)"/>
    <numFmt numFmtId="252" formatCode="0.000000000"/>
    <numFmt numFmtId="253" formatCode="0_)%;[Red]\(0\)%"/>
    <numFmt numFmtId="254" formatCode="0.0\ %;[Red]\(0.0\)%"/>
    <numFmt numFmtId="255" formatCode="0.00\ %;[Red]\(0.00\)%"/>
    <numFmt numFmtId="256" formatCode="_(&quot;$&quot;* #,##0_);_(&quot;$&quot;* \(#,##0\);_(&quot;$&quot;* &quot;-&quot;_);_(@_)"/>
    <numFmt numFmtId="257" formatCode="%#,#00"/>
    <numFmt numFmtId="258" formatCode="0000"/>
    <numFmt numFmtId="259" formatCode="00"/>
    <numFmt numFmtId="260" formatCode="_([$€]* #,##0.00_);_([$€]* \(#,##0.00\);_([$€]* &quot;-&quot;??_);_(@_)"/>
    <numFmt numFmtId="264" formatCode="_-* #,##0.00_-;\-* #,##0.00_-;_-* &quot;-&quot;??_-;_-@_-"/>
  </numFmts>
  <fonts count="2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name val="Arial"/>
      <family val="2"/>
    </font>
    <font>
      <b/>
      <sz val="9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rgb="FFFFFFFF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rgb="FFFFFFFF"/>
      <name val="Calibri"/>
      <family val="2"/>
    </font>
    <font>
      <sz val="9"/>
      <name val="Arial Narrow"/>
      <family val="2"/>
    </font>
    <font>
      <b/>
      <sz val="9"/>
      <name val="Calibri"/>
      <family val="2"/>
    </font>
    <font>
      <sz val="10"/>
      <name val="Times New Roman"/>
      <family val="1"/>
    </font>
    <font>
      <sz val="9"/>
      <color rgb="FF000000"/>
      <name val="Calibri"/>
      <family val="2"/>
    </font>
    <font>
      <sz val="9"/>
      <name val="Calibri"/>
      <family val="2"/>
    </font>
    <font>
      <b/>
      <sz val="9"/>
      <color rgb="FF000000"/>
      <name val="Calibri"/>
      <family val="2"/>
    </font>
    <font>
      <sz val="9"/>
      <color rgb="FFFFFFFF"/>
      <name val="Calibri"/>
      <family val="2"/>
    </font>
    <font>
      <b/>
      <sz val="9"/>
      <color theme="0"/>
      <name val="Calibri"/>
      <family val="2"/>
    </font>
    <font>
      <i/>
      <sz val="9"/>
      <color rgb="FFA6A6A6"/>
      <name val="Calibri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sz val="9"/>
      <color theme="1"/>
      <name val="Calibri"/>
      <family val="2"/>
    </font>
    <font>
      <sz val="8"/>
      <name val="Times New Roman"/>
      <family val="1"/>
    </font>
    <font>
      <b/>
      <sz val="9"/>
      <color rgb="FF0000FF"/>
      <name val="Wingdings 2"/>
      <family val="1"/>
      <charset val="2"/>
    </font>
    <font>
      <i/>
      <sz val="9"/>
      <name val="Calibri"/>
      <family val="2"/>
      <scheme val="minor"/>
    </font>
    <font>
      <sz val="10"/>
      <name val="Arial Narrow"/>
      <family val="2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u/>
      <sz val="10"/>
      <color theme="3" tint="-0.499984740745262"/>
      <name val="Calibri"/>
      <family val="2"/>
      <scheme val="minor"/>
    </font>
    <font>
      <sz val="8"/>
      <name val="Calibri"/>
      <family val="2"/>
    </font>
    <font>
      <sz val="10"/>
      <name val="Calibri"/>
      <family val="2"/>
    </font>
    <font>
      <b/>
      <sz val="11"/>
      <color rgb="FF003A63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1"/>
      <color rgb="FFFFFFFF"/>
      <name val="Calibri"/>
      <family val="2"/>
    </font>
    <font>
      <sz val="11"/>
      <name val="Calibri"/>
      <family val="2"/>
    </font>
    <font>
      <b/>
      <sz val="11"/>
      <name val="Calibri"/>
      <family val="2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0"/>
      <color rgb="FFFFFFFF"/>
      <name val="Calibri"/>
      <family val="2"/>
      <scheme val="minor"/>
    </font>
    <font>
      <b/>
      <sz val="10"/>
      <color rgb="FF1F497D"/>
      <name val="Calibri"/>
      <family val="2"/>
      <scheme val="minor"/>
    </font>
    <font>
      <b/>
      <sz val="9"/>
      <color rgb="FFFFFFFF"/>
      <name val="Calibri"/>
      <family val="2"/>
      <scheme val="minor"/>
    </font>
    <font>
      <sz val="8"/>
      <color theme="1"/>
      <name val="Arial"/>
      <family val="2"/>
    </font>
    <font>
      <b/>
      <sz val="10"/>
      <color rgb="FF00000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7"/>
      <color rgb="FF000000"/>
      <name val="Montserrat"/>
    </font>
    <font>
      <b/>
      <sz val="9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vertAlign val="superscript"/>
      <sz val="9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i/>
      <sz val="8"/>
      <color theme="1"/>
      <name val="Arial"/>
      <family val="2"/>
    </font>
    <font>
      <i/>
      <sz val="8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sz val="9"/>
      <color rgb="FF002060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rgb="FFC00000"/>
      <name val="Calibri"/>
      <family val="2"/>
    </font>
    <font>
      <b/>
      <sz val="10"/>
      <color rgb="FFC00000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theme="1"/>
      <name val="Aptos Narrow"/>
      <family val="2"/>
    </font>
    <font>
      <b/>
      <sz val="10"/>
      <color indexed="9"/>
      <name val="Aptos Narrow"/>
      <family val="2"/>
    </font>
    <font>
      <sz val="11"/>
      <color theme="1"/>
      <name val="Aptos Narrow"/>
      <family val="2"/>
    </font>
    <font>
      <b/>
      <sz val="11"/>
      <color theme="0"/>
      <name val="Aptos Narrow"/>
      <family val="2"/>
    </font>
    <font>
      <i/>
      <sz val="11"/>
      <color theme="1"/>
      <name val="Aptos Narrow"/>
      <family val="2"/>
    </font>
    <font>
      <b/>
      <sz val="11"/>
      <color theme="1"/>
      <name val="Aptos Narrow"/>
      <family val="2"/>
    </font>
    <font>
      <sz val="11"/>
      <color theme="0"/>
      <name val="Aptos Narrow"/>
      <family val="2"/>
    </font>
    <font>
      <i/>
      <sz val="11"/>
      <color theme="0"/>
      <name val="Aptos Narrow"/>
      <family val="2"/>
    </font>
    <font>
      <sz val="10"/>
      <color theme="1"/>
      <name val="Arial Narrow"/>
      <family val="2"/>
    </font>
    <font>
      <sz val="10"/>
      <color rgb="FF000000"/>
      <name val="Arial Narrow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rial Narrow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Courier"/>
      <family val="3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8"/>
      <name val="MS Sans Serif"/>
      <family val="2"/>
    </font>
    <font>
      <sz val="12"/>
      <name val="Helv"/>
    </font>
    <font>
      <sz val="14"/>
      <color indexed="8"/>
      <name val="Arial"/>
      <family val="2"/>
    </font>
    <font>
      <sz val="11"/>
      <color indexed="20"/>
      <name val="Calibri"/>
      <family val="2"/>
    </font>
    <font>
      <sz val="12"/>
      <name val="Tms Rmn"/>
    </font>
    <font>
      <sz val="8"/>
      <name val="SwitzerlandLight"/>
    </font>
    <font>
      <sz val="7"/>
      <name val="SwitzerlandLight"/>
    </font>
    <font>
      <sz val="11"/>
      <color indexed="17"/>
      <name val="Calibri"/>
      <family val="2"/>
    </font>
    <font>
      <sz val="1"/>
      <color indexed="8"/>
      <name val="Courier"/>
      <family val="3"/>
    </font>
    <font>
      <b/>
      <sz val="10"/>
      <color indexed="18"/>
      <name val="Arial"/>
      <family val="2"/>
    </font>
    <font>
      <sz val="9"/>
      <name val="Times New Roman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8"/>
      <name val="Arial"/>
      <family val="2"/>
    </font>
    <font>
      <sz val="10"/>
      <name val="Helv"/>
    </font>
    <font>
      <sz val="10"/>
      <color indexed="24"/>
      <name val="Arial"/>
      <family val="2"/>
    </font>
    <font>
      <sz val="10"/>
      <name val="MS Sans Serif"/>
      <family val="2"/>
    </font>
    <font>
      <sz val="11"/>
      <name val="??"/>
      <family val="3"/>
      <charset val="129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48"/>
      <color indexed="12"/>
      <name val="Lucida Console"/>
      <family val="3"/>
    </font>
    <font>
      <sz val="10"/>
      <color indexed="18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11"/>
      <color indexed="56"/>
      <name val="Calibri"/>
      <family val="2"/>
    </font>
    <font>
      <sz val="10"/>
      <color indexed="12"/>
      <name val="Arial"/>
      <family val="2"/>
    </font>
    <font>
      <shadow/>
      <sz val="8"/>
      <color indexed="12"/>
      <name val="Times New Roman"/>
      <family val="1"/>
    </font>
    <font>
      <b/>
      <sz val="12"/>
      <color indexed="8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Palatino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9"/>
      <name val="Arial"/>
      <family val="2"/>
    </font>
    <font>
      <sz val="1"/>
      <color indexed="18"/>
      <name val="Courier"/>
      <family val="3"/>
    </font>
    <font>
      <b/>
      <sz val="10"/>
      <color indexed="32"/>
      <name val="Arial"/>
      <family val="2"/>
    </font>
    <font>
      <b/>
      <sz val="12"/>
      <name val="Univers (WN)"/>
    </font>
    <font>
      <sz val="11"/>
      <color indexed="10"/>
      <name val="Calibri"/>
      <family val="2"/>
    </font>
    <font>
      <sz val="8"/>
      <name val="CG Times (E1)"/>
    </font>
    <font>
      <b/>
      <sz val="18"/>
      <color indexed="56"/>
      <name val="Cambria"/>
      <family val="2"/>
    </font>
    <font>
      <b/>
      <u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62"/>
      <name val="Cambria"/>
      <family val="2"/>
    </font>
    <font>
      <sz val="10"/>
      <color indexed="32"/>
      <name val="Arial"/>
      <family val="2"/>
    </font>
    <font>
      <sz val="10"/>
      <name val="Univers (E1)"/>
    </font>
    <font>
      <sz val="8"/>
      <color indexed="12"/>
      <name val="Arial"/>
      <family val="2"/>
    </font>
    <font>
      <sz val="10"/>
      <color indexed="10"/>
      <name val="Arial"/>
      <family val="2"/>
    </font>
    <font>
      <u/>
      <sz val="10"/>
      <color indexed="36"/>
      <name val="Courier"/>
      <family val="3"/>
    </font>
    <font>
      <u/>
      <sz val="10"/>
      <color indexed="12"/>
      <name val="Arial Narrow"/>
      <family val="2"/>
    </font>
    <font>
      <sz val="11"/>
      <name val="Arial"/>
      <family val="2"/>
    </font>
    <font>
      <sz val="10"/>
      <name val="Palatino"/>
      <family val="1"/>
    </font>
    <font>
      <sz val="10"/>
      <name val="Century Gothic"/>
      <family val="2"/>
    </font>
    <font>
      <b/>
      <sz val="10"/>
      <name val="MS Sans Serif"/>
      <family val="2"/>
    </font>
    <font>
      <b/>
      <i/>
      <sz val="14"/>
      <name val="Arial"/>
      <family val="2"/>
    </font>
    <font>
      <b/>
      <sz val="11"/>
      <color indexed="8"/>
      <name val="Calibri"/>
      <family val="2"/>
    </font>
    <font>
      <sz val="10"/>
      <name val="Tms Rmn"/>
    </font>
    <font>
      <b/>
      <sz val="10"/>
      <name val="Tms Rmn"/>
    </font>
    <font>
      <u/>
      <sz val="10"/>
      <color indexed="36"/>
      <name val="Arial"/>
      <family val="2"/>
    </font>
    <font>
      <b/>
      <sz val="10"/>
      <color indexed="37"/>
      <name val="Arial"/>
      <family val="2"/>
    </font>
    <font>
      <b/>
      <sz val="14"/>
      <color indexed="18"/>
      <name val="Times New Roman"/>
      <family val="1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u/>
      <sz val="12"/>
      <name val="Tms Rmn"/>
    </font>
    <font>
      <b/>
      <sz val="12"/>
      <name val="Tms Rmn"/>
    </font>
    <font>
      <sz val="10"/>
      <color rgb="FFFF0000"/>
      <name val="Arial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sz val="12"/>
      <name val="Times New Roman"/>
      <family val="1"/>
    </font>
    <font>
      <sz val="10"/>
      <name val="Geneva"/>
    </font>
    <font>
      <sz val="9"/>
      <color indexed="8"/>
      <name val="Calibri"/>
      <family val="2"/>
    </font>
    <font>
      <sz val="9"/>
      <color indexed="9"/>
      <name val="Calibri"/>
      <family val="2"/>
    </font>
    <font>
      <sz val="8"/>
      <color indexed="12"/>
      <name val="Helv"/>
    </font>
    <font>
      <sz val="10"/>
      <name val="FuturaA Bk BT"/>
    </font>
    <font>
      <sz val="9"/>
      <color indexed="20"/>
      <name val="Calibri"/>
      <family val="2"/>
    </font>
    <font>
      <sz val="8"/>
      <name val="Geneva"/>
    </font>
    <font>
      <b/>
      <sz val="12"/>
      <name val="Times New Roman"/>
      <family val="1"/>
    </font>
    <font>
      <sz val="7"/>
      <name val="Times New Roman"/>
      <family val="1"/>
    </font>
    <font>
      <b/>
      <sz val="11"/>
      <color indexed="10"/>
      <name val="Calibri"/>
      <family val="2"/>
    </font>
    <font>
      <b/>
      <sz val="10"/>
      <color indexed="12"/>
      <name val="Arial"/>
      <family val="2"/>
    </font>
    <font>
      <b/>
      <sz val="9"/>
      <color indexed="9"/>
      <name val="Calibri"/>
      <family val="2"/>
    </font>
    <font>
      <sz val="12"/>
      <name val="Arial MT"/>
    </font>
    <font>
      <sz val="11"/>
      <name val="Tms Rmn"/>
    </font>
    <font>
      <sz val="8"/>
      <name val="Palatino"/>
      <family val="1"/>
    </font>
    <font>
      <sz val="10"/>
      <name val="BERNHARD"/>
    </font>
    <font>
      <sz val="7.5"/>
      <color indexed="12"/>
      <name val="Arial"/>
      <family val="2"/>
    </font>
    <font>
      <b/>
      <sz val="1"/>
      <color indexed="8"/>
      <name val="Courier"/>
      <family val="3"/>
    </font>
    <font>
      <i/>
      <sz val="9"/>
      <color indexed="23"/>
      <name val="Calibri"/>
      <family val="2"/>
    </font>
    <font>
      <sz val="7"/>
      <name val="Palatino"/>
      <family val="1"/>
    </font>
    <font>
      <sz val="9"/>
      <color indexed="17"/>
      <name val="Calibri"/>
      <family val="2"/>
    </font>
    <font>
      <i/>
      <sz val="14"/>
      <name val="Palatino"/>
      <family val="1"/>
    </font>
    <font>
      <u/>
      <sz val="11"/>
      <color theme="10"/>
      <name val="Calibri"/>
      <family val="2"/>
    </font>
    <font>
      <b/>
      <sz val="9"/>
      <name val="Geneva"/>
    </font>
    <font>
      <b/>
      <sz val="10"/>
      <name val="Palatino"/>
      <family val="1"/>
    </font>
    <font>
      <sz val="9"/>
      <color indexed="52"/>
      <name val="Calibri"/>
      <family val="2"/>
    </font>
    <font>
      <sz val="8"/>
      <color indexed="8"/>
      <name val="Helv"/>
    </font>
    <font>
      <sz val="10"/>
      <name val="Arial CE"/>
      <charset val="238"/>
    </font>
    <font>
      <sz val="10"/>
      <color indexed="20"/>
      <name val="Times New Roman"/>
      <family val="1"/>
    </font>
    <font>
      <sz val="9"/>
      <color indexed="60"/>
      <name val="Calibri"/>
      <family val="2"/>
    </font>
    <font>
      <sz val="19"/>
      <name val="Helv"/>
    </font>
    <font>
      <sz val="8"/>
      <name val="Helv"/>
      <charset val="204"/>
    </font>
    <font>
      <i/>
      <sz val="10"/>
      <name val="MS Sans Serif"/>
      <family val="2"/>
    </font>
    <font>
      <b/>
      <sz val="9"/>
      <color indexed="63"/>
      <name val="Calibri"/>
      <family val="2"/>
    </font>
    <font>
      <b/>
      <sz val="11"/>
      <color indexed="16"/>
      <name val="Times New Roman"/>
      <family val="1"/>
    </font>
    <font>
      <sz val="10"/>
      <color indexed="16"/>
      <name val="Helvetica-Black"/>
      <family val="2"/>
    </font>
    <font>
      <sz val="22"/>
      <name val="UBSHeadline"/>
      <family val="1"/>
    </font>
    <font>
      <sz val="8"/>
      <name val="Helv"/>
    </font>
    <font>
      <i/>
      <sz val="10"/>
      <color indexed="10"/>
      <name val="Futura Bk BT"/>
      <family val="2"/>
    </font>
    <font>
      <sz val="10"/>
      <name val="Futura Bk BT"/>
    </font>
    <font>
      <sz val="10"/>
      <color indexed="10"/>
      <name val="MS Sans Serif"/>
      <family val="2"/>
    </font>
    <font>
      <b/>
      <sz val="16"/>
      <color indexed="23"/>
      <name val="Arial"/>
      <family val="2"/>
    </font>
    <font>
      <b/>
      <sz val="18"/>
      <color indexed="9"/>
      <name val="Arial"/>
      <family val="2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b/>
      <sz val="8"/>
      <name val="Times New Roman"/>
      <family val="1"/>
    </font>
    <font>
      <sz val="9"/>
      <name val="Tms Rmn"/>
    </font>
    <font>
      <b/>
      <sz val="11"/>
      <name val="Times New Roman"/>
      <family val="1"/>
    </font>
    <font>
      <b/>
      <sz val="7"/>
      <color indexed="12"/>
      <name val="Arial"/>
      <family val="2"/>
    </font>
    <font>
      <sz val="8"/>
      <color indexed="10"/>
      <name val="Arial Narrow"/>
      <family val="2"/>
    </font>
    <font>
      <sz val="12"/>
      <color indexed="14"/>
      <name val="Times New Roman"/>
      <family val="1"/>
    </font>
    <font>
      <sz val="9"/>
      <color indexed="10"/>
      <name val="Calibri"/>
      <family val="2"/>
    </font>
    <font>
      <sz val="10"/>
      <name val="Arial Cyr"/>
      <charset val="204"/>
    </font>
    <font>
      <sz val="10"/>
      <name val="NTHarmonica"/>
    </font>
    <font>
      <sz val="11"/>
      <name val="Times New Roman"/>
      <family val="1"/>
    </font>
    <font>
      <b/>
      <sz val="10"/>
      <color theme="0"/>
      <name val="Arial"/>
      <family val="2"/>
    </font>
    <font>
      <sz val="10"/>
      <name val="Tahoma"/>
      <family val="2"/>
    </font>
    <font>
      <sz val="10"/>
      <color rgb="FFFA7D00"/>
      <name val="Arial"/>
      <family val="2"/>
    </font>
    <font>
      <u/>
      <sz val="11"/>
      <color indexed="12"/>
      <name val="Calibri"/>
      <family val="2"/>
    </font>
    <font>
      <u/>
      <sz val="7.5"/>
      <color indexed="12"/>
      <name val="Arial"/>
      <family val="2"/>
    </font>
    <font>
      <sz val="10"/>
      <color rgb="FF9C0006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3"/>
      <name val="Arial"/>
      <family val="2"/>
    </font>
    <font>
      <b/>
      <sz val="11"/>
      <color theme="0"/>
      <name val="Aptos Narrow"/>
      <family val="2"/>
    </font>
    <font>
      <sz val="11"/>
      <color theme="1"/>
      <name val="Aptos Narrow"/>
      <family val="2"/>
    </font>
    <font>
      <b/>
      <sz val="11"/>
      <color theme="1"/>
      <name val="Aptos Narrow"/>
      <family val="2"/>
    </font>
  </fonts>
  <fills count="12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1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3"/>
        <bgColor indexed="64"/>
      </patternFill>
    </fill>
    <fill>
      <patternFill patternType="gray0625"/>
    </fill>
    <fill>
      <patternFill patternType="solid">
        <fgColor indexed="9"/>
        <bgColor indexed="19"/>
      </patternFill>
    </fill>
    <fill>
      <patternFill patternType="solid">
        <fgColor indexed="9"/>
        <bgColor indexed="43"/>
      </patternFill>
    </fill>
    <fill>
      <patternFill patternType="solid">
        <fgColor indexed="5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1"/>
      </patternFill>
    </fill>
    <fill>
      <patternFill patternType="solid">
        <fgColor indexed="50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3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33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38"/>
      </patternFill>
    </fill>
    <fill>
      <patternFill patternType="solid">
        <f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gray0625">
        <fgColor indexed="11"/>
      </patternFill>
    </fill>
    <fill>
      <patternFill patternType="solid">
        <fgColor indexed="31"/>
        <bgColor indexed="64"/>
      </patternFill>
    </fill>
    <fill>
      <patternFill patternType="solid">
        <fgColor indexed="54"/>
      </patternFill>
    </fill>
    <fill>
      <patternFill patternType="solid">
        <fgColor indexed="23"/>
        <bgColor indexed="64"/>
      </patternFill>
    </fill>
    <fill>
      <patternFill patternType="solid">
        <fgColor indexed="35"/>
        <bgColor indexed="64"/>
      </patternFill>
    </fill>
    <fill>
      <patternFill patternType="gray125">
        <f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indexed="62"/>
      </top>
      <bottom style="medium">
        <color rgb="FF003A63"/>
      </bottom>
      <diagonal/>
    </border>
    <border>
      <left/>
      <right/>
      <top/>
      <bottom style="medium">
        <color rgb="FF003A63"/>
      </bottom>
      <diagonal/>
    </border>
    <border>
      <left/>
      <right/>
      <top style="medium">
        <color rgb="FF003A63"/>
      </top>
      <bottom style="medium">
        <color rgb="FF003A63"/>
      </bottom>
      <diagonal/>
    </border>
    <border>
      <left/>
      <right/>
      <top style="medium">
        <color rgb="FF003A6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rgb="FF00206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18"/>
      </left>
      <right/>
      <top style="thick">
        <color indexed="1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dotted">
        <color indexed="64"/>
      </bottom>
      <diagonal/>
    </border>
    <border>
      <left style="double">
        <color indexed="10"/>
      </left>
      <right style="double">
        <color indexed="10"/>
      </right>
      <top style="double">
        <color indexed="10"/>
      </top>
      <bottom style="double">
        <color indexed="1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</borders>
  <cellStyleXfs count="43991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9" fontId="23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" fillId="0" borderId="0"/>
    <xf numFmtId="164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11" fillId="0" borderId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" fillId="0" borderId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8" fillId="0" borderId="0" applyProtection="0">
      <alignment vertical="center"/>
    </xf>
    <xf numFmtId="0" fontId="11" fillId="0" borderId="0"/>
    <xf numFmtId="0" fontId="33" fillId="0" borderId="0"/>
    <xf numFmtId="43" fontId="1" fillId="0" borderId="0" applyFont="0" applyFill="0" applyBorder="0" applyAlignment="0" applyProtection="0"/>
    <xf numFmtId="0" fontId="102" fillId="0" borderId="0"/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1" fillId="0" borderId="0"/>
    <xf numFmtId="0" fontId="11" fillId="0" borderId="0"/>
    <xf numFmtId="0" fontId="11" fillId="0" borderId="0"/>
    <xf numFmtId="3" fontId="110" fillId="52" borderId="0">
      <alignment horizontal="left"/>
    </xf>
    <xf numFmtId="0" fontId="40" fillId="53" borderId="0" applyNumberFormat="0" applyBorder="0" applyAlignment="0" applyProtection="0"/>
    <xf numFmtId="0" fontId="40" fillId="54" borderId="0" applyNumberFormat="0" applyBorder="0" applyAlignment="0" applyProtection="0"/>
    <xf numFmtId="0" fontId="40" fillId="55" borderId="0" applyNumberFormat="0" applyBorder="0" applyAlignment="0" applyProtection="0"/>
    <xf numFmtId="0" fontId="40" fillId="56" borderId="0" applyNumberFormat="0" applyBorder="0" applyAlignment="0" applyProtection="0"/>
    <xf numFmtId="0" fontId="40" fillId="57" borderId="0" applyNumberFormat="0" applyBorder="0" applyAlignment="0" applyProtection="0"/>
    <xf numFmtId="0" fontId="40" fillId="58" borderId="0" applyNumberFormat="0" applyBorder="0" applyAlignment="0" applyProtection="0"/>
    <xf numFmtId="0" fontId="40" fillId="53" borderId="0" applyNumberFormat="0" applyBorder="0" applyAlignment="0" applyProtection="0"/>
    <xf numFmtId="0" fontId="40" fillId="54" borderId="0" applyNumberFormat="0" applyBorder="0" applyAlignment="0" applyProtection="0"/>
    <xf numFmtId="0" fontId="40" fillId="55" borderId="0" applyNumberFormat="0" applyBorder="0" applyAlignment="0" applyProtection="0"/>
    <xf numFmtId="0" fontId="40" fillId="56" borderId="0" applyNumberFormat="0" applyBorder="0" applyAlignment="0" applyProtection="0"/>
    <xf numFmtId="0" fontId="40" fillId="57" borderId="0" applyNumberFormat="0" applyBorder="0" applyAlignment="0" applyProtection="0"/>
    <xf numFmtId="0" fontId="40" fillId="58" borderId="0" applyNumberFormat="0" applyBorder="0" applyAlignment="0" applyProtection="0"/>
    <xf numFmtId="3" fontId="111" fillId="59" borderId="0"/>
    <xf numFmtId="0" fontId="40" fillId="60" borderId="0" applyNumberFormat="0" applyBorder="0" applyAlignment="0" applyProtection="0"/>
    <xf numFmtId="0" fontId="40" fillId="61" borderId="0" applyNumberFormat="0" applyBorder="0" applyAlignment="0" applyProtection="0"/>
    <xf numFmtId="0" fontId="40" fillId="62" borderId="0" applyNumberFormat="0" applyBorder="0" applyAlignment="0" applyProtection="0"/>
    <xf numFmtId="0" fontId="40" fillId="56" borderId="0" applyNumberFormat="0" applyBorder="0" applyAlignment="0" applyProtection="0"/>
    <xf numFmtId="0" fontId="40" fillId="60" borderId="0" applyNumberFormat="0" applyBorder="0" applyAlignment="0" applyProtection="0"/>
    <xf numFmtId="0" fontId="40" fillId="63" borderId="0" applyNumberFormat="0" applyBorder="0" applyAlignment="0" applyProtection="0"/>
    <xf numFmtId="0" fontId="40" fillId="60" borderId="0" applyNumberFormat="0" applyBorder="0" applyAlignment="0" applyProtection="0"/>
    <xf numFmtId="0" fontId="40" fillId="61" borderId="0" applyNumberFormat="0" applyBorder="0" applyAlignment="0" applyProtection="0"/>
    <xf numFmtId="0" fontId="40" fillId="62" borderId="0" applyNumberFormat="0" applyBorder="0" applyAlignment="0" applyProtection="0"/>
    <xf numFmtId="0" fontId="40" fillId="56" borderId="0" applyNumberFormat="0" applyBorder="0" applyAlignment="0" applyProtection="0"/>
    <xf numFmtId="0" fontId="40" fillId="60" borderId="0" applyNumberFormat="0" applyBorder="0" applyAlignment="0" applyProtection="0"/>
    <xf numFmtId="0" fontId="40" fillId="63" borderId="0" applyNumberFormat="0" applyBorder="0" applyAlignment="0" applyProtection="0"/>
    <xf numFmtId="0" fontId="112" fillId="64" borderId="0" applyNumberFormat="0" applyBorder="0" applyAlignment="0" applyProtection="0"/>
    <xf numFmtId="0" fontId="112" fillId="61" borderId="0" applyNumberFormat="0" applyBorder="0" applyAlignment="0" applyProtection="0"/>
    <xf numFmtId="0" fontId="112" fillId="62" borderId="0" applyNumberFormat="0" applyBorder="0" applyAlignment="0" applyProtection="0"/>
    <xf numFmtId="0" fontId="112" fillId="65" borderId="0" applyNumberFormat="0" applyBorder="0" applyAlignment="0" applyProtection="0"/>
    <xf numFmtId="0" fontId="112" fillId="66" borderId="0" applyNumberFormat="0" applyBorder="0" applyAlignment="0" applyProtection="0"/>
    <xf numFmtId="0" fontId="112" fillId="67" borderId="0" applyNumberFormat="0" applyBorder="0" applyAlignment="0" applyProtection="0"/>
    <xf numFmtId="0" fontId="112" fillId="64" borderId="0" applyNumberFormat="0" applyBorder="0" applyAlignment="0" applyProtection="0"/>
    <xf numFmtId="0" fontId="112" fillId="61" borderId="0" applyNumberFormat="0" applyBorder="0" applyAlignment="0" applyProtection="0"/>
    <xf numFmtId="0" fontId="112" fillId="62" borderId="0" applyNumberFormat="0" applyBorder="0" applyAlignment="0" applyProtection="0"/>
    <xf numFmtId="0" fontId="112" fillId="65" borderId="0" applyNumberFormat="0" applyBorder="0" applyAlignment="0" applyProtection="0"/>
    <xf numFmtId="0" fontId="112" fillId="66" borderId="0" applyNumberFormat="0" applyBorder="0" applyAlignment="0" applyProtection="0"/>
    <xf numFmtId="0" fontId="112" fillId="67" borderId="0" applyNumberFormat="0" applyBorder="0" applyAlignment="0" applyProtection="0"/>
    <xf numFmtId="0" fontId="113" fillId="0" borderId="0"/>
    <xf numFmtId="0" fontId="113" fillId="0" borderId="0"/>
    <xf numFmtId="0" fontId="113" fillId="0" borderId="0"/>
    <xf numFmtId="37" fontId="114" fillId="0" borderId="0"/>
    <xf numFmtId="0" fontId="114" fillId="0" borderId="1" applyBorder="0"/>
    <xf numFmtId="0" fontId="112" fillId="68" borderId="0" applyNumberFormat="0" applyBorder="0" applyAlignment="0" applyProtection="0"/>
    <xf numFmtId="0" fontId="112" fillId="69" borderId="0" applyNumberFormat="0" applyBorder="0" applyAlignment="0" applyProtection="0"/>
    <xf numFmtId="0" fontId="112" fillId="70" borderId="0" applyNumberFormat="0" applyBorder="0" applyAlignment="0" applyProtection="0"/>
    <xf numFmtId="0" fontId="112" fillId="65" borderId="0" applyNumberFormat="0" applyBorder="0" applyAlignment="0" applyProtection="0"/>
    <xf numFmtId="0" fontId="112" fillId="66" borderId="0" applyNumberFormat="0" applyBorder="0" applyAlignment="0" applyProtection="0"/>
    <xf numFmtId="0" fontId="112" fillId="71" borderId="0" applyNumberFormat="0" applyBorder="0" applyAlignment="0" applyProtection="0"/>
    <xf numFmtId="200" fontId="70" fillId="72" borderId="40">
      <alignment horizontal="center" vertical="center"/>
    </xf>
    <xf numFmtId="0" fontId="11" fillId="0" borderId="0"/>
    <xf numFmtId="10" fontId="11" fillId="73" borderId="0" applyFont="0" applyBorder="0" applyAlignment="0">
      <protection locked="0"/>
    </xf>
    <xf numFmtId="197" fontId="11" fillId="73" borderId="0" applyBorder="0" applyAlignment="0">
      <protection locked="0"/>
    </xf>
    <xf numFmtId="3" fontId="110" fillId="0" borderId="0" applyNumberFormat="0" applyFill="0" applyBorder="0" applyAlignment="0" applyProtection="0"/>
    <xf numFmtId="3" fontId="115" fillId="0" borderId="0" applyNumberFormat="0" applyFill="0" applyBorder="0" applyAlignment="0" applyProtection="0"/>
    <xf numFmtId="0" fontId="116" fillId="54" borderId="0" applyNumberFormat="0" applyBorder="0" applyAlignment="0" applyProtection="0"/>
    <xf numFmtId="0" fontId="117" fillId="0" borderId="0" applyNumberFormat="0" applyFill="0" applyBorder="0" applyAlignment="0" applyProtection="0"/>
    <xf numFmtId="0" fontId="11" fillId="0" borderId="0" applyNumberFormat="0" applyFill="0" applyBorder="0" applyAlignment="0"/>
    <xf numFmtId="201" fontId="118" fillId="0" borderId="0">
      <alignment vertical="top"/>
    </xf>
    <xf numFmtId="202" fontId="119" fillId="0" borderId="41"/>
    <xf numFmtId="0" fontId="120" fillId="55" borderId="0" applyNumberFormat="0" applyBorder="0" applyAlignment="0" applyProtection="0"/>
    <xf numFmtId="0" fontId="121" fillId="0" borderId="0">
      <protection locked="0"/>
    </xf>
    <xf numFmtId="0" fontId="121" fillId="0" borderId="0">
      <protection locked="0"/>
    </xf>
    <xf numFmtId="14" fontId="122" fillId="74" borderId="42" applyBorder="0" applyAlignment="0">
      <alignment horizontal="center" vertical="center"/>
    </xf>
    <xf numFmtId="0" fontId="122" fillId="75" borderId="42" applyNumberFormat="0" applyBorder="0" applyAlignment="0">
      <alignment horizontal="center" vertical="center"/>
    </xf>
    <xf numFmtId="0" fontId="11" fillId="0" borderId="0" applyFill="0" applyBorder="0" applyAlignment="0"/>
    <xf numFmtId="201" fontId="123" fillId="0" borderId="0" applyFill="0" applyBorder="0" applyAlignment="0"/>
    <xf numFmtId="198" fontId="123" fillId="0" borderId="0" applyFill="0" applyBorder="0" applyAlignment="0"/>
    <xf numFmtId="199" fontId="109" fillId="0" borderId="0" applyFill="0" applyBorder="0" applyAlignment="0"/>
    <xf numFmtId="203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201" fontId="123" fillId="0" borderId="0" applyFill="0" applyBorder="0" applyAlignment="0"/>
    <xf numFmtId="0" fontId="124" fillId="76" borderId="43" applyNumberFormat="0" applyAlignment="0" applyProtection="0"/>
    <xf numFmtId="0" fontId="124" fillId="76" borderId="43" applyNumberFormat="0" applyAlignment="0" applyProtection="0"/>
    <xf numFmtId="40" fontId="123" fillId="73" borderId="44">
      <alignment vertical="center"/>
    </xf>
    <xf numFmtId="0" fontId="125" fillId="77" borderId="45" applyNumberFormat="0" applyAlignment="0" applyProtection="0"/>
    <xf numFmtId="0" fontId="126" fillId="0" borderId="46" applyNumberFormat="0" applyFill="0" applyAlignment="0" applyProtection="0"/>
    <xf numFmtId="0" fontId="125" fillId="77" borderId="45" applyNumberFormat="0" applyAlignment="0" applyProtection="0"/>
    <xf numFmtId="0" fontId="127" fillId="78" borderId="47" applyFont="0" applyFill="0" applyBorder="0"/>
    <xf numFmtId="0" fontId="107" fillId="0" borderId="48"/>
    <xf numFmtId="0" fontId="128" fillId="0" borderId="49"/>
    <xf numFmtId="4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129" fillId="0" borderId="0" applyFont="0" applyFill="0" applyBorder="0" applyAlignment="0" applyProtection="0"/>
    <xf numFmtId="43" fontId="11" fillId="79" borderId="0" applyNumberFormat="0" applyFont="0" applyBorder="0" applyAlignment="0" applyProtection="0"/>
    <xf numFmtId="0" fontId="128" fillId="0" borderId="49"/>
    <xf numFmtId="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215" fontId="11" fillId="0" borderId="0" applyFont="0" applyFill="0" applyBorder="0" applyAlignment="0" applyProtection="0"/>
    <xf numFmtId="201" fontId="123" fillId="0" borderId="0" applyFont="0" applyFill="0" applyBorder="0" applyAlignment="0" applyProtection="0"/>
    <xf numFmtId="216" fontId="11" fillId="0" borderId="0" applyFont="0" applyFill="0" applyBorder="0" applyAlignment="0" applyProtection="0"/>
    <xf numFmtId="204" fontId="129" fillId="0" borderId="0" applyFont="0" applyFill="0" applyBorder="0" applyAlignment="0" applyProtection="0"/>
    <xf numFmtId="0" fontId="121" fillId="0" borderId="0">
      <protection locked="0"/>
    </xf>
    <xf numFmtId="196" fontId="131" fillId="0" borderId="0">
      <protection locked="0"/>
    </xf>
    <xf numFmtId="14" fontId="104" fillId="0" borderId="0" applyFill="0" applyBorder="0" applyAlignment="0"/>
    <xf numFmtId="0" fontId="11" fillId="0" borderId="0" applyFont="0" applyFill="0" applyBorder="0" applyProtection="0">
      <alignment horizontal="left"/>
    </xf>
    <xf numFmtId="0" fontId="11" fillId="0" borderId="0" applyFont="0" applyFill="0" applyBorder="0" applyAlignment="0" applyProtection="0">
      <protection locked="0"/>
    </xf>
    <xf numFmtId="39" fontId="128" fillId="0" borderId="0" applyFont="0" applyFill="0" applyBorder="0" applyAlignment="0" applyProtection="0"/>
    <xf numFmtId="0" fontId="130" fillId="0" borderId="0" applyFont="0" applyFill="0" applyBorder="0" applyAlignment="0"/>
    <xf numFmtId="0" fontId="11" fillId="0" borderId="50">
      <alignment vertical="center"/>
    </xf>
    <xf numFmtId="0" fontId="112" fillId="68" borderId="0" applyNumberFormat="0" applyBorder="0" applyAlignment="0" applyProtection="0"/>
    <xf numFmtId="0" fontId="112" fillId="69" borderId="0" applyNumberFormat="0" applyBorder="0" applyAlignment="0" applyProtection="0"/>
    <xf numFmtId="0" fontId="112" fillId="70" borderId="0" applyNumberFormat="0" applyBorder="0" applyAlignment="0" applyProtection="0"/>
    <xf numFmtId="0" fontId="112" fillId="65" borderId="0" applyNumberFormat="0" applyBorder="0" applyAlignment="0" applyProtection="0"/>
    <xf numFmtId="0" fontId="112" fillId="66" borderId="0" applyNumberFormat="0" applyBorder="0" applyAlignment="0" applyProtection="0"/>
    <xf numFmtId="0" fontId="112" fillId="71" borderId="0" applyNumberFormat="0" applyBorder="0" applyAlignment="0" applyProtection="0"/>
    <xf numFmtId="0" fontId="11" fillId="0" borderId="0" applyFill="0" applyBorder="0" applyAlignment="0"/>
    <xf numFmtId="201" fontId="123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201" fontId="123" fillId="0" borderId="0" applyFill="0" applyBorder="0" applyAlignment="0"/>
    <xf numFmtId="0" fontId="132" fillId="58" borderId="43" applyNumberFormat="0" applyAlignment="0" applyProtection="0"/>
    <xf numFmtId="0" fontId="109" fillId="0" borderId="0">
      <alignment vertical="center"/>
    </xf>
    <xf numFmtId="0" fontId="11" fillId="0" borderId="0" applyFont="0" applyFill="0" applyBorder="0" applyAlignment="0" applyProtection="0"/>
    <xf numFmtId="3" fontId="70" fillId="0" borderId="51" applyFill="0" applyBorder="0"/>
    <xf numFmtId="0" fontId="133" fillId="0" borderId="0" applyNumberFormat="0" applyFill="0" applyBorder="0" applyAlignment="0" applyProtection="0"/>
    <xf numFmtId="37" fontId="33" fillId="0" borderId="0" applyBorder="0" applyAlignment="0"/>
    <xf numFmtId="165" fontId="11" fillId="0" borderId="0">
      <protection locked="0"/>
    </xf>
    <xf numFmtId="205" fontId="121" fillId="0" borderId="0">
      <protection locked="0"/>
    </xf>
    <xf numFmtId="0" fontId="165" fillId="0" borderId="0" applyNumberFormat="0" applyFill="0" applyBorder="0" applyAlignment="0" applyProtection="0">
      <alignment vertical="top"/>
      <protection locked="0"/>
    </xf>
    <xf numFmtId="0" fontId="134" fillId="73" borderId="0" applyNumberFormat="0" applyFont="0" applyBorder="0" applyAlignment="0" applyProtection="0">
      <alignment horizontal="centerContinuous"/>
    </xf>
    <xf numFmtId="0" fontId="134" fillId="80" borderId="0" applyNumberFormat="0" applyFont="0" applyBorder="0" applyAlignment="0" applyProtection="0">
      <alignment horizontal="centerContinuous"/>
    </xf>
    <xf numFmtId="0" fontId="135" fillId="59" borderId="52" applyNumberFormat="0" applyFont="0" applyBorder="0" applyAlignment="0"/>
    <xf numFmtId="0" fontId="11" fillId="73" borderId="53" applyNumberFormat="0" applyFont="0" applyBorder="0" applyAlignment="0" applyProtection="0"/>
    <xf numFmtId="10" fontId="11" fillId="73" borderId="0" applyNumberFormat="0" applyFont="0" applyBorder="0" applyAlignment="0"/>
    <xf numFmtId="0" fontId="120" fillId="55" borderId="0" applyNumberFormat="0" applyBorder="0" applyAlignment="0" applyProtection="0"/>
    <xf numFmtId="38" fontId="107" fillId="59" borderId="0" applyNumberFormat="0" applyBorder="0" applyAlignment="0" applyProtection="0"/>
    <xf numFmtId="0" fontId="136" fillId="0" borderId="0" applyNumberFormat="0" applyFill="0" applyBorder="0" applyAlignment="0" applyProtection="0"/>
    <xf numFmtId="0" fontId="137" fillId="0" borderId="3" applyNumberFormat="0" applyAlignment="0" applyProtection="0">
      <alignment horizontal="left" vertical="center"/>
    </xf>
    <xf numFmtId="0" fontId="137" fillId="0" borderId="13">
      <alignment horizontal="left" vertical="center"/>
    </xf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54" applyNumberFormat="0" applyFill="0" applyAlignment="0" applyProtection="0"/>
    <xf numFmtId="0" fontId="140" fillId="0" borderId="0" applyNumberFormat="0" applyFill="0" applyBorder="0" applyAlignment="0" applyProtection="0"/>
    <xf numFmtId="206" fontId="11" fillId="0" borderId="0">
      <protection locked="0"/>
    </xf>
    <xf numFmtId="206" fontId="11" fillId="0" borderId="0">
      <protection locked="0"/>
    </xf>
    <xf numFmtId="0" fontId="141" fillId="0" borderId="55" applyNumberFormat="0" applyFill="0" applyAlignment="0" applyProtection="0"/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16" fillId="54" borderId="0" applyNumberFormat="0" applyBorder="0" applyAlignment="0" applyProtection="0"/>
    <xf numFmtId="0" fontId="109" fillId="0" borderId="0"/>
    <xf numFmtId="37" fontId="142" fillId="0" borderId="0" applyFill="0" applyBorder="0" applyAlignment="0">
      <protection locked="0"/>
    </xf>
    <xf numFmtId="0" fontId="142" fillId="0" borderId="27" applyFill="0" applyBorder="0" applyAlignment="0">
      <alignment horizontal="center"/>
      <protection locked="0"/>
    </xf>
    <xf numFmtId="10" fontId="107" fillId="73" borderId="44" applyNumberFormat="0" applyBorder="0" applyAlignment="0" applyProtection="0"/>
    <xf numFmtId="0" fontId="11" fillId="0" borderId="0" applyFill="0" applyBorder="0" applyAlignment="0">
      <protection locked="0"/>
    </xf>
    <xf numFmtId="0" fontId="130" fillId="0" borderId="0" applyFill="0" applyBorder="0" applyAlignment="0" applyProtection="0">
      <protection locked="0"/>
    </xf>
    <xf numFmtId="0" fontId="11" fillId="0" borderId="0" applyFill="0" applyBorder="0" applyAlignment="0"/>
    <xf numFmtId="201" fontId="123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201" fontId="123" fillId="0" borderId="0" applyFill="0" applyBorder="0" applyAlignment="0"/>
    <xf numFmtId="0" fontId="126" fillId="0" borderId="46" applyNumberFormat="0" applyFill="0" applyAlignment="0" applyProtection="0"/>
    <xf numFmtId="195" fontId="102" fillId="0" borderId="0" applyFont="0" applyFill="0" applyBorder="0" applyAlignment="0" applyProtection="0"/>
    <xf numFmtId="207" fontId="121" fillId="0" borderId="0">
      <protection locked="0"/>
    </xf>
    <xf numFmtId="0" fontId="11" fillId="0" borderId="0" applyFont="0" applyFill="0" applyBorder="0" applyAlignment="0" applyProtection="0"/>
    <xf numFmtId="3" fontId="143" fillId="52" borderId="1">
      <alignment horizontal="center"/>
    </xf>
    <xf numFmtId="0" fontId="144" fillId="81" borderId="0" applyNumberFormat="0" applyBorder="0" applyAlignment="0" applyProtection="0"/>
    <xf numFmtId="0" fontId="144" fillId="81" borderId="0" applyNumberFormat="0" applyBorder="0" applyAlignment="0" applyProtection="0"/>
    <xf numFmtId="37" fontId="145" fillId="0" borderId="0"/>
    <xf numFmtId="208" fontId="146" fillId="0" borderId="0"/>
    <xf numFmtId="209" fontId="147" fillId="0" borderId="0"/>
    <xf numFmtId="210" fontId="147" fillId="0" borderId="0"/>
    <xf numFmtId="0" fontId="11" fillId="0" borderId="0" applyFill="0" applyBorder="0" applyAlignment="0"/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48" fillId="76" borderId="57" applyNumberFormat="0" applyAlignment="0" applyProtection="0"/>
    <xf numFmtId="0" fontId="149" fillId="12" borderId="0"/>
    <xf numFmtId="0" fontId="11" fillId="0" borderId="30" applyFont="0" applyFill="0" applyBorder="0" applyAlignment="0" applyProtection="0">
      <alignment horizontal="right"/>
    </xf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102" fillId="0" borderId="0" applyFont="0" applyFill="0" applyBorder="0" applyAlignment="0" applyProtection="0"/>
    <xf numFmtId="0" fontId="70" fillId="72" borderId="58" applyNumberFormat="0" applyFont="0" applyBorder="0" applyAlignment="0" applyProtection="0"/>
    <xf numFmtId="0" fontId="11" fillId="0" borderId="0" applyFill="0" applyBorder="0" applyAlignment="0"/>
    <xf numFmtId="201" fontId="123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201" fontId="123" fillId="0" borderId="0" applyFill="0" applyBorder="0" applyAlignment="0"/>
    <xf numFmtId="14" fontId="122" fillId="83" borderId="55" applyNumberFormat="0" applyFont="0" applyBorder="0" applyAlignment="0" applyProtection="0">
      <alignment horizontal="center" vertical="center"/>
    </xf>
    <xf numFmtId="3" fontId="150" fillId="0" borderId="0" applyFill="0" applyBorder="0" applyAlignment="0" applyProtection="0"/>
    <xf numFmtId="3" fontId="108" fillId="0" borderId="0" applyFill="0" applyBorder="0" applyAlignment="0" applyProtection="0"/>
    <xf numFmtId="3" fontId="150" fillId="0" borderId="0" applyFill="0" applyBorder="0" applyAlignment="0" applyProtection="0"/>
    <xf numFmtId="0" fontId="148" fillId="76" borderId="57" applyNumberFormat="0" applyAlignment="0" applyProtection="0"/>
    <xf numFmtId="38" fontId="130" fillId="0" borderId="0" applyFont="0" applyFill="0" applyBorder="0" applyAlignment="0" applyProtection="0"/>
    <xf numFmtId="211" fontId="151" fillId="0" borderId="0">
      <protection locked="0"/>
    </xf>
    <xf numFmtId="43" fontId="10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8" fontId="130" fillId="84" borderId="0" applyNumberFormat="0" applyFont="0" applyBorder="0" applyAlignment="0" applyProtection="0"/>
    <xf numFmtId="3" fontId="152" fillId="85" borderId="0">
      <alignment horizontal="left"/>
    </xf>
    <xf numFmtId="0" fontId="104" fillId="0" borderId="0">
      <alignment vertical="top"/>
    </xf>
    <xf numFmtId="0" fontId="108" fillId="0" borderId="0"/>
    <xf numFmtId="0" fontId="108" fillId="0" borderId="0"/>
    <xf numFmtId="0" fontId="108" fillId="0" borderId="0"/>
    <xf numFmtId="0" fontId="108" fillId="0" borderId="0"/>
    <xf numFmtId="38" fontId="153" fillId="0" borderId="0" applyFill="0" applyBorder="0" applyAlignment="0" applyProtection="0"/>
    <xf numFmtId="0" fontId="11" fillId="0" borderId="0" applyFill="0" applyBorder="0" applyAlignment="0" applyProtection="0"/>
    <xf numFmtId="49" fontId="104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5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8" fontId="155" fillId="0" borderId="0" applyFont="0" applyFill="0" applyBorder="0" applyAlignment="0" applyProtection="0">
      <alignment horizontal="left"/>
    </xf>
    <xf numFmtId="0" fontId="156" fillId="0" borderId="0" applyNumberFormat="0" applyFill="0" applyBorder="0" applyAlignment="0" applyProtection="0"/>
    <xf numFmtId="3" fontId="157" fillId="85" borderId="0">
      <alignment horizontal="center"/>
    </xf>
    <xf numFmtId="0" fontId="156" fillId="0" borderId="0" applyNumberFormat="0" applyFill="0" applyBorder="0" applyAlignment="0" applyProtection="0"/>
    <xf numFmtId="0" fontId="158" fillId="0" borderId="59" applyNumberFormat="0" applyFill="0" applyAlignment="0" applyProtection="0"/>
    <xf numFmtId="0" fontId="159" fillId="0" borderId="60" applyNumberFormat="0" applyFill="0" applyAlignment="0" applyProtection="0"/>
    <xf numFmtId="0" fontId="140" fillId="0" borderId="54" applyNumberFormat="0" applyFill="0" applyAlignment="0" applyProtection="0"/>
    <xf numFmtId="0" fontId="140" fillId="0" borderId="0" applyNumberFormat="0" applyFill="0" applyBorder="0" applyAlignment="0" applyProtection="0"/>
    <xf numFmtId="3" fontId="161" fillId="85" borderId="0">
      <alignment horizontal="left"/>
    </xf>
    <xf numFmtId="206" fontId="11" fillId="0" borderId="61">
      <protection locked="0"/>
    </xf>
    <xf numFmtId="3" fontId="111" fillId="86" borderId="0">
      <alignment horizontal="right"/>
    </xf>
    <xf numFmtId="10" fontId="162" fillId="0" borderId="14" applyNumberFormat="0" applyFont="0" applyFill="0" applyAlignment="0" applyProtection="0"/>
    <xf numFmtId="37" fontId="107" fillId="79" borderId="0" applyNumberFormat="0" applyBorder="0" applyAlignment="0" applyProtection="0"/>
    <xf numFmtId="37" fontId="107" fillId="0" borderId="0"/>
    <xf numFmtId="3" fontId="163" fillId="0" borderId="55" applyProtection="0"/>
    <xf numFmtId="212" fontId="121" fillId="0" borderId="0">
      <protection locked="0"/>
    </xf>
    <xf numFmtId="213" fontId="121" fillId="0" borderId="0">
      <protection locked="0"/>
    </xf>
    <xf numFmtId="0" fontId="154" fillId="0" borderId="0" applyNumberFormat="0" applyFill="0" applyBorder="0" applyAlignment="0" applyProtection="0"/>
    <xf numFmtId="0" fontId="11" fillId="0" borderId="13" applyFont="0" applyFill="0" applyBorder="0" applyAlignment="0" applyProtection="0"/>
    <xf numFmtId="195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04" fillId="0" borderId="0">
      <alignment vertical="top"/>
    </xf>
    <xf numFmtId="0" fontId="11" fillId="0" borderId="0"/>
    <xf numFmtId="9" fontId="11" fillId="0" borderId="0" applyFont="0" applyFill="0" applyBorder="0" applyAlignment="0" applyProtection="0"/>
    <xf numFmtId="0" fontId="102" fillId="0" borderId="0"/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40" fillId="53" borderId="0" applyNumberFormat="0" applyBorder="0" applyAlignment="0" applyProtection="0"/>
    <xf numFmtId="0" fontId="40" fillId="54" borderId="0" applyNumberFormat="0" applyBorder="0" applyAlignment="0" applyProtection="0"/>
    <xf numFmtId="0" fontId="40" fillId="55" borderId="0" applyNumberFormat="0" applyBorder="0" applyAlignment="0" applyProtection="0"/>
    <xf numFmtId="0" fontId="40" fillId="56" borderId="0" applyNumberFormat="0" applyBorder="0" applyAlignment="0" applyProtection="0"/>
    <xf numFmtId="0" fontId="40" fillId="57" borderId="0" applyNumberFormat="0" applyBorder="0" applyAlignment="0" applyProtection="0"/>
    <xf numFmtId="0" fontId="40" fillId="58" borderId="0" applyNumberFormat="0" applyBorder="0" applyAlignment="0" applyProtection="0"/>
    <xf numFmtId="0" fontId="40" fillId="53" borderId="0" applyNumberFormat="0" applyBorder="0" applyAlignment="0" applyProtection="0"/>
    <xf numFmtId="0" fontId="40" fillId="54" borderId="0" applyNumberFormat="0" applyBorder="0" applyAlignment="0" applyProtection="0"/>
    <xf numFmtId="0" fontId="40" fillId="55" borderId="0" applyNumberFormat="0" applyBorder="0" applyAlignment="0" applyProtection="0"/>
    <xf numFmtId="0" fontId="40" fillId="56" borderId="0" applyNumberFormat="0" applyBorder="0" applyAlignment="0" applyProtection="0"/>
    <xf numFmtId="0" fontId="40" fillId="57" borderId="0" applyNumberFormat="0" applyBorder="0" applyAlignment="0" applyProtection="0"/>
    <xf numFmtId="0" fontId="40" fillId="58" borderId="0" applyNumberFormat="0" applyBorder="0" applyAlignment="0" applyProtection="0"/>
    <xf numFmtId="0" fontId="40" fillId="60" borderId="0" applyNumberFormat="0" applyBorder="0" applyAlignment="0" applyProtection="0"/>
    <xf numFmtId="0" fontId="40" fillId="61" borderId="0" applyNumberFormat="0" applyBorder="0" applyAlignment="0" applyProtection="0"/>
    <xf numFmtId="0" fontId="40" fillId="62" borderId="0" applyNumberFormat="0" applyBorder="0" applyAlignment="0" applyProtection="0"/>
    <xf numFmtId="0" fontId="40" fillId="56" borderId="0" applyNumberFormat="0" applyBorder="0" applyAlignment="0" applyProtection="0"/>
    <xf numFmtId="0" fontId="40" fillId="60" borderId="0" applyNumberFormat="0" applyBorder="0" applyAlignment="0" applyProtection="0"/>
    <xf numFmtId="0" fontId="40" fillId="63" borderId="0" applyNumberFormat="0" applyBorder="0" applyAlignment="0" applyProtection="0"/>
    <xf numFmtId="0" fontId="40" fillId="60" borderId="0" applyNumberFormat="0" applyBorder="0" applyAlignment="0" applyProtection="0"/>
    <xf numFmtId="0" fontId="40" fillId="61" borderId="0" applyNumberFormat="0" applyBorder="0" applyAlignment="0" applyProtection="0"/>
    <xf numFmtId="0" fontId="40" fillId="62" borderId="0" applyNumberFormat="0" applyBorder="0" applyAlignment="0" applyProtection="0"/>
    <xf numFmtId="0" fontId="40" fillId="56" borderId="0" applyNumberFormat="0" applyBorder="0" applyAlignment="0" applyProtection="0"/>
    <xf numFmtId="0" fontId="40" fillId="60" borderId="0" applyNumberFormat="0" applyBorder="0" applyAlignment="0" applyProtection="0"/>
    <xf numFmtId="0" fontId="40" fillId="63" borderId="0" applyNumberFormat="0" applyBorder="0" applyAlignment="0" applyProtection="0"/>
    <xf numFmtId="0" fontId="112" fillId="64" borderId="0" applyNumberFormat="0" applyBorder="0" applyAlignment="0" applyProtection="0"/>
    <xf numFmtId="0" fontId="112" fillId="61" borderId="0" applyNumberFormat="0" applyBorder="0" applyAlignment="0" applyProtection="0"/>
    <xf numFmtId="0" fontId="112" fillId="62" borderId="0" applyNumberFormat="0" applyBorder="0" applyAlignment="0" applyProtection="0"/>
    <xf numFmtId="0" fontId="112" fillId="65" borderId="0" applyNumberFormat="0" applyBorder="0" applyAlignment="0" applyProtection="0"/>
    <xf numFmtId="0" fontId="112" fillId="66" borderId="0" applyNumberFormat="0" applyBorder="0" applyAlignment="0" applyProtection="0"/>
    <xf numFmtId="0" fontId="112" fillId="67" borderId="0" applyNumberFormat="0" applyBorder="0" applyAlignment="0" applyProtection="0"/>
    <xf numFmtId="0" fontId="112" fillId="64" borderId="0" applyNumberFormat="0" applyBorder="0" applyAlignment="0" applyProtection="0"/>
    <xf numFmtId="0" fontId="112" fillId="61" borderId="0" applyNumberFormat="0" applyBorder="0" applyAlignment="0" applyProtection="0"/>
    <xf numFmtId="0" fontId="112" fillId="62" borderId="0" applyNumberFormat="0" applyBorder="0" applyAlignment="0" applyProtection="0"/>
    <xf numFmtId="0" fontId="112" fillId="65" borderId="0" applyNumberFormat="0" applyBorder="0" applyAlignment="0" applyProtection="0"/>
    <xf numFmtId="0" fontId="112" fillId="66" borderId="0" applyNumberFormat="0" applyBorder="0" applyAlignment="0" applyProtection="0"/>
    <xf numFmtId="0" fontId="112" fillId="67" borderId="0" applyNumberFormat="0" applyBorder="0" applyAlignment="0" applyProtection="0"/>
    <xf numFmtId="0" fontId="114" fillId="0" borderId="1" applyBorder="0"/>
    <xf numFmtId="217" fontId="11" fillId="72" borderId="40">
      <alignment horizontal="center" vertical="center"/>
    </xf>
    <xf numFmtId="217" fontId="11" fillId="72" borderId="40">
      <alignment horizontal="center" vertical="center"/>
    </xf>
    <xf numFmtId="217" fontId="11" fillId="72" borderId="40">
      <alignment horizontal="center" vertical="center"/>
    </xf>
    <xf numFmtId="217" fontId="11" fillId="72" borderId="40">
      <alignment horizontal="center" vertical="center"/>
    </xf>
    <xf numFmtId="0" fontId="11" fillId="0" borderId="0"/>
    <xf numFmtId="3" fontId="110" fillId="0" borderId="0" applyNumberFormat="0" applyFill="0" applyBorder="0" applyAlignment="0" applyProtection="0"/>
    <xf numFmtId="0" fontId="120" fillId="55" borderId="0" applyNumberFormat="0" applyBorder="0" applyAlignment="0" applyProtection="0"/>
    <xf numFmtId="0" fontId="120" fillId="55" borderId="0" applyNumberFormat="0" applyBorder="0" applyAlignment="0" applyProtection="0"/>
    <xf numFmtId="0" fontId="11" fillId="0" borderId="0" applyFill="0" applyBorder="0" applyAlignment="0"/>
    <xf numFmtId="199" fontId="109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24" fillId="76" borderId="43" applyNumberFormat="0" applyAlignment="0" applyProtection="0"/>
    <xf numFmtId="0" fontId="125" fillId="77" borderId="45" applyNumberFormat="0" applyAlignment="0" applyProtection="0"/>
    <xf numFmtId="0" fontId="126" fillId="0" borderId="46" applyNumberFormat="0" applyFill="0" applyAlignment="0" applyProtection="0"/>
    <xf numFmtId="0" fontId="125" fillId="77" borderId="45" applyNumberFormat="0" applyAlignment="0" applyProtection="0"/>
    <xf numFmtId="0" fontId="126" fillId="0" borderId="46" applyNumberFormat="0" applyFill="0" applyAlignment="0" applyProtection="0"/>
    <xf numFmtId="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4" fontId="104" fillId="0" borderId="0" applyFill="0" applyBorder="0" applyAlignment="0"/>
    <xf numFmtId="0" fontId="11" fillId="0" borderId="50">
      <alignment vertical="center"/>
    </xf>
    <xf numFmtId="0" fontId="140" fillId="0" borderId="0" applyNumberFormat="0" applyFill="0" applyBorder="0" applyAlignment="0" applyProtection="0"/>
    <xf numFmtId="0" fontId="112" fillId="68" borderId="0" applyNumberFormat="0" applyBorder="0" applyAlignment="0" applyProtection="0"/>
    <xf numFmtId="0" fontId="112" fillId="69" borderId="0" applyNumberFormat="0" applyBorder="0" applyAlignment="0" applyProtection="0"/>
    <xf numFmtId="0" fontId="112" fillId="70" borderId="0" applyNumberFormat="0" applyBorder="0" applyAlignment="0" applyProtection="0"/>
    <xf numFmtId="0" fontId="112" fillId="65" borderId="0" applyNumberFormat="0" applyBorder="0" applyAlignment="0" applyProtection="0"/>
    <xf numFmtId="0" fontId="112" fillId="66" borderId="0" applyNumberFormat="0" applyBorder="0" applyAlignment="0" applyProtection="0"/>
    <xf numFmtId="0" fontId="112" fillId="71" borderId="0" applyNumberFormat="0" applyBorder="0" applyAlignment="0" applyProtection="0"/>
    <xf numFmtId="0" fontId="112" fillId="68" borderId="0" applyNumberFormat="0" applyBorder="0" applyAlignment="0" applyProtection="0"/>
    <xf numFmtId="0" fontId="112" fillId="69" borderId="0" applyNumberFormat="0" applyBorder="0" applyAlignment="0" applyProtection="0"/>
    <xf numFmtId="0" fontId="112" fillId="70" borderId="0" applyNumberFormat="0" applyBorder="0" applyAlignment="0" applyProtection="0"/>
    <xf numFmtId="0" fontId="112" fillId="65" borderId="0" applyNumberFormat="0" applyBorder="0" applyAlignment="0" applyProtection="0"/>
    <xf numFmtId="0" fontId="112" fillId="66" borderId="0" applyNumberFormat="0" applyBorder="0" applyAlignment="0" applyProtection="0"/>
    <xf numFmtId="0" fontId="112" fillId="71" borderId="0" applyNumberFormat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32" fillId="58" borderId="43" applyNumberFormat="0" applyAlignment="0" applyProtection="0"/>
    <xf numFmtId="165" fontId="11" fillId="0" borderId="0">
      <protection locked="0"/>
    </xf>
    <xf numFmtId="165" fontId="11" fillId="0" borderId="0">
      <protection locked="0"/>
    </xf>
    <xf numFmtId="165" fontId="11" fillId="0" borderId="0">
      <protection locked="0"/>
    </xf>
    <xf numFmtId="0" fontId="11" fillId="73" borderId="53" applyNumberFormat="0" applyFont="0" applyBorder="0" applyAlignment="0" applyProtection="0"/>
    <xf numFmtId="38" fontId="107" fillId="59" borderId="0" applyNumberFormat="0" applyBorder="0" applyAlignment="0" applyProtection="0"/>
    <xf numFmtId="38" fontId="107" fillId="59" borderId="0" applyNumberFormat="0" applyBorder="0" applyAlignment="0" applyProtection="0"/>
    <xf numFmtId="38" fontId="107" fillId="59" borderId="0" applyNumberFormat="0" applyBorder="0" applyAlignment="0" applyProtection="0"/>
    <xf numFmtId="38" fontId="107" fillId="59" borderId="0" applyNumberFormat="0" applyBorder="0" applyAlignment="0" applyProtection="0"/>
    <xf numFmtId="0" fontId="158" fillId="0" borderId="59" applyNumberFormat="0" applyFill="0" applyAlignment="0" applyProtection="0"/>
    <xf numFmtId="0" fontId="159" fillId="0" borderId="60" applyNumberFormat="0" applyFill="0" applyAlignment="0" applyProtection="0"/>
    <xf numFmtId="218" fontId="11" fillId="0" borderId="0">
      <protection locked="0"/>
    </xf>
    <xf numFmtId="218" fontId="11" fillId="0" borderId="0">
      <protection locked="0"/>
    </xf>
    <xf numFmtId="218" fontId="11" fillId="0" borderId="0">
      <protection locked="0"/>
    </xf>
    <xf numFmtId="218" fontId="11" fillId="0" borderId="0">
      <protection locked="0"/>
    </xf>
    <xf numFmtId="218" fontId="11" fillId="0" borderId="0">
      <protection locked="0"/>
    </xf>
    <xf numFmtId="218" fontId="11" fillId="0" borderId="0">
      <protection locked="0"/>
    </xf>
    <xf numFmtId="218" fontId="11" fillId="0" borderId="0">
      <protection locked="0"/>
    </xf>
    <xf numFmtId="218" fontId="11" fillId="0" borderId="0">
      <protection locked="0"/>
    </xf>
    <xf numFmtId="0" fontId="116" fillId="54" borderId="0" applyNumberFormat="0" applyBorder="0" applyAlignment="0" applyProtection="0"/>
    <xf numFmtId="0" fontId="116" fillId="54" borderId="0" applyNumberFormat="0" applyBorder="0" applyAlignment="0" applyProtection="0"/>
    <xf numFmtId="10" fontId="107" fillId="73" borderId="44" applyNumberFormat="0" applyBorder="0" applyAlignment="0" applyProtection="0"/>
    <xf numFmtId="10" fontId="107" fillId="73" borderId="44" applyNumberFormat="0" applyBorder="0" applyAlignment="0" applyProtection="0"/>
    <xf numFmtId="10" fontId="107" fillId="73" borderId="44" applyNumberFormat="0" applyBorder="0" applyAlignment="0" applyProtection="0"/>
    <xf numFmtId="10" fontId="107" fillId="73" borderId="44" applyNumberFormat="0" applyBorder="0" applyAlignment="0" applyProtection="0"/>
    <xf numFmtId="0" fontId="132" fillId="58" borderId="43" applyNumberFormat="0" applyAlignment="0" applyProtection="0"/>
    <xf numFmtId="0" fontId="132" fillId="58" borderId="43" applyNumberFormat="0" applyAlignment="0" applyProtection="0"/>
    <xf numFmtId="0" fontId="132" fillId="58" borderId="43" applyNumberFormat="0" applyAlignment="0" applyProtection="0"/>
    <xf numFmtId="0" fontId="132" fillId="58" borderId="43" applyNumberFormat="0" applyAlignment="0" applyProtection="0"/>
    <xf numFmtId="0" fontId="132" fillId="58" borderId="43" applyNumberFormat="0" applyAlignment="0" applyProtection="0"/>
    <xf numFmtId="0" fontId="132" fillId="58" borderId="43" applyNumberFormat="0" applyAlignment="0" applyProtection="0"/>
    <xf numFmtId="0" fontId="132" fillId="58" borderId="43" applyNumberFormat="0" applyAlignment="0" applyProtection="0"/>
    <xf numFmtId="0" fontId="132" fillId="58" borderId="43" applyNumberFormat="0" applyAlignment="0" applyProtection="0"/>
    <xf numFmtId="0" fontId="132" fillId="58" borderId="43" applyNumberFormat="0" applyAlignment="0" applyProtection="0"/>
    <xf numFmtId="0" fontId="132" fillId="58" borderId="43" applyNumberFormat="0" applyAlignment="0" applyProtection="0"/>
    <xf numFmtId="0" fontId="132" fillId="58" borderId="43" applyNumberFormat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43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195" fontId="40" fillId="0" borderId="0" applyFont="0" applyFill="0" applyBorder="0" applyAlignment="0" applyProtection="0"/>
    <xf numFmtId="195" fontId="40" fillId="0" borderId="0" applyFont="0" applyFill="0" applyBorder="0" applyAlignment="0" applyProtection="0"/>
    <xf numFmtId="3" fontId="143" fillId="52" borderId="1">
      <alignment horizontal="center"/>
    </xf>
    <xf numFmtId="0" fontId="144" fillId="81" borderId="0" applyNumberFormat="0" applyBorder="0" applyAlignment="0" applyProtection="0"/>
    <xf numFmtId="220" fontId="11" fillId="0" borderId="0"/>
    <xf numFmtId="220" fontId="11" fillId="0" borderId="0"/>
    <xf numFmtId="220" fontId="11" fillId="0" borderId="0"/>
    <xf numFmtId="220" fontId="11" fillId="0" borderId="0"/>
    <xf numFmtId="209" fontId="168" fillId="0" borderId="0"/>
    <xf numFmtId="210" fontId="168" fillId="0" borderId="0"/>
    <xf numFmtId="0" fontId="130" fillId="0" borderId="0"/>
    <xf numFmtId="0" fontId="104" fillId="0" borderId="0"/>
    <xf numFmtId="0" fontId="11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1" fillId="0" borderId="0"/>
    <xf numFmtId="0" fontId="11" fillId="0" borderId="0"/>
    <xf numFmtId="0" fontId="130" fillId="0" borderId="0"/>
    <xf numFmtId="0" fontId="130" fillId="0" borderId="0"/>
    <xf numFmtId="0" fontId="1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1" fontId="11" fillId="0" borderId="0"/>
    <xf numFmtId="0" fontId="58" fillId="0" borderId="0"/>
    <xf numFmtId="0" fontId="11" fillId="0" borderId="0"/>
    <xf numFmtId="0" fontId="1" fillId="0" borderId="0"/>
    <xf numFmtId="171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40" fillId="0" borderId="0"/>
    <xf numFmtId="0" fontId="40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0" borderId="30" applyFont="0" applyFill="0" applyBorder="0" applyAlignment="0" applyProtection="0">
      <alignment horizontal="right"/>
    </xf>
    <xf numFmtId="19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70" fillId="72" borderId="58" applyNumberFormat="0" applyFont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70" fillId="0" borderId="0" applyNumberFormat="0" applyFill="0" applyBorder="0" applyAlignment="0" applyProtection="0"/>
    <xf numFmtId="0" fontId="148" fillId="76" borderId="57" applyNumberFormat="0" applyAlignment="0" applyProtection="0"/>
    <xf numFmtId="0" fontId="148" fillId="76" borderId="57" applyNumberFormat="0" applyAlignment="0" applyProtection="0"/>
    <xf numFmtId="43" fontId="10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22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222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30" fillId="0" borderId="0" applyFont="0" applyFill="0" applyBorder="0" applyAlignment="0" applyProtection="0"/>
    <xf numFmtId="0" fontId="171" fillId="0" borderId="23" applyProtection="0">
      <alignment horizontal="centerContinuous"/>
    </xf>
    <xf numFmtId="0" fontId="108" fillId="0" borderId="0"/>
    <xf numFmtId="0" fontId="108" fillId="0" borderId="0"/>
    <xf numFmtId="0" fontId="108" fillId="0" borderId="0"/>
    <xf numFmtId="0" fontId="108" fillId="0" borderId="0"/>
    <xf numFmtId="49" fontId="104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58" fillId="0" borderId="59" applyNumberFormat="0" applyFill="0" applyAlignment="0" applyProtection="0"/>
    <xf numFmtId="0" fontId="159" fillId="0" borderId="60" applyNumberFormat="0" applyFill="0" applyAlignment="0" applyProtection="0"/>
    <xf numFmtId="0" fontId="140" fillId="0" borderId="54" applyNumberFormat="0" applyFill="0" applyAlignment="0" applyProtection="0"/>
    <xf numFmtId="0" fontId="140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72" fillId="0" borderId="62" applyNumberFormat="0" applyFill="0" applyAlignment="0" applyProtection="0"/>
    <xf numFmtId="37" fontId="107" fillId="79" borderId="0" applyNumberFormat="0" applyBorder="0" applyAlignment="0" applyProtection="0"/>
    <xf numFmtId="37" fontId="107" fillId="79" borderId="0" applyNumberFormat="0" applyBorder="0" applyAlignment="0" applyProtection="0"/>
    <xf numFmtId="37" fontId="107" fillId="79" borderId="0" applyNumberFormat="0" applyBorder="0" applyAlignment="0" applyProtection="0"/>
    <xf numFmtId="37" fontId="107" fillId="79" borderId="0" applyNumberFormat="0" applyBorder="0" applyAlignment="0" applyProtection="0"/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1" fillId="0" borderId="0"/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1" fillId="0" borderId="0"/>
    <xf numFmtId="0" fontId="113" fillId="0" borderId="0"/>
    <xf numFmtId="0" fontId="113" fillId="0" borderId="0"/>
    <xf numFmtId="0" fontId="1" fillId="0" borderId="0"/>
    <xf numFmtId="43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95" fontId="36" fillId="0" borderId="0" applyFont="0" applyFill="0" applyBorder="0" applyAlignment="0" applyProtection="0"/>
    <xf numFmtId="223" fontId="173" fillId="0" borderId="0" applyFill="0" applyBorder="0" applyProtection="0">
      <alignment horizontal="right"/>
      <protection locked="0"/>
    </xf>
    <xf numFmtId="224" fontId="173" fillId="0" borderId="0" applyFill="0" applyBorder="0" applyProtection="0">
      <alignment horizontal="right"/>
      <protection locked="0"/>
    </xf>
    <xf numFmtId="225" fontId="173" fillId="0" borderId="0" applyFill="0" applyBorder="0" applyProtection="0">
      <alignment horizontal="right"/>
      <protection locked="0"/>
    </xf>
    <xf numFmtId="224" fontId="173" fillId="0" borderId="0" applyFont="0" applyFill="0" applyBorder="0" applyAlignment="0"/>
    <xf numFmtId="225" fontId="173" fillId="0" borderId="0" applyFont="0" applyFill="0" applyBorder="0" applyAlignment="0"/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1" fillId="0" borderId="0"/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226" fontId="168" fillId="0" borderId="0" applyFill="0" applyBorder="0" applyProtection="0">
      <alignment horizontal="right"/>
      <protection locked="0"/>
    </xf>
    <xf numFmtId="227" fontId="173" fillId="0" borderId="44" applyFont="0" applyFill="0" applyBorder="0" applyAlignment="0"/>
    <xf numFmtId="228" fontId="173" fillId="0" borderId="0" applyFill="0" applyBorder="0" applyProtection="0">
      <alignment horizontal="right"/>
      <protection locked="0"/>
    </xf>
    <xf numFmtId="229" fontId="168" fillId="0" borderId="0" applyFill="0" applyBorder="0" applyProtection="0">
      <alignment horizontal="right"/>
      <protection locked="0"/>
    </xf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" fillId="0" borderId="0"/>
    <xf numFmtId="43" fontId="11" fillId="0" borderId="0" applyFont="0" applyFill="0" applyBorder="0" applyAlignment="0" applyProtection="0">
      <alignment wrapText="1"/>
    </xf>
    <xf numFmtId="17" fontId="127" fillId="0" borderId="0" applyFill="0" applyBorder="0">
      <alignment horizontal="right"/>
    </xf>
    <xf numFmtId="196" fontId="131" fillId="0" borderId="0">
      <protection locked="0"/>
    </xf>
    <xf numFmtId="0" fontId="174" fillId="89" borderId="0" applyNumberFormat="0" applyBorder="0" applyProtection="0">
      <alignment horizontal="center"/>
      <protection locked="0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75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3" fontId="176" fillId="0" borderId="63" applyFill="0" applyBorder="0" applyAlignment="0">
      <alignment horizontal="center"/>
    </xf>
    <xf numFmtId="195" fontId="1" fillId="0" borderId="0" applyFont="0" applyFill="0" applyBorder="0" applyAlignment="0" applyProtection="0"/>
    <xf numFmtId="0" fontId="109" fillId="0" borderId="0"/>
    <xf numFmtId="0" fontId="11" fillId="0" borderId="0"/>
    <xf numFmtId="0" fontId="11" fillId="0" borderId="0"/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230" fontId="127" fillId="0" borderId="0" applyNumberFormat="0" applyFill="0" applyBorder="0" applyAlignment="0" applyProtection="0"/>
    <xf numFmtId="9" fontId="36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77" fillId="88" borderId="64">
      <alignment horizontal="left"/>
    </xf>
    <xf numFmtId="4" fontId="111" fillId="0" borderId="65" applyNumberFormat="0" applyProtection="0">
      <alignment vertical="center"/>
    </xf>
    <xf numFmtId="4" fontId="178" fillId="79" borderId="65" applyNumberFormat="0" applyProtection="0">
      <alignment vertical="center"/>
    </xf>
    <xf numFmtId="4" fontId="111" fillId="0" borderId="65" applyNumberFormat="0" applyProtection="0">
      <alignment horizontal="left" vertical="center" indent="1"/>
    </xf>
    <xf numFmtId="0" fontId="111" fillId="0" borderId="65" applyNumberFormat="0" applyProtection="0">
      <alignment horizontal="left" vertical="top" indent="1"/>
    </xf>
    <xf numFmtId="4" fontId="111" fillId="0" borderId="0" applyNumberFormat="0" applyProtection="0">
      <alignment horizontal="left" vertical="center" indent="1"/>
    </xf>
    <xf numFmtId="4" fontId="104" fillId="54" borderId="65" applyNumberFormat="0" applyProtection="0">
      <alignment horizontal="right" vertical="center"/>
    </xf>
    <xf numFmtId="4" fontId="104" fillId="61" borderId="65" applyNumberFormat="0" applyProtection="0">
      <alignment horizontal="right" vertical="center"/>
    </xf>
    <xf numFmtId="4" fontId="104" fillId="69" borderId="65" applyNumberFormat="0" applyProtection="0">
      <alignment horizontal="right" vertical="center"/>
    </xf>
    <xf numFmtId="4" fontId="104" fillId="63" borderId="65" applyNumberFormat="0" applyProtection="0">
      <alignment horizontal="right" vertical="center"/>
    </xf>
    <xf numFmtId="4" fontId="104" fillId="67" borderId="65" applyNumberFormat="0" applyProtection="0">
      <alignment horizontal="right" vertical="center"/>
    </xf>
    <xf numFmtId="4" fontId="104" fillId="71" borderId="65" applyNumberFormat="0" applyProtection="0">
      <alignment horizontal="right" vertical="center"/>
    </xf>
    <xf numFmtId="4" fontId="104" fillId="70" borderId="65" applyNumberFormat="0" applyProtection="0">
      <alignment horizontal="right" vertical="center"/>
    </xf>
    <xf numFmtId="4" fontId="104" fillId="90" borderId="65" applyNumberFormat="0" applyProtection="0">
      <alignment horizontal="right" vertical="center"/>
    </xf>
    <xf numFmtId="4" fontId="104" fillId="62" borderId="65" applyNumberFormat="0" applyProtection="0">
      <alignment horizontal="right" vertical="center"/>
    </xf>
    <xf numFmtId="4" fontId="104" fillId="0" borderId="0" applyNumberFormat="0" applyProtection="0">
      <alignment horizontal="left" vertical="center" indent="1"/>
    </xf>
    <xf numFmtId="4" fontId="104" fillId="0" borderId="0" applyNumberFormat="0" applyProtection="0">
      <alignment horizontal="left" vertical="center" indent="1"/>
    </xf>
    <xf numFmtId="4" fontId="179" fillId="91" borderId="0" applyNumberFormat="0" applyProtection="0">
      <alignment horizontal="left" vertical="center" indent="1"/>
    </xf>
    <xf numFmtId="4" fontId="104" fillId="92" borderId="65" applyNumberFormat="0" applyProtection="0">
      <alignment horizontal="right" vertical="center"/>
    </xf>
    <xf numFmtId="4" fontId="104" fillId="0" borderId="0" applyNumberFormat="0" applyProtection="0">
      <alignment horizontal="left" vertical="center" indent="1"/>
    </xf>
    <xf numFmtId="4" fontId="111" fillId="0" borderId="0" applyNumberFormat="0" applyProtection="0">
      <alignment horizontal="left" vertical="center" indent="1"/>
    </xf>
    <xf numFmtId="0" fontId="11" fillId="0" borderId="44" applyNumberFormat="0" applyProtection="0">
      <alignment horizontal="left" vertical="center" indent="1"/>
    </xf>
    <xf numFmtId="0" fontId="11" fillId="91" borderId="65" applyNumberFormat="0" applyProtection="0">
      <alignment horizontal="left" vertical="top" indent="1"/>
    </xf>
    <xf numFmtId="0" fontId="11" fillId="0" borderId="44" applyNumberFormat="0" applyProtection="0">
      <alignment horizontal="left" vertical="center" indent="1"/>
    </xf>
    <xf numFmtId="0" fontId="11" fillId="93" borderId="65" applyNumberFormat="0" applyProtection="0">
      <alignment horizontal="left" vertical="top" indent="1"/>
    </xf>
    <xf numFmtId="0" fontId="11" fillId="0" borderId="44" applyNumberFormat="0" applyProtection="0">
      <alignment horizontal="left" vertical="center" indent="1"/>
    </xf>
    <xf numFmtId="0" fontId="11" fillId="72" borderId="65" applyNumberFormat="0" applyProtection="0">
      <alignment horizontal="left" vertical="top" indent="1"/>
    </xf>
    <xf numFmtId="0" fontId="11" fillId="94" borderId="65" applyNumberFormat="0" applyProtection="0">
      <alignment horizontal="left" vertical="center" indent="1"/>
    </xf>
    <xf numFmtId="0" fontId="11" fillId="94" borderId="65" applyNumberFormat="0" applyProtection="0">
      <alignment horizontal="left" vertical="top" indent="1"/>
    </xf>
    <xf numFmtId="4" fontId="104" fillId="73" borderId="65" applyNumberFormat="0" applyProtection="0">
      <alignment vertical="center"/>
    </xf>
    <xf numFmtId="4" fontId="180" fillId="73" borderId="65" applyNumberFormat="0" applyProtection="0">
      <alignment vertical="center"/>
    </xf>
    <xf numFmtId="4" fontId="104" fillId="73" borderId="65" applyNumberFormat="0" applyProtection="0">
      <alignment horizontal="left" vertical="center" indent="1"/>
    </xf>
    <xf numFmtId="0" fontId="104" fillId="73" borderId="65" applyNumberFormat="0" applyProtection="0">
      <alignment horizontal="left" vertical="top" indent="1"/>
    </xf>
    <xf numFmtId="4" fontId="104" fillId="0" borderId="44" applyNumberFormat="0" applyProtection="0">
      <alignment horizontal="right" vertical="center"/>
    </xf>
    <xf numFmtId="4" fontId="180" fillId="0" borderId="65" applyNumberFormat="0" applyProtection="0">
      <alignment horizontal="right" vertical="center"/>
    </xf>
    <xf numFmtId="4" fontId="104" fillId="0" borderId="66" applyNumberFormat="0" applyProtection="0">
      <alignment horizontal="left" vertical="center" indent="1"/>
    </xf>
    <xf numFmtId="0" fontId="111" fillId="0" borderId="44" applyNumberFormat="0" applyProtection="0">
      <alignment horizontal="left" vertical="top" indent="1"/>
    </xf>
    <xf numFmtId="4" fontId="171" fillId="0" borderId="0" applyNumberFormat="0" applyProtection="0">
      <alignment horizontal="left" vertical="center" indent="1"/>
    </xf>
    <xf numFmtId="4" fontId="11" fillId="0" borderId="65" applyNumberFormat="0" applyProtection="0">
      <alignment horizontal="right" vertical="center"/>
    </xf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230" fontId="107" fillId="95" borderId="0" applyNumberFormat="0" applyFont="0" applyBorder="0" applyAlignment="0">
      <protection hidden="1"/>
    </xf>
    <xf numFmtId="0" fontId="181" fillId="0" borderId="0" applyFill="0" applyBorder="0" applyAlignment="0" applyProtection="0">
      <protection locked="0"/>
    </xf>
    <xf numFmtId="0" fontId="182" fillId="0" borderId="0" applyBorder="0" applyAlignment="0" applyProtection="0">
      <protection locked="0"/>
    </xf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40" fillId="53" borderId="0" applyNumberFormat="0" applyBorder="0" applyAlignment="0" applyProtection="0"/>
    <xf numFmtId="0" fontId="40" fillId="54" borderId="0" applyNumberFormat="0" applyBorder="0" applyAlignment="0" applyProtection="0"/>
    <xf numFmtId="0" fontId="40" fillId="55" borderId="0" applyNumberFormat="0" applyBorder="0" applyAlignment="0" applyProtection="0"/>
    <xf numFmtId="0" fontId="40" fillId="56" borderId="0" applyNumberFormat="0" applyBorder="0" applyAlignment="0" applyProtection="0"/>
    <xf numFmtId="0" fontId="40" fillId="57" borderId="0" applyNumberFormat="0" applyBorder="0" applyAlignment="0" applyProtection="0"/>
    <xf numFmtId="0" fontId="40" fillId="58" borderId="0" applyNumberFormat="0" applyBorder="0" applyAlignment="0" applyProtection="0"/>
    <xf numFmtId="0" fontId="40" fillId="60" borderId="0" applyNumberFormat="0" applyBorder="0" applyAlignment="0" applyProtection="0"/>
    <xf numFmtId="0" fontId="40" fillId="61" borderId="0" applyNumberFormat="0" applyBorder="0" applyAlignment="0" applyProtection="0"/>
    <xf numFmtId="0" fontId="40" fillId="62" borderId="0" applyNumberFormat="0" applyBorder="0" applyAlignment="0" applyProtection="0"/>
    <xf numFmtId="0" fontId="40" fillId="56" borderId="0" applyNumberFormat="0" applyBorder="0" applyAlignment="0" applyProtection="0"/>
    <xf numFmtId="0" fontId="40" fillId="60" borderId="0" applyNumberFormat="0" applyBorder="0" applyAlignment="0" applyProtection="0"/>
    <xf numFmtId="0" fontId="40" fillId="63" borderId="0" applyNumberFormat="0" applyBorder="0" applyAlignment="0" applyProtection="0"/>
    <xf numFmtId="0" fontId="112" fillId="64" borderId="0" applyNumberFormat="0" applyBorder="0" applyAlignment="0" applyProtection="0"/>
    <xf numFmtId="0" fontId="112" fillId="61" borderId="0" applyNumberFormat="0" applyBorder="0" applyAlignment="0" applyProtection="0"/>
    <xf numFmtId="0" fontId="112" fillId="62" borderId="0" applyNumberFormat="0" applyBorder="0" applyAlignment="0" applyProtection="0"/>
    <xf numFmtId="0" fontId="112" fillId="65" borderId="0" applyNumberFormat="0" applyBorder="0" applyAlignment="0" applyProtection="0"/>
    <xf numFmtId="0" fontId="112" fillId="66" borderId="0" applyNumberFormat="0" applyBorder="0" applyAlignment="0" applyProtection="0"/>
    <xf numFmtId="0" fontId="112" fillId="67" borderId="0" applyNumberFormat="0" applyBorder="0" applyAlignment="0" applyProtection="0"/>
    <xf numFmtId="3" fontId="110" fillId="0" borderId="0" applyNumberFormat="0" applyFill="0" applyBorder="0" applyAlignment="0" applyProtection="0"/>
    <xf numFmtId="0" fontId="120" fillId="55" borderId="0" applyNumberFormat="0" applyBorder="0" applyAlignment="0" applyProtection="0"/>
    <xf numFmtId="0" fontId="11" fillId="0" borderId="0" applyFill="0" applyBorder="0" applyAlignment="0"/>
    <xf numFmtId="199" fontId="109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24" fillId="76" borderId="43" applyNumberFormat="0" applyAlignment="0" applyProtection="0"/>
    <xf numFmtId="0" fontId="125" fillId="77" borderId="45" applyNumberFormat="0" applyAlignment="0" applyProtection="0"/>
    <xf numFmtId="0" fontId="126" fillId="0" borderId="46" applyNumberFormat="0" applyFill="0" applyAlignment="0" applyProtection="0"/>
    <xf numFmtId="14" fontId="104" fillId="0" borderId="0" applyFill="0" applyBorder="0" applyAlignment="0"/>
    <xf numFmtId="0" fontId="11" fillId="0" borderId="50">
      <alignment vertical="center"/>
    </xf>
    <xf numFmtId="0" fontId="112" fillId="68" borderId="0" applyNumberFormat="0" applyBorder="0" applyAlignment="0" applyProtection="0"/>
    <xf numFmtId="0" fontId="112" fillId="69" borderId="0" applyNumberFormat="0" applyBorder="0" applyAlignment="0" applyProtection="0"/>
    <xf numFmtId="0" fontId="112" fillId="70" borderId="0" applyNumberFormat="0" applyBorder="0" applyAlignment="0" applyProtection="0"/>
    <xf numFmtId="0" fontId="112" fillId="65" borderId="0" applyNumberFormat="0" applyBorder="0" applyAlignment="0" applyProtection="0"/>
    <xf numFmtId="0" fontId="112" fillId="66" borderId="0" applyNumberFormat="0" applyBorder="0" applyAlignment="0" applyProtection="0"/>
    <xf numFmtId="0" fontId="112" fillId="71" borderId="0" applyNumberFormat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32" fillId="58" borderId="43" applyNumberFormat="0" applyAlignment="0" applyProtection="0"/>
    <xf numFmtId="0" fontId="132" fillId="58" borderId="43" applyNumberFormat="0" applyAlignment="0" applyProtection="0"/>
    <xf numFmtId="0" fontId="109" fillId="0" borderId="0">
      <alignment vertical="center"/>
    </xf>
    <xf numFmtId="0" fontId="116" fillId="54" borderId="0" applyNumberFormat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195" fontId="102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144" fillId="81" borderId="0" applyNumberFormat="0" applyBorder="0" applyAlignment="0" applyProtection="0"/>
    <xf numFmtId="209" fontId="168" fillId="0" borderId="0"/>
    <xf numFmtId="209" fontId="168" fillId="0" borderId="0"/>
    <xf numFmtId="210" fontId="168" fillId="0" borderId="0"/>
    <xf numFmtId="210" fontId="168" fillId="0" borderId="0"/>
    <xf numFmtId="0" fontId="1" fillId="0" borderId="0"/>
    <xf numFmtId="0" fontId="11" fillId="0" borderId="0">
      <alignment vertical="top"/>
    </xf>
    <xf numFmtId="0" fontId="11" fillId="0" borderId="0">
      <alignment vertical="top"/>
    </xf>
    <xf numFmtId="0" fontId="102" fillId="0" borderId="0"/>
    <xf numFmtId="0" fontId="40" fillId="82" borderId="56" applyNumberFormat="0" applyFont="0" applyAlignment="0" applyProtection="0"/>
    <xf numFmtId="9" fontId="102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48" fillId="76" borderId="57" applyNumberFormat="0" applyAlignment="0" applyProtection="0"/>
    <xf numFmtId="43" fontId="102" fillId="0" borderId="0" applyFont="0" applyFill="0" applyBorder="0" applyAlignment="0" applyProtection="0"/>
    <xf numFmtId="49" fontId="104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5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58" fillId="0" borderId="59" applyNumberFormat="0" applyFill="0" applyAlignment="0" applyProtection="0"/>
    <xf numFmtId="0" fontId="158" fillId="0" borderId="59" applyNumberFormat="0" applyFill="0" applyAlignment="0" applyProtection="0"/>
    <xf numFmtId="0" fontId="159" fillId="0" borderId="60" applyNumberFormat="0" applyFill="0" applyAlignment="0" applyProtection="0"/>
    <xf numFmtId="0" fontId="159" fillId="0" borderId="60" applyNumberFormat="0" applyFill="0" applyAlignment="0" applyProtection="0"/>
    <xf numFmtId="0" fontId="140" fillId="0" borderId="54" applyNumberFormat="0" applyFill="0" applyAlignment="0" applyProtection="0"/>
    <xf numFmtId="0" fontId="140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72" fillId="0" borderId="62" applyNumberFormat="0" applyFill="0" applyAlignment="0" applyProtection="0"/>
    <xf numFmtId="0" fontId="172" fillId="0" borderId="62" applyNumberFormat="0" applyFill="0" applyAlignment="0" applyProtection="0"/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4" fillId="0" borderId="0">
      <alignment vertical="top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84" fillId="0" borderId="0" applyNumberFormat="0" applyFill="0" applyBorder="0" applyAlignment="0" applyProtection="0"/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1" fillId="0" borderId="0"/>
    <xf numFmtId="0" fontId="109" fillId="0" borderId="0">
      <alignment vertical="center"/>
    </xf>
    <xf numFmtId="0" fontId="109" fillId="0" borderId="0">
      <alignment vertical="center"/>
    </xf>
    <xf numFmtId="0" fontId="11" fillId="0" borderId="0"/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1" fillId="0" borderId="0"/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1" fillId="0" borderId="0"/>
    <xf numFmtId="0" fontId="11" fillId="0" borderId="0"/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1" fillId="0" borderId="0"/>
    <xf numFmtId="0" fontId="104" fillId="0" borderId="0">
      <alignment vertical="top"/>
    </xf>
    <xf numFmtId="0" fontId="11" fillId="0" borderId="0"/>
    <xf numFmtId="0" fontId="109" fillId="0" borderId="0">
      <alignment vertical="center"/>
    </xf>
    <xf numFmtId="0" fontId="109" fillId="0" borderId="0">
      <alignment vertical="center"/>
    </xf>
    <xf numFmtId="0" fontId="11" fillId="0" borderId="0"/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37" fontId="114" fillId="0" borderId="0"/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1" fillId="0" borderId="0"/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1" fillId="0" borderId="0"/>
    <xf numFmtId="0" fontId="104" fillId="0" borderId="0">
      <alignment vertical="top"/>
    </xf>
    <xf numFmtId="0" fontId="11" fillId="0" borderId="0"/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85" fillId="0" borderId="0"/>
    <xf numFmtId="0" fontId="185" fillId="0" borderId="0"/>
    <xf numFmtId="0" fontId="185" fillId="0" borderId="0"/>
    <xf numFmtId="0" fontId="185" fillId="0" borderId="0"/>
    <xf numFmtId="0" fontId="128" fillId="0" borderId="0"/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28" fillId="0" borderId="0"/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1" fillId="0" borderId="0"/>
    <xf numFmtId="0" fontId="104" fillId="0" borderId="0">
      <alignment vertical="top"/>
    </xf>
    <xf numFmtId="0" fontId="104" fillId="0" borderId="0">
      <alignment vertical="top"/>
    </xf>
    <xf numFmtId="0" fontId="11" fillId="0" borderId="0"/>
    <xf numFmtId="0" fontId="11" fillId="0" borderId="0"/>
    <xf numFmtId="0" fontId="11" fillId="0" borderId="0"/>
    <xf numFmtId="0" fontId="104" fillId="0" borderId="0">
      <alignment vertical="top"/>
    </xf>
    <xf numFmtId="0" fontId="186" fillId="0" borderId="0" applyFont="0" applyFill="0" applyBorder="0" applyAlignment="0" applyProtection="0"/>
    <xf numFmtId="0" fontId="186" fillId="0" borderId="0" applyFont="0" applyFill="0" applyBorder="0" applyAlignment="0" applyProtection="0"/>
    <xf numFmtId="9" fontId="11" fillId="95" borderId="0"/>
    <xf numFmtId="9" fontId="11" fillId="95" borderId="0"/>
    <xf numFmtId="9" fontId="11" fillId="95" borderId="0"/>
    <xf numFmtId="9" fontId="11" fillId="95" borderId="0"/>
    <xf numFmtId="0" fontId="186" fillId="0" borderId="0" applyNumberFormat="0" applyFill="0" applyBorder="0" applyAlignment="0" applyProtection="0"/>
    <xf numFmtId="211" fontId="121" fillId="0" borderId="0">
      <protection locked="0"/>
    </xf>
    <xf numFmtId="211" fontId="121" fillId="0" borderId="0">
      <protection locked="0"/>
    </xf>
    <xf numFmtId="211" fontId="121" fillId="0" borderId="0">
      <protection locked="0"/>
    </xf>
    <xf numFmtId="0" fontId="11" fillId="0" borderId="0"/>
    <xf numFmtId="226" fontId="168" fillId="0" borderId="0" applyFill="0" applyBorder="0" applyProtection="0">
      <alignment horizontal="right"/>
      <protection locked="0"/>
    </xf>
    <xf numFmtId="229" fontId="168" fillId="0" borderId="0" applyFill="0" applyBorder="0" applyProtection="0">
      <alignment horizontal="right"/>
      <protection locked="0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87" fillId="0" borderId="0">
      <alignment horizontal="left"/>
    </xf>
    <xf numFmtId="3" fontId="110" fillId="52" borderId="0">
      <alignment horizontal="left"/>
    </xf>
    <xf numFmtId="3" fontId="110" fillId="52" borderId="0">
      <alignment horizontal="left"/>
    </xf>
    <xf numFmtId="0" fontId="188" fillId="53" borderId="0" applyNumberFormat="0" applyBorder="0" applyAlignment="0" applyProtection="0"/>
    <xf numFmtId="0" fontId="188" fillId="54" borderId="0" applyNumberFormat="0" applyBorder="0" applyAlignment="0" applyProtection="0"/>
    <xf numFmtId="0" fontId="188" fillId="55" borderId="0" applyNumberFormat="0" applyBorder="0" applyAlignment="0" applyProtection="0"/>
    <xf numFmtId="0" fontId="188" fillId="56" borderId="0" applyNumberFormat="0" applyBorder="0" applyAlignment="0" applyProtection="0"/>
    <xf numFmtId="0" fontId="188" fillId="57" borderId="0" applyNumberFormat="0" applyBorder="0" applyAlignment="0" applyProtection="0"/>
    <xf numFmtId="0" fontId="188" fillId="58" borderId="0" applyNumberFormat="0" applyBorder="0" applyAlignment="0" applyProtection="0"/>
    <xf numFmtId="0" fontId="40" fillId="53" borderId="0" applyNumberFormat="0" applyBorder="0" applyAlignment="0" applyProtection="0"/>
    <xf numFmtId="231" fontId="40" fillId="53" borderId="0" applyNumberFormat="0" applyBorder="0" applyAlignment="0" applyProtection="0"/>
    <xf numFmtId="231" fontId="40" fillId="53" borderId="0" applyNumberFormat="0" applyBorder="0" applyAlignment="0" applyProtection="0"/>
    <xf numFmtId="0" fontId="40" fillId="53" borderId="0" applyNumberFormat="0" applyBorder="0" applyAlignment="0" applyProtection="0"/>
    <xf numFmtId="231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4" borderId="0" applyNumberFormat="0" applyBorder="0" applyAlignment="0" applyProtection="0"/>
    <xf numFmtId="231" fontId="40" fillId="54" borderId="0" applyNumberFormat="0" applyBorder="0" applyAlignment="0" applyProtection="0"/>
    <xf numFmtId="231" fontId="40" fillId="54" borderId="0" applyNumberFormat="0" applyBorder="0" applyAlignment="0" applyProtection="0"/>
    <xf numFmtId="0" fontId="40" fillId="54" borderId="0" applyNumberFormat="0" applyBorder="0" applyAlignment="0" applyProtection="0"/>
    <xf numFmtId="231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5" borderId="0" applyNumberFormat="0" applyBorder="0" applyAlignment="0" applyProtection="0"/>
    <xf numFmtId="231" fontId="40" fillId="55" borderId="0" applyNumberFormat="0" applyBorder="0" applyAlignment="0" applyProtection="0"/>
    <xf numFmtId="231" fontId="40" fillId="55" borderId="0" applyNumberFormat="0" applyBorder="0" applyAlignment="0" applyProtection="0"/>
    <xf numFmtId="0" fontId="40" fillId="55" borderId="0" applyNumberFormat="0" applyBorder="0" applyAlignment="0" applyProtection="0"/>
    <xf numFmtId="231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6" borderId="0" applyNumberFormat="0" applyBorder="0" applyAlignment="0" applyProtection="0"/>
    <xf numFmtId="231" fontId="40" fillId="56" borderId="0" applyNumberFormat="0" applyBorder="0" applyAlignment="0" applyProtection="0"/>
    <xf numFmtId="231" fontId="40" fillId="56" borderId="0" applyNumberFormat="0" applyBorder="0" applyAlignment="0" applyProtection="0"/>
    <xf numFmtId="0" fontId="40" fillId="56" borderId="0" applyNumberFormat="0" applyBorder="0" applyAlignment="0" applyProtection="0"/>
    <xf numFmtId="231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7" borderId="0" applyNumberFormat="0" applyBorder="0" applyAlignment="0" applyProtection="0"/>
    <xf numFmtId="231" fontId="40" fillId="57" borderId="0" applyNumberFormat="0" applyBorder="0" applyAlignment="0" applyProtection="0"/>
    <xf numFmtId="231" fontId="40" fillId="57" borderId="0" applyNumberFormat="0" applyBorder="0" applyAlignment="0" applyProtection="0"/>
    <xf numFmtId="0" fontId="40" fillId="57" borderId="0" applyNumberFormat="0" applyBorder="0" applyAlignment="0" applyProtection="0"/>
    <xf numFmtId="231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8" borderId="0" applyNumberFormat="0" applyBorder="0" applyAlignment="0" applyProtection="0"/>
    <xf numFmtId="231" fontId="40" fillId="58" borderId="0" applyNumberFormat="0" applyBorder="0" applyAlignment="0" applyProtection="0"/>
    <xf numFmtId="231" fontId="40" fillId="58" borderId="0" applyNumberFormat="0" applyBorder="0" applyAlignment="0" applyProtection="0"/>
    <xf numFmtId="0" fontId="40" fillId="58" borderId="0" applyNumberFormat="0" applyBorder="0" applyAlignment="0" applyProtection="0"/>
    <xf numFmtId="231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231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231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231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231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231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231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231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231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231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231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231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231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231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231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231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231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231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231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188" fillId="60" borderId="0" applyNumberFormat="0" applyBorder="0" applyAlignment="0" applyProtection="0"/>
    <xf numFmtId="0" fontId="188" fillId="61" borderId="0" applyNumberFormat="0" applyBorder="0" applyAlignment="0" applyProtection="0"/>
    <xf numFmtId="0" fontId="188" fillId="62" borderId="0" applyNumberFormat="0" applyBorder="0" applyAlignment="0" applyProtection="0"/>
    <xf numFmtId="0" fontId="188" fillId="56" borderId="0" applyNumberFormat="0" applyBorder="0" applyAlignment="0" applyProtection="0"/>
    <xf numFmtId="0" fontId="188" fillId="60" borderId="0" applyNumberFormat="0" applyBorder="0" applyAlignment="0" applyProtection="0"/>
    <xf numFmtId="0" fontId="188" fillId="63" borderId="0" applyNumberFormat="0" applyBorder="0" applyAlignment="0" applyProtection="0"/>
    <xf numFmtId="0" fontId="40" fillId="60" borderId="0" applyNumberFormat="0" applyBorder="0" applyAlignment="0" applyProtection="0"/>
    <xf numFmtId="231" fontId="40" fillId="60" borderId="0" applyNumberFormat="0" applyBorder="0" applyAlignment="0" applyProtection="0"/>
    <xf numFmtId="231" fontId="40" fillId="60" borderId="0" applyNumberFormat="0" applyBorder="0" applyAlignment="0" applyProtection="0"/>
    <xf numFmtId="0" fontId="40" fillId="60" borderId="0" applyNumberFormat="0" applyBorder="0" applyAlignment="0" applyProtection="0"/>
    <xf numFmtId="231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1" borderId="0" applyNumberFormat="0" applyBorder="0" applyAlignment="0" applyProtection="0"/>
    <xf numFmtId="231" fontId="40" fillId="61" borderId="0" applyNumberFormat="0" applyBorder="0" applyAlignment="0" applyProtection="0"/>
    <xf numFmtId="231" fontId="40" fillId="61" borderId="0" applyNumberFormat="0" applyBorder="0" applyAlignment="0" applyProtection="0"/>
    <xf numFmtId="0" fontId="40" fillId="61" borderId="0" applyNumberFormat="0" applyBorder="0" applyAlignment="0" applyProtection="0"/>
    <xf numFmtId="231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2" borderId="0" applyNumberFormat="0" applyBorder="0" applyAlignment="0" applyProtection="0"/>
    <xf numFmtId="231" fontId="40" fillId="62" borderId="0" applyNumberFormat="0" applyBorder="0" applyAlignment="0" applyProtection="0"/>
    <xf numFmtId="231" fontId="40" fillId="62" borderId="0" applyNumberFormat="0" applyBorder="0" applyAlignment="0" applyProtection="0"/>
    <xf numFmtId="0" fontId="40" fillId="62" borderId="0" applyNumberFormat="0" applyBorder="0" applyAlignment="0" applyProtection="0"/>
    <xf numFmtId="231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56" borderId="0" applyNumberFormat="0" applyBorder="0" applyAlignment="0" applyProtection="0"/>
    <xf numFmtId="231" fontId="40" fillId="56" borderId="0" applyNumberFormat="0" applyBorder="0" applyAlignment="0" applyProtection="0"/>
    <xf numFmtId="231" fontId="40" fillId="56" borderId="0" applyNumberFormat="0" applyBorder="0" applyAlignment="0" applyProtection="0"/>
    <xf numFmtId="0" fontId="40" fillId="56" borderId="0" applyNumberFormat="0" applyBorder="0" applyAlignment="0" applyProtection="0"/>
    <xf numFmtId="231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60" borderId="0" applyNumberFormat="0" applyBorder="0" applyAlignment="0" applyProtection="0"/>
    <xf numFmtId="231" fontId="40" fillId="60" borderId="0" applyNumberFormat="0" applyBorder="0" applyAlignment="0" applyProtection="0"/>
    <xf numFmtId="231" fontId="40" fillId="60" borderId="0" applyNumberFormat="0" applyBorder="0" applyAlignment="0" applyProtection="0"/>
    <xf numFmtId="0" fontId="40" fillId="60" borderId="0" applyNumberFormat="0" applyBorder="0" applyAlignment="0" applyProtection="0"/>
    <xf numFmtId="231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3" borderId="0" applyNumberFormat="0" applyBorder="0" applyAlignment="0" applyProtection="0"/>
    <xf numFmtId="231" fontId="40" fillId="63" borderId="0" applyNumberFormat="0" applyBorder="0" applyAlignment="0" applyProtection="0"/>
    <xf numFmtId="231" fontId="40" fillId="63" borderId="0" applyNumberFormat="0" applyBorder="0" applyAlignment="0" applyProtection="0"/>
    <xf numFmtId="0" fontId="40" fillId="63" borderId="0" applyNumberFormat="0" applyBorder="0" applyAlignment="0" applyProtection="0"/>
    <xf numFmtId="231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231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231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231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231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231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231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231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231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231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231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231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231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231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231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231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231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231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231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189" fillId="64" borderId="0" applyNumberFormat="0" applyBorder="0" applyAlignment="0" applyProtection="0"/>
    <xf numFmtId="0" fontId="189" fillId="61" borderId="0" applyNumberFormat="0" applyBorder="0" applyAlignment="0" applyProtection="0"/>
    <xf numFmtId="0" fontId="189" fillId="62" borderId="0" applyNumberFormat="0" applyBorder="0" applyAlignment="0" applyProtection="0"/>
    <xf numFmtId="0" fontId="189" fillId="65" borderId="0" applyNumberFormat="0" applyBorder="0" applyAlignment="0" applyProtection="0"/>
    <xf numFmtId="0" fontId="189" fillId="66" borderId="0" applyNumberFormat="0" applyBorder="0" applyAlignment="0" applyProtection="0"/>
    <xf numFmtId="0" fontId="189" fillId="67" borderId="0" applyNumberFormat="0" applyBorder="0" applyAlignment="0" applyProtection="0"/>
    <xf numFmtId="0" fontId="112" fillId="64" borderId="0" applyNumberFormat="0" applyBorder="0" applyAlignment="0" applyProtection="0"/>
    <xf numFmtId="231" fontId="112" fillId="64" borderId="0" applyNumberFormat="0" applyBorder="0" applyAlignment="0" applyProtection="0"/>
    <xf numFmtId="231" fontId="112" fillId="64" borderId="0" applyNumberFormat="0" applyBorder="0" applyAlignment="0" applyProtection="0"/>
    <xf numFmtId="0" fontId="112" fillId="64" borderId="0" applyNumberFormat="0" applyBorder="0" applyAlignment="0" applyProtection="0"/>
    <xf numFmtId="231" fontId="112" fillId="64" borderId="0" applyNumberFormat="0" applyBorder="0" applyAlignment="0" applyProtection="0"/>
    <xf numFmtId="0" fontId="112" fillId="64" borderId="0" applyNumberFormat="0" applyBorder="0" applyAlignment="0" applyProtection="0"/>
    <xf numFmtId="0" fontId="112" fillId="64" borderId="0" applyNumberFormat="0" applyBorder="0" applyAlignment="0" applyProtection="0"/>
    <xf numFmtId="0" fontId="112" fillId="64" borderId="0" applyNumberFormat="0" applyBorder="0" applyAlignment="0" applyProtection="0"/>
    <xf numFmtId="0" fontId="112" fillId="64" borderId="0" applyNumberFormat="0" applyBorder="0" applyAlignment="0" applyProtection="0"/>
    <xf numFmtId="0" fontId="112" fillId="64" borderId="0" applyNumberFormat="0" applyBorder="0" applyAlignment="0" applyProtection="0"/>
    <xf numFmtId="0" fontId="112" fillId="61" borderId="0" applyNumberFormat="0" applyBorder="0" applyAlignment="0" applyProtection="0"/>
    <xf numFmtId="231" fontId="112" fillId="61" borderId="0" applyNumberFormat="0" applyBorder="0" applyAlignment="0" applyProtection="0"/>
    <xf numFmtId="231" fontId="112" fillId="61" borderId="0" applyNumberFormat="0" applyBorder="0" applyAlignment="0" applyProtection="0"/>
    <xf numFmtId="0" fontId="112" fillId="61" borderId="0" applyNumberFormat="0" applyBorder="0" applyAlignment="0" applyProtection="0"/>
    <xf numFmtId="231" fontId="112" fillId="61" borderId="0" applyNumberFormat="0" applyBorder="0" applyAlignment="0" applyProtection="0"/>
    <xf numFmtId="0" fontId="112" fillId="61" borderId="0" applyNumberFormat="0" applyBorder="0" applyAlignment="0" applyProtection="0"/>
    <xf numFmtId="0" fontId="112" fillId="61" borderId="0" applyNumberFormat="0" applyBorder="0" applyAlignment="0" applyProtection="0"/>
    <xf numFmtId="0" fontId="112" fillId="61" borderId="0" applyNumberFormat="0" applyBorder="0" applyAlignment="0" applyProtection="0"/>
    <xf numFmtId="0" fontId="112" fillId="61" borderId="0" applyNumberFormat="0" applyBorder="0" applyAlignment="0" applyProtection="0"/>
    <xf numFmtId="0" fontId="112" fillId="61" borderId="0" applyNumberFormat="0" applyBorder="0" applyAlignment="0" applyProtection="0"/>
    <xf numFmtId="0" fontId="112" fillId="62" borderId="0" applyNumberFormat="0" applyBorder="0" applyAlignment="0" applyProtection="0"/>
    <xf numFmtId="231" fontId="112" fillId="62" borderId="0" applyNumberFormat="0" applyBorder="0" applyAlignment="0" applyProtection="0"/>
    <xf numFmtId="231" fontId="112" fillId="62" borderId="0" applyNumberFormat="0" applyBorder="0" applyAlignment="0" applyProtection="0"/>
    <xf numFmtId="0" fontId="112" fillId="62" borderId="0" applyNumberFormat="0" applyBorder="0" applyAlignment="0" applyProtection="0"/>
    <xf numFmtId="231" fontId="112" fillId="62" borderId="0" applyNumberFormat="0" applyBorder="0" applyAlignment="0" applyProtection="0"/>
    <xf numFmtId="0" fontId="112" fillId="62" borderId="0" applyNumberFormat="0" applyBorder="0" applyAlignment="0" applyProtection="0"/>
    <xf numFmtId="0" fontId="112" fillId="62" borderId="0" applyNumberFormat="0" applyBorder="0" applyAlignment="0" applyProtection="0"/>
    <xf numFmtId="0" fontId="112" fillId="62" borderId="0" applyNumberFormat="0" applyBorder="0" applyAlignment="0" applyProtection="0"/>
    <xf numFmtId="0" fontId="112" fillId="62" borderId="0" applyNumberFormat="0" applyBorder="0" applyAlignment="0" applyProtection="0"/>
    <xf numFmtId="0" fontId="112" fillId="62" borderId="0" applyNumberFormat="0" applyBorder="0" applyAlignment="0" applyProtection="0"/>
    <xf numFmtId="0" fontId="112" fillId="65" borderId="0" applyNumberFormat="0" applyBorder="0" applyAlignment="0" applyProtection="0"/>
    <xf numFmtId="231" fontId="112" fillId="65" borderId="0" applyNumberFormat="0" applyBorder="0" applyAlignment="0" applyProtection="0"/>
    <xf numFmtId="231" fontId="112" fillId="65" borderId="0" applyNumberFormat="0" applyBorder="0" applyAlignment="0" applyProtection="0"/>
    <xf numFmtId="0" fontId="112" fillId="65" borderId="0" applyNumberFormat="0" applyBorder="0" applyAlignment="0" applyProtection="0"/>
    <xf numFmtId="231" fontId="112" fillId="65" borderId="0" applyNumberFormat="0" applyBorder="0" applyAlignment="0" applyProtection="0"/>
    <xf numFmtId="0" fontId="112" fillId="65" borderId="0" applyNumberFormat="0" applyBorder="0" applyAlignment="0" applyProtection="0"/>
    <xf numFmtId="0" fontId="112" fillId="65" borderId="0" applyNumberFormat="0" applyBorder="0" applyAlignment="0" applyProtection="0"/>
    <xf numFmtId="0" fontId="112" fillId="65" borderId="0" applyNumberFormat="0" applyBorder="0" applyAlignment="0" applyProtection="0"/>
    <xf numFmtId="0" fontId="112" fillId="65" borderId="0" applyNumberFormat="0" applyBorder="0" applyAlignment="0" applyProtection="0"/>
    <xf numFmtId="0" fontId="112" fillId="65" borderId="0" applyNumberFormat="0" applyBorder="0" applyAlignment="0" applyProtection="0"/>
    <xf numFmtId="0" fontId="112" fillId="66" borderId="0" applyNumberFormat="0" applyBorder="0" applyAlignment="0" applyProtection="0"/>
    <xf numFmtId="231" fontId="112" fillId="66" borderId="0" applyNumberFormat="0" applyBorder="0" applyAlignment="0" applyProtection="0"/>
    <xf numFmtId="231" fontId="112" fillId="66" borderId="0" applyNumberFormat="0" applyBorder="0" applyAlignment="0" applyProtection="0"/>
    <xf numFmtId="0" fontId="112" fillId="66" borderId="0" applyNumberFormat="0" applyBorder="0" applyAlignment="0" applyProtection="0"/>
    <xf numFmtId="231" fontId="112" fillId="66" borderId="0" applyNumberFormat="0" applyBorder="0" applyAlignment="0" applyProtection="0"/>
    <xf numFmtId="0" fontId="112" fillId="66" borderId="0" applyNumberFormat="0" applyBorder="0" applyAlignment="0" applyProtection="0"/>
    <xf numFmtId="0" fontId="112" fillId="66" borderId="0" applyNumberFormat="0" applyBorder="0" applyAlignment="0" applyProtection="0"/>
    <xf numFmtId="0" fontId="112" fillId="66" borderId="0" applyNumberFormat="0" applyBorder="0" applyAlignment="0" applyProtection="0"/>
    <xf numFmtId="0" fontId="112" fillId="66" borderId="0" applyNumberFormat="0" applyBorder="0" applyAlignment="0" applyProtection="0"/>
    <xf numFmtId="0" fontId="112" fillId="66" borderId="0" applyNumberFormat="0" applyBorder="0" applyAlignment="0" applyProtection="0"/>
    <xf numFmtId="0" fontId="112" fillId="67" borderId="0" applyNumberFormat="0" applyBorder="0" applyAlignment="0" applyProtection="0"/>
    <xf numFmtId="231" fontId="112" fillId="67" borderId="0" applyNumberFormat="0" applyBorder="0" applyAlignment="0" applyProtection="0"/>
    <xf numFmtId="231" fontId="112" fillId="67" borderId="0" applyNumberFormat="0" applyBorder="0" applyAlignment="0" applyProtection="0"/>
    <xf numFmtId="0" fontId="112" fillId="67" borderId="0" applyNumberFormat="0" applyBorder="0" applyAlignment="0" applyProtection="0"/>
    <xf numFmtId="231" fontId="112" fillId="67" borderId="0" applyNumberFormat="0" applyBorder="0" applyAlignment="0" applyProtection="0"/>
    <xf numFmtId="0" fontId="112" fillId="67" borderId="0" applyNumberFormat="0" applyBorder="0" applyAlignment="0" applyProtection="0"/>
    <xf numFmtId="0" fontId="112" fillId="67" borderId="0" applyNumberFormat="0" applyBorder="0" applyAlignment="0" applyProtection="0"/>
    <xf numFmtId="0" fontId="112" fillId="67" borderId="0" applyNumberFormat="0" applyBorder="0" applyAlignment="0" applyProtection="0"/>
    <xf numFmtId="0" fontId="112" fillId="67" borderId="0" applyNumberFormat="0" applyBorder="0" applyAlignment="0" applyProtection="0"/>
    <xf numFmtId="0" fontId="112" fillId="67" borderId="0" applyNumberFormat="0" applyBorder="0" applyAlignment="0" applyProtection="0"/>
    <xf numFmtId="231" fontId="112" fillId="64" borderId="0" applyNumberFormat="0" applyBorder="0" applyAlignment="0" applyProtection="0"/>
    <xf numFmtId="231" fontId="112" fillId="61" borderId="0" applyNumberFormat="0" applyBorder="0" applyAlignment="0" applyProtection="0"/>
    <xf numFmtId="231" fontId="112" fillId="62" borderId="0" applyNumberFormat="0" applyBorder="0" applyAlignment="0" applyProtection="0"/>
    <xf numFmtId="231" fontId="112" fillId="65" borderId="0" applyNumberFormat="0" applyBorder="0" applyAlignment="0" applyProtection="0"/>
    <xf numFmtId="231" fontId="112" fillId="66" borderId="0" applyNumberFormat="0" applyBorder="0" applyAlignment="0" applyProtection="0"/>
    <xf numFmtId="231" fontId="112" fillId="67" borderId="0" applyNumberFormat="0" applyBorder="0" applyAlignment="0" applyProtection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" fillId="0" borderId="0"/>
    <xf numFmtId="0" fontId="40" fillId="96" borderId="0" applyNumberFormat="0" applyBorder="0" applyAlignment="0" applyProtection="0"/>
    <xf numFmtId="0" fontId="40" fillId="97" borderId="0" applyNumberFormat="0" applyBorder="0" applyAlignment="0" applyProtection="0"/>
    <xf numFmtId="0" fontId="112" fillId="98" borderId="0" applyNumberFormat="0" applyBorder="0" applyAlignment="0" applyProtection="0"/>
    <xf numFmtId="0" fontId="189" fillId="68" borderId="0" applyNumberFormat="0" applyBorder="0" applyAlignment="0" applyProtection="0"/>
    <xf numFmtId="0" fontId="112" fillId="99" borderId="0" applyNumberFormat="0" applyBorder="0" applyAlignment="0" applyProtection="0"/>
    <xf numFmtId="0" fontId="40" fillId="100" borderId="0" applyNumberFormat="0" applyBorder="0" applyAlignment="0" applyProtection="0"/>
    <xf numFmtId="0" fontId="40" fillId="101" borderId="0" applyNumberFormat="0" applyBorder="0" applyAlignment="0" applyProtection="0"/>
    <xf numFmtId="0" fontId="112" fillId="102" borderId="0" applyNumberFormat="0" applyBorder="0" applyAlignment="0" applyProtection="0"/>
    <xf numFmtId="0" fontId="106" fillId="103" borderId="0" applyNumberFormat="0" applyBorder="0" applyAlignment="0" applyProtection="0"/>
    <xf numFmtId="0" fontId="189" fillId="69" borderId="0" applyNumberFormat="0" applyBorder="0" applyAlignment="0" applyProtection="0"/>
    <xf numFmtId="0" fontId="112" fillId="104" borderId="0" applyNumberFormat="0" applyBorder="0" applyAlignment="0" applyProtection="0"/>
    <xf numFmtId="0" fontId="40" fillId="105" borderId="0" applyNumberFormat="0" applyBorder="0" applyAlignment="0" applyProtection="0"/>
    <xf numFmtId="0" fontId="40" fillId="106" borderId="0" applyNumberFormat="0" applyBorder="0" applyAlignment="0" applyProtection="0"/>
    <xf numFmtId="0" fontId="112" fillId="107" borderId="0" applyNumberFormat="0" applyBorder="0" applyAlignment="0" applyProtection="0"/>
    <xf numFmtId="0" fontId="106" fillId="108" borderId="0" applyNumberFormat="0" applyBorder="0" applyAlignment="0" applyProtection="0"/>
    <xf numFmtId="0" fontId="189" fillId="70" borderId="0" applyNumberFormat="0" applyBorder="0" applyAlignment="0" applyProtection="0"/>
    <xf numFmtId="0" fontId="112" fillId="102" borderId="0" applyNumberFormat="0" applyBorder="0" applyAlignment="0" applyProtection="0"/>
    <xf numFmtId="0" fontId="40" fillId="106" borderId="0" applyNumberFormat="0" applyBorder="0" applyAlignment="0" applyProtection="0"/>
    <xf numFmtId="0" fontId="40" fillId="107" borderId="0" applyNumberFormat="0" applyBorder="0" applyAlignment="0" applyProtection="0"/>
    <xf numFmtId="0" fontId="112" fillId="107" borderId="0" applyNumberFormat="0" applyBorder="0" applyAlignment="0" applyProtection="0"/>
    <xf numFmtId="0" fontId="189" fillId="65" borderId="0" applyNumberFormat="0" applyBorder="0" applyAlignment="0" applyProtection="0"/>
    <xf numFmtId="0" fontId="112" fillId="109" borderId="0" applyNumberFormat="0" applyBorder="0" applyAlignment="0" applyProtection="0"/>
    <xf numFmtId="0" fontId="40" fillId="96" borderId="0" applyNumberFormat="0" applyBorder="0" applyAlignment="0" applyProtection="0"/>
    <xf numFmtId="0" fontId="40" fillId="97" borderId="0" applyNumberFormat="0" applyBorder="0" applyAlignment="0" applyProtection="0"/>
    <xf numFmtId="0" fontId="112" fillId="97" borderId="0" applyNumberFormat="0" applyBorder="0" applyAlignment="0" applyProtection="0"/>
    <xf numFmtId="0" fontId="189" fillId="66" borderId="0" applyNumberFormat="0" applyBorder="0" applyAlignment="0" applyProtection="0"/>
    <xf numFmtId="0" fontId="112" fillId="110" borderId="0" applyNumberFormat="0" applyBorder="0" applyAlignment="0" applyProtection="0"/>
    <xf numFmtId="0" fontId="40" fillId="111" borderId="0" applyNumberFormat="0" applyBorder="0" applyAlignment="0" applyProtection="0"/>
    <xf numFmtId="0" fontId="40" fillId="101" borderId="0" applyNumberFormat="0" applyBorder="0" applyAlignment="0" applyProtection="0"/>
    <xf numFmtId="0" fontId="112" fillId="112" borderId="0" applyNumberFormat="0" applyBorder="0" applyAlignment="0" applyProtection="0"/>
    <xf numFmtId="0" fontId="189" fillId="71" borderId="0" applyNumberFormat="0" applyBorder="0" applyAlignment="0" applyProtection="0"/>
    <xf numFmtId="0" fontId="112" fillId="113" borderId="0" applyNumberFormat="0" applyBorder="0" applyAlignment="0" applyProtection="0"/>
    <xf numFmtId="200" fontId="70" fillId="72" borderId="40">
      <alignment horizontal="center"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3" fontId="11" fillId="0" borderId="0"/>
    <xf numFmtId="0" fontId="11" fillId="0" borderId="0"/>
    <xf numFmtId="10" fontId="11" fillId="73" borderId="0" applyFont="0" applyBorder="0" applyAlignment="0">
      <protection locked="0"/>
    </xf>
    <xf numFmtId="10" fontId="11" fillId="73" borderId="0" applyFont="0" applyBorder="0" applyAlignment="0">
      <protection locked="0"/>
    </xf>
    <xf numFmtId="10" fontId="11" fillId="73" borderId="0" applyFont="0" applyBorder="0" applyAlignment="0">
      <protection locked="0"/>
    </xf>
    <xf numFmtId="197" fontId="11" fillId="73" borderId="0" applyBorder="0" applyAlignment="0">
      <protection locked="0"/>
    </xf>
    <xf numFmtId="197" fontId="11" fillId="73" borderId="0" applyBorder="0" applyAlignment="0">
      <protection locked="0"/>
    </xf>
    <xf numFmtId="197" fontId="11" fillId="73" borderId="0" applyBorder="0" applyAlignment="0">
      <protection locked="0"/>
    </xf>
    <xf numFmtId="197" fontId="11" fillId="73" borderId="0" applyBorder="0" applyAlignment="0">
      <protection locked="0"/>
    </xf>
    <xf numFmtId="0" fontId="11" fillId="0" borderId="0" applyNumberFormat="0" applyFont="0" applyBorder="0" applyAlignment="0"/>
    <xf numFmtId="0" fontId="11" fillId="0" borderId="0" applyNumberFormat="0" applyFont="0" applyBorder="0" applyAlignment="0"/>
    <xf numFmtId="0" fontId="11" fillId="0" borderId="0" applyNumberFormat="0" applyFont="0" applyBorder="0" applyAlignment="0"/>
    <xf numFmtId="3" fontId="110" fillId="0" borderId="0" applyNumberFormat="0" applyFill="0" applyBorder="0" applyAlignment="0" applyProtection="0"/>
    <xf numFmtId="0" fontId="190" fillId="0" borderId="48">
      <protection hidden="1"/>
    </xf>
    <xf numFmtId="0" fontId="187" fillId="76" borderId="48" applyNumberFormat="0" applyFont="0" applyBorder="0" applyAlignment="0" applyProtection="0">
      <protection hidden="1"/>
    </xf>
    <xf numFmtId="0" fontId="190" fillId="0" borderId="48">
      <protection hidden="1"/>
    </xf>
    <xf numFmtId="0" fontId="191" fillId="114" borderId="0"/>
    <xf numFmtId="0" fontId="192" fillId="54" borderId="0" applyNumberFormat="0" applyBorder="0" applyAlignment="0" applyProtection="0"/>
    <xf numFmtId="0" fontId="193" fillId="0" borderId="0" applyFont="0" applyFill="0" applyBorder="0" applyAlignment="0" applyProtection="0">
      <alignment horizontal="right"/>
    </xf>
    <xf numFmtId="0" fontId="11" fillId="0" borderId="0" applyNumberFormat="0" applyFill="0" applyBorder="0" applyAlignment="0"/>
    <xf numFmtId="0" fontId="11" fillId="0" borderId="0" applyNumberFormat="0" applyFill="0" applyBorder="0" applyAlignment="0"/>
    <xf numFmtId="0" fontId="11" fillId="0" borderId="0" applyNumberFormat="0" applyFill="0" applyBorder="0" applyAlignment="0"/>
    <xf numFmtId="0" fontId="11" fillId="0" borderId="0" applyNumberFormat="0" applyFill="0" applyBorder="0" applyAlignment="0"/>
    <xf numFmtId="0" fontId="194" fillId="0" borderId="1" applyNumberFormat="0" applyFill="0" applyAlignment="0" applyProtection="0"/>
    <xf numFmtId="201" fontId="195" fillId="0" borderId="0">
      <alignment horizontal="right"/>
    </xf>
    <xf numFmtId="0" fontId="120" fillId="55" borderId="0" applyNumberFormat="0" applyBorder="0" applyAlignment="0" applyProtection="0"/>
    <xf numFmtId="231" fontId="120" fillId="55" borderId="0" applyNumberFormat="0" applyBorder="0" applyAlignment="0" applyProtection="0"/>
    <xf numFmtId="231" fontId="120" fillId="55" borderId="0" applyNumberFormat="0" applyBorder="0" applyAlignment="0" applyProtection="0"/>
    <xf numFmtId="0" fontId="120" fillId="55" borderId="0" applyNumberFormat="0" applyBorder="0" applyAlignment="0" applyProtection="0"/>
    <xf numFmtId="231" fontId="120" fillId="55" borderId="0" applyNumberFormat="0" applyBorder="0" applyAlignment="0" applyProtection="0"/>
    <xf numFmtId="0" fontId="120" fillId="55" borderId="0" applyNumberFormat="0" applyBorder="0" applyAlignment="0" applyProtection="0"/>
    <xf numFmtId="0" fontId="120" fillId="55" borderId="0" applyNumberFormat="0" applyBorder="0" applyAlignment="0" applyProtection="0"/>
    <xf numFmtId="0" fontId="120" fillId="55" borderId="0" applyNumberFormat="0" applyBorder="0" applyAlignment="0" applyProtection="0"/>
    <xf numFmtId="0" fontId="120" fillId="55" borderId="0" applyNumberFormat="0" applyBorder="0" applyAlignment="0" applyProtection="0"/>
    <xf numFmtId="0" fontId="120" fillId="55" borderId="0" applyNumberFormat="0" applyBorder="0" applyAlignment="0" applyProtection="0"/>
    <xf numFmtId="232" fontId="170" fillId="0" borderId="6" applyAlignment="0" applyProtection="0"/>
    <xf numFmtId="231" fontId="120" fillId="55" borderId="0" applyNumberFormat="0" applyBorder="0" applyAlignment="0" applyProtection="0"/>
    <xf numFmtId="0" fontId="186" fillId="0" borderId="0" applyFont="0" applyFill="0" applyBorder="0" applyAlignment="0" applyProtection="0"/>
    <xf numFmtId="0" fontId="121" fillId="0" borderId="0">
      <protection locked="0"/>
    </xf>
    <xf numFmtId="0" fontId="121" fillId="0" borderId="0">
      <protection locked="0"/>
    </xf>
    <xf numFmtId="0" fontId="121" fillId="0" borderId="0">
      <protection locked="0"/>
    </xf>
    <xf numFmtId="0" fontId="121" fillId="0" borderId="0">
      <protection locked="0"/>
    </xf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1" fillId="0" borderId="0" applyFill="0" applyBorder="0" applyAlignment="0"/>
    <xf numFmtId="199" fontId="109" fillId="0" borderId="0" applyFill="0" applyBorder="0" applyAlignment="0"/>
    <xf numFmtId="203" fontId="11" fillId="0" borderId="0" applyFill="0" applyBorder="0" applyAlignment="0"/>
    <xf numFmtId="203" fontId="11" fillId="0" borderId="0" applyFill="0" applyBorder="0" applyAlignment="0"/>
    <xf numFmtId="203" fontId="11" fillId="0" borderId="0" applyFill="0" applyBorder="0" applyAlignment="0"/>
    <xf numFmtId="203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96" fillId="115" borderId="43" applyNumberFormat="0" applyAlignment="0" applyProtection="0"/>
    <xf numFmtId="0" fontId="124" fillId="76" borderId="43" applyNumberFormat="0" applyAlignment="0" applyProtection="0"/>
    <xf numFmtId="0" fontId="124" fillId="76" borderId="43" applyNumberFormat="0" applyAlignment="0" applyProtection="0"/>
    <xf numFmtId="0" fontId="124" fillId="76" borderId="43" applyNumberFormat="0" applyAlignment="0" applyProtection="0"/>
    <xf numFmtId="231" fontId="124" fillId="76" borderId="43" applyNumberFormat="0" applyAlignment="0" applyProtection="0"/>
    <xf numFmtId="0" fontId="124" fillId="76" borderId="43" applyNumberFormat="0" applyAlignment="0" applyProtection="0"/>
    <xf numFmtId="0" fontId="124" fillId="76" borderId="43" applyNumberFormat="0" applyAlignment="0" applyProtection="0"/>
    <xf numFmtId="231" fontId="124" fillId="76" borderId="43" applyNumberFormat="0" applyAlignment="0" applyProtection="0"/>
    <xf numFmtId="0" fontId="124" fillId="76" borderId="43" applyNumberFormat="0" applyAlignment="0" applyProtection="0"/>
    <xf numFmtId="231" fontId="124" fillId="76" borderId="43" applyNumberFormat="0" applyAlignment="0" applyProtection="0"/>
    <xf numFmtId="0" fontId="124" fillId="76" borderId="43" applyNumberFormat="0" applyAlignment="0" applyProtection="0"/>
    <xf numFmtId="0" fontId="124" fillId="76" borderId="43" applyNumberFormat="0" applyAlignment="0" applyProtection="0"/>
    <xf numFmtId="0" fontId="124" fillId="76" borderId="43" applyNumberFormat="0" applyAlignment="0" applyProtection="0"/>
    <xf numFmtId="0" fontId="124" fillId="76" borderId="43" applyNumberFormat="0" applyAlignment="0" applyProtection="0"/>
    <xf numFmtId="0" fontId="124" fillId="76" borderId="43" applyNumberFormat="0" applyAlignment="0" applyProtection="0"/>
    <xf numFmtId="40" fontId="123" fillId="73" borderId="44">
      <alignment vertical="center"/>
    </xf>
    <xf numFmtId="40" fontId="123" fillId="73" borderId="44">
      <alignment vertical="center"/>
    </xf>
    <xf numFmtId="40" fontId="123" fillId="73" borderId="44">
      <alignment vertical="center"/>
    </xf>
    <xf numFmtId="233" fontId="11" fillId="0" borderId="0" applyFont="0" applyFill="0" applyBorder="0" applyAlignment="0" applyProtection="0"/>
    <xf numFmtId="234" fontId="11" fillId="0" borderId="0" applyFont="0" applyFill="0" applyBorder="0" applyAlignment="0" applyProtection="0"/>
    <xf numFmtId="0" fontId="125" fillId="77" borderId="45" applyNumberFormat="0" applyAlignment="0" applyProtection="0"/>
    <xf numFmtId="0" fontId="125" fillId="77" borderId="45" applyNumberFormat="0" applyAlignment="0" applyProtection="0"/>
    <xf numFmtId="0" fontId="126" fillId="0" borderId="46" applyNumberFormat="0" applyFill="0" applyAlignment="0" applyProtection="0"/>
    <xf numFmtId="0" fontId="126" fillId="0" borderId="46" applyNumberFormat="0" applyFill="0" applyAlignment="0" applyProtection="0"/>
    <xf numFmtId="37" fontId="197" fillId="79" borderId="44" applyProtection="0">
      <alignment horizontal="center"/>
    </xf>
    <xf numFmtId="0" fontId="105" fillId="77" borderId="45" applyNumberFormat="0" applyAlignment="0" applyProtection="0"/>
    <xf numFmtId="0" fontId="198" fillId="77" borderId="45" applyNumberFormat="0" applyAlignment="0" applyProtection="0"/>
    <xf numFmtId="0" fontId="125" fillId="102" borderId="45" applyNumberFormat="0" applyAlignment="0" applyProtection="0"/>
    <xf numFmtId="0" fontId="127" fillId="78" borderId="47" applyFont="0" applyFill="0" applyBorder="0"/>
    <xf numFmtId="0" fontId="107" fillId="0" borderId="48"/>
    <xf numFmtId="0" fontId="107" fillId="0" borderId="48"/>
    <xf numFmtId="0" fontId="107" fillId="0" borderId="48"/>
    <xf numFmtId="0" fontId="103" fillId="0" borderId="0" applyNumberFormat="0" applyFill="0" applyBorder="0" applyAlignment="0" applyProtection="0">
      <alignment vertical="top"/>
      <protection locked="0"/>
    </xf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235" fontId="200" fillId="0" borderId="0"/>
    <xf numFmtId="235" fontId="200" fillId="0" borderId="0"/>
    <xf numFmtId="230" fontId="173" fillId="0" borderId="0" applyFill="0" applyBorder="0" applyAlignment="0" applyProtection="0"/>
    <xf numFmtId="40" fontId="173" fillId="0" borderId="0" applyFill="0" applyBorder="0" applyAlignment="0" applyProtection="0"/>
    <xf numFmtId="236" fontId="173" fillId="115" borderId="0" applyFill="0" applyBorder="0" applyAlignment="0">
      <alignment vertical="top"/>
    </xf>
    <xf numFmtId="237" fontId="173" fillId="0" borderId="0" applyFill="0" applyBorder="0" applyAlignment="0" applyProtection="0"/>
    <xf numFmtId="0" fontId="11" fillId="0" borderId="0" applyFont="0" applyFill="0" applyBorder="0" applyAlignment="0" applyProtection="0"/>
    <xf numFmtId="0" fontId="201" fillId="0" borderId="0" applyFont="0" applyFill="0" applyBorder="0" applyAlignment="0" applyProtection="0">
      <alignment horizontal="right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04" fillId="0" borderId="0" applyProtection="0"/>
    <xf numFmtId="233" fontId="104" fillId="0" borderId="0" applyProtection="0"/>
    <xf numFmtId="43" fontId="104" fillId="0" borderId="0" applyProtection="0"/>
    <xf numFmtId="41" fontId="141" fillId="0" borderId="0" applyProtection="0"/>
    <xf numFmtId="233" fontId="141" fillId="0" borderId="0" applyProtection="0"/>
    <xf numFmtId="43" fontId="141" fillId="0" borderId="0" applyProtection="0"/>
    <xf numFmtId="0" fontId="128" fillId="0" borderId="0"/>
    <xf numFmtId="0" fontId="114" fillId="0" borderId="0"/>
    <xf numFmtId="0" fontId="202" fillId="0" borderId="0"/>
    <xf numFmtId="0" fontId="128" fillId="0" borderId="0"/>
    <xf numFmtId="3" fontId="129" fillId="0" borderId="0" applyFont="0" applyFill="0" applyBorder="0" applyAlignment="0" applyProtection="0"/>
    <xf numFmtId="3" fontId="129" fillId="0" borderId="0" applyFont="0" applyFill="0" applyBorder="0" applyAlignment="0" applyProtection="0"/>
    <xf numFmtId="0" fontId="114" fillId="0" borderId="0"/>
    <xf numFmtId="0" fontId="202" fillId="0" borderId="0"/>
    <xf numFmtId="0" fontId="128" fillId="0" borderId="0"/>
    <xf numFmtId="43" fontId="11" fillId="79" borderId="0" applyNumberFormat="0" applyFont="0" applyBorder="0" applyAlignment="0" applyProtection="0"/>
    <xf numFmtId="43" fontId="11" fillId="79" borderId="0" applyNumberFormat="0" applyFont="0" applyBorder="0" applyAlignment="0" applyProtection="0"/>
    <xf numFmtId="43" fontId="11" fillId="79" borderId="0" applyNumberFormat="0" applyFont="0" applyBorder="0" applyAlignment="0" applyProtection="0"/>
    <xf numFmtId="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238" fontId="173" fillId="115" borderId="61" applyFill="0" applyBorder="0" applyAlignment="0">
      <alignment horizontal="right"/>
    </xf>
    <xf numFmtId="0" fontId="201" fillId="0" borderId="0" applyFont="0" applyFill="0" applyBorder="0" applyAlignment="0" applyProtection="0">
      <alignment horizontal="right"/>
    </xf>
    <xf numFmtId="0" fontId="201" fillId="0" borderId="0" applyFont="0" applyFill="0" applyBorder="0" applyAlignment="0" applyProtection="0">
      <alignment horizontal="right"/>
    </xf>
    <xf numFmtId="204" fontId="129" fillId="0" borderId="0" applyFont="0" applyFill="0" applyBorder="0" applyAlignment="0" applyProtection="0"/>
    <xf numFmtId="204" fontId="129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121" fillId="0" borderId="0">
      <protection locked="0"/>
    </xf>
    <xf numFmtId="0" fontId="121" fillId="0" borderId="0">
      <protection locked="0"/>
    </xf>
    <xf numFmtId="0" fontId="201" fillId="0" borderId="0" applyFont="0" applyFill="0" applyBorder="0" applyAlignment="0" applyProtection="0"/>
    <xf numFmtId="14" fontId="104" fillId="0" borderId="0" applyFill="0" applyBorder="0" applyAlignment="0"/>
    <xf numFmtId="0" fontId="11" fillId="0" borderId="0" applyFont="0" applyFill="0" applyBorder="0" applyProtection="0">
      <alignment horizontal="left"/>
    </xf>
    <xf numFmtId="0" fontId="11" fillId="0" borderId="0" applyFont="0" applyFill="0" applyBorder="0" applyProtection="0">
      <alignment horizontal="left"/>
    </xf>
    <xf numFmtId="0" fontId="11" fillId="0" borderId="0" applyFont="0" applyFill="0" applyBorder="0" applyProtection="0">
      <alignment horizontal="left"/>
    </xf>
    <xf numFmtId="0" fontId="11" fillId="0" borderId="0" applyFont="0" applyFill="0" applyBorder="0" applyAlignment="0" applyProtection="0">
      <protection locked="0"/>
    </xf>
    <xf numFmtId="0" fontId="11" fillId="0" borderId="0" applyFont="0" applyFill="0" applyBorder="0" applyAlignment="0" applyProtection="0">
      <protection locked="0"/>
    </xf>
    <xf numFmtId="0" fontId="11" fillId="0" borderId="0" applyFont="0" applyFill="0" applyBorder="0" applyAlignment="0" applyProtection="0">
      <protection locked="0"/>
    </xf>
    <xf numFmtId="0" fontId="130" fillId="0" borderId="0" applyFont="0" applyFill="0" applyBorder="0" applyAlignment="0"/>
    <xf numFmtId="0" fontId="11" fillId="0" borderId="50">
      <alignment vertical="center"/>
    </xf>
    <xf numFmtId="0" fontId="203" fillId="59" borderId="67" applyNumberFormat="0" applyBorder="0" applyAlignment="0">
      <alignment horizontal="center"/>
    </xf>
    <xf numFmtId="37" fontId="194" fillId="84" borderId="68" applyNumberFormat="0" applyAlignment="0">
      <alignment horizontal="left"/>
    </xf>
    <xf numFmtId="37" fontId="194" fillId="84" borderId="68" applyNumberFormat="0" applyAlignment="0">
      <alignment horizontal="left"/>
    </xf>
    <xf numFmtId="37" fontId="194" fillId="84" borderId="68" applyNumberFormat="0" applyAlignment="0">
      <alignment horizontal="left"/>
    </xf>
    <xf numFmtId="37" fontId="194" fillId="84" borderId="68" applyNumberFormat="0" applyAlignment="0">
      <alignment horizontal="left"/>
    </xf>
    <xf numFmtId="0" fontId="121" fillId="0" borderId="0">
      <protection locked="0"/>
    </xf>
    <xf numFmtId="0" fontId="201" fillId="0" borderId="69" applyNumberFormat="0" applyFont="0" applyFill="0" applyAlignment="0" applyProtection="0"/>
    <xf numFmtId="0" fontId="173" fillId="0" borderId="0" applyNumberFormat="0" applyFill="0" applyBorder="0" applyAlignment="0" applyProtection="0"/>
    <xf numFmtId="0" fontId="172" fillId="116" borderId="0" applyNumberFormat="0" applyBorder="0" applyAlignment="0" applyProtection="0"/>
    <xf numFmtId="0" fontId="172" fillId="117" borderId="0" applyNumberFormat="0" applyBorder="0" applyAlignment="0" applyProtection="0"/>
    <xf numFmtId="0" fontId="172" fillId="118" borderId="0" applyNumberFormat="0" applyBorder="0" applyAlignment="0" applyProtection="0"/>
    <xf numFmtId="0" fontId="204" fillId="0" borderId="0">
      <protection locked="0"/>
    </xf>
    <xf numFmtId="0" fontId="204" fillId="0" borderId="0">
      <protection locked="0"/>
    </xf>
    <xf numFmtId="0" fontId="112" fillId="68" borderId="0" applyNumberFormat="0" applyBorder="0" applyAlignment="0" applyProtection="0"/>
    <xf numFmtId="231" fontId="112" fillId="68" borderId="0" applyNumberFormat="0" applyBorder="0" applyAlignment="0" applyProtection="0"/>
    <xf numFmtId="231" fontId="112" fillId="68" borderId="0" applyNumberFormat="0" applyBorder="0" applyAlignment="0" applyProtection="0"/>
    <xf numFmtId="0" fontId="112" fillId="68" borderId="0" applyNumberFormat="0" applyBorder="0" applyAlignment="0" applyProtection="0"/>
    <xf numFmtId="231" fontId="112" fillId="68" borderId="0" applyNumberFormat="0" applyBorder="0" applyAlignment="0" applyProtection="0"/>
    <xf numFmtId="0" fontId="112" fillId="68" borderId="0" applyNumberFormat="0" applyBorder="0" applyAlignment="0" applyProtection="0"/>
    <xf numFmtId="0" fontId="112" fillId="68" borderId="0" applyNumberFormat="0" applyBorder="0" applyAlignment="0" applyProtection="0"/>
    <xf numFmtId="0" fontId="112" fillId="68" borderId="0" applyNumberFormat="0" applyBorder="0" applyAlignment="0" applyProtection="0"/>
    <xf numFmtId="0" fontId="112" fillId="68" borderId="0" applyNumberFormat="0" applyBorder="0" applyAlignment="0" applyProtection="0"/>
    <xf numFmtId="0" fontId="112" fillId="68" borderId="0" applyNumberFormat="0" applyBorder="0" applyAlignment="0" applyProtection="0"/>
    <xf numFmtId="0" fontId="112" fillId="69" borderId="0" applyNumberFormat="0" applyBorder="0" applyAlignment="0" applyProtection="0"/>
    <xf numFmtId="231" fontId="112" fillId="69" borderId="0" applyNumberFormat="0" applyBorder="0" applyAlignment="0" applyProtection="0"/>
    <xf numFmtId="231" fontId="112" fillId="69" borderId="0" applyNumberFormat="0" applyBorder="0" applyAlignment="0" applyProtection="0"/>
    <xf numFmtId="0" fontId="112" fillId="69" borderId="0" applyNumberFormat="0" applyBorder="0" applyAlignment="0" applyProtection="0"/>
    <xf numFmtId="231" fontId="112" fillId="69" borderId="0" applyNumberFormat="0" applyBorder="0" applyAlignment="0" applyProtection="0"/>
    <xf numFmtId="0" fontId="112" fillId="69" borderId="0" applyNumberFormat="0" applyBorder="0" applyAlignment="0" applyProtection="0"/>
    <xf numFmtId="0" fontId="112" fillId="69" borderId="0" applyNumberFormat="0" applyBorder="0" applyAlignment="0" applyProtection="0"/>
    <xf numFmtId="0" fontId="112" fillId="69" borderId="0" applyNumberFormat="0" applyBorder="0" applyAlignment="0" applyProtection="0"/>
    <xf numFmtId="0" fontId="112" fillId="69" borderId="0" applyNumberFormat="0" applyBorder="0" applyAlignment="0" applyProtection="0"/>
    <xf numFmtId="0" fontId="112" fillId="69" borderId="0" applyNumberFormat="0" applyBorder="0" applyAlignment="0" applyProtection="0"/>
    <xf numFmtId="0" fontId="112" fillId="70" borderId="0" applyNumberFormat="0" applyBorder="0" applyAlignment="0" applyProtection="0"/>
    <xf numFmtId="231" fontId="112" fillId="70" borderId="0" applyNumberFormat="0" applyBorder="0" applyAlignment="0" applyProtection="0"/>
    <xf numFmtId="231" fontId="112" fillId="70" borderId="0" applyNumberFormat="0" applyBorder="0" applyAlignment="0" applyProtection="0"/>
    <xf numFmtId="0" fontId="112" fillId="70" borderId="0" applyNumberFormat="0" applyBorder="0" applyAlignment="0" applyProtection="0"/>
    <xf numFmtId="231" fontId="112" fillId="70" borderId="0" applyNumberFormat="0" applyBorder="0" applyAlignment="0" applyProtection="0"/>
    <xf numFmtId="0" fontId="112" fillId="70" borderId="0" applyNumberFormat="0" applyBorder="0" applyAlignment="0" applyProtection="0"/>
    <xf numFmtId="0" fontId="112" fillId="70" borderId="0" applyNumberFormat="0" applyBorder="0" applyAlignment="0" applyProtection="0"/>
    <xf numFmtId="0" fontId="112" fillId="70" borderId="0" applyNumberFormat="0" applyBorder="0" applyAlignment="0" applyProtection="0"/>
    <xf numFmtId="0" fontId="112" fillId="70" borderId="0" applyNumberFormat="0" applyBorder="0" applyAlignment="0" applyProtection="0"/>
    <xf numFmtId="0" fontId="112" fillId="70" borderId="0" applyNumberFormat="0" applyBorder="0" applyAlignment="0" applyProtection="0"/>
    <xf numFmtId="0" fontId="112" fillId="65" borderId="0" applyNumberFormat="0" applyBorder="0" applyAlignment="0" applyProtection="0"/>
    <xf numFmtId="231" fontId="112" fillId="65" borderId="0" applyNumberFormat="0" applyBorder="0" applyAlignment="0" applyProtection="0"/>
    <xf numFmtId="231" fontId="112" fillId="65" borderId="0" applyNumberFormat="0" applyBorder="0" applyAlignment="0" applyProtection="0"/>
    <xf numFmtId="0" fontId="112" fillId="65" borderId="0" applyNumberFormat="0" applyBorder="0" applyAlignment="0" applyProtection="0"/>
    <xf numFmtId="231" fontId="112" fillId="65" borderId="0" applyNumberFormat="0" applyBorder="0" applyAlignment="0" applyProtection="0"/>
    <xf numFmtId="0" fontId="112" fillId="65" borderId="0" applyNumberFormat="0" applyBorder="0" applyAlignment="0" applyProtection="0"/>
    <xf numFmtId="0" fontId="112" fillId="65" borderId="0" applyNumberFormat="0" applyBorder="0" applyAlignment="0" applyProtection="0"/>
    <xf numFmtId="0" fontId="112" fillId="65" borderId="0" applyNumberFormat="0" applyBorder="0" applyAlignment="0" applyProtection="0"/>
    <xf numFmtId="0" fontId="112" fillId="65" borderId="0" applyNumberFormat="0" applyBorder="0" applyAlignment="0" applyProtection="0"/>
    <xf numFmtId="0" fontId="112" fillId="65" borderId="0" applyNumberFormat="0" applyBorder="0" applyAlignment="0" applyProtection="0"/>
    <xf numFmtId="0" fontId="112" fillId="66" borderId="0" applyNumberFormat="0" applyBorder="0" applyAlignment="0" applyProtection="0"/>
    <xf numFmtId="231" fontId="112" fillId="66" borderId="0" applyNumberFormat="0" applyBorder="0" applyAlignment="0" applyProtection="0"/>
    <xf numFmtId="231" fontId="112" fillId="66" borderId="0" applyNumberFormat="0" applyBorder="0" applyAlignment="0" applyProtection="0"/>
    <xf numFmtId="0" fontId="112" fillId="66" borderId="0" applyNumberFormat="0" applyBorder="0" applyAlignment="0" applyProtection="0"/>
    <xf numFmtId="231" fontId="112" fillId="66" borderId="0" applyNumberFormat="0" applyBorder="0" applyAlignment="0" applyProtection="0"/>
    <xf numFmtId="0" fontId="112" fillId="66" borderId="0" applyNumberFormat="0" applyBorder="0" applyAlignment="0" applyProtection="0"/>
    <xf numFmtId="0" fontId="112" fillId="66" borderId="0" applyNumberFormat="0" applyBorder="0" applyAlignment="0" applyProtection="0"/>
    <xf numFmtId="0" fontId="112" fillId="66" borderId="0" applyNumberFormat="0" applyBorder="0" applyAlignment="0" applyProtection="0"/>
    <xf numFmtId="0" fontId="112" fillId="66" borderId="0" applyNumberFormat="0" applyBorder="0" applyAlignment="0" applyProtection="0"/>
    <xf numFmtId="0" fontId="112" fillId="66" borderId="0" applyNumberFormat="0" applyBorder="0" applyAlignment="0" applyProtection="0"/>
    <xf numFmtId="0" fontId="112" fillId="71" borderId="0" applyNumberFormat="0" applyBorder="0" applyAlignment="0" applyProtection="0"/>
    <xf numFmtId="231" fontId="112" fillId="71" borderId="0" applyNumberFormat="0" applyBorder="0" applyAlignment="0" applyProtection="0"/>
    <xf numFmtId="231" fontId="112" fillId="71" borderId="0" applyNumberFormat="0" applyBorder="0" applyAlignment="0" applyProtection="0"/>
    <xf numFmtId="0" fontId="112" fillId="71" borderId="0" applyNumberFormat="0" applyBorder="0" applyAlignment="0" applyProtection="0"/>
    <xf numFmtId="231" fontId="112" fillId="71" borderId="0" applyNumberFormat="0" applyBorder="0" applyAlignment="0" applyProtection="0"/>
    <xf numFmtId="0" fontId="112" fillId="71" borderId="0" applyNumberFormat="0" applyBorder="0" applyAlignment="0" applyProtection="0"/>
    <xf numFmtId="0" fontId="112" fillId="71" borderId="0" applyNumberFormat="0" applyBorder="0" applyAlignment="0" applyProtection="0"/>
    <xf numFmtId="0" fontId="112" fillId="71" borderId="0" applyNumberFormat="0" applyBorder="0" applyAlignment="0" applyProtection="0"/>
    <xf numFmtId="0" fontId="112" fillId="71" borderId="0" applyNumberFormat="0" applyBorder="0" applyAlignment="0" applyProtection="0"/>
    <xf numFmtId="0" fontId="112" fillId="71" borderId="0" applyNumberFormat="0" applyBorder="0" applyAlignment="0" applyProtection="0"/>
    <xf numFmtId="231" fontId="112" fillId="68" borderId="0" applyNumberFormat="0" applyBorder="0" applyAlignment="0" applyProtection="0"/>
    <xf numFmtId="231" fontId="112" fillId="69" borderId="0" applyNumberFormat="0" applyBorder="0" applyAlignment="0" applyProtection="0"/>
    <xf numFmtId="231" fontId="112" fillId="70" borderId="0" applyNumberFormat="0" applyBorder="0" applyAlignment="0" applyProtection="0"/>
    <xf numFmtId="231" fontId="112" fillId="65" borderId="0" applyNumberFormat="0" applyBorder="0" applyAlignment="0" applyProtection="0"/>
    <xf numFmtId="231" fontId="112" fillId="66" borderId="0" applyNumberFormat="0" applyBorder="0" applyAlignment="0" applyProtection="0"/>
    <xf numFmtId="231" fontId="112" fillId="71" borderId="0" applyNumberFormat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2" fillId="58" borderId="43" applyNumberFormat="0" applyAlignment="0" applyProtection="0"/>
    <xf numFmtId="231" fontId="132" fillId="58" borderId="43" applyNumberFormat="0" applyAlignment="0" applyProtection="0"/>
    <xf numFmtId="0" fontId="132" fillId="58" borderId="43" applyNumberFormat="0" applyAlignment="0" applyProtection="0"/>
    <xf numFmtId="0" fontId="132" fillId="58" borderId="43" applyNumberFormat="0" applyAlignment="0" applyProtection="0"/>
    <xf numFmtId="231" fontId="132" fillId="58" borderId="43" applyNumberFormat="0" applyAlignment="0" applyProtection="0"/>
    <xf numFmtId="231" fontId="132" fillId="58" borderId="43" applyNumberFormat="0" applyAlignment="0" applyProtection="0"/>
    <xf numFmtId="0" fontId="132" fillId="58" borderId="43" applyNumberFormat="0" applyAlignment="0" applyProtection="0"/>
    <xf numFmtId="0" fontId="132" fillId="58" borderId="43" applyNumberFormat="0" applyAlignment="0" applyProtection="0"/>
    <xf numFmtId="0" fontId="132" fillId="58" borderId="43" applyNumberFormat="0" applyAlignment="0" applyProtection="0"/>
    <xf numFmtId="0" fontId="132" fillId="58" borderId="43" applyNumberFormat="0" applyAlignment="0" applyProtection="0"/>
    <xf numFmtId="0" fontId="132" fillId="58" borderId="43" applyNumberFormat="0" applyAlignment="0" applyProtection="0"/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9" fillId="0" borderId="0">
      <alignment vertical="center"/>
    </xf>
    <xf numFmtId="23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39" fontId="11" fillId="0" borderId="0" applyFill="0" applyBorder="0" applyAlignment="0" applyProtection="0"/>
    <xf numFmtId="0" fontId="205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21" fillId="0" borderId="0">
      <protection locked="0"/>
    </xf>
    <xf numFmtId="0" fontId="121" fillId="0" borderId="0">
      <protection locked="0"/>
    </xf>
    <xf numFmtId="0" fontId="121" fillId="0" borderId="0">
      <protection locked="0"/>
    </xf>
    <xf numFmtId="0" fontId="121" fillId="0" borderId="0">
      <protection locked="0"/>
    </xf>
    <xf numFmtId="0" fontId="121" fillId="0" borderId="0">
      <protection locked="0"/>
    </xf>
    <xf numFmtId="0" fontId="121" fillId="0" borderId="0">
      <protection locked="0"/>
    </xf>
    <xf numFmtId="0" fontId="121" fillId="0" borderId="0">
      <protection locked="0"/>
    </xf>
    <xf numFmtId="38" fontId="107" fillId="0" borderId="0" applyNumberFormat="0" applyFill="0" applyBorder="0" applyProtection="0">
      <alignment wrapText="1"/>
    </xf>
    <xf numFmtId="38" fontId="107" fillId="0" borderId="0" applyNumberFormat="0" applyFill="0" applyBorder="0" applyProtection="0">
      <alignment wrapText="1"/>
    </xf>
    <xf numFmtId="38" fontId="107" fillId="0" borderId="0" applyNumberFormat="0" applyFill="0" applyBorder="0" applyProtection="0">
      <alignment wrapText="1"/>
    </xf>
    <xf numFmtId="37" fontId="33" fillId="0" borderId="0" applyBorder="0" applyAlignment="0"/>
    <xf numFmtId="37" fontId="33" fillId="0" borderId="0" applyBorder="0" applyAlignment="0"/>
    <xf numFmtId="0" fontId="121" fillId="0" borderId="0">
      <protection locked="0"/>
    </xf>
    <xf numFmtId="3" fontId="129" fillId="0" borderId="0" applyFont="0" applyFill="0" applyBorder="0" applyAlignment="0" applyProtection="0"/>
    <xf numFmtId="0" fontId="121" fillId="0" borderId="0">
      <protection locked="0"/>
    </xf>
    <xf numFmtId="165" fontId="11" fillId="0" borderId="0">
      <protection locked="0"/>
    </xf>
    <xf numFmtId="165" fontId="11" fillId="0" borderId="0">
      <protection locked="0"/>
    </xf>
    <xf numFmtId="165" fontId="11" fillId="0" borderId="0">
      <protection locked="0"/>
    </xf>
    <xf numFmtId="205" fontId="121" fillId="0" borderId="0">
      <protection locked="0"/>
    </xf>
    <xf numFmtId="205" fontId="121" fillId="0" borderId="0">
      <protection locked="0"/>
    </xf>
    <xf numFmtId="0" fontId="206" fillId="0" borderId="0" applyFill="0" applyBorder="0" applyProtection="0">
      <alignment horizontal="left"/>
    </xf>
    <xf numFmtId="0" fontId="167" fillId="0" borderId="0"/>
    <xf numFmtId="38" fontId="203" fillId="0" borderId="48" applyBorder="0"/>
    <xf numFmtId="0" fontId="11" fillId="73" borderId="53" applyNumberFormat="0" applyFont="0" applyBorder="0" applyAlignment="0" applyProtection="0"/>
    <xf numFmtId="0" fontId="11" fillId="73" borderId="53" applyNumberFormat="0" applyFont="0" applyBorder="0" applyAlignment="0" applyProtection="0"/>
    <xf numFmtId="0" fontId="11" fillId="73" borderId="53" applyNumberFormat="0" applyFont="0" applyBorder="0" applyAlignment="0" applyProtection="0"/>
    <xf numFmtId="0" fontId="11" fillId="73" borderId="53" applyNumberFormat="0" applyFont="0" applyBorder="0" applyAlignment="0" applyProtection="0"/>
    <xf numFmtId="0" fontId="11" fillId="73" borderId="53" applyNumberFormat="0" applyFont="0" applyBorder="0" applyAlignment="0" applyProtection="0"/>
    <xf numFmtId="0" fontId="11" fillId="73" borderId="53" applyNumberFormat="0" applyFont="0" applyBorder="0" applyAlignment="0" applyProtection="0"/>
    <xf numFmtId="0" fontId="11" fillId="73" borderId="53" applyNumberFormat="0" applyFont="0" applyBorder="0" applyAlignment="0" applyProtection="0"/>
    <xf numFmtId="0" fontId="11" fillId="73" borderId="53" applyNumberFormat="0" applyFont="0" applyBorder="0" applyAlignment="0" applyProtection="0"/>
    <xf numFmtId="0" fontId="11" fillId="73" borderId="53" applyNumberFormat="0" applyFont="0" applyBorder="0" applyAlignment="0" applyProtection="0"/>
    <xf numFmtId="0" fontId="11" fillId="73" borderId="53" applyNumberFormat="0" applyFont="0" applyBorder="0" applyAlignment="0" applyProtection="0"/>
    <xf numFmtId="0" fontId="11" fillId="73" borderId="53" applyNumberFormat="0" applyFont="0" applyBorder="0" applyAlignment="0" applyProtection="0"/>
    <xf numFmtId="10" fontId="11" fillId="73" borderId="0" applyNumberFormat="0" applyFont="0" applyBorder="0" applyAlignment="0"/>
    <xf numFmtId="10" fontId="11" fillId="73" borderId="0" applyNumberFormat="0" applyFont="0" applyBorder="0" applyAlignment="0"/>
    <xf numFmtId="10" fontId="11" fillId="73" borderId="0" applyNumberFormat="0" applyFont="0" applyBorder="0" applyAlignment="0"/>
    <xf numFmtId="2" fontId="11" fillId="0" borderId="0"/>
    <xf numFmtId="2" fontId="11" fillId="0" borderId="0"/>
    <xf numFmtId="2" fontId="11" fillId="0" borderId="0"/>
    <xf numFmtId="2" fontId="11" fillId="0" borderId="0"/>
    <xf numFmtId="0" fontId="207" fillId="55" borderId="0" applyNumberFormat="0" applyBorder="0" applyAlignment="0" applyProtection="0"/>
    <xf numFmtId="38" fontId="107" fillId="59" borderId="0" applyNumberFormat="0" applyBorder="0" applyAlignment="0" applyProtection="0"/>
    <xf numFmtId="38" fontId="107" fillId="59" borderId="0" applyNumberFormat="0" applyBorder="0" applyAlignment="0" applyProtection="0"/>
    <xf numFmtId="38" fontId="107" fillId="59" borderId="0" applyNumberFormat="0" applyBorder="0" applyAlignment="0" applyProtection="0"/>
    <xf numFmtId="38" fontId="107" fillId="59" borderId="0" applyNumberFormat="0" applyBorder="0" applyAlignment="0" applyProtection="0"/>
    <xf numFmtId="38" fontId="107" fillId="59" borderId="0" applyNumberFormat="0" applyBorder="0" applyAlignment="0" applyProtection="0"/>
    <xf numFmtId="0" fontId="201" fillId="0" borderId="0" applyFont="0" applyFill="0" applyBorder="0" applyAlignment="0" applyProtection="0">
      <alignment horizontal="right"/>
    </xf>
    <xf numFmtId="0" fontId="137" fillId="0" borderId="3" applyNumberFormat="0" applyAlignment="0" applyProtection="0">
      <alignment horizontal="left" vertical="center"/>
    </xf>
    <xf numFmtId="0" fontId="137" fillId="0" borderId="3" applyNumberFormat="0" applyAlignment="0" applyProtection="0">
      <alignment horizontal="left" vertical="center"/>
    </xf>
    <xf numFmtId="0" fontId="137" fillId="0" borderId="3" applyNumberFormat="0" applyAlignment="0" applyProtection="0">
      <alignment horizontal="left" vertical="center"/>
    </xf>
    <xf numFmtId="0" fontId="137" fillId="0" borderId="3" applyNumberFormat="0" applyAlignment="0" applyProtection="0">
      <alignment horizontal="left" vertical="center"/>
    </xf>
    <xf numFmtId="0" fontId="137" fillId="0" borderId="3" applyNumberFormat="0" applyAlignment="0" applyProtection="0">
      <alignment horizontal="left" vertical="center"/>
    </xf>
    <xf numFmtId="0" fontId="137" fillId="0" borderId="13">
      <alignment horizontal="left" vertical="center"/>
    </xf>
    <xf numFmtId="0" fontId="137" fillId="0" borderId="13">
      <alignment horizontal="left" vertical="center"/>
    </xf>
    <xf numFmtId="0" fontId="137" fillId="0" borderId="13">
      <alignment horizontal="left" vertical="center"/>
    </xf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08" fillId="0" borderId="0" applyProtection="0">
      <alignment horizontal="left"/>
    </xf>
    <xf numFmtId="0" fontId="140" fillId="0" borderId="0" applyNumberFormat="0" applyFill="0" applyBorder="0" applyAlignment="0" applyProtection="0"/>
    <xf numFmtId="206" fontId="11" fillId="0" borderId="0">
      <protection locked="0"/>
    </xf>
    <xf numFmtId="206" fontId="11" fillId="0" borderId="0">
      <protection locked="0"/>
    </xf>
    <xf numFmtId="206" fontId="11" fillId="0" borderId="0">
      <protection locked="0"/>
    </xf>
    <xf numFmtId="206" fontId="11" fillId="0" borderId="0">
      <protection locked="0"/>
    </xf>
    <xf numFmtId="206" fontId="11" fillId="0" borderId="0">
      <protection locked="0"/>
    </xf>
    <xf numFmtId="206" fontId="11" fillId="0" borderId="0">
      <protection locked="0"/>
    </xf>
    <xf numFmtId="240" fontId="173" fillId="0" borderId="0" applyFill="0" applyBorder="0" applyAlignment="0" applyProtection="0"/>
    <xf numFmtId="0" fontId="141" fillId="0" borderId="55" applyNumberFormat="0" applyFill="0" applyAlignment="0" applyProtection="0"/>
    <xf numFmtId="0" fontId="141" fillId="0" borderId="55" applyNumberFormat="0" applyFill="0" applyAlignment="0" applyProtection="0"/>
    <xf numFmtId="0" fontId="166" fillId="0" borderId="0" applyNumberFormat="0" applyFill="0" applyBorder="0" applyAlignment="0" applyProtection="0">
      <alignment vertical="top"/>
      <protection locked="0"/>
    </xf>
    <xf numFmtId="0" fontId="166" fillId="0" borderId="0" applyNumberFormat="0" applyFill="0" applyBorder="0" applyAlignment="0" applyProtection="0">
      <alignment vertical="top"/>
      <protection locked="0"/>
    </xf>
    <xf numFmtId="0" fontId="209" fillId="0" borderId="0" applyNumberFormat="0" applyFill="0" applyBorder="0" applyAlignment="0" applyProtection="0">
      <alignment vertical="top"/>
      <protection locked="0"/>
    </xf>
    <xf numFmtId="0" fontId="116" fillId="54" borderId="0" applyNumberFormat="0" applyBorder="0" applyAlignment="0" applyProtection="0"/>
    <xf numFmtId="0" fontId="116" fillId="54" borderId="0" applyNumberFormat="0" applyBorder="0" applyAlignment="0" applyProtection="0"/>
    <xf numFmtId="0" fontId="109" fillId="0" borderId="0"/>
    <xf numFmtId="241" fontId="11" fillId="0" borderId="0" applyNumberFormat="0" applyFill="0" applyBorder="0" applyAlignment="0" applyProtection="0"/>
    <xf numFmtId="241" fontId="11" fillId="0" borderId="0" applyNumberFormat="0" applyFill="0" applyBorder="0" applyAlignment="0" applyProtection="0"/>
    <xf numFmtId="0" fontId="142" fillId="0" borderId="27" applyFill="0" applyBorder="0" applyAlignment="0">
      <alignment horizontal="center"/>
      <protection locked="0"/>
    </xf>
    <xf numFmtId="0" fontId="142" fillId="0" borderId="27" applyFill="0" applyBorder="0" applyAlignment="0">
      <alignment horizontal="center"/>
      <protection locked="0"/>
    </xf>
    <xf numFmtId="0" fontId="142" fillId="0" borderId="27" applyFill="0" applyBorder="0" applyAlignment="0">
      <alignment horizontal="center"/>
      <protection locked="0"/>
    </xf>
    <xf numFmtId="242" fontId="186" fillId="0" borderId="0"/>
    <xf numFmtId="242" fontId="186" fillId="0" borderId="0"/>
    <xf numFmtId="242" fontId="186" fillId="0" borderId="0"/>
    <xf numFmtId="243" fontId="186" fillId="0" borderId="0"/>
    <xf numFmtId="243" fontId="186" fillId="0" borderId="0"/>
    <xf numFmtId="243" fontId="186" fillId="0" borderId="0"/>
    <xf numFmtId="244" fontId="186" fillId="0" borderId="0"/>
    <xf numFmtId="244" fontId="186" fillId="0" borderId="0"/>
    <xf numFmtId="244" fontId="186" fillId="0" borderId="0"/>
    <xf numFmtId="10" fontId="107" fillId="73" borderId="44" applyNumberFormat="0" applyBorder="0" applyAlignment="0" applyProtection="0"/>
    <xf numFmtId="10" fontId="107" fillId="73" borderId="44" applyNumberFormat="0" applyBorder="0" applyAlignment="0" applyProtection="0"/>
    <xf numFmtId="10" fontId="107" fillId="73" borderId="44" applyNumberFormat="0" applyBorder="0" applyAlignment="0" applyProtection="0"/>
    <xf numFmtId="10" fontId="107" fillId="73" borderId="44" applyNumberFormat="0" applyBorder="0" applyAlignment="0" applyProtection="0"/>
    <xf numFmtId="10" fontId="107" fillId="73" borderId="44" applyNumberFormat="0" applyBorder="0" applyAlignment="0" applyProtection="0"/>
    <xf numFmtId="10" fontId="107" fillId="73" borderId="44" applyNumberFormat="0" applyBorder="0" applyAlignment="0" applyProtection="0"/>
    <xf numFmtId="10" fontId="107" fillId="73" borderId="44" applyNumberFormat="0" applyBorder="0" applyAlignment="0" applyProtection="0"/>
    <xf numFmtId="10" fontId="107" fillId="73" borderId="44" applyNumberFormat="0" applyBorder="0" applyAlignment="0" applyProtection="0"/>
    <xf numFmtId="0" fontId="11" fillId="0" borderId="0" applyFill="0" applyBorder="0" applyAlignment="0">
      <protection locked="0"/>
    </xf>
    <xf numFmtId="0" fontId="11" fillId="0" borderId="0" applyFill="0" applyBorder="0" applyAlignment="0">
      <protection locked="0"/>
    </xf>
    <xf numFmtId="0" fontId="11" fillId="0" borderId="0" applyFill="0" applyBorder="0" applyAlignment="0">
      <protection locked="0"/>
    </xf>
    <xf numFmtId="0" fontId="11" fillId="0" borderId="0" applyFill="0" applyBorder="0" applyAlignment="0">
      <protection locked="0"/>
    </xf>
    <xf numFmtId="0" fontId="130" fillId="0" borderId="0" applyFill="0" applyBorder="0" applyAlignment="0" applyProtection="0">
      <protection locked="0"/>
    </xf>
    <xf numFmtId="0" fontId="210" fillId="119" borderId="0" applyNumberFormat="0" applyBorder="0" applyAlignment="0">
      <protection locked="0"/>
    </xf>
    <xf numFmtId="245" fontId="211" fillId="0" borderId="0"/>
    <xf numFmtId="0" fontId="103" fillId="0" borderId="0" applyNumberFormat="0" applyFill="0" applyBorder="0" applyAlignment="0" applyProtection="0">
      <alignment vertical="top"/>
      <protection locked="0"/>
    </xf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12" fillId="0" borderId="46" applyNumberFormat="0" applyFill="0" applyAlignment="0" applyProtection="0"/>
    <xf numFmtId="0" fontId="213" fillId="0" borderId="48">
      <alignment horizontal="left"/>
      <protection locked="0"/>
    </xf>
    <xf numFmtId="0" fontId="214" fillId="0" borderId="0" applyFont="0" applyFill="0" applyBorder="0" applyAlignment="0" applyProtection="0"/>
    <xf numFmtId="38" fontId="130" fillId="0" borderId="0" applyFont="0" applyFill="0" applyBorder="0" applyAlignment="0" applyProtection="0"/>
    <xf numFmtId="40" fontId="130" fillId="0" borderId="0" applyFont="0" applyFill="0" applyBorder="0" applyAlignment="0" applyProtection="0"/>
    <xf numFmtId="0" fontId="215" fillId="0" borderId="0" applyBorder="0"/>
    <xf numFmtId="246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195" fontId="102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195" fontId="102" fillId="0" borderId="0" applyFont="0" applyFill="0" applyBorder="0" applyAlignment="0" applyProtection="0"/>
    <xf numFmtId="195" fontId="11" fillId="0" borderId="0" applyFont="0" applyFill="0" applyBorder="0" applyAlignment="0" applyProtection="0"/>
    <xf numFmtId="195" fontId="11" fillId="0" borderId="0" applyFont="0" applyFill="0" applyBorder="0" applyAlignment="0" applyProtection="0"/>
    <xf numFmtId="195" fontId="11" fillId="0" borderId="0" applyFont="0" applyFill="0" applyBorder="0" applyAlignment="0" applyProtection="0"/>
    <xf numFmtId="195" fontId="11" fillId="0" borderId="0" applyFont="0" applyFill="0" applyBorder="0" applyAlignment="0" applyProtection="0"/>
    <xf numFmtId="195" fontId="40" fillId="0" borderId="0" applyFont="0" applyFill="0" applyBorder="0" applyAlignment="0" applyProtection="0"/>
    <xf numFmtId="207" fontId="121" fillId="0" borderId="0">
      <protection locked="0"/>
    </xf>
    <xf numFmtId="207" fontId="121" fillId="0" borderId="0">
      <protection locked="0"/>
    </xf>
    <xf numFmtId="248" fontId="11" fillId="0" borderId="0" applyFont="0" applyFill="0" applyBorder="0" applyAlignment="0" applyProtection="0"/>
    <xf numFmtId="24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9" fillId="0" borderId="0" applyFont="0" applyFill="0" applyBorder="0" applyAlignment="0" applyProtection="0"/>
    <xf numFmtId="0" fontId="121" fillId="0" borderId="0">
      <protection locked="0"/>
    </xf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01" fillId="0" borderId="0" applyFont="0" applyFill="0" applyBorder="0" applyAlignment="0" applyProtection="0">
      <alignment horizontal="right"/>
    </xf>
    <xf numFmtId="196" fontId="23" fillId="0" borderId="0" applyProtection="0"/>
    <xf numFmtId="250" fontId="23" fillId="0" borderId="0" applyProtection="0"/>
    <xf numFmtId="0" fontId="23" fillId="0" borderId="0" applyProtection="0"/>
    <xf numFmtId="196" fontId="23" fillId="0" borderId="0" applyProtection="0"/>
    <xf numFmtId="250" fontId="23" fillId="0" borderId="0" applyProtection="0"/>
    <xf numFmtId="0" fontId="23" fillId="0" borderId="0" applyProtection="0"/>
    <xf numFmtId="0" fontId="144" fillId="81" borderId="0" applyNumberFormat="0" applyBorder="0" applyAlignment="0" applyProtection="0"/>
    <xf numFmtId="231" fontId="144" fillId="81" borderId="0" applyNumberFormat="0" applyBorder="0" applyAlignment="0" applyProtection="0"/>
    <xf numFmtId="231" fontId="144" fillId="81" borderId="0" applyNumberFormat="0" applyBorder="0" applyAlignment="0" applyProtection="0"/>
    <xf numFmtId="0" fontId="144" fillId="81" borderId="0" applyNumberFormat="0" applyBorder="0" applyAlignment="0" applyProtection="0"/>
    <xf numFmtId="231" fontId="144" fillId="81" borderId="0" applyNumberFormat="0" applyBorder="0" applyAlignment="0" applyProtection="0"/>
    <xf numFmtId="0" fontId="144" fillId="81" borderId="0" applyNumberFormat="0" applyBorder="0" applyAlignment="0" applyProtection="0"/>
    <xf numFmtId="0" fontId="144" fillId="81" borderId="0" applyNumberFormat="0" applyBorder="0" applyAlignment="0" applyProtection="0"/>
    <xf numFmtId="0" fontId="144" fillId="81" borderId="0" applyNumberFormat="0" applyBorder="0" applyAlignment="0" applyProtection="0"/>
    <xf numFmtId="0" fontId="144" fillId="81" borderId="0" applyNumberFormat="0" applyBorder="0" applyAlignment="0" applyProtection="0"/>
    <xf numFmtId="0" fontId="144" fillId="81" borderId="0" applyNumberFormat="0" applyBorder="0" applyAlignment="0" applyProtection="0"/>
    <xf numFmtId="0" fontId="216" fillId="81" borderId="0" applyNumberFormat="0" applyBorder="0" applyAlignment="0" applyProtection="0"/>
    <xf numFmtId="0" fontId="11" fillId="0" borderId="0" applyNumberFormat="0" applyFill="0" applyBorder="0" applyAlignment="0" applyProtection="0"/>
    <xf numFmtId="37" fontId="145" fillId="0" borderId="0"/>
    <xf numFmtId="37" fontId="145" fillId="0" borderId="0"/>
    <xf numFmtId="0" fontId="109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251" fontId="11" fillId="0" borderId="0"/>
    <xf numFmtId="251" fontId="11" fillId="0" borderId="0"/>
    <xf numFmtId="251" fontId="11" fillId="0" borderId="0"/>
    <xf numFmtId="251" fontId="11" fillId="0" borderId="0"/>
    <xf numFmtId="251" fontId="11" fillId="0" borderId="0"/>
    <xf numFmtId="243" fontId="186" fillId="0" borderId="0"/>
    <xf numFmtId="243" fontId="186" fillId="0" borderId="0"/>
    <xf numFmtId="243" fontId="186" fillId="0" borderId="0"/>
    <xf numFmtId="252" fontId="186" fillId="0" borderId="0">
      <alignment horizontal="right"/>
    </xf>
    <xf numFmtId="252" fontId="186" fillId="0" borderId="0">
      <alignment horizontal="right"/>
    </xf>
    <xf numFmtId="252" fontId="186" fillId="0" borderId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1" fontId="1" fillId="0" borderId="0"/>
    <xf numFmtId="231" fontId="1" fillId="0" borderId="0"/>
    <xf numFmtId="231" fontId="1" fillId="0" borderId="0"/>
    <xf numFmtId="231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1" fontId="1" fillId="0" borderId="0"/>
    <xf numFmtId="231" fontId="1" fillId="0" borderId="0"/>
    <xf numFmtId="231" fontId="1" fillId="0" borderId="0"/>
    <xf numFmtId="23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1" fontId="1" fillId="0" borderId="0"/>
    <xf numFmtId="231" fontId="1" fillId="0" borderId="0"/>
    <xf numFmtId="231" fontId="1" fillId="0" borderId="0"/>
    <xf numFmtId="231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231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231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231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231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1" fontId="1" fillId="0" borderId="0"/>
    <xf numFmtId="231" fontId="1" fillId="0" borderId="0"/>
    <xf numFmtId="231" fontId="1" fillId="0" borderId="0"/>
    <xf numFmtId="231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1" fontId="1" fillId="0" borderId="0"/>
    <xf numFmtId="231" fontId="1" fillId="0" borderId="0"/>
    <xf numFmtId="231" fontId="1" fillId="0" borderId="0"/>
    <xf numFmtId="23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1" fontId="1" fillId="0" borderId="0"/>
    <xf numFmtId="231" fontId="1" fillId="0" borderId="0"/>
    <xf numFmtId="231" fontId="1" fillId="0" borderId="0"/>
    <xf numFmtId="231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1" fontId="1" fillId="0" borderId="0"/>
    <xf numFmtId="231" fontId="1" fillId="0" borderId="0"/>
    <xf numFmtId="231" fontId="1" fillId="0" borderId="0"/>
    <xf numFmtId="23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2" fillId="0" borderId="0"/>
    <xf numFmtId="0" fontId="102" fillId="0" borderId="0"/>
    <xf numFmtId="0" fontId="11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231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231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31" fontId="11" fillId="0" borderId="0"/>
    <xf numFmtId="231" fontId="11" fillId="0" borderId="0"/>
    <xf numFmtId="231" fontId="11" fillId="0" borderId="0"/>
    <xf numFmtId="231" fontId="11" fillId="0" borderId="0"/>
    <xf numFmtId="0" fontId="11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" fillId="0" borderId="0"/>
    <xf numFmtId="0" fontId="1" fillId="0" borderId="0"/>
    <xf numFmtId="0" fontId="11" fillId="0" borderId="0">
      <alignment vertical="center"/>
    </xf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04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04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04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04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231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231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231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231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1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231" fontId="130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1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1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231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231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30" fillId="0" borderId="0"/>
    <xf numFmtId="0" fontId="11" fillId="0" borderId="0"/>
    <xf numFmtId="0" fontId="130" fillId="0" borderId="0"/>
    <xf numFmtId="0" fontId="11" fillId="0" borderId="0"/>
    <xf numFmtId="0" fontId="130" fillId="0" borderId="0"/>
    <xf numFmtId="0" fontId="11" fillId="0" borderId="0"/>
    <xf numFmtId="0" fontId="130" fillId="0" borderId="0"/>
    <xf numFmtId="0" fontId="11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1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1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231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231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1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04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1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1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1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231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231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3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31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31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31" fontId="11" fillId="0" borderId="0"/>
    <xf numFmtId="0" fontId="11" fillId="0" borderId="0"/>
    <xf numFmtId="0" fontId="11" fillId="0" borderId="0"/>
    <xf numFmtId="0" fontId="11" fillId="0" borderId="0"/>
    <xf numFmtId="23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30" fillId="0" borderId="0"/>
    <xf numFmtId="0" fontId="11" fillId="0" borderId="0"/>
    <xf numFmtId="0" fontId="13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31" fontId="130" fillId="0" borderId="0"/>
    <xf numFmtId="0" fontId="1" fillId="0" borderId="0"/>
    <xf numFmtId="0" fontId="1" fillId="0" borderId="0"/>
    <xf numFmtId="0" fontId="1" fillId="0" borderId="0"/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31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30" fillId="0" borderId="0"/>
    <xf numFmtId="231" fontId="130" fillId="0" borderId="0"/>
    <xf numFmtId="0" fontId="11" fillId="0" borderId="0"/>
    <xf numFmtId="0" fontId="11" fillId="0" borderId="0"/>
    <xf numFmtId="231" fontId="11" fillId="0" borderId="0"/>
    <xf numFmtId="0" fontId="11" fillId="0" borderId="0"/>
    <xf numFmtId="23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30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8" fillId="0" borderId="0"/>
    <xf numFmtId="0" fontId="23" fillId="0" borderId="0"/>
    <xf numFmtId="0" fontId="214" fillId="0" borderId="0"/>
    <xf numFmtId="0" fontId="185" fillId="0" borderId="0"/>
    <xf numFmtId="0" fontId="11" fillId="82" borderId="56" applyNumberFormat="0" applyFont="0" applyAlignment="0" applyProtection="0"/>
    <xf numFmtId="231" fontId="11" fillId="82" borderId="56" applyNumberFormat="0" applyFont="0" applyAlignment="0" applyProtection="0"/>
    <xf numFmtId="0" fontId="40" fillId="82" borderId="56" applyNumberFormat="0" applyFont="0" applyAlignment="0" applyProtection="0"/>
    <xf numFmtId="0" fontId="11" fillId="82" borderId="56" applyNumberFormat="0" applyFont="0" applyAlignment="0" applyProtection="0"/>
    <xf numFmtId="231" fontId="11" fillId="82" borderId="56" applyNumberFormat="0" applyFont="0" applyAlignment="0" applyProtection="0"/>
    <xf numFmtId="0" fontId="11" fillId="82" borderId="56" applyNumberFormat="0" applyFont="0" applyAlignment="0" applyProtection="0"/>
    <xf numFmtId="231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231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231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231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11" fillId="82" borderId="56" applyNumberFormat="0" applyFont="0" applyAlignment="0" applyProtection="0"/>
    <xf numFmtId="0" fontId="219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20" fillId="76" borderId="57" applyNumberFormat="0" applyAlignment="0" applyProtection="0"/>
    <xf numFmtId="0" fontId="148" fillId="76" borderId="57" applyNumberFormat="0" applyAlignment="0" applyProtection="0"/>
    <xf numFmtId="0" fontId="148" fillId="76" borderId="57" applyNumberFormat="0" applyAlignment="0" applyProtection="0"/>
    <xf numFmtId="0" fontId="221" fillId="12" borderId="28"/>
    <xf numFmtId="1" fontId="222" fillId="0" borderId="0" applyProtection="0">
      <alignment horizontal="right" vertical="center"/>
    </xf>
    <xf numFmtId="201" fontId="223" fillId="0" borderId="1">
      <alignment vertical="center"/>
    </xf>
    <xf numFmtId="0" fontId="128" fillId="0" borderId="0"/>
    <xf numFmtId="0" fontId="114" fillId="0" borderId="0"/>
    <xf numFmtId="0" fontId="11" fillId="0" borderId="30" applyFont="0" applyFill="0" applyBorder="0" applyAlignment="0" applyProtection="0">
      <alignment horizontal="right"/>
    </xf>
    <xf numFmtId="0" fontId="11" fillId="0" borderId="30" applyFont="0" applyFill="0" applyBorder="0" applyAlignment="0" applyProtection="0">
      <alignment horizontal="right"/>
    </xf>
    <xf numFmtId="253" fontId="173" fillId="115" borderId="0" applyFill="0" applyBorder="0" applyAlignment="0" applyProtection="0">
      <protection locked="0"/>
    </xf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54" fontId="173" fillId="115" borderId="0" applyFill="0" applyBorder="0" applyAlignment="0" applyProtection="0">
      <alignment vertical="top"/>
    </xf>
    <xf numFmtId="255" fontId="173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256" fontId="23" fillId="0" borderId="0" applyProtection="0"/>
    <xf numFmtId="0" fontId="23" fillId="0" borderId="0" applyProtection="0"/>
    <xf numFmtId="198" fontId="23" fillId="0" borderId="0" applyProtection="0"/>
    <xf numFmtId="256" fontId="23" fillId="0" borderId="0" applyProtection="0"/>
    <xf numFmtId="0" fontId="23" fillId="0" borderId="0" applyProtection="0"/>
    <xf numFmtId="198" fontId="23" fillId="0" borderId="0" applyProtection="0"/>
    <xf numFmtId="10" fontId="129" fillId="0" borderId="0" applyFont="0" applyFill="0" applyBorder="0" applyAlignment="0" applyProtection="0"/>
    <xf numFmtId="257" fontId="121" fillId="0" borderId="0">
      <protection locked="0"/>
    </xf>
    <xf numFmtId="212" fontId="121" fillId="0" borderId="0">
      <protection locked="0"/>
    </xf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2" fillId="0" borderId="0" applyFont="0" applyFill="0" applyBorder="0" applyAlignment="0" applyProtection="0"/>
    <xf numFmtId="0" fontId="121" fillId="0" borderId="0">
      <protection locked="0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29" fillId="0" borderId="0" applyFont="0" applyFill="0" applyBorder="0" applyAlignment="0" applyProtection="0"/>
    <xf numFmtId="0" fontId="70" fillId="72" borderId="58" applyNumberFormat="0" applyFont="0" applyBorder="0" applyAlignment="0" applyProtection="0"/>
    <xf numFmtId="0" fontId="70" fillId="72" borderId="58" applyNumberFormat="0" applyFont="0" applyBorder="0" applyAlignment="0" applyProtection="0"/>
    <xf numFmtId="0" fontId="70" fillId="72" borderId="58" applyNumberFormat="0" applyFont="0" applyBorder="0" applyAlignment="0" applyProtection="0"/>
    <xf numFmtId="0" fontId="70" fillId="72" borderId="58" applyNumberFormat="0" applyFont="0" applyBorder="0" applyAlignment="0" applyProtection="0"/>
    <xf numFmtId="0" fontId="70" fillId="72" borderId="58" applyNumberFormat="0" applyFont="0" applyBorder="0" applyAlignment="0" applyProtection="0"/>
    <xf numFmtId="0" fontId="70" fillId="72" borderId="58" applyNumberFormat="0" applyFont="0" applyBorder="0" applyAlignment="0" applyProtection="0"/>
    <xf numFmtId="0" fontId="70" fillId="72" borderId="58" applyNumberFormat="0" applyFont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24" fillId="0" borderId="0" applyNumberFormat="0">
      <alignment horizontal="left"/>
    </xf>
    <xf numFmtId="241" fontId="11" fillId="0" borderId="0" applyNumberFormat="0" applyAlignment="0">
      <alignment horizontal="left"/>
    </xf>
    <xf numFmtId="0" fontId="130" fillId="0" borderId="0" applyNumberFormat="0" applyFont="0" applyFill="0" applyBorder="0" applyAlignment="0" applyProtection="0">
      <alignment horizontal="left"/>
    </xf>
    <xf numFmtId="15" fontId="130" fillId="0" borderId="0" applyFont="0" applyFill="0" applyBorder="0" applyAlignment="0" applyProtection="0"/>
    <xf numFmtId="4" fontId="130" fillId="0" borderId="0" applyFont="0" applyFill="0" applyBorder="0" applyAlignment="0" applyProtection="0"/>
    <xf numFmtId="0" fontId="170" fillId="0" borderId="2">
      <alignment horizontal="center"/>
    </xf>
    <xf numFmtId="3" fontId="130" fillId="0" borderId="0" applyFont="0" applyFill="0" applyBorder="0" applyAlignment="0" applyProtection="0"/>
    <xf numFmtId="0" fontId="130" fillId="78" borderId="0" applyNumberFormat="0" applyFont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225" fillId="0" borderId="44">
      <alignment horizontal="center" vertical="center"/>
    </xf>
    <xf numFmtId="0" fontId="226" fillId="0" borderId="70" applyBorder="0">
      <alignment vertical="top"/>
      <protection locked="0"/>
    </xf>
    <xf numFmtId="3" fontId="108" fillId="0" borderId="0" applyFill="0" applyBorder="0" applyAlignment="0" applyProtection="0"/>
    <xf numFmtId="3" fontId="108" fillId="0" borderId="0" applyFill="0" applyBorder="0" applyAlignment="0" applyProtection="0"/>
    <xf numFmtId="0" fontId="227" fillId="0" borderId="48" applyNumberFormat="0" applyFill="0" applyBorder="0" applyAlignment="0" applyProtection="0">
      <protection hidden="1"/>
    </xf>
    <xf numFmtId="38" fontId="224" fillId="0" borderId="0"/>
    <xf numFmtId="0" fontId="148" fillId="76" borderId="57" applyNumberFormat="0" applyAlignment="0" applyProtection="0"/>
    <xf numFmtId="231" fontId="148" fillId="76" borderId="57" applyNumberFormat="0" applyAlignment="0" applyProtection="0"/>
    <xf numFmtId="0" fontId="148" fillId="76" borderId="57" applyNumberFormat="0" applyAlignment="0" applyProtection="0"/>
    <xf numFmtId="0" fontId="148" fillId="76" borderId="57" applyNumberFormat="0" applyAlignment="0" applyProtection="0"/>
    <xf numFmtId="231" fontId="148" fillId="76" borderId="57" applyNumberFormat="0" applyAlignment="0" applyProtection="0"/>
    <xf numFmtId="0" fontId="148" fillId="76" borderId="57" applyNumberFormat="0" applyAlignment="0" applyProtection="0"/>
    <xf numFmtId="231" fontId="148" fillId="76" borderId="57" applyNumberFormat="0" applyAlignment="0" applyProtection="0"/>
    <xf numFmtId="0" fontId="148" fillId="76" borderId="57" applyNumberFormat="0" applyAlignment="0" applyProtection="0"/>
    <xf numFmtId="0" fontId="148" fillId="76" borderId="57" applyNumberFormat="0" applyAlignment="0" applyProtection="0"/>
    <xf numFmtId="0" fontId="148" fillId="76" borderId="57" applyNumberFormat="0" applyAlignment="0" applyProtection="0"/>
    <xf numFmtId="0" fontId="148" fillId="76" borderId="57" applyNumberFormat="0" applyAlignment="0" applyProtection="0"/>
    <xf numFmtId="0" fontId="148" fillId="76" borderId="57" applyNumberFormat="0" applyAlignment="0" applyProtection="0"/>
    <xf numFmtId="0" fontId="148" fillId="76" borderId="57" applyNumberFormat="0" applyAlignment="0" applyProtection="0"/>
    <xf numFmtId="4" fontId="104" fillId="79" borderId="57" applyNumberFormat="0" applyProtection="0">
      <alignment vertical="center"/>
    </xf>
    <xf numFmtId="4" fontId="111" fillId="0" borderId="65" applyNumberFormat="0" applyProtection="0">
      <alignment vertical="center"/>
    </xf>
    <xf numFmtId="4" fontId="180" fillId="79" borderId="57" applyNumberFormat="0" applyProtection="0">
      <alignment vertical="center"/>
    </xf>
    <xf numFmtId="4" fontId="178" fillId="79" borderId="65" applyNumberFormat="0" applyProtection="0">
      <alignment vertical="center"/>
    </xf>
    <xf numFmtId="4" fontId="104" fillId="79" borderId="57" applyNumberFormat="0" applyProtection="0">
      <alignment horizontal="left" vertical="center" indent="1"/>
    </xf>
    <xf numFmtId="4" fontId="111" fillId="0" borderId="65" applyNumberFormat="0" applyProtection="0">
      <alignment horizontal="left" vertical="center" indent="1"/>
    </xf>
    <xf numFmtId="4" fontId="104" fillId="79" borderId="57" applyNumberFormat="0" applyProtection="0">
      <alignment horizontal="left" vertical="center" indent="1"/>
    </xf>
    <xf numFmtId="0" fontId="111" fillId="0" borderId="65" applyNumberFormat="0" applyProtection="0">
      <alignment horizontal="left" vertical="top" indent="1"/>
    </xf>
    <xf numFmtId="0" fontId="11" fillId="120" borderId="57" applyNumberFormat="0" applyProtection="0">
      <alignment horizontal="left" vertical="center" indent="1"/>
    </xf>
    <xf numFmtId="4" fontId="111" fillId="0" borderId="0" applyNumberFormat="0" applyProtection="0">
      <alignment horizontal="left" vertical="center" indent="1"/>
    </xf>
    <xf numFmtId="4" fontId="111" fillId="92" borderId="0" applyNumberFormat="0" applyProtection="0">
      <alignment horizontal="left" vertical="center" indent="1"/>
    </xf>
    <xf numFmtId="4" fontId="104" fillId="54" borderId="65" applyNumberFormat="0" applyProtection="0">
      <alignment horizontal="right" vertical="center"/>
    </xf>
    <xf numFmtId="4" fontId="104" fillId="54" borderId="65" applyNumberFormat="0" applyProtection="0">
      <alignment horizontal="right" vertical="center"/>
    </xf>
    <xf numFmtId="4" fontId="104" fillId="61" borderId="65" applyNumberFormat="0" applyProtection="0">
      <alignment horizontal="right" vertical="center"/>
    </xf>
    <xf numFmtId="4" fontId="104" fillId="61" borderId="65" applyNumberFormat="0" applyProtection="0">
      <alignment horizontal="right" vertical="center"/>
    </xf>
    <xf numFmtId="4" fontId="104" fillId="69" borderId="65" applyNumberFormat="0" applyProtection="0">
      <alignment horizontal="right" vertical="center"/>
    </xf>
    <xf numFmtId="4" fontId="104" fillId="69" borderId="65" applyNumberFormat="0" applyProtection="0">
      <alignment horizontal="right" vertical="center"/>
    </xf>
    <xf numFmtId="4" fontId="104" fillId="63" borderId="65" applyNumberFormat="0" applyProtection="0">
      <alignment horizontal="right" vertical="center"/>
    </xf>
    <xf numFmtId="4" fontId="104" fillId="63" borderId="65" applyNumberFormat="0" applyProtection="0">
      <alignment horizontal="right" vertical="center"/>
    </xf>
    <xf numFmtId="4" fontId="104" fillId="67" borderId="65" applyNumberFormat="0" applyProtection="0">
      <alignment horizontal="right" vertical="center"/>
    </xf>
    <xf numFmtId="4" fontId="104" fillId="67" borderId="65" applyNumberFormat="0" applyProtection="0">
      <alignment horizontal="right" vertical="center"/>
    </xf>
    <xf numFmtId="4" fontId="104" fillId="71" borderId="65" applyNumberFormat="0" applyProtection="0">
      <alignment horizontal="right" vertical="center"/>
    </xf>
    <xf numFmtId="4" fontId="104" fillId="71" borderId="65" applyNumberFormat="0" applyProtection="0">
      <alignment horizontal="right" vertical="center"/>
    </xf>
    <xf numFmtId="4" fontId="104" fillId="70" borderId="65" applyNumberFormat="0" applyProtection="0">
      <alignment horizontal="right" vertical="center"/>
    </xf>
    <xf numFmtId="4" fontId="104" fillId="70" borderId="65" applyNumberFormat="0" applyProtection="0">
      <alignment horizontal="right" vertical="center"/>
    </xf>
    <xf numFmtId="4" fontId="104" fillId="90" borderId="65" applyNumberFormat="0" applyProtection="0">
      <alignment horizontal="right" vertical="center"/>
    </xf>
    <xf numFmtId="4" fontId="104" fillId="90" borderId="65" applyNumberFormat="0" applyProtection="0">
      <alignment horizontal="right" vertical="center"/>
    </xf>
    <xf numFmtId="4" fontId="104" fillId="62" borderId="65" applyNumberFormat="0" applyProtection="0">
      <alignment horizontal="right" vertical="center"/>
    </xf>
    <xf numFmtId="4" fontId="104" fillId="62" borderId="65" applyNumberFormat="0" applyProtection="0">
      <alignment horizontal="right" vertical="center"/>
    </xf>
    <xf numFmtId="4" fontId="104" fillId="0" borderId="0" applyNumberFormat="0" applyProtection="0">
      <alignment horizontal="left" vertical="center" indent="1"/>
    </xf>
    <xf numFmtId="4" fontId="104" fillId="0" borderId="0" applyNumberFormat="0" applyProtection="0">
      <alignment horizontal="left" vertical="center" indent="1"/>
    </xf>
    <xf numFmtId="4" fontId="104" fillId="0" borderId="0" applyNumberFormat="0" applyProtection="0">
      <alignment horizontal="left" vertical="center" indent="1"/>
    </xf>
    <xf numFmtId="4" fontId="104" fillId="0" borderId="0" applyNumberFormat="0" applyProtection="0">
      <alignment horizontal="left" vertical="center" indent="1"/>
    </xf>
    <xf numFmtId="4" fontId="179" fillId="121" borderId="0" applyNumberFormat="0" applyProtection="0">
      <alignment horizontal="left" vertical="center" indent="1"/>
    </xf>
    <xf numFmtId="4" fontId="104" fillId="92" borderId="65" applyNumberFormat="0" applyProtection="0">
      <alignment horizontal="right" vertical="center"/>
    </xf>
    <xf numFmtId="4" fontId="104" fillId="92" borderId="65" applyNumberFormat="0" applyProtection="0">
      <alignment horizontal="right" vertical="center"/>
    </xf>
    <xf numFmtId="4" fontId="104" fillId="0" borderId="0" applyNumberFormat="0" applyProtection="0">
      <alignment horizontal="left" vertical="center" indent="1"/>
    </xf>
    <xf numFmtId="4" fontId="104" fillId="0" borderId="0" applyNumberFormat="0" applyProtection="0">
      <alignment horizontal="left" vertical="center" indent="1"/>
    </xf>
    <xf numFmtId="4" fontId="104" fillId="122" borderId="57" applyNumberFormat="0" applyProtection="0">
      <alignment horizontal="left" vertical="center" indent="1"/>
    </xf>
    <xf numFmtId="4" fontId="111" fillId="0" borderId="0" applyNumberFormat="0" applyProtection="0">
      <alignment horizontal="left" vertical="center" indent="1"/>
    </xf>
    <xf numFmtId="0" fontId="11" fillId="0" borderId="44" applyNumberFormat="0" applyProtection="0">
      <alignment horizontal="left" vertical="center" indent="1"/>
    </xf>
    <xf numFmtId="0" fontId="11" fillId="0" borderId="44" applyNumberFormat="0" applyProtection="0">
      <alignment horizontal="left" vertical="center" indent="1"/>
    </xf>
    <xf numFmtId="0" fontId="11" fillId="91" borderId="65" applyNumberFormat="0" applyProtection="0">
      <alignment horizontal="left" vertical="top" indent="1"/>
    </xf>
    <xf numFmtId="0" fontId="11" fillId="91" borderId="65" applyNumberFormat="0" applyProtection="0">
      <alignment horizontal="left" vertical="top" indent="1"/>
    </xf>
    <xf numFmtId="0" fontId="11" fillId="0" borderId="44" applyNumberFormat="0" applyProtection="0">
      <alignment horizontal="left" vertical="center" indent="1"/>
    </xf>
    <xf numFmtId="0" fontId="11" fillId="0" borderId="44" applyNumberFormat="0" applyProtection="0">
      <alignment horizontal="left" vertical="center" indent="1"/>
    </xf>
    <xf numFmtId="0" fontId="11" fillId="93" borderId="65" applyNumberFormat="0" applyProtection="0">
      <alignment horizontal="left" vertical="top" indent="1"/>
    </xf>
    <xf numFmtId="0" fontId="11" fillId="93" borderId="65" applyNumberFormat="0" applyProtection="0">
      <alignment horizontal="left" vertical="top" indent="1"/>
    </xf>
    <xf numFmtId="0" fontId="11" fillId="0" borderId="44" applyNumberFormat="0" applyProtection="0">
      <alignment horizontal="left" vertical="center" indent="1"/>
    </xf>
    <xf numFmtId="0" fontId="11" fillId="0" borderId="44" applyNumberFormat="0" applyProtection="0">
      <alignment horizontal="left" vertical="center" indent="1"/>
    </xf>
    <xf numFmtId="0" fontId="11" fillId="72" borderId="65" applyNumberFormat="0" applyProtection="0">
      <alignment horizontal="left" vertical="top" indent="1"/>
    </xf>
    <xf numFmtId="0" fontId="11" fillId="72" borderId="65" applyNumberFormat="0" applyProtection="0">
      <alignment horizontal="left" vertical="top" indent="1"/>
    </xf>
    <xf numFmtId="0" fontId="11" fillId="94" borderId="65" applyNumberFormat="0" applyProtection="0">
      <alignment horizontal="left" vertical="center" indent="1"/>
    </xf>
    <xf numFmtId="0" fontId="11" fillId="94" borderId="65" applyNumberFormat="0" applyProtection="0">
      <alignment horizontal="left" vertical="center" indent="1"/>
    </xf>
    <xf numFmtId="0" fontId="11" fillId="94" borderId="65" applyNumberFormat="0" applyProtection="0">
      <alignment horizontal="left" vertical="top" indent="1"/>
    </xf>
    <xf numFmtId="0" fontId="11" fillId="94" borderId="65" applyNumberFormat="0" applyProtection="0">
      <alignment horizontal="left" vertical="top" indent="1"/>
    </xf>
    <xf numFmtId="0" fontId="11" fillId="115" borderId="44" applyNumberFormat="0">
      <protection locked="0"/>
    </xf>
    <xf numFmtId="4" fontId="104" fillId="73" borderId="65" applyNumberFormat="0" applyProtection="0">
      <alignment vertical="center"/>
    </xf>
    <xf numFmtId="4" fontId="104" fillId="73" borderId="65" applyNumberFormat="0" applyProtection="0">
      <alignment vertical="center"/>
    </xf>
    <xf numFmtId="4" fontId="180" fillId="73" borderId="57" applyNumberFormat="0" applyProtection="0">
      <alignment vertical="center"/>
    </xf>
    <xf numFmtId="4" fontId="180" fillId="73" borderId="65" applyNumberFormat="0" applyProtection="0">
      <alignment vertical="center"/>
    </xf>
    <xf numFmtId="4" fontId="104" fillId="73" borderId="65" applyNumberFormat="0" applyProtection="0">
      <alignment horizontal="left" vertical="center" indent="1"/>
    </xf>
    <xf numFmtId="4" fontId="104" fillId="73" borderId="65" applyNumberFormat="0" applyProtection="0">
      <alignment horizontal="left" vertical="center" indent="1"/>
    </xf>
    <xf numFmtId="0" fontId="104" fillId="73" borderId="65" applyNumberFormat="0" applyProtection="0">
      <alignment horizontal="left" vertical="top" indent="1"/>
    </xf>
    <xf numFmtId="0" fontId="104" fillId="73" borderId="65" applyNumberFormat="0" applyProtection="0">
      <alignment horizontal="left" vertical="top" indent="1"/>
    </xf>
    <xf numFmtId="4" fontId="104" fillId="0" borderId="44" applyNumberFormat="0" applyProtection="0">
      <alignment horizontal="right" vertical="center"/>
    </xf>
    <xf numFmtId="4" fontId="104" fillId="0" borderId="44" applyNumberFormat="0" applyProtection="0">
      <alignment horizontal="right" vertical="center"/>
    </xf>
    <xf numFmtId="4" fontId="180" fillId="123" borderId="57" applyNumberFormat="0" applyProtection="0">
      <alignment horizontal="right" vertical="center"/>
    </xf>
    <xf numFmtId="4" fontId="180" fillId="0" borderId="65" applyNumberFormat="0" applyProtection="0">
      <alignment horizontal="right" vertical="center"/>
    </xf>
    <xf numFmtId="4" fontId="104" fillId="0" borderId="66" applyNumberFormat="0" applyProtection="0">
      <alignment horizontal="left" vertical="center" indent="1"/>
    </xf>
    <xf numFmtId="4" fontId="104" fillId="0" borderId="66" applyNumberFormat="0" applyProtection="0">
      <alignment horizontal="left" vertical="center" indent="1"/>
    </xf>
    <xf numFmtId="4" fontId="107" fillId="66" borderId="71" applyNumberFormat="0" applyProtection="0">
      <alignment horizontal="left" vertical="center" indent="1"/>
    </xf>
    <xf numFmtId="4" fontId="104" fillId="92" borderId="65" applyNumberFormat="0" applyProtection="0">
      <alignment horizontal="left" vertical="center" indent="1"/>
    </xf>
    <xf numFmtId="0" fontId="11" fillId="120" borderId="57" applyNumberFormat="0" applyProtection="0">
      <alignment horizontal="left" vertical="center" indent="1"/>
    </xf>
    <xf numFmtId="0" fontId="111" fillId="0" borderId="44" applyNumberFormat="0" applyProtection="0">
      <alignment horizontal="left" vertical="top" indent="1"/>
    </xf>
    <xf numFmtId="0" fontId="228" fillId="0" borderId="0"/>
    <xf numFmtId="4" fontId="171" fillId="0" borderId="0" applyNumberFormat="0" applyProtection="0">
      <alignment horizontal="left" vertical="center" indent="1"/>
    </xf>
    <xf numFmtId="4" fontId="11" fillId="0" borderId="65" applyNumberFormat="0" applyProtection="0">
      <alignment horizontal="right" vertical="center"/>
    </xf>
    <xf numFmtId="4" fontId="164" fillId="123" borderId="57" applyNumberFormat="0" applyProtection="0">
      <alignment horizontal="right" vertical="center"/>
    </xf>
    <xf numFmtId="4" fontId="11" fillId="0" borderId="65" applyNumberFormat="0" applyProtection="0">
      <alignment horizontal="right" vertical="center"/>
    </xf>
    <xf numFmtId="4" fontId="11" fillId="0" borderId="65" applyNumberFormat="0" applyProtection="0">
      <alignment horizontal="right" vertical="center"/>
    </xf>
    <xf numFmtId="4" fontId="164" fillId="123" borderId="57" applyNumberFormat="0" applyProtection="0">
      <alignment horizontal="right" vertical="center"/>
    </xf>
    <xf numFmtId="4" fontId="11" fillId="0" borderId="65" applyNumberFormat="0" applyProtection="0">
      <alignment horizontal="right"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8" fontId="130" fillId="0" borderId="0" applyFont="0" applyFill="0" applyBorder="0" applyAlignment="0" applyProtection="0"/>
    <xf numFmtId="211" fontId="151" fillId="0" borderId="0">
      <protection locked="0"/>
    </xf>
    <xf numFmtId="211" fontId="151" fillId="0" borderId="0"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9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4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4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14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4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4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2" fillId="0" borderId="0" applyFont="0" applyFill="0" applyBorder="0" applyAlignment="0" applyProtection="0"/>
    <xf numFmtId="21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38" fontId="130" fillId="84" borderId="0" applyNumberFormat="0" applyFont="0" applyBorder="0" applyAlignment="0" applyProtection="0"/>
    <xf numFmtId="0" fontId="160" fillId="0" borderId="0" applyNumberFormat="0" applyFill="0" applyBorder="0" applyAlignment="0" applyProtection="0"/>
    <xf numFmtId="0" fontId="11" fillId="0" borderId="72"/>
    <xf numFmtId="0" fontId="104" fillId="0" borderId="0">
      <alignment vertical="top"/>
    </xf>
    <xf numFmtId="0" fontId="104" fillId="0" borderId="0">
      <alignment vertical="top"/>
    </xf>
    <xf numFmtId="0" fontId="11" fillId="0" borderId="44" applyNumberFormat="0" applyFont="0" applyFill="0" applyProtection="0">
      <alignment horizontal="center"/>
    </xf>
    <xf numFmtId="22" fontId="11" fillId="0" borderId="44" applyFont="0" applyFill="0" applyProtection="0">
      <alignment horizontal="center"/>
    </xf>
    <xf numFmtId="0" fontId="70" fillId="59" borderId="44" applyNumberFormat="0" applyProtection="0">
      <alignment horizontal="center"/>
    </xf>
    <xf numFmtId="0" fontId="229" fillId="87" borderId="44" applyNumberFormat="0" applyProtection="0">
      <alignment horizontal="right"/>
    </xf>
    <xf numFmtId="4" fontId="11" fillId="0" borderId="44" applyFont="0" applyFill="0" applyAlignment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1" fillId="124" borderId="0"/>
    <xf numFmtId="0" fontId="11" fillId="0" borderId="0" applyFill="0" applyBorder="0" applyAlignment="0" applyProtection="0"/>
    <xf numFmtId="0" fontId="11" fillId="0" borderId="0" applyFill="0" applyBorder="0" applyAlignment="0" applyProtection="0"/>
    <xf numFmtId="0" fontId="11" fillId="0" borderId="0" applyFill="0" applyBorder="0" applyAlignment="0" applyProtection="0"/>
    <xf numFmtId="0" fontId="11" fillId="0" borderId="0" applyFill="0" applyBorder="0" applyAlignment="0" applyProtection="0"/>
    <xf numFmtId="41" fontId="11" fillId="0" borderId="0"/>
    <xf numFmtId="0" fontId="11" fillId="0" borderId="73"/>
    <xf numFmtId="0" fontId="230" fillId="0" borderId="0" applyBorder="0" applyProtection="0">
      <alignment vertical="center"/>
    </xf>
    <xf numFmtId="0" fontId="23" fillId="0" borderId="1" applyBorder="0" applyProtection="0">
      <alignment horizontal="right" vertical="center"/>
    </xf>
    <xf numFmtId="0" fontId="231" fillId="125" borderId="0" applyBorder="0" applyProtection="0">
      <alignment horizontal="centerContinuous" vertical="center"/>
    </xf>
    <xf numFmtId="0" fontId="231" fillId="126" borderId="1" applyBorder="0" applyProtection="0">
      <alignment horizontal="centerContinuous" vertical="center"/>
    </xf>
    <xf numFmtId="0" fontId="232" fillId="0" borderId="0" applyFill="0" applyBorder="0" applyProtection="0">
      <alignment horizontal="left"/>
    </xf>
    <xf numFmtId="0" fontId="206" fillId="0" borderId="27" applyFill="0" applyBorder="0" applyProtection="0">
      <alignment horizontal="left" vertical="top"/>
    </xf>
    <xf numFmtId="0" fontId="233" fillId="0" borderId="0"/>
    <xf numFmtId="0" fontId="109" fillId="0" borderId="0"/>
    <xf numFmtId="0" fontId="234" fillId="0" borderId="0" applyNumberFormat="0" applyFill="0" applyBorder="0" applyAlignment="0" applyProtection="0"/>
    <xf numFmtId="49" fontId="104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31" fontId="133" fillId="0" borderId="0" applyNumberFormat="0" applyFill="0" applyBorder="0" applyAlignment="0" applyProtection="0"/>
    <xf numFmtId="231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31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0" fontId="235" fillId="0" borderId="0"/>
    <xf numFmtId="0" fontId="156" fillId="0" borderId="0" applyNumberFormat="0" applyFill="0" applyBorder="0" applyAlignment="0" applyProtection="0"/>
    <xf numFmtId="0" fontId="158" fillId="0" borderId="59" applyNumberFormat="0" applyFill="0" applyAlignment="0" applyProtection="0"/>
    <xf numFmtId="231" fontId="158" fillId="0" borderId="59" applyNumberFormat="0" applyFill="0" applyAlignment="0" applyProtection="0"/>
    <xf numFmtId="0" fontId="138" fillId="0" borderId="0" applyNumberFormat="0" applyFill="0" applyBorder="0" applyAlignment="0" applyProtection="0"/>
    <xf numFmtId="231" fontId="158" fillId="0" borderId="59" applyNumberFormat="0" applyFill="0" applyAlignment="0" applyProtection="0"/>
    <xf numFmtId="231" fontId="158" fillId="0" borderId="59" applyNumberFormat="0" applyFill="0" applyAlignment="0" applyProtection="0"/>
    <xf numFmtId="0" fontId="158" fillId="0" borderId="59" applyNumberFormat="0" applyFill="0" applyAlignment="0" applyProtection="0"/>
    <xf numFmtId="0" fontId="158" fillId="0" borderId="59" applyNumberFormat="0" applyFill="0" applyAlignment="0" applyProtection="0"/>
    <xf numFmtId="0" fontId="158" fillId="0" borderId="59" applyNumberFormat="0" applyFill="0" applyAlignment="0" applyProtection="0"/>
    <xf numFmtId="0" fontId="158" fillId="0" borderId="59" applyNumberFormat="0" applyFill="0" applyAlignment="0" applyProtection="0"/>
    <xf numFmtId="0" fontId="158" fillId="0" borderId="59" applyNumberFormat="0" applyFill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9" fillId="0" borderId="60" applyNumberFormat="0" applyFill="0" applyAlignment="0" applyProtection="0"/>
    <xf numFmtId="231" fontId="159" fillId="0" borderId="60" applyNumberFormat="0" applyFill="0" applyAlignment="0" applyProtection="0"/>
    <xf numFmtId="0" fontId="139" fillId="0" borderId="0" applyNumberFormat="0" applyFill="0" applyBorder="0" applyAlignment="0" applyProtection="0"/>
    <xf numFmtId="231" fontId="159" fillId="0" borderId="60" applyNumberFormat="0" applyFill="0" applyAlignment="0" applyProtection="0"/>
    <xf numFmtId="231" fontId="159" fillId="0" borderId="60" applyNumberFormat="0" applyFill="0" applyAlignment="0" applyProtection="0"/>
    <xf numFmtId="0" fontId="159" fillId="0" borderId="60" applyNumberFormat="0" applyFill="0" applyAlignment="0" applyProtection="0"/>
    <xf numFmtId="0" fontId="159" fillId="0" borderId="60" applyNumberFormat="0" applyFill="0" applyAlignment="0" applyProtection="0"/>
    <xf numFmtId="0" fontId="159" fillId="0" borderId="60" applyNumberFormat="0" applyFill="0" applyAlignment="0" applyProtection="0"/>
    <xf numFmtId="0" fontId="159" fillId="0" borderId="60" applyNumberFormat="0" applyFill="0" applyAlignment="0" applyProtection="0"/>
    <xf numFmtId="0" fontId="159" fillId="0" borderId="60" applyNumberFormat="0" applyFill="0" applyAlignment="0" applyProtection="0"/>
    <xf numFmtId="0" fontId="140" fillId="0" borderId="54" applyNumberFormat="0" applyFill="0" applyAlignment="0" applyProtection="0"/>
    <xf numFmtId="231" fontId="140" fillId="0" borderId="54" applyNumberFormat="0" applyFill="0" applyAlignment="0" applyProtection="0"/>
    <xf numFmtId="231" fontId="140" fillId="0" borderId="54" applyNumberFormat="0" applyFill="0" applyAlignment="0" applyProtection="0"/>
    <xf numFmtId="0" fontId="140" fillId="0" borderId="54" applyNumberFormat="0" applyFill="0" applyAlignment="0" applyProtection="0"/>
    <xf numFmtId="231" fontId="140" fillId="0" borderId="54" applyNumberFormat="0" applyFill="0" applyAlignment="0" applyProtection="0"/>
    <xf numFmtId="0" fontId="140" fillId="0" borderId="54" applyNumberFormat="0" applyFill="0" applyAlignment="0" applyProtection="0"/>
    <xf numFmtId="0" fontId="140" fillId="0" borderId="54" applyNumberFormat="0" applyFill="0" applyAlignment="0" applyProtection="0"/>
    <xf numFmtId="0" fontId="140" fillId="0" borderId="54" applyNumberFormat="0" applyFill="0" applyAlignment="0" applyProtection="0"/>
    <xf numFmtId="0" fontId="140" fillId="0" borderId="54" applyNumberFormat="0" applyFill="0" applyAlignment="0" applyProtection="0"/>
    <xf numFmtId="0" fontId="140" fillId="0" borderId="54" applyNumberFormat="0" applyFill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231" fontId="156" fillId="0" borderId="0" applyNumberFormat="0" applyFill="0" applyBorder="0" applyAlignment="0" applyProtection="0"/>
    <xf numFmtId="231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231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211" fontId="204" fillId="0" borderId="0">
      <protection locked="0"/>
    </xf>
    <xf numFmtId="211" fontId="204" fillId="0" borderId="0">
      <protection locked="0"/>
    </xf>
    <xf numFmtId="0" fontId="11" fillId="124" borderId="0"/>
    <xf numFmtId="0" fontId="224" fillId="76" borderId="48"/>
    <xf numFmtId="206" fontId="11" fillId="0" borderId="61">
      <protection locked="0"/>
    </xf>
    <xf numFmtId="206" fontId="11" fillId="0" borderId="61">
      <protection locked="0"/>
    </xf>
    <xf numFmtId="206" fontId="11" fillId="0" borderId="61">
      <protection locked="0"/>
    </xf>
    <xf numFmtId="206" fontId="11" fillId="0" borderId="61">
      <protection locked="0"/>
    </xf>
    <xf numFmtId="201" fontId="236" fillId="0" borderId="0">
      <alignment horizontal="left"/>
      <protection locked="0"/>
    </xf>
    <xf numFmtId="258" fontId="11" fillId="0" borderId="24" applyFont="0" applyFill="0" applyBorder="0" applyProtection="0">
      <alignment horizontal="center"/>
      <protection locked="0"/>
    </xf>
    <xf numFmtId="258" fontId="11" fillId="0" borderId="24" applyFont="0" applyFill="0" applyBorder="0" applyProtection="0">
      <alignment horizontal="center"/>
      <protection locked="0"/>
    </xf>
    <xf numFmtId="258" fontId="11" fillId="0" borderId="24" applyFont="0" applyFill="0" applyBorder="0" applyProtection="0">
      <alignment horizontal="center"/>
      <protection locked="0"/>
    </xf>
    <xf numFmtId="259" fontId="70" fillId="0" borderId="6" applyFont="0" applyFill="0" applyBorder="0" applyProtection="0">
      <alignment horizontal="center"/>
    </xf>
    <xf numFmtId="38" fontId="11" fillId="0" borderId="44" applyFont="0" applyFill="0" applyBorder="0" applyAlignment="0" applyProtection="0">
      <protection locked="0"/>
    </xf>
    <xf numFmtId="38" fontId="11" fillId="0" borderId="44" applyFont="0" applyFill="0" applyBorder="0" applyAlignment="0" applyProtection="0">
      <protection locked="0"/>
    </xf>
    <xf numFmtId="38" fontId="11" fillId="0" borderId="44" applyFont="0" applyFill="0" applyBorder="0" applyAlignment="0" applyProtection="0">
      <protection locked="0"/>
    </xf>
    <xf numFmtId="15" fontId="11" fillId="0" borderId="44" applyFont="0" applyFill="0" applyBorder="0" applyProtection="0">
      <alignment horizontal="center"/>
      <protection locked="0"/>
    </xf>
    <xf numFmtId="15" fontId="11" fillId="0" borderId="44" applyFont="0" applyFill="0" applyBorder="0" applyProtection="0">
      <alignment horizontal="center"/>
      <protection locked="0"/>
    </xf>
    <xf numFmtId="15" fontId="11" fillId="0" borderId="44" applyFont="0" applyFill="0" applyBorder="0" applyProtection="0">
      <alignment horizontal="center"/>
      <protection locked="0"/>
    </xf>
    <xf numFmtId="10" fontId="11" fillId="0" borderId="44" applyFont="0" applyFill="0" applyBorder="0" applyProtection="0">
      <alignment horizontal="center"/>
      <protection locked="0"/>
    </xf>
    <xf numFmtId="10" fontId="11" fillId="0" borderId="44" applyFont="0" applyFill="0" applyBorder="0" applyProtection="0">
      <alignment horizontal="center"/>
      <protection locked="0"/>
    </xf>
    <xf numFmtId="10" fontId="11" fillId="0" borderId="44" applyFont="0" applyFill="0" applyBorder="0" applyProtection="0">
      <alignment horizontal="center"/>
      <protection locked="0"/>
    </xf>
    <xf numFmtId="214" fontId="11" fillId="0" borderId="44" applyFont="0" applyFill="0" applyBorder="0" applyProtection="0">
      <alignment horizontal="center"/>
    </xf>
    <xf numFmtId="214" fontId="11" fillId="0" borderId="44" applyFont="0" applyFill="0" applyBorder="0" applyProtection="0">
      <alignment horizontal="center"/>
    </xf>
    <xf numFmtId="214" fontId="11" fillId="0" borderId="44" applyFont="0" applyFill="0" applyBorder="0" applyProtection="0">
      <alignment horizontal="center"/>
    </xf>
    <xf numFmtId="37" fontId="107" fillId="79" borderId="0" applyNumberFormat="0" applyBorder="0" applyAlignment="0" applyProtection="0"/>
    <xf numFmtId="37" fontId="107" fillId="79" borderId="0" applyNumberFormat="0" applyBorder="0" applyAlignment="0" applyProtection="0"/>
    <xf numFmtId="37" fontId="107" fillId="79" borderId="0" applyNumberFormat="0" applyBorder="0" applyAlignment="0" applyProtection="0"/>
    <xf numFmtId="37" fontId="107" fillId="79" borderId="0" applyNumberFormat="0" applyBorder="0" applyAlignment="0" applyProtection="0"/>
    <xf numFmtId="37" fontId="107" fillId="0" borderId="0"/>
    <xf numFmtId="37" fontId="107" fillId="0" borderId="0"/>
    <xf numFmtId="37" fontId="107" fillId="0" borderId="0"/>
    <xf numFmtId="37" fontId="107" fillId="79" borderId="0" applyNumberFormat="0" applyBorder="0" applyAlignment="0" applyProtection="0"/>
    <xf numFmtId="0" fontId="237" fillId="0" borderId="0">
      <alignment vertical="top"/>
    </xf>
    <xf numFmtId="37" fontId="238" fillId="0" borderId="0">
      <protection locked="0"/>
    </xf>
    <xf numFmtId="212" fontId="121" fillId="0" borderId="0">
      <protection locked="0"/>
    </xf>
    <xf numFmtId="212" fontId="121" fillId="0" borderId="0">
      <protection locked="0"/>
    </xf>
    <xf numFmtId="213" fontId="121" fillId="0" borderId="0">
      <protection locked="0"/>
    </xf>
    <xf numFmtId="213" fontId="121" fillId="0" borderId="0">
      <protection locked="0"/>
    </xf>
    <xf numFmtId="208" fontId="23" fillId="0" borderId="0" applyFont="0" applyFill="0" applyBorder="0" applyAlignment="0" applyProtection="0"/>
    <xf numFmtId="208" fontId="23" fillId="0" borderId="0" applyFont="0" applyFill="0" applyBorder="0" applyAlignment="0" applyProtection="0"/>
    <xf numFmtId="21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3" fontId="11" fillId="0" borderId="0" applyFont="0" applyFill="0" applyBorder="0" applyAlignment="0" applyProtection="0"/>
    <xf numFmtId="2" fontId="129" fillId="0" borderId="0" applyFont="0" applyFill="0" applyBorder="0" applyAlignment="0" applyProtection="0"/>
    <xf numFmtId="245" fontId="168" fillId="0" borderId="0" applyFill="0"/>
    <xf numFmtId="0" fontId="239" fillId="0" borderId="0" applyNumberFormat="0" applyFill="0" applyBorder="0" applyAlignment="0" applyProtection="0"/>
    <xf numFmtId="0" fontId="11" fillId="0" borderId="13" applyFont="0" applyFill="0" applyBorder="0" applyAlignment="0" applyProtection="0"/>
    <xf numFmtId="0" fontId="11" fillId="0" borderId="13" applyFont="0" applyFill="0" applyBorder="0" applyAlignment="0" applyProtection="0"/>
    <xf numFmtId="0" fontId="11" fillId="0" borderId="13" applyFont="0" applyFill="0" applyBorder="0" applyAlignment="0" applyProtection="0"/>
    <xf numFmtId="0" fontId="11" fillId="0" borderId="13" applyFont="0" applyFill="0" applyBorder="0" applyAlignment="0" applyProtection="0"/>
    <xf numFmtId="0" fontId="240" fillId="0" borderId="0" applyFont="0" applyFill="0" applyBorder="0" applyAlignment="0" applyProtection="0"/>
    <xf numFmtId="0" fontId="240" fillId="0" borderId="0" applyFont="0" applyFill="0" applyBorder="0" applyAlignment="0" applyProtection="0"/>
    <xf numFmtId="0" fontId="241" fillId="0" borderId="0"/>
    <xf numFmtId="0" fontId="241" fillId="0" borderId="0" applyFont="0" applyFill="0" applyBorder="0" applyAlignment="0" applyProtection="0"/>
    <xf numFmtId="0" fontId="241" fillId="0" borderId="0" applyFont="0" applyFill="0" applyBorder="0" applyAlignment="0" applyProtection="0"/>
    <xf numFmtId="0" fontId="240" fillId="0" borderId="0" applyFont="0" applyFill="0" applyBorder="0" applyAlignment="0" applyProtection="0"/>
    <xf numFmtId="0" fontId="240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2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" fillId="0" borderId="0" applyFont="0" applyFill="0" applyBorder="0" applyAlignment="0" applyProtection="0"/>
    <xf numFmtId="0" fontId="11" fillId="0" borderId="0"/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1" fillId="0" borderId="0"/>
    <xf numFmtId="0" fontId="132" fillId="58" borderId="43" applyNumberFormat="0" applyAlignment="0" applyProtection="0"/>
    <xf numFmtId="0" fontId="10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2" fillId="0" borderId="0" applyFont="0" applyFill="0" applyBorder="0" applyAlignment="0" applyProtection="0"/>
    <xf numFmtId="0" fontId="1" fillId="0" borderId="0"/>
    <xf numFmtId="43" fontId="10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224" fontId="173" fillId="0" borderId="0" applyFill="0" applyBorder="0" applyProtection="0">
      <alignment horizontal="right"/>
      <protection locked="0"/>
    </xf>
    <xf numFmtId="224" fontId="173" fillId="0" borderId="0" applyFont="0" applyFill="0" applyBorder="0" applyAlignment="0"/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39" fillId="31" borderId="0" applyNumberFormat="0" applyBorder="0" applyAlignment="0" applyProtection="0"/>
    <xf numFmtId="0" fontId="39" fillId="35" borderId="0" applyNumberFormat="0" applyBorder="0" applyAlignment="0" applyProtection="0"/>
    <xf numFmtId="0" fontId="39" fillId="39" borderId="0" applyNumberFormat="0" applyBorder="0" applyAlignment="0" applyProtection="0"/>
    <xf numFmtId="0" fontId="39" fillId="43" borderId="0" applyNumberFormat="0" applyBorder="0" applyAlignment="0" applyProtection="0"/>
    <xf numFmtId="0" fontId="39" fillId="47" borderId="0" applyNumberFormat="0" applyBorder="0" applyAlignment="0" applyProtection="0"/>
    <xf numFmtId="0" fontId="39" fillId="51" borderId="0" applyNumberFormat="0" applyBorder="0" applyAlignment="0" applyProtection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04" fillId="0" borderId="0">
      <alignment vertical="top"/>
    </xf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244" fillId="0" borderId="0"/>
    <xf numFmtId="260" fontId="244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03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60" fontId="11" fillId="0" borderId="0"/>
    <xf numFmtId="202" fontId="11" fillId="0" borderId="0"/>
    <xf numFmtId="0" fontId="95" fillId="21" borderId="0" applyNumberFormat="0" applyBorder="0" applyAlignment="0" applyProtection="0"/>
    <xf numFmtId="0" fontId="99" fillId="25" borderId="34" applyNumberFormat="0" applyAlignment="0" applyProtection="0"/>
    <xf numFmtId="260" fontId="243" fillId="26" borderId="37" applyNumberFormat="0" applyAlignment="0" applyProtection="0"/>
    <xf numFmtId="260" fontId="243" fillId="26" borderId="37" applyNumberFormat="0" applyAlignment="0" applyProtection="0"/>
    <xf numFmtId="260" fontId="243" fillId="26" borderId="37" applyNumberFormat="0" applyAlignment="0" applyProtection="0"/>
    <xf numFmtId="0" fontId="37" fillId="26" borderId="37" applyNumberFormat="0" applyAlignment="0" applyProtection="0"/>
    <xf numFmtId="260" fontId="245" fillId="0" borderId="36" applyNumberFormat="0" applyFill="0" applyAlignment="0" applyProtection="0"/>
    <xf numFmtId="260" fontId="245" fillId="0" borderId="36" applyNumberFormat="0" applyFill="0" applyAlignment="0" applyProtection="0"/>
    <xf numFmtId="260" fontId="245" fillId="0" borderId="36" applyNumberFormat="0" applyFill="0" applyAlignment="0" applyProtection="0"/>
    <xf numFmtId="0" fontId="100" fillId="0" borderId="36" applyNumberFormat="0" applyFill="0" applyAlignment="0" applyProtection="0"/>
    <xf numFmtId="0" fontId="39" fillId="28" borderId="0" applyNumberFormat="0" applyBorder="0" applyAlignment="0" applyProtection="0"/>
    <xf numFmtId="0" fontId="39" fillId="32" borderId="0" applyNumberFormat="0" applyBorder="0" applyAlignment="0" applyProtection="0"/>
    <xf numFmtId="0" fontId="39" fillId="36" borderId="0" applyNumberFormat="0" applyBorder="0" applyAlignment="0" applyProtection="0"/>
    <xf numFmtId="0" fontId="39" fillId="40" borderId="0" applyNumberFormat="0" applyBorder="0" applyAlignment="0" applyProtection="0"/>
    <xf numFmtId="0" fontId="39" fillId="44" borderId="0" applyNumberFormat="0" applyBorder="0" applyAlignment="0" applyProtection="0"/>
    <xf numFmtId="0" fontId="39" fillId="48" borderId="0" applyNumberFormat="0" applyBorder="0" applyAlignment="0" applyProtection="0"/>
    <xf numFmtId="0" fontId="97" fillId="24" borderId="34" applyNumberFormat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260" fontId="11" fillId="73" borderId="53" applyNumberFormat="0" applyFont="0" applyBorder="0" applyAlignment="0" applyProtection="0"/>
    <xf numFmtId="0" fontId="246" fillId="0" borderId="0" applyNumberFormat="0" applyFill="0" applyBorder="0" applyAlignment="0" applyProtection="0">
      <alignment vertical="top"/>
      <protection locked="0"/>
    </xf>
    <xf numFmtId="0" fontId="247" fillId="0" borderId="0" applyNumberFormat="0" applyFill="0" applyBorder="0" applyAlignment="0" applyProtection="0">
      <alignment vertical="top"/>
      <protection locked="0"/>
    </xf>
    <xf numFmtId="260" fontId="248" fillId="22" borderId="0" applyNumberFormat="0" applyBorder="0" applyAlignment="0" applyProtection="0"/>
    <xf numFmtId="260" fontId="248" fillId="22" borderId="0" applyNumberFormat="0" applyBorder="0" applyAlignment="0" applyProtection="0"/>
    <xf numFmtId="260" fontId="248" fillId="22" borderId="0" applyNumberFormat="0" applyBorder="0" applyAlignment="0" applyProtection="0"/>
    <xf numFmtId="0" fontId="96" fillId="22" borderId="0" applyNumberFormat="0" applyBorder="0" applyAlignment="0" applyProtection="0"/>
    <xf numFmtId="195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49" fillId="23" borderId="0" applyNumberFormat="0" applyBorder="0" applyAlignment="0" applyProtection="0"/>
    <xf numFmtId="0" fontId="36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0" fontId="1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260" fontId="104" fillId="27" borderId="3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0" fillId="0" borderId="0" applyFont="0" applyFill="0" applyBorder="0" applyAlignment="0" applyProtection="0"/>
    <xf numFmtId="260" fontId="70" fillId="72" borderId="58" applyNumberFormat="0" applyFont="0" applyBorder="0" applyAlignment="0" applyProtection="0"/>
    <xf numFmtId="260" fontId="70" fillId="72" borderId="58" applyNumberFormat="0" applyFont="0" applyBorder="0" applyAlignment="0" applyProtection="0"/>
    <xf numFmtId="260" fontId="70" fillId="72" borderId="58" applyNumberFormat="0" applyFont="0" applyBorder="0" applyAlignment="0" applyProtection="0"/>
    <xf numFmtId="260" fontId="70" fillId="72" borderId="58" applyNumberFormat="0" applyFont="0" applyBorder="0" applyAlignment="0" applyProtection="0"/>
    <xf numFmtId="260" fontId="70" fillId="72" borderId="58" applyNumberFormat="0" applyFont="0" applyBorder="0" applyAlignment="0" applyProtection="0"/>
    <xf numFmtId="260" fontId="70" fillId="72" borderId="58" applyNumberFormat="0" applyFont="0" applyBorder="0" applyAlignment="0" applyProtection="0"/>
    <xf numFmtId="260" fontId="70" fillId="72" borderId="58" applyNumberFormat="0" applyFont="0" applyBorder="0" applyAlignment="0" applyProtection="0"/>
    <xf numFmtId="260" fontId="70" fillId="72" borderId="58" applyNumberFormat="0" applyFont="0" applyBorder="0" applyAlignment="0" applyProtection="0"/>
    <xf numFmtId="260" fontId="70" fillId="72" borderId="58" applyNumberFormat="0" applyFont="0" applyBorder="0" applyAlignment="0" applyProtection="0"/>
    <xf numFmtId="260" fontId="70" fillId="72" borderId="58" applyNumberFormat="0" applyFont="0" applyBorder="0" applyAlignment="0" applyProtection="0"/>
    <xf numFmtId="260" fontId="70" fillId="72" borderId="58" applyNumberFormat="0" applyFont="0" applyBorder="0" applyAlignment="0" applyProtection="0"/>
    <xf numFmtId="260" fontId="70" fillId="72" borderId="58" applyNumberFormat="0" applyFont="0" applyBorder="0" applyAlignment="0" applyProtection="0"/>
    <xf numFmtId="260" fontId="70" fillId="72" borderId="58" applyNumberFormat="0" applyFont="0" applyBorder="0" applyAlignment="0" applyProtection="0"/>
    <xf numFmtId="260" fontId="70" fillId="72" borderId="58" applyNumberFormat="0" applyFont="0" applyBorder="0" applyAlignment="0" applyProtection="0"/>
    <xf numFmtId="260" fontId="70" fillId="72" borderId="58" applyNumberFormat="0" applyFont="0" applyBorder="0" applyAlignment="0" applyProtection="0"/>
    <xf numFmtId="260" fontId="70" fillId="72" borderId="58" applyNumberFormat="0" applyFont="0" applyBorder="0" applyAlignment="0" applyProtection="0"/>
    <xf numFmtId="260" fontId="70" fillId="72" borderId="58" applyNumberFormat="0" applyFont="0" applyBorder="0" applyAlignment="0" applyProtection="0"/>
    <xf numFmtId="260" fontId="70" fillId="72" borderId="58" applyNumberFormat="0" applyFont="0" applyBorder="0" applyAlignment="0" applyProtection="0"/>
    <xf numFmtId="260" fontId="70" fillId="72" borderId="58" applyNumberFormat="0" applyFont="0" applyBorder="0" applyAlignment="0" applyProtection="0"/>
    <xf numFmtId="0" fontId="98" fillId="25" borderId="35" applyNumberFormat="0" applyAlignment="0" applyProtection="0"/>
    <xf numFmtId="260" fontId="148" fillId="76" borderId="57" applyNumberFormat="0" applyAlignment="0" applyProtection="0"/>
    <xf numFmtId="4" fontId="111" fillId="0" borderId="65" applyNumberFormat="0" applyProtection="0">
      <alignment vertical="center"/>
    </xf>
    <xf numFmtId="4" fontId="178" fillId="79" borderId="65" applyNumberFormat="0" applyProtection="0">
      <alignment vertical="center"/>
    </xf>
    <xf numFmtId="4" fontId="111" fillId="0" borderId="65" applyNumberFormat="0" applyProtection="0">
      <alignment horizontal="left" vertical="center" indent="1"/>
    </xf>
    <xf numFmtId="0" fontId="111" fillId="0" borderId="65" applyNumberFormat="0" applyProtection="0">
      <alignment horizontal="left" vertical="top" indent="1"/>
    </xf>
    <xf numFmtId="4" fontId="104" fillId="54" borderId="65" applyNumberFormat="0" applyProtection="0">
      <alignment horizontal="right" vertical="center"/>
    </xf>
    <xf numFmtId="4" fontId="104" fillId="61" borderId="65" applyNumberFormat="0" applyProtection="0">
      <alignment horizontal="right" vertical="center"/>
    </xf>
    <xf numFmtId="4" fontId="104" fillId="69" borderId="65" applyNumberFormat="0" applyProtection="0">
      <alignment horizontal="right" vertical="center"/>
    </xf>
    <xf numFmtId="4" fontId="104" fillId="63" borderId="65" applyNumberFormat="0" applyProtection="0">
      <alignment horizontal="right" vertical="center"/>
    </xf>
    <xf numFmtId="4" fontId="104" fillId="67" borderId="65" applyNumberFormat="0" applyProtection="0">
      <alignment horizontal="right" vertical="center"/>
    </xf>
    <xf numFmtId="4" fontId="104" fillId="71" borderId="65" applyNumberFormat="0" applyProtection="0">
      <alignment horizontal="right" vertical="center"/>
    </xf>
    <xf numFmtId="4" fontId="104" fillId="70" borderId="65" applyNumberFormat="0" applyProtection="0">
      <alignment horizontal="right" vertical="center"/>
    </xf>
    <xf numFmtId="4" fontId="104" fillId="90" borderId="65" applyNumberFormat="0" applyProtection="0">
      <alignment horizontal="right" vertical="center"/>
    </xf>
    <xf numFmtId="4" fontId="104" fillId="62" borderId="65" applyNumberFormat="0" applyProtection="0">
      <alignment horizontal="right" vertical="center"/>
    </xf>
    <xf numFmtId="4" fontId="104" fillId="92" borderId="65" applyNumberFormat="0" applyProtection="0">
      <alignment horizontal="right" vertical="center"/>
    </xf>
    <xf numFmtId="0" fontId="11" fillId="91" borderId="65" applyNumberFormat="0" applyProtection="0">
      <alignment horizontal="left" vertical="top" indent="1"/>
    </xf>
    <xf numFmtId="0" fontId="11" fillId="93" borderId="65" applyNumberFormat="0" applyProtection="0">
      <alignment horizontal="left" vertical="top" indent="1"/>
    </xf>
    <xf numFmtId="0" fontId="11" fillId="72" borderId="65" applyNumberFormat="0" applyProtection="0">
      <alignment horizontal="left" vertical="top" indent="1"/>
    </xf>
    <xf numFmtId="0" fontId="11" fillId="94" borderId="65" applyNumberFormat="0" applyProtection="0">
      <alignment horizontal="left" vertical="center" indent="1"/>
    </xf>
    <xf numFmtId="0" fontId="11" fillId="94" borderId="65" applyNumberFormat="0" applyProtection="0">
      <alignment horizontal="left" vertical="top" indent="1"/>
    </xf>
    <xf numFmtId="4" fontId="104" fillId="73" borderId="65" applyNumberFormat="0" applyProtection="0">
      <alignment vertical="center"/>
    </xf>
    <xf numFmtId="4" fontId="180" fillId="73" borderId="65" applyNumberFormat="0" applyProtection="0">
      <alignment vertical="center"/>
    </xf>
    <xf numFmtId="4" fontId="104" fillId="73" borderId="65" applyNumberFormat="0" applyProtection="0">
      <alignment horizontal="left" vertical="center" indent="1"/>
    </xf>
    <xf numFmtId="0" fontId="104" fillId="73" borderId="65" applyNumberFormat="0" applyProtection="0">
      <alignment horizontal="left" vertical="top" indent="1"/>
    </xf>
    <xf numFmtId="4" fontId="180" fillId="0" borderId="65" applyNumberFormat="0" applyProtection="0">
      <alignment horizontal="right" vertical="center"/>
    </xf>
    <xf numFmtId="43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3" fillId="0" borderId="1" applyBorder="0" applyProtection="0">
      <alignment horizontal="right" vertical="center"/>
    </xf>
    <xf numFmtId="0" fontId="231" fillId="126" borderId="1" applyBorder="0" applyProtection="0">
      <alignment horizontal="centerContinuous" vertical="center"/>
    </xf>
    <xf numFmtId="0" fontId="206" fillId="0" borderId="27" applyFill="0" applyBorder="0" applyProtection="0">
      <alignment horizontal="left" vertical="top"/>
    </xf>
    <xf numFmtId="260" fontId="183" fillId="0" borderId="0" applyNumberFormat="0" applyFill="0" applyBorder="0" applyAlignment="0" applyProtection="0"/>
    <xf numFmtId="260" fontId="183" fillId="0" borderId="0" applyNumberFormat="0" applyFill="0" applyBorder="0" applyAlignment="0" applyProtection="0"/>
    <xf numFmtId="260" fontId="183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250" fillId="0" borderId="0" applyNumberFormat="0" applyFill="0" applyBorder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260" fontId="251" fillId="0" borderId="0" applyNumberFormat="0" applyFill="0" applyBorder="0" applyAlignment="0" applyProtection="0"/>
    <xf numFmtId="260" fontId="251" fillId="0" borderId="0" applyNumberFormat="0" applyFill="0" applyBorder="0" applyAlignment="0" applyProtection="0"/>
    <xf numFmtId="260" fontId="251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260" fontId="68" fillId="0" borderId="39" applyNumberFormat="0" applyFill="0" applyAlignment="0" applyProtection="0"/>
    <xf numFmtId="260" fontId="68" fillId="0" borderId="39" applyNumberFormat="0" applyFill="0" applyAlignment="0" applyProtection="0"/>
    <xf numFmtId="206" fontId="11" fillId="0" borderId="61">
      <protection locked="0"/>
    </xf>
    <xf numFmtId="0" fontId="2" fillId="0" borderId="39" applyNumberFormat="0" applyFill="0" applyAlignment="0" applyProtection="0"/>
    <xf numFmtId="37" fontId="107" fillId="0" borderId="0"/>
    <xf numFmtId="37" fontId="107" fillId="0" borderId="0"/>
    <xf numFmtId="37" fontId="107" fillId="0" borderId="0"/>
    <xf numFmtId="37" fontId="107" fillId="0" borderId="0"/>
    <xf numFmtId="37" fontId="107" fillId="0" borderId="0"/>
    <xf numFmtId="37" fontId="107" fillId="0" borderId="0"/>
    <xf numFmtId="37" fontId="107" fillId="0" borderId="0"/>
    <xf numFmtId="37" fontId="107" fillId="0" borderId="0"/>
    <xf numFmtId="37" fontId="107" fillId="0" borderId="0"/>
    <xf numFmtId="37" fontId="107" fillId="0" borderId="0"/>
    <xf numFmtId="37" fontId="107" fillId="0" borderId="0"/>
    <xf numFmtId="37" fontId="107" fillId="0" borderId="0"/>
    <xf numFmtId="37" fontId="107" fillId="0" borderId="0"/>
    <xf numFmtId="37" fontId="107" fillId="0" borderId="0"/>
    <xf numFmtId="37" fontId="107" fillId="0" borderId="0"/>
    <xf numFmtId="37" fontId="107" fillId="0" borderId="0"/>
    <xf numFmtId="37" fontId="107" fillId="0" borderId="0"/>
    <xf numFmtId="37" fontId="107" fillId="0" borderId="0"/>
    <xf numFmtId="37" fontId="107" fillId="0" borderId="0"/>
    <xf numFmtId="37" fontId="107" fillId="0" borderId="0"/>
    <xf numFmtId="37" fontId="107" fillId="0" borderId="0"/>
    <xf numFmtId="37" fontId="107" fillId="0" borderId="0"/>
    <xf numFmtId="37" fontId="107" fillId="0" borderId="0"/>
    <xf numFmtId="37" fontId="107" fillId="0" borderId="0"/>
    <xf numFmtId="37" fontId="10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0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02" fillId="0" borderId="0"/>
    <xf numFmtId="43" fontId="102" fillId="0" borderId="0" applyFont="0" applyFill="0" applyBorder="0" applyAlignment="0" applyProtection="0"/>
    <xf numFmtId="0" fontId="1" fillId="0" borderId="0"/>
    <xf numFmtId="43" fontId="10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264" fontId="1" fillId="0" borderId="0" applyFont="0" applyFill="0" applyBorder="0" applyAlignment="0" applyProtection="0"/>
  </cellStyleXfs>
  <cellXfs count="780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vertical="center"/>
    </xf>
    <xf numFmtId="0" fontId="5" fillId="0" borderId="0" xfId="0" applyFont="1"/>
    <xf numFmtId="165" fontId="5" fillId="0" borderId="0" xfId="1" applyNumberFormat="1" applyFont="1"/>
    <xf numFmtId="0" fontId="6" fillId="2" borderId="0" xfId="0" applyFont="1" applyFill="1"/>
    <xf numFmtId="0" fontId="6" fillId="2" borderId="0" xfId="0" applyFont="1" applyFill="1" applyAlignment="1">
      <alignment horizontal="center"/>
    </xf>
    <xf numFmtId="165" fontId="7" fillId="0" borderId="0" xfId="1" applyNumberFormat="1" applyFont="1" applyAlignment="1">
      <alignment horizontal="center"/>
    </xf>
    <xf numFmtId="0" fontId="7" fillId="0" borderId="0" xfId="0" applyFont="1"/>
    <xf numFmtId="165" fontId="7" fillId="0" borderId="0" xfId="0" applyNumberFormat="1" applyFont="1" applyAlignment="1">
      <alignment horizontal="center"/>
    </xf>
    <xf numFmtId="43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8" fillId="0" borderId="0" xfId="2" applyFont="1" applyFill="1" applyAlignment="1">
      <alignment horizontal="center"/>
    </xf>
    <xf numFmtId="0" fontId="8" fillId="0" borderId="0" xfId="2" applyFont="1" applyAlignment="1">
      <alignment horizontal="center"/>
    </xf>
    <xf numFmtId="167" fontId="7" fillId="0" borderId="0" xfId="3" applyNumberFormat="1" applyFont="1" applyAlignment="1">
      <alignment horizontal="right"/>
    </xf>
    <xf numFmtId="168" fontId="5" fillId="0" borderId="0" xfId="1" applyNumberFormat="1" applyFont="1"/>
    <xf numFmtId="0" fontId="7" fillId="3" borderId="0" xfId="0" applyFont="1" applyFill="1"/>
    <xf numFmtId="0" fontId="7" fillId="3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65" fontId="9" fillId="0" borderId="0" xfId="1" applyNumberFormat="1" applyFont="1" applyAlignment="1">
      <alignment horizontal="center"/>
    </xf>
    <xf numFmtId="43" fontId="5" fillId="0" borderId="0" xfId="1" applyFont="1" applyAlignment="1">
      <alignment horizontal="center"/>
    </xf>
    <xf numFmtId="0" fontId="9" fillId="0" borderId="0" xfId="0" applyFont="1"/>
    <xf numFmtId="0" fontId="9" fillId="3" borderId="0" xfId="0" applyFont="1" applyFill="1"/>
    <xf numFmtId="165" fontId="9" fillId="3" borderId="0" xfId="1" applyNumberFormat="1" applyFont="1" applyFill="1"/>
    <xf numFmtId="0" fontId="9" fillId="4" borderId="0" xfId="0" applyFont="1" applyFill="1"/>
    <xf numFmtId="165" fontId="9" fillId="4" borderId="0" xfId="1" applyNumberFormat="1" applyFont="1" applyFill="1"/>
    <xf numFmtId="10" fontId="9" fillId="3" borderId="0" xfId="3" applyNumberFormat="1" applyFont="1" applyFill="1"/>
    <xf numFmtId="10" fontId="5" fillId="0" borderId="0" xfId="3" applyNumberFormat="1" applyFont="1"/>
    <xf numFmtId="0" fontId="5" fillId="0" borderId="1" xfId="0" applyFont="1" applyBorder="1"/>
    <xf numFmtId="10" fontId="5" fillId="0" borderId="1" xfId="3" applyNumberFormat="1" applyFont="1" applyBorder="1"/>
    <xf numFmtId="0" fontId="7" fillId="5" borderId="0" xfId="0" applyFont="1" applyFill="1" applyAlignment="1">
      <alignment horizontal="center"/>
    </xf>
    <xf numFmtId="165" fontId="9" fillId="4" borderId="0" xfId="1" applyNumberFormat="1" applyFont="1" applyFill="1" applyAlignment="1">
      <alignment horizontal="center"/>
    </xf>
    <xf numFmtId="165" fontId="5" fillId="0" borderId="0" xfId="1" applyNumberFormat="1" applyFont="1" applyAlignment="1">
      <alignment horizontal="center"/>
    </xf>
    <xf numFmtId="0" fontId="10" fillId="2" borderId="0" xfId="0" applyFont="1" applyFill="1" applyAlignment="1">
      <alignment horizontal="centerContinuous" vertical="center"/>
    </xf>
    <xf numFmtId="0" fontId="0" fillId="2" borderId="0" xfId="0" applyFill="1" applyAlignment="1">
      <alignment horizontal="centerContinuous"/>
    </xf>
    <xf numFmtId="0" fontId="0" fillId="6" borderId="0" xfId="0" applyFill="1"/>
    <xf numFmtId="0" fontId="0" fillId="6" borderId="0" xfId="0" applyFill="1" applyAlignment="1">
      <alignment horizontal="center"/>
    </xf>
    <xf numFmtId="169" fontId="0" fillId="6" borderId="0" xfId="4" applyNumberFormat="1" applyFont="1" applyFill="1" applyAlignment="1">
      <alignment horizontal="center"/>
    </xf>
    <xf numFmtId="3" fontId="0" fillId="6" borderId="0" xfId="0" applyNumberFormat="1" applyFill="1"/>
    <xf numFmtId="0" fontId="15" fillId="7" borderId="0" xfId="0" applyFont="1" applyFill="1" applyAlignment="1">
      <alignment horizontal="left" vertical="center" wrapText="1" indent="1"/>
    </xf>
    <xf numFmtId="0" fontId="0" fillId="7" borderId="0" xfId="0" applyFill="1" applyAlignment="1">
      <alignment horizontal="center"/>
    </xf>
    <xf numFmtId="169" fontId="0" fillId="7" borderId="0" xfId="4" applyNumberFormat="1" applyFont="1" applyFill="1" applyAlignment="1">
      <alignment horizontal="center"/>
    </xf>
    <xf numFmtId="0" fontId="16" fillId="7" borderId="0" xfId="0" applyFont="1" applyFill="1"/>
    <xf numFmtId="0" fontId="17" fillId="6" borderId="0" xfId="5" applyFont="1" applyFill="1" applyAlignment="1">
      <alignment horizontal="left" indent="2"/>
    </xf>
    <xf numFmtId="3" fontId="16" fillId="6" borderId="0" xfId="0" applyNumberFormat="1" applyFont="1" applyFill="1" applyAlignment="1">
      <alignment horizontal="right"/>
    </xf>
    <xf numFmtId="3" fontId="16" fillId="6" borderId="0" xfId="4" applyNumberFormat="1" applyFont="1" applyFill="1" applyAlignment="1">
      <alignment horizontal="right"/>
    </xf>
    <xf numFmtId="0" fontId="17" fillId="6" borderId="1" xfId="5" applyFont="1" applyFill="1" applyBorder="1" applyAlignment="1">
      <alignment horizontal="left" indent="2"/>
    </xf>
    <xf numFmtId="3" fontId="16" fillId="6" borderId="1" xfId="0" applyNumberFormat="1" applyFont="1" applyFill="1" applyBorder="1" applyAlignment="1">
      <alignment horizontal="right"/>
    </xf>
    <xf numFmtId="3" fontId="16" fillId="6" borderId="1" xfId="4" applyNumberFormat="1" applyFont="1" applyFill="1" applyBorder="1" applyAlignment="1">
      <alignment horizontal="right"/>
    </xf>
    <xf numFmtId="0" fontId="18" fillId="6" borderId="0" xfId="5" applyFont="1" applyFill="1" applyAlignment="1">
      <alignment horizontal="left" indent="1"/>
    </xf>
    <xf numFmtId="3" fontId="19" fillId="6" borderId="0" xfId="0" applyNumberFormat="1" applyFont="1" applyFill="1" applyAlignment="1">
      <alignment horizontal="right"/>
    </xf>
    <xf numFmtId="3" fontId="16" fillId="7" borderId="0" xfId="0" applyNumberFormat="1" applyFont="1" applyFill="1" applyAlignment="1">
      <alignment horizontal="right"/>
    </xf>
    <xf numFmtId="3" fontId="16" fillId="7" borderId="0" xfId="4" applyNumberFormat="1" applyFont="1" applyFill="1" applyAlignment="1">
      <alignment horizontal="right"/>
    </xf>
    <xf numFmtId="0" fontId="15" fillId="8" borderId="0" xfId="0" applyFont="1" applyFill="1" applyAlignment="1">
      <alignment horizontal="left" vertical="center" wrapText="1" indent="1"/>
    </xf>
    <xf numFmtId="3" fontId="16" fillId="8" borderId="0" xfId="0" applyNumberFormat="1" applyFont="1" applyFill="1" applyAlignment="1">
      <alignment horizontal="right"/>
    </xf>
    <xf numFmtId="3" fontId="16" fillId="8" borderId="0" xfId="4" applyNumberFormat="1" applyFont="1" applyFill="1" applyAlignment="1">
      <alignment horizontal="right"/>
    </xf>
    <xf numFmtId="3" fontId="16" fillId="6" borderId="0" xfId="4" applyNumberFormat="1" applyFont="1" applyFill="1" applyBorder="1" applyAlignment="1">
      <alignment horizontal="right"/>
    </xf>
    <xf numFmtId="0" fontId="16" fillId="6" borderId="0" xfId="0" applyFont="1" applyFill="1" applyAlignment="1">
      <alignment horizontal="right"/>
    </xf>
    <xf numFmtId="169" fontId="16" fillId="6" borderId="0" xfId="4" applyNumberFormat="1" applyFont="1" applyFill="1" applyAlignment="1">
      <alignment horizontal="right"/>
    </xf>
    <xf numFmtId="0" fontId="16" fillId="6" borderId="0" xfId="0" applyFont="1" applyFill="1"/>
    <xf numFmtId="0" fontId="17" fillId="0" borderId="0" xfId="6" applyFont="1" applyAlignment="1">
      <alignment vertical="center"/>
    </xf>
    <xf numFmtId="1" fontId="12" fillId="0" borderId="0" xfId="7" applyNumberFormat="1" applyFont="1" applyAlignment="1">
      <alignment horizontal="left" vertical="center"/>
    </xf>
    <xf numFmtId="0" fontId="21" fillId="0" borderId="0" xfId="8" applyFont="1" applyAlignment="1">
      <alignment horizontal="center" vertical="center"/>
    </xf>
    <xf numFmtId="0" fontId="22" fillId="0" borderId="3" xfId="6" applyFont="1" applyBorder="1" applyAlignment="1">
      <alignment horizontal="left"/>
    </xf>
    <xf numFmtId="167" fontId="22" fillId="0" borderId="3" xfId="9" applyNumberFormat="1" applyFont="1" applyFill="1" applyBorder="1" applyAlignment="1">
      <alignment horizontal="center"/>
    </xf>
    <xf numFmtId="171" fontId="22" fillId="0" borderId="3" xfId="10" applyNumberFormat="1" applyFont="1" applyFill="1" applyBorder="1"/>
    <xf numFmtId="169" fontId="22" fillId="0" borderId="3" xfId="6" applyNumberFormat="1" applyFont="1" applyBorder="1"/>
    <xf numFmtId="0" fontId="24" fillId="0" borderId="0" xfId="6" applyFont="1" applyAlignment="1">
      <alignment horizontal="left" indent="1"/>
    </xf>
    <xf numFmtId="172" fontId="25" fillId="9" borderId="0" xfId="6" applyNumberFormat="1" applyFont="1" applyFill="1" applyAlignment="1">
      <alignment horizontal="center" vertical="center"/>
    </xf>
    <xf numFmtId="171" fontId="24" fillId="0" borderId="0" xfId="10" applyNumberFormat="1" applyFont="1" applyFill="1" applyBorder="1"/>
    <xf numFmtId="169" fontId="26" fillId="9" borderId="0" xfId="6" applyNumberFormat="1" applyFont="1" applyFill="1"/>
    <xf numFmtId="172" fontId="25" fillId="9" borderId="0" xfId="6" quotePrefix="1" applyNumberFormat="1" applyFont="1" applyFill="1" applyAlignment="1">
      <alignment horizontal="center" vertical="center"/>
    </xf>
    <xf numFmtId="173" fontId="25" fillId="9" borderId="0" xfId="6" quotePrefix="1" applyNumberFormat="1" applyFont="1" applyFill="1" applyAlignment="1">
      <alignment horizontal="center" vertical="center"/>
    </xf>
    <xf numFmtId="174" fontId="25" fillId="9" borderId="0" xfId="6" quotePrefix="1" applyNumberFormat="1" applyFont="1" applyFill="1" applyAlignment="1">
      <alignment horizontal="center" vertical="center"/>
    </xf>
    <xf numFmtId="175" fontId="25" fillId="9" borderId="0" xfId="6" quotePrefix="1" applyNumberFormat="1" applyFont="1" applyFill="1" applyAlignment="1">
      <alignment horizontal="center" vertical="center"/>
    </xf>
    <xf numFmtId="0" fontId="21" fillId="0" borderId="0" xfId="8" applyFont="1"/>
    <xf numFmtId="0" fontId="29" fillId="0" borderId="0" xfId="6" applyFont="1" applyAlignment="1">
      <alignment horizontal="left" indent="1"/>
    </xf>
    <xf numFmtId="171" fontId="29" fillId="0" borderId="0" xfId="10" applyNumberFormat="1" applyFont="1" applyFill="1" applyBorder="1"/>
    <xf numFmtId="176" fontId="25" fillId="9" borderId="0" xfId="6" quotePrefix="1" applyNumberFormat="1" applyFont="1" applyFill="1" applyAlignment="1">
      <alignment horizontal="center" vertical="center"/>
    </xf>
    <xf numFmtId="173" fontId="25" fillId="9" borderId="0" xfId="6" applyNumberFormat="1" applyFont="1" applyFill="1" applyAlignment="1">
      <alignment horizontal="center" vertical="center"/>
    </xf>
    <xf numFmtId="177" fontId="25" fillId="9" borderId="0" xfId="6" quotePrefix="1" applyNumberFormat="1" applyFont="1" applyFill="1" applyAlignment="1">
      <alignment horizontal="center" vertical="center"/>
    </xf>
    <xf numFmtId="0" fontId="17" fillId="4" borderId="0" xfId="6" applyFont="1" applyFill="1" applyAlignment="1">
      <alignment vertical="center" textRotation="90"/>
    </xf>
    <xf numFmtId="0" fontId="17" fillId="0" borderId="0" xfId="6" applyFont="1" applyAlignment="1">
      <alignment vertical="center" textRotation="90"/>
    </xf>
    <xf numFmtId="0" fontId="20" fillId="0" borderId="0" xfId="11" applyFont="1" applyAlignment="1">
      <alignment horizontal="left" vertical="center"/>
    </xf>
    <xf numFmtId="0" fontId="27" fillId="0" borderId="0" xfId="11" applyFont="1" applyAlignment="1">
      <alignment horizontal="center" vertical="center"/>
    </xf>
    <xf numFmtId="171" fontId="28" fillId="0" borderId="0" xfId="10" applyNumberFormat="1" applyFont="1" applyFill="1" applyBorder="1"/>
    <xf numFmtId="178" fontId="17" fillId="4" borderId="0" xfId="6" quotePrefix="1" applyNumberFormat="1" applyFont="1" applyFill="1" applyAlignment="1">
      <alignment horizontal="center" vertical="center"/>
    </xf>
    <xf numFmtId="175" fontId="17" fillId="4" borderId="0" xfId="6" quotePrefix="1" applyNumberFormat="1" applyFont="1" applyFill="1" applyAlignment="1">
      <alignment horizontal="center" vertical="center"/>
    </xf>
    <xf numFmtId="173" fontId="17" fillId="4" borderId="0" xfId="6" applyNumberFormat="1" applyFont="1" applyFill="1" applyAlignment="1">
      <alignment horizontal="center" vertical="center"/>
    </xf>
    <xf numFmtId="0" fontId="17" fillId="4" borderId="0" xfId="6" applyFont="1" applyFill="1" applyAlignment="1">
      <alignment vertical="center" textRotation="90" wrapText="1"/>
    </xf>
    <xf numFmtId="0" fontId="17" fillId="0" borderId="0" xfId="6" applyFont="1" applyAlignment="1">
      <alignment vertical="center" textRotation="90" wrapText="1"/>
    </xf>
    <xf numFmtId="0" fontId="17" fillId="0" borderId="0" xfId="6" applyFont="1" applyAlignment="1">
      <alignment horizontal="center" vertical="center" textRotation="90"/>
    </xf>
    <xf numFmtId="178" fontId="25" fillId="9" borderId="0" xfId="6" quotePrefix="1" applyNumberFormat="1" applyFont="1" applyFill="1" applyAlignment="1">
      <alignment horizontal="center" vertical="center"/>
    </xf>
    <xf numFmtId="179" fontId="25" fillId="9" borderId="0" xfId="6" quotePrefix="1" applyNumberFormat="1" applyFont="1" applyFill="1" applyAlignment="1">
      <alignment horizontal="center" vertical="center"/>
    </xf>
    <xf numFmtId="0" fontId="30" fillId="0" borderId="0" xfId="6" applyFont="1" applyAlignment="1">
      <alignment vertical="center" textRotation="90" wrapText="1"/>
    </xf>
    <xf numFmtId="0" fontId="24" fillId="6" borderId="0" xfId="6" applyFont="1" applyFill="1" applyAlignment="1">
      <alignment horizontal="left" indent="1"/>
    </xf>
    <xf numFmtId="167" fontId="17" fillId="4" borderId="4" xfId="9" quotePrefix="1" applyNumberFormat="1" applyFont="1" applyFill="1" applyBorder="1" applyAlignment="1">
      <alignment horizontal="center"/>
    </xf>
    <xf numFmtId="173" fontId="17" fillId="4" borderId="0" xfId="6" quotePrefix="1" applyNumberFormat="1" applyFont="1" applyFill="1" applyAlignment="1">
      <alignment horizontal="center" vertical="center"/>
    </xf>
    <xf numFmtId="2" fontId="25" fillId="9" borderId="0" xfId="6" quotePrefix="1" applyNumberFormat="1" applyFont="1" applyFill="1" applyAlignment="1">
      <alignment horizontal="center" vertical="center"/>
    </xf>
    <xf numFmtId="0" fontId="31" fillId="0" borderId="0" xfId="6" applyFont="1"/>
    <xf numFmtId="167" fontId="25" fillId="9" borderId="0" xfId="3" quotePrefix="1" applyNumberFormat="1" applyFont="1" applyFill="1" applyAlignment="1">
      <alignment horizontal="center" vertical="center"/>
    </xf>
    <xf numFmtId="169" fontId="31" fillId="0" borderId="0" xfId="1" applyNumberFormat="1" applyFont="1" applyFill="1" applyBorder="1"/>
    <xf numFmtId="0" fontId="17" fillId="0" borderId="0" xfId="5" applyFont="1" applyAlignment="1">
      <alignment vertical="center"/>
    </xf>
    <xf numFmtId="169" fontId="17" fillId="0" borderId="0" xfId="1" applyNumberFormat="1" applyFont="1" applyFill="1" applyAlignment="1">
      <alignment vertical="center"/>
    </xf>
    <xf numFmtId="0" fontId="17" fillId="0" borderId="0" xfId="6" applyFont="1" applyAlignment="1">
      <alignment horizontal="justify" vertical="center"/>
    </xf>
    <xf numFmtId="0" fontId="17" fillId="0" borderId="0" xfId="5" applyFont="1" applyAlignment="1">
      <alignment vertical="center" textRotation="90"/>
    </xf>
    <xf numFmtId="0" fontId="32" fillId="0" borderId="0" xfId="12" applyFont="1" applyAlignment="1">
      <alignment vertical="center"/>
    </xf>
    <xf numFmtId="169" fontId="32" fillId="0" borderId="0" xfId="10" applyNumberFormat="1" applyFont="1" applyFill="1" applyBorder="1" applyAlignment="1">
      <alignment horizontal="right" vertical="center"/>
    </xf>
    <xf numFmtId="0" fontId="18" fillId="0" borderId="0" xfId="6" applyFont="1" applyAlignment="1">
      <alignment horizontal="center" vertical="center" textRotation="90"/>
    </xf>
    <xf numFmtId="171" fontId="0" fillId="6" borderId="0" xfId="0" applyNumberFormat="1" applyFill="1"/>
    <xf numFmtId="171" fontId="17" fillId="0" borderId="0" xfId="10" applyNumberFormat="1" applyFont="1" applyFill="1" applyBorder="1" applyAlignment="1">
      <alignment vertical="center" wrapText="1"/>
    </xf>
    <xf numFmtId="171" fontId="17" fillId="0" borderId="1" xfId="10" applyNumberFormat="1" applyFont="1" applyFill="1" applyBorder="1" applyAlignment="1">
      <alignment vertical="center" wrapText="1"/>
    </xf>
    <xf numFmtId="171" fontId="17" fillId="0" borderId="6" xfId="10" applyNumberFormat="1" applyFont="1" applyBorder="1" applyAlignment="1">
      <alignment horizontal="left" vertical="center"/>
    </xf>
    <xf numFmtId="171" fontId="17" fillId="0" borderId="0" xfId="10" applyNumberFormat="1" applyFont="1" applyFill="1" applyAlignment="1">
      <alignment vertical="center"/>
    </xf>
    <xf numFmtId="171" fontId="18" fillId="4" borderId="6" xfId="10" applyNumberFormat="1" applyFont="1" applyFill="1" applyBorder="1" applyAlignment="1">
      <alignment horizontal="right" vertical="center"/>
    </xf>
    <xf numFmtId="171" fontId="17" fillId="0" borderId="0" xfId="10" applyNumberFormat="1" applyFont="1" applyFill="1" applyBorder="1" applyAlignment="1">
      <alignment horizontal="left" vertical="center"/>
    </xf>
    <xf numFmtId="171" fontId="18" fillId="4" borderId="0" xfId="10" applyNumberFormat="1" applyFont="1" applyFill="1" applyBorder="1" applyAlignment="1">
      <alignment horizontal="right" vertical="center"/>
    </xf>
    <xf numFmtId="171" fontId="35" fillId="0" borderId="0" xfId="10" applyNumberFormat="1" applyFont="1" applyFill="1" applyBorder="1" applyAlignment="1">
      <alignment horizontal="left" vertical="center"/>
    </xf>
    <xf numFmtId="167" fontId="17" fillId="6" borderId="0" xfId="14" applyNumberFormat="1" applyFont="1" applyFill="1" applyBorder="1" applyAlignment="1">
      <alignment vertical="center"/>
    </xf>
    <xf numFmtId="164" fontId="17" fillId="0" borderId="0" xfId="6" applyNumberFormat="1" applyFont="1" applyAlignment="1">
      <alignment vertical="center"/>
    </xf>
    <xf numFmtId="164" fontId="17" fillId="0" borderId="0" xfId="10" applyFont="1" applyFill="1" applyAlignment="1">
      <alignment vertical="center"/>
    </xf>
    <xf numFmtId="0" fontId="19" fillId="0" borderId="0" xfId="0" applyFont="1" applyAlignment="1">
      <alignment horizontal="left" vertical="center"/>
    </xf>
    <xf numFmtId="171" fontId="0" fillId="0" borderId="0" xfId="0" applyNumberFormat="1"/>
    <xf numFmtId="0" fontId="2" fillId="0" borderId="0" xfId="0" applyFont="1"/>
    <xf numFmtId="0" fontId="16" fillId="0" borderId="0" xfId="0" applyFont="1"/>
    <xf numFmtId="0" fontId="16" fillId="0" borderId="1" xfId="0" applyFont="1" applyBorder="1"/>
    <xf numFmtId="0" fontId="12" fillId="2" borderId="0" xfId="5" applyFont="1" applyFill="1" applyAlignment="1">
      <alignment vertical="center"/>
    </xf>
    <xf numFmtId="0" fontId="13" fillId="2" borderId="0" xfId="4" applyNumberFormat="1" applyFont="1" applyFill="1" applyBorder="1" applyAlignment="1">
      <alignment horizontal="center"/>
    </xf>
    <xf numFmtId="169" fontId="13" fillId="2" borderId="0" xfId="4" applyNumberFormat="1" applyFont="1" applyFill="1" applyBorder="1" applyAlignment="1">
      <alignment horizontal="center"/>
    </xf>
    <xf numFmtId="169" fontId="14" fillId="10" borderId="0" xfId="4" applyNumberFormat="1" applyFont="1" applyFill="1" applyBorder="1" applyAlignment="1">
      <alignment horizontal="center"/>
    </xf>
    <xf numFmtId="170" fontId="14" fillId="10" borderId="0" xfId="4" applyNumberFormat="1" applyFont="1" applyFill="1" applyBorder="1" applyAlignment="1">
      <alignment horizontal="right"/>
    </xf>
    <xf numFmtId="0" fontId="15" fillId="0" borderId="0" xfId="0" applyFont="1" applyAlignment="1">
      <alignment horizontal="left" vertical="center" wrapText="1" indent="1"/>
    </xf>
    <xf numFmtId="0" fontId="17" fillId="0" borderId="0" xfId="18" applyFont="1"/>
    <xf numFmtId="0" fontId="18" fillId="6" borderId="9" xfId="18" applyFont="1" applyFill="1" applyBorder="1"/>
    <xf numFmtId="171" fontId="18" fillId="6" borderId="9" xfId="19" applyNumberFormat="1" applyFont="1" applyFill="1" applyBorder="1" applyAlignment="1">
      <alignment horizontal="right" vertical="center"/>
    </xf>
    <xf numFmtId="0" fontId="17" fillId="6" borderId="0" xfId="18" applyFont="1" applyFill="1"/>
    <xf numFmtId="171" fontId="17" fillId="6" borderId="0" xfId="18" applyNumberFormat="1" applyFont="1" applyFill="1"/>
    <xf numFmtId="0" fontId="17" fillId="6" borderId="10" xfId="18" applyFont="1" applyFill="1" applyBorder="1"/>
    <xf numFmtId="0" fontId="18" fillId="6" borderId="11" xfId="18" applyFont="1" applyFill="1" applyBorder="1"/>
    <xf numFmtId="171" fontId="18" fillId="6" borderId="11" xfId="19" applyNumberFormat="1" applyFont="1" applyFill="1" applyBorder="1" applyAlignment="1">
      <alignment horizontal="right" vertical="center"/>
    </xf>
    <xf numFmtId="171" fontId="17" fillId="0" borderId="0" xfId="18" applyNumberFormat="1" applyFont="1"/>
    <xf numFmtId="0" fontId="18" fillId="6" borderId="10" xfId="18" applyFont="1" applyFill="1" applyBorder="1"/>
    <xf numFmtId="171" fontId="18" fillId="0" borderId="0" xfId="18" applyNumberFormat="1" applyFont="1"/>
    <xf numFmtId="0" fontId="18" fillId="6" borderId="11" xfId="18" applyFont="1" applyFill="1" applyBorder="1" applyAlignment="1">
      <alignment horizontal="left"/>
    </xf>
    <xf numFmtId="0" fontId="17" fillId="6" borderId="11" xfId="18" applyFont="1" applyFill="1" applyBorder="1"/>
    <xf numFmtId="171" fontId="17" fillId="6" borderId="10" xfId="20" applyNumberFormat="1" applyFont="1" applyFill="1" applyBorder="1" applyAlignment="1">
      <alignment horizontal="right" vertical="center"/>
    </xf>
    <xf numFmtId="171" fontId="18" fillId="6" borderId="10" xfId="20" applyNumberFormat="1" applyFont="1" applyFill="1" applyBorder="1" applyAlignment="1">
      <alignment horizontal="right" vertical="center"/>
    </xf>
    <xf numFmtId="171" fontId="25" fillId="11" borderId="0" xfId="18" applyNumberFormat="1" applyFont="1" applyFill="1"/>
    <xf numFmtId="171" fontId="22" fillId="11" borderId="11" xfId="19" applyNumberFormat="1" applyFont="1" applyFill="1" applyBorder="1" applyAlignment="1">
      <alignment horizontal="right" vertical="center"/>
    </xf>
    <xf numFmtId="187" fontId="22" fillId="11" borderId="11" xfId="19" applyNumberFormat="1" applyFont="1" applyFill="1" applyBorder="1" applyAlignment="1">
      <alignment horizontal="right" vertical="center"/>
    </xf>
    <xf numFmtId="187" fontId="25" fillId="11" borderId="0" xfId="18" applyNumberFormat="1" applyFont="1" applyFill="1"/>
    <xf numFmtId="187" fontId="25" fillId="0" borderId="0" xfId="18" applyNumberFormat="1" applyFont="1"/>
    <xf numFmtId="171" fontId="18" fillId="0" borderId="11" xfId="19" applyNumberFormat="1" applyFont="1" applyFill="1" applyBorder="1" applyAlignment="1">
      <alignment horizontal="right" vertical="center"/>
    </xf>
    <xf numFmtId="171" fontId="25" fillId="0" borderId="0" xfId="18" applyNumberFormat="1" applyFont="1"/>
    <xf numFmtId="0" fontId="19" fillId="0" borderId="0" xfId="0" applyFont="1"/>
    <xf numFmtId="0" fontId="41" fillId="3" borderId="0" xfId="18" applyFont="1" applyFill="1"/>
    <xf numFmtId="3" fontId="19" fillId="3" borderId="0" xfId="0" applyNumberFormat="1" applyFont="1" applyFill="1"/>
    <xf numFmtId="0" fontId="42" fillId="0" borderId="0" xfId="18" applyFont="1" applyAlignment="1">
      <alignment horizontal="left" indent="1"/>
    </xf>
    <xf numFmtId="3" fontId="16" fillId="0" borderId="0" xfId="0" applyNumberFormat="1" applyFont="1"/>
    <xf numFmtId="0" fontId="41" fillId="0" borderId="0" xfId="18" applyFont="1"/>
    <xf numFmtId="3" fontId="19" fillId="0" borderId="0" xfId="0" applyNumberFormat="1" applyFont="1"/>
    <xf numFmtId="0" fontId="42" fillId="0" borderId="0" xfId="5" applyFont="1" applyAlignment="1">
      <alignment horizontal="left" vertical="center" indent="1"/>
    </xf>
    <xf numFmtId="0" fontId="42" fillId="0" borderId="0" xfId="18" applyFont="1" applyAlignment="1">
      <alignment horizontal="left"/>
    </xf>
    <xf numFmtId="171" fontId="42" fillId="0" borderId="0" xfId="19" applyNumberFormat="1" applyFont="1" applyFill="1" applyBorder="1" applyAlignment="1">
      <alignment horizontal="left" indent="1"/>
    </xf>
    <xf numFmtId="0" fontId="39" fillId="0" borderId="0" xfId="0" applyFont="1"/>
    <xf numFmtId="0" fontId="39" fillId="7" borderId="0" xfId="0" applyFont="1" applyFill="1"/>
    <xf numFmtId="0" fontId="6" fillId="0" borderId="0" xfId="0" applyFont="1"/>
    <xf numFmtId="0" fontId="18" fillId="6" borderId="9" xfId="0" applyFont="1" applyFill="1" applyBorder="1"/>
    <xf numFmtId="0" fontId="18" fillId="0" borderId="0" xfId="0" applyFont="1"/>
    <xf numFmtId="171" fontId="18" fillId="6" borderId="9" xfId="21" applyNumberFormat="1" applyFont="1" applyFill="1" applyBorder="1" applyAlignment="1">
      <alignment horizontal="right"/>
    </xf>
    <xf numFmtId="171" fontId="9" fillId="6" borderId="9" xfId="21" applyNumberFormat="1" applyFont="1" applyFill="1" applyBorder="1" applyAlignment="1">
      <alignment horizontal="right"/>
    </xf>
    <xf numFmtId="0" fontId="17" fillId="6" borderId="0" xfId="0" applyFont="1" applyFill="1"/>
    <xf numFmtId="0" fontId="17" fillId="0" borderId="0" xfId="0" applyFont="1"/>
    <xf numFmtId="169" fontId="5" fillId="6" borderId="0" xfId="4" applyNumberFormat="1" applyFont="1" applyFill="1"/>
    <xf numFmtId="0" fontId="17" fillId="6" borderId="10" xfId="0" applyFont="1" applyFill="1" applyBorder="1"/>
    <xf numFmtId="0" fontId="18" fillId="6" borderId="11" xfId="0" applyFont="1" applyFill="1" applyBorder="1"/>
    <xf numFmtId="171" fontId="18" fillId="6" borderId="11" xfId="21" applyNumberFormat="1" applyFont="1" applyFill="1" applyBorder="1" applyAlignment="1">
      <alignment horizontal="right"/>
    </xf>
    <xf numFmtId="171" fontId="9" fillId="6" borderId="11" xfId="21" applyNumberFormat="1" applyFont="1" applyFill="1" applyBorder="1" applyAlignment="1">
      <alignment horizontal="right"/>
    </xf>
    <xf numFmtId="171" fontId="18" fillId="6" borderId="0" xfId="21" applyNumberFormat="1" applyFont="1" applyFill="1" applyBorder="1" applyAlignment="1">
      <alignment horizontal="right"/>
    </xf>
    <xf numFmtId="171" fontId="17" fillId="6" borderId="0" xfId="0" applyNumberFormat="1" applyFont="1" applyFill="1"/>
    <xf numFmtId="49" fontId="17" fillId="6" borderId="0" xfId="0" applyNumberFormat="1" applyFont="1" applyFill="1"/>
    <xf numFmtId="49" fontId="17" fillId="0" borderId="0" xfId="0" applyNumberFormat="1" applyFont="1"/>
    <xf numFmtId="169" fontId="5" fillId="0" borderId="0" xfId="4" applyNumberFormat="1" applyFont="1" applyFill="1"/>
    <xf numFmtId="0" fontId="17" fillId="0" borderId="0" xfId="6" applyFont="1"/>
    <xf numFmtId="0" fontId="18" fillId="6" borderId="12" xfId="0" applyFont="1" applyFill="1" applyBorder="1"/>
    <xf numFmtId="0" fontId="5" fillId="6" borderId="0" xfId="0" applyFont="1" applyFill="1"/>
    <xf numFmtId="171" fontId="5" fillId="6" borderId="0" xfId="0" applyNumberFormat="1" applyFont="1" applyFill="1"/>
    <xf numFmtId="171" fontId="17" fillId="6" borderId="0" xfId="4" applyNumberFormat="1" applyFont="1" applyFill="1" applyAlignment="1">
      <alignment horizontal="right"/>
    </xf>
    <xf numFmtId="171" fontId="25" fillId="11" borderId="0" xfId="4" applyNumberFormat="1" applyFont="1" applyFill="1" applyBorder="1" applyAlignment="1">
      <alignment horizontal="right"/>
    </xf>
    <xf numFmtId="171" fontId="25" fillId="6" borderId="0" xfId="4" applyNumberFormat="1" applyFont="1" applyFill="1" applyBorder="1" applyAlignment="1">
      <alignment horizontal="right"/>
    </xf>
    <xf numFmtId="171" fontId="25" fillId="6" borderId="0" xfId="4" applyNumberFormat="1" applyFont="1" applyFill="1" applyAlignment="1">
      <alignment horizontal="right"/>
    </xf>
    <xf numFmtId="171" fontId="5" fillId="6" borderId="0" xfId="4" applyNumberFormat="1" applyFont="1" applyFill="1" applyAlignment="1" applyProtection="1">
      <alignment horizontal="right"/>
      <protection locked="0"/>
    </xf>
    <xf numFmtId="171" fontId="24" fillId="11" borderId="0" xfId="4" applyNumberFormat="1" applyFont="1" applyFill="1" applyBorder="1" applyAlignment="1" applyProtection="1">
      <alignment horizontal="right"/>
      <protection locked="0"/>
    </xf>
    <xf numFmtId="171" fontId="24" fillId="6" borderId="0" xfId="4" applyNumberFormat="1" applyFont="1" applyFill="1" applyBorder="1" applyAlignment="1" applyProtection="1">
      <alignment horizontal="right"/>
      <protection locked="0"/>
    </xf>
    <xf numFmtId="171" fontId="24" fillId="6" borderId="0" xfId="4" applyNumberFormat="1" applyFont="1" applyFill="1" applyAlignment="1" applyProtection="1">
      <alignment horizontal="right"/>
      <protection locked="0"/>
    </xf>
    <xf numFmtId="171" fontId="22" fillId="11" borderId="11" xfId="21" applyNumberFormat="1" applyFont="1" applyFill="1" applyBorder="1" applyAlignment="1">
      <alignment horizontal="right"/>
    </xf>
    <xf numFmtId="171" fontId="25" fillId="11" borderId="0" xfId="0" applyNumberFormat="1" applyFont="1" applyFill="1"/>
    <xf numFmtId="171" fontId="17" fillId="6" borderId="0" xfId="21" applyNumberFormat="1" applyFont="1" applyFill="1" applyBorder="1" applyAlignment="1">
      <alignment horizontal="right"/>
    </xf>
    <xf numFmtId="171" fontId="17" fillId="6" borderId="0" xfId="21" applyNumberFormat="1" applyFont="1" applyFill="1" applyAlignment="1">
      <alignment horizontal="right"/>
    </xf>
    <xf numFmtId="171" fontId="5" fillId="6" borderId="0" xfId="4" applyNumberFormat="1" applyFont="1" applyFill="1" applyAlignment="1">
      <alignment horizontal="right"/>
    </xf>
    <xf numFmtId="171" fontId="24" fillId="11" borderId="0" xfId="4" applyNumberFormat="1" applyFont="1" applyFill="1" applyBorder="1" applyAlignment="1">
      <alignment horizontal="right"/>
    </xf>
    <xf numFmtId="171" fontId="24" fillId="6" borderId="0" xfId="4" applyNumberFormat="1" applyFont="1" applyFill="1" applyBorder="1" applyAlignment="1">
      <alignment horizontal="right"/>
    </xf>
    <xf numFmtId="171" fontId="24" fillId="6" borderId="0" xfId="4" applyNumberFormat="1" applyFont="1" applyFill="1" applyAlignment="1">
      <alignment horizontal="right"/>
    </xf>
    <xf numFmtId="171" fontId="32" fillId="6" borderId="0" xfId="4" applyNumberFormat="1" applyFont="1" applyFill="1" applyBorder="1" applyAlignment="1">
      <alignment horizontal="right"/>
    </xf>
    <xf numFmtId="171" fontId="32" fillId="6" borderId="0" xfId="4" applyNumberFormat="1" applyFont="1" applyFill="1" applyAlignment="1">
      <alignment horizontal="right"/>
    </xf>
    <xf numFmtId="171" fontId="18" fillId="6" borderId="12" xfId="21" applyNumberFormat="1" applyFont="1" applyFill="1" applyBorder="1" applyAlignment="1">
      <alignment horizontal="right"/>
    </xf>
    <xf numFmtId="171" fontId="22" fillId="11" borderId="12" xfId="21" applyNumberFormat="1" applyFont="1" applyFill="1" applyBorder="1" applyAlignment="1">
      <alignment horizontal="right"/>
    </xf>
    <xf numFmtId="171" fontId="22" fillId="6" borderId="12" xfId="21" applyNumberFormat="1" applyFont="1" applyFill="1" applyBorder="1" applyAlignment="1">
      <alignment horizontal="right"/>
    </xf>
    <xf numFmtId="171" fontId="16" fillId="6" borderId="0" xfId="0" applyNumberFormat="1" applyFont="1" applyFill="1"/>
    <xf numFmtId="0" fontId="13" fillId="6" borderId="0" xfId="0" applyFont="1" applyFill="1"/>
    <xf numFmtId="0" fontId="43" fillId="7" borderId="0" xfId="0" applyFont="1" applyFill="1" applyAlignment="1">
      <alignment horizontal="left" vertical="center" wrapText="1" indent="1"/>
    </xf>
    <xf numFmtId="0" fontId="44" fillId="7" borderId="0" xfId="0" applyFont="1" applyFill="1"/>
    <xf numFmtId="0" fontId="42" fillId="6" borderId="0" xfId="0" applyFont="1" applyFill="1" applyAlignment="1">
      <alignment horizontal="left" indent="1"/>
    </xf>
    <xf numFmtId="169" fontId="42" fillId="6" borderId="0" xfId="4" applyNumberFormat="1" applyFont="1" applyFill="1" applyAlignment="1">
      <alignment horizontal="left" indent="1"/>
    </xf>
    <xf numFmtId="0" fontId="41" fillId="6" borderId="11" xfId="0" applyFont="1" applyFill="1" applyBorder="1"/>
    <xf numFmtId="169" fontId="41" fillId="6" borderId="11" xfId="4" applyNumberFormat="1" applyFont="1" applyFill="1" applyBorder="1"/>
    <xf numFmtId="0" fontId="42" fillId="6" borderId="11" xfId="0" applyFont="1" applyFill="1" applyBorder="1"/>
    <xf numFmtId="169" fontId="42" fillId="6" borderId="11" xfId="4" applyNumberFormat="1" applyFont="1" applyFill="1" applyBorder="1"/>
    <xf numFmtId="171" fontId="42" fillId="6" borderId="12" xfId="4" applyNumberFormat="1" applyFont="1" applyFill="1" applyBorder="1" applyAlignment="1">
      <alignment horizontal="right" vertical="center"/>
    </xf>
    <xf numFmtId="0" fontId="41" fillId="0" borderId="11" xfId="0" applyFont="1" applyBorder="1"/>
    <xf numFmtId="3" fontId="41" fillId="6" borderId="11" xfId="0" applyNumberFormat="1" applyFont="1" applyFill="1" applyBorder="1"/>
    <xf numFmtId="0" fontId="42" fillId="6" borderId="0" xfId="0" applyFont="1" applyFill="1"/>
    <xf numFmtId="169" fontId="16" fillId="6" borderId="0" xfId="4" applyNumberFormat="1" applyFont="1" applyFill="1"/>
    <xf numFmtId="169" fontId="41" fillId="6" borderId="11" xfId="0" applyNumberFormat="1" applyFont="1" applyFill="1" applyBorder="1"/>
    <xf numFmtId="3" fontId="42" fillId="6" borderId="11" xfId="0" applyNumberFormat="1" applyFont="1" applyFill="1" applyBorder="1"/>
    <xf numFmtId="0" fontId="41" fillId="0" borderId="0" xfId="0" applyFont="1"/>
    <xf numFmtId="169" fontId="41" fillId="6" borderId="0" xfId="0" applyNumberFormat="1" applyFont="1" applyFill="1"/>
    <xf numFmtId="169" fontId="42" fillId="6" borderId="11" xfId="0" applyNumberFormat="1" applyFont="1" applyFill="1" applyBorder="1"/>
    <xf numFmtId="3" fontId="42" fillId="6" borderId="11" xfId="4" applyNumberFormat="1" applyFont="1" applyFill="1" applyBorder="1"/>
    <xf numFmtId="171" fontId="41" fillId="6" borderId="11" xfId="4" applyNumberFormat="1" applyFont="1" applyFill="1" applyBorder="1" applyAlignment="1">
      <alignment horizontal="right"/>
    </xf>
    <xf numFmtId="0" fontId="42" fillId="0" borderId="0" xfId="0" applyFont="1"/>
    <xf numFmtId="0" fontId="41" fillId="6" borderId="0" xfId="0" applyFont="1" applyFill="1"/>
    <xf numFmtId="171" fontId="41" fillId="6" borderId="0" xfId="4" applyNumberFormat="1" applyFont="1" applyFill="1" applyBorder="1" applyAlignment="1">
      <alignment horizontal="right"/>
    </xf>
    <xf numFmtId="0" fontId="42" fillId="6" borderId="0" xfId="22" applyFont="1" applyFill="1" applyAlignment="1">
      <alignment horizontal="left"/>
    </xf>
    <xf numFmtId="171" fontId="42" fillId="6" borderId="0" xfId="4" applyNumberFormat="1" applyFont="1" applyFill="1" applyAlignment="1">
      <alignment horizontal="right" vertical="center"/>
    </xf>
    <xf numFmtId="0" fontId="42" fillId="0" borderId="0" xfId="22" applyFont="1" applyAlignment="1">
      <alignment horizontal="left"/>
    </xf>
    <xf numFmtId="0" fontId="41" fillId="6" borderId="13" xfId="22" applyFont="1" applyFill="1" applyBorder="1" applyAlignment="1">
      <alignment horizontal="left"/>
    </xf>
    <xf numFmtId="171" fontId="41" fillId="6" borderId="13" xfId="4" applyNumberFormat="1" applyFont="1" applyFill="1" applyBorder="1" applyAlignment="1">
      <alignment horizontal="right" vertical="center"/>
    </xf>
    <xf numFmtId="169" fontId="42" fillId="6" borderId="0" xfId="4" applyNumberFormat="1" applyFont="1" applyFill="1" applyBorder="1" applyAlignment="1">
      <alignment horizontal="right"/>
    </xf>
    <xf numFmtId="0" fontId="42" fillId="0" borderId="1" xfId="6" applyFont="1" applyBorder="1"/>
    <xf numFmtId="171" fontId="42" fillId="6" borderId="1" xfId="4" applyNumberFormat="1" applyFont="1" applyFill="1" applyBorder="1" applyAlignment="1">
      <alignment horizontal="right"/>
    </xf>
    <xf numFmtId="169" fontId="42" fillId="6" borderId="1" xfId="4" applyNumberFormat="1" applyFont="1" applyFill="1" applyBorder="1" applyAlignment="1">
      <alignment horizontal="right"/>
    </xf>
    <xf numFmtId="167" fontId="42" fillId="6" borderId="0" xfId="3" applyNumberFormat="1" applyFont="1" applyFill="1"/>
    <xf numFmtId="169" fontId="42" fillId="6" borderId="0" xfId="4" applyNumberFormat="1" applyFont="1" applyFill="1" applyAlignment="1">
      <alignment horizontal="right" vertical="center"/>
    </xf>
    <xf numFmtId="0" fontId="42" fillId="6" borderId="1" xfId="0" applyFont="1" applyFill="1" applyBorder="1"/>
    <xf numFmtId="171" fontId="42" fillId="6" borderId="1" xfId="4" applyNumberFormat="1" applyFont="1" applyFill="1" applyBorder="1" applyAlignment="1">
      <alignment horizontal="right" vertical="center"/>
    </xf>
    <xf numFmtId="169" fontId="42" fillId="6" borderId="1" xfId="4" applyNumberFormat="1" applyFont="1" applyFill="1" applyBorder="1" applyAlignment="1">
      <alignment horizontal="right" vertical="center"/>
    </xf>
    <xf numFmtId="169" fontId="16" fillId="6" borderId="1" xfId="4" applyNumberFormat="1" applyFont="1" applyFill="1" applyBorder="1"/>
    <xf numFmtId="167" fontId="16" fillId="6" borderId="0" xfId="3" applyNumberFormat="1" applyFont="1" applyFill="1"/>
    <xf numFmtId="10" fontId="16" fillId="6" borderId="0" xfId="3" applyNumberFormat="1" applyFont="1" applyFill="1"/>
    <xf numFmtId="0" fontId="17" fillId="0" borderId="0" xfId="22" applyFont="1" applyAlignment="1">
      <alignment horizontal="left"/>
    </xf>
    <xf numFmtId="169" fontId="42" fillId="6" borderId="0" xfId="0" applyNumberFormat="1" applyFont="1" applyFill="1"/>
    <xf numFmtId="171" fontId="41" fillId="0" borderId="13" xfId="4" applyNumberFormat="1" applyFont="1" applyFill="1" applyBorder="1" applyAlignment="1">
      <alignment horizontal="right" vertical="center"/>
    </xf>
    <xf numFmtId="3" fontId="16" fillId="6" borderId="0" xfId="0" applyNumberFormat="1" applyFont="1" applyFill="1"/>
    <xf numFmtId="3" fontId="16" fillId="6" borderId="1" xfId="0" applyNumberFormat="1" applyFont="1" applyFill="1" applyBorder="1"/>
    <xf numFmtId="167" fontId="0" fillId="6" borderId="0" xfId="3" applyNumberFormat="1" applyFont="1" applyFill="1"/>
    <xf numFmtId="167" fontId="0" fillId="6" borderId="0" xfId="0" applyNumberFormat="1" applyFill="1"/>
    <xf numFmtId="167" fontId="0" fillId="6" borderId="0" xfId="3" applyNumberFormat="1" applyFont="1" applyFill="1" applyAlignment="1"/>
    <xf numFmtId="0" fontId="45" fillId="0" borderId="0" xfId="0" applyFont="1" applyAlignment="1">
      <alignment vertical="center"/>
    </xf>
    <xf numFmtId="167" fontId="0" fillId="6" borderId="0" xfId="3" applyNumberFormat="1" applyFont="1" applyFill="1" applyBorder="1"/>
    <xf numFmtId="165" fontId="0" fillId="6" borderId="0" xfId="4" applyNumberFormat="1" applyFont="1" applyFill="1"/>
    <xf numFmtId="0" fontId="0" fillId="3" borderId="0" xfId="0" applyFill="1"/>
    <xf numFmtId="165" fontId="0" fillId="3" borderId="0" xfId="4" applyNumberFormat="1" applyFont="1" applyFill="1"/>
    <xf numFmtId="0" fontId="47" fillId="6" borderId="0" xfId="6" applyFont="1" applyFill="1" applyAlignment="1">
      <alignment horizontal="left" vertical="center"/>
    </xf>
    <xf numFmtId="0" fontId="48" fillId="6" borderId="0" xfId="0" applyFont="1" applyFill="1" applyAlignment="1">
      <alignment horizontal="center" vertical="center"/>
    </xf>
    <xf numFmtId="0" fontId="48" fillId="6" borderId="0" xfId="0" applyFont="1" applyFill="1" applyAlignment="1">
      <alignment vertical="center"/>
    </xf>
    <xf numFmtId="171" fontId="48" fillId="6" borderId="0" xfId="4" applyNumberFormat="1" applyFont="1" applyFill="1" applyAlignment="1">
      <alignment vertical="center"/>
    </xf>
    <xf numFmtId="171" fontId="51" fillId="11" borderId="0" xfId="1" applyNumberFormat="1" applyFont="1" applyFill="1" applyBorder="1" applyAlignment="1">
      <alignment vertical="center"/>
    </xf>
    <xf numFmtId="167" fontId="51" fillId="11" borderId="0" xfId="3" applyNumberFormat="1" applyFont="1" applyFill="1" applyBorder="1" applyAlignment="1">
      <alignment horizontal="right" vertical="center"/>
    </xf>
    <xf numFmtId="0" fontId="52" fillId="6" borderId="11" xfId="0" applyFont="1" applyFill="1" applyBorder="1" applyAlignment="1">
      <alignment vertical="center"/>
    </xf>
    <xf numFmtId="171" fontId="53" fillId="11" borderId="11" xfId="4" applyNumberFormat="1" applyFont="1" applyFill="1" applyBorder="1" applyAlignment="1">
      <alignment horizontal="center"/>
    </xf>
    <xf numFmtId="167" fontId="53" fillId="11" borderId="11" xfId="3" applyNumberFormat="1" applyFont="1" applyFill="1" applyBorder="1" applyAlignment="1">
      <alignment horizontal="right"/>
    </xf>
    <xf numFmtId="171" fontId="51" fillId="11" borderId="0" xfId="4" applyNumberFormat="1" applyFont="1" applyFill="1" applyBorder="1" applyAlignment="1">
      <alignment horizontal="center" vertical="center"/>
    </xf>
    <xf numFmtId="0" fontId="51" fillId="11" borderId="0" xfId="0" applyFont="1" applyFill="1" applyAlignment="1">
      <alignment horizontal="center" vertical="center"/>
    </xf>
    <xf numFmtId="0" fontId="51" fillId="11" borderId="0" xfId="0" applyFont="1" applyFill="1" applyAlignment="1">
      <alignment vertical="center"/>
    </xf>
    <xf numFmtId="167" fontId="51" fillId="11" borderId="0" xfId="3" applyNumberFormat="1" applyFont="1" applyFill="1" applyBorder="1" applyAlignment="1">
      <alignment vertical="center"/>
    </xf>
    <xf numFmtId="167" fontId="53" fillId="11" borderId="11" xfId="3" applyNumberFormat="1" applyFont="1" applyFill="1" applyBorder="1" applyAlignment="1"/>
    <xf numFmtId="0" fontId="54" fillId="11" borderId="0" xfId="0" applyFont="1" applyFill="1"/>
    <xf numFmtId="171" fontId="51" fillId="11" borderId="0" xfId="4" applyNumberFormat="1" applyFont="1" applyFill="1" applyBorder="1" applyAlignment="1">
      <alignment vertical="center"/>
    </xf>
    <xf numFmtId="9" fontId="51" fillId="11" borderId="0" xfId="3" applyFont="1" applyFill="1" applyBorder="1" applyAlignment="1">
      <alignment horizontal="right" vertical="center"/>
    </xf>
    <xf numFmtId="9" fontId="51" fillId="11" borderId="0" xfId="3" applyFont="1" applyFill="1" applyBorder="1" applyAlignment="1">
      <alignment vertical="center"/>
    </xf>
    <xf numFmtId="9" fontId="53" fillId="11" borderId="11" xfId="3" applyFont="1" applyFill="1" applyBorder="1" applyAlignment="1">
      <alignment horizontal="center"/>
    </xf>
    <xf numFmtId="10" fontId="51" fillId="11" borderId="0" xfId="3" applyNumberFormat="1" applyFont="1" applyFill="1" applyBorder="1" applyAlignment="1">
      <alignment horizontal="right" vertical="center"/>
    </xf>
    <xf numFmtId="167" fontId="51" fillId="11" borderId="0" xfId="3" applyNumberFormat="1" applyFont="1" applyFill="1" applyBorder="1" applyAlignment="1">
      <alignment horizontal="right" vertical="center" indent="1"/>
    </xf>
    <xf numFmtId="10" fontId="51" fillId="11" borderId="0" xfId="3" applyNumberFormat="1" applyFont="1" applyFill="1" applyBorder="1" applyAlignment="1">
      <alignment vertical="center"/>
    </xf>
    <xf numFmtId="10" fontId="53" fillId="11" borderId="11" xfId="3" applyNumberFormat="1" applyFont="1" applyFill="1" applyBorder="1" applyAlignment="1">
      <alignment horizontal="center"/>
    </xf>
    <xf numFmtId="167" fontId="53" fillId="11" borderId="11" xfId="3" applyNumberFormat="1" applyFont="1" applyFill="1" applyBorder="1" applyAlignment="1">
      <alignment horizontal="right" indent="1"/>
    </xf>
    <xf numFmtId="3" fontId="0" fillId="0" borderId="0" xfId="0" applyNumberFormat="1"/>
    <xf numFmtId="0" fontId="48" fillId="12" borderId="0" xfId="8" applyFont="1" applyFill="1"/>
    <xf numFmtId="3" fontId="48" fillId="12" borderId="0" xfId="8" applyNumberFormat="1" applyFont="1" applyFill="1"/>
    <xf numFmtId="0" fontId="52" fillId="3" borderId="0" xfId="8" applyFont="1" applyFill="1"/>
    <xf numFmtId="3" fontId="52" fillId="3" borderId="0" xfId="8" applyNumberFormat="1" applyFont="1" applyFill="1" applyAlignment="1">
      <alignment horizontal="right"/>
    </xf>
    <xf numFmtId="0" fontId="48" fillId="12" borderId="0" xfId="8" applyFont="1" applyFill="1" applyAlignment="1">
      <alignment horizontal="left" indent="1"/>
    </xf>
    <xf numFmtId="3" fontId="48" fillId="12" borderId="0" xfId="8" applyNumberFormat="1" applyFont="1" applyFill="1" applyAlignment="1">
      <alignment horizontal="right"/>
    </xf>
    <xf numFmtId="0" fontId="52" fillId="0" borderId="0" xfId="8" applyFont="1"/>
    <xf numFmtId="3" fontId="2" fillId="0" borderId="0" xfId="0" applyNumberFormat="1" applyFont="1"/>
    <xf numFmtId="0" fontId="2" fillId="3" borderId="0" xfId="0" applyFont="1" applyFill="1"/>
    <xf numFmtId="3" fontId="2" fillId="3" borderId="0" xfId="0" applyNumberFormat="1" applyFont="1" applyFill="1"/>
    <xf numFmtId="0" fontId="16" fillId="0" borderId="0" xfId="0" applyFont="1" applyAlignment="1">
      <alignment horizontal="center"/>
    </xf>
    <xf numFmtId="0" fontId="19" fillId="11" borderId="0" xfId="10" applyNumberFormat="1" applyFont="1" applyFill="1" applyBorder="1" applyAlignment="1">
      <alignment horizontal="center" vertical="center"/>
    </xf>
    <xf numFmtId="0" fontId="19" fillId="13" borderId="0" xfId="10" applyNumberFormat="1" applyFont="1" applyFill="1" applyBorder="1" applyAlignment="1">
      <alignment horizontal="left"/>
    </xf>
    <xf numFmtId="171" fontId="19" fillId="13" borderId="0" xfId="10" applyNumberFormat="1" applyFont="1" applyFill="1" applyBorder="1" applyAlignment="1">
      <alignment horizontal="left"/>
    </xf>
    <xf numFmtId="171" fontId="16" fillId="11" borderId="0" xfId="10" applyNumberFormat="1" applyFont="1" applyFill="1" applyBorder="1" applyAlignment="1">
      <alignment horizontal="right" vertical="center"/>
    </xf>
    <xf numFmtId="171" fontId="19" fillId="13" borderId="0" xfId="10" applyNumberFormat="1" applyFont="1" applyFill="1" applyBorder="1" applyAlignment="1">
      <alignment horizontal="center"/>
    </xf>
    <xf numFmtId="0" fontId="16" fillId="11" borderId="0" xfId="6" applyFont="1" applyFill="1"/>
    <xf numFmtId="171" fontId="16" fillId="11" borderId="0" xfId="10" applyNumberFormat="1" applyFont="1" applyFill="1" applyBorder="1"/>
    <xf numFmtId="171" fontId="16" fillId="11" borderId="0" xfId="10" applyNumberFormat="1" applyFont="1" applyFill="1" applyBorder="1" applyAlignment="1">
      <alignment horizontal="center"/>
    </xf>
    <xf numFmtId="0" fontId="19" fillId="11" borderId="0" xfId="10" applyNumberFormat="1" applyFont="1" applyFill="1" applyBorder="1" applyAlignment="1">
      <alignment horizontal="left"/>
    </xf>
    <xf numFmtId="0" fontId="19" fillId="11" borderId="0" xfId="10" applyNumberFormat="1" applyFont="1" applyFill="1" applyBorder="1" applyAlignment="1">
      <alignment horizontal="center"/>
    </xf>
    <xf numFmtId="167" fontId="19" fillId="13" borderId="0" xfId="14" applyNumberFormat="1" applyFont="1" applyFill="1" applyBorder="1" applyAlignment="1">
      <alignment horizontal="right" vertical="center"/>
    </xf>
    <xf numFmtId="167" fontId="19" fillId="13" borderId="0" xfId="14" applyNumberFormat="1" applyFont="1" applyFill="1" applyBorder="1" applyAlignment="1">
      <alignment horizontal="right"/>
    </xf>
    <xf numFmtId="167" fontId="19" fillId="13" borderId="0" xfId="14" applyNumberFormat="1" applyFont="1" applyFill="1" applyBorder="1" applyAlignment="1">
      <alignment vertical="center"/>
    </xf>
    <xf numFmtId="171" fontId="16" fillId="13" borderId="0" xfId="10" applyNumberFormat="1" applyFont="1" applyFill="1" applyBorder="1" applyAlignment="1">
      <alignment horizontal="right" vertical="center"/>
    </xf>
    <xf numFmtId="171" fontId="19" fillId="11" borderId="0" xfId="10" applyNumberFormat="1" applyFont="1" applyFill="1" applyBorder="1" applyAlignment="1">
      <alignment horizontal="right" vertical="center"/>
    </xf>
    <xf numFmtId="0" fontId="56" fillId="11" borderId="0" xfId="10" applyNumberFormat="1" applyFont="1" applyFill="1" applyBorder="1" applyAlignment="1">
      <alignment horizontal="left"/>
    </xf>
    <xf numFmtId="0" fontId="55" fillId="11" borderId="0" xfId="10" applyNumberFormat="1" applyFont="1" applyFill="1" applyBorder="1" applyAlignment="1">
      <alignment horizontal="center"/>
    </xf>
    <xf numFmtId="0" fontId="55" fillId="11" borderId="0" xfId="10" applyNumberFormat="1" applyFont="1" applyFill="1" applyBorder="1" applyAlignment="1">
      <alignment horizontal="center" vertical="center"/>
    </xf>
    <xf numFmtId="3" fontId="18" fillId="6" borderId="11" xfId="19" applyNumberFormat="1" applyFont="1" applyFill="1" applyBorder="1" applyAlignment="1">
      <alignment horizontal="right" vertical="center"/>
    </xf>
    <xf numFmtId="3" fontId="17" fillId="6" borderId="0" xfId="18" applyNumberFormat="1" applyFont="1" applyFill="1"/>
    <xf numFmtId="3" fontId="25" fillId="11" borderId="0" xfId="18" applyNumberFormat="1" applyFont="1" applyFill="1"/>
    <xf numFmtId="3" fontId="25" fillId="11" borderId="0" xfId="18" applyNumberFormat="1" applyFont="1" applyFill="1" applyAlignment="1">
      <alignment horizontal="right"/>
    </xf>
    <xf numFmtId="3" fontId="17" fillId="11" borderId="0" xfId="18" applyNumberFormat="1" applyFont="1" applyFill="1" applyAlignment="1">
      <alignment horizontal="right"/>
    </xf>
    <xf numFmtId="3" fontId="25" fillId="14" borderId="0" xfId="18" applyNumberFormat="1" applyFont="1" applyFill="1"/>
    <xf numFmtId="3" fontId="22" fillId="11" borderId="11" xfId="19" applyNumberFormat="1" applyFont="1" applyFill="1" applyBorder="1" applyAlignment="1">
      <alignment horizontal="right" vertical="center"/>
    </xf>
    <xf numFmtId="3" fontId="22" fillId="14" borderId="11" xfId="19" applyNumberFormat="1" applyFont="1" applyFill="1" applyBorder="1" applyAlignment="1">
      <alignment horizontal="right" vertical="center"/>
    </xf>
    <xf numFmtId="3" fontId="18" fillId="14" borderId="11" xfId="19" applyNumberFormat="1" applyFont="1" applyFill="1" applyBorder="1" applyAlignment="1">
      <alignment horizontal="right" vertical="center"/>
    </xf>
    <xf numFmtId="3" fontId="25" fillId="14" borderId="0" xfId="18" applyNumberFormat="1" applyFont="1" applyFill="1" applyAlignment="1">
      <alignment horizontal="right"/>
    </xf>
    <xf numFmtId="3" fontId="17" fillId="14" borderId="0" xfId="18" applyNumberFormat="1" applyFont="1" applyFill="1" applyAlignment="1">
      <alignment horizontal="right"/>
    </xf>
    <xf numFmtId="3" fontId="17" fillId="6" borderId="0" xfId="19" applyNumberFormat="1" applyFont="1" applyFill="1" applyAlignment="1">
      <alignment horizontal="right" vertical="center"/>
    </xf>
    <xf numFmtId="3" fontId="25" fillId="11" borderId="0" xfId="19" applyNumberFormat="1" applyFont="1" applyFill="1" applyBorder="1" applyAlignment="1">
      <alignment horizontal="right" vertical="center"/>
    </xf>
    <xf numFmtId="3" fontId="18" fillId="6" borderId="10" xfId="19" applyNumberFormat="1" applyFont="1" applyFill="1" applyBorder="1" applyAlignment="1">
      <alignment horizontal="right" vertical="center"/>
    </xf>
    <xf numFmtId="0" fontId="0" fillId="6" borderId="0" xfId="0" applyFill="1" applyAlignment="1">
      <alignment horizontal="right"/>
    </xf>
    <xf numFmtId="3" fontId="17" fillId="11" borderId="0" xfId="18" applyNumberFormat="1" applyFont="1" applyFill="1"/>
    <xf numFmtId="3" fontId="22" fillId="11" borderId="10" xfId="19" applyNumberFormat="1" applyFont="1" applyFill="1" applyBorder="1" applyAlignment="1">
      <alignment horizontal="right" vertical="center"/>
    </xf>
    <xf numFmtId="3" fontId="22" fillId="6" borderId="10" xfId="19" applyNumberFormat="1" applyFont="1" applyFill="1" applyBorder="1" applyAlignment="1">
      <alignment horizontal="right" vertical="center"/>
    </xf>
    <xf numFmtId="3" fontId="22" fillId="14" borderId="10" xfId="19" applyNumberFormat="1" applyFont="1" applyFill="1" applyBorder="1" applyAlignment="1">
      <alignment horizontal="right" vertical="center"/>
    </xf>
    <xf numFmtId="3" fontId="17" fillId="14" borderId="0" xfId="18" applyNumberFormat="1" applyFont="1" applyFill="1"/>
    <xf numFmtId="171" fontId="17" fillId="12" borderId="0" xfId="18" applyNumberFormat="1" applyFont="1" applyFill="1"/>
    <xf numFmtId="3" fontId="18" fillId="6" borderId="11" xfId="4" applyNumberFormat="1" applyFont="1" applyFill="1" applyBorder="1" applyAlignment="1">
      <alignment horizontal="right" vertical="center"/>
    </xf>
    <xf numFmtId="3" fontId="22" fillId="11" borderId="11" xfId="4" applyNumberFormat="1" applyFont="1" applyFill="1" applyBorder="1" applyAlignment="1">
      <alignment horizontal="right" vertical="center"/>
    </xf>
    <xf numFmtId="3" fontId="18" fillId="6" borderId="11" xfId="24" applyNumberFormat="1" applyFont="1" applyFill="1" applyBorder="1" applyAlignment="1">
      <alignment horizontal="right" vertical="center"/>
    </xf>
    <xf numFmtId="169" fontId="0" fillId="6" borderId="0" xfId="4" applyNumberFormat="1" applyFont="1" applyFill="1"/>
    <xf numFmtId="171" fontId="17" fillId="11" borderId="0" xfId="18" applyNumberFormat="1" applyFont="1" applyFill="1"/>
    <xf numFmtId="171" fontId="18" fillId="6" borderId="3" xfId="18" applyNumberFormat="1" applyFont="1" applyFill="1" applyBorder="1"/>
    <xf numFmtId="171" fontId="18" fillId="11" borderId="11" xfId="19" applyNumberFormat="1" applyFont="1" applyFill="1" applyBorder="1" applyAlignment="1">
      <alignment horizontal="right" vertical="center"/>
    </xf>
    <xf numFmtId="171" fontId="25" fillId="11" borderId="0" xfId="19" applyNumberFormat="1" applyFont="1" applyFill="1" applyBorder="1" applyAlignment="1">
      <alignment horizontal="right" vertical="center"/>
    </xf>
    <xf numFmtId="171" fontId="17" fillId="11" borderId="0" xfId="19" applyNumberFormat="1" applyFont="1" applyFill="1" applyAlignment="1">
      <alignment horizontal="right" vertical="center"/>
    </xf>
    <xf numFmtId="171" fontId="42" fillId="6" borderId="0" xfId="18" applyNumberFormat="1" applyFont="1" applyFill="1"/>
    <xf numFmtId="171" fontId="22" fillId="11" borderId="10" xfId="19" applyNumberFormat="1" applyFont="1" applyFill="1" applyBorder="1" applyAlignment="1">
      <alignment horizontal="right" vertical="center"/>
    </xf>
    <xf numFmtId="171" fontId="18" fillId="6" borderId="10" xfId="19" applyNumberFormat="1" applyFont="1" applyFill="1" applyBorder="1" applyAlignment="1">
      <alignment horizontal="right" vertical="center"/>
    </xf>
    <xf numFmtId="171" fontId="22" fillId="11" borderId="11" xfId="20" applyNumberFormat="1" applyFont="1" applyFill="1" applyBorder="1" applyAlignment="1">
      <alignment horizontal="right" vertical="center"/>
    </xf>
    <xf numFmtId="171" fontId="18" fillId="6" borderId="11" xfId="24" applyNumberFormat="1" applyFont="1" applyFill="1" applyBorder="1" applyAlignment="1">
      <alignment horizontal="right" vertical="center"/>
    </xf>
    <xf numFmtId="171" fontId="22" fillId="11" borderId="11" xfId="4" applyNumberFormat="1" applyFont="1" applyFill="1" applyBorder="1" applyAlignment="1">
      <alignment horizontal="right" vertical="center"/>
    </xf>
    <xf numFmtId="9" fontId="0" fillId="6" borderId="0" xfId="3" applyFont="1" applyFill="1"/>
    <xf numFmtId="171" fontId="18" fillId="11" borderId="10" xfId="19" applyNumberFormat="1" applyFont="1" applyFill="1" applyBorder="1" applyAlignment="1">
      <alignment horizontal="right" vertical="center"/>
    </xf>
    <xf numFmtId="171" fontId="42" fillId="0" borderId="0" xfId="18" applyNumberFormat="1" applyFont="1"/>
    <xf numFmtId="171" fontId="18" fillId="6" borderId="11" xfId="18" applyNumberFormat="1" applyFont="1" applyFill="1" applyBorder="1" applyAlignment="1">
      <alignment horizontal="right" vertical="center"/>
    </xf>
    <xf numFmtId="0" fontId="18" fillId="6" borderId="0" xfId="0" applyFont="1" applyFill="1"/>
    <xf numFmtId="171" fontId="17" fillId="6" borderId="0" xfId="4" applyNumberFormat="1" applyFont="1" applyFill="1" applyBorder="1" applyAlignment="1">
      <alignment horizontal="right"/>
    </xf>
    <xf numFmtId="171" fontId="25" fillId="0" borderId="0" xfId="4" applyNumberFormat="1" applyFont="1" applyFill="1" applyBorder="1" applyAlignment="1">
      <alignment horizontal="right"/>
    </xf>
    <xf numFmtId="171" fontId="25" fillId="0" borderId="0" xfId="4" applyNumberFormat="1" applyFont="1" applyAlignment="1">
      <alignment horizontal="right"/>
    </xf>
    <xf numFmtId="171" fontId="25" fillId="11" borderId="0" xfId="4" applyNumberFormat="1" applyFont="1" applyFill="1" applyAlignment="1">
      <alignment horizontal="right"/>
    </xf>
    <xf numFmtId="0" fontId="17" fillId="0" borderId="0" xfId="6" applyFont="1" applyProtection="1">
      <protection locked="0"/>
    </xf>
    <xf numFmtId="171" fontId="18" fillId="11" borderId="12" xfId="21" applyNumberFormat="1" applyFont="1" applyFill="1" applyBorder="1" applyAlignment="1">
      <alignment horizontal="right"/>
    </xf>
    <xf numFmtId="171" fontId="17" fillId="0" borderId="0" xfId="4" applyNumberFormat="1" applyFont="1" applyFill="1" applyAlignment="1">
      <alignment horizontal="right"/>
    </xf>
    <xf numFmtId="171" fontId="17" fillId="0" borderId="0" xfId="4" applyNumberFormat="1" applyFont="1" applyAlignment="1">
      <alignment horizontal="right"/>
    </xf>
    <xf numFmtId="171" fontId="5" fillId="0" borderId="0" xfId="4" applyNumberFormat="1" applyFont="1" applyFill="1" applyAlignment="1">
      <alignment horizontal="right"/>
    </xf>
    <xf numFmtId="0" fontId="5" fillId="6" borderId="0" xfId="0" applyFont="1" applyFill="1" applyAlignment="1">
      <alignment wrapText="1"/>
    </xf>
    <xf numFmtId="0" fontId="5" fillId="6" borderId="0" xfId="0" applyFont="1" applyFill="1" applyAlignment="1">
      <alignment horizontal="right" wrapText="1"/>
    </xf>
    <xf numFmtId="0" fontId="5" fillId="6" borderId="0" xfId="0" applyFont="1" applyFill="1" applyAlignment="1">
      <alignment horizontal="right"/>
    </xf>
    <xf numFmtId="0" fontId="16" fillId="6" borderId="0" xfId="0" applyFont="1" applyFill="1" applyAlignment="1">
      <alignment vertical="center"/>
    </xf>
    <xf numFmtId="169" fontId="16" fillId="6" borderId="0" xfId="4" applyNumberFormat="1" applyFont="1" applyFill="1" applyBorder="1" applyAlignment="1">
      <alignment horizontal="right" vertical="center"/>
    </xf>
    <xf numFmtId="0" fontId="16" fillId="6" borderId="0" xfId="0" applyFont="1" applyFill="1" applyAlignment="1">
      <alignment horizontal="right" vertical="center"/>
    </xf>
    <xf numFmtId="169" fontId="16" fillId="6" borderId="0" xfId="4" quotePrefix="1" applyNumberFormat="1" applyFont="1" applyFill="1" applyBorder="1" applyAlignment="1">
      <alignment horizontal="right" vertical="center"/>
    </xf>
    <xf numFmtId="0" fontId="16" fillId="3" borderId="0" xfId="0" applyFont="1" applyFill="1" applyAlignment="1">
      <alignment vertical="center"/>
    </xf>
    <xf numFmtId="169" fontId="16" fillId="3" borderId="0" xfId="4" applyNumberFormat="1" applyFont="1" applyFill="1" applyBorder="1" applyAlignment="1">
      <alignment horizontal="right" vertical="center"/>
    </xf>
    <xf numFmtId="0" fontId="16" fillId="3" borderId="0" xfId="0" applyFont="1" applyFill="1" applyAlignment="1">
      <alignment horizontal="right" vertical="center"/>
    </xf>
    <xf numFmtId="169" fontId="16" fillId="3" borderId="0" xfId="4" quotePrefix="1" applyNumberFormat="1" applyFont="1" applyFill="1" applyBorder="1" applyAlignment="1">
      <alignment horizontal="right" vertical="center"/>
    </xf>
    <xf numFmtId="3" fontId="16" fillId="6" borderId="0" xfId="4" applyNumberFormat="1" applyFont="1" applyFill="1" applyBorder="1" applyAlignment="1">
      <alignment horizontal="right" vertical="center"/>
    </xf>
    <xf numFmtId="3" fontId="16" fillId="6" borderId="0" xfId="0" applyNumberFormat="1" applyFont="1" applyFill="1" applyAlignment="1">
      <alignment horizontal="right" vertical="center"/>
    </xf>
    <xf numFmtId="3" fontId="16" fillId="6" borderId="0" xfId="4" quotePrefix="1" applyNumberFormat="1" applyFont="1" applyFill="1" applyBorder="1" applyAlignment="1">
      <alignment horizontal="right" vertical="center"/>
    </xf>
    <xf numFmtId="3" fontId="16" fillId="3" borderId="0" xfId="4" applyNumberFormat="1" applyFont="1" applyFill="1" applyBorder="1" applyAlignment="1">
      <alignment horizontal="right" vertical="center"/>
    </xf>
    <xf numFmtId="3" fontId="16" fillId="3" borderId="0" xfId="0" applyNumberFormat="1" applyFont="1" applyFill="1" applyAlignment="1">
      <alignment horizontal="right" vertical="center"/>
    </xf>
    <xf numFmtId="3" fontId="16" fillId="3" borderId="0" xfId="4" quotePrefix="1" applyNumberFormat="1" applyFont="1" applyFill="1" applyBorder="1" applyAlignment="1">
      <alignment horizontal="right" vertical="center"/>
    </xf>
    <xf numFmtId="17" fontId="16" fillId="6" borderId="0" xfId="0" applyNumberFormat="1" applyFont="1" applyFill="1" applyAlignment="1">
      <alignment horizontal="right" vertical="center"/>
    </xf>
    <xf numFmtId="17" fontId="16" fillId="6" borderId="0" xfId="0" quotePrefix="1" applyNumberFormat="1" applyFont="1" applyFill="1" applyAlignment="1">
      <alignment horizontal="right" vertical="center"/>
    </xf>
    <xf numFmtId="14" fontId="16" fillId="3" borderId="0" xfId="4" applyNumberFormat="1" applyFont="1" applyFill="1" applyBorder="1" applyAlignment="1">
      <alignment horizontal="right" vertical="center"/>
    </xf>
    <xf numFmtId="14" fontId="16" fillId="3" borderId="0" xfId="0" applyNumberFormat="1" applyFont="1" applyFill="1" applyAlignment="1">
      <alignment horizontal="right" vertical="center"/>
    </xf>
    <xf numFmtId="14" fontId="16" fillId="3" borderId="0" xfId="4" quotePrefix="1" applyNumberFormat="1" applyFont="1" applyFill="1" applyBorder="1" applyAlignment="1">
      <alignment horizontal="right" vertical="center"/>
    </xf>
    <xf numFmtId="44" fontId="16" fillId="6" borderId="0" xfId="0" applyNumberFormat="1" applyFont="1" applyFill="1" applyAlignment="1">
      <alignment horizontal="right" vertical="center"/>
    </xf>
    <xf numFmtId="44" fontId="16" fillId="6" borderId="0" xfId="25" quotePrefix="1" applyFont="1" applyFill="1" applyAlignment="1">
      <alignment horizontal="right" vertical="center"/>
    </xf>
    <xf numFmtId="44" fontId="16" fillId="3" borderId="0" xfId="25" applyFont="1" applyFill="1" applyBorder="1" applyAlignment="1">
      <alignment horizontal="right" vertical="center"/>
    </xf>
    <xf numFmtId="44" fontId="16" fillId="3" borderId="0" xfId="25" quotePrefix="1" applyFont="1" applyFill="1" applyBorder="1" applyAlignment="1">
      <alignment horizontal="right" vertical="center"/>
    </xf>
    <xf numFmtId="44" fontId="16" fillId="6" borderId="0" xfId="25" applyFont="1" applyFill="1" applyAlignment="1">
      <alignment horizontal="right" vertical="center"/>
    </xf>
    <xf numFmtId="167" fontId="42" fillId="3" borderId="0" xfId="3" applyNumberFormat="1" applyFont="1" applyFill="1" applyBorder="1" applyAlignment="1">
      <alignment horizontal="right" vertical="center"/>
    </xf>
    <xf numFmtId="167" fontId="42" fillId="3" borderId="0" xfId="3" applyNumberFormat="1" applyFont="1" applyFill="1" applyAlignment="1">
      <alignment horizontal="right" vertical="center"/>
    </xf>
    <xf numFmtId="167" fontId="42" fillId="3" borderId="0" xfId="3" quotePrefix="1" applyNumberFormat="1" applyFont="1" applyFill="1" applyBorder="1" applyAlignment="1">
      <alignment horizontal="right" vertical="center"/>
    </xf>
    <xf numFmtId="167" fontId="42" fillId="6" borderId="0" xfId="3" applyNumberFormat="1" applyFont="1" applyFill="1" applyAlignment="1">
      <alignment horizontal="right" vertical="center"/>
    </xf>
    <xf numFmtId="167" fontId="42" fillId="6" borderId="0" xfId="3" quotePrefix="1" applyNumberFormat="1" applyFont="1" applyFill="1" applyAlignment="1">
      <alignment horizontal="right" vertical="center"/>
    </xf>
    <xf numFmtId="171" fontId="17" fillId="6" borderId="0" xfId="19" applyNumberFormat="1" applyFont="1" applyFill="1" applyAlignment="1">
      <alignment horizontal="right" vertical="center"/>
    </xf>
    <xf numFmtId="171" fontId="18" fillId="6" borderId="11" xfId="4" applyNumberFormat="1" applyFont="1" applyFill="1" applyBorder="1" applyAlignment="1">
      <alignment horizontal="right" vertical="center"/>
    </xf>
    <xf numFmtId="171" fontId="17" fillId="12" borderId="0" xfId="19" applyNumberFormat="1" applyFont="1" applyFill="1" applyAlignment="1">
      <alignment horizontal="center" vertical="center"/>
    </xf>
    <xf numFmtId="3" fontId="5" fillId="0" borderId="0" xfId="0" applyNumberFormat="1" applyFont="1"/>
    <xf numFmtId="14" fontId="6" fillId="0" borderId="0" xfId="0" applyNumberFormat="1" applyFont="1" applyAlignment="1" applyProtection="1">
      <alignment horizontal="center"/>
      <protection locked="0"/>
    </xf>
    <xf numFmtId="171" fontId="18" fillId="0" borderId="0" xfId="21" applyNumberFormat="1" applyFont="1" applyFill="1" applyBorder="1" applyAlignment="1">
      <alignment horizontal="right"/>
    </xf>
    <xf numFmtId="171" fontId="17" fillId="0" borderId="0" xfId="4" applyNumberFormat="1" applyFont="1" applyFill="1" applyBorder="1" applyAlignment="1">
      <alignment horizontal="right"/>
    </xf>
    <xf numFmtId="188" fontId="17" fillId="6" borderId="0" xfId="4" applyNumberFormat="1" applyFont="1" applyFill="1" applyAlignment="1">
      <alignment horizontal="right"/>
    </xf>
    <xf numFmtId="0" fontId="42" fillId="0" borderId="0" xfId="26" applyFont="1" applyAlignment="1">
      <alignment horizontal="left" vertical="center"/>
    </xf>
    <xf numFmtId="180" fontId="16" fillId="0" borderId="0" xfId="0" applyNumberFormat="1" applyFont="1" applyAlignment="1">
      <alignment horizontal="right"/>
    </xf>
    <xf numFmtId="0" fontId="15" fillId="0" borderId="0" xfId="0" applyFont="1" applyAlignment="1">
      <alignment horizontal="center"/>
    </xf>
    <xf numFmtId="0" fontId="43" fillId="0" borderId="0" xfId="0" applyFont="1"/>
    <xf numFmtId="180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0" fontId="59" fillId="4" borderId="0" xfId="0" applyFont="1" applyFill="1" applyAlignment="1">
      <alignment vertical="center"/>
    </xf>
    <xf numFmtId="3" fontId="41" fillId="4" borderId="0" xfId="0" applyNumberFormat="1" applyFont="1" applyFill="1" applyAlignment="1">
      <alignment horizontal="right"/>
    </xf>
    <xf numFmtId="0" fontId="60" fillId="0" borderId="0" xfId="17" applyFont="1" applyFill="1" applyBorder="1"/>
    <xf numFmtId="2" fontId="16" fillId="0" borderId="0" xfId="0" applyNumberFormat="1" applyFont="1" applyAlignment="1">
      <alignment horizontal="right"/>
    </xf>
    <xf numFmtId="2" fontId="16" fillId="0" borderId="0" xfId="0" applyNumberFormat="1" applyFont="1"/>
    <xf numFmtId="4" fontId="41" fillId="4" borderId="0" xfId="0" applyNumberFormat="1" applyFont="1" applyFill="1" applyAlignment="1">
      <alignment horizontal="right"/>
    </xf>
    <xf numFmtId="167" fontId="16" fillId="0" borderId="0" xfId="3" applyNumberFormat="1" applyFont="1"/>
    <xf numFmtId="167" fontId="16" fillId="0" borderId="0" xfId="0" applyNumberFormat="1" applyFont="1"/>
    <xf numFmtId="167" fontId="41" fillId="4" borderId="0" xfId="3" applyNumberFormat="1" applyFont="1" applyFill="1" applyBorder="1" applyAlignment="1">
      <alignment horizontal="right"/>
    </xf>
    <xf numFmtId="0" fontId="19" fillId="15" borderId="0" xfId="0" applyFont="1" applyFill="1"/>
    <xf numFmtId="0" fontId="16" fillId="15" borderId="0" xfId="0" applyFont="1" applyFill="1"/>
    <xf numFmtId="0" fontId="19" fillId="16" borderId="0" xfId="0" applyFont="1" applyFill="1"/>
    <xf numFmtId="0" fontId="16" fillId="16" borderId="0" xfId="0" applyFont="1" applyFill="1"/>
    <xf numFmtId="0" fontId="19" fillId="3" borderId="0" xfId="0" applyFont="1" applyFill="1"/>
    <xf numFmtId="3" fontId="19" fillId="3" borderId="0" xfId="0" applyNumberFormat="1" applyFont="1" applyFill="1" applyAlignment="1">
      <alignment horizontal="center"/>
    </xf>
    <xf numFmtId="1" fontId="19" fillId="3" borderId="0" xfId="0" applyNumberFormat="1" applyFont="1" applyFill="1" applyAlignment="1">
      <alignment horizontal="center"/>
    </xf>
    <xf numFmtId="0" fontId="16" fillId="0" borderId="0" xfId="0" applyFont="1" applyAlignment="1">
      <alignment horizontal="left" indent="1"/>
    </xf>
    <xf numFmtId="14" fontId="16" fillId="0" borderId="0" xfId="0" applyNumberFormat="1" applyFont="1" applyAlignment="1">
      <alignment horizontal="center"/>
    </xf>
    <xf numFmtId="1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left"/>
    </xf>
    <xf numFmtId="4" fontId="16" fillId="0" borderId="0" xfId="0" applyNumberFormat="1" applyFont="1" applyAlignment="1">
      <alignment horizontal="center"/>
    </xf>
    <xf numFmtId="171" fontId="16" fillId="0" borderId="0" xfId="0" applyNumberFormat="1" applyFont="1" applyAlignment="1">
      <alignment horizontal="center"/>
    </xf>
    <xf numFmtId="0" fontId="61" fillId="0" borderId="0" xfId="0" applyFont="1"/>
    <xf numFmtId="0" fontId="61" fillId="0" borderId="0" xfId="0" applyFont="1" applyAlignment="1">
      <alignment horizontal="left" indent="1"/>
    </xf>
    <xf numFmtId="0" fontId="16" fillId="0" borderId="0" xfId="0" quotePrefix="1" applyFont="1"/>
    <xf numFmtId="1" fontId="16" fillId="3" borderId="0" xfId="0" applyNumberFormat="1" applyFont="1" applyFill="1" applyAlignment="1">
      <alignment horizontal="center"/>
    </xf>
    <xf numFmtId="0" fontId="62" fillId="4" borderId="0" xfId="0" applyFont="1" applyFill="1" applyAlignment="1">
      <alignment horizontal="left" indent="1"/>
    </xf>
    <xf numFmtId="1" fontId="16" fillId="4" borderId="0" xfId="0" applyNumberFormat="1" applyFont="1" applyFill="1" applyAlignment="1">
      <alignment horizontal="center"/>
    </xf>
    <xf numFmtId="1" fontId="16" fillId="16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1" xfId="0" applyFont="1" applyBorder="1" applyAlignment="1">
      <alignment horizontal="left" indent="1"/>
    </xf>
    <xf numFmtId="1" fontId="16" fillId="0" borderId="1" xfId="0" applyNumberFormat="1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0" fillId="16" borderId="0" xfId="0" applyNumberFormat="1" applyFill="1" applyAlignment="1">
      <alignment horizontal="center"/>
    </xf>
    <xf numFmtId="0" fontId="19" fillId="0" borderId="0" xfId="0" applyFont="1" applyAlignment="1">
      <alignment horizontal="left" indent="1"/>
    </xf>
    <xf numFmtId="9" fontId="16" fillId="0" borderId="1" xfId="3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15" fillId="7" borderId="0" xfId="0" applyFont="1" applyFill="1"/>
    <xf numFmtId="0" fontId="0" fillId="7" borderId="0" xfId="0" applyFill="1"/>
    <xf numFmtId="17" fontId="12" fillId="0" borderId="0" xfId="19" applyNumberFormat="1" applyFont="1" applyFill="1" applyBorder="1" applyAlignment="1">
      <alignment horizontal="center" vertical="center" wrapText="1"/>
    </xf>
    <xf numFmtId="17" fontId="20" fillId="0" borderId="0" xfId="19" applyNumberFormat="1" applyFont="1" applyFill="1" applyBorder="1" applyAlignment="1">
      <alignment horizontal="center" vertical="center" wrapText="1"/>
    </xf>
    <xf numFmtId="171" fontId="18" fillId="0" borderId="0" xfId="19" applyNumberFormat="1" applyFont="1" applyFill="1" applyBorder="1" applyAlignment="1">
      <alignment horizontal="right" vertical="center"/>
    </xf>
    <xf numFmtId="171" fontId="22" fillId="0" borderId="0" xfId="19" applyNumberFormat="1" applyFont="1" applyFill="1" applyBorder="1" applyAlignment="1">
      <alignment horizontal="right" vertical="center"/>
    </xf>
    <xf numFmtId="0" fontId="63" fillId="0" borderId="0" xfId="0" applyFont="1" applyAlignment="1">
      <alignment horizontal="left" vertical="center"/>
    </xf>
    <xf numFmtId="0" fontId="18" fillId="0" borderId="0" xfId="26" applyFont="1" applyAlignment="1">
      <alignment horizontal="left" vertical="center"/>
    </xf>
    <xf numFmtId="171" fontId="18" fillId="0" borderId="0" xfId="19" applyNumberFormat="1" applyFont="1" applyAlignment="1">
      <alignment horizontal="right" vertical="center"/>
    </xf>
    <xf numFmtId="0" fontId="63" fillId="0" borderId="0" xfId="0" applyFont="1" applyAlignment="1">
      <alignment horizontal="left" vertical="center" indent="1"/>
    </xf>
    <xf numFmtId="3" fontId="64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horizontal="right" vertical="center" wrapText="1"/>
    </xf>
    <xf numFmtId="171" fontId="12" fillId="0" borderId="0" xfId="4" applyNumberFormat="1" applyFont="1" applyFill="1" applyBorder="1" applyAlignment="1">
      <alignment horizontal="right" vertical="center"/>
    </xf>
    <xf numFmtId="171" fontId="20" fillId="0" borderId="0" xfId="4" applyNumberFormat="1" applyFont="1" applyFill="1" applyBorder="1" applyAlignment="1">
      <alignment horizontal="right" vertical="center"/>
    </xf>
    <xf numFmtId="171" fontId="20" fillId="0" borderId="0" xfId="10" applyNumberFormat="1" applyFont="1" applyFill="1" applyBorder="1" applyAlignment="1">
      <alignment horizontal="right" vertical="center"/>
    </xf>
    <xf numFmtId="171" fontId="17" fillId="0" borderId="0" xfId="4" applyNumberFormat="1" applyFont="1" applyFill="1" applyAlignment="1">
      <alignment horizontal="right" vertical="center"/>
    </xf>
    <xf numFmtId="171" fontId="17" fillId="0" borderId="0" xfId="4" applyNumberFormat="1" applyFont="1" applyAlignment="1">
      <alignment horizontal="right" vertical="center"/>
    </xf>
    <xf numFmtId="171" fontId="17" fillId="0" borderId="0" xfId="4" applyNumberFormat="1" applyFont="1" applyFill="1" applyBorder="1" applyAlignment="1">
      <alignment horizontal="right" vertical="center"/>
    </xf>
    <xf numFmtId="171" fontId="25" fillId="0" borderId="0" xfId="4" applyNumberFormat="1" applyFont="1" applyFill="1" applyBorder="1" applyAlignment="1">
      <alignment horizontal="right" vertical="center"/>
    </xf>
    <xf numFmtId="171" fontId="25" fillId="0" borderId="0" xfId="10" applyNumberFormat="1" applyFont="1" applyFill="1" applyBorder="1" applyAlignment="1">
      <alignment horizontal="right" vertical="center"/>
    </xf>
    <xf numFmtId="0" fontId="48" fillId="0" borderId="0" xfId="0" applyFont="1"/>
    <xf numFmtId="0" fontId="18" fillId="0" borderId="0" xfId="18" applyFont="1"/>
    <xf numFmtId="171" fontId="18" fillId="0" borderId="0" xfId="4" applyNumberFormat="1" applyFont="1" applyFill="1" applyAlignment="1">
      <alignment horizontal="right" vertical="center"/>
    </xf>
    <xf numFmtId="171" fontId="18" fillId="0" borderId="0" xfId="4" applyNumberFormat="1" applyFont="1" applyAlignment="1">
      <alignment horizontal="right" vertical="center"/>
    </xf>
    <xf numFmtId="171" fontId="18" fillId="0" borderId="0" xfId="4" applyNumberFormat="1" applyFont="1" applyFill="1" applyBorder="1" applyAlignment="1">
      <alignment horizontal="right" vertical="center"/>
    </xf>
    <xf numFmtId="171" fontId="22" fillId="0" borderId="0" xfId="4" applyNumberFormat="1" applyFont="1" applyFill="1" applyBorder="1" applyAlignment="1">
      <alignment horizontal="right" vertical="center"/>
    </xf>
    <xf numFmtId="171" fontId="22" fillId="0" borderId="0" xfId="10" applyNumberFormat="1" applyFont="1" applyFill="1" applyBorder="1" applyAlignment="1">
      <alignment horizontal="right" vertical="center"/>
    </xf>
    <xf numFmtId="0" fontId="63" fillId="0" borderId="0" xfId="0" applyFont="1" applyAlignment="1">
      <alignment horizontal="left" vertical="center" wrapText="1"/>
    </xf>
    <xf numFmtId="171" fontId="17" fillId="0" borderId="0" xfId="19" applyNumberFormat="1" applyFont="1" applyFill="1" applyBorder="1" applyAlignment="1">
      <alignment horizontal="right" vertical="center"/>
    </xf>
    <xf numFmtId="171" fontId="17" fillId="0" borderId="0" xfId="19" applyNumberFormat="1" applyFont="1" applyAlignment="1">
      <alignment horizontal="right" vertical="center"/>
    </xf>
    <xf numFmtId="0" fontId="17" fillId="6" borderId="0" xfId="18" applyFont="1" applyFill="1" applyAlignment="1">
      <alignment horizontal="left"/>
    </xf>
    <xf numFmtId="0" fontId="43" fillId="7" borderId="0" xfId="0" applyFont="1" applyFill="1"/>
    <xf numFmtId="0" fontId="65" fillId="0" borderId="0" xfId="0" applyFont="1" applyAlignment="1">
      <alignment vertical="center"/>
    </xf>
    <xf numFmtId="0" fontId="65" fillId="0" borderId="0" xfId="0" applyFont="1"/>
    <xf numFmtId="3" fontId="9" fillId="0" borderId="0" xfId="0" applyNumberFormat="1" applyFont="1"/>
    <xf numFmtId="0" fontId="63" fillId="0" borderId="0" xfId="0" applyFont="1"/>
    <xf numFmtId="171" fontId="66" fillId="0" borderId="0" xfId="0" applyNumberFormat="1" applyFont="1" applyAlignment="1">
      <alignment horizontal="left"/>
    </xf>
    <xf numFmtId="3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167" fontId="5" fillId="0" borderId="0" xfId="3" applyNumberFormat="1" applyFont="1" applyAlignment="1">
      <alignment horizontal="center"/>
    </xf>
    <xf numFmtId="180" fontId="5" fillId="0" borderId="0" xfId="0" applyNumberFormat="1" applyFont="1" applyAlignment="1">
      <alignment horizontal="center"/>
    </xf>
    <xf numFmtId="0" fontId="18" fillId="0" borderId="9" xfId="18" applyFont="1" applyBorder="1"/>
    <xf numFmtId="171" fontId="18" fillId="0" borderId="10" xfId="18" applyNumberFormat="1" applyFont="1" applyBorder="1"/>
    <xf numFmtId="0" fontId="18" fillId="6" borderId="3" xfId="18" applyFont="1" applyFill="1" applyBorder="1"/>
    <xf numFmtId="171" fontId="18" fillId="0" borderId="9" xfId="18" applyNumberFormat="1" applyFont="1" applyBorder="1"/>
    <xf numFmtId="0" fontId="17" fillId="0" borderId="10" xfId="18" applyFont="1" applyBorder="1"/>
    <xf numFmtId="171" fontId="17" fillId="6" borderId="0" xfId="27" applyNumberFormat="1" applyFont="1" applyFill="1" applyAlignment="1">
      <alignment horizontal="right" vertical="center"/>
    </xf>
    <xf numFmtId="171" fontId="18" fillId="6" borderId="11" xfId="20" applyNumberFormat="1" applyFont="1" applyFill="1" applyBorder="1" applyAlignment="1">
      <alignment horizontal="right" vertical="center"/>
    </xf>
    <xf numFmtId="0" fontId="15" fillId="2" borderId="0" xfId="0" applyFont="1" applyFill="1" applyAlignment="1">
      <alignment horizontal="left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vertical="center"/>
    </xf>
    <xf numFmtId="0" fontId="15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68" fillId="0" borderId="0" xfId="0" applyFont="1"/>
    <xf numFmtId="0" fontId="69" fillId="0" borderId="0" xfId="0" applyFont="1"/>
    <xf numFmtId="0" fontId="69" fillId="17" borderId="0" xfId="0" applyFont="1" applyFill="1" applyAlignment="1">
      <alignment horizontal="left" indent="1"/>
    </xf>
    <xf numFmtId="0" fontId="69" fillId="6" borderId="0" xfId="0" applyFont="1" applyFill="1" applyAlignment="1">
      <alignment horizontal="left" indent="1"/>
    </xf>
    <xf numFmtId="171" fontId="70" fillId="0" borderId="1" xfId="28" applyNumberFormat="1" applyFont="1" applyBorder="1" applyAlignment="1">
      <alignment horizontal="right"/>
    </xf>
    <xf numFmtId="171" fontId="70" fillId="0" borderId="0" xfId="28" applyNumberFormat="1" applyFont="1" applyAlignment="1">
      <alignment horizontal="right"/>
    </xf>
    <xf numFmtId="171" fontId="69" fillId="0" borderId="0" xfId="0" applyNumberFormat="1" applyFont="1"/>
    <xf numFmtId="171" fontId="69" fillId="17" borderId="0" xfId="4" applyNumberFormat="1" applyFont="1" applyFill="1"/>
    <xf numFmtId="171" fontId="68" fillId="0" borderId="0" xfId="0" applyNumberFormat="1" applyFont="1"/>
    <xf numFmtId="171" fontId="69" fillId="0" borderId="0" xfId="4" applyNumberFormat="1" applyFont="1" applyFill="1"/>
    <xf numFmtId="171" fontId="70" fillId="0" borderId="14" xfId="28" applyNumberFormat="1" applyFont="1" applyBorder="1" applyAlignment="1">
      <alignment horizontal="right"/>
    </xf>
    <xf numFmtId="0" fontId="37" fillId="2" borderId="0" xfId="0" applyFont="1" applyFill="1" applyAlignment="1">
      <alignment horizontal="center"/>
    </xf>
    <xf numFmtId="0" fontId="37" fillId="2" borderId="0" xfId="0" applyFont="1" applyFill="1" applyAlignment="1">
      <alignment horizontal="left" indent="1"/>
    </xf>
    <xf numFmtId="0" fontId="68" fillId="0" borderId="1" xfId="0" applyFont="1" applyBorder="1"/>
    <xf numFmtId="0" fontId="68" fillId="0" borderId="14" xfId="0" applyFont="1" applyBorder="1"/>
    <xf numFmtId="0" fontId="71" fillId="0" borderId="0" xfId="0" applyFont="1"/>
    <xf numFmtId="0" fontId="72" fillId="0" borderId="0" xfId="0" applyFont="1"/>
    <xf numFmtId="167" fontId="72" fillId="0" borderId="0" xfId="16" applyNumberFormat="1" applyFont="1"/>
    <xf numFmtId="0" fontId="6" fillId="2" borderId="0" xfId="0" applyFont="1" applyFill="1" applyAlignment="1">
      <alignment horizontal="left"/>
    </xf>
    <xf numFmtId="14" fontId="6" fillId="2" borderId="0" xfId="0" applyNumberFormat="1" applyFont="1" applyFill="1" applyAlignment="1" applyProtection="1">
      <alignment horizontal="center"/>
      <protection locked="0"/>
    </xf>
    <xf numFmtId="0" fontId="37" fillId="18" borderId="0" xfId="0" applyFont="1" applyFill="1" applyAlignment="1">
      <alignment horizontal="center"/>
    </xf>
    <xf numFmtId="0" fontId="0" fillId="0" borderId="0" xfId="0" applyAlignment="1">
      <alignment horizontal="centerContinuous"/>
    </xf>
    <xf numFmtId="0" fontId="49" fillId="2" borderId="0" xfId="23" applyFont="1" applyFill="1" applyAlignment="1">
      <alignment vertical="center"/>
    </xf>
    <xf numFmtId="0" fontId="50" fillId="10" borderId="0" xfId="23" applyFont="1" applyFill="1" applyAlignment="1">
      <alignment horizontal="center" vertical="center"/>
    </xf>
    <xf numFmtId="0" fontId="13" fillId="2" borderId="0" xfId="0" applyFont="1" applyFill="1"/>
    <xf numFmtId="0" fontId="13" fillId="2" borderId="0" xfId="4" applyNumberFormat="1" applyFont="1" applyFill="1" applyAlignment="1">
      <alignment horizontal="center"/>
    </xf>
    <xf numFmtId="0" fontId="15" fillId="2" borderId="0" xfId="0" applyFont="1" applyFill="1"/>
    <xf numFmtId="169" fontId="15" fillId="2" borderId="0" xfId="0" applyNumberFormat="1" applyFont="1" applyFill="1"/>
    <xf numFmtId="171" fontId="15" fillId="2" borderId="0" xfId="0" applyNumberFormat="1" applyFont="1" applyFill="1"/>
    <xf numFmtId="0" fontId="55" fillId="10" borderId="0" xfId="6" applyFont="1" applyFill="1"/>
    <xf numFmtId="0" fontId="55" fillId="10" borderId="0" xfId="6" applyFont="1" applyFill="1" applyAlignment="1">
      <alignment horizontal="center" vertical="center"/>
    </xf>
    <xf numFmtId="0" fontId="66" fillId="0" borderId="0" xfId="0" applyFont="1" applyAlignment="1">
      <alignment horizontal="center"/>
    </xf>
    <xf numFmtId="0" fontId="13" fillId="2" borderId="0" xfId="18" applyFont="1" applyFill="1" applyAlignment="1">
      <alignment vertical="center"/>
    </xf>
    <xf numFmtId="17" fontId="13" fillId="2" borderId="0" xfId="19" applyNumberFormat="1" applyFont="1" applyFill="1" applyAlignment="1">
      <alignment horizontal="center" vertical="center" wrapText="1"/>
    </xf>
    <xf numFmtId="17" fontId="13" fillId="2" borderId="0" xfId="19" applyNumberFormat="1" applyFont="1" applyFill="1" applyBorder="1" applyAlignment="1">
      <alignment horizontal="center" vertical="center" wrapText="1"/>
    </xf>
    <xf numFmtId="0" fontId="12" fillId="2" borderId="0" xfId="18" applyFont="1" applyFill="1" applyAlignment="1">
      <alignment vertical="center"/>
    </xf>
    <xf numFmtId="17" fontId="12" fillId="2" borderId="0" xfId="19" applyNumberFormat="1" applyFont="1" applyFill="1" applyBorder="1" applyAlignment="1">
      <alignment horizontal="center" vertical="center" wrapText="1"/>
    </xf>
    <xf numFmtId="17" fontId="20" fillId="10" borderId="0" xfId="19" applyNumberFormat="1" applyFont="1" applyFill="1" applyBorder="1" applyAlignment="1">
      <alignment horizontal="center" vertical="center" wrapText="1"/>
    </xf>
    <xf numFmtId="171" fontId="6" fillId="2" borderId="0" xfId="4" applyNumberFormat="1" applyFont="1" applyFill="1" applyBorder="1" applyAlignment="1">
      <alignment horizontal="right" vertical="center"/>
    </xf>
    <xf numFmtId="171" fontId="20" fillId="10" borderId="0" xfId="4" applyNumberFormat="1" applyFont="1" applyFill="1" applyBorder="1" applyAlignment="1">
      <alignment horizontal="right" vertical="center"/>
    </xf>
    <xf numFmtId="17" fontId="12" fillId="2" borderId="0" xfId="19" applyNumberFormat="1" applyFont="1" applyFill="1" applyAlignment="1">
      <alignment horizontal="center" vertical="center" wrapText="1"/>
    </xf>
    <xf numFmtId="171" fontId="12" fillId="2" borderId="0" xfId="4" applyNumberFormat="1" applyFont="1" applyFill="1" applyAlignment="1">
      <alignment horizontal="right" vertical="center"/>
    </xf>
    <xf numFmtId="0" fontId="12" fillId="2" borderId="0" xfId="18" applyFont="1" applyFill="1"/>
    <xf numFmtId="0" fontId="17" fillId="0" borderId="0" xfId="18" applyFont="1" applyAlignment="1">
      <alignment horizontal="center"/>
    </xf>
    <xf numFmtId="0" fontId="12" fillId="2" borderId="0" xfId="18" applyFont="1" applyFill="1" applyAlignment="1">
      <alignment horizontal="left" vertical="center"/>
    </xf>
    <xf numFmtId="0" fontId="12" fillId="2" borderId="0" xfId="18" applyFont="1" applyFill="1" applyAlignment="1">
      <alignment horizontal="left"/>
    </xf>
    <xf numFmtId="171" fontId="12" fillId="2" borderId="0" xfId="18" applyNumberFormat="1" applyFont="1" applyFill="1" applyAlignment="1">
      <alignment horizontal="left"/>
    </xf>
    <xf numFmtId="17" fontId="57" fillId="10" borderId="0" xfId="19" applyNumberFormat="1" applyFont="1" applyFill="1" applyAlignment="1">
      <alignment horizontal="center" vertical="center" wrapText="1"/>
    </xf>
    <xf numFmtId="3" fontId="12" fillId="2" borderId="0" xfId="4" applyNumberFormat="1" applyFont="1" applyFill="1" applyAlignment="1">
      <alignment horizontal="right" vertical="center"/>
    </xf>
    <xf numFmtId="171" fontId="6" fillId="2" borderId="0" xfId="24" applyNumberFormat="1" applyFont="1" applyFill="1" applyBorder="1" applyAlignment="1">
      <alignment horizontal="right" vertical="center"/>
    </xf>
    <xf numFmtId="171" fontId="6" fillId="2" borderId="0" xfId="24" applyNumberFormat="1" applyFont="1" applyFill="1" applyAlignment="1">
      <alignment horizontal="right" vertical="center"/>
    </xf>
    <xf numFmtId="171" fontId="20" fillId="10" borderId="0" xfId="4" applyNumberFormat="1" applyFont="1" applyFill="1" applyAlignment="1">
      <alignment horizontal="right" vertical="center"/>
    </xf>
    <xf numFmtId="3" fontId="6" fillId="2" borderId="0" xfId="4" applyNumberFormat="1" applyFont="1" applyFill="1" applyBorder="1" applyAlignment="1">
      <alignment horizontal="right" vertical="center"/>
    </xf>
    <xf numFmtId="3" fontId="6" fillId="2" borderId="0" xfId="4" applyNumberFormat="1" applyFont="1" applyFill="1" applyAlignment="1">
      <alignment horizontal="right" vertical="center"/>
    </xf>
    <xf numFmtId="0" fontId="12" fillId="2" borderId="0" xfId="4" applyNumberFormat="1" applyFont="1" applyFill="1" applyBorder="1" applyAlignment="1">
      <alignment horizontal="center" vertical="center"/>
    </xf>
    <xf numFmtId="14" fontId="20" fillId="10" borderId="0" xfId="0" applyNumberFormat="1" applyFont="1" applyFill="1" applyAlignment="1" applyProtection="1">
      <alignment horizontal="center"/>
      <protection locked="0"/>
    </xf>
    <xf numFmtId="0" fontId="20" fillId="10" borderId="0" xfId="11" applyFont="1" applyFill="1" applyAlignment="1">
      <alignment horizontal="left" vertical="center"/>
    </xf>
    <xf numFmtId="0" fontId="20" fillId="10" borderId="0" xfId="11" applyFont="1" applyFill="1" applyAlignment="1">
      <alignment horizontal="center" vertical="center"/>
    </xf>
    <xf numFmtId="171" fontId="28" fillId="2" borderId="0" xfId="10" applyNumberFormat="1" applyFont="1" applyFill="1" applyBorder="1"/>
    <xf numFmtId="0" fontId="27" fillId="10" borderId="0" xfId="11" applyFont="1" applyFill="1" applyAlignment="1">
      <alignment horizontal="center" vertical="center"/>
    </xf>
    <xf numFmtId="1" fontId="20" fillId="10" borderId="2" xfId="8" applyNumberFormat="1" applyFont="1" applyFill="1" applyBorder="1" applyAlignment="1">
      <alignment horizontal="center" vertical="center" wrapText="1"/>
    </xf>
    <xf numFmtId="1" fontId="20" fillId="10" borderId="2" xfId="8" quotePrefix="1" applyNumberFormat="1" applyFont="1" applyFill="1" applyBorder="1" applyAlignment="1">
      <alignment horizontal="center" vertical="center" wrapText="1"/>
    </xf>
    <xf numFmtId="1" fontId="12" fillId="2" borderId="0" xfId="7" applyNumberFormat="1" applyFont="1" applyFill="1" applyAlignment="1">
      <alignment horizontal="center" vertical="center" wrapText="1"/>
    </xf>
    <xf numFmtId="1" fontId="12" fillId="2" borderId="5" xfId="7" applyNumberFormat="1" applyFont="1" applyFill="1" applyBorder="1" applyAlignment="1">
      <alignment horizontal="center" vertical="center" wrapText="1"/>
    </xf>
    <xf numFmtId="1" fontId="12" fillId="2" borderId="0" xfId="7" applyNumberFormat="1" applyFont="1" applyFill="1"/>
    <xf numFmtId="171" fontId="12" fillId="2" borderId="0" xfId="10" applyNumberFormat="1" applyFont="1" applyFill="1" applyBorder="1" applyAlignment="1">
      <alignment vertical="center"/>
    </xf>
    <xf numFmtId="1" fontId="12" fillId="2" borderId="0" xfId="7" applyNumberFormat="1" applyFont="1" applyFill="1" applyAlignment="1">
      <alignment vertical="center"/>
    </xf>
    <xf numFmtId="0" fontId="37" fillId="2" borderId="0" xfId="8" applyFont="1" applyFill="1"/>
    <xf numFmtId="17" fontId="49" fillId="10" borderId="0" xfId="19" applyNumberFormat="1" applyFont="1" applyFill="1" applyBorder="1" applyAlignment="1">
      <alignment horizontal="center" vertical="center" wrapText="1"/>
    </xf>
    <xf numFmtId="17" fontId="49" fillId="10" borderId="0" xfId="19" applyNumberFormat="1" applyFont="1" applyFill="1" applyAlignment="1">
      <alignment horizontal="center" vertical="center" wrapText="1"/>
    </xf>
    <xf numFmtId="0" fontId="37" fillId="2" borderId="0" xfId="8" applyFont="1" applyFill="1" applyAlignment="1">
      <alignment horizontal="center"/>
    </xf>
    <xf numFmtId="0" fontId="43" fillId="6" borderId="0" xfId="0" applyFont="1" applyFill="1" applyAlignment="1">
      <alignment vertical="center"/>
    </xf>
    <xf numFmtId="0" fontId="16" fillId="6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 wrapText="1" indent="1"/>
    </xf>
    <xf numFmtId="0" fontId="6" fillId="7" borderId="0" xfId="0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16" fillId="6" borderId="0" xfId="0" applyFont="1" applyFill="1" applyAlignment="1">
      <alignment horizontal="center"/>
    </xf>
    <xf numFmtId="0" fontId="6" fillId="7" borderId="0" xfId="0" applyFont="1" applyFill="1"/>
    <xf numFmtId="0" fontId="17" fillId="6" borderId="0" xfId="0" applyFont="1" applyFill="1" applyAlignment="1">
      <alignment horizontal="left" vertical="center" wrapText="1" indent="1"/>
    </xf>
    <xf numFmtId="3" fontId="5" fillId="6" borderId="0" xfId="0" applyNumberFormat="1" applyFont="1" applyFill="1" applyAlignment="1">
      <alignment horizontal="right"/>
    </xf>
    <xf numFmtId="189" fontId="5" fillId="6" borderId="0" xfId="0" quotePrefix="1" applyNumberFormat="1" applyFont="1" applyFill="1" applyAlignment="1">
      <alignment horizontal="right"/>
    </xf>
    <xf numFmtId="189" fontId="5" fillId="6" borderId="0" xfId="0" applyNumberFormat="1" applyFont="1" applyFill="1" applyAlignment="1">
      <alignment horizontal="right"/>
    </xf>
    <xf numFmtId="3" fontId="17" fillId="6" borderId="0" xfId="0" applyNumberFormat="1" applyFont="1" applyFill="1" applyAlignment="1">
      <alignment horizontal="right"/>
    </xf>
    <xf numFmtId="0" fontId="5" fillId="6" borderId="0" xfId="0" quotePrefix="1" applyFont="1" applyFill="1" applyAlignment="1">
      <alignment horizontal="right"/>
    </xf>
    <xf numFmtId="0" fontId="12" fillId="2" borderId="0" xfId="0" applyFont="1" applyFill="1"/>
    <xf numFmtId="0" fontId="12" fillId="2" borderId="0" xfId="0" applyFont="1" applyFill="1" applyAlignment="1">
      <alignment horizontal="center"/>
    </xf>
    <xf numFmtId="0" fontId="16" fillId="3" borderId="15" xfId="0" applyFont="1" applyFill="1" applyBorder="1" applyAlignment="1">
      <alignment vertical="center"/>
    </xf>
    <xf numFmtId="168" fontId="16" fillId="3" borderId="15" xfId="3" applyNumberFormat="1" applyFont="1" applyFill="1" applyBorder="1" applyAlignment="1">
      <alignment horizontal="right" vertical="center"/>
    </xf>
    <xf numFmtId="0" fontId="16" fillId="0" borderId="0" xfId="0" applyFont="1" applyAlignment="1">
      <alignment horizontal="left"/>
    </xf>
    <xf numFmtId="167" fontId="16" fillId="6" borderId="0" xfId="16" applyNumberFormat="1" applyFont="1" applyFill="1"/>
    <xf numFmtId="169" fontId="15" fillId="0" borderId="0" xfId="0" applyNumberFormat="1" applyFont="1"/>
    <xf numFmtId="0" fontId="2" fillId="6" borderId="0" xfId="0" applyFont="1" applyFill="1"/>
    <xf numFmtId="0" fontId="0" fillId="0" borderId="0" xfId="0" applyAlignment="1">
      <alignment horizontal="center" vertical="center"/>
    </xf>
    <xf numFmtId="0" fontId="42" fillId="0" borderId="1" xfId="0" applyFont="1" applyBorder="1" applyAlignment="1">
      <alignment horizontal="center"/>
    </xf>
    <xf numFmtId="0" fontId="42" fillId="0" borderId="1" xfId="0" applyFont="1" applyBorder="1"/>
    <xf numFmtId="14" fontId="42" fillId="0" borderId="1" xfId="0" applyNumberFormat="1" applyFont="1" applyBorder="1" applyAlignment="1">
      <alignment horizontal="center"/>
    </xf>
    <xf numFmtId="168" fontId="15" fillId="2" borderId="0" xfId="0" applyNumberFormat="1" applyFont="1" applyFill="1" applyAlignment="1">
      <alignment horizontal="center"/>
    </xf>
    <xf numFmtId="190" fontId="16" fillId="0" borderId="0" xfId="0" applyNumberFormat="1" applyFont="1"/>
    <xf numFmtId="190" fontId="19" fillId="0" borderId="0" xfId="0" applyNumberFormat="1" applyFont="1"/>
    <xf numFmtId="180" fontId="19" fillId="0" borderId="0" xfId="0" applyNumberFormat="1" applyFont="1"/>
    <xf numFmtId="190" fontId="41" fillId="3" borderId="0" xfId="18" applyNumberFormat="1" applyFont="1" applyFill="1"/>
    <xf numFmtId="180" fontId="16" fillId="0" borderId="0" xfId="0" applyNumberFormat="1" applyFont="1"/>
    <xf numFmtId="190" fontId="16" fillId="0" borderId="0" xfId="0" applyNumberFormat="1" applyFont="1" applyAlignment="1">
      <alignment horizontal="center"/>
    </xf>
    <xf numFmtId="192" fontId="25" fillId="11" borderId="0" xfId="4" applyNumberFormat="1" applyFont="1" applyFill="1" applyBorder="1" applyAlignment="1">
      <alignment horizontal="right"/>
    </xf>
    <xf numFmtId="43" fontId="5" fillId="0" borderId="0" xfId="29" applyFont="1"/>
    <xf numFmtId="169" fontId="9" fillId="0" borderId="0" xfId="29" applyNumberFormat="1" applyFont="1"/>
    <xf numFmtId="0" fontId="72" fillId="0" borderId="0" xfId="0" applyFont="1" applyAlignment="1">
      <alignment horizontal="left" indent="1"/>
    </xf>
    <xf numFmtId="165" fontId="72" fillId="0" borderId="0" xfId="1" applyNumberFormat="1" applyFont="1"/>
    <xf numFmtId="0" fontId="72" fillId="0" borderId="0" xfId="0" applyFont="1" applyAlignment="1">
      <alignment horizontal="left" indent="3"/>
    </xf>
    <xf numFmtId="0" fontId="74" fillId="6" borderId="0" xfId="0" applyFont="1" applyFill="1"/>
    <xf numFmtId="0" fontId="16" fillId="6" borderId="0" xfId="0" applyFont="1" applyFill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17" fontId="42" fillId="6" borderId="0" xfId="0" applyNumberFormat="1" applyFont="1" applyFill="1" applyAlignment="1">
      <alignment horizontal="center" vertical="center"/>
    </xf>
    <xf numFmtId="0" fontId="42" fillId="3" borderId="8" xfId="0" applyFont="1" applyFill="1" applyBorder="1" applyAlignment="1">
      <alignment horizontal="center" vertical="center"/>
    </xf>
    <xf numFmtId="3" fontId="16" fillId="6" borderId="0" xfId="4" applyNumberFormat="1" applyFont="1" applyFill="1" applyBorder="1" applyAlignment="1">
      <alignment horizontal="center" vertical="center"/>
    </xf>
    <xf numFmtId="3" fontId="16" fillId="3" borderId="0" xfId="4" applyNumberFormat="1" applyFont="1" applyFill="1" applyBorder="1" applyAlignment="1">
      <alignment horizontal="center" vertical="center"/>
    </xf>
    <xf numFmtId="10" fontId="16" fillId="6" borderId="0" xfId="4" applyNumberFormat="1" applyFont="1" applyFill="1" applyBorder="1" applyAlignment="1">
      <alignment horizontal="center" vertical="center"/>
    </xf>
    <xf numFmtId="10" fontId="16" fillId="3" borderId="0" xfId="4" applyNumberFormat="1" applyFont="1" applyFill="1" applyBorder="1" applyAlignment="1">
      <alignment horizontal="center" vertical="center"/>
    </xf>
    <xf numFmtId="12" fontId="16" fillId="6" borderId="0" xfId="4" applyNumberFormat="1" applyFont="1" applyFill="1" applyBorder="1" applyAlignment="1">
      <alignment horizontal="center" vertical="center"/>
    </xf>
    <xf numFmtId="12" fontId="16" fillId="3" borderId="0" xfId="4" applyNumberFormat="1" applyFont="1" applyFill="1" applyBorder="1" applyAlignment="1">
      <alignment horizontal="center" vertical="center"/>
    </xf>
    <xf numFmtId="167" fontId="16" fillId="0" borderId="0" xfId="16" applyNumberFormat="1" applyFont="1"/>
    <xf numFmtId="167" fontId="0" fillId="6" borderId="0" xfId="16" applyNumberFormat="1" applyFont="1" applyFill="1"/>
    <xf numFmtId="165" fontId="9" fillId="3" borderId="0" xfId="1" applyNumberFormat="1" applyFont="1" applyFill="1" applyAlignment="1">
      <alignment horizontal="center"/>
    </xf>
    <xf numFmtId="3" fontId="12" fillId="2" borderId="0" xfId="7" applyNumberFormat="1" applyFont="1" applyFill="1" applyAlignment="1">
      <alignment vertical="center"/>
    </xf>
    <xf numFmtId="171" fontId="17" fillId="0" borderId="0" xfId="10" applyNumberFormat="1" applyFont="1" applyFill="1" applyBorder="1" applyAlignment="1">
      <alignment vertical="center"/>
    </xf>
    <xf numFmtId="0" fontId="76" fillId="6" borderId="0" xfId="0" applyFont="1" applyFill="1"/>
    <xf numFmtId="171" fontId="41" fillId="20" borderId="0" xfId="29" applyNumberFormat="1" applyFont="1" applyFill="1" applyBorder="1"/>
    <xf numFmtId="43" fontId="16" fillId="0" borderId="1" xfId="29" applyFont="1" applyBorder="1" applyAlignment="1">
      <alignment horizontal="center"/>
    </xf>
    <xf numFmtId="171" fontId="41" fillId="20" borderId="1" xfId="29" applyNumberFormat="1" applyFont="1" applyFill="1" applyBorder="1"/>
    <xf numFmtId="0" fontId="42" fillId="0" borderId="1" xfId="0" applyFont="1" applyBorder="1" applyAlignment="1">
      <alignment horizontal="left"/>
    </xf>
    <xf numFmtId="0" fontId="76" fillId="6" borderId="0" xfId="0" applyFont="1" applyFill="1" applyAlignment="1">
      <alignment vertical="center"/>
    </xf>
    <xf numFmtId="171" fontId="78" fillId="0" borderId="0" xfId="10" applyNumberFormat="1" applyFont="1" applyFill="1" applyBorder="1"/>
    <xf numFmtId="171" fontId="78" fillId="0" borderId="3" xfId="10" applyNumberFormat="1" applyFont="1" applyFill="1" applyBorder="1"/>
    <xf numFmtId="169" fontId="78" fillId="0" borderId="3" xfId="6" applyNumberFormat="1" applyFont="1" applyBorder="1"/>
    <xf numFmtId="171" fontId="17" fillId="0" borderId="0" xfId="6" applyNumberFormat="1" applyFont="1" applyAlignment="1">
      <alignment vertical="center"/>
    </xf>
    <xf numFmtId="171" fontId="75" fillId="0" borderId="0" xfId="6" applyNumberFormat="1" applyFont="1" applyAlignment="1">
      <alignment vertical="center"/>
    </xf>
    <xf numFmtId="171" fontId="31" fillId="0" borderId="0" xfId="6" applyNumberFormat="1" applyFont="1"/>
    <xf numFmtId="193" fontId="17" fillId="0" borderId="0" xfId="6" applyNumberFormat="1" applyFont="1" applyAlignment="1">
      <alignment vertical="center"/>
    </xf>
    <xf numFmtId="169" fontId="28" fillId="2" borderId="0" xfId="10" applyNumberFormat="1" applyFont="1" applyFill="1" applyBorder="1"/>
    <xf numFmtId="169" fontId="29" fillId="0" borderId="0" xfId="10" applyNumberFormat="1" applyFont="1" applyFill="1" applyBorder="1"/>
    <xf numFmtId="169" fontId="78" fillId="0" borderId="0" xfId="10" applyNumberFormat="1" applyFont="1" applyFill="1" applyBorder="1"/>
    <xf numFmtId="169" fontId="28" fillId="0" borderId="0" xfId="10" applyNumberFormat="1" applyFont="1" applyFill="1" applyBorder="1"/>
    <xf numFmtId="169" fontId="17" fillId="0" borderId="0" xfId="6" applyNumberFormat="1" applyFont="1" applyAlignment="1">
      <alignment vertical="center"/>
    </xf>
    <xf numFmtId="169" fontId="75" fillId="0" borderId="0" xfId="6" applyNumberFormat="1" applyFont="1" applyAlignment="1">
      <alignment vertical="center"/>
    </xf>
    <xf numFmtId="169" fontId="31" fillId="0" borderId="0" xfId="6" applyNumberFormat="1" applyFont="1"/>
    <xf numFmtId="169" fontId="34" fillId="0" borderId="0" xfId="13" applyNumberFormat="1" applyFont="1" applyFill="1" applyBorder="1" applyAlignment="1" applyProtection="1">
      <alignment horizontal="center"/>
    </xf>
    <xf numFmtId="0" fontId="79" fillId="0" borderId="0" xfId="0" applyFont="1"/>
    <xf numFmtId="171" fontId="80" fillId="0" borderId="0" xfId="0" applyNumberFormat="1" applyFont="1" applyAlignment="1">
      <alignment horizontal="left"/>
    </xf>
    <xf numFmtId="171" fontId="81" fillId="0" borderId="0" xfId="0" applyNumberFormat="1" applyFont="1" applyAlignment="1">
      <alignment horizontal="center"/>
    </xf>
    <xf numFmtId="0" fontId="42" fillId="3" borderId="22" xfId="0" applyFont="1" applyFill="1" applyBorder="1" applyAlignment="1">
      <alignment horizontal="center" vertical="center"/>
    </xf>
    <xf numFmtId="0" fontId="16" fillId="3" borderId="19" xfId="0" applyFont="1" applyFill="1" applyBorder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12" fontId="16" fillId="3" borderId="0" xfId="0" applyNumberFormat="1" applyFont="1" applyFill="1" applyAlignment="1">
      <alignment horizontal="center" vertical="center"/>
    </xf>
    <xf numFmtId="0" fontId="42" fillId="3" borderId="17" xfId="0" applyFont="1" applyFill="1" applyBorder="1" applyAlignment="1">
      <alignment horizontal="center" vertical="center"/>
    </xf>
    <xf numFmtId="0" fontId="16" fillId="3" borderId="20" xfId="0" applyFont="1" applyFill="1" applyBorder="1" applyAlignment="1">
      <alignment horizontal="center" vertical="center"/>
    </xf>
    <xf numFmtId="0" fontId="16" fillId="3" borderId="15" xfId="0" applyFont="1" applyFill="1" applyBorder="1" applyAlignment="1">
      <alignment horizontal="center" vertical="center"/>
    </xf>
    <xf numFmtId="12" fontId="16" fillId="3" borderId="15" xfId="0" applyNumberFormat="1" applyFont="1" applyFill="1" applyBorder="1" applyAlignment="1">
      <alignment horizontal="center" vertical="center"/>
    </xf>
    <xf numFmtId="0" fontId="42" fillId="3" borderId="7" xfId="0" applyFont="1" applyFill="1" applyBorder="1" applyAlignment="1">
      <alignment horizontal="center" vertical="center"/>
    </xf>
    <xf numFmtId="0" fontId="82" fillId="0" borderId="0" xfId="0" applyFont="1"/>
    <xf numFmtId="1" fontId="83" fillId="2" borderId="25" xfId="7" applyNumberFormat="1" applyFont="1" applyFill="1" applyBorder="1" applyAlignment="1">
      <alignment horizontal="centerContinuous"/>
    </xf>
    <xf numFmtId="1" fontId="83" fillId="2" borderId="6" xfId="7" applyNumberFormat="1" applyFont="1" applyFill="1" applyBorder="1" applyAlignment="1">
      <alignment horizontal="centerContinuous"/>
    </xf>
    <xf numFmtId="1" fontId="83" fillId="2" borderId="26" xfId="7" applyNumberFormat="1" applyFont="1" applyFill="1" applyBorder="1" applyAlignment="1">
      <alignment horizontal="centerContinuous"/>
    </xf>
    <xf numFmtId="0" fontId="82" fillId="0" borderId="27" xfId="0" applyFont="1" applyBorder="1"/>
    <xf numFmtId="0" fontId="82" fillId="0" borderId="28" xfId="0" applyFont="1" applyBorder="1"/>
    <xf numFmtId="0" fontId="82" fillId="0" borderId="0" xfId="0" applyFont="1" applyAlignment="1">
      <alignment horizontal="center" vertical="center" wrapText="1"/>
    </xf>
    <xf numFmtId="0" fontId="82" fillId="0" borderId="27" xfId="0" applyFont="1" applyBorder="1" applyAlignment="1">
      <alignment horizontal="center" vertical="center" wrapText="1"/>
    </xf>
    <xf numFmtId="0" fontId="82" fillId="0" borderId="28" xfId="0" applyFont="1" applyBorder="1" applyAlignment="1">
      <alignment horizontal="center" vertical="center" wrapText="1"/>
    </xf>
    <xf numFmtId="0" fontId="82" fillId="0" borderId="29" xfId="0" applyFont="1" applyBorder="1"/>
    <xf numFmtId="0" fontId="82" fillId="0" borderId="1" xfId="0" applyFont="1" applyBorder="1"/>
    <xf numFmtId="0" fontId="82" fillId="0" borderId="30" xfId="0" applyFont="1" applyBorder="1"/>
    <xf numFmtId="0" fontId="84" fillId="0" borderId="0" xfId="0" applyFont="1"/>
    <xf numFmtId="0" fontId="85" fillId="2" borderId="0" xfId="0" applyFont="1" applyFill="1"/>
    <xf numFmtId="0" fontId="85" fillId="2" borderId="0" xfId="0" applyFont="1" applyFill="1" applyAlignment="1">
      <alignment horizontal="center"/>
    </xf>
    <xf numFmtId="194" fontId="84" fillId="0" borderId="0" xfId="29" applyNumberFormat="1" applyFont="1" applyAlignment="1">
      <alignment horizontal="center"/>
    </xf>
    <xf numFmtId="0" fontId="87" fillId="4" borderId="0" xfId="0" applyFont="1" applyFill="1"/>
    <xf numFmtId="194" fontId="87" fillId="4" borderId="0" xfId="0" applyNumberFormat="1" applyFont="1" applyFill="1"/>
    <xf numFmtId="169" fontId="87" fillId="0" borderId="0" xfId="0" applyNumberFormat="1" applyFont="1" applyAlignment="1">
      <alignment horizontal="center"/>
    </xf>
    <xf numFmtId="169" fontId="84" fillId="0" borderId="0" xfId="0" applyNumberFormat="1" applyFont="1" applyAlignment="1">
      <alignment horizontal="center"/>
    </xf>
    <xf numFmtId="0" fontId="87" fillId="0" borderId="0" xfId="0" applyFont="1"/>
    <xf numFmtId="194" fontId="87" fillId="0" borderId="0" xfId="29" applyNumberFormat="1" applyFont="1" applyAlignment="1">
      <alignment horizontal="center"/>
    </xf>
    <xf numFmtId="0" fontId="84" fillId="0" borderId="23" xfId="0" applyFont="1" applyBorder="1"/>
    <xf numFmtId="167" fontId="84" fillId="0" borderId="13" xfId="0" applyNumberFormat="1" applyFont="1" applyBorder="1"/>
    <xf numFmtId="169" fontId="84" fillId="0" borderId="0" xfId="29" applyNumberFormat="1" applyFont="1"/>
    <xf numFmtId="9" fontId="84" fillId="0" borderId="13" xfId="16" applyFont="1" applyBorder="1"/>
    <xf numFmtId="167" fontId="84" fillId="0" borderId="13" xfId="16" applyNumberFormat="1" applyFont="1" applyBorder="1"/>
    <xf numFmtId="43" fontId="84" fillId="0" borderId="0" xfId="29" applyFont="1"/>
    <xf numFmtId="169" fontId="87" fillId="4" borderId="0" xfId="0" applyNumberFormat="1" applyFont="1" applyFill="1" applyAlignment="1">
      <alignment horizontal="center"/>
    </xf>
    <xf numFmtId="194" fontId="87" fillId="4" borderId="0" xfId="0" applyNumberFormat="1" applyFont="1" applyFill="1" applyAlignment="1">
      <alignment horizontal="center"/>
    </xf>
    <xf numFmtId="0" fontId="84" fillId="0" borderId="13" xfId="0" applyFont="1" applyBorder="1"/>
    <xf numFmtId="10" fontId="84" fillId="0" borderId="13" xfId="0" applyNumberFormat="1" applyFont="1" applyBorder="1"/>
    <xf numFmtId="0" fontId="84" fillId="0" borderId="0" xfId="0" applyFont="1" applyAlignment="1">
      <alignment horizontal="center"/>
    </xf>
    <xf numFmtId="0" fontId="88" fillId="0" borderId="0" xfId="0" applyFont="1"/>
    <xf numFmtId="9" fontId="89" fillId="0" borderId="0" xfId="0" applyNumberFormat="1" applyFont="1"/>
    <xf numFmtId="0" fontId="88" fillId="2" borderId="0" xfId="0" applyFont="1" applyFill="1" applyAlignment="1">
      <alignment horizontal="center"/>
    </xf>
    <xf numFmtId="167" fontId="84" fillId="0" borderId="0" xfId="0" applyNumberFormat="1" applyFont="1"/>
    <xf numFmtId="167" fontId="84" fillId="0" borderId="0" xfId="0" applyNumberFormat="1" applyFont="1" applyAlignment="1">
      <alignment horizontal="center"/>
    </xf>
    <xf numFmtId="9" fontId="84" fillId="0" borderId="0" xfId="0" applyNumberFormat="1" applyFont="1" applyAlignment="1">
      <alignment horizontal="center"/>
    </xf>
    <xf numFmtId="167" fontId="87" fillId="0" borderId="0" xfId="0" applyNumberFormat="1" applyFont="1"/>
    <xf numFmtId="14" fontId="5" fillId="0" borderId="0" xfId="0" applyNumberFormat="1" applyFont="1" applyAlignment="1">
      <alignment horizontal="center"/>
    </xf>
    <xf numFmtId="169" fontId="42" fillId="6" borderId="12" xfId="4" applyNumberFormat="1" applyFont="1" applyFill="1" applyBorder="1" applyAlignment="1">
      <alignment horizontal="right" vertical="center"/>
    </xf>
    <xf numFmtId="168" fontId="15" fillId="0" borderId="0" xfId="0" applyNumberFormat="1" applyFont="1" applyAlignment="1">
      <alignment horizontal="center"/>
    </xf>
    <xf numFmtId="189" fontId="19" fillId="3" borderId="0" xfId="0" applyNumberFormat="1" applyFont="1" applyFill="1" applyAlignment="1">
      <alignment horizontal="center"/>
    </xf>
    <xf numFmtId="14" fontId="16" fillId="0" borderId="0" xfId="0" applyNumberFormat="1" applyFont="1"/>
    <xf numFmtId="3" fontId="66" fillId="0" borderId="0" xfId="0" applyNumberFormat="1" applyFont="1"/>
    <xf numFmtId="43" fontId="16" fillId="0" borderId="0" xfId="29" applyFont="1" applyBorder="1" applyAlignment="1">
      <alignment horizontal="center"/>
    </xf>
    <xf numFmtId="14" fontId="16" fillId="0" borderId="0" xfId="15" applyNumberFormat="1" applyFont="1" applyAlignment="1">
      <alignment horizontal="center"/>
    </xf>
    <xf numFmtId="14" fontId="16" fillId="6" borderId="0" xfId="0" applyNumberFormat="1" applyFont="1" applyFill="1" applyAlignment="1">
      <alignment horizontal="center"/>
    </xf>
    <xf numFmtId="0" fontId="77" fillId="0" borderId="0" xfId="0" applyFont="1" applyAlignment="1">
      <alignment horizontal="left"/>
    </xf>
    <xf numFmtId="14" fontId="42" fillId="0" borderId="0" xfId="0" applyNumberFormat="1" applyFont="1" applyAlignment="1">
      <alignment horizontal="center"/>
    </xf>
    <xf numFmtId="0" fontId="42" fillId="0" borderId="0" xfId="0" applyFont="1" applyAlignment="1">
      <alignment horizontal="left"/>
    </xf>
    <xf numFmtId="0" fontId="42" fillId="3" borderId="0" xfId="0" applyFont="1" applyFill="1"/>
    <xf numFmtId="0" fontId="42" fillId="0" borderId="0" xfId="0" applyFont="1" applyAlignment="1">
      <alignment horizontal="center"/>
    </xf>
    <xf numFmtId="173" fontId="36" fillId="4" borderId="0" xfId="0" applyNumberFormat="1" applyFont="1" applyFill="1" applyAlignment="1">
      <alignment horizontal="center" vertical="center"/>
    </xf>
    <xf numFmtId="175" fontId="36" fillId="4" borderId="0" xfId="0" applyNumberFormat="1" applyFont="1" applyFill="1" applyAlignment="1">
      <alignment horizontal="center" vertical="center"/>
    </xf>
    <xf numFmtId="181" fontId="36" fillId="4" borderId="0" xfId="0" applyNumberFormat="1" applyFont="1" applyFill="1" applyAlignment="1">
      <alignment horizontal="center" vertical="center"/>
    </xf>
    <xf numFmtId="179" fontId="36" fillId="4" borderId="0" xfId="0" applyNumberFormat="1" applyFont="1" applyFill="1" applyAlignment="1">
      <alignment horizontal="center" vertical="center"/>
    </xf>
    <xf numFmtId="174" fontId="36" fillId="4" borderId="0" xfId="0" applyNumberFormat="1" applyFont="1" applyFill="1" applyAlignment="1">
      <alignment horizontal="center" vertical="center"/>
    </xf>
    <xf numFmtId="172" fontId="36" fillId="4" borderId="0" xfId="0" applyNumberFormat="1" applyFont="1" applyFill="1" applyAlignment="1">
      <alignment horizontal="center" vertical="center"/>
    </xf>
    <xf numFmtId="43" fontId="90" fillId="4" borderId="0" xfId="29" applyFont="1" applyFill="1" applyAlignment="1">
      <alignment horizontal="center"/>
    </xf>
    <xf numFmtId="182" fontId="36" fillId="4" borderId="0" xfId="0" applyNumberFormat="1" applyFont="1" applyFill="1" applyAlignment="1">
      <alignment horizontal="center" vertical="center"/>
    </xf>
    <xf numFmtId="181" fontId="36" fillId="4" borderId="0" xfId="15" applyNumberFormat="1" applyFont="1" applyFill="1" applyAlignment="1">
      <alignment horizontal="center" vertical="center"/>
    </xf>
    <xf numFmtId="173" fontId="36" fillId="4" borderId="0" xfId="15" applyNumberFormat="1" applyFont="1" applyFill="1" applyAlignment="1">
      <alignment horizontal="center" vertical="center"/>
    </xf>
    <xf numFmtId="174" fontId="36" fillId="4" borderId="0" xfId="15" applyNumberFormat="1" applyFont="1" applyFill="1" applyAlignment="1">
      <alignment horizontal="center" vertical="center"/>
    </xf>
    <xf numFmtId="183" fontId="36" fillId="4" borderId="0" xfId="0" applyNumberFormat="1" applyFont="1" applyFill="1" applyAlignment="1">
      <alignment horizontal="center" vertical="center"/>
    </xf>
    <xf numFmtId="184" fontId="36" fillId="4" borderId="0" xfId="0" applyNumberFormat="1" applyFont="1" applyFill="1" applyAlignment="1">
      <alignment horizontal="center" vertical="center"/>
    </xf>
    <xf numFmtId="191" fontId="36" fillId="4" borderId="0" xfId="0" applyNumberFormat="1" applyFont="1" applyFill="1" applyAlignment="1">
      <alignment horizontal="center" vertical="center"/>
    </xf>
    <xf numFmtId="43" fontId="90" fillId="4" borderId="0" xfId="29" applyFont="1" applyFill="1" applyBorder="1" applyAlignment="1">
      <alignment horizontal="center"/>
    </xf>
    <xf numFmtId="43" fontId="91" fillId="19" borderId="0" xfId="29" applyFont="1" applyFill="1" applyAlignment="1">
      <alignment horizontal="center" vertical="center"/>
    </xf>
    <xf numFmtId="185" fontId="36" fillId="4" borderId="0" xfId="0" applyNumberFormat="1" applyFont="1" applyFill="1" applyAlignment="1">
      <alignment horizontal="center" vertical="center"/>
    </xf>
    <xf numFmtId="9" fontId="90" fillId="19" borderId="0" xfId="16" applyFont="1" applyFill="1" applyAlignment="1">
      <alignment horizontal="center" vertical="center"/>
    </xf>
    <xf numFmtId="186" fontId="36" fillId="4" borderId="0" xfId="0" applyNumberFormat="1" applyFont="1" applyFill="1" applyAlignment="1">
      <alignment horizontal="center" vertical="center"/>
    </xf>
    <xf numFmtId="10" fontId="36" fillId="19" borderId="0" xfId="0" applyNumberFormat="1" applyFont="1" applyFill="1" applyAlignment="1">
      <alignment horizontal="center" vertical="center"/>
    </xf>
    <xf numFmtId="43" fontId="36" fillId="4" borderId="0" xfId="29" applyFont="1" applyFill="1" applyBorder="1" applyAlignment="1">
      <alignment horizontal="center" vertical="center"/>
    </xf>
    <xf numFmtId="181" fontId="36" fillId="4" borderId="1" xfId="0" applyNumberFormat="1" applyFont="1" applyFill="1" applyBorder="1" applyAlignment="1">
      <alignment horizontal="center" vertical="center"/>
    </xf>
    <xf numFmtId="190" fontId="0" fillId="0" borderId="0" xfId="0" applyNumberFormat="1"/>
    <xf numFmtId="0" fontId="252" fillId="2" borderId="0" xfId="0" applyFont="1" applyFill="1" applyAlignment="1">
      <alignment horizontal="center"/>
    </xf>
    <xf numFmtId="194" fontId="253" fillId="0" borderId="0" xfId="29" applyNumberFormat="1" applyFont="1" applyAlignment="1">
      <alignment horizontal="center"/>
    </xf>
    <xf numFmtId="194" fontId="254" fillId="4" borderId="0" xfId="0" applyNumberFormat="1" applyFont="1" applyFill="1"/>
    <xf numFmtId="0" fontId="253" fillId="0" borderId="0" xfId="0" applyFont="1"/>
    <xf numFmtId="169" fontId="253" fillId="0" borderId="0" xfId="0" applyNumberFormat="1" applyFont="1" applyAlignment="1">
      <alignment horizontal="center"/>
    </xf>
    <xf numFmtId="169" fontId="254" fillId="0" borderId="0" xfId="0" applyNumberFormat="1" applyFont="1" applyAlignment="1">
      <alignment horizontal="center"/>
    </xf>
    <xf numFmtId="167" fontId="253" fillId="0" borderId="24" xfId="0" applyNumberFormat="1" applyFont="1" applyBorder="1"/>
    <xf numFmtId="169" fontId="253" fillId="0" borderId="0" xfId="29" applyNumberFormat="1" applyFont="1"/>
    <xf numFmtId="167" fontId="253" fillId="0" borderId="24" xfId="16" applyNumberFormat="1" applyFont="1" applyBorder="1"/>
    <xf numFmtId="169" fontId="254" fillId="4" borderId="0" xfId="0" applyNumberFormat="1" applyFont="1" applyFill="1" applyAlignment="1">
      <alignment horizontal="center"/>
    </xf>
    <xf numFmtId="194" fontId="254" fillId="4" borderId="0" xfId="0" applyNumberFormat="1" applyFont="1" applyFill="1" applyAlignment="1">
      <alignment horizontal="center"/>
    </xf>
    <xf numFmtId="10" fontId="253" fillId="0" borderId="24" xfId="0" applyNumberFormat="1" applyFont="1" applyBorder="1"/>
    <xf numFmtId="0" fontId="253" fillId="0" borderId="0" xfId="0" applyFont="1" applyAlignment="1">
      <alignment horizontal="center"/>
    </xf>
    <xf numFmtId="167" fontId="253" fillId="0" borderId="13" xfId="0" applyNumberFormat="1" applyFont="1" applyBorder="1"/>
    <xf numFmtId="167" fontId="253" fillId="0" borderId="13" xfId="16" applyNumberFormat="1" applyFont="1" applyBorder="1"/>
    <xf numFmtId="10" fontId="253" fillId="0" borderId="13" xfId="0" applyNumberFormat="1" applyFont="1" applyBorder="1"/>
    <xf numFmtId="0" fontId="46" fillId="0" borderId="0" xfId="0" applyFont="1" applyAlignment="1">
      <alignment horizontal="left" vertical="center" wrapText="1"/>
    </xf>
    <xf numFmtId="0" fontId="30" fillId="4" borderId="0" xfId="6" applyFont="1" applyFill="1" applyAlignment="1">
      <alignment horizontal="center" vertical="center" textRotation="90" wrapText="1"/>
    </xf>
    <xf numFmtId="0" fontId="17" fillId="4" borderId="0" xfId="6" applyFont="1" applyFill="1" applyAlignment="1">
      <alignment horizontal="center" vertical="center" textRotation="90"/>
    </xf>
    <xf numFmtId="0" fontId="17" fillId="4" borderId="0" xfId="6" applyFont="1" applyFill="1" applyAlignment="1">
      <alignment horizontal="center" vertical="center" textRotation="90" wrapText="1"/>
    </xf>
    <xf numFmtId="0" fontId="30" fillId="0" borderId="0" xfId="6" applyFont="1" applyAlignment="1">
      <alignment horizontal="center" vertical="center" textRotation="90" wrapText="1"/>
    </xf>
    <xf numFmtId="1" fontId="12" fillId="2" borderId="0" xfId="7" applyNumberFormat="1" applyFont="1" applyFill="1" applyAlignment="1">
      <alignment horizontal="center" vertical="center" wrapText="1"/>
    </xf>
    <xf numFmtId="1" fontId="12" fillId="2" borderId="5" xfId="7" applyNumberFormat="1" applyFont="1" applyFill="1" applyBorder="1" applyAlignment="1">
      <alignment horizontal="center" vertical="center" wrapText="1"/>
    </xf>
    <xf numFmtId="1" fontId="12" fillId="2" borderId="0" xfId="7" applyNumberFormat="1" applyFont="1" applyFill="1" applyAlignment="1">
      <alignment horizontal="center" vertical="center"/>
    </xf>
    <xf numFmtId="1" fontId="12" fillId="2" borderId="5" xfId="7" applyNumberFormat="1" applyFont="1" applyFill="1" applyBorder="1" applyAlignment="1">
      <alignment horizontal="center" vertical="center"/>
    </xf>
    <xf numFmtId="1" fontId="6" fillId="2" borderId="0" xfId="7" applyNumberFormat="1" applyFont="1" applyFill="1" applyAlignment="1">
      <alignment horizontal="center" vertical="center" wrapText="1"/>
    </xf>
    <xf numFmtId="1" fontId="6" fillId="2" borderId="5" xfId="7" applyNumberFormat="1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 wrapText="1"/>
    </xf>
    <xf numFmtId="0" fontId="16" fillId="3" borderId="16" xfId="0" applyFont="1" applyFill="1" applyBorder="1" applyAlignment="1">
      <alignment horizontal="left" vertical="center" wrapText="1"/>
    </xf>
    <xf numFmtId="0" fontId="16" fillId="3" borderId="18" xfId="0" applyFont="1" applyFill="1" applyBorder="1" applyAlignment="1">
      <alignment horizontal="left" vertical="center" wrapText="1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/>
    </xf>
    <xf numFmtId="2" fontId="2" fillId="16" borderId="0" xfId="0" applyNumberFormat="1" applyFont="1" applyFill="1" applyAlignment="1">
      <alignment horizontal="center"/>
    </xf>
  </cellXfs>
  <cellStyles count="43991">
    <cellStyle name="###0" xfId="1498" xr:uid="{C62AEF06-A597-46A8-A52C-C988B32A5A0E}"/>
    <cellStyle name="#,##0" xfId="1499" xr:uid="{561CC1F6-83A4-4F88-8668-8471B884C9C1}"/>
    <cellStyle name="#,##0.0" xfId="1500" xr:uid="{F7EF4E36-4ADC-48B4-9E4E-9B26CA0711FA}"/>
    <cellStyle name="#,##0_COELCE - IRT - 2005-04-05" xfId="42570" xr:uid="{779FB422-1B1B-408B-93D2-E4253EE05B57}"/>
    <cellStyle name="#.##0" xfId="1501" xr:uid="{3926BFCE-8E28-4936-A0EF-3BB2F4178BBB}"/>
    <cellStyle name="#.##0,0" xfId="1502" xr:uid="{35154129-E195-4A59-BF8C-B38BA6A03745}"/>
    <cellStyle name="#.##0_COELCE - IRT - 2005-04-05" xfId="42571" xr:uid="{E1F591A9-339D-4940-8C2E-BECC2C480790}"/>
    <cellStyle name="_~3339090" xfId="1816" xr:uid="{BB90CFC6-1793-4AD3-AAFC-3947F6FEB702}"/>
    <cellStyle name="_0 -Preenchido_CPFL-PIRATININGA_2_CICLO_DADOS_INICIAIS_Of" xfId="1817" xr:uid="{7365AA0B-3BFB-4E96-BC77-48C1FD8FC13A}"/>
    <cellStyle name="_0 -Preenchido_CPFL-PIRATININGA_2_CICLO_DADOS_INICIAIS_Of.037_270207" xfId="1818" xr:uid="{92E63D46-40BE-4224-9209-0EDA160DAFD6}"/>
    <cellStyle name="_0 -Preenchido_CPFL-PIRATININGA_2_CICLO_DADOS_INICIAIS_Of.037_270207 (V 170407)" xfId="1819" xr:uid="{AD4EB8FC-6F88-44C7-B9C3-B258C8C6A54B}"/>
    <cellStyle name="_0 -Preenchido_CPFL-PIRATININGA_2_CICLO_DADOS_INICIAIS_Of.037_270207(V 09-04-07)" xfId="1820" xr:uid="{6FC118B9-0DAE-446C-9512-FD9B6ED18D7B}"/>
    <cellStyle name="_0 -Preenchido_CPFL-PIRATININGA_2_CICLO_DADOS_INICIAIS_Of.037_270207(V 09-04-07)_2009.04.09 EEB IRT2009 Conexao CEMIG C Financeiro" xfId="1821" xr:uid="{C95A2C36-0AAE-43A7-A024-2A3E491D4625}"/>
    <cellStyle name="_0 -Preenchido_CPFL-PIRATININGA_2_CICLO_DADOS_INICIAIS_Of.037_270207(V 09-04-07)_Base Mercado_EMG" xfId="1822" xr:uid="{9D98A903-64EF-4002-9AC4-6DC854D87B23}"/>
    <cellStyle name="_0 -Preenchido_CPFL-PIRATININGA_2_CICLO_DADOS_INICIAIS_Of.037_270207(V 09-04-07)_IF - Autoprodutores 2" xfId="1823" xr:uid="{F6144923-81FC-4B8B-B99E-E2892C10DE2D}"/>
    <cellStyle name="_0 -Preenchido_CPFL-PIRATININGA_2_CICLO_DADOS_INICIAIS_Of.037_270207(V 09-04-07)_IF_Consumidores livres e geradoras_2010" xfId="1824" xr:uid="{C23287CB-A7A6-4643-8EE2-0D7953CE1FC8}"/>
    <cellStyle name="_0 -Preenchido_CPFL-PIRATININGA_2_CICLO_DADOS_INICIAIS_Of.037_270207(V 09-04-07)_IRT-cálculo" xfId="42572" xr:uid="{C5AA727A-B435-40E4-9CC1-FEBF58486FD3}"/>
    <cellStyle name="_0 -Preenchido_CPFL-PIRATININGA_2_CICLO_DADOS_INICIAIS_Of.037_270207(V 09-04-07)_Pleito_IRT_ESE_2010_Envio_ANEEL_Final_atualizado_05_04" xfId="1825" xr:uid="{12C36D5C-6552-433E-B10C-86657EB18804}"/>
    <cellStyle name="_0 -Preenchido_CPFL-PIRATININGA_2_CICLO_DADOS_INICIAIS_Of.037_270207(V 09-04-07)_Sheet1" xfId="1826" xr:uid="{34D6254B-64B4-4537-A5B7-EDDDD069244B}"/>
    <cellStyle name="_0 -Preenchido_CPFL-PIRATININGA_2_CICLO_DADOS_INICIAIS_Of.037_270207(VF)" xfId="1827" xr:uid="{8255A56F-01C4-4080-BDAC-9B4BB4F54D6D}"/>
    <cellStyle name="_0 -Preenchido_CPFL-PIRATININGA_2_CICLO_DADOS_INICIAIS_Of.037_270207(VF)_2009.04.09 EEB IRT2009 Conexao CEMIG C Financeiro" xfId="1828" xr:uid="{FA8839CA-F1CC-4E2D-96B4-BA5C06FF369E}"/>
    <cellStyle name="_0 -Preenchido_CPFL-PIRATININGA_2_CICLO_DADOS_INICIAIS_Of.037_270207(VF)_Base Mercado_EMG" xfId="1829" xr:uid="{F93E7710-D94E-4ED1-9F06-2BC0038D27D7}"/>
    <cellStyle name="_0 -Preenchido_CPFL-PIRATININGA_2_CICLO_DADOS_INICIAIS_Of.037_270207(VF)_IF - Autoprodutores 2" xfId="1830" xr:uid="{F44E3278-687A-4B0F-A845-A5113178D83C}"/>
    <cellStyle name="_0 -Preenchido_CPFL-PIRATININGA_2_CICLO_DADOS_INICIAIS_Of.037_270207(VF)_IF_Consumidores livres e geradoras_2010" xfId="1831" xr:uid="{6CACA283-2A81-40D8-9C4E-0BED8483E2E4}"/>
    <cellStyle name="_0 -Preenchido_CPFL-PIRATININGA_2_CICLO_DADOS_INICIAIS_Of.037_270207(VF)_IRT-cálculo" xfId="42573" xr:uid="{3FDCA051-C206-4DD5-883F-12D98C623065}"/>
    <cellStyle name="_0 -Preenchido_CPFL-PIRATININGA_2_CICLO_DADOS_INICIAIS_Of.037_270207(VF)_Pleito_IRT_ESE_2010_Envio_ANEEL_Final_atualizado_05_04" xfId="1832" xr:uid="{06B061E8-7AC7-43FA-9EBB-88F8FBE48638}"/>
    <cellStyle name="_0 -Preenchido_CPFL-PIRATININGA_2_CICLO_DADOS_INICIAIS_Of.037_270207(VF)_Sheet1" xfId="1833" xr:uid="{A8A6488D-4A7D-4D65-9079-131827D61734}"/>
    <cellStyle name="_0 -Preenchido_CPFL-PIRATININGA_2_CICLO_DADOS_INICIAIS_Of.037_270207_2009.04.09 EEB IRT2009 Conexao CEMIG C Financeiro" xfId="1834" xr:uid="{65714375-F476-4E1C-93C8-D99AD1D51760}"/>
    <cellStyle name="_0 -Preenchido_CPFL-PIRATININGA_2_CICLO_DADOS_INICIAIS_Of.037_270207_Base Mercado_EMG" xfId="1835" xr:uid="{5873532C-5297-4163-A362-90DD0C2FB641}"/>
    <cellStyle name="_0 -Preenchido_CPFL-PIRATININGA_2_CICLO_DADOS_INICIAIS_Of.037_270207_IF - Autoprodutores 2" xfId="1836" xr:uid="{6FF8C423-5A70-4D5E-A85D-A76BE1A0690D}"/>
    <cellStyle name="_0 -Preenchido_CPFL-PIRATININGA_2_CICLO_DADOS_INICIAIS_Of.037_270207_IF_Consumidores livres e geradoras_2010" xfId="1837" xr:uid="{E291D9D7-CAFA-4E91-99A9-12449702C32E}"/>
    <cellStyle name="_0 -Preenchido_CPFL-PIRATININGA_2_CICLO_DADOS_INICIAIS_Of.037_270207_IRT-cálculo" xfId="42574" xr:uid="{9A16A5BD-307D-40FC-90D9-5D4149E941CE}"/>
    <cellStyle name="_0 -Preenchido_CPFL-PIRATININGA_2_CICLO_DADOS_INICIAIS_Of.037_270207_Pleito_IRT_ESE_2010_Envio_ANEEL_Final_atualizado_05_04" xfId="1838" xr:uid="{1B473611-7B44-43C0-928A-F10554A79B44}"/>
    <cellStyle name="_0 -Preenchido_CPFL-PIRATININGA_2_CICLO_DADOS_INICIAIS_Of.037_270207_Sheet1" xfId="1839" xr:uid="{63E75B13-533B-4D8D-8C73-5ED7553F8FB1}"/>
    <cellStyle name="_0 -Preenchido_CPFL-PIRATININGA_2_CICLO_DADOS_INICIAIS_Of.037_270207-EV 17abril" xfId="1840" xr:uid="{25B8794D-DB96-4AEA-A4A1-DFBD5DA4943C}"/>
    <cellStyle name="_0 -Preenchido_CPFL-PIRATININGA_2_CICLO_DADOS_INICIAIS_Of.037_270207-EV 17abril_2009.04.09 EEB IRT2009 Conexao CEMIG C Financeiro" xfId="1841" xr:uid="{953D569B-FAE3-460C-AC19-D0FA0B4884C4}"/>
    <cellStyle name="_0 -Preenchido_CPFL-PIRATININGA_2_CICLO_DADOS_INICIAIS_Of.037_270207-EV 17abril_Base Mercado_EMG" xfId="1842" xr:uid="{47BA1411-DB75-4CBB-B23E-866657B73E9D}"/>
    <cellStyle name="_0 -Preenchido_CPFL-PIRATININGA_2_CICLO_DADOS_INICIAIS_Of.037_270207-EV 17abril_IF - Autoprodutores 2" xfId="1843" xr:uid="{8D874036-1AD2-4FA2-B4DA-32EB8208C378}"/>
    <cellStyle name="_0 -Preenchido_CPFL-PIRATININGA_2_CICLO_DADOS_INICIAIS_Of.037_270207-EV 17abril_IF_Consumidores livres e geradoras_2010" xfId="1844" xr:uid="{91CA9EE5-28FD-4EAC-9566-9CE96F7F2618}"/>
    <cellStyle name="_0 -Preenchido_CPFL-PIRATININGA_2_CICLO_DADOS_INICIAIS_Of.037_270207-EV 17abril_IRT-cálculo" xfId="42575" xr:uid="{75D9D0C1-AEF1-45D0-B4BC-949F874436EB}"/>
    <cellStyle name="_0 -Preenchido_CPFL-PIRATININGA_2_CICLO_DADOS_INICIAIS_Of.037_270207-EV 17abril_Pleito_IRT_ESE_2010_Envio_ANEEL_Final_atualizado_05_04" xfId="1845" xr:uid="{80580667-6D01-4D69-9610-CAE94F16853D}"/>
    <cellStyle name="_0 -Preenchido_CPFL-PIRATININGA_2_CICLO_DADOS_INICIAIS_Of.037_270207-EV 17abril_Sheet1" xfId="1846" xr:uid="{9965A244-5AB9-402C-A0D9-232DF8B50594}"/>
    <cellStyle name="_0 -Preenchido_CPFL-PIRATININGA_2_CICLO_DADOS_INICIAIS_Of_2009.04.09 EEB IRT2009 Conexao CEMIG C Financeiro" xfId="1847" xr:uid="{D3F4E32F-BDC5-4262-8EBB-573669D72092}"/>
    <cellStyle name="_0 -Preenchido_CPFL-PIRATININGA_2_CICLO_DADOS_INICIAIS_Of_Base Mercado_EMG" xfId="1848" xr:uid="{5C75ECA4-DDA6-4C10-AB17-F2C61FBE74E2}"/>
    <cellStyle name="_0 -Preenchido_CPFL-PIRATININGA_2_CICLO_DADOS_INICIAIS_Of_IF - Autoprodutores 2" xfId="1849" xr:uid="{4D8AFE66-55D8-48DD-AA12-F6CDF4844300}"/>
    <cellStyle name="_0 -Preenchido_CPFL-PIRATININGA_2_CICLO_DADOS_INICIAIS_Of_IF_Consumidores livres e geradoras_2010" xfId="1850" xr:uid="{080C2792-6B16-4428-B223-89D068FFE668}"/>
    <cellStyle name="_0 -Preenchido_CPFL-PIRATININGA_2_CICLO_DADOS_INICIAIS_Of_IRT-cálculo" xfId="42576" xr:uid="{8BDD4C89-DF1B-4164-A0EF-B17B73915452}"/>
    <cellStyle name="_0 -Preenchido_CPFL-PIRATININGA_2_CICLO_DADOS_INICIAIS_Of_Pleito_IRT_ESE_2010_Envio_ANEEL_Final_atualizado_05_04" xfId="1851" xr:uid="{00F71A9A-5C38-4288-AF57-961BC81A6658}"/>
    <cellStyle name="_0 -Preenchido_CPFL-PIRATININGA_2_CICLO_DADOS_INICIAIS_Of_Sheet1" xfId="1852" xr:uid="{BF58898D-79D7-4C27-A49E-565FAA33FC78}"/>
    <cellStyle name="_02 IRT Bandeirante 2009" xfId="1853" xr:uid="{7DA6D155-B84A-4069-963C-75E43480DB05}"/>
    <cellStyle name="_02 IRT COSERN 2009" xfId="1503" xr:uid="{169EA778-B326-435E-8CD1-E868D0958F02}"/>
    <cellStyle name="_10 ICMS FCC-Valdeci - OK" xfId="1854" xr:uid="{83393040-D20F-4A51-8901-D30D88DCD163}"/>
    <cellStyle name="_11 PIS COFINS - FCC-Roger-OK" xfId="1855" xr:uid="{5FFC9173-8B86-4992-9CA2-EACD8A24121F}"/>
    <cellStyle name="_15. Custos Operacionais versão FINAL (FC 160507)" xfId="1856" xr:uid="{65E72737-1075-4275-85D1-A72055F7F589}"/>
    <cellStyle name="_15. Custos Operacionais versão FINAL (FC 160507)_2009.04.09 EEB IRT2009 Conexao CEMIG C Financeiro" xfId="1857" xr:uid="{81BF6BCF-3A3B-4F7E-A702-AF8B953E3C23}"/>
    <cellStyle name="_15. Custos Operacionais versão FINAL (FC 160507)_IF - Autoprodutores 2" xfId="1858" xr:uid="{7A80C26C-2A62-40DF-BEAA-CA1D3A52787F}"/>
    <cellStyle name="_15. Custos Operacionais versão FINAL (FC 160507)_IF_Consumidores livres e geradoras_2010" xfId="1859" xr:uid="{250A726E-E943-438C-BFCD-6CB8C91ACEBA}"/>
    <cellStyle name="_15. Custos Operacionais versão FINAL (FC 160507)_IRT-cálculo" xfId="42577" xr:uid="{7CF8F7E0-B900-47AB-9D52-2CE29B34474A}"/>
    <cellStyle name="_15. Custos Operacionais versão FINAL (FC 160507)_Sheet1" xfId="1860" xr:uid="{1A1C2B80-7715-4459-AF26-7EC46EA3FE64}"/>
    <cellStyle name="_2006.07.04 CELTINS IRT 2006 homologado" xfId="1504" xr:uid="{03E62DF2-C126-443F-9831-EFF28C0903ED}"/>
    <cellStyle name="_2006.07.04 CELTINS IRT 2006 homologado 2" xfId="1861" xr:uid="{5889B700-E42E-4B7F-9E0B-0F0F99F9C1C2}"/>
    <cellStyle name="_2006.07.04 CELTINS IRT 2006 homologado_atualização serviços taxados" xfId="42578" xr:uid="{039D4E1C-2B8E-44C7-A6D1-734FEA235B19}"/>
    <cellStyle name="_2006.07.04 CELTINS IRT 2006 homologado_COELCE - Memória de Cálculo ICMS não Compensado (atualizado)" xfId="42579" xr:uid="{EA02531E-B6DB-4155-B54F-AB36D3718CAA}"/>
    <cellStyle name="_2006.07.04 CELTINS IRT 2006 homologado_COELCE - RTO 2011 - PLPT_PLANILHA_CÁLCULO_DÉFICIT" xfId="1862" xr:uid="{A89BEAC5-658D-485F-BB2C-7EBA60764060}"/>
    <cellStyle name="_2006.07.04 CELTINS IRT 2006 homologado_Financeiro Desconto na TUSD Consumidores Livres Reajuste 2010 - 03_03_2010" xfId="42580" xr:uid="{4F3031E1-7FAC-45E2-8CC1-2F6DFC6188F6}"/>
    <cellStyle name="_2006.07.04 CELTINS IRT 2006 homologado_Financeiro Desconto na TUSD Geradores Reajuste 2010 - 03_03_2010" xfId="42581" xr:uid="{669A6530-FB5F-4434-B2E7-163550EE3CDE}"/>
    <cellStyle name="_2006.07.04 CELTINS IRT 2006 homologado_Financeiro Subsídio Baixa Renda Reajuste 2010 - 03_03_2010" xfId="42582" xr:uid="{DCB6A1C7-C111-4B84-9DD8-94E0B1E22D37}"/>
    <cellStyle name="_2006.07.04 CELTINS IRT 2006 homologado_Financeiro Subsídio Rural Irrigante e Aquicultor Reajuste 2010 - 03_03_2010" xfId="42583" xr:uid="{51A1FA22-8DA6-4DAB-AF32-0F8D930B03CE}"/>
    <cellStyle name="_2006.08.07 CELPA IRT 2006 pleito" xfId="1505" xr:uid="{58C9EB5C-C05D-46FB-AAEB-CB7D5297B26F}"/>
    <cellStyle name="_2006.08.07 CELPA IRT 2006 pleito 2" xfId="1863" xr:uid="{640D5E54-A8D0-41C6-AAB9-6E8B5EAEE867}"/>
    <cellStyle name="_2006.08.07 CELPA IRT 2006 pleito_atualização serviços taxados" xfId="42584" xr:uid="{286BAC65-26CC-45DE-B60C-457E1804443E}"/>
    <cellStyle name="_2006.08.07 CELPA IRT 2006 pleito_COELCE - Memória de Cálculo ICMS não Compensado (atualizado)" xfId="42585" xr:uid="{33FF6F74-9685-4ECD-9661-B877DE97CD71}"/>
    <cellStyle name="_2006.08.07 CELPA IRT 2006 pleito_COELCE - RTO 2011 - PLPT_PLANILHA_CÁLCULO_DÉFICIT" xfId="1864" xr:uid="{6C881AFF-2896-4D11-9600-8AD7466E5669}"/>
    <cellStyle name="_2006.08.07 CELPA IRT 2006 pleito_Financeiro Desconto na TUSD Consumidores Livres Reajuste 2010 - 03_03_2010" xfId="42586" xr:uid="{74FB3158-9A91-4128-809E-38645ADD048F}"/>
    <cellStyle name="_2006.08.07 CELPA IRT 2006 pleito_Financeiro Desconto na TUSD Geradores Reajuste 2010 - 03_03_2010" xfId="42587" xr:uid="{DAACC5B7-C8D6-47B5-99AC-B8709E32478E}"/>
    <cellStyle name="_2006.08.07 CELPA IRT 2006 pleito_Financeiro Subsídio Baixa Renda Reajuste 2010 - 03_03_2010" xfId="42588" xr:uid="{D2F281DA-6949-4E09-A991-5CBA618C33B0}"/>
    <cellStyle name="_2006.08.07 CELPA IRT 2006 pleito_Financeiro Subsídio Rural Irrigante e Aquicultor Reajuste 2010 - 03_03_2010" xfId="42589" xr:uid="{8C8EC853-5DF0-48C5-9F3F-C0E7B4F861D1}"/>
    <cellStyle name="_2007.04.08 CEMAT CVAvIRT 2007" xfId="1865" xr:uid="{6F386F76-40C1-44D1-964E-B1C55BD74500}"/>
    <cellStyle name="_2007.04.08 CEMAT IRT 2007 Pleito" xfId="1866" xr:uid="{6F565777-4641-461A-974D-F9B033A425AD}"/>
    <cellStyle name="_2008.05.10 CAIUA CVAvIRT 2008" xfId="1867" xr:uid="{45EE2DE6-A30B-4C76-BB36-AD853F7E6E0D}"/>
    <cellStyle name="_21 LPT - M3 DCC FCC - 29_06" xfId="1868" xr:uid="{FE4B3086-B472-4CD1-9B87-C66615F18874}"/>
    <cellStyle name="_4 Outras Receitas - FCC-Roger" xfId="1869" xr:uid="{0D08D4C8-434C-43FC-981E-E6126F8EE7EF}"/>
    <cellStyle name="_5114722684(1).EXCEL" xfId="1870" xr:uid="{2B01C32F-2524-47FC-B5EE-DB4C4409E9CE}"/>
    <cellStyle name="_5114722684(1).EXCEL_2009.04.09 EEB IRT2009 Conexao CEMIG C Financeiro" xfId="1871" xr:uid="{EDA850CF-0DDD-424E-87CD-188585D7A2C7}"/>
    <cellStyle name="_5114722684(1).EXCEL_atualização serviços taxados" xfId="42590" xr:uid="{16962B7C-F889-46A3-95E3-995556F62B92}"/>
    <cellStyle name="_5114722684(1).EXCEL_Financeiro Desconto na TUSD Consumidores Livres Reajuste 2010 - 03_03_2010" xfId="42591" xr:uid="{D7CE1E00-657B-491D-8B13-AAD322218F5B}"/>
    <cellStyle name="_5114722684(1).EXCEL_Financeiro Desconto na TUSD Geradores Reajuste 2010 - 03_03_2010" xfId="42592" xr:uid="{78F18681-0ABE-417B-B21C-6712E7288862}"/>
    <cellStyle name="_5114722684(1).EXCEL_Financeiro Subsídio Baixa Renda Reajuste 2010 - 03_03_2010" xfId="42593" xr:uid="{F34A5E4A-3A49-4B36-B5E4-3584FC170F6B}"/>
    <cellStyle name="_5114722684(1).EXCEL_Financeiro Subsídio Rural Irrigante e Aquicultor Reajuste 2010 - 03_03_2010" xfId="42594" xr:uid="{17890893-82DE-47C4-8A3E-22E268284FB8}"/>
    <cellStyle name="_5114722684(1).EXCEL_IF - Autoprodutores 2" xfId="1872" xr:uid="{FEB27B30-4BC1-4F62-9921-0B952775886B}"/>
    <cellStyle name="_5114722684(1).EXCEL_IF_Consumidores livres e geradoras_2010" xfId="1873" xr:uid="{A560DC56-39C8-4D8F-AD7A-85BE42103CE9}"/>
    <cellStyle name="_5114722684(1).EXCEL_Sheet1" xfId="1874" xr:uid="{99227500-7720-4124-910C-9311510F8BFE}"/>
    <cellStyle name="_Abertura - ELETROPAULO 2008 - REAJUSTE Estrutura 2º Ciclo" xfId="1875" xr:uid="{9156BAC2-F672-45D2-BAD1-A483A1DD1E9E}"/>
    <cellStyle name="_Abertura RE-REVISÃO ELETROPAULO Base para Reajuste 2008" xfId="1876" xr:uid="{31FCB922-9514-41A3-BB78-30105B3F75D2}"/>
    <cellStyle name="_Abertura Tarifária CEB RTP 2008" xfId="1877" xr:uid="{043E3571-3C6C-4754-A666-91D49393DBF6}"/>
    <cellStyle name="_Abertura Tarifária LIGHT RTP 2008" xfId="1878" xr:uid="{13E8F674-1D9A-4B98-9968-7A07ADBA4643}"/>
    <cellStyle name="_ABERTURA_TUSDg_v02_COPEL_14052010" xfId="1506" xr:uid="{73A3D34F-928B-462C-A4DD-CEF9E800E3E0}"/>
    <cellStyle name="_Abertura-ATUAL2 - REAJUSTE" xfId="1879" xr:uid="{99E9B3AD-A3D8-4880-B68E-8D641A7FA33D}"/>
    <cellStyle name="_Abertura-ATUAL-REVISÃO2" xfId="1880" xr:uid="{1CD55C52-F2E8-44CB-A398-E07345EC1E72}"/>
    <cellStyle name="_ADIANTAMENTO SOBRECONTRATAÇÃO" xfId="31" xr:uid="{4CA5F09D-28D1-4506-B45B-1B2EE23877C2}"/>
    <cellStyle name="_ADIANTAMENTO SOBRECONTRATAÇÃO_atualização serviços taxados" xfId="42595" xr:uid="{DD5B8CC9-2D73-4E9C-9757-6E3BEBCE5324}"/>
    <cellStyle name="_ADIANTAMENTO SOBRECONTRATAÇÃO_Cálculo do Financeiro do Baixa Renda" xfId="1881" xr:uid="{FAD09492-3293-44A1-8666-ACB6C08383B3}"/>
    <cellStyle name="_ADIANTAMENTO SOBRECONTRATAÇÃO_Cálculo do Financeiro do Baixa Renda_IRT-cálculo" xfId="1882" xr:uid="{DA675308-1F52-4BCA-B5B6-980A0C5D2149}"/>
    <cellStyle name="_ADIANTAMENTO SOBRECONTRATAÇÃO_Cálculo do Financeiro do Baixa Renda_IRT-cálculo CAPA NEUTRALIDADE" xfId="1883" xr:uid="{619ACB59-B101-4A59-87A6-C161B2AE330A}"/>
    <cellStyle name="_ADIANTAMENTO SOBRECONTRATAÇÃO_Calculo_Subsidio_ELFSM_26_06_08_Modelo_ANEEL" xfId="1884" xr:uid="{855E6AC2-77FB-4357-857D-E911F7DB7EB9}"/>
    <cellStyle name="_ADIANTAMENTO SOBRECONTRATAÇÃO_Calculo_Subsidio_ELFSM_26_06_08_Modelo_ANEEL_IRT_Revisão A-1" xfId="1885" xr:uid="{876CB486-1215-45CC-AF0C-63C94F6BA84B}"/>
    <cellStyle name="_ADIANTAMENTO SOBRECONTRATAÇÃO_Calculo_Subsidio_ELFSM_26_06_08_Modelo_ANEEL_IRT-cálculo" xfId="1886" xr:uid="{66BC6266-3FD8-4E40-870C-4A21D02E0296}"/>
    <cellStyle name="_ADIANTAMENTO SOBRECONTRATAÇÃO_Calculo_Subsidio_ELFSM_26_06_08_Modelo_ANEEL_IRT-cálculo CAPA NEUTRALIDADE" xfId="1887" xr:uid="{EDD8C19E-FCC1-4EDC-A248-CC447793ED5B}"/>
    <cellStyle name="_ADIANTAMENTO SOBRECONTRATAÇÃO_Custo com Avaliação de Ativos para Base de Remuneração" xfId="1888" xr:uid="{AF98F66D-F530-427D-BB07-31129C64D0F1}"/>
    <cellStyle name="_ADIANTAMENTO SOBRECONTRATAÇÃO_Custo com Avaliação de Ativos para Base de Remuneração_IRT-cálculo" xfId="1889" xr:uid="{F4E5F2AD-C734-48CE-A916-8E2ED8487548}"/>
    <cellStyle name="_ADIANTAMENTO SOBRECONTRATAÇÃO_Custo com Avaliação de Ativos para Base de Remuneração_IRT-cálculo CAPA NEUTRALIDADE" xfId="1890" xr:uid="{746C2439-1BBA-4A91-98B3-8527314F6FE3}"/>
    <cellStyle name="_ADIANTAMENTO SOBRECONTRATAÇÃO_Energia Comprada" xfId="1891" xr:uid="{E960996B-C12E-48E3-B119-DC654AFCAA2C}"/>
    <cellStyle name="_ADIANTAMENTO SOBRECONTRATAÇÃO_Energia Comprada_Dados Gerais" xfId="1892" xr:uid="{8C046E6B-4CC0-4825-85CA-46D5E1264B8B}"/>
    <cellStyle name="_ADIANTAMENTO SOBRECONTRATAÇÃO_Energia Comprada_IRT_Revisão A-1" xfId="1893" xr:uid="{FD8683D3-4FF5-48FD-B78B-0C055C0B1747}"/>
    <cellStyle name="_ADIANTAMENTO SOBRECONTRATAÇÃO_Energia Comprada_IRT-cálculo" xfId="1894" xr:uid="{69A8F39D-1D74-4161-A4B6-356FDC1447A1}"/>
    <cellStyle name="_ADIANTAMENTO SOBRECONTRATAÇÃO_Energia Comprada_IRT-cálculo CAPA NEUTRALIDADE" xfId="1895" xr:uid="{B5084AD5-8129-48D4-8D38-02CE8ABF7226}"/>
    <cellStyle name="_ADIANTAMENTO SOBRECONTRATAÇÃO_Fator X" xfId="1507" xr:uid="{CB2B1FB5-EF88-4B8B-8952-C62C2C3DF106}"/>
    <cellStyle name="_ADIANTAMENTO SOBRECONTRATAÇÃO_Fator X_atualização serviços taxados" xfId="42596" xr:uid="{65327822-C716-4111-8714-244C275B715C}"/>
    <cellStyle name="_ADIANTAMENTO SOBRECONTRATAÇÃO_Fator X_Dados Gerais" xfId="1896" xr:uid="{8D2DBAD0-AAEF-44AA-8989-3E93DC40DAB9}"/>
    <cellStyle name="_ADIANTAMENTO SOBRECONTRATAÇÃO_Fator X_Financeiro Desconto na TUSD Consumidores Livres Reajuste 2010 - 03_03_2010" xfId="42597" xr:uid="{E9ADCD7E-B71F-4D62-9DF9-59F12D170608}"/>
    <cellStyle name="_ADIANTAMENTO SOBRECONTRATAÇÃO_Fator X_Financeiro Desconto na TUSD Geradores Reajuste 2010 - 03_03_2010" xfId="42598" xr:uid="{49A52C40-AE3F-458F-A7BA-851ED0FC90E9}"/>
    <cellStyle name="_ADIANTAMENTO SOBRECONTRATAÇÃO_Fator X_Financeiro Subsídio Baixa Renda Reajuste 2010 - 03_03_2010" xfId="42599" xr:uid="{B1FD42DA-1D4C-4FCF-A2CE-1F9FE1FE3746}"/>
    <cellStyle name="_ADIANTAMENTO SOBRECONTRATAÇÃO_Fator X_Financeiro Subsídio Rural Irrigante e Aquicultor Reajuste 2010 - 03_03_2010" xfId="42600" xr:uid="{E3BD5D89-A3A6-49BB-9544-49716C27AC3C}"/>
    <cellStyle name="_ADIANTAMENTO SOBRECONTRATAÇÃO_Fator X_IRT_Revisão A-1" xfId="1897" xr:uid="{DB378294-9BF1-434B-836C-A923B194F8E0}"/>
    <cellStyle name="_ADIANTAMENTO SOBRECONTRATAÇÃO_Fator X_IRT-cálculo" xfId="1898" xr:uid="{08C6BD1A-80E0-4EEE-9BFD-3C2C0DAB7B4B}"/>
    <cellStyle name="_ADIANTAMENTO SOBRECONTRATAÇÃO_Fator X_IRT-cálculo CAPA NEUTRALIDADE" xfId="1899" xr:uid="{FF1CF037-18DC-4585-AEC6-A0085935A35C}"/>
    <cellStyle name="_ADIANTAMENTO SOBRECONTRATAÇÃO_Fator X_SOBRECONTRATAÇÃO E CVA" xfId="1900" xr:uid="{5077E66F-4DCF-4F8D-A721-188B7E4532F7}"/>
    <cellStyle name="_ADIANTAMENTO SOBRECONTRATAÇÃO_Financeiro Desconto na TUSD Consumidores Livres Reajuste 2010 - 03_03_2010" xfId="42601" xr:uid="{D2D50DDD-54EA-435D-A016-DA60C29AB305}"/>
    <cellStyle name="_ADIANTAMENTO SOBRECONTRATAÇÃO_Financeiro Desconto na TUSD Geradores Reajuste 2010 - 03_03_2010" xfId="42602" xr:uid="{630F3ADB-61BA-456C-8593-6E1B22C60A7F}"/>
    <cellStyle name="_ADIANTAMENTO SOBRECONTRATAÇÃO_Financeiro Subsídio Baixa Renda Reajuste 2010 - 03_03_2010" xfId="42603" xr:uid="{4BBAB2A4-EA58-407F-98BE-15B9603F1BBB}"/>
    <cellStyle name="_ADIANTAMENTO SOBRECONTRATAÇÃO_Financeiro Subsídio Rural Irrigante e Aquicultor Reajuste 2010 - 03_03_2010" xfId="42604" xr:uid="{605B83DA-DB54-4F08-A59F-BEF5E3B5EF13}"/>
    <cellStyle name="_ADIANTAMENTO SOBRECONTRATAÇÃO_IF - Autoprodutores 2" xfId="1901" xr:uid="{EA5A69D5-77A9-4D26-8183-11776893B867}"/>
    <cellStyle name="_ADIANTAMENTO SOBRECONTRATAÇÃO_IF_Consumidores livres e geradoras_2010" xfId="1902" xr:uid="{5E207284-5312-49AC-B6DF-C8966CD2AAF2}"/>
    <cellStyle name="_ADIANTAMENTO SOBRECONTRATAÇÃO_IRT (2)" xfId="1508" xr:uid="{51A2D829-95B4-402D-A2D5-20041D7BBF65}"/>
    <cellStyle name="_ADIANTAMENTO SOBRECONTRATAÇÃO_IRT (2) 2" xfId="1903" xr:uid="{1050342C-700E-4288-9083-64CB21D4724A}"/>
    <cellStyle name="_ADIANTAMENTO SOBRECONTRATAÇÃO_IRT_1" xfId="1509" xr:uid="{3ED0CCFD-E2E2-4BC1-AEBF-852123731EE9}"/>
    <cellStyle name="_ADIANTAMENTO SOBRECONTRATAÇÃO_IRT_1_atualização serviços taxados" xfId="42605" xr:uid="{4C8848D1-C1A6-4E22-B469-68DB7E8168B2}"/>
    <cellStyle name="_ADIANTAMENTO SOBRECONTRATAÇÃO_IRT_1_Dados Gerais" xfId="1904" xr:uid="{882EAE7D-2C8B-4B22-BC2A-51477F913259}"/>
    <cellStyle name="_ADIANTAMENTO SOBRECONTRATAÇÃO_IRT_1_Financeiro Desconto na TUSD Consumidores Livres Reajuste 2010 - 03_03_2010" xfId="42606" xr:uid="{F4B743D5-1E71-4D82-8E53-36A6CFE38171}"/>
    <cellStyle name="_ADIANTAMENTO SOBRECONTRATAÇÃO_IRT_1_Financeiro Desconto na TUSD Geradores Reajuste 2010 - 03_03_2010" xfId="42607" xr:uid="{4CEC06EF-106A-4906-BDEE-4C9E70B03005}"/>
    <cellStyle name="_ADIANTAMENTO SOBRECONTRATAÇÃO_IRT_1_Financeiro Subsídio Baixa Renda Reajuste 2010 - 03_03_2010" xfId="42608" xr:uid="{944750C8-D3BE-4396-B403-284361FD7033}"/>
    <cellStyle name="_ADIANTAMENTO SOBRECONTRATAÇÃO_IRT_1_Financeiro Subsídio Rural Irrigante e Aquicultor Reajuste 2010 - 03_03_2010" xfId="42609" xr:uid="{365C740B-C276-4332-AB46-B6D0508DB7E0}"/>
    <cellStyle name="_ADIANTAMENTO SOBRECONTRATAÇÃO_IRT_1_IRT_Revisão A-1" xfId="1905" xr:uid="{9A3E0C1C-97C9-4E26-8941-2E55CABA3D73}"/>
    <cellStyle name="_ADIANTAMENTO SOBRECONTRATAÇÃO_IRT_1_IRT-cálculo" xfId="1906" xr:uid="{8C5F4092-C1E8-41A9-96F9-D61F956A3C55}"/>
    <cellStyle name="_ADIANTAMENTO SOBRECONTRATAÇÃO_IRT_1_IRT-cálculo CAPA NEUTRALIDADE" xfId="1907" xr:uid="{52D69504-67E8-461D-A53E-6EB24BB37704}"/>
    <cellStyle name="_ADIANTAMENTO SOBRECONTRATAÇÃO_IRT_1_SOBRECONTRATAÇÃO E CVA" xfId="1908" xr:uid="{9CDD9CA7-229D-46D1-B2E8-0CCF4037A358}"/>
    <cellStyle name="_ADIANTAMENTO SOBRECONTRATAÇÃO_IRT_Pleito" xfId="1909" xr:uid="{9952E076-6E8C-4B4E-AF4C-65C29E134D53}"/>
    <cellStyle name="_ADIANTAMENTO SOBRECONTRATAÇÃO_IRT_Pleito_Dados Gerais" xfId="1910" xr:uid="{0C8CEF46-BFAC-480D-9D43-77D0A4C9B111}"/>
    <cellStyle name="_ADIANTAMENTO SOBRECONTRATAÇÃO_IRT_Pleito_IRT_Revisão A-1" xfId="1911" xr:uid="{95772ABF-3340-45C6-881E-C5642CF2F887}"/>
    <cellStyle name="_ADIANTAMENTO SOBRECONTRATAÇÃO_IRT_Pleito_IRT-cálculo" xfId="1912" xr:uid="{6471CD39-D11E-4219-BB6D-83DDC9B55DEE}"/>
    <cellStyle name="_ADIANTAMENTO SOBRECONTRATAÇÃO_IRT_Pleito_IRT-cálculo CAPA NEUTRALIDADE" xfId="1913" xr:uid="{FA0B23B8-D82F-4642-9033-508B8EB0117B}"/>
    <cellStyle name="_ADIANTAMENTO SOBRECONTRATAÇÃO_IRT_Revisão A-1" xfId="1914" xr:uid="{2C60073A-E18C-4C9E-A4F2-053F6C6E78DA}"/>
    <cellStyle name="_ADIANTAMENTO SOBRECONTRATAÇÃO_IRT-cálculo" xfId="1915" xr:uid="{F8FDD2A4-7A81-475F-9985-B0026163DFA2}"/>
    <cellStyle name="_ADIANTAMENTO SOBRECONTRATAÇÃO_IRT-cálculo CAPA NEUTRALIDADE" xfId="1916" xr:uid="{52D91097-4A7B-4DE6-B889-D6792F4ADBE3}"/>
    <cellStyle name="_ADIANTAMENTO SOBRECONTRATAÇÃO_Pasta1" xfId="1510" xr:uid="{75B619ED-8059-4516-B4F7-1FF8FEE0CB57}"/>
    <cellStyle name="_ADIANTAMENTO SOBRECONTRATAÇÃO_Pasta1_atualização serviços taxados" xfId="42610" xr:uid="{3B36CBBE-AC54-4647-A887-AC92145D4129}"/>
    <cellStyle name="_ADIANTAMENTO SOBRECONTRATAÇÃO_Pasta1_Dados Gerais" xfId="1917" xr:uid="{D3CCC19D-8B50-4869-9FB0-7B3A9EFC34F4}"/>
    <cellStyle name="_ADIANTAMENTO SOBRECONTRATAÇÃO_Pasta1_Financeiro Desconto na TUSD Consumidores Livres Reajuste 2010 - 03_03_2010" xfId="42611" xr:uid="{D44EB2B0-D3FF-4F43-8B1F-2D5E187ABB5F}"/>
    <cellStyle name="_ADIANTAMENTO SOBRECONTRATAÇÃO_Pasta1_Financeiro Desconto na TUSD Geradores Reajuste 2010 - 03_03_2010" xfId="42612" xr:uid="{ECD65E4C-E84D-4CDA-8706-823D84C0088D}"/>
    <cellStyle name="_ADIANTAMENTO SOBRECONTRATAÇÃO_Pasta1_Financeiro Subsídio Baixa Renda Reajuste 2010 - 03_03_2010" xfId="42613" xr:uid="{604284F9-E988-410B-A4C6-D7105C5CF1E0}"/>
    <cellStyle name="_ADIANTAMENTO SOBRECONTRATAÇÃO_Pasta1_Financeiro Subsídio Rural Irrigante e Aquicultor Reajuste 2010 - 03_03_2010" xfId="42614" xr:uid="{1199EF2C-48BE-4D3A-87F7-504822B1C5A1}"/>
    <cellStyle name="_ADIANTAMENTO SOBRECONTRATAÇÃO_Pasta1_IRT_Revisão A-1" xfId="1918" xr:uid="{6F28ACE1-588C-494F-BD68-F492FD4A447A}"/>
    <cellStyle name="_ADIANTAMENTO SOBRECONTRATAÇÃO_Pasta1_IRT-cálculo" xfId="1919" xr:uid="{610437D2-A35D-459A-9332-52AC56556C8B}"/>
    <cellStyle name="_ADIANTAMENTO SOBRECONTRATAÇÃO_Pasta1_IRT-cálculo CAPA NEUTRALIDADE" xfId="1920" xr:uid="{1634F7D4-9D7B-47A3-AC2D-BDEF52926B10}"/>
    <cellStyle name="_ADIANTAMENTO SOBRECONTRATAÇÃO_Pasta1_SOBRECONTRATAÇÃO E CVA" xfId="1921" xr:uid="{C6434AF6-74E5-4F5E-918E-849E735A5059}"/>
    <cellStyle name="_ADIANTAMENTO SOBRECONTRATAÇÃO_Sheet1" xfId="1922" xr:uid="{F20E4CBA-B179-4086-9ED7-DF7B71C14D40}"/>
    <cellStyle name="_ADIANTAMENTO SOBRECONTRATAÇÃO_Sheet2" xfId="1923" xr:uid="{53E5A490-DBAB-4D43-8E2A-5890B6EBC624}"/>
    <cellStyle name="_ADIANTAMENTO SOBRECONTRATAÇÃO_SOBRECONTRATAÇÃO E CVA" xfId="1924" xr:uid="{CBD2F48D-5836-4308-A276-C320E6D22BA6}"/>
    <cellStyle name="_Ajustes REAJUSTE 2008 ELETROPAULO" xfId="1925" xr:uid="{C4ACE515-EE32-4A1F-A5E1-3300228B36D5}"/>
    <cellStyle name="_Ajustes REVISÃO 2007 ELETROPAULO" xfId="1926" xr:uid="{12F7BBF3-F5D7-4F54-9281-0ABBF7434997}"/>
    <cellStyle name="_Alocação Financeiros" xfId="1511" xr:uid="{0A3083C1-F62F-4462-870B-CC269343695F}"/>
    <cellStyle name="_Alocação Financeiros 2" xfId="1927" xr:uid="{83C4B7C4-D8EF-4C10-978A-FD35F4DD0A4C}"/>
    <cellStyle name="_Alocação Financeiros_atualização serviços taxados" xfId="42615" xr:uid="{2CA7DE59-3C94-415A-956C-EC4BB61CDB8B}"/>
    <cellStyle name="_Alocação Financeiros_Energia Comprada" xfId="1928" xr:uid="{EBEA6090-12F8-4039-8121-232D4E904771}"/>
    <cellStyle name="_Alocação Financeiros_Energia Comprada_Dados Gerais" xfId="1929" xr:uid="{6B75749A-9C6D-4D37-AAFE-5C26E741F79E}"/>
    <cellStyle name="_Alocação Financeiros_Energia Comprada_IRT_Revisão A-1" xfId="1930" xr:uid="{1CD1BBA1-BAEB-42B8-A0BA-58F6B6DFC277}"/>
    <cellStyle name="_Alocação Financeiros_Energia Comprada_IRT-cálculo" xfId="1931" xr:uid="{B6F9EB7E-92E6-4BD8-8591-8C15F19C09D1}"/>
    <cellStyle name="_Alocação Financeiros_Energia Comprada_IRT-cálculo CAPA NEUTRALIDADE" xfId="1932" xr:uid="{328F6B03-E4B8-4935-BDAE-EAF8C23CB585}"/>
    <cellStyle name="_Alocação Financeiros_Fator X" xfId="1512" xr:uid="{2341B937-E520-4F77-A1DC-F77C0C5F40FA}"/>
    <cellStyle name="_Alocação Financeiros_Fator X 2" xfId="1933" xr:uid="{F56E8288-24EF-47F9-A32E-F0FEB75AF36B}"/>
    <cellStyle name="_Alocação Financeiros_Fator X_atualização serviços taxados" xfId="42616" xr:uid="{DAD08F9F-6A1A-4132-9769-DC02020178FD}"/>
    <cellStyle name="_Alocação Financeiros_Fator X_Dados Gerais" xfId="1934" xr:uid="{725E2E4B-CB92-4E33-99BE-759D22C842D1}"/>
    <cellStyle name="_Alocação Financeiros_Fator X_Financeiro Desconto na TUSD Consumidores Livres Reajuste 2010 - 03_03_2010" xfId="42617" xr:uid="{CF766957-6E00-4426-B9AC-0648D5E0408F}"/>
    <cellStyle name="_Alocação Financeiros_Fator X_Financeiro Desconto na TUSD Geradores Reajuste 2010 - 03_03_2010" xfId="42618" xr:uid="{0A92B635-F1AE-4984-8375-46EB472A4A05}"/>
    <cellStyle name="_Alocação Financeiros_Fator X_Financeiro Subsídio Baixa Renda Reajuste 2010 - 03_03_2010" xfId="42619" xr:uid="{B20BF3D6-D839-4E09-BA97-44F3A1941146}"/>
    <cellStyle name="_Alocação Financeiros_Fator X_Financeiro Subsídio Rural Irrigante e Aquicultor Reajuste 2010 - 03_03_2010" xfId="42620" xr:uid="{C3029443-659C-4B06-9ED7-8782BEAC31BF}"/>
    <cellStyle name="_Alocação Financeiros_Fator X_IRT_Revisão A-1" xfId="1935" xr:uid="{C5EE88F3-CB09-4258-97FA-34302B992E38}"/>
    <cellStyle name="_Alocação Financeiros_Fator X_IRT-cálculo" xfId="1936" xr:uid="{8898D667-E16B-4F43-97F2-1CF55247551E}"/>
    <cellStyle name="_Alocação Financeiros_Fator X_IRT-cálculo CAPA NEUTRALIDADE" xfId="1937" xr:uid="{1AD3DD4A-F222-44E4-9202-3680C418D416}"/>
    <cellStyle name="_Alocação Financeiros_Fator X_SOBRECONTRATAÇÃO E CVA" xfId="1938" xr:uid="{4124DC8A-2FFC-4FE9-B699-18FB383B58D4}"/>
    <cellStyle name="_Alocação Financeiros_Financeiro Desconto na TUSD Consumidores Livres Reajuste 2010 - 03_03_2010" xfId="42621" xr:uid="{A0AB42B3-4056-4636-8256-E98060E75DF5}"/>
    <cellStyle name="_Alocação Financeiros_Financeiro Desconto na TUSD Geradores Reajuste 2010 - 03_03_2010" xfId="42622" xr:uid="{C1D598E7-D879-40F5-BAA6-E8415EE5F15D}"/>
    <cellStyle name="_Alocação Financeiros_Financeiro Subsídio Baixa Renda Reajuste 2010 - 03_03_2010" xfId="42623" xr:uid="{E39520F0-04A3-4BEF-8471-01FC8D6BE31B}"/>
    <cellStyle name="_Alocação Financeiros_Financeiro Subsídio Rural Irrigante e Aquicultor Reajuste 2010 - 03_03_2010" xfId="42624" xr:uid="{F6DBA66C-E036-4591-B0AF-7FB996FD9E1E}"/>
    <cellStyle name="_Alocação Financeiros_IRT (2)" xfId="1513" xr:uid="{2BE6C4A1-5012-4B9B-9F6E-ECC82950AD27}"/>
    <cellStyle name="_Alocação Financeiros_IRT_1" xfId="1514" xr:uid="{9A3682E8-ED39-41B3-9287-50106CD9BC39}"/>
    <cellStyle name="_Alocação Financeiros_IRT_1 2" xfId="1939" xr:uid="{DE1FAECE-7C77-4158-831D-B4B0F1178BAF}"/>
    <cellStyle name="_Alocação Financeiros_IRT_1_atualização serviços taxados" xfId="42625" xr:uid="{EE5AB80E-5452-4EE5-9B5A-435747CF2E11}"/>
    <cellStyle name="_Alocação Financeiros_IRT_1_Dados Gerais" xfId="1940" xr:uid="{87AB714B-9184-48D6-AEC3-486131A873C1}"/>
    <cellStyle name="_Alocação Financeiros_IRT_1_Financeiro Desconto na TUSD Consumidores Livres Reajuste 2010 - 03_03_2010" xfId="42626" xr:uid="{A9098D69-7767-49F3-BA96-7C135B78A213}"/>
    <cellStyle name="_Alocação Financeiros_IRT_1_Financeiro Desconto na TUSD Geradores Reajuste 2010 - 03_03_2010" xfId="42627" xr:uid="{598598A0-AA7C-4A51-8A8A-8FB95B2E06EA}"/>
    <cellStyle name="_Alocação Financeiros_IRT_1_Financeiro Subsídio Baixa Renda Reajuste 2010 - 03_03_2010" xfId="42628" xr:uid="{63D7E648-4388-49C1-8A7D-B5319B601E3D}"/>
    <cellStyle name="_Alocação Financeiros_IRT_1_Financeiro Subsídio Rural Irrigante e Aquicultor Reajuste 2010 - 03_03_2010" xfId="42629" xr:uid="{39088A10-3965-42D7-85B3-7445CE64D1E0}"/>
    <cellStyle name="_Alocação Financeiros_IRT_1_IRT_Revisão A-1" xfId="1941" xr:uid="{993D2F38-1614-4003-B78B-D6AF02B21A16}"/>
    <cellStyle name="_Alocação Financeiros_IRT_1_IRT-cálculo" xfId="1942" xr:uid="{4FE60CF1-0032-48AC-A12F-9BB748F4C175}"/>
    <cellStyle name="_Alocação Financeiros_IRT_1_IRT-cálculo CAPA NEUTRALIDADE" xfId="1943" xr:uid="{BAD5A56B-5BE3-47B7-AE19-246587C4F834}"/>
    <cellStyle name="_Alocação Financeiros_IRT_1_SOBRECONTRATAÇÃO E CVA" xfId="1944" xr:uid="{C5899EF2-E5EB-48E2-9264-2A3D322475CF}"/>
    <cellStyle name="_Alocação Financeiros_IRT_Revisão A-1" xfId="1945" xr:uid="{B7CA1805-8E5D-4281-A988-5B186C6A6DFC}"/>
    <cellStyle name="_Alocação Financeiros_IRT-cálculo" xfId="1946" xr:uid="{D8D61526-55DD-4754-9223-45153A6D189E}"/>
    <cellStyle name="_Alocação Financeiros_IRT-cálculo CAPA NEUTRALIDADE" xfId="1947" xr:uid="{250E59DA-D9BA-44B5-91E9-D930F287AE12}"/>
    <cellStyle name="_Alocação Financeiros_Pasta1" xfId="1515" xr:uid="{9C38B90B-06A6-4CE9-A915-3B4613BC0613}"/>
    <cellStyle name="_Alocação Financeiros_Pasta1 2" xfId="1948" xr:uid="{6663BE05-2229-4A4A-8544-FECA00027A6B}"/>
    <cellStyle name="_Alocação Financeiros_Pasta1_atualização serviços taxados" xfId="42630" xr:uid="{ADEF1A6B-FD24-4AD2-A58A-9A04E4A5812D}"/>
    <cellStyle name="_Alocação Financeiros_Pasta1_Financeiro Desconto na TUSD Consumidores Livres Reajuste 2010 - 03_03_2010" xfId="42631" xr:uid="{1D523700-8E81-4F75-B353-55B73295B968}"/>
    <cellStyle name="_Alocação Financeiros_Pasta1_Financeiro Desconto na TUSD Geradores Reajuste 2010 - 03_03_2010" xfId="42632" xr:uid="{3701BC38-8EED-46CD-A2C3-4E4480CEB9DA}"/>
    <cellStyle name="_Alocação Financeiros_Pasta1_Financeiro Subsídio Baixa Renda Reajuste 2010 - 03_03_2010" xfId="42633" xr:uid="{613D7849-1F0A-4C9D-B580-D7EF4ADE4FB0}"/>
    <cellStyle name="_Alocação Financeiros_Pasta1_Financeiro Subsídio Rural Irrigante e Aquicultor Reajuste 2010 - 03_03_2010" xfId="42634" xr:uid="{4893D745-CB38-4062-9C47-1BADD0EC212F}"/>
    <cellStyle name="_Alocação Financeiros_Pasta1_IRT-cálculo" xfId="1949" xr:uid="{2071D44E-8F15-4840-8BE1-0A0B2B3767B4}"/>
    <cellStyle name="_Alocação Financeiros_Pasta1_IRT-cálculo CAPA NEUTRALIDADE" xfId="1950" xr:uid="{E753D610-BA60-4BA9-AFE9-572573E92D49}"/>
    <cellStyle name="_Alocação Financeiros_Pasta1_SOBRECONTRATAÇÃO E CVA" xfId="1951" xr:uid="{D79AAC34-06EC-4167-A930-2F12C890CC98}"/>
    <cellStyle name="_Alocação Financeiros_SOBRECONTRATAÇÃO E CVA" xfId="1952" xr:uid="{E49C99EC-059C-4EAC-840A-732B206E3EA2}"/>
    <cellStyle name="_AMPLA_Repasse sobrecontratação" xfId="32" xr:uid="{2D9AEC39-F424-43EE-9B5E-F9611AA87292}"/>
    <cellStyle name="_AMPLA_Repasse sobrecontratação 2" xfId="1188" xr:uid="{6950802B-0159-47C3-A0DD-F30B6C728D54}"/>
    <cellStyle name="_AMPLA_Repasse sobrecontratação 3" xfId="1953" xr:uid="{AEE7FCA1-D921-4833-BE6D-A738A7C0E1E2}"/>
    <cellStyle name="_AMPLA_Repasse sobrecontratação_Exposição" xfId="42635" xr:uid="{E73CB223-BB40-4AAA-B02D-C75FA4513218}"/>
    <cellStyle name="_AMPLA_Repasse sobrecontratação_Exposição_Agosto 2" xfId="1954" xr:uid="{62B9E4EB-53DC-4847-B04D-F9E6D7012953}"/>
    <cellStyle name="_AMPLA_Repasse sobrecontratação_IRT_CERON_2008" xfId="42636" xr:uid="{D665878F-13E6-4937-B1D0-0209B436B317}"/>
    <cellStyle name="_AMPLA_Repasse sobrecontratação_IRT_Revisão A-2" xfId="1955" xr:uid="{E63F47D0-79E7-4D77-9E3C-0D8C3A9FB0EB}"/>
    <cellStyle name="_Análise Coteminas" xfId="1956" xr:uid="{B1153A15-3EC8-4A97-B235-633829970B74}"/>
    <cellStyle name="_Análise empresas SCL_ws" xfId="1957" xr:uid="{F5F0554F-AD02-47D4-8397-D9A8A26DECED}"/>
    <cellStyle name="_Análise Pleitos ER ENERGIPE" xfId="1958" xr:uid="{41E2B907-FD6F-4EE4-967F-7F5EED593671}"/>
    <cellStyle name="_ANEEL_FINAL_4ªRTP_ESCELSA_Planilhas" xfId="1959" xr:uid="{CC901762-9F6B-4CFA-BFB7-8FED7A20C160}"/>
    <cellStyle name="_ANEEL_FINAL_4ªRTP_ESCELSA_Planilhas_IRT-cálculo" xfId="1960" xr:uid="{51D25779-3F65-4532-923F-29833E7BD78B}"/>
    <cellStyle name="_ANEEL_FINAL_4ªRTP_ESCELSA_Planilhas_IRT-cálculo CAPA NEUTRALIDADE" xfId="1961" xr:uid="{F35FF4CC-8FF9-411B-85B3-CD9129286B57}"/>
    <cellStyle name="_ANEXO II_Carta_CT_DP_3_06_Memória" xfId="33" xr:uid="{4B02D482-61D6-4BA9-B670-5D435CDD59C4}"/>
    <cellStyle name="_ANEXO II_Carta_CT_DP_3_06_Memória_IF - Autoprodutores 2" xfId="1962" xr:uid="{2D593904-B587-4317-B4D5-4C7964C61B41}"/>
    <cellStyle name="_ANEXO II_Carta_CT_DP_3_06_Memória_IF_Consumidores livres e geradoras_2010" xfId="1963" xr:uid="{C2E42B2B-6D00-40F0-BA78-FBD3810B9293}"/>
    <cellStyle name="_ANEXO II_Carta_CT_DP_3_06_Memória_IRT_Revisão A-1" xfId="1964" xr:uid="{C453C6FC-1027-4D91-8ADC-998ED678C3CA}"/>
    <cellStyle name="_ANEXO II_Carta_CT_DP_3_06_Memória_IRT-cálculo" xfId="1965" xr:uid="{6D35A51F-7FCF-4FDD-ACAB-F1C9E01C59EA}"/>
    <cellStyle name="_ANEXO II_Carta_CT_DP_3_06_Memória_IRT-cálculo CAPA NEUTRALIDADE" xfId="1966" xr:uid="{480F4BFE-A3AC-46C0-B83F-B1B8F2CC0844}"/>
    <cellStyle name="_ANEXO II_Carta_CT_DP_3_06_Memória_Sheet1" xfId="1967" xr:uid="{E761F2E9-6461-436F-B2EB-645858736A7F}"/>
    <cellStyle name="_Ativo 3% e exposição 2009" xfId="42637" xr:uid="{21977906-737C-4861-BBD1-45DDB3480163}"/>
    <cellStyle name="_atualização serviços taxados" xfId="42638" xr:uid="{1C6CCC59-84FF-4EA4-A3B4-5EBA36B25944}"/>
    <cellStyle name="_Autoprodução - mai09" xfId="1968" xr:uid="{E91E11FA-3D54-444C-9331-08E6E493170B}"/>
    <cellStyle name="_BALANCO" xfId="1969" xr:uid="{4563B91F-E340-4482-8F5E-083DC2B9278D}"/>
    <cellStyle name="_BALANÇO" xfId="1970" xr:uid="{F3CF67DE-4BBC-4D21-8019-FB87E7934B0F}"/>
    <cellStyle name="_Balanço_Energetico" xfId="1971" xr:uid="{67BF15D1-484F-4338-B375-23DB1ABEEE8E}"/>
    <cellStyle name="_Balanço_Energetico_IRT-cálculo" xfId="1972" xr:uid="{16424044-E2E7-4A82-A22C-B239CA455F90}"/>
    <cellStyle name="_Balanço_Energetico_IRT-cálculo CAPA NEUTRALIDADE" xfId="1973" xr:uid="{C3D70FA9-1792-4C0B-90C5-91854D9DA13C}"/>
    <cellStyle name="_BALANÇO_IF - Autoprodutores 2" xfId="1974" xr:uid="{97220DBC-F998-4040-BD8E-69DE780C285B}"/>
    <cellStyle name="_BALANÇO_IF_Consumidores livres e geradoras_2010" xfId="1975" xr:uid="{61D0484B-F3A7-4821-94BD-CDEC21240764}"/>
    <cellStyle name="_BALANÇO_Sheet1" xfId="1976" xr:uid="{B0A42F2C-FC88-46F4-B812-D73F5D26CA35}"/>
    <cellStyle name="_BANCO DE DADOS_2010" xfId="42535" xr:uid="{EA586890-8892-4C34-97C5-DD74CB176164}"/>
    <cellStyle name="_Bragantina-SobrasExposição1" xfId="34" xr:uid="{C53D335C-C7B9-4DFA-8FC1-8B2FF482BB34}"/>
    <cellStyle name="_Bragantina-SobrasExposição1 2" xfId="1189" xr:uid="{EF37A8BB-BB76-46F3-96D6-AF75BD6D644F}"/>
    <cellStyle name="_Bragantina-SobrasExposição1_atualização serviços taxados" xfId="42639" xr:uid="{C9369B32-F71C-4586-BEB8-703840B379B0}"/>
    <cellStyle name="_Bragantina-SobrasExposição1_Balanço" xfId="35" xr:uid="{1D770580-837E-4046-A14B-00D6C2CE95F9}"/>
    <cellStyle name="_Bragantina-SobrasExposição1_casulo 15" xfId="36" xr:uid="{EF97A893-6C97-41F5-9182-546D885ABD26}"/>
    <cellStyle name="_Bragantina-SobrasExposição1_Energia Comprada" xfId="1977" xr:uid="{DF0D3808-6311-4997-A82D-131E7CD5C145}"/>
    <cellStyle name="_Bragantina-SobrasExposição1_Energia Comprada_IRT-cálculo" xfId="1978" xr:uid="{99CF4BDA-D713-410B-BDFE-59F9ACAB1C50}"/>
    <cellStyle name="_Bragantina-SobrasExposição1_Energia Comprada_IRT-cálculo CAPA NEUTRALIDADE" xfId="1979" xr:uid="{3623362D-83D6-4F9B-8BB1-0E7A072FB821}"/>
    <cellStyle name="_Bragantina-SobrasExposição1_Exposição_Agosto 2" xfId="1980" xr:uid="{C49267DD-45A5-4652-A68F-D841ACCCCFBA}"/>
    <cellStyle name="_Bragantina-SobrasExposição1_Fator X" xfId="1516" xr:uid="{F013410E-AD72-4493-B08D-E1449839DADF}"/>
    <cellStyle name="_Bragantina-SobrasExposição1_Fator X 2" xfId="1981" xr:uid="{1C959638-01FE-4692-9BC2-0C949B557D9B}"/>
    <cellStyle name="_Bragantina-SobrasExposição1_Fator X_atualização serviços taxados" xfId="42640" xr:uid="{13F4F093-D394-46ED-8E56-D1FE56E5E386}"/>
    <cellStyle name="_Bragantina-SobrasExposição1_Fator X_Financeiro Desconto na TUSD Consumidores Livres Reajuste 2010 - 03_03_2010" xfId="42641" xr:uid="{D908377C-3B79-41AD-B609-A7619CD5AA73}"/>
    <cellStyle name="_Bragantina-SobrasExposição1_Fator X_Financeiro Desconto na TUSD Geradores Reajuste 2010 - 03_03_2010" xfId="42642" xr:uid="{7355AF33-77C9-4502-96D1-E5E788EAFFEC}"/>
    <cellStyle name="_Bragantina-SobrasExposição1_Fator X_Financeiro Subsídio Baixa Renda Reajuste 2010 - 03_03_2010" xfId="42643" xr:uid="{FBA4C85D-02AB-4AA9-ABB2-8FD4AAC11E5F}"/>
    <cellStyle name="_Bragantina-SobrasExposição1_Fator X_Financeiro Subsídio Rural Irrigante e Aquicultor Reajuste 2010 - 03_03_2010" xfId="42644" xr:uid="{026EAB54-5E77-4F62-AE42-7005DA727318}"/>
    <cellStyle name="_Bragantina-SobrasExposição1_Fator X_IRT-cálculo" xfId="1982" xr:uid="{BF292E55-C408-4C3A-8D88-B948B1323986}"/>
    <cellStyle name="_Bragantina-SobrasExposição1_Fator X_IRT-cálculo CAPA NEUTRALIDADE" xfId="1983" xr:uid="{9D2ECE8B-E4F5-4648-A119-98ADCBB0DA4D}"/>
    <cellStyle name="_Bragantina-SobrasExposição1_Fator X_SOBRECONTRATAÇÃO E CVA" xfId="1984" xr:uid="{417E4931-D989-4C1A-A399-95014162D97B}"/>
    <cellStyle name="_Bragantina-SobrasExposição1_Financeiro Desconto na TUSD Consumidores Livres Reajuste 2010 - 03_03_2010" xfId="42645" xr:uid="{878D07B8-887B-4493-9421-FF52A7D7061C}"/>
    <cellStyle name="_Bragantina-SobrasExposição1_Financeiro Desconto na TUSD Geradores Reajuste 2010 - 03_03_2010" xfId="42646" xr:uid="{6AC30A7A-C574-49EC-972B-AEDAAD29996D}"/>
    <cellStyle name="_Bragantina-SobrasExposição1_Financeiro Subsídio Baixa Renda Reajuste 2010 - 03_03_2010" xfId="42647" xr:uid="{9A3FAA5A-358F-4BE3-BCE8-4CCC48F6B1D0}"/>
    <cellStyle name="_Bragantina-SobrasExposição1_Financeiro Subsídio Rural Irrigante e Aquicultor Reajuste 2010 - 03_03_2010" xfId="42648" xr:uid="{E7F19632-3254-4B00-BEF6-421ACE73CF6A}"/>
    <cellStyle name="_Bragantina-SobrasExposição1_IMPACTO RECEITA" xfId="37" xr:uid="{555C114B-8769-4526-B8B8-B31A82FDF3DC}"/>
    <cellStyle name="_Bragantina-SobrasExposição1_IMPACTO RECEITA 2" xfId="1190" xr:uid="{8B52C0AC-A995-4CBF-A5AA-E7C9038F87A5}"/>
    <cellStyle name="_Bragantina-SobrasExposição1_IMPACTO RECEITA_Balanço" xfId="38" xr:uid="{3EDF277D-CC06-4F72-853D-6AB518753F24}"/>
    <cellStyle name="_Bragantina-SobrasExposição1_IMPACTO RECEITA_casulo 15" xfId="39" xr:uid="{3ED89A42-F88B-4FF0-8247-A7B7903FCD22}"/>
    <cellStyle name="_Bragantina-SobrasExposição1_IMPACTO RECEITA_IRT EEB 2010" xfId="1985" xr:uid="{9216C0ED-E648-497E-BBA6-561BCAF0C8B0}"/>
    <cellStyle name="_Bragantina-SobrasExposição1_IRT (2)" xfId="1517" xr:uid="{0D757633-4C5E-4FE2-A613-EA96C26F5856}"/>
    <cellStyle name="_Bragantina-SobrasExposição1_IRT EEB 2010" xfId="1986" xr:uid="{1756F3D8-C228-49E6-92D4-D2DA538D6E94}"/>
    <cellStyle name="_Bragantina-SobrasExposição1_IRT_1" xfId="1518" xr:uid="{3C1CB098-7EB6-4756-ADB6-AEA5BC871926}"/>
    <cellStyle name="_Bragantina-SobrasExposição1_IRT_1 2" xfId="1987" xr:uid="{A7C337DD-5C55-4B10-B8D2-BAE4FD2A3F59}"/>
    <cellStyle name="_Bragantina-SobrasExposição1_IRT_1_atualização serviços taxados" xfId="42649" xr:uid="{E44C8182-B360-4425-9E3F-011E5BAFB9B3}"/>
    <cellStyle name="_Bragantina-SobrasExposição1_IRT_1_Financeiro Desconto na TUSD Consumidores Livres Reajuste 2010 - 03_03_2010" xfId="42650" xr:uid="{94351CDD-C4B3-45B1-A680-20B173F83361}"/>
    <cellStyle name="_Bragantina-SobrasExposição1_IRT_1_Financeiro Desconto na TUSD Geradores Reajuste 2010 - 03_03_2010" xfId="42651" xr:uid="{70EF171B-C2E9-48BB-AE20-3D52311ACD1B}"/>
    <cellStyle name="_Bragantina-SobrasExposição1_IRT_1_Financeiro Subsídio Baixa Renda Reajuste 2010 - 03_03_2010" xfId="42652" xr:uid="{FE2A8AAC-6125-43B1-9AED-FC3378BC62DE}"/>
    <cellStyle name="_Bragantina-SobrasExposição1_IRT_1_Financeiro Subsídio Rural Irrigante e Aquicultor Reajuste 2010 - 03_03_2010" xfId="42653" xr:uid="{721863E7-3156-4770-A1E4-38696EC4AA61}"/>
    <cellStyle name="_Bragantina-SobrasExposição1_IRT_1_IRT-cálculo" xfId="1988" xr:uid="{C66B48D3-D68A-47A0-A093-0B764C789387}"/>
    <cellStyle name="_Bragantina-SobrasExposição1_IRT_1_IRT-cálculo CAPA NEUTRALIDADE" xfId="1989" xr:uid="{8B3576B5-6981-463C-9C59-C3C7F09D121C}"/>
    <cellStyle name="_Bragantina-SobrasExposição1_IRT_1_SOBRECONTRATAÇÃO E CVA" xfId="1990" xr:uid="{0979CF96-0DBA-4E2A-A882-1B6AD74AA09D}"/>
    <cellStyle name="_Bragantina-SobrasExposição1_IRT_Revisão A-2" xfId="1991" xr:uid="{24EE3C19-1454-4FA8-AE8A-D0382C60DC6F}"/>
    <cellStyle name="_Bragantina-SobrasExposição1_IRT-cálculo" xfId="1992" xr:uid="{2C7B9434-E18B-4C9F-9857-76AEF5BAD574}"/>
    <cellStyle name="_Bragantina-SobrasExposição1_IRT-cálculo CAPA NEUTRALIDADE" xfId="1993" xr:uid="{6694FF54-3D9C-4101-B828-D9FE37B610E6}"/>
    <cellStyle name="_Bragantina-SobrasExposição1_Pasta1" xfId="1519" xr:uid="{9D29DF9E-97C7-49E6-875C-1B977A76B6DF}"/>
    <cellStyle name="_Bragantina-SobrasExposição1_Pasta1 2" xfId="1994" xr:uid="{7CB713EC-D910-4575-BB9C-973852FD56AA}"/>
    <cellStyle name="_Bragantina-SobrasExposição1_Pasta1_atualização serviços taxados" xfId="42654" xr:uid="{6A6A7090-CC77-4F3C-91EF-47301FEA549E}"/>
    <cellStyle name="_Bragantina-SobrasExposição1_Pasta1_Financeiro Desconto na TUSD Consumidores Livres Reajuste 2010 - 03_03_2010" xfId="42655" xr:uid="{D07FCBD4-B2CD-483C-BE91-1BE411D5335C}"/>
    <cellStyle name="_Bragantina-SobrasExposição1_Pasta1_Financeiro Desconto na TUSD Geradores Reajuste 2010 - 03_03_2010" xfId="42656" xr:uid="{66A26719-F4D3-4B82-82A2-3EC72BAC238A}"/>
    <cellStyle name="_Bragantina-SobrasExposição1_Pasta1_Financeiro Subsídio Baixa Renda Reajuste 2010 - 03_03_2010" xfId="42657" xr:uid="{6B147025-08B0-4BC4-A38B-8506CE407EF6}"/>
    <cellStyle name="_Bragantina-SobrasExposição1_Pasta1_Financeiro Subsídio Rural Irrigante e Aquicultor Reajuste 2010 - 03_03_2010" xfId="42658" xr:uid="{F21A2A83-3DA0-4A56-A11A-79F743932E0A}"/>
    <cellStyle name="_Bragantina-SobrasExposição1_Pasta1_IRT-cálculo" xfId="1995" xr:uid="{5FD6A152-5BA8-434C-9C77-6A9893FA953F}"/>
    <cellStyle name="_Bragantina-SobrasExposição1_Pasta1_IRT-cálculo CAPA NEUTRALIDADE" xfId="1996" xr:uid="{E7F6159C-C8F2-4C73-B399-09125522FB3B}"/>
    <cellStyle name="_Bragantina-SobrasExposição1_Pasta1_SOBRECONTRATAÇÃO E CVA" xfId="1997" xr:uid="{17C4FCE0-323B-45F2-AA26-B54FD96505B6}"/>
    <cellStyle name="_Bragantina-SobrasExposição1_Simulação CEPISA XX_08_07" xfId="1520" xr:uid="{1791D4EE-44BA-454D-8D55-6672B3BBF675}"/>
    <cellStyle name="_Bragantina-SobrasExposição1_SOBRECONTRATAÇÃO E CVA" xfId="1998" xr:uid="{6280DBF2-AADC-4407-B7C5-9F3014DBBA26}"/>
    <cellStyle name="_C_CVA_Rede Básica_2008" xfId="1999" xr:uid="{C1D87C42-20AB-49E1-A6C3-AC43EF5DD26C}"/>
    <cellStyle name="_Calculo Tarifa" xfId="2000" xr:uid="{7346F47E-74CC-49B3-ABEE-3F282CC6231B}"/>
    <cellStyle name="_Calculo_Subsidio_ELFSM_26_06_08_Modelo_ANEEL" xfId="2001" xr:uid="{B452299B-9CB8-42BB-8091-0F16AE85425F}"/>
    <cellStyle name="_Calculo_Subsidio_ELFSM_26_06_08_Modelo_ANEEL_IRT-cálculo" xfId="2002" xr:uid="{AC994F01-9359-4571-A9B5-9B2DA51ED6B3}"/>
    <cellStyle name="_Calculo_Subsidio_ELFSM_26_06_08_Modelo_ANEEL_IRT-cálculo CAPA NEUTRALIDADE" xfId="2003" xr:uid="{4E01E069-DB9C-499C-8358-641BFFCEC00B}"/>
    <cellStyle name="_Cartilha CEB" xfId="2004" xr:uid="{42DF7968-9230-408F-AACD-5B4CBE108077}"/>
    <cellStyle name="_CELPE - Repasse sobrecontratação" xfId="40" xr:uid="{E6BA1A1A-7ADF-40E1-B187-77FAA6535C60}"/>
    <cellStyle name="_CELPE - Repasse sobrecontratação 2" xfId="41" xr:uid="{C3033013-AC49-4FE6-BA4E-50A322C6CB76}"/>
    <cellStyle name="_CELPE - Repasse sobrecontratação 2 2" xfId="1191" xr:uid="{CAAF5C71-19A8-4C06-914D-CA7E68A7E648}"/>
    <cellStyle name="_CELPE - Repasse sobrecontratação 2 3" xfId="2005" xr:uid="{AFF98A89-5350-4E20-87FE-7490CB250FF8}"/>
    <cellStyle name="_CELPE - Repasse sobrecontratação 2_Exposição" xfId="42659" xr:uid="{405127A2-7CD5-4681-8A69-A3BB6908D810}"/>
    <cellStyle name="_CELPE - Repasse sobrecontratação 2_Exposição_Agosto 2" xfId="2006" xr:uid="{CBE373D6-8591-4E02-AA64-5D6975AF51F7}"/>
    <cellStyle name="_CELPE - Repasse sobrecontratação 2_IRT_CERON_2008" xfId="42660" xr:uid="{3F8E0D48-8A1C-463A-9829-48128C3F6E2E}"/>
    <cellStyle name="_CELPE - Repasse sobrecontratação 2_IRT_Revisão A-2" xfId="2007" xr:uid="{7608ED73-3FC8-4728-ABBA-E7DBD6B9BBF5}"/>
    <cellStyle name="_CELPE - Repasse sobrecontratação 3" xfId="1192" xr:uid="{CD9742EC-896A-4AF3-8E23-C2D2DA6622A6}"/>
    <cellStyle name="_CELPE - Repasse sobrecontratação 4" xfId="2008" xr:uid="{28B985B2-CC1F-4A39-BDF3-1C940F2970F8}"/>
    <cellStyle name="_CELPE - Repasse sobrecontratação_Exposição" xfId="42661" xr:uid="{43D791AE-9835-47FA-8737-DF8598137D84}"/>
    <cellStyle name="_CELPE - Repasse sobrecontratação_Exposição_Agosto 2" xfId="2009" xr:uid="{F79F573B-56EB-4522-A186-24D7767398D8}"/>
    <cellStyle name="_CELPE - Repasse sobrecontratação_IRT_CERON_2008" xfId="42662" xr:uid="{FCB38DC8-4E1C-4A6E-A9A2-2312D80A159A}"/>
    <cellStyle name="_CELPE - Repasse sobrecontratação_IRT_Revisão A-2" xfId="2010" xr:uid="{D88285ED-274E-4830-AFBA-2E279F69AF61}"/>
    <cellStyle name="_CEMAT - Repasse sobrecontratação" xfId="2011" xr:uid="{A7D22D88-1F6F-41A7-9A34-FFBC7C54F186}"/>
    <cellStyle name="_CEMIG - Repasse sobrecontratação" xfId="42" xr:uid="{D1C80ED4-547C-4571-BC2C-A92537CC2F95}"/>
    <cellStyle name="_CEMIG - Repasse sobrecontratação 2" xfId="1193" xr:uid="{9E868411-0537-4442-83E3-4AD2DAF0752F}"/>
    <cellStyle name="_CEMIG - Repasse sobrecontratação 3" xfId="2012" xr:uid="{AB03DDE3-1F58-4C25-A3EA-91F346CD0FFC}"/>
    <cellStyle name="_CEMIG - Repasse sobrecontratação_Exposição" xfId="42663" xr:uid="{1D2F9D49-2BB2-40BF-B4D8-5CF5CC88B5C7}"/>
    <cellStyle name="_CEMIG - Repasse sobrecontratação_Exposição_Agosto 2" xfId="2013" xr:uid="{8A7A165A-A12C-49A2-9B33-830E87FDECE4}"/>
    <cellStyle name="_CEMIG - Repasse sobrecontratação_IRT_CERON_2008" xfId="42664" xr:uid="{7250C878-BD94-484D-B826-7681EA704AF8}"/>
    <cellStyle name="_CEMIG - Repasse sobrecontratação_IRT_Revisão A-2" xfId="2014" xr:uid="{F141DF41-3388-459D-9229-345114DF9E1C}"/>
    <cellStyle name="_COELBA_90 - Apuração da Receita e Reversão_IRT 2009_07_08_08" xfId="42665" xr:uid="{C57EE4C2-CBD1-44DB-BDC5-59EC4C587D3C}"/>
    <cellStyle name="_COELBA_99 - Indicadores Econômicos" xfId="42666" xr:uid="{A4796480-E193-419F-A8AA-F710828F70A4}"/>
    <cellStyle name="_COELCE - Memória de Cálculo ICMS não Compensado (atualizado)" xfId="42667" xr:uid="{2B01C41A-2211-4A18-8854-302817BE4261}"/>
    <cellStyle name="_Comprovação_Itens_Financeiros" xfId="2015" xr:uid="{6C0C9F3A-0032-4CD1-939C-6AD3786055D0}"/>
    <cellStyle name="_Comprovação_Itens_Financeiros_IRT-cálculo" xfId="2016" xr:uid="{1FACC4D7-AD2C-4518-8AC2-24D7BEC690B6}"/>
    <cellStyle name="_Comprovação_Itens_Financeiros_IRT-cálculo CAPA NEUTRALIDADE" xfId="2017" xr:uid="{480BB858-99FB-4600-B358-31E4333092B6}"/>
    <cellStyle name="_Conferido Calculo_Subsídios_ENERGISA_MG" xfId="2018" xr:uid="{B8CA8E6C-0027-463D-8168-5D6468830B5D}"/>
    <cellStyle name="_Consumidor livre - EPB - mai09" xfId="2019" xr:uid="{F4823404-22AE-4C90-9122-4D5566FD50E2}"/>
    <cellStyle name="_Controle RT EMG" xfId="2020" xr:uid="{F29A042B-C0C5-4170-A730-07706B2745C9}"/>
    <cellStyle name="_Cooperativas - ESE 2010" xfId="2021" xr:uid="{9E7CF04B-8121-423D-8C44-2517FA8D2F04}"/>
    <cellStyle name="_Cópia (2) de PLPT_PLANILHA_CÁLCULO_DÉFICIT_RESOLUÇÃO_294_2007" xfId="2022" xr:uid="{37B442FE-302E-4DF7-851C-96B3974AC19D}"/>
    <cellStyle name="_Cópia de 2006.05.10 EEB IRT 2006 pleito" xfId="43" xr:uid="{C4F5F7DB-1F3E-40BB-952E-544CCC7C59C1}"/>
    <cellStyle name="_Cópia de 2006.05.10 EEB IRT 2006 pleito 2" xfId="1194" xr:uid="{DE367369-AFF6-4513-B74F-060EF2F4F32C}"/>
    <cellStyle name="_Cópia de 2006.05.10 EEB IRT 2006 pleito_atualização serviços taxados" xfId="42668" xr:uid="{FA432B0C-FA68-4551-B0DD-574FD5DEA744}"/>
    <cellStyle name="_Cópia de 2006.05.10 EEB IRT 2006 pleito_Balanço" xfId="44" xr:uid="{3C546E24-08B0-4E00-B7FC-4F4675918F03}"/>
    <cellStyle name="_Cópia de 2006.05.10 EEB IRT 2006 pleito_casulo 15" xfId="45" xr:uid="{D48ECCEF-8AC1-4FC9-ACB7-6CE3B76D8A44}"/>
    <cellStyle name="_Cópia de 2006.05.10 EEB IRT 2006 pleito_Energia Comprada" xfId="2023" xr:uid="{C99E715D-41C7-406B-B58F-877F5C0D260D}"/>
    <cellStyle name="_Cópia de 2006.05.10 EEB IRT 2006 pleito_Energia Comprada_IRT-cálculo" xfId="2024" xr:uid="{D216DC5C-531C-46B4-AC78-4FD3472A2660}"/>
    <cellStyle name="_Cópia de 2006.05.10 EEB IRT 2006 pleito_Energia Comprada_IRT-cálculo CAPA NEUTRALIDADE" xfId="2025" xr:uid="{2738FD8A-F17B-4002-A6D3-1BE0A472A632}"/>
    <cellStyle name="_Cópia de 2006.05.10 EEB IRT 2006 pleito_Exposição_Agosto 2" xfId="2026" xr:uid="{E436A4FA-D6C9-4D3E-B572-52D027B88E5B}"/>
    <cellStyle name="_Cópia de 2006.05.10 EEB IRT 2006 pleito_Fator X" xfId="1521" xr:uid="{FACF9B82-C55A-4F76-8564-6D99B741A06F}"/>
    <cellStyle name="_Cópia de 2006.05.10 EEB IRT 2006 pleito_Fator X 2" xfId="2027" xr:uid="{CEFA96AC-DCB8-4543-9913-02D04F378D89}"/>
    <cellStyle name="_Cópia de 2006.05.10 EEB IRT 2006 pleito_Fator X_atualização serviços taxados" xfId="42669" xr:uid="{8B050855-3D54-4955-864C-CD8C784035DA}"/>
    <cellStyle name="_Cópia de 2006.05.10 EEB IRT 2006 pleito_Fator X_Financeiro Desconto na TUSD Consumidores Livres Reajuste 2010 - 03_03_2010" xfId="42670" xr:uid="{BE5B9B9E-51E6-4758-AEE5-B640C0109C70}"/>
    <cellStyle name="_Cópia de 2006.05.10 EEB IRT 2006 pleito_Fator X_Financeiro Desconto na TUSD Geradores Reajuste 2010 - 03_03_2010" xfId="42671" xr:uid="{B44A7968-4FFC-4664-9C18-7A275BA2165F}"/>
    <cellStyle name="_Cópia de 2006.05.10 EEB IRT 2006 pleito_Fator X_Financeiro Subsídio Baixa Renda Reajuste 2010 - 03_03_2010" xfId="42672" xr:uid="{56380C84-7063-4159-A150-DCBA4FAAF1C5}"/>
    <cellStyle name="_Cópia de 2006.05.10 EEB IRT 2006 pleito_Fator X_Financeiro Subsídio Rural Irrigante e Aquicultor Reajuste 2010 - 03_03_2010" xfId="42673" xr:uid="{A0EE6731-4AD0-489B-B22F-02838354106B}"/>
    <cellStyle name="_Cópia de 2006.05.10 EEB IRT 2006 pleito_Fator X_IRT-cálculo" xfId="2028" xr:uid="{7FF7C627-49D5-490F-BB92-6379458D3E23}"/>
    <cellStyle name="_Cópia de 2006.05.10 EEB IRT 2006 pleito_Fator X_IRT-cálculo CAPA NEUTRALIDADE" xfId="2029" xr:uid="{DAE2003B-5297-4745-A726-C52642A6AA8D}"/>
    <cellStyle name="_Cópia de 2006.05.10 EEB IRT 2006 pleito_Fator X_SOBRECONTRATAÇÃO E CVA" xfId="2030" xr:uid="{BF1CDC84-9A62-494F-990D-E6088AF5E53A}"/>
    <cellStyle name="_Cópia de 2006.05.10 EEB IRT 2006 pleito_Financeiro Desconto na TUSD Consumidores Livres Reajuste 2010 - 03_03_2010" xfId="42674" xr:uid="{5B901491-4BFC-494B-904A-65771A220C08}"/>
    <cellStyle name="_Cópia de 2006.05.10 EEB IRT 2006 pleito_Financeiro Desconto na TUSD Geradores Reajuste 2010 - 03_03_2010" xfId="42675" xr:uid="{22DE63E1-C57D-424C-BE02-B4F6196BCB0D}"/>
    <cellStyle name="_Cópia de 2006.05.10 EEB IRT 2006 pleito_Financeiro Subsídio Baixa Renda Reajuste 2010 - 03_03_2010" xfId="42676" xr:uid="{9D538741-3EA9-4B89-BAF7-04F49BDDDB86}"/>
    <cellStyle name="_Cópia de 2006.05.10 EEB IRT 2006 pleito_Financeiro Subsídio Rural Irrigante e Aquicultor Reajuste 2010 - 03_03_2010" xfId="42677" xr:uid="{6275983B-EB0D-476C-A2D7-CE5A171DB9E3}"/>
    <cellStyle name="_Cópia de 2006.05.10 EEB IRT 2006 pleito_IMPACTO RECEITA" xfId="46" xr:uid="{3A9A469D-A6C1-4662-BBD7-7A1BE4A74B42}"/>
    <cellStyle name="_Cópia de 2006.05.10 EEB IRT 2006 pleito_IMPACTO RECEITA 2" xfId="1195" xr:uid="{A5B5AF6D-D677-4C7D-B238-54294605ADF1}"/>
    <cellStyle name="_Cópia de 2006.05.10 EEB IRT 2006 pleito_IMPACTO RECEITA_Balanço" xfId="47" xr:uid="{0067FDFE-C2A4-41C3-A445-4689296F765F}"/>
    <cellStyle name="_Cópia de 2006.05.10 EEB IRT 2006 pleito_IMPACTO RECEITA_casulo 15" xfId="48" xr:uid="{34CFE706-2A21-49EC-84E9-7A99F94DBFA6}"/>
    <cellStyle name="_Cópia de 2006.05.10 EEB IRT 2006 pleito_IMPACTO RECEITA_IRT EEB 2010" xfId="2031" xr:uid="{7F18BA36-7C24-4B68-B22D-EB916FDFDBFC}"/>
    <cellStyle name="_Cópia de 2006.05.10 EEB IRT 2006 pleito_IRT (2)" xfId="1522" xr:uid="{7C29E73D-2C2E-42F3-9634-08AAB1430B20}"/>
    <cellStyle name="_Cópia de 2006.05.10 EEB IRT 2006 pleito_IRT EEB 2010" xfId="2032" xr:uid="{72476D45-4BF4-42B7-BB59-52A3CFB33734}"/>
    <cellStyle name="_Cópia de 2006.05.10 EEB IRT 2006 pleito_IRT_1" xfId="1523" xr:uid="{6F0360A9-D245-4D8D-B527-59722D58A9A5}"/>
    <cellStyle name="_Cópia de 2006.05.10 EEB IRT 2006 pleito_IRT_1 2" xfId="2033" xr:uid="{FA98E2D9-0FBE-4A4B-8588-8B9413A45F01}"/>
    <cellStyle name="_Cópia de 2006.05.10 EEB IRT 2006 pleito_IRT_1_atualização serviços taxados" xfId="42678" xr:uid="{1DDC9239-B4F7-440D-97CC-51AC513A54C5}"/>
    <cellStyle name="_Cópia de 2006.05.10 EEB IRT 2006 pleito_IRT_1_Financeiro Desconto na TUSD Consumidores Livres Reajuste 2010 - 03_03_2010" xfId="42679" xr:uid="{8029B5D4-9E18-4DD5-8C60-0C527AC32419}"/>
    <cellStyle name="_Cópia de 2006.05.10 EEB IRT 2006 pleito_IRT_1_Financeiro Desconto na TUSD Geradores Reajuste 2010 - 03_03_2010" xfId="42680" xr:uid="{233F5690-145A-4F31-BE77-12DD08521279}"/>
    <cellStyle name="_Cópia de 2006.05.10 EEB IRT 2006 pleito_IRT_1_Financeiro Subsídio Baixa Renda Reajuste 2010 - 03_03_2010" xfId="42681" xr:uid="{05F62022-C329-41E8-90D6-4C8140E1FCD6}"/>
    <cellStyle name="_Cópia de 2006.05.10 EEB IRT 2006 pleito_IRT_1_Financeiro Subsídio Rural Irrigante e Aquicultor Reajuste 2010 - 03_03_2010" xfId="42682" xr:uid="{73CB684E-DBDD-4291-B58B-2FBC711D6383}"/>
    <cellStyle name="_Cópia de 2006.05.10 EEB IRT 2006 pleito_IRT_1_IRT-cálculo" xfId="2034" xr:uid="{B0B183F1-3875-4698-962B-B16493D9A11A}"/>
    <cellStyle name="_Cópia de 2006.05.10 EEB IRT 2006 pleito_IRT_1_IRT-cálculo CAPA NEUTRALIDADE" xfId="2035" xr:uid="{D22A2B20-1B1A-47CC-8765-81C5C37C8554}"/>
    <cellStyle name="_Cópia de 2006.05.10 EEB IRT 2006 pleito_IRT_1_SOBRECONTRATAÇÃO E CVA" xfId="2036" xr:uid="{A48E1F66-9279-4B19-AF34-17B54D4200AA}"/>
    <cellStyle name="_Cópia de 2006.05.10 EEB IRT 2006 pleito_IRT_Revisão A-2" xfId="2037" xr:uid="{A5EBFF5A-9207-499D-AAC5-55295B229BC6}"/>
    <cellStyle name="_Cópia de 2006.05.10 EEB IRT 2006 pleito_IRT-cálculo" xfId="2038" xr:uid="{9719492C-671F-4EE6-B0ED-F368A4FCDB70}"/>
    <cellStyle name="_Cópia de 2006.05.10 EEB IRT 2006 pleito_IRT-cálculo CAPA NEUTRALIDADE" xfId="2039" xr:uid="{7CE6BF74-AAA8-4F2E-B34D-DCD11C143013}"/>
    <cellStyle name="_Cópia de 2006.05.10 EEB IRT 2006 pleito_Pasta1" xfId="1524" xr:uid="{A7C3122F-350B-4EDF-8940-66DB82EADDBA}"/>
    <cellStyle name="_Cópia de 2006.05.10 EEB IRT 2006 pleito_Pasta1 2" xfId="2040" xr:uid="{5A44A1D3-51B5-45EE-8712-C7DB4F19FBA1}"/>
    <cellStyle name="_Cópia de 2006.05.10 EEB IRT 2006 pleito_Pasta1_atualização serviços taxados" xfId="42683" xr:uid="{CDE51ABB-8044-41B5-9EC5-F704D49038BB}"/>
    <cellStyle name="_Cópia de 2006.05.10 EEB IRT 2006 pleito_Pasta1_Financeiro Desconto na TUSD Consumidores Livres Reajuste 2010 - 03_03_2010" xfId="42684" xr:uid="{A3ABD533-6729-4231-B464-6C39C23F9CFE}"/>
    <cellStyle name="_Cópia de 2006.05.10 EEB IRT 2006 pleito_Pasta1_Financeiro Desconto na TUSD Geradores Reajuste 2010 - 03_03_2010" xfId="42685" xr:uid="{2AEE503B-9391-4F10-B108-35178995FEF7}"/>
    <cellStyle name="_Cópia de 2006.05.10 EEB IRT 2006 pleito_Pasta1_Financeiro Subsídio Baixa Renda Reajuste 2010 - 03_03_2010" xfId="42686" xr:uid="{AC8FF399-BE96-4FC9-A405-43B5E97684DD}"/>
    <cellStyle name="_Cópia de 2006.05.10 EEB IRT 2006 pleito_Pasta1_Financeiro Subsídio Rural Irrigante e Aquicultor Reajuste 2010 - 03_03_2010" xfId="42687" xr:uid="{A3BB5FCA-88B2-4B44-A81E-6FED11B532FB}"/>
    <cellStyle name="_Cópia de 2006.05.10 EEB IRT 2006 pleito_Pasta1_IRT-cálculo" xfId="2041" xr:uid="{4C838A42-68FF-431F-B7B3-644FB818CD3E}"/>
    <cellStyle name="_Cópia de 2006.05.10 EEB IRT 2006 pleito_Pasta1_IRT-cálculo CAPA NEUTRALIDADE" xfId="2042" xr:uid="{6DC3C309-056E-4650-B7FB-7F6C0619F377}"/>
    <cellStyle name="_Cópia de 2006.05.10 EEB IRT 2006 pleito_Pasta1_SOBRECONTRATAÇÃO E CVA" xfId="2043" xr:uid="{8860A210-DAF5-488E-8C4A-1D602E709CEF}"/>
    <cellStyle name="_Cópia de 2006.05.10 EEB IRT 2006 pleito_Simulação CEPISA XX_08_07" xfId="1525" xr:uid="{6E1F9641-1A3B-4288-A1FB-DE9F2B6742A5}"/>
    <cellStyle name="_Cópia de 2006.05.10 EEB IRT 2006 pleito_SOBRECONTRATAÇÃO E CVA" xfId="2044" xr:uid="{9D3E0B75-B8E7-40F1-8692-B30C32AA015C}"/>
    <cellStyle name="_Cópia de IRT_CPFL_LESTE_PAULISTA(CPEE)_fev2009-COM_PREVISÃO_BR_da_Diretoria_pos_IGPM" xfId="49" xr:uid="{61E9FD5F-5399-4BCC-BDF8-70EA8FBDEDF6}"/>
    <cellStyle name="_Cópia de IRT2006_CEB_Final" xfId="50" xr:uid="{01E625F8-7416-4808-8C72-32B25D435A2C}"/>
    <cellStyle name="_Cópia de IRT2006_CEB_Final 2" xfId="1196" xr:uid="{10D46AFA-6E3C-4E62-8E24-CEB3D10C4B2E}"/>
    <cellStyle name="_Cópia de IRT2006_CEB_Final 3" xfId="2045" xr:uid="{2CEE36E3-875B-439E-AD21-90BCB58DB482}"/>
    <cellStyle name="_Cópia de IRT2006_CEB_Final_Balanço" xfId="51" xr:uid="{7B7F9E82-8C80-45BF-9131-D5FB97C6879D}"/>
    <cellStyle name="_Cópia de IRT2006_CEB_Final_casulo 15" xfId="52" xr:uid="{822580B5-2817-47BC-B82F-4AF892BB6EF4}"/>
    <cellStyle name="_Cópia de IRT2006_CEB_Final_Exposição_Agosto 2" xfId="2046" xr:uid="{5B2A4C04-84E9-4FB9-BDDB-954A85CFA1DB}"/>
    <cellStyle name="_Cópia de IRT2006_CEB_Final_IRT EEB 2010" xfId="2047" xr:uid="{F073C98D-F8DA-479F-BE17-28FECBB1AC58}"/>
    <cellStyle name="_Cópia de IRT2006_CEB_Final_IRT_Revisão A-2" xfId="2048" xr:uid="{06E64F38-736B-4B45-9901-9083DF78AE3A}"/>
    <cellStyle name="_Cópia de IRT2006_CEB_Final_Simulação AES SUL 03_04_07" xfId="53" xr:uid="{47034093-01C1-4CA2-B126-C9BE117B1E3E}"/>
    <cellStyle name="_Cópia de IRT2006_CEB_Final_Simulação AES SUL 03_04_07 2" xfId="1197" xr:uid="{2F4585C7-80FB-43F9-87ED-79D220082FF6}"/>
    <cellStyle name="_Cópia de IRT2006_CEB_Final_Simulação AES SUL 03_04_07 3" xfId="2049" xr:uid="{22E28445-5A8F-4FAD-B9CC-FD82A42441D4}"/>
    <cellStyle name="_Cópia de IRT2006_CEB_Final_Simulação AES SUL 03_04_07_Balanço" xfId="54" xr:uid="{B0A98FC0-6E59-4E01-8DC4-1558B0A75F08}"/>
    <cellStyle name="_Cópia de IRT2006_CEB_Final_Simulação AES SUL 03_04_07_casulo 15" xfId="55" xr:uid="{DF95B156-D952-4A5E-ABA9-60C253BAC68E}"/>
    <cellStyle name="_Cópia de IRT2006_CEB_Final_Simulação AES SUL 03_04_07_IRT EEB 2010" xfId="2050" xr:uid="{67A60460-7971-4B63-BEE8-75F707AC27D9}"/>
    <cellStyle name="_Cópia de IRT2006_CEB_Final_Sobrecontratação AES (2)" xfId="56" xr:uid="{61760F81-506A-40E2-9188-2C929B1C9887}"/>
    <cellStyle name="_Cópia de IRT2006_CEB_Final_Sobrecontratação AES (2) 2" xfId="1198" xr:uid="{14D1A6FC-239E-4446-8526-A8FEEF4D3464}"/>
    <cellStyle name="_Cópia de IRT2006_CEB_Final_Sobrecontratação AES (2) 3" xfId="2051" xr:uid="{55771911-76C7-4582-A3E0-34A2903D0384}"/>
    <cellStyle name="_Cópia de IRT2006_CEB_Final_Sobrecontratação AES (2)_Balanço" xfId="57" xr:uid="{99440497-2603-4626-88EC-58B558A34273}"/>
    <cellStyle name="_Cópia de IRT2006_CEB_Final_Sobrecontratação AES (2)_casulo 15" xfId="58" xr:uid="{3D49675F-11F4-47CD-A7F0-4663FEF12D11}"/>
    <cellStyle name="_Cópia de IRT2006_CEB_Final_Sobrecontratação AES (2)_IRT EEB 2010" xfId="2052" xr:uid="{290456EC-FE33-4634-A8AB-F52F5C4A851B}"/>
    <cellStyle name="_Cópia de PRTP v9" xfId="59" xr:uid="{B3BB4812-F03C-4C5B-8C33-2126D9872554}"/>
    <cellStyle name="_Cópia de PRTP v9 2" xfId="1199" xr:uid="{93163CD4-10E2-4E0D-AC46-D0E0D39678EF}"/>
    <cellStyle name="_Cópia de PRTP v9_02 IRT Bandeirante 2009" xfId="2053" xr:uid="{A11B3BCF-903B-4593-8E2C-224D328CBE2F}"/>
    <cellStyle name="_Cópia de PRTP v9_Balanço" xfId="60" xr:uid="{B322718D-106D-4736-9CBA-89BA96015AEB}"/>
    <cellStyle name="_Cópia de PRTP v9_Balanço 2" xfId="1200" xr:uid="{D8885957-CB0E-4699-A55C-BD597DF5580B}"/>
    <cellStyle name="_Cópia de PRTP v9_casulo 15" xfId="61" xr:uid="{7B8C3D71-30AC-4BDB-9FDE-982596B3B9F4}"/>
    <cellStyle name="_Cópia de PRTP v9_casulo 5" xfId="62" xr:uid="{BA3C8647-6783-4174-ACC0-4798CD22FE96}"/>
    <cellStyle name="_Cópia de PRTP v9_casulo 5 2" xfId="1201" xr:uid="{AD2FAC35-5692-4396-9B22-DDAA69B73507}"/>
    <cellStyle name="_Cópia de PRTP v9_casulo 5_Balanço" xfId="63" xr:uid="{55612A99-8A35-48AC-9E32-D2ED902226D0}"/>
    <cellStyle name="_Cópia de PRTP v9_casulo 5_casulo 15" xfId="64" xr:uid="{3A12ACB8-5335-42D3-A26C-226FAAC8A023}"/>
    <cellStyle name="_Cópia de PRTP v9_casulo 5_IRT EEB 2010" xfId="2054" xr:uid="{19ABC1B2-490E-4E4E-A6DD-DF25E93F26AB}"/>
    <cellStyle name="_Cópia de PRTP v9_IRT EEB 2010" xfId="2055" xr:uid="{15D70C67-636E-42FA-A42A-716D09D062B7}"/>
    <cellStyle name="_Cópia de PRTP v9_IRT Piratininga 2009" xfId="65" xr:uid="{6BEE7F96-F224-44AD-9995-782265C1C40B}"/>
    <cellStyle name="_Cópia de PRTP v9_IRT Piratininga 2009 2" xfId="1202" xr:uid="{ADBF0415-708E-4944-90E8-E1A19A10681C}"/>
    <cellStyle name="_Cópia de PRTP v9_IRT Piratininga 2009_Balanço" xfId="66" xr:uid="{03CDE81B-9C81-4D11-BF87-39B2E8486296}"/>
    <cellStyle name="_Cópia de PRTP v9_IRT Piratininga 2009_casulo 15" xfId="67" xr:uid="{25A7B289-09A7-4447-BF9E-A7E8A05D3E4C}"/>
    <cellStyle name="_Cópia de PRTP v9_IRT Piratininga 2009_IRT EEB 2010" xfId="2056" xr:uid="{C2962C9E-C69F-4F2A-9BEE-F14C9B922AE5}"/>
    <cellStyle name="_Cópia de PRTP v9_IRT_EBB_mai2010d" xfId="2057" xr:uid="{9B394DE2-86EE-4063-9641-5EDCE83EF416}"/>
    <cellStyle name="_Cópia de PRTP v9_IRT_Planilha Básica_ CETRIL" xfId="68" xr:uid="{9B904AF9-9522-4188-A7A4-E31DF6D5E832}"/>
    <cellStyle name="_Cópia de PRTP v9_IRT_Planilha Básica_ CETRIL 2" xfId="1203" xr:uid="{9A413926-FF3D-4B55-9A8C-94005618EB49}"/>
    <cellStyle name="_Cópia de PRTP v9_IRT_Planilha Básica_ CETRIL_Balanço" xfId="69" xr:uid="{F1330B01-E2CD-4F9A-A46F-FFF0EF87D5AF}"/>
    <cellStyle name="_Cópia de PRTP v9_IRT_Planilha Básica_ CETRIL_casulo 15" xfId="70" xr:uid="{A2BAE7C1-CC65-4EDB-9D84-1F1043726F96}"/>
    <cellStyle name="_Cópia de PRTP v9_IRT_Planilha Básica_ CETRIL_IRT EEB 2010" xfId="2058" xr:uid="{ABBB2108-6B72-49D2-987A-67903B1D7CEC}"/>
    <cellStyle name="_Cópia de PRTP v9_IRT_Planilha Básica_DIRETORIA" xfId="2059" xr:uid="{EB3EF097-5FE3-47FD-8DD9-B68C22514155}"/>
    <cellStyle name="_Cópia de PRTP v9_IRT_Planilha Básica_fev2010" xfId="2060" xr:uid="{F9F583ED-9494-4686-872F-70466F77A00C}"/>
    <cellStyle name="_Cópia de PRTP v9_IRT_Planilha Básica_fev2010a" xfId="71" xr:uid="{70655733-078C-425B-905F-4F39076308D7}"/>
    <cellStyle name="_Cópia de PRTP v9_IRT_Planilha Básica_fev2010a 2" xfId="1204" xr:uid="{88B047B5-3593-4DEE-90AF-7A8C492A10D5}"/>
    <cellStyle name="_Cópia de PRTP v9_IRT_Planilha Básica_fev2010a_Balanço" xfId="72" xr:uid="{217D9F81-F569-4372-A52F-B66D54A73345}"/>
    <cellStyle name="_Cópia de PRTP v9_IRT_Planilha Básica_fev2010a_Balanço 2" xfId="1205" xr:uid="{7D3D6967-545E-43EF-B48B-AF54CFCE9B6C}"/>
    <cellStyle name="_Cópia de PRTP v9_IRT_Planilha Básica_fev2010a_casulo 15" xfId="73" xr:uid="{422DB7B1-4D30-4FD8-AA87-0D2360557583}"/>
    <cellStyle name="_Cópia de PRTP v9_IRT_Planilha Básica_fev2010a_casulo 5" xfId="74" xr:uid="{1DD7BBD1-B8AB-46BB-A0E1-A556BD28BB9B}"/>
    <cellStyle name="_Cópia de PRTP v9_IRT_Planilha Básica_fev2010a_casulo 5 2" xfId="1206" xr:uid="{5196C6EA-0802-4BE6-ABFB-6091FBE78352}"/>
    <cellStyle name="_Cópia de PRTP v9_IRT_Planilha Básica_fev2010a_casulo 5_Balanço" xfId="75" xr:uid="{7D7B654B-AC11-4425-9AF0-BACCEB7BF575}"/>
    <cellStyle name="_Cópia de PRTP v9_IRT_Planilha Básica_fev2010a_casulo 5_casulo 15" xfId="76" xr:uid="{47700ABA-8EF7-4B99-8868-A1590A23E380}"/>
    <cellStyle name="_Cópia de PRTP v9_IRT_Planilha Básica_fev2010a_casulo 5_IRT EEB 2010" xfId="2061" xr:uid="{B3696C88-633A-4FA0-98E4-CF381F6838AE}"/>
    <cellStyle name="_Cópia de PRTP v9_IRT_Planilha Básica_fev2010a_IRT EEB 2010" xfId="2062" xr:uid="{B6362B6B-745C-41B4-B307-76B808488674}"/>
    <cellStyle name="_Cópia de PRTP v9_IRT_Planilha Básica_jan2010" xfId="2063" xr:uid="{AAE80947-E915-456B-9136-A29F68D50473}"/>
    <cellStyle name="_Cópia de PRTP v9_IRT_Planilha Básica_mar2010b" xfId="2064" xr:uid="{1C0F124E-E078-4ED4-9653-D6C06C2F6ACB}"/>
    <cellStyle name="_Cópia de PRTP v9_IRT_Planilha Básica_mar2010d" xfId="77" xr:uid="{DAFE38A4-0B01-41EE-AF05-0D39C14C7F7C}"/>
    <cellStyle name="_Cópia de PRTP v9_IRT_Planilha Básica_mar2010d 2" xfId="1207" xr:uid="{6CCA9AB3-FBD1-4D6A-AC7A-AB39FDFA432E}"/>
    <cellStyle name="_Cópia de PRTP v9_IRT_Planilha Básica_NOVA METODOLOGIA" xfId="2065" xr:uid="{B1933572-D572-48FB-BD40-5925DFB637D6}"/>
    <cellStyle name="_Cópia de PRTP v9_IRT_Santa 2010" xfId="2066" xr:uid="{E4ED4E03-3975-4A4E-86CA-683C92E8D5B1}"/>
    <cellStyle name="_Cópia de PRTP v9_IRT-cálculo" xfId="2067" xr:uid="{C2F49C81-2B9E-45DD-94CE-3DE49F384465}"/>
    <cellStyle name="_Cópia de PRTP v9_IRT-cálculo CAPA NEUTRALIDADE" xfId="2068" xr:uid="{F7D03E5D-293A-4D62-BC95-24AA01A13E88}"/>
    <cellStyle name="_Cópia de PRTP v9_Resultados_DEA_RND_QUAL_PERDAS" xfId="42536" xr:uid="{1C601E6D-AFC6-4AD2-93D9-DE3B0F5BDD48}"/>
    <cellStyle name="_Cópia de PRTP v9_teste ampla" xfId="78" xr:uid="{810AFD98-75AB-4C35-A54F-606F54F54416}"/>
    <cellStyle name="_Cópia de PRTP v9_teste ampla 2" xfId="1208" xr:uid="{C71AFDED-14F9-407D-BB1E-E1337C3F2193}"/>
    <cellStyle name="_Cópia de PRTP v9_teste ampla_Balanço" xfId="79" xr:uid="{28657767-131A-44BA-9A00-24CA8FB25B0A}"/>
    <cellStyle name="_Cópia de PRTP v9_teste ampla_Balanço 2" xfId="1209" xr:uid="{64D6855F-3164-439F-9BC6-F38E8DBEDEC2}"/>
    <cellStyle name="_Cópia de PRTP v9_teste ampla_casulo 15" xfId="80" xr:uid="{B751A1FB-0D5E-49A2-B9A4-70995D5F5B9B}"/>
    <cellStyle name="_Cópia de PRTP v9_teste ampla_casulo 5" xfId="81" xr:uid="{C8C05A94-ADEF-4B57-B5A2-FB1298187921}"/>
    <cellStyle name="_Cópia de PRTP v9_teste ampla_casulo 5 2" xfId="1210" xr:uid="{0F62D442-660A-4B9E-B967-ED147EDD4F0A}"/>
    <cellStyle name="_Cópia de PRTP v9_teste ampla_casulo 5_Balanço" xfId="82" xr:uid="{4DA18989-2A14-4276-B909-B0A8A85FB32F}"/>
    <cellStyle name="_Cópia de PRTP v9_teste ampla_casulo 5_casulo 15" xfId="83" xr:uid="{8047F727-B4D0-4FE2-AAEE-A10855C9C958}"/>
    <cellStyle name="_Cópia de PRTP v9_teste ampla_casulo 5_IRT EEB 2010" xfId="2069" xr:uid="{9BFDAC5B-0EA4-4BD7-A33E-FD3B14E86E97}"/>
    <cellStyle name="_Cópia de PRTP v9_teste ampla_IRT EEB 2010" xfId="2070" xr:uid="{028BCA8C-B9D1-4FA2-9573-573113C8EAB6}"/>
    <cellStyle name="_Cópia de PRTP_v6-Elektro" xfId="2071" xr:uid="{172DF087-FE98-47C6-B325-91FC5069B19B}"/>
    <cellStyle name="_Cópia de PRTP_v6-Elektro_atualização serviços taxados" xfId="42688" xr:uid="{E4E1E41D-37AC-467C-B10B-26FA51F09D18}"/>
    <cellStyle name="_Cópia de PRTP_v6-Elektro_Financeiro Desconto na TUSD Consumidores Livres Reajuste 2010 - 03_03_2010" xfId="42689" xr:uid="{C451B0A6-D77B-4A29-B22D-308B941B4AA1}"/>
    <cellStyle name="_Cópia de PRTP_v6-Elektro_Financeiro Desconto na TUSD Geradores Reajuste 2010 - 03_03_2010" xfId="42690" xr:uid="{CE1B03A1-DFF3-4642-8831-A01CD514508F}"/>
    <cellStyle name="_Cópia de PRTP_v6-Elektro_Financeiro Subsídio Baixa Renda Reajuste 2010 - 03_03_2010" xfId="42691" xr:uid="{57297F03-4156-4167-ADC0-F079642188CA}"/>
    <cellStyle name="_Cópia de PRTP_v6-Elektro_Financeiro Subsídio Rural Irrigante e Aquicultor Reajuste 2010 - 03_03_2010" xfId="42692" xr:uid="{B6235C8A-F898-4C30-A887-6F0C96E7BD66}"/>
    <cellStyle name="_Cópia de SOBRECONTRATAÇÃO - RES  255-2007 ENERGIPE - FINAL" xfId="1526" xr:uid="{402B8AF0-87D7-494D-A615-34925FC0025A}"/>
    <cellStyle name="_Cópia de SOBRECONTRATAÇÃO - RES  255-2007 ENERGIPE - FINAL 2" xfId="2072" xr:uid="{62B49F28-8CDB-4E74-9FEC-395DC90073FB}"/>
    <cellStyle name="_Cópia de SOBRECONTRATAÇÃO - RES  255-2007 ENERGIPE - FINAL_atualização serviços taxados" xfId="42693" xr:uid="{658805D3-F48A-42B8-B54C-6C6BA116F24F}"/>
    <cellStyle name="_Cópia de SOBRECONTRATAÇÃO - RES  255-2007 ENERGIPE - FINAL_CVA Borborema 2010 - Fiscalizada Final" xfId="2073" xr:uid="{56BA322B-256E-4E3F-986F-7A73BBD3B0B8}"/>
    <cellStyle name="_Cópia de SOBRECONTRATAÇÃO - RES  255-2007 ENERGIPE - FINAL_Energia Comprada" xfId="2074" xr:uid="{BB7C9D37-2333-457D-AD8A-D03C3D81771F}"/>
    <cellStyle name="_Cópia de SOBRECONTRATAÇÃO - RES  255-2007 ENERGIPE - FINAL_Energia Comprada_IRT-cálculo" xfId="2075" xr:uid="{C4C4AC78-A7D4-4273-AFDB-2C96B24ABA94}"/>
    <cellStyle name="_Cópia de SOBRECONTRATAÇÃO - RES  255-2007 ENERGIPE - FINAL_Energia Comprada_IRT-cálculo CAPA NEUTRALIDADE" xfId="2076" xr:uid="{EA0B66DE-C7D7-4F6A-9BFA-08487D385E08}"/>
    <cellStyle name="_Cópia de SOBRECONTRATAÇÃO - RES  255-2007 ENERGIPE - FINAL_Fator X" xfId="1527" xr:uid="{FA2CBD4A-42A7-4972-8BC8-0B38E876E364}"/>
    <cellStyle name="_Cópia de SOBRECONTRATAÇÃO - RES  255-2007 ENERGIPE - FINAL_Fator X 2" xfId="2077" xr:uid="{1CCBE6F1-3863-4574-8E93-740BD9B115B4}"/>
    <cellStyle name="_Cópia de SOBRECONTRATAÇÃO - RES  255-2007 ENERGIPE - FINAL_Fator X_atualização serviços taxados" xfId="42694" xr:uid="{4E6BE9ED-97FE-43CE-925A-B26F79E5A55A}"/>
    <cellStyle name="_Cópia de SOBRECONTRATAÇÃO - RES  255-2007 ENERGIPE - FINAL_Fator X_Financeiro Desconto na TUSD Consumidores Livres Reajuste 2010 - 03_03_2010" xfId="42695" xr:uid="{DFB2DD8C-DE65-4747-9B67-A39486FAEB55}"/>
    <cellStyle name="_Cópia de SOBRECONTRATAÇÃO - RES  255-2007 ENERGIPE - FINAL_Fator X_Financeiro Desconto na TUSD Geradores Reajuste 2010 - 03_03_2010" xfId="42696" xr:uid="{CB2E254A-AC65-49AD-8264-A55D27CDC0BF}"/>
    <cellStyle name="_Cópia de SOBRECONTRATAÇÃO - RES  255-2007 ENERGIPE - FINAL_Fator X_Financeiro Subsídio Baixa Renda Reajuste 2010 - 03_03_2010" xfId="42697" xr:uid="{D310CD85-59AA-4BF6-AAD6-8B706D8C573D}"/>
    <cellStyle name="_Cópia de SOBRECONTRATAÇÃO - RES  255-2007 ENERGIPE - FINAL_Fator X_Financeiro Subsídio Rural Irrigante e Aquicultor Reajuste 2010 - 03_03_2010" xfId="42698" xr:uid="{21D2B1A8-D199-491C-A1CB-0DA449FE647A}"/>
    <cellStyle name="_Cópia de SOBRECONTRATAÇÃO - RES  255-2007 ENERGIPE - FINAL_Fator X_IRT-cálculo" xfId="2078" xr:uid="{B3CEA348-5E6D-41FD-942C-0FF9A51AF5D5}"/>
    <cellStyle name="_Cópia de SOBRECONTRATAÇÃO - RES  255-2007 ENERGIPE - FINAL_Fator X_IRT-cálculo CAPA NEUTRALIDADE" xfId="2079" xr:uid="{8F459407-583F-4EEC-844E-9CAF4FABE448}"/>
    <cellStyle name="_Cópia de SOBRECONTRATAÇÃO - RES  255-2007 ENERGIPE - FINAL_Fator X_SOBRECONTRATAÇÃO E CVA" xfId="2080" xr:uid="{3EEB023A-3050-4A77-A36D-F9C1ADD740E4}"/>
    <cellStyle name="_Cópia de SOBRECONTRATAÇÃO - RES  255-2007 ENERGIPE - FINAL_Financeiro Desconto na TUSD Consumidores Livres Reajuste 2010 - 03_03_2010" xfId="42699" xr:uid="{2E2F9284-A70C-4C92-8152-93B283956305}"/>
    <cellStyle name="_Cópia de SOBRECONTRATAÇÃO - RES  255-2007 ENERGIPE - FINAL_Financeiro Desconto na TUSD Geradores Reajuste 2010 - 03_03_2010" xfId="42700" xr:uid="{D56378F6-2343-43EA-846C-B3B394D3A1C1}"/>
    <cellStyle name="_Cópia de SOBRECONTRATAÇÃO - RES  255-2007 ENERGIPE - FINAL_Financeiro Subsídio Baixa Renda Reajuste 2010 - 03_03_2010" xfId="42701" xr:uid="{748CEF88-7E88-4578-BEE9-7146A1A40F54}"/>
    <cellStyle name="_Cópia de SOBRECONTRATAÇÃO - RES  255-2007 ENERGIPE - FINAL_Financeiro Subsídio Rural Irrigante e Aquicultor Reajuste 2010 - 03_03_2010" xfId="42702" xr:uid="{9E47CCC3-257A-4A31-BCB4-D36E0B60F39B}"/>
    <cellStyle name="_Cópia de SOBRECONTRATAÇÃO - RES  255-2007 ENERGIPE - FINAL_IRT (2)" xfId="1528" xr:uid="{FC9F3071-B670-45C2-8EF6-BF6EC1AE954E}"/>
    <cellStyle name="_Cópia de SOBRECONTRATAÇÃO - RES  255-2007 ENERGIPE - FINAL_IRT_1" xfId="1529" xr:uid="{0327A238-5BE8-43BE-9A40-75D20B601E1E}"/>
    <cellStyle name="_Cópia de SOBRECONTRATAÇÃO - RES  255-2007 ENERGIPE - FINAL_IRT_1 2" xfId="2081" xr:uid="{CE4D7520-2FCB-4042-B79B-3C4EFC761D7F}"/>
    <cellStyle name="_Cópia de SOBRECONTRATAÇÃO - RES  255-2007 ENERGIPE - FINAL_IRT_1_atualização serviços taxados" xfId="42703" xr:uid="{298E914C-4D3A-4B2D-B619-B9108F9983AE}"/>
    <cellStyle name="_Cópia de SOBRECONTRATAÇÃO - RES  255-2007 ENERGIPE - FINAL_IRT_1_Financeiro Desconto na TUSD Consumidores Livres Reajuste 2010 - 03_03_2010" xfId="42704" xr:uid="{111B02CB-35E2-4DA2-9478-F0983E9619A3}"/>
    <cellStyle name="_Cópia de SOBRECONTRATAÇÃO - RES  255-2007 ENERGIPE - FINAL_IRT_1_Financeiro Desconto na TUSD Geradores Reajuste 2010 - 03_03_2010" xfId="42705" xr:uid="{CF184A34-E8FC-40E6-8D2C-1D302F54FB57}"/>
    <cellStyle name="_Cópia de SOBRECONTRATAÇÃO - RES  255-2007 ENERGIPE - FINAL_IRT_1_Financeiro Subsídio Baixa Renda Reajuste 2010 - 03_03_2010" xfId="42706" xr:uid="{C01BAB68-C4D3-4176-91A7-AAA0BCC09B0E}"/>
    <cellStyle name="_Cópia de SOBRECONTRATAÇÃO - RES  255-2007 ENERGIPE - FINAL_IRT_1_Financeiro Subsídio Rural Irrigante e Aquicultor Reajuste 2010 - 03_03_2010" xfId="42707" xr:uid="{55E25AF2-5B27-448C-BD00-149BE3534A4C}"/>
    <cellStyle name="_Cópia de SOBRECONTRATAÇÃO - RES  255-2007 ENERGIPE - FINAL_IRT_1_IRT-cálculo" xfId="2082" xr:uid="{C84E528C-8068-48B0-B151-A072AEBCDDC3}"/>
    <cellStyle name="_Cópia de SOBRECONTRATAÇÃO - RES  255-2007 ENERGIPE - FINAL_IRT_1_IRT-cálculo CAPA NEUTRALIDADE" xfId="2083" xr:uid="{7015A9EB-78C1-4588-B6C8-A4A2321E153D}"/>
    <cellStyle name="_Cópia de SOBRECONTRATAÇÃO - RES  255-2007 ENERGIPE - FINAL_IRT_1_SOBRECONTRATAÇÃO E CVA" xfId="2084" xr:uid="{72D35298-13B3-4AA9-9B72-B11497B49759}"/>
    <cellStyle name="_Cópia de SOBRECONTRATAÇÃO - RES  255-2007 ENERGIPE - FINAL_IRT-cálculo" xfId="2085" xr:uid="{6ECC3CD8-E767-4079-8253-38CC3DCE1D1A}"/>
    <cellStyle name="_Cópia de SOBRECONTRATAÇÃO - RES  255-2007 ENERGIPE - FINAL_IRT-cálculo CAPA NEUTRALIDADE" xfId="2086" xr:uid="{9773D8DA-E887-4E2A-9174-E82240807C7C}"/>
    <cellStyle name="_Cópia de SOBRECONTRATAÇÃO - RES  255-2007 ENERGIPE - FINAL_Pasta1" xfId="1530" xr:uid="{40BB3D12-8624-46C8-AA73-303E13D5B08C}"/>
    <cellStyle name="_Cópia de SOBRECONTRATAÇÃO - RES  255-2007 ENERGIPE - FINAL_Pasta1 2" xfId="2087" xr:uid="{55C4F73B-81D1-4774-93B0-7CB0695C132D}"/>
    <cellStyle name="_Cópia de SOBRECONTRATAÇÃO - RES  255-2007 ENERGIPE - FINAL_Pasta1_atualização serviços taxados" xfId="42708" xr:uid="{86F842CE-75E2-48E6-8C85-27D5CB5BF842}"/>
    <cellStyle name="_Cópia de SOBRECONTRATAÇÃO - RES  255-2007 ENERGIPE - FINAL_Pasta1_Financeiro Desconto na TUSD Consumidores Livres Reajuste 2010 - 03_03_2010" xfId="42709" xr:uid="{946F4708-A73A-46E2-BDC8-D626FA0776AF}"/>
    <cellStyle name="_Cópia de SOBRECONTRATAÇÃO - RES  255-2007 ENERGIPE - FINAL_Pasta1_Financeiro Desconto na TUSD Geradores Reajuste 2010 - 03_03_2010" xfId="42710" xr:uid="{141D8FC5-1820-4BC7-969F-5510E9667FFA}"/>
    <cellStyle name="_Cópia de SOBRECONTRATAÇÃO - RES  255-2007 ENERGIPE - FINAL_Pasta1_Financeiro Subsídio Baixa Renda Reajuste 2010 - 03_03_2010" xfId="42711" xr:uid="{DDDBEF09-844E-480E-9499-F15FF56FDF96}"/>
    <cellStyle name="_Cópia de SOBRECONTRATAÇÃO - RES  255-2007 ENERGIPE - FINAL_Pasta1_Financeiro Subsídio Rural Irrigante e Aquicultor Reajuste 2010 - 03_03_2010" xfId="42712" xr:uid="{9D3652D4-5367-4B9A-9FE5-B635A3A9EEB2}"/>
    <cellStyle name="_Cópia de SOBRECONTRATAÇÃO - RES  255-2007 ENERGIPE - FINAL_Pasta1_IRT-cálculo" xfId="2088" xr:uid="{A1063A88-7003-4A6B-81E3-D587D517F906}"/>
    <cellStyle name="_Cópia de SOBRECONTRATAÇÃO - RES  255-2007 ENERGIPE - FINAL_Pasta1_IRT-cálculo CAPA NEUTRALIDADE" xfId="2089" xr:uid="{1CBF70F9-EC0A-487A-A1A9-7606C4DCDD21}"/>
    <cellStyle name="_Cópia de SOBRECONTRATAÇÃO - RES  255-2007 ENERGIPE - FINAL_Pasta1_SOBRECONTRATAÇÃO E CVA" xfId="2090" xr:uid="{DEA7C601-E8F5-4FD3-93FA-FEDEC44DE837}"/>
    <cellStyle name="_Cópia de SOBRECONTRATAÇÃO - RES  255-2007 ENERGIPE - FINAL_SOBRECONTRATAÇÃO E CVA" xfId="2091" xr:uid="{0DDA8FCB-BDE4-4FD0-BAD8-CFBB34739421}"/>
    <cellStyle name="_Correção e apuração PIS COFINS 26-08-2005_CEB" xfId="84" xr:uid="{91DC1F28-CBF2-436E-9F2F-40FDAE07EC41}"/>
    <cellStyle name="_Correção e apuração PIS COFINS 26-08-2005_CEB_atualização serviços taxados" xfId="42713" xr:uid="{99CB45F8-D56E-48CE-97B4-A5CBD804EC50}"/>
    <cellStyle name="_Correção e apuração PIS COFINS 26-08-2005_CEB_Calculo_Subsidio_ELFSM_26_06_08_Modelo_ANEEL" xfId="2092" xr:uid="{5CE088CD-4329-4EE1-9C0E-6E28086680BB}"/>
    <cellStyle name="_Correção e apuração PIS COFINS 26-08-2005_CEB_Calculo_Subsidio_ELFSM_26_06_08_Modelo_ANEEL_IRT-cálculo" xfId="2093" xr:uid="{F203AAA3-1585-4BA4-8C51-1239A5561264}"/>
    <cellStyle name="_Correção e apuração PIS COFINS 26-08-2005_CEB_Calculo_Subsidio_ELFSM_26_06_08_Modelo_ANEEL_IRT-cálculo CAPA NEUTRALIDADE" xfId="2094" xr:uid="{8DE5CE40-A527-40B9-B572-991B05D34B75}"/>
    <cellStyle name="_Correção e apuração PIS COFINS 26-08-2005_CEB_CVA_Projetada até dez-2008_Setembro" xfId="2095" xr:uid="{3D0F71FB-6F99-4CBB-966F-8E7F54317099}"/>
    <cellStyle name="_Correção e apuração PIS COFINS 26-08-2005_CEB_CVA_Projetada até dez-2008_Setembro_CVA Outros Componentes PROVISÃO" xfId="2096" xr:uid="{8EDC8AC3-03B7-428C-9773-6DC32E428419}"/>
    <cellStyle name="_Correção e apuração PIS COFINS 26-08-2005_CEB_CVA_Projetada até dez-2008_Setembro_PROVISÃO" xfId="2097" xr:uid="{60B3028C-8C9C-4BCE-8962-05DDAE6D87C4}"/>
    <cellStyle name="_Correção e apuração PIS COFINS 26-08-2005_CEB_Energia Comprada" xfId="2098" xr:uid="{0C53C0EC-F7EF-49B0-85CC-08175A80660C}"/>
    <cellStyle name="_Correção e apuração PIS COFINS 26-08-2005_CEB_Energia Comprada_IRT-cálculo" xfId="2099" xr:uid="{DE92C9C5-A612-4EDC-A639-96A4A95FB685}"/>
    <cellStyle name="_Correção e apuração PIS COFINS 26-08-2005_CEB_Energia Comprada_IRT-cálculo CAPA NEUTRALIDADE" xfId="2100" xr:uid="{CAB014B6-4FCB-44EA-8106-A3FB74D6571A}"/>
    <cellStyle name="_Correção e apuração PIS COFINS 26-08-2005_CEB_Fator X" xfId="1531" xr:uid="{53FBDC37-D0D8-43B1-9BEF-6A21997FF25F}"/>
    <cellStyle name="_Correção e apuração PIS COFINS 26-08-2005_CEB_Fator X_atualização serviços taxados" xfId="42714" xr:uid="{C56EBD45-2483-47D1-A2F6-CFE5AD7121A0}"/>
    <cellStyle name="_Correção e apuração PIS COFINS 26-08-2005_CEB_Fator X_Financeiro Desconto na TUSD Consumidores Livres Reajuste 2010 - 03_03_2010" xfId="42715" xr:uid="{2D23A5D6-28D2-4182-AEEE-296BA88AA4F1}"/>
    <cellStyle name="_Correção e apuração PIS COFINS 26-08-2005_CEB_Fator X_Financeiro Desconto na TUSD Geradores Reajuste 2010 - 03_03_2010" xfId="42716" xr:uid="{400A9F99-F712-4784-A94C-37ECCADFCB84}"/>
    <cellStyle name="_Correção e apuração PIS COFINS 26-08-2005_CEB_Fator X_Financeiro Subsídio Baixa Renda Reajuste 2010 - 03_03_2010" xfId="42717" xr:uid="{93C8BCDB-F0C1-4831-A48B-7CC4F52B4B8A}"/>
    <cellStyle name="_Correção e apuração PIS COFINS 26-08-2005_CEB_Fator X_Financeiro Subsídio Rural Irrigante e Aquicultor Reajuste 2010 - 03_03_2010" xfId="42718" xr:uid="{1C2D2002-ECCE-4621-941A-F23ED44BD8DF}"/>
    <cellStyle name="_Correção e apuração PIS COFINS 26-08-2005_CEB_Fator X_IRT-cálculo" xfId="2101" xr:uid="{8DC34974-49F7-4208-8F37-E14E05FD4AF8}"/>
    <cellStyle name="_Correção e apuração PIS COFINS 26-08-2005_CEB_Fator X_IRT-cálculo CAPA NEUTRALIDADE" xfId="2102" xr:uid="{071FA503-8099-467E-A5EB-AEF6A18B7486}"/>
    <cellStyle name="_Correção e apuração PIS COFINS 26-08-2005_CEB_Fator X_SOBRECONTRATAÇÃO E CVA" xfId="2103" xr:uid="{D5F49AE5-E90A-45B7-A0B4-048084670ECA}"/>
    <cellStyle name="_Correção e apuração PIS COFINS 26-08-2005_CEB_Financeiro Desconto na TUSD Consumidores Livres Reajuste 2010 - 03_03_2010" xfId="42719" xr:uid="{3C4355F2-C9D0-41DE-A6B0-DF8F07064A40}"/>
    <cellStyle name="_Correção e apuração PIS COFINS 26-08-2005_CEB_Financeiro Desconto na TUSD Geradores Reajuste 2010 - 03_03_2010" xfId="42720" xr:uid="{223F84E5-3DED-43F8-B933-C67399C06C56}"/>
    <cellStyle name="_Correção e apuração PIS COFINS 26-08-2005_CEB_Financeiro Subsídio Baixa Renda Reajuste 2010 - 03_03_2010" xfId="42721" xr:uid="{666EDEB6-65E5-4EF6-A942-569C40068489}"/>
    <cellStyle name="_Correção e apuração PIS COFINS 26-08-2005_CEB_Financeiro Subsídio Rural Irrigante e Aquicultor Reajuste 2010 - 03_03_2010" xfId="42722" xr:uid="{1D110F6A-A52C-4928-A8B8-4D6BB5A619C4}"/>
    <cellStyle name="_Correção e apuração PIS COFINS 26-08-2005_CEB_IF - Autoprodutores 2" xfId="2104" xr:uid="{E6CD1945-F335-4EC4-925D-A0C61466FF89}"/>
    <cellStyle name="_Correção e apuração PIS COFINS 26-08-2005_CEB_IF_Consumidores livres e geradoras_2010" xfId="2105" xr:uid="{B9F9DC4C-159E-40A3-BFCA-C51B52A7EC7F}"/>
    <cellStyle name="_Correção e apuração PIS COFINS 26-08-2005_CEB_IRT (2)" xfId="1532" xr:uid="{EE97E56A-5E67-4268-8A0F-545F52CD7D1D}"/>
    <cellStyle name="_Correção e apuração PIS COFINS 26-08-2005_CEB_IRT (2) 2" xfId="2106" xr:uid="{84759426-84BD-4D55-B96C-010421C479EA}"/>
    <cellStyle name="_Correção e apuração PIS COFINS 26-08-2005_CEB_IRT_1" xfId="1533" xr:uid="{420C2128-B761-4B6A-A4B9-D0C728675A74}"/>
    <cellStyle name="_Correção e apuração PIS COFINS 26-08-2005_CEB_IRT_1_atualização serviços taxados" xfId="42723" xr:uid="{C5C641DD-E418-49A9-8B4F-8271DBB4EBA2}"/>
    <cellStyle name="_Correção e apuração PIS COFINS 26-08-2005_CEB_IRT_1_Financeiro Desconto na TUSD Consumidores Livres Reajuste 2010 - 03_03_2010" xfId="42724" xr:uid="{893FF199-BFD2-476E-8B6D-8FAFA25DB4C4}"/>
    <cellStyle name="_Correção e apuração PIS COFINS 26-08-2005_CEB_IRT_1_Financeiro Desconto na TUSD Geradores Reajuste 2010 - 03_03_2010" xfId="42725" xr:uid="{285F3FAE-F620-40F4-A340-BE0D1AE9B8AA}"/>
    <cellStyle name="_Correção e apuração PIS COFINS 26-08-2005_CEB_IRT_1_Financeiro Subsídio Baixa Renda Reajuste 2010 - 03_03_2010" xfId="42726" xr:uid="{BFBE736B-E3DC-4A5F-BC86-8886149D06EA}"/>
    <cellStyle name="_Correção e apuração PIS COFINS 26-08-2005_CEB_IRT_1_Financeiro Subsídio Rural Irrigante e Aquicultor Reajuste 2010 - 03_03_2010" xfId="42727" xr:uid="{F73F8CC6-1060-4280-87A2-8927668E1A67}"/>
    <cellStyle name="_Correção e apuração PIS COFINS 26-08-2005_CEB_IRT_1_IRT-cálculo" xfId="2107" xr:uid="{9A3A58F3-E9E8-45BB-9CCC-E51A3A2F9E3E}"/>
    <cellStyle name="_Correção e apuração PIS COFINS 26-08-2005_CEB_IRT_1_IRT-cálculo CAPA NEUTRALIDADE" xfId="2108" xr:uid="{3255DB4D-EC0F-4A27-A03A-B63BC7686F1B}"/>
    <cellStyle name="_Correção e apuração PIS COFINS 26-08-2005_CEB_IRT_1_SOBRECONTRATAÇÃO E CVA" xfId="2109" xr:uid="{22679522-41A6-4F9C-BD6A-BE92494CBE78}"/>
    <cellStyle name="_Correção e apuração PIS COFINS 26-08-2005_CEB_IRT_Planilha Básica_ CETRIL" xfId="85" xr:uid="{F7DF2EB4-6B6B-42F1-A20B-003EFDC52009}"/>
    <cellStyle name="_Correção e apuração PIS COFINS 26-08-2005_CEB_IRT_Planilha Básica_ CETRIL 2" xfId="1211" xr:uid="{640EE5F1-633C-42DA-BBD4-E65925DF0E70}"/>
    <cellStyle name="_Correção e apuração PIS COFINS 26-08-2005_CEB_IRT_Pleito" xfId="2110" xr:uid="{ECFE3AAC-F728-44D1-89DB-84A5C12D631A}"/>
    <cellStyle name="_Correção e apuração PIS COFINS 26-08-2005_CEB_IRT_Pleito_IRT-cálculo" xfId="2111" xr:uid="{A3122356-05DC-4BE3-9886-F303BDA56D4F}"/>
    <cellStyle name="_Correção e apuração PIS COFINS 26-08-2005_CEB_IRT_Pleito_IRT-cálculo CAPA NEUTRALIDADE" xfId="2112" xr:uid="{C7BF4251-96F7-4342-83B4-C919DFEB0E9D}"/>
    <cellStyle name="_Correção e apuração PIS COFINS 26-08-2005_CEB_IRT_Revisão A-1" xfId="2113" xr:uid="{8BBAC5DD-DAF0-4CF9-A5BA-747942463B3D}"/>
    <cellStyle name="_Correção e apuração PIS COFINS 26-08-2005_CEB_IRT-cálculo" xfId="2114" xr:uid="{0EE268BA-E9EA-4C0F-8C1E-6A4B85EFB573}"/>
    <cellStyle name="_Correção e apuração PIS COFINS 26-08-2005_CEB_IRT-cálculo CAPA NEUTRALIDADE" xfId="2115" xr:uid="{AB2B2769-5F1D-4D6D-97DB-1EAA773D7F8C}"/>
    <cellStyle name="_Correção e apuração PIS COFINS 26-08-2005_CEB_Pasta1" xfId="1534" xr:uid="{88E17B98-C631-4336-92A4-4884D92ACE8D}"/>
    <cellStyle name="_Correção e apuração PIS COFINS 26-08-2005_CEB_Pasta1_atualização serviços taxados" xfId="42728" xr:uid="{803DFFCC-5F9A-471D-8413-75CD2DD2AE42}"/>
    <cellStyle name="_Correção e apuração PIS COFINS 26-08-2005_CEB_Pasta1_Financeiro Desconto na TUSD Consumidores Livres Reajuste 2010 - 03_03_2010" xfId="42729" xr:uid="{1BCF4F1B-13D9-4B2D-98F5-386E7F2E7B83}"/>
    <cellStyle name="_Correção e apuração PIS COFINS 26-08-2005_CEB_Pasta1_Financeiro Desconto na TUSD Geradores Reajuste 2010 - 03_03_2010" xfId="42730" xr:uid="{99639FCB-87A5-4C01-8C80-42F9954A8706}"/>
    <cellStyle name="_Correção e apuração PIS COFINS 26-08-2005_CEB_Pasta1_Financeiro Subsídio Baixa Renda Reajuste 2010 - 03_03_2010" xfId="42731" xr:uid="{49CF8544-05A3-4253-8D62-4D8E9617AAE7}"/>
    <cellStyle name="_Correção e apuração PIS COFINS 26-08-2005_CEB_Pasta1_Financeiro Subsídio Rural Irrigante e Aquicultor Reajuste 2010 - 03_03_2010" xfId="42732" xr:uid="{8B47D52C-F943-4E72-B6C8-66C56CAA1043}"/>
    <cellStyle name="_Correção e apuração PIS COFINS 26-08-2005_CEB_Pasta1_IRT-cálculo" xfId="2116" xr:uid="{0EF4BD8C-1EC1-434D-B3E7-091CD3FC7E60}"/>
    <cellStyle name="_Correção e apuração PIS COFINS 26-08-2005_CEB_Pasta1_IRT-cálculo CAPA NEUTRALIDADE" xfId="2117" xr:uid="{EDB44976-25F6-449B-9545-E0F69462E452}"/>
    <cellStyle name="_Correção e apuração PIS COFINS 26-08-2005_CEB_Pasta1_SOBRECONTRATAÇÃO E CVA" xfId="2118" xr:uid="{4C64545C-91C4-4830-93D7-16C6F3728F6D}"/>
    <cellStyle name="_Correção e apuração PIS COFINS 26-08-2005_CEB_Sheet1" xfId="2119" xr:uid="{8942B81A-2E1F-43EB-BA95-9544AAAEC3F2}"/>
    <cellStyle name="_Correção e apuração PIS COFINS 26-08-2005_CEB_SOBRECONTRATAÇÃO E CVA" xfId="2120" xr:uid="{A9042855-83A9-4623-8408-A4F89EC24E93}"/>
    <cellStyle name="_Correção e apuração PIS COFINS 26-08-2005_CEB_SOBRECONTRATAÇÃO E CVA A-1" xfId="2121" xr:uid="{532E6D73-A82C-4A11-87D7-A79C3EFD517F}"/>
    <cellStyle name="_Correção e apuração PIS COFINS 26-08-2005_CEB_SOBRECONTRATAÇÃO E CVA A-1_IRT-cálculo" xfId="2122" xr:uid="{BE0B6AF4-3862-4553-B4AF-0F50A7E38ABD}"/>
    <cellStyle name="_Correção e apuração PIS COFINS 26-08-2005_CEB_SOBRECONTRATAÇÃO E CVA A-1_IRT-cálculo CAPA NEUTRALIDADE" xfId="2123" xr:uid="{1073C26D-7404-4B97-A0BC-8BCC17C1B329}"/>
    <cellStyle name="_COSERN_IRT_2007_SIMULADOR" xfId="1535" xr:uid="{8E5D01FA-2B47-4752-ABB2-C805E02886CF}"/>
    <cellStyle name="_COSERN_IRT_2007_SIMULADOR 2" xfId="2124" xr:uid="{D2421C6B-8B03-4D72-9DAA-B8731F27DEFE}"/>
    <cellStyle name="_CPFL PAULISTA - Repasse sobrecontratação" xfId="2125" xr:uid="{A0E962B5-496A-47F1-B600-809E8A84347F}"/>
    <cellStyle name="_CPFL-SobrasExposiçãoSubmercados" xfId="86" xr:uid="{376F9073-2393-414C-BF21-C3AAD93BF9C5}"/>
    <cellStyle name="_CPFL-SobrasExposiçãoSubmercados 2" xfId="932" xr:uid="{3D7F125D-E896-4EBD-BAAF-D6FE9767A033}"/>
    <cellStyle name="_CPFL-SobrasExposiçãoSubmercados 3" xfId="2126" xr:uid="{54808D19-3C1C-4D72-8431-5A8DE7F8979C}"/>
    <cellStyle name="_CPFL-SobrasExposiçãoSubmercados_02 IRT COSERN 2009" xfId="1536" xr:uid="{CE48DDE7-C59E-499A-87AA-13372103D158}"/>
    <cellStyle name="_CPFL-SobrasExposiçãoSubmercados_2008.08.07 CELPA IRT2008 Homologado" xfId="2127" xr:uid="{9E79B0D1-0725-465B-9457-D86DF71AC5CB}"/>
    <cellStyle name="_CPFL-SobrasExposiçãoSubmercados_2009.04.09 EEB IRT2009 Conexao CEMIG C Financeiro" xfId="2128" xr:uid="{40BE9CC0-3253-4617-B7AB-A571C3321653}"/>
    <cellStyle name="_CPFL-SobrasExposiçãoSubmercados_Ajuste SALDO CVA ANO ANTERIOR PÓS-REVISÃOx" xfId="2129" xr:uid="{95F9C928-87B5-4079-8017-15AE37BD627E}"/>
    <cellStyle name="_CPFL-SobrasExposiçãoSubmercados_Ajustes REAJUSTE 2008 ELETROPAULO" xfId="2130" xr:uid="{13CAC54F-1332-40D2-913A-13D8293C88F1}"/>
    <cellStyle name="_CPFL-SobrasExposiçãoSubmercados_Ajustes REAJUSTE 2008 ELETROPAULO_IRT-cálculo" xfId="2131" xr:uid="{25823618-A679-4E97-B2FE-AC14BADBF6FD}"/>
    <cellStyle name="_CPFL-SobrasExposiçãoSubmercados_Ajustes REAJUSTE 2008 ELETROPAULO_IRT-cálculo CAPA NEUTRALIDADE" xfId="2132" xr:uid="{91FAA0F2-91A4-4412-8C2C-2EC0B5F3A7BB}"/>
    <cellStyle name="_CPFL-SobrasExposiçãoSubmercados_Ajustes REVISÃO 2007 ELETROPAULO" xfId="2133" xr:uid="{D32611DA-6A65-45FC-B3D2-95D36344E353}"/>
    <cellStyle name="_CPFL-SobrasExposiçãoSubmercados_Ajustes REVISÃO 2007 ELETROPAULO_IRT-cálculo" xfId="2134" xr:uid="{F646C318-0ED2-4AF9-AF40-9E2FBE102BD5}"/>
    <cellStyle name="_CPFL-SobrasExposiçãoSubmercados_Ajustes REVISÃO 2007 ELETROPAULO_IRT-cálculo CAPA NEUTRALIDADE" xfId="2135" xr:uid="{66B35ABA-3083-49EF-9220-7F9FF68AD91C}"/>
    <cellStyle name="_CPFL-SobrasExposiçãoSubmercados_atualização serviços taxados" xfId="42733" xr:uid="{E8D82B34-FBBA-4E08-9CEA-51DF68E4ECF3}"/>
    <cellStyle name="_CPFL-SobrasExposiçãoSubmercados_Balanço" xfId="87" xr:uid="{EA92EB93-2917-473D-8011-982EBFB4B974}"/>
    <cellStyle name="_CPFL-SobrasExposiçãoSubmercados_Balanço 2" xfId="1212" xr:uid="{103759E9-F2B0-47E7-87E5-13EFB1DED60C}"/>
    <cellStyle name="_CPFL-SobrasExposiçãoSubmercados_Cálculo do Financeiro do Baixa Renda" xfId="2136" xr:uid="{E9C23DAE-347B-45DC-BE91-E0A640D7A4FF}"/>
    <cellStyle name="_CPFL-SobrasExposiçãoSubmercados_Cálculo do Financeiro do Baixa Renda_IRT-cálculo" xfId="2137" xr:uid="{FBED6AB5-DFA4-4F30-BD89-E454F165BC64}"/>
    <cellStyle name="_CPFL-SobrasExposiçãoSubmercados_Cálculo do Financeiro do Baixa Renda_IRT-cálculo CAPA NEUTRALIDADE" xfId="2138" xr:uid="{88803124-D823-45B3-8472-3A87785ABA5D}"/>
    <cellStyle name="_CPFL-SobrasExposiçãoSubmercados_Calculo_Subsidio_ELFSM_26_06_08_Modelo_ANEEL" xfId="2139" xr:uid="{BC1CD46E-717F-4EA3-BF97-FB3F5A8845AA}"/>
    <cellStyle name="_CPFL-SobrasExposiçãoSubmercados_Calculo_Subsidio_ELFSM_26_06_08_Modelo_ANEEL_IRT-cálculo" xfId="2140" xr:uid="{0CE53E5D-E62E-4FD4-983E-4C5A143B2FC0}"/>
    <cellStyle name="_CPFL-SobrasExposiçãoSubmercados_Calculo_Subsidio_ELFSM_26_06_08_Modelo_ANEEL_IRT-cálculo CAPA NEUTRALIDADE" xfId="2141" xr:uid="{35D18099-5046-4FE5-95B8-13B47146233B}"/>
    <cellStyle name="_CPFL-SobrasExposiçãoSubmercados_casulo 15" xfId="88" xr:uid="{A7A0DCEE-98BF-4BBE-B7AC-86D46E018D9F}"/>
    <cellStyle name="_CPFL-SobrasExposiçãoSubmercados_casulo 5" xfId="89" xr:uid="{38D831FC-17FE-4D87-A664-18775E00DE9B}"/>
    <cellStyle name="_CPFL-SobrasExposiçãoSubmercados_casulo 5 2" xfId="1213" xr:uid="{4A52AB84-5186-487E-A2C0-1947FB6493AB}"/>
    <cellStyle name="_CPFL-SobrasExposiçãoSubmercados_casulo 5_Balanço" xfId="90" xr:uid="{CA8864C3-091E-4191-B95C-40877C222409}"/>
    <cellStyle name="_CPFL-SobrasExposiçãoSubmercados_casulo 5_casulo 15" xfId="91" xr:uid="{FF1A3A51-4AB5-4BCB-982D-823A713B6D02}"/>
    <cellStyle name="_CPFL-SobrasExposiçãoSubmercados_casulo 5_IRT EEB 2010" xfId="2142" xr:uid="{9801A1B6-C041-4146-8182-1EDFFA740B6B}"/>
    <cellStyle name="_CPFL-SobrasExposiçãoSubmercados_CELPE REAJUSTE 2008 ver 6c (17mar08) (IRT revisado - reversão - bolhas)(corr Uso)" xfId="42734" xr:uid="{536EF926-476A-44F6-AAC5-E8DD122FD5B2}"/>
    <cellStyle name="_CPFL-SobrasExposiçãoSubmercados_CELPE REAJUSTE 2008 ver final (enviada 17mar08)" xfId="42735" xr:uid="{F8BF7E16-4A75-45F0-A2A7-92D655445BB7}"/>
    <cellStyle name="_CPFL-SobrasExposiçãoSubmercados_COELBA_90 - Apuração da Receita e Reversão_IRT 2010" xfId="42736" xr:uid="{521F5400-B9C7-46EA-BB7C-CD825424F704}"/>
    <cellStyle name="_CPFL-SobrasExposiçãoSubmercados_COELBA_90 - Apuração da Receita e Reversão_IRT 2010_Jan_10" xfId="42737" xr:uid="{C3517F2A-1F3A-4061-87AD-7C76D655FBBF}"/>
    <cellStyle name="_CPFL-SobrasExposiçãoSubmercados_COELCE - Balanço de Energia - Reajuste 2009 - 02 02 2009" xfId="42738" xr:uid="{943C9757-840D-4D06-9C15-789A67C2E4F1}"/>
    <cellStyle name="_CPFL-SobrasExposiçãoSubmercados_COELCE - Compensação CVA Ano Anterior" xfId="42739" xr:uid="{08B6E259-3017-4F2E-89BB-5DC3DFFF952C}"/>
    <cellStyle name="_CPFL-SobrasExposiçãoSubmercados_Compensação CVA Ano Anterior" xfId="42740" xr:uid="{A5540AA1-C523-47DE-8106-597E0903DE75}"/>
    <cellStyle name="_CPFL-SobrasExposiçãoSubmercados_Cópia de IRT_CPFL_LESTE_PAULISTA(CPEE)_fev2009-COM_PREVISÃO_BR_da_Diretoria_pos_IGPM" xfId="92" xr:uid="{F275C922-4519-42B0-9C82-1CE0ECB55ACE}"/>
    <cellStyle name="_CPFL-SobrasExposiçãoSubmercados_Cópia de IRT_CPFL_LESTE_PAULISTA(CPEE)_fev2009-COM_PREVISÃO_BR_da_Diretoria_pos_IGPM 2" xfId="1214" xr:uid="{A97B25FD-67E5-4C96-B9A2-14C87B888BEF}"/>
    <cellStyle name="_CPFL-SobrasExposiçãoSubmercados_Cópia de IRT_CPFL_LESTE_PAULISTA(CPEE)_fev2009-COM_PREVISÃO_BR_da_Diretoria_pos_IGPM_Balanço" xfId="93" xr:uid="{56C03B4E-2F0D-4A1C-8220-6553A70BEBA3}"/>
    <cellStyle name="_CPFL-SobrasExposiçãoSubmercados_Cópia de IRT_CPFL_LESTE_PAULISTA(CPEE)_fev2009-COM_PREVISÃO_BR_da_Diretoria_pos_IGPM_Balanço 2" xfId="1215" xr:uid="{3CBA28AA-9F47-40BC-B43F-C2B3FF277FAD}"/>
    <cellStyle name="_CPFL-SobrasExposiçãoSubmercados_Cópia de IRT_CPFL_LESTE_PAULISTA(CPEE)_fev2009-COM_PREVISÃO_BR_da_Diretoria_pos_IGPM_casulo 15" xfId="94" xr:uid="{AFF916AE-D425-4905-9F69-685902BF474A}"/>
    <cellStyle name="_CPFL-SobrasExposiçãoSubmercados_Cópia de IRT_CPFL_LESTE_PAULISTA(CPEE)_fev2009-COM_PREVISÃO_BR_da_Diretoria_pos_IGPM_casulo 5" xfId="95" xr:uid="{61F18EB0-4470-4452-AFE5-E64FF4882739}"/>
    <cellStyle name="_CPFL-SobrasExposiçãoSubmercados_Cópia de IRT_CPFL_LESTE_PAULISTA(CPEE)_fev2009-COM_PREVISÃO_BR_da_Diretoria_pos_IGPM_casulo 5 2" xfId="1216" xr:uid="{2C7B4D51-E240-47D9-9A62-2FA558A3616D}"/>
    <cellStyle name="_CPFL-SobrasExposiçãoSubmercados_Cópia de IRT_CPFL_LESTE_PAULISTA(CPEE)_fev2009-COM_PREVISÃO_BR_da_Diretoria_pos_IGPM_casulo 5_Balanço" xfId="96" xr:uid="{38AF8D7A-2742-4975-8B90-E64216AC8CD7}"/>
    <cellStyle name="_CPFL-SobrasExposiçãoSubmercados_Cópia de IRT_CPFL_LESTE_PAULISTA(CPEE)_fev2009-COM_PREVISÃO_BR_da_Diretoria_pos_IGPM_casulo 5_casulo 15" xfId="97" xr:uid="{7E6BCF41-F930-4CF5-BF81-D1121824A5C1}"/>
    <cellStyle name="_CPFL-SobrasExposiçãoSubmercados_Cópia de IRT_CPFL_LESTE_PAULISTA(CPEE)_fev2009-COM_PREVISÃO_BR_da_Diretoria_pos_IGPM_casulo 5_IRT EEB 2010" xfId="2143" xr:uid="{EF8CAF83-051E-40E7-BFB5-5F026832A149}"/>
    <cellStyle name="_CPFL-SobrasExposiçãoSubmercados_Cópia de IRT_CPFL_LESTE_PAULISTA(CPEE)_fev2009-COM_PREVISÃO_BR_da_Diretoria_pos_IGPM_IRT EEB 2010" xfId="2144" xr:uid="{B308AF09-7EE2-4EE7-827F-8F398E31FD34}"/>
    <cellStyle name="_CPFL-SobrasExposiçãoSubmercados_Custo com Avaliação de Ativos para Base de Remuneração" xfId="2145" xr:uid="{0B63AED7-88E2-41C6-830B-39D9EDF77417}"/>
    <cellStyle name="_CPFL-SobrasExposiçãoSubmercados_Custo com Avaliação de Ativos para Base de Remuneração_IRT-cálculo" xfId="2146" xr:uid="{702F2789-0585-4661-A71E-26AE384A1273}"/>
    <cellStyle name="_CPFL-SobrasExposiçãoSubmercados_Custo com Avaliação de Ativos para Base de Remuneração_IRT-cálculo CAPA NEUTRALIDADE" xfId="2147" xr:uid="{30833497-1F8B-46B5-8FB5-AF4E54709E06}"/>
    <cellStyle name="_CPFL-SobrasExposiçãoSubmercados_CVA e Subsídios fiscalização ESCELSA_08_07_2009 v3 SRE" xfId="2148" xr:uid="{C4BD013B-2DC0-4574-8415-4C28E2933CF8}"/>
    <cellStyle name="_CPFL-SobrasExposiçãoSubmercados_CVA Outros Componentes PROVISÃO" xfId="2149" xr:uid="{F79674EC-6CA4-4CE5-9982-3428CD8FF702}"/>
    <cellStyle name="_CPFL-SobrasExposiçãoSubmercados_CVA_Projetada até dez-2008_Setembro" xfId="2150" xr:uid="{EC594FCE-C0A3-4BA4-85AD-25B2589DA5A9}"/>
    <cellStyle name="_CPFL-SobrasExposiçãoSubmercados_Descontos CCC_CDE_PROINFA Nov_07_Out_08" xfId="2151" xr:uid="{4C817423-1313-41D2-90C9-3B4D47E8E3EB}"/>
    <cellStyle name="_CPFL-SobrasExposiçãoSubmercados_Descontos CCC_CDE_PROINFA Nov_07_Out_08_IRT-cálculo" xfId="2152" xr:uid="{350C98AC-6E59-4D69-913A-5B43C38C7157}"/>
    <cellStyle name="_CPFL-SobrasExposiçãoSubmercados_Descontos CCC_CDE_PROINFA Nov_07_Out_08_IRT-cálculo CAPA NEUTRALIDADE" xfId="2153" xr:uid="{E6F620FA-7634-4497-ADEB-B369F204B4DD}"/>
    <cellStyle name="_CPFL-SobrasExposiçãoSubmercados_Energia Comprada" xfId="2154" xr:uid="{A3C8A7D8-308B-4684-8829-AAADD154FFA3}"/>
    <cellStyle name="_CPFL-SobrasExposiçãoSubmercados_Energia Comprada_IRT-cálculo" xfId="2155" xr:uid="{BB6E7ACC-3AB6-4AED-AB31-C59678C58064}"/>
    <cellStyle name="_CPFL-SobrasExposiçãoSubmercados_Energia Comprada_IRT-cálculo CAPA NEUTRALIDADE" xfId="2156" xr:uid="{FDE1DFD9-39D6-43BB-B345-4AB3DA5BD94C}"/>
    <cellStyle name="_CPFL-SobrasExposiçãoSubmercados_Fator Novo e Antigo 4 anos" xfId="2157" xr:uid="{4C2CE2EC-4097-44CE-B71E-72DB2AA555A9}"/>
    <cellStyle name="_CPFL-SobrasExposiçãoSubmercados_Fator Novo e Antigo 4 anos_IRT-cálculo" xfId="42741" xr:uid="{A3C03830-03BC-47A7-A47B-5F507FE8D536}"/>
    <cellStyle name="_CPFL-SobrasExposiçãoSubmercados_Fator X" xfId="1537" xr:uid="{EF61A377-DF98-4B69-BAFD-2A95780905EE}"/>
    <cellStyle name="_CPFL-SobrasExposiçãoSubmercados_Fator X 2" xfId="2158" xr:uid="{436D5AA7-2535-4119-B407-DCCE38AAB0DE}"/>
    <cellStyle name="_CPFL-SobrasExposiçãoSubmercados_Fator X_atualização serviços taxados" xfId="42742" xr:uid="{FE3475B5-7E09-468F-A9F4-15A93BF8803E}"/>
    <cellStyle name="_CPFL-SobrasExposiçãoSubmercados_Fator X_Financeiro Desconto na TUSD Consumidores Livres Reajuste 2010 - 03_03_2010" xfId="42743" xr:uid="{A6168108-25E4-4E62-9149-D2B5D8B15F00}"/>
    <cellStyle name="_CPFL-SobrasExposiçãoSubmercados_Fator X_Financeiro Desconto na TUSD Geradores Reajuste 2010 - 03_03_2010" xfId="42744" xr:uid="{E7A8A705-D342-4C11-8D9B-32EACE61DE90}"/>
    <cellStyle name="_CPFL-SobrasExposiçãoSubmercados_Fator X_Financeiro Subsídio Baixa Renda Reajuste 2010 - 03_03_2010" xfId="42745" xr:uid="{6CD82866-5C3C-4396-9419-B10869DB8D95}"/>
    <cellStyle name="_CPFL-SobrasExposiçãoSubmercados_Fator X_Financeiro Subsídio Rural Irrigante e Aquicultor Reajuste 2010 - 03_03_2010" xfId="42746" xr:uid="{60C2BC59-33EE-4A77-B031-726F3B047E3A}"/>
    <cellStyle name="_CPFL-SobrasExposiçãoSubmercados_Fator X_IRT-cálculo" xfId="2159" xr:uid="{67458E48-72F6-4837-A72B-06CF15966A41}"/>
    <cellStyle name="_CPFL-SobrasExposiçãoSubmercados_Fator X_IRT-cálculo CAPA NEUTRALIDADE" xfId="2160" xr:uid="{3D5EE324-103D-4483-9C44-EB71299106C4}"/>
    <cellStyle name="_CPFL-SobrasExposiçãoSubmercados_Fator X_SOBRECONTRATAÇÃO E CVA" xfId="2161" xr:uid="{D3602750-8344-4EDC-A957-660AC13802CC}"/>
    <cellStyle name="_CPFL-SobrasExposiçãoSubmercados_Financeiro Desconto na TUSD Consumidores Livres Reajuste 2010 - 03_03_2010" xfId="42747" xr:uid="{3E923FE5-C359-430D-96A5-375C18697E98}"/>
    <cellStyle name="_CPFL-SobrasExposiçãoSubmercados_Financeiro Desconto na TUSD Geradores Reajuste 2010 - 03_03_2010" xfId="42748" xr:uid="{E31707E7-464E-4EE0-929D-548CD266B7D8}"/>
    <cellStyle name="_CPFL-SobrasExposiçãoSubmercados_Financeiro Subsídio Baixa Renda Reajuste 2010 - 03_03_2010" xfId="42749" xr:uid="{5EFCF2E4-AD5A-4ADA-A8FF-DAA92830B9F8}"/>
    <cellStyle name="_CPFL-SobrasExposiçãoSubmercados_Financeiro Subsídio Rural Irrigante e Aquicultor Reajuste 2010 - 03_03_2010" xfId="42750" xr:uid="{8954AE83-0ECE-4859-9BC7-6F354C46812E}"/>
    <cellStyle name="_CPFL-SobrasExposiçãoSubmercados_IF - Autoprodutores 2" xfId="2162" xr:uid="{A9BADB36-8E99-4801-AFB3-9AAC88B3C173}"/>
    <cellStyle name="_CPFL-SobrasExposiçãoSubmercados_IF_Consumidores livres e geradoras_2010" xfId="2163" xr:uid="{5B2435FC-4A11-4B9A-945C-6BEAC3C4E6CC}"/>
    <cellStyle name="_CPFL-SobrasExposiçãoSubmercados_IRT" xfId="2164" xr:uid="{F29C4869-791F-4564-AA61-B888E3598D0D}"/>
    <cellStyle name="_CPFL-SobrasExposiçãoSubmercados_IRT (2)" xfId="1538" xr:uid="{65AF56E2-5D63-4302-8B3E-898C23482D7B}"/>
    <cellStyle name="_CPFL-SobrasExposiçãoSubmercados_IRT CELTINS 2009 versão 5" xfId="2165" xr:uid="{E0788E0A-2285-403C-BC9B-3888F0F47324}"/>
    <cellStyle name="_CPFL-SobrasExposiçãoSubmercados_IRT EEB 2010" xfId="2166" xr:uid="{4C24B62F-5282-45BB-B84C-8A14E24E69D6}"/>
    <cellStyle name="_CPFL-SobrasExposiçãoSubmercados_IRT Piratininga 2009" xfId="98" xr:uid="{0A865EAF-28D1-47B0-BDE3-86323C707252}"/>
    <cellStyle name="_CPFL-SobrasExposiçãoSubmercados_IRT Piratininga 2009 2" xfId="1217" xr:uid="{1374054F-CCFF-4D22-9B12-E7832922944A}"/>
    <cellStyle name="_CPFL-SobrasExposiçãoSubmercados_IRT Piratininga 2009_Balanço" xfId="99" xr:uid="{495C8671-040E-4C03-A979-F182A58D5BF1}"/>
    <cellStyle name="_CPFL-SobrasExposiçãoSubmercados_IRT Piratininga 2009_casulo 15" xfId="100" xr:uid="{1430F810-AEB3-4E18-A61E-8D700998BBB0}"/>
    <cellStyle name="_CPFL-SobrasExposiçãoSubmercados_IRT Piratininga 2009_IRT EEB 2010" xfId="2167" xr:uid="{7D64EB78-C412-4387-A8B1-513F8D41EF90}"/>
    <cellStyle name="_CPFL-SobrasExposiçãoSubmercados_IRT Reloaded" xfId="101" xr:uid="{EEE888A0-0A09-4E09-B7F2-4C2144C3E276}"/>
    <cellStyle name="_CPFL-SobrasExposiçãoSubmercados_IRT Reloaded 2" xfId="1218" xr:uid="{0D8CD86E-2DC6-4623-A55A-EC2DCF8C9A05}"/>
    <cellStyle name="_CPFL-SobrasExposiçãoSubmercados_IRT Reloaded_Balanço" xfId="102" xr:uid="{FC3CDDE9-AECE-4F69-8A9C-F31B81E8AFD9}"/>
    <cellStyle name="_CPFL-SobrasExposiçãoSubmercados_IRT Reloaded_Balanço 2" xfId="1219" xr:uid="{F3C1C7EA-70B6-4DD4-8803-00188098D654}"/>
    <cellStyle name="_CPFL-SobrasExposiçãoSubmercados_IRT Reloaded_casulo 15" xfId="103" xr:uid="{D3865C60-B252-443D-9CE1-97DF76976FBA}"/>
    <cellStyle name="_CPFL-SobrasExposiçãoSubmercados_IRT Reloaded_casulo 5" xfId="104" xr:uid="{CE07FF77-EB0A-45F5-B09F-02C1322F92E3}"/>
    <cellStyle name="_CPFL-SobrasExposiçãoSubmercados_IRT Reloaded_casulo 5 2" xfId="1220" xr:uid="{5CC5FECF-1017-41C4-AE24-4C66CC6F65E5}"/>
    <cellStyle name="_CPFL-SobrasExposiçãoSubmercados_IRT Reloaded_casulo 5_Balanço" xfId="105" xr:uid="{AF094C42-3449-4B05-9B41-2947D4A848D6}"/>
    <cellStyle name="_CPFL-SobrasExposiçãoSubmercados_IRT Reloaded_casulo 5_casulo 15" xfId="106" xr:uid="{30D8C905-4AC0-467F-A9EE-18099DA4CC63}"/>
    <cellStyle name="_CPFL-SobrasExposiçãoSubmercados_IRT Reloaded_casulo 5_IRT EEB 2010" xfId="2168" xr:uid="{23D6F067-3B8D-444C-8BC9-A1435B3BA7D0}"/>
    <cellStyle name="_CPFL-SobrasExposiçãoSubmercados_IRT Reloaded_IRT EEB 2010" xfId="2169" xr:uid="{42C2E054-B704-4B5F-8311-EBCDA324691A}"/>
    <cellStyle name="_CPFL-SobrasExposiçãoSubmercados_IRT_1" xfId="1539" xr:uid="{6DA37D70-498A-42D4-BD37-00189BE65419}"/>
    <cellStyle name="_CPFL-SobrasExposiçãoSubmercados_IRT_1 2" xfId="2170" xr:uid="{7106E76E-78A1-4905-AA30-0E762F9C4E98}"/>
    <cellStyle name="_CPFL-SobrasExposiçãoSubmercados_IRT_1_atualização serviços taxados" xfId="42751" xr:uid="{83860032-1D64-4D20-AE37-01A736007B2E}"/>
    <cellStyle name="_CPFL-SobrasExposiçãoSubmercados_IRT_1_Financeiro Desconto na TUSD Consumidores Livres Reajuste 2010 - 03_03_2010" xfId="42752" xr:uid="{D7CAD8D4-4182-405B-88BC-AACA94BBB98F}"/>
    <cellStyle name="_CPFL-SobrasExposiçãoSubmercados_IRT_1_Financeiro Desconto na TUSD Geradores Reajuste 2010 - 03_03_2010" xfId="42753" xr:uid="{7174C246-E785-492D-BF62-2AC730F6E0DE}"/>
    <cellStyle name="_CPFL-SobrasExposiçãoSubmercados_IRT_1_Financeiro Subsídio Baixa Renda Reajuste 2010 - 03_03_2010" xfId="42754" xr:uid="{1FB8E64B-12F8-41E2-A169-46ABC7F4B630}"/>
    <cellStyle name="_CPFL-SobrasExposiçãoSubmercados_IRT_1_Financeiro Subsídio Rural Irrigante e Aquicultor Reajuste 2010 - 03_03_2010" xfId="42755" xr:uid="{A51ECF5B-C825-4250-ACD8-84756F246748}"/>
    <cellStyle name="_CPFL-SobrasExposiçãoSubmercados_IRT_1_IRT-cálculo" xfId="2171" xr:uid="{7943A525-5C6E-49E0-8BEC-52C3619C855C}"/>
    <cellStyle name="_CPFL-SobrasExposiçãoSubmercados_IRT_1_IRT-cálculo CAPA NEUTRALIDADE" xfId="2172" xr:uid="{294334EB-CAF2-4548-A1E8-ED43CF28F8C1}"/>
    <cellStyle name="_CPFL-SobrasExposiçãoSubmercados_IRT_1_SOBRECONTRATAÇÃO E CVA" xfId="2173" xr:uid="{966971E5-CEF4-43B2-8D11-A79547413E3A}"/>
    <cellStyle name="_CPFL-SobrasExposiçãoSubmercados_IRT_Bragantina_maio_2009" xfId="2174" xr:uid="{9D13DC04-D2BD-490F-94D1-6D01B5166EAE}"/>
    <cellStyle name="_CPFL-SobrasExposiçãoSubmercados_IRT_CEMAT_2009" xfId="2175" xr:uid="{2DE49FBE-228B-4956-B15C-4F1D19E4F007}"/>
    <cellStyle name="_CPFL-SobrasExposiçãoSubmercados_IRT_EBB_mai2010d" xfId="2176" xr:uid="{20B58EE1-37C2-489D-805F-AEBA912C469C}"/>
    <cellStyle name="_CPFL-SobrasExposiçãoSubmercados_IRT_ENERGISA_SE_abr2009" xfId="2177" xr:uid="{4D36C8C7-8394-481C-B788-B6FFD9CDC051}"/>
    <cellStyle name="_CPFL-SobrasExposiçãoSubmercados_IRT_ENF" xfId="2178" xr:uid="{CEA07792-D705-4F71-A368-3FB3A2270AC6}"/>
    <cellStyle name="_CPFL-SobrasExposiçãoSubmercados_IRT_Escelsa" xfId="2179" xr:uid="{5BF948D0-BBA3-4E47-AE6A-AE344A56E9D2}"/>
    <cellStyle name="_CPFL-SobrasExposiçãoSubmercados_IRT_LIGHT_nov2007" xfId="1540" xr:uid="{A0D41538-4BA3-4315-9EBF-36FE9AE45056}"/>
    <cellStyle name="_CPFL-SobrasExposiçãoSubmercados_IRT_LIGHT_nov2007 2" xfId="2180" xr:uid="{352E0DFE-6B81-400A-80B2-532760B954FB}"/>
    <cellStyle name="_CPFL-SobrasExposiçãoSubmercados_IRT_LIGHT_nov2007_atualização serviços taxados" xfId="42756" xr:uid="{E7A6C552-F841-450C-816C-48C725CF06F1}"/>
    <cellStyle name="_CPFL-SobrasExposiçãoSubmercados_IRT_LIGHT_nov2007_Financeiro Desconto na TUSD Consumidores Livres Reajuste 2010 - 03_03_2010" xfId="42757" xr:uid="{7B022EEE-8E8A-476F-9E5A-B611CDBD827B}"/>
    <cellStyle name="_CPFL-SobrasExposiçãoSubmercados_IRT_LIGHT_nov2007_Financeiro Desconto na TUSD Geradores Reajuste 2010 - 03_03_2010" xfId="42758" xr:uid="{652DA192-DCC1-45B4-A600-60C77FD6B2E3}"/>
    <cellStyle name="_CPFL-SobrasExposiçãoSubmercados_IRT_LIGHT_nov2007_Financeiro Subsídio Baixa Renda Reajuste 2010 - 03_03_2010" xfId="42759" xr:uid="{E8A5366B-3D8B-4DD9-98AF-A69D326E7914}"/>
    <cellStyle name="_CPFL-SobrasExposiçãoSubmercados_IRT_LIGHT_nov2007_Financeiro Subsídio Rural Irrigante e Aquicultor Reajuste 2010 - 03_03_2010" xfId="42760" xr:uid="{B1D33184-C136-4682-B3E7-666545E88E15}"/>
    <cellStyle name="_CPFL-SobrasExposiçãoSubmercados_IRT_LIGHT_nov2007_IRT-cálculo" xfId="2181" xr:uid="{97B8C5FE-CFDE-49F9-AFC1-3B7CA231DE5E}"/>
    <cellStyle name="_CPFL-SobrasExposiçãoSubmercados_IRT_LIGHT_nov2007_IRT-cálculo CAPA NEUTRALIDADE" xfId="2182" xr:uid="{81AB3218-5B1C-438F-878F-6780E1360355}"/>
    <cellStyle name="_CPFL-SobrasExposiçãoSubmercados_IRT_LIGHT_nov2007_SOBRECONTRATAÇÃO E CVA" xfId="2183" xr:uid="{FDA3FEE6-FB9F-403E-88E8-8CCD381F933D}"/>
    <cellStyle name="_CPFL-SobrasExposiçãoSubmercados_IRT_Planilha Básica_ CETRIL" xfId="107" xr:uid="{FD69A1D5-8E9B-4422-AD41-D925DF37F135}"/>
    <cellStyle name="_CPFL-SobrasExposiçãoSubmercados_IRT_Planilha Básica_ CETRIL 2" xfId="1221" xr:uid="{34DEEB66-1BCA-45B2-993E-CA7FD7B1A98C}"/>
    <cellStyle name="_CPFL-SobrasExposiçãoSubmercados_IRT_Planilha Básica_ CETRIL_Balanço" xfId="108" xr:uid="{29F07C66-6D58-4719-ABB0-933176BD782F}"/>
    <cellStyle name="_CPFL-SobrasExposiçãoSubmercados_IRT_Planilha Básica_ CETRIL_casulo 15" xfId="109" xr:uid="{58CFE2BE-6BD5-4742-A237-C2477D78D78D}"/>
    <cellStyle name="_CPFL-SobrasExposiçãoSubmercados_IRT_Planilha Básica_ CETRIL_IRT EEB 2010" xfId="2184" xr:uid="{C55A8C90-B822-4010-B62A-2E9861A0EC69}"/>
    <cellStyle name="_CPFL-SobrasExposiçãoSubmercados_IRT_Planilha Básica_30jun2009" xfId="2185" xr:uid="{073E7B5C-7915-4460-83E4-AC0110A9518C}"/>
    <cellStyle name="_CPFL-SobrasExposiçãoSubmercados_IRT_Planilha Básica_DIRETORIA" xfId="2186" xr:uid="{6AE9BC7B-8A23-408B-9F4B-A894587025F1}"/>
    <cellStyle name="_CPFL-SobrasExposiçãoSubmercados_IRT_Planilha Básica_fev2010" xfId="2187" xr:uid="{51B5DFE7-3FE7-41FD-8F55-E318B38DBECF}"/>
    <cellStyle name="_CPFL-SobrasExposiçãoSubmercados_IRT_Planilha Básica_fev2010a" xfId="110" xr:uid="{AF0EEEE5-63D0-4828-9DDC-0CCB7116E308}"/>
    <cellStyle name="_CPFL-SobrasExposiçãoSubmercados_IRT_Planilha Básica_fev2010a 2" xfId="1222" xr:uid="{287BB6FF-5EC9-4C3D-A07A-F6F8124279F7}"/>
    <cellStyle name="_CPFL-SobrasExposiçãoSubmercados_IRT_Planilha Básica_fev2010a_Balanço" xfId="111" xr:uid="{BB5CAC04-64FA-4ED2-B81C-4DCB540C9088}"/>
    <cellStyle name="_CPFL-SobrasExposiçãoSubmercados_IRT_Planilha Básica_fev2010a_Balanço 2" xfId="1223" xr:uid="{5550F9B7-3401-4D1D-BC89-61336AC342DF}"/>
    <cellStyle name="_CPFL-SobrasExposiçãoSubmercados_IRT_Planilha Básica_fev2010a_casulo 15" xfId="112" xr:uid="{1C0EF02D-A7D5-4C56-BCE5-2B43D8BEEFDC}"/>
    <cellStyle name="_CPFL-SobrasExposiçãoSubmercados_IRT_Planilha Básica_fev2010a_casulo 5" xfId="113" xr:uid="{3FBD8F37-5300-418A-8B59-7464C9830678}"/>
    <cellStyle name="_CPFL-SobrasExposiçãoSubmercados_IRT_Planilha Básica_fev2010a_casulo 5 2" xfId="1224" xr:uid="{CFC3450E-FD70-4E01-ADCB-085F5E436537}"/>
    <cellStyle name="_CPFL-SobrasExposiçãoSubmercados_IRT_Planilha Básica_fev2010a_casulo 5_Balanço" xfId="114" xr:uid="{6F0F0438-FE39-4838-87D7-1EEE8DA4D9F7}"/>
    <cellStyle name="_CPFL-SobrasExposiçãoSubmercados_IRT_Planilha Básica_fev2010a_casulo 5_casulo 15" xfId="115" xr:uid="{DAE6BB53-29A6-4064-9723-4A521BDB054A}"/>
    <cellStyle name="_CPFL-SobrasExposiçãoSubmercados_IRT_Planilha Básica_fev2010a_casulo 5_IRT EEB 2010" xfId="2188" xr:uid="{52E15E06-782B-48EE-AF01-A5665FA0D1BE}"/>
    <cellStyle name="_CPFL-SobrasExposiçãoSubmercados_IRT_Planilha Básica_fev2010a_IRT EEB 2010" xfId="2189" xr:uid="{DB671097-C1D8-4045-833E-11EECF428188}"/>
    <cellStyle name="_CPFL-SobrasExposiçãoSubmercados_IRT_Planilha Básica_jun2009" xfId="2190" xr:uid="{10682C1E-C170-47CB-9FC1-A6CDE9DFA770}"/>
    <cellStyle name="_CPFL-SobrasExposiçãoSubmercados_IRT_Planilha Básica_mar2010b" xfId="2191" xr:uid="{BBE7FE3B-E9C5-4EA4-8606-15D67E3AF760}"/>
    <cellStyle name="_CPFL-SobrasExposiçãoSubmercados_IRT_Planilha Básica_mar2010d" xfId="116" xr:uid="{146D6708-27B7-4123-A971-C248054AB604}"/>
    <cellStyle name="_CPFL-SobrasExposiçãoSubmercados_IRT_Planilha Básica_mar2010d 2" xfId="1225" xr:uid="{1FDE3288-F44F-450E-88F4-B50EFDF4FEDB}"/>
    <cellStyle name="_CPFL-SobrasExposiçãoSubmercados_IRT_Planilha Básica_março2009" xfId="117" xr:uid="{4A72B691-B9B5-4A13-AD49-BEA66E8278B2}"/>
    <cellStyle name="_CPFL-SobrasExposiçãoSubmercados_IRT_Planilha Básica_março2009 2" xfId="1226" xr:uid="{E8B7543B-45D5-4D62-939C-428EAEFB8866}"/>
    <cellStyle name="_CPFL-SobrasExposiçãoSubmercados_IRT_Planilha Básica_março2009_02 IRT Bandeirante 2009" xfId="2192" xr:uid="{FEFCD9CF-3388-4CAF-A937-FCA4D26C72A1}"/>
    <cellStyle name="_CPFL-SobrasExposiçãoSubmercados_IRT_Planilha Básica_março2009_Balanço" xfId="118" xr:uid="{B3C5FE8F-98F9-4AAB-B745-71E105E88891}"/>
    <cellStyle name="_CPFL-SobrasExposiçãoSubmercados_IRT_Planilha Básica_março2009_Balanço 2" xfId="1227" xr:uid="{AC63BAB3-7237-4FE1-BFB3-C751C0657C74}"/>
    <cellStyle name="_CPFL-SobrasExposiçãoSubmercados_IRT_Planilha Básica_março2009_casulo 15" xfId="119" xr:uid="{03839BCF-054C-42D7-A6A6-CC0C66FAF58F}"/>
    <cellStyle name="_CPFL-SobrasExposiçãoSubmercados_IRT_Planilha Básica_março2009_casulo 5" xfId="120" xr:uid="{DF8DFC16-8782-4328-81E1-370E08ADDA67}"/>
    <cellStyle name="_CPFL-SobrasExposiçãoSubmercados_IRT_Planilha Básica_março2009_casulo 5 2" xfId="1228" xr:uid="{CBA73D92-3635-446D-9F95-AC82EE1DB1C8}"/>
    <cellStyle name="_CPFL-SobrasExposiçãoSubmercados_IRT_Planilha Básica_março2009_casulo 5_Balanço" xfId="121" xr:uid="{FCA2F840-7A78-47D6-A8B5-D140D3BB147E}"/>
    <cellStyle name="_CPFL-SobrasExposiçãoSubmercados_IRT_Planilha Básica_março2009_casulo 5_casulo 15" xfId="122" xr:uid="{B9341EAC-E04E-4888-AA6F-063A29B45AAD}"/>
    <cellStyle name="_CPFL-SobrasExposiçãoSubmercados_IRT_Planilha Básica_março2009_casulo 5_IRT EEB 2010" xfId="2193" xr:uid="{E43954A8-41FF-4C7E-8A2F-156C23F38498}"/>
    <cellStyle name="_CPFL-SobrasExposiçãoSubmercados_IRT_Planilha Básica_março2009_COELCE  ICMS Não Compensado RTO 2012 281211" xfId="2194" xr:uid="{777E659D-C163-47DA-9743-29009042CA96}"/>
    <cellStyle name="_CPFL-SobrasExposiçãoSubmercados_IRT_Planilha Básica_março2009_COELCE - RTO 2011 - PLPT_PLANILHA_CÁLCULO_DÉFICIT" xfId="2195" xr:uid="{340593D2-9D7E-4AE4-8058-3548BA5BB4E0}"/>
    <cellStyle name="_CPFL-SobrasExposiçãoSubmercados_IRT_Planilha Básica_março2009_IRT EEB 2010" xfId="2196" xr:uid="{82E63FD1-532B-47F1-9541-135801BD9EB5}"/>
    <cellStyle name="_CPFL-SobrasExposiçãoSubmercados_IRT_Planilha Básica_março2009_IRT Piratininga 2009" xfId="123" xr:uid="{0BB1CEA0-385E-45C3-A91F-CC0C6AEE2AEB}"/>
    <cellStyle name="_CPFL-SobrasExposiçãoSubmercados_IRT_Planilha Básica_março2009_IRT Piratininga 2009 2" xfId="1229" xr:uid="{F35CDF8A-34C1-4159-A459-1AAAC13FD0CD}"/>
    <cellStyle name="_CPFL-SobrasExposiçãoSubmercados_IRT_Planilha Básica_março2009_IRT Piratininga 2009_Balanço" xfId="124" xr:uid="{2BF22B12-26C6-4C3E-8A2F-C932D9A6A1D1}"/>
    <cellStyle name="_CPFL-SobrasExposiçãoSubmercados_IRT_Planilha Básica_março2009_IRT Piratininga 2009_casulo 15" xfId="125" xr:uid="{A251BF2C-1BEB-4EB5-8D25-6AD439C9B962}"/>
    <cellStyle name="_CPFL-SobrasExposiçãoSubmercados_IRT_Planilha Básica_março2009_IRT Piratininga 2009_IRT EEB 2010" xfId="2197" xr:uid="{EA817F79-106D-4A4D-9AC2-54066F8F48A0}"/>
    <cellStyle name="_CPFL-SobrasExposiçãoSubmercados_IRT_Planilha Básica_março2009_IRT_EBB_mai2010d" xfId="2198" xr:uid="{78F48CAE-8719-490E-9E7D-AB32E2CDEA55}"/>
    <cellStyle name="_CPFL-SobrasExposiçãoSubmercados_IRT_Planilha Básica_março2009_IRT_Planilha Básica_ CETRIL" xfId="126" xr:uid="{C41993D2-B353-474C-8F93-CD567F41D7D9}"/>
    <cellStyle name="_CPFL-SobrasExposiçãoSubmercados_IRT_Planilha Básica_março2009_IRT_Planilha Básica_ CETRIL 2" xfId="1230" xr:uid="{EBDC65F9-5D26-4FE1-A7D3-12A3E1A380FF}"/>
    <cellStyle name="_CPFL-SobrasExposiçãoSubmercados_IRT_Planilha Básica_março2009_IRT_Planilha Básica_ CETRIL_Balanço" xfId="127" xr:uid="{2B38AE79-F26B-465F-8766-FC360361E48F}"/>
    <cellStyle name="_CPFL-SobrasExposiçãoSubmercados_IRT_Planilha Básica_março2009_IRT_Planilha Básica_ CETRIL_casulo 15" xfId="128" xr:uid="{9E47AFAC-8F0C-419E-BA35-CE84549A2612}"/>
    <cellStyle name="_CPFL-SobrasExposiçãoSubmercados_IRT_Planilha Básica_março2009_IRT_Planilha Básica_ CETRIL_IRT EEB 2010" xfId="2199" xr:uid="{477D72B7-E3C4-4B6C-B886-43DD7516BD78}"/>
    <cellStyle name="_CPFL-SobrasExposiçãoSubmercados_IRT_Planilha Básica_março2009_IRT_Planilha Básica_DIRETORIA" xfId="2200" xr:uid="{75824EA6-9922-4679-A570-26BBB28A360B}"/>
    <cellStyle name="_CPFL-SobrasExposiçãoSubmercados_IRT_Planilha Básica_março2009_IRT_Planilha Básica_fev2010" xfId="2201" xr:uid="{B60477B6-3D56-442A-9BDE-72F0C33FD4EE}"/>
    <cellStyle name="_CPFL-SobrasExposiçãoSubmercados_IRT_Planilha Básica_março2009_IRT_Planilha Básica_fev2010a" xfId="129" xr:uid="{10838D34-D02A-4EBF-B3E1-761F57C099B3}"/>
    <cellStyle name="_CPFL-SobrasExposiçãoSubmercados_IRT_Planilha Básica_março2009_IRT_Planilha Básica_fev2010a 2" xfId="1231" xr:uid="{2CEF9858-0381-4F6D-98DA-4281D2FAF61E}"/>
    <cellStyle name="_CPFL-SobrasExposiçãoSubmercados_IRT_Planilha Básica_março2009_IRT_Planilha Básica_fev2010a_Balanço" xfId="130" xr:uid="{4DD7C2C9-B0D1-4756-9345-97D07EB87AB6}"/>
    <cellStyle name="_CPFL-SobrasExposiçãoSubmercados_IRT_Planilha Básica_março2009_IRT_Planilha Básica_fev2010a_Balanço 2" xfId="1232" xr:uid="{A59ECB33-638F-4AF0-A3B4-A9211358A02B}"/>
    <cellStyle name="_CPFL-SobrasExposiçãoSubmercados_IRT_Planilha Básica_março2009_IRT_Planilha Básica_fev2010a_casulo 15" xfId="131" xr:uid="{6EFF02D2-CA44-4F7A-A3F6-AADA567E454D}"/>
    <cellStyle name="_CPFL-SobrasExposiçãoSubmercados_IRT_Planilha Básica_março2009_IRT_Planilha Básica_fev2010a_casulo 5" xfId="132" xr:uid="{90B774F3-060D-4344-8E82-64D140488518}"/>
    <cellStyle name="_CPFL-SobrasExposiçãoSubmercados_IRT_Planilha Básica_março2009_IRT_Planilha Básica_fev2010a_casulo 5 2" xfId="1233" xr:uid="{A71F28D1-13C8-4165-A89A-B9E99407EFB4}"/>
    <cellStyle name="_CPFL-SobrasExposiçãoSubmercados_IRT_Planilha Básica_março2009_IRT_Planilha Básica_fev2010a_casulo 5_Balanço" xfId="133" xr:uid="{DF6FEEF2-DEBC-4355-BBC7-EC3B60ACA7CD}"/>
    <cellStyle name="_CPFL-SobrasExposiçãoSubmercados_IRT_Planilha Básica_março2009_IRT_Planilha Básica_fev2010a_casulo 5_casulo 15" xfId="134" xr:uid="{B40FAC88-1EB7-41BF-8B6F-1E737A5DDF0C}"/>
    <cellStyle name="_CPFL-SobrasExposiçãoSubmercados_IRT_Planilha Básica_março2009_IRT_Planilha Básica_fev2010a_casulo 5_IRT EEB 2010" xfId="2202" xr:uid="{571210DC-B04F-49C6-BE8E-0CDEF1A90BBD}"/>
    <cellStyle name="_CPFL-SobrasExposiçãoSubmercados_IRT_Planilha Básica_março2009_IRT_Planilha Básica_fev2010a_IRT EEB 2010" xfId="2203" xr:uid="{1B6D49F7-5F5D-4A45-A882-D9598CA12103}"/>
    <cellStyle name="_CPFL-SobrasExposiçãoSubmercados_IRT_Planilha Básica_março2009_IRT_Planilha Básica_jan2010" xfId="2204" xr:uid="{F07109EC-8AD2-4F70-8833-EAB3C0BDC252}"/>
    <cellStyle name="_CPFL-SobrasExposiçãoSubmercados_IRT_Planilha Básica_março2009_IRT_Planilha Básica_mar2010d" xfId="135" xr:uid="{F429132F-E317-403C-9FE8-C6B4C4111BC3}"/>
    <cellStyle name="_CPFL-SobrasExposiçãoSubmercados_IRT_Planilha Básica_março2009_IRT_Planilha Básica_mar2010d 2" xfId="1234" xr:uid="{39F1B967-2231-4CC9-AFAE-61D1DBECF4F2}"/>
    <cellStyle name="_CPFL-SobrasExposiçãoSubmercados_IRT_Planilha Básica_março2009_IRT_Planilha Básica_NOVA METODOLOGIA" xfId="2205" xr:uid="{19D3A65C-EB93-4621-86B3-C78702A6F940}"/>
    <cellStyle name="_CPFL-SobrasExposiçãoSubmercados_IRT_Planilha Básica_março2009_IRT_Santa 2010" xfId="2206" xr:uid="{0D946662-484D-4567-92DD-C0BA52BCED4C}"/>
    <cellStyle name="_CPFL-SobrasExposiçãoSubmercados_IRT_Planilha Básica_março2009_IRT-cálculo" xfId="42761" xr:uid="{F94B52BD-5845-45BB-8EDA-204EF8EECE94}"/>
    <cellStyle name="_CPFL-SobrasExposiçãoSubmercados_IRT_Planilha Básica_março2009_Resultados_DEA_RND_QUAL_PERDAS" xfId="42537" xr:uid="{A7EC0D1A-DD18-4B66-A3D4-F2FB64B89A9B}"/>
    <cellStyle name="_CPFL-SobrasExposiçãoSubmercados_IRT_Planilha Básica_março2009_Simulação congelamento COELCE 2011 - Propostas 3ª Fase AP040 (20.12.2011)" xfId="2207" xr:uid="{D67C43BF-52AF-4A4D-8C96-669039E13054}"/>
    <cellStyle name="_CPFL-SobrasExposiçãoSubmercados_IRT_Planilha Básica_março2009_teste ampla" xfId="136" xr:uid="{43658E0A-EDAE-4310-8778-18BD5A13D19E}"/>
    <cellStyle name="_CPFL-SobrasExposiçãoSubmercados_IRT_Planilha Básica_março2009_teste ampla 2" xfId="1235" xr:uid="{63E0DBBA-B259-4854-9B11-5E72E00C3F0C}"/>
    <cellStyle name="_CPFL-SobrasExposiçãoSubmercados_IRT_Planilha Básica_março2009_teste ampla_Balanço" xfId="137" xr:uid="{98EBC2AD-595E-42F2-94F4-5291651A5135}"/>
    <cellStyle name="_CPFL-SobrasExposiçãoSubmercados_IRT_Planilha Básica_março2009_teste ampla_Balanço 2" xfId="1236" xr:uid="{8E90EED6-8935-4F5D-9A24-5390FD08D343}"/>
    <cellStyle name="_CPFL-SobrasExposiçãoSubmercados_IRT_Planilha Básica_março2009_teste ampla_casulo 15" xfId="138" xr:uid="{6D6F9D58-B2FE-4D43-86D0-949C368E1A47}"/>
    <cellStyle name="_CPFL-SobrasExposiçãoSubmercados_IRT_Planilha Básica_março2009_teste ampla_casulo 5" xfId="139" xr:uid="{82240009-6861-45A8-B55F-93640747C08C}"/>
    <cellStyle name="_CPFL-SobrasExposiçãoSubmercados_IRT_Planilha Básica_março2009_teste ampla_casulo 5 2" xfId="1237" xr:uid="{8E6215B2-A8C1-4D1E-AA3E-1B178932151F}"/>
    <cellStyle name="_CPFL-SobrasExposiçãoSubmercados_IRT_Planilha Básica_março2009_teste ampla_casulo 5_Balanço" xfId="140" xr:uid="{77931308-EFF5-489A-84B5-EE6F31091457}"/>
    <cellStyle name="_CPFL-SobrasExposiçãoSubmercados_IRT_Planilha Básica_março2009_teste ampla_casulo 5_casulo 15" xfId="141" xr:uid="{708F8075-1FC6-4155-9514-6A409048CEBA}"/>
    <cellStyle name="_CPFL-SobrasExposiçãoSubmercados_IRT_Planilha Básica_março2009_teste ampla_casulo 5_IRT EEB 2010" xfId="2208" xr:uid="{B5E76971-033E-4AD2-B3A6-CA999EF76010}"/>
    <cellStyle name="_CPFL-SobrasExposiçãoSubmercados_IRT_Planilha Básica_março2009_teste ampla_IRT EEB 2010" xfId="2209" xr:uid="{6B7CD477-6B76-4CC7-8165-ADC99E1C4A54}"/>
    <cellStyle name="_CPFL-SobrasExposiçãoSubmercados_IRT_Planilha Básica_NOVA METODOLOGIA" xfId="2210" xr:uid="{A2B887AA-7CC7-433E-8D20-7DE0652D5630}"/>
    <cellStyle name="_CPFL-SobrasExposiçãoSubmercados_IRT_Planilha Básica_out2009" xfId="142" xr:uid="{5F8E2EC5-D226-4A0E-92E9-6EC56EBFAFA1}"/>
    <cellStyle name="_CPFL-SobrasExposiçãoSubmercados_IRT_Planilha Básica_out2009 2" xfId="1238" xr:uid="{EAC212C2-B0BD-437D-B4D0-59483470D46B}"/>
    <cellStyle name="_CPFL-SobrasExposiçãoSubmercados_IRT_Planilha Básica_out2009_Balanço" xfId="143" xr:uid="{5DF9E7C2-3740-4B1B-97E9-EF351DC5D6A2}"/>
    <cellStyle name="_CPFL-SobrasExposiçãoSubmercados_IRT_Planilha Básica_out2009_Balanço 2" xfId="1239" xr:uid="{527CF646-5756-41B0-9379-60E4E3116FAE}"/>
    <cellStyle name="_CPFL-SobrasExposiçãoSubmercados_IRT_Planilha Básica_out2009_casulo 15" xfId="144" xr:uid="{9167AAB0-82A9-4E1D-9187-23257B38BF6F}"/>
    <cellStyle name="_CPFL-SobrasExposiçãoSubmercados_IRT_Planilha Básica_out2009_casulo 5" xfId="145" xr:uid="{924BB3F6-247C-45F6-9681-A215387647CD}"/>
    <cellStyle name="_CPFL-SobrasExposiçãoSubmercados_IRT_Planilha Básica_out2009_casulo 5 2" xfId="1240" xr:uid="{4EC9B1D6-7EAB-462D-8C61-453D747D275E}"/>
    <cellStyle name="_CPFL-SobrasExposiçãoSubmercados_IRT_Planilha Básica_out2009_casulo 5_Balanço" xfId="146" xr:uid="{C880173D-C116-4F3E-A343-278711CEC10D}"/>
    <cellStyle name="_CPFL-SobrasExposiçãoSubmercados_IRT_Planilha Básica_out2009_casulo 5_casulo 15" xfId="147" xr:uid="{D844F964-1C86-4D0C-9083-887C8F0E90B5}"/>
    <cellStyle name="_CPFL-SobrasExposiçãoSubmercados_IRT_Planilha Básica_out2009_casulo 5_IRT EEB 2010" xfId="2211" xr:uid="{0B3A06B2-39B7-4C4C-AB25-B0F693EC8F08}"/>
    <cellStyle name="_CPFL-SobrasExposiçãoSubmercados_IRT_Planilha Básica_out2009_IRT EEB 2010" xfId="2212" xr:uid="{E0FCAAAA-C70E-482D-BC7E-A1F532344FF4}"/>
    <cellStyle name="_CPFL-SobrasExposiçãoSubmercados_IRT_Pleito" xfId="2213" xr:uid="{C5CCCF8F-6449-46B2-B5A8-0A301D91D9BA}"/>
    <cellStyle name="_CPFL-SobrasExposiçãoSubmercados_IRT_Pleito_IRT-cálculo" xfId="2214" xr:uid="{E2EEA21E-CBE0-4D47-8B9F-7C963A74C18B}"/>
    <cellStyle name="_CPFL-SobrasExposiçãoSubmercados_IRT_Pleito_IRT-cálculo CAPA NEUTRALIDADE" xfId="2215" xr:uid="{B88F21BB-C96B-4BE6-92E8-6CFDB259C09F}"/>
    <cellStyle name="_CPFL-SobrasExposiçãoSubmercados_IRT_Revisão A-1" xfId="2216" xr:uid="{C4F01640-4171-4F86-800E-DFC018A840FC}"/>
    <cellStyle name="_CPFL-SobrasExposiçãoSubmercados_IRT_Revisão A-1_IRT-cálculo" xfId="2217" xr:uid="{A5A1F7E9-2310-4698-829B-8E0A9BF0F287}"/>
    <cellStyle name="_CPFL-SobrasExposiçãoSubmercados_IRT_Revisão A-1_IRT-cálculo CAPA NEUTRALIDADE" xfId="2218" xr:uid="{61B77543-B324-4F17-BEED-6243E7C4324B}"/>
    <cellStyle name="_CPFL-SobrasExposiçãoSubmercados_IRT_SantaCruzpós IGPM" xfId="2219" xr:uid="{50CC77BB-FB70-4F68-A14A-9AD102185668}"/>
    <cellStyle name="_CPFL-SobrasExposiçãoSubmercados_IRT1" xfId="2220" xr:uid="{4FE056B9-D954-40D9-9FC6-FD66BD589A0D}"/>
    <cellStyle name="_CPFL-SobrasExposiçãoSubmercados_IRT1_IRT-cálculo" xfId="2221" xr:uid="{793B5FF1-00A0-499C-8E0A-FBBCD9A2B963}"/>
    <cellStyle name="_CPFL-SobrasExposiçãoSubmercados_IRT1_IRT-cálculo CAPA NEUTRALIDADE" xfId="2222" xr:uid="{211AE0ED-9382-4C64-B756-5879D3789F30}"/>
    <cellStyle name="_CPFL-SobrasExposiçãoSubmercados_IRT-2010_COPEL_SOBRECONTRATAÇÃOeCVAenergia" xfId="1541" xr:uid="{B4CF4AC0-3FE3-4587-ADC6-5EFDB360E7EE}"/>
    <cellStyle name="_CPFL-SobrasExposiçãoSubmercados_IRT-cálculo" xfId="2223" xr:uid="{05D3A2CF-9DDF-4462-BD9C-EF575A760817}"/>
    <cellStyle name="_CPFL-SobrasExposiçãoSubmercados_IRT-cálculo CAPA NEUTRALIDADE" xfId="2224" xr:uid="{5DC0271D-86F6-4947-800F-CAF6B9F28A8B}"/>
    <cellStyle name="_CPFL-SobrasExposiçãoSubmercados_Modelo IRT ANEELl_2010" xfId="42762" xr:uid="{C18BE6EB-6793-4769-B1D6-B80692F9BB9E}"/>
    <cellStyle name="_CPFL-SobrasExposiçãoSubmercados_Pasta1" xfId="1542" xr:uid="{439187DE-626F-4343-8609-F3B0E228C2D2}"/>
    <cellStyle name="_CPFL-SobrasExposiçãoSubmercados_Pasta1 2" xfId="2225" xr:uid="{8E67AF5A-0FCE-4912-8984-835445694087}"/>
    <cellStyle name="_CPFL-SobrasExposiçãoSubmercados_Pasta1_atualização serviços taxados" xfId="42763" xr:uid="{4E2B85A0-66B2-4D79-9747-56DA0262B8CE}"/>
    <cellStyle name="_CPFL-SobrasExposiçãoSubmercados_Pasta1_Financeiro Desconto na TUSD Consumidores Livres Reajuste 2010 - 03_03_2010" xfId="42764" xr:uid="{1BEA508A-81F9-40A9-8A2E-BFFCB3C18382}"/>
    <cellStyle name="_CPFL-SobrasExposiçãoSubmercados_Pasta1_Financeiro Desconto na TUSD Geradores Reajuste 2010 - 03_03_2010" xfId="42765" xr:uid="{5811ED51-D5D6-43E6-8B9B-E6006DF48409}"/>
    <cellStyle name="_CPFL-SobrasExposiçãoSubmercados_Pasta1_Financeiro Subsídio Baixa Renda Reajuste 2010 - 03_03_2010" xfId="42766" xr:uid="{E909E275-FF0F-4E01-B512-4C1DF4BD6E47}"/>
    <cellStyle name="_CPFL-SobrasExposiçãoSubmercados_Pasta1_Financeiro Subsídio Rural Irrigante e Aquicultor Reajuste 2010 - 03_03_2010" xfId="42767" xr:uid="{2308BCC8-EBCB-4C4F-A3B9-7AC39E9970B8}"/>
    <cellStyle name="_CPFL-SobrasExposiçãoSubmercados_Pasta1_IRT-cálculo" xfId="2226" xr:uid="{33C7EBC2-8F87-4427-ADB4-0CC9BEF16242}"/>
    <cellStyle name="_CPFL-SobrasExposiçãoSubmercados_Pasta1_IRT-cálculo CAPA NEUTRALIDADE" xfId="2227" xr:uid="{A4EA64D5-25BB-41C8-B3E9-AEFB61468A54}"/>
    <cellStyle name="_CPFL-SobrasExposiçãoSubmercados_Pasta1_SOBRECONTRATAÇÃO E CVA" xfId="2228" xr:uid="{0B0C6591-653B-43A4-9C94-F7190D064B46}"/>
    <cellStyle name="_CPFL-SobrasExposiçãoSubmercados_Pasta2" xfId="148" xr:uid="{F45934F6-B76F-43AA-922C-DDE7A67C4504}"/>
    <cellStyle name="_CPFL-SobrasExposiçãoSubmercados_Pasta2 2" xfId="1241" xr:uid="{C44DA693-3E3A-4225-B98D-9E389BE4F5ED}"/>
    <cellStyle name="_CPFL-SobrasExposiçãoSubmercados_Pasta2_02 IRT Bandeirante 2009" xfId="2229" xr:uid="{4B367654-97C8-4D0C-B999-1D2257F94793}"/>
    <cellStyle name="_CPFL-SobrasExposiçãoSubmercados_Pasta2_Balanço" xfId="149" xr:uid="{9AC52FFF-6B1E-40C4-B5AE-EFAE9228BC98}"/>
    <cellStyle name="_CPFL-SobrasExposiçãoSubmercados_Pasta2_Balanço 2" xfId="1242" xr:uid="{A1C23D1F-BD82-46E2-86B6-C7F032E80503}"/>
    <cellStyle name="_CPFL-SobrasExposiçãoSubmercados_Pasta2_casulo 15" xfId="150" xr:uid="{7CC772D6-03C7-4A0C-9FB5-5DA6047A271B}"/>
    <cellStyle name="_CPFL-SobrasExposiçãoSubmercados_Pasta2_casulo 5" xfId="151" xr:uid="{75AE5A90-1BCD-47BF-98C5-65E5636AD41E}"/>
    <cellStyle name="_CPFL-SobrasExposiçãoSubmercados_Pasta2_casulo 5 2" xfId="1243" xr:uid="{F2498D29-30FF-4B4B-A337-7A08F03B5482}"/>
    <cellStyle name="_CPFL-SobrasExposiçãoSubmercados_Pasta2_casulo 5_Balanço" xfId="152" xr:uid="{FF8A6499-770E-42E0-B9BB-B6870DD4EA62}"/>
    <cellStyle name="_CPFL-SobrasExposiçãoSubmercados_Pasta2_casulo 5_casulo 15" xfId="153" xr:uid="{DFB28C4C-D91F-4F07-89A1-69B910B3858B}"/>
    <cellStyle name="_CPFL-SobrasExposiçãoSubmercados_Pasta2_casulo 5_IRT EEB 2010" xfId="2230" xr:uid="{1A5A43FC-EC60-495D-BA58-764EE0994BDF}"/>
    <cellStyle name="_CPFL-SobrasExposiçãoSubmercados_Pasta2_IRT EEB 2010" xfId="2231" xr:uid="{585288EC-D757-4DAF-B22E-96FB0BC5410E}"/>
    <cellStyle name="_CPFL-SobrasExposiçãoSubmercados_Pasta2_IRT Piratininga 2009" xfId="154" xr:uid="{51EA135E-4D2C-4299-A573-400BE2B54237}"/>
    <cellStyle name="_CPFL-SobrasExposiçãoSubmercados_Pasta2_IRT Piratininga 2009 2" xfId="1244" xr:uid="{AD5828D7-A75F-4B7E-9159-64A28F79638F}"/>
    <cellStyle name="_CPFL-SobrasExposiçãoSubmercados_Pasta2_IRT Piratininga 2009_Balanço" xfId="155" xr:uid="{6B3BBC6B-212A-49F1-A43F-9E83577EB34D}"/>
    <cellStyle name="_CPFL-SobrasExposiçãoSubmercados_Pasta2_IRT Piratininga 2009_casulo 15" xfId="156" xr:uid="{7C3B2D58-36ED-40BD-BA60-DFBD5F1A46DE}"/>
    <cellStyle name="_CPFL-SobrasExposiçãoSubmercados_Pasta2_IRT Piratininga 2009_IRT EEB 2010" xfId="2232" xr:uid="{805D869A-BE8F-4CEA-B235-F20E11382D2B}"/>
    <cellStyle name="_CPFL-SobrasExposiçãoSubmercados_Pasta2_IRT_EBB_mai2010d" xfId="2233" xr:uid="{97F8D46E-9BF9-4A84-9D77-261C6F865582}"/>
    <cellStyle name="_CPFL-SobrasExposiçãoSubmercados_Pasta2_IRT_Planilha Básica_ CETRIL" xfId="157" xr:uid="{D1551CBF-8C16-49AF-B7F1-23A87B09E6B1}"/>
    <cellStyle name="_CPFL-SobrasExposiçãoSubmercados_Pasta2_IRT_Planilha Básica_ CETRIL 2" xfId="1245" xr:uid="{0432F89D-DD9F-4E62-A954-BBE87F3A7E6F}"/>
    <cellStyle name="_CPFL-SobrasExposiçãoSubmercados_Pasta2_IRT_Planilha Básica_ CETRIL_Balanço" xfId="158" xr:uid="{09A48CD8-A00E-4CFB-AC8A-BE030DD5F834}"/>
    <cellStyle name="_CPFL-SobrasExposiçãoSubmercados_Pasta2_IRT_Planilha Básica_ CETRIL_casulo 15" xfId="159" xr:uid="{226E5676-2F00-471D-9AF5-3EF21605345C}"/>
    <cellStyle name="_CPFL-SobrasExposiçãoSubmercados_Pasta2_IRT_Planilha Básica_ CETRIL_IRT EEB 2010" xfId="2234" xr:uid="{07AE682F-1145-4776-8A90-70CF5BAD914C}"/>
    <cellStyle name="_CPFL-SobrasExposiçãoSubmercados_Pasta2_IRT_Planilha Básica_DIRETORIA" xfId="2235" xr:uid="{FA07373D-5AE7-486D-B9D7-2169AB76AFD6}"/>
    <cellStyle name="_CPFL-SobrasExposiçãoSubmercados_Pasta2_IRT_Planilha Básica_fev2010" xfId="2236" xr:uid="{EE416CC1-62BF-4613-B395-DA2522AAFD4A}"/>
    <cellStyle name="_CPFL-SobrasExposiçãoSubmercados_Pasta2_IRT_Planilha Básica_fev2010a" xfId="160" xr:uid="{FCFC4A0E-6116-485F-BC49-0783DFF0C33F}"/>
    <cellStyle name="_CPFL-SobrasExposiçãoSubmercados_Pasta2_IRT_Planilha Básica_fev2010a 2" xfId="1246" xr:uid="{7206B379-D795-49A5-86D4-53DB13B03451}"/>
    <cellStyle name="_CPFL-SobrasExposiçãoSubmercados_Pasta2_IRT_Planilha Básica_fev2010a_Balanço" xfId="161" xr:uid="{93B1E302-20A1-4736-8B8F-46A36605B909}"/>
    <cellStyle name="_CPFL-SobrasExposiçãoSubmercados_Pasta2_IRT_Planilha Básica_fev2010a_Balanço 2" xfId="1247" xr:uid="{E25CE171-B4A7-4D44-83BB-C0C5D26FAFCC}"/>
    <cellStyle name="_CPFL-SobrasExposiçãoSubmercados_Pasta2_IRT_Planilha Básica_fev2010a_casulo 15" xfId="162" xr:uid="{778EF006-A83B-4DBB-ADEF-E497438328B9}"/>
    <cellStyle name="_CPFL-SobrasExposiçãoSubmercados_Pasta2_IRT_Planilha Básica_fev2010a_casulo 5" xfId="163" xr:uid="{1D51A185-A917-4E41-A84C-2A6187E35C5E}"/>
    <cellStyle name="_CPFL-SobrasExposiçãoSubmercados_Pasta2_IRT_Planilha Básica_fev2010a_casulo 5 2" xfId="1248" xr:uid="{99A7C9D3-10BE-408E-8B59-2024B8436639}"/>
    <cellStyle name="_CPFL-SobrasExposiçãoSubmercados_Pasta2_IRT_Planilha Básica_fev2010a_casulo 5_Balanço" xfId="164" xr:uid="{E13A3B2D-3E2D-4007-8E46-0ADE0B48D541}"/>
    <cellStyle name="_CPFL-SobrasExposiçãoSubmercados_Pasta2_IRT_Planilha Básica_fev2010a_casulo 5_casulo 15" xfId="165" xr:uid="{88E63595-3491-4983-A17B-0D27D7981189}"/>
    <cellStyle name="_CPFL-SobrasExposiçãoSubmercados_Pasta2_IRT_Planilha Básica_fev2010a_casulo 5_IRT EEB 2010" xfId="2237" xr:uid="{6BB81782-206B-4418-8CBF-7503CDB1C2A9}"/>
    <cellStyle name="_CPFL-SobrasExposiçãoSubmercados_Pasta2_IRT_Planilha Básica_fev2010a_IRT EEB 2010" xfId="2238" xr:uid="{C73A9887-5DB2-4C74-8E1C-083433608D74}"/>
    <cellStyle name="_CPFL-SobrasExposiçãoSubmercados_Pasta2_IRT_Planilha Básica_jan2010" xfId="2239" xr:uid="{312C4581-C37E-4F62-A6CF-E4CB21D39469}"/>
    <cellStyle name="_CPFL-SobrasExposiçãoSubmercados_Pasta2_IRT_Planilha Básica_mar2010b" xfId="2240" xr:uid="{D640E413-7BCC-4D12-BDF8-2B3A4BB38D79}"/>
    <cellStyle name="_CPFL-SobrasExposiçãoSubmercados_Pasta2_IRT_Planilha Básica_mar2010d" xfId="166" xr:uid="{92F3F018-FC60-476E-933E-43D22D4199D3}"/>
    <cellStyle name="_CPFL-SobrasExposiçãoSubmercados_Pasta2_IRT_Planilha Básica_mar2010d 2" xfId="1249" xr:uid="{5BEB6E4F-1014-471C-874E-7711C8CFC20C}"/>
    <cellStyle name="_CPFL-SobrasExposiçãoSubmercados_Pasta2_IRT_Planilha Básica_NOVA METODOLOGIA" xfId="2241" xr:uid="{84A0CFA5-0782-49D9-A00F-7ED8B11D9B88}"/>
    <cellStyle name="_CPFL-SobrasExposiçãoSubmercados_Pasta2_IRT_Santa 2010" xfId="2242" xr:uid="{BB012AB3-40F7-4FD1-8F54-998D31464D86}"/>
    <cellStyle name="_CPFL-SobrasExposiçãoSubmercados_Pasta2_IRT-cálculo" xfId="2243" xr:uid="{B800EF02-C547-4C64-82A2-DB400C85410A}"/>
    <cellStyle name="_CPFL-SobrasExposiçãoSubmercados_Pasta2_IRT-cálculo CAPA NEUTRALIDADE" xfId="2244" xr:uid="{DB9BB1B0-2007-4E01-AD5C-195BC62AE8AC}"/>
    <cellStyle name="_CPFL-SobrasExposiçãoSubmercados_Pasta2_Resultados_DEA_RND_QUAL_PERDAS" xfId="42538" xr:uid="{6AF5951A-8F81-471F-90EC-DD5EC48FDD21}"/>
    <cellStyle name="_CPFL-SobrasExposiçãoSubmercados_Pasta2_teste ampla" xfId="167" xr:uid="{70DF95FF-DF79-4C80-8F9F-70BCC5E7D93D}"/>
    <cellStyle name="_CPFL-SobrasExposiçãoSubmercados_Pasta2_teste ampla 2" xfId="1250" xr:uid="{C74FC1A2-9BE2-4DFA-BB03-B015D318B04F}"/>
    <cellStyle name="_CPFL-SobrasExposiçãoSubmercados_Pasta2_teste ampla_Balanço" xfId="168" xr:uid="{B77E1B07-084E-4CD2-997E-A1A3D2F8D06B}"/>
    <cellStyle name="_CPFL-SobrasExposiçãoSubmercados_Pasta2_teste ampla_Balanço 2" xfId="1251" xr:uid="{A3222600-2EAC-408B-96E7-68DBA998954C}"/>
    <cellStyle name="_CPFL-SobrasExposiçãoSubmercados_Pasta2_teste ampla_casulo 15" xfId="169" xr:uid="{5FBD358D-54A8-4EDE-A10C-9549AA5F965A}"/>
    <cellStyle name="_CPFL-SobrasExposiçãoSubmercados_Pasta2_teste ampla_casulo 5" xfId="170" xr:uid="{09131F4C-1803-47CA-B545-12B61D2ACCA6}"/>
    <cellStyle name="_CPFL-SobrasExposiçãoSubmercados_Pasta2_teste ampla_casulo 5 2" xfId="1252" xr:uid="{A4ACF06F-0C0C-4D83-A31E-50A4F622771E}"/>
    <cellStyle name="_CPFL-SobrasExposiçãoSubmercados_Pasta2_teste ampla_casulo 5_Balanço" xfId="171" xr:uid="{86BC76D1-593B-475A-992C-4003F844BA2F}"/>
    <cellStyle name="_CPFL-SobrasExposiçãoSubmercados_Pasta2_teste ampla_casulo 5_casulo 15" xfId="172" xr:uid="{080BF440-7576-4480-B1C2-9A659716C1A0}"/>
    <cellStyle name="_CPFL-SobrasExposiçãoSubmercados_Pasta2_teste ampla_casulo 5_IRT EEB 2010" xfId="2245" xr:uid="{90991925-D051-4282-8778-0617E07000A4}"/>
    <cellStyle name="_CPFL-SobrasExposiçãoSubmercados_Pasta2_teste ampla_IRT EEB 2010" xfId="2246" xr:uid="{CB921A3E-D969-4C4A-8645-947B4160DCB5}"/>
    <cellStyle name="_CPFL-SobrasExposiçãoSubmercados_Plan1" xfId="2247" xr:uid="{93161C3C-84AD-4BAA-B651-1A4AA75C6609}"/>
    <cellStyle name="_CPFL-SobrasExposiçãoSubmercados_Pleito_IRT_EBO_2010_FINAL_ENVIO_ANEEL" xfId="2248" xr:uid="{418A2E5C-01DC-48A8-B3A7-C35B8FA2EF7D}"/>
    <cellStyle name="_CPFL-SobrasExposiçãoSubmercados_PROVISÃO" xfId="2249" xr:uid="{A5EEA3A4-F9A4-4C3D-AA75-CA10457661FA}"/>
    <cellStyle name="_CPFL-SobrasExposiçãoSubmercados_Receita de Venda Leilão Nova Térmico" xfId="2250" xr:uid="{0426F93C-9F53-4471-9E2D-91BC06051F1D}"/>
    <cellStyle name="_CPFL-SobrasExposiçãoSubmercados_Receita de Venda Leilão Nova Térmico_IRT-cálculo" xfId="2251" xr:uid="{AF31D155-CDBC-4D13-861A-900E2F68985B}"/>
    <cellStyle name="_CPFL-SobrasExposiçãoSubmercados_Receita de Venda Leilão Nova Térmico_IRT-cálculo CAPA NEUTRALIDADE" xfId="2252" xr:uid="{1ACF7F15-BC07-4FB0-830B-6CFEAF4D68B2}"/>
    <cellStyle name="_CPFL-SobrasExposiçãoSubmercados_Resultados_DEA_RND_QUAL_PERDAS" xfId="42539" xr:uid="{629A379D-A125-4EA3-8B4E-EA8248C847DF}"/>
    <cellStyle name="_CPFL-SobrasExposiçãoSubmercados_Sheet1" xfId="2253" xr:uid="{2DA39E4B-87E8-4ECE-942A-3F8074DD6193}"/>
    <cellStyle name="_CPFL-SobrasExposiçãoSubmercados_Sheet2" xfId="2254" xr:uid="{67D7F740-BDAD-4C7D-8114-8292EDFD977F}"/>
    <cellStyle name="_CPFL-SobrasExposiçãoSubmercados_Simulação AES SUL 03_04_07" xfId="173" xr:uid="{8EB993C5-D325-4908-B41B-C06E9FB7C756}"/>
    <cellStyle name="_CPFL-SobrasExposiçãoSubmercados_Simulação AES SUL 03_04_07 2" xfId="1253" xr:uid="{1C9C0D45-F8A5-479F-9DB2-C2C0BF29D2A9}"/>
    <cellStyle name="_CPFL-SobrasExposiçãoSubmercados_Simulação AES SUL 03_04_07_Balanço" xfId="174" xr:uid="{C8024372-0785-44AC-B585-BDBF9703814C}"/>
    <cellStyle name="_CPFL-SobrasExposiçãoSubmercados_Simulação AES SUL 03_04_07_casulo 15" xfId="175" xr:uid="{A4F67A66-4D2C-474F-A390-C8EEE11EBA15}"/>
    <cellStyle name="_CPFL-SobrasExposiçãoSubmercados_Simulação AES SUL 03_04_07_IRT EEB 2010" xfId="2255" xr:uid="{84CC6017-2E4E-4CAD-8AC0-D2D57111FD6E}"/>
    <cellStyle name="_CPFL-SobrasExposiçãoSubmercados_Simulação CEPISA XX_08_07" xfId="1543" xr:uid="{ECC6A8ED-3F3D-4CFE-989B-A2D7B1E222CE}"/>
    <cellStyle name="_CPFL-SobrasExposiçãoSubmercados_Simulação Nova Carga Coteminas RT EBO" xfId="2256" xr:uid="{1EEC5958-4828-4518-B8AC-9E3A15B7A951}"/>
    <cellStyle name="_CPFL-SobrasExposiçãoSubmercados_Simulador modelo" xfId="176" xr:uid="{7A9164D9-00A5-473F-8795-EE5EA044B8C3}"/>
    <cellStyle name="_CPFL-SobrasExposiçãoSubmercados_Simulador modelo 2" xfId="1254" xr:uid="{8951535D-B2B5-4C3F-9B2C-DB099E02BCED}"/>
    <cellStyle name="_CPFL-SobrasExposiçãoSubmercados_Simulador modelo_Balanço" xfId="177" xr:uid="{2E6B7587-B451-4046-B993-6EA3634EE62C}"/>
    <cellStyle name="_CPFL-SobrasExposiçãoSubmercados_Simulador modelo_Balanço 2" xfId="1255" xr:uid="{D22B1B1F-CFD0-4FA4-84D5-302A7DD002F1}"/>
    <cellStyle name="_CPFL-SobrasExposiçãoSubmercados_Simulador modelo_casulo 15" xfId="178" xr:uid="{95D3921B-5CFB-4BFF-BCDB-ECFFC28AB793}"/>
    <cellStyle name="_CPFL-SobrasExposiçãoSubmercados_Simulador modelo_casulo 5" xfId="179" xr:uid="{F3051EC1-FA02-4778-9890-56454B38A744}"/>
    <cellStyle name="_CPFL-SobrasExposiçãoSubmercados_Simulador modelo_casulo 5 2" xfId="1256" xr:uid="{6E434409-FEA0-4F61-AA7E-F9DE2F300A1E}"/>
    <cellStyle name="_CPFL-SobrasExposiçãoSubmercados_Simulador modelo_casulo 5_Balanço" xfId="180" xr:uid="{054BC906-70E7-4AAF-B1B8-B0AFCE072606}"/>
    <cellStyle name="_CPFL-SobrasExposiçãoSubmercados_Simulador modelo_casulo 5_casulo 15" xfId="181" xr:uid="{C68951DB-9349-48E3-B821-7A81CB29B6CF}"/>
    <cellStyle name="_CPFL-SobrasExposiçãoSubmercados_Simulador modelo_casulo 5_IRT EEB 2010" xfId="2257" xr:uid="{1971C74B-34DF-46A4-86DE-91DAEE418CB6}"/>
    <cellStyle name="_CPFL-SobrasExposiçãoSubmercados_Simulador modelo_IRT EEB 2010" xfId="2258" xr:uid="{8E8EA5A3-B1CA-4049-923B-5E4A948D97CA}"/>
    <cellStyle name="_CPFL-SobrasExposiçãoSubmercados_sobrecontratação 2009 v2" xfId="42768" xr:uid="{2E456303-43E7-4AD9-AA8A-20333101F5A3}"/>
    <cellStyle name="_CPFL-SobrasExposiçãoSubmercados_Sobrecontratação AES (2)" xfId="182" xr:uid="{F3DCA97B-615F-4679-868F-E657C0EBC0DF}"/>
    <cellStyle name="_CPFL-SobrasExposiçãoSubmercados_Sobrecontratação AES (2) 2" xfId="1257" xr:uid="{2C0F93F6-015B-465D-9A9C-FAF39679DDD7}"/>
    <cellStyle name="_CPFL-SobrasExposiçãoSubmercados_Sobrecontratação AES (2)_Balanço" xfId="183" xr:uid="{EA9AB85C-7577-4C5D-AAD8-38C2D9BA0F27}"/>
    <cellStyle name="_CPFL-SobrasExposiçãoSubmercados_Sobrecontratação AES (2)_casulo 15" xfId="184" xr:uid="{0DDC583E-2286-4E1C-A3A4-9029828E4616}"/>
    <cellStyle name="_CPFL-SobrasExposiçãoSubmercados_Sobrecontratação AES (2)_IRT EEB 2010" xfId="2259" xr:uid="{75A7C649-5886-4B30-8D7B-CCF6E838B256}"/>
    <cellStyle name="_CPFL-SobrasExposiçãoSubmercados_SOBRECONTRATAÇÃO E CVA" xfId="2260" xr:uid="{05958B9B-A83E-4234-8EE2-CB650B8731AD}"/>
    <cellStyle name="_CPFL-SobrasExposiçãoSubmercados_SOBRECONTRATAÇÃO E CVA A-1" xfId="2261" xr:uid="{1B0DD2EC-8F80-4DEA-B010-B252227C6E9F}"/>
    <cellStyle name="_CPFL-SobrasExposiçãoSubmercados_SOBRECONTRATAÇÃO E CVA A-1_IRT-cálculo" xfId="2262" xr:uid="{779F4C3A-9449-4C06-8983-81477D910975}"/>
    <cellStyle name="_CPFL-SobrasExposiçãoSubmercados_SOBRECONTRATAÇÃO E CVA A-1_IRT-cálculo CAPA NEUTRALIDADE" xfId="2263" xr:uid="{173FFD57-2118-403F-99FC-AFD67CD7967D}"/>
    <cellStyle name="_CPFL-SobrasExposiçãoSubmercados_SOBRECONTRATAÇÃO E CVA Energisa Paraíba" xfId="2264" xr:uid="{E3B8B434-B825-4CAD-AC7D-544301FC380B}"/>
    <cellStyle name="_CPFL-SobrasExposiçãoSubmercados_SOBRECONTRATAÇÃO-RES 255-2007-ap038-07-CPFL07" xfId="2265" xr:uid="{F5B0E81A-9A0E-4D58-904B-1DD7ACB369BD}"/>
    <cellStyle name="_CPFL-SobrasExposiçãoSubmercados_Subsídios para análise da SRE" xfId="185" xr:uid="{047D13C3-D702-48F4-A22D-69DC7BE7E065}"/>
    <cellStyle name="_CPFL-SobrasExposiçãoSubmercados_Subsídios para análise da SRE 2" xfId="1258" xr:uid="{1E9C4185-0D6A-4CC3-A6B3-7BDEC176AC5B}"/>
    <cellStyle name="_CPFL-SobrasExposiçãoSubmercados_Subsídios para análise da SRE_02 IRT Bandeirante 2009" xfId="2266" xr:uid="{71E8B195-4480-4747-A810-364681BC1478}"/>
    <cellStyle name="_CPFL-SobrasExposiçãoSubmercados_Subsídios para análise da SRE_1" xfId="2267" xr:uid="{1A67C65B-BAD7-4FAE-948D-12BD7E6A4255}"/>
    <cellStyle name="_CPFL-SobrasExposiçãoSubmercados_Subsídios para análise da SRE_Balanço" xfId="186" xr:uid="{06043D3B-4DB5-4F8F-887C-D016231E313E}"/>
    <cellStyle name="_CPFL-SobrasExposiçãoSubmercados_Subsídios para análise da SRE_Balanço 2" xfId="1259" xr:uid="{869AA266-4589-4199-BE77-42E4EFE0F2D4}"/>
    <cellStyle name="_CPFL-SobrasExposiçãoSubmercados_Subsídios para análise da SRE_casulo 15" xfId="187" xr:uid="{51826C2C-18E0-4C72-A0C9-ABC30C5E0AC8}"/>
    <cellStyle name="_CPFL-SobrasExposiçãoSubmercados_Subsídios para análise da SRE_casulo 5" xfId="188" xr:uid="{DC196B95-9845-4F09-AD5A-52F87428E9A5}"/>
    <cellStyle name="_CPFL-SobrasExposiçãoSubmercados_Subsídios para análise da SRE_casulo 5 2" xfId="1260" xr:uid="{4B9B4164-AB60-4736-BB75-7EDFA8B66333}"/>
    <cellStyle name="_CPFL-SobrasExposiçãoSubmercados_Subsídios para análise da SRE_casulo 5_Balanço" xfId="189" xr:uid="{82B2EFD2-B1AB-4ABF-AA42-08D50E099415}"/>
    <cellStyle name="_CPFL-SobrasExposiçãoSubmercados_Subsídios para análise da SRE_casulo 5_casulo 15" xfId="190" xr:uid="{7DFBFFEB-A613-479A-AF63-4BC513075713}"/>
    <cellStyle name="_CPFL-SobrasExposiçãoSubmercados_Subsídios para análise da SRE_casulo 5_IRT EEB 2010" xfId="2268" xr:uid="{138BEBF4-1B71-4392-AF1A-CCA0E530935A}"/>
    <cellStyle name="_CPFL-SobrasExposiçãoSubmercados_Subsídios para análise da SRE_IRT EEB 2010" xfId="2269" xr:uid="{30E45BB1-47BE-4FB0-8AA5-99038C38FF65}"/>
    <cellStyle name="_CPFL-SobrasExposiçãoSubmercados_Subsídios para análise da SRE_IRT Piratininga 2009" xfId="191" xr:uid="{F7E7A8FE-F96C-491C-A4E8-4C827DC3FC0E}"/>
    <cellStyle name="_CPFL-SobrasExposiçãoSubmercados_Subsídios para análise da SRE_IRT Piratininga 2009 2" xfId="1261" xr:uid="{7C902C80-EBE4-4AF7-8547-CB61637C8A27}"/>
    <cellStyle name="_CPFL-SobrasExposiçãoSubmercados_Subsídios para análise da SRE_IRT Piratininga 2009_Balanço" xfId="192" xr:uid="{17934CDD-175E-41A0-9EA4-8D66FD75276F}"/>
    <cellStyle name="_CPFL-SobrasExposiçãoSubmercados_Subsídios para análise da SRE_IRT Piratininga 2009_casulo 15" xfId="193" xr:uid="{931B4FD2-9B58-4AC0-AC2E-2E6EA9FD1B2E}"/>
    <cellStyle name="_CPFL-SobrasExposiçãoSubmercados_Subsídios para análise da SRE_IRT Piratininga 2009_IRT EEB 2010" xfId="2270" xr:uid="{70F306BA-203D-425A-888D-8952324E6342}"/>
    <cellStyle name="_CPFL-SobrasExposiçãoSubmercados_Subsídios para análise da SRE_IRT_EBB_mai2010d" xfId="2271" xr:uid="{67F88667-58A5-472F-AF21-BE9DFF4161C4}"/>
    <cellStyle name="_CPFL-SobrasExposiçãoSubmercados_Subsídios para análise da SRE_IRT_Planilha Básica_ CETRIL" xfId="194" xr:uid="{6BBF0782-B038-497C-8ECC-77E84BC70797}"/>
    <cellStyle name="_CPFL-SobrasExposiçãoSubmercados_Subsídios para análise da SRE_IRT_Planilha Básica_ CETRIL 2" xfId="1262" xr:uid="{8AA1B658-BCA8-442C-809C-FCEFDD3D0F6D}"/>
    <cellStyle name="_CPFL-SobrasExposiçãoSubmercados_Subsídios para análise da SRE_IRT_Planilha Básica_ CETRIL_Balanço" xfId="195" xr:uid="{631EE9E9-1B2E-416C-9B5F-CE42E0CFCB61}"/>
    <cellStyle name="_CPFL-SobrasExposiçãoSubmercados_Subsídios para análise da SRE_IRT_Planilha Básica_ CETRIL_casulo 15" xfId="196" xr:uid="{60BE09D2-8162-44C4-A315-0847568C5382}"/>
    <cellStyle name="_CPFL-SobrasExposiçãoSubmercados_Subsídios para análise da SRE_IRT_Planilha Básica_ CETRIL_IRT EEB 2010" xfId="2272" xr:uid="{7827AA4D-EC6A-4B2A-8D72-BFED27DF0B56}"/>
    <cellStyle name="_CPFL-SobrasExposiçãoSubmercados_Subsídios para análise da SRE_IRT_Planilha Básica_DIRETORIA" xfId="2273" xr:uid="{9D77B860-C345-48C9-8503-5FFB89242452}"/>
    <cellStyle name="_CPFL-SobrasExposiçãoSubmercados_Subsídios para análise da SRE_IRT_Planilha Básica_fev2010" xfId="2274" xr:uid="{1651CD7A-A838-44F2-9D57-895515605463}"/>
    <cellStyle name="_CPFL-SobrasExposiçãoSubmercados_Subsídios para análise da SRE_IRT_Planilha Básica_fev2010a" xfId="197" xr:uid="{5B43BCE2-8810-4C7F-92F0-571E5B61D062}"/>
    <cellStyle name="_CPFL-SobrasExposiçãoSubmercados_Subsídios para análise da SRE_IRT_Planilha Básica_fev2010a 2" xfId="1263" xr:uid="{CE2779ED-F4E0-4A26-9866-1BC571BABC77}"/>
    <cellStyle name="_CPFL-SobrasExposiçãoSubmercados_Subsídios para análise da SRE_IRT_Planilha Básica_fev2010a_Balanço" xfId="198" xr:uid="{6D60B029-9851-4476-B14E-3E45472130CA}"/>
    <cellStyle name="_CPFL-SobrasExposiçãoSubmercados_Subsídios para análise da SRE_IRT_Planilha Básica_fev2010a_Balanço 2" xfId="1264" xr:uid="{051E6982-4401-414F-82EA-B72A6EFC61A4}"/>
    <cellStyle name="_CPFL-SobrasExposiçãoSubmercados_Subsídios para análise da SRE_IRT_Planilha Básica_fev2010a_casulo 15" xfId="199" xr:uid="{39BA0513-7F72-4BC6-BF45-A04181100145}"/>
    <cellStyle name="_CPFL-SobrasExposiçãoSubmercados_Subsídios para análise da SRE_IRT_Planilha Básica_fev2010a_casulo 5" xfId="200" xr:uid="{0DD2830F-DD20-46BB-AB55-E6DA5BAC695B}"/>
    <cellStyle name="_CPFL-SobrasExposiçãoSubmercados_Subsídios para análise da SRE_IRT_Planilha Básica_fev2010a_casulo 5 2" xfId="1265" xr:uid="{7D5F0D9B-7413-4D02-8714-A331CBE84A34}"/>
    <cellStyle name="_CPFL-SobrasExposiçãoSubmercados_Subsídios para análise da SRE_IRT_Planilha Básica_fev2010a_casulo 5_Balanço" xfId="201" xr:uid="{974CE1C4-4DFE-44C8-9A67-47F234CB9F49}"/>
    <cellStyle name="_CPFL-SobrasExposiçãoSubmercados_Subsídios para análise da SRE_IRT_Planilha Básica_fev2010a_casulo 5_casulo 15" xfId="202" xr:uid="{304969F8-2ADA-49E2-8AAC-11BCB015BCBE}"/>
    <cellStyle name="_CPFL-SobrasExposiçãoSubmercados_Subsídios para análise da SRE_IRT_Planilha Básica_fev2010a_casulo 5_IRT EEB 2010" xfId="2275" xr:uid="{F3BDD2E6-B4CA-4083-B5A8-B0B279635086}"/>
    <cellStyle name="_CPFL-SobrasExposiçãoSubmercados_Subsídios para análise da SRE_IRT_Planilha Básica_fev2010a_IRT EEB 2010" xfId="2276" xr:uid="{999C2482-4216-4410-8495-CBE0832D46E4}"/>
    <cellStyle name="_CPFL-SobrasExposiçãoSubmercados_Subsídios para análise da SRE_IRT_Planilha Básica_jan2010" xfId="2277" xr:uid="{C9E4AD42-9491-45BF-8F60-27CFBA279EB2}"/>
    <cellStyle name="_CPFL-SobrasExposiçãoSubmercados_Subsídios para análise da SRE_IRT_Planilha Básica_mar2010b" xfId="2278" xr:uid="{3AF669A8-F1A3-4AA6-AE5D-B2AEF825914F}"/>
    <cellStyle name="_CPFL-SobrasExposiçãoSubmercados_Subsídios para análise da SRE_IRT_Planilha Básica_mar2010d" xfId="203" xr:uid="{59021FC3-4C81-4980-8FDC-DF7DB85C5027}"/>
    <cellStyle name="_CPFL-SobrasExposiçãoSubmercados_Subsídios para análise da SRE_IRT_Planilha Básica_mar2010d 2" xfId="1266" xr:uid="{29B0EF46-BBA1-487B-9D8F-AC4CC95EFE3A}"/>
    <cellStyle name="_CPFL-SobrasExposiçãoSubmercados_Subsídios para análise da SRE_IRT_Planilha Básica_NOVA METODOLOGIA" xfId="2279" xr:uid="{CE910D71-358B-4BC4-AE15-1C9D469A111A}"/>
    <cellStyle name="_CPFL-SobrasExposiçãoSubmercados_Subsídios para análise da SRE_IRT_Santa 2010" xfId="2280" xr:uid="{99315AAF-7365-4274-87E0-F2AC57436ADC}"/>
    <cellStyle name="_CPFL-SobrasExposiçãoSubmercados_Subsídios para análise da SRE_IRT-cálculo" xfId="2281" xr:uid="{6AD7F74C-4999-4EEE-B9BC-DE741B050576}"/>
    <cellStyle name="_CPFL-SobrasExposiçãoSubmercados_Subsídios para análise da SRE_IRT-cálculo CAPA NEUTRALIDADE" xfId="2282" xr:uid="{5B3B4588-49E1-4EC9-B29D-B69F4C22B945}"/>
    <cellStyle name="_CPFL-SobrasExposiçãoSubmercados_Subsídios para análise da SRE_Resultados_DEA_RND_QUAL_PERDAS" xfId="42540" xr:uid="{E6FA985F-8F51-4263-A78D-4CA889397FFB}"/>
    <cellStyle name="_CPFL-SobrasExposiçãoSubmercados_Subsídios para análise da SRE_teste ampla" xfId="204" xr:uid="{2B0BC2C7-177A-47AB-98EF-32B9F1668CC0}"/>
    <cellStyle name="_CPFL-SobrasExposiçãoSubmercados_Subsídios para análise da SRE_teste ampla 2" xfId="1267" xr:uid="{898F971B-38F0-4D51-AE4C-3081DAEBE6E9}"/>
    <cellStyle name="_CPFL-SobrasExposiçãoSubmercados_Subsídios para análise da SRE_teste ampla_Balanço" xfId="205" xr:uid="{7F9DE843-E88F-435A-A197-DAF82D40E3CE}"/>
    <cellStyle name="_CPFL-SobrasExposiçãoSubmercados_Subsídios para análise da SRE_teste ampla_Balanço 2" xfId="1268" xr:uid="{84A58446-1CBF-410E-8E4C-9D7DA24D9605}"/>
    <cellStyle name="_CPFL-SobrasExposiçãoSubmercados_Subsídios para análise da SRE_teste ampla_casulo 15" xfId="206" xr:uid="{4EFC08D9-C903-45FB-8BFF-F55E411F83E3}"/>
    <cellStyle name="_CPFL-SobrasExposiçãoSubmercados_Subsídios para análise da SRE_teste ampla_casulo 5" xfId="207" xr:uid="{36F376F6-76AA-487E-8648-C0583E11D780}"/>
    <cellStyle name="_CPFL-SobrasExposiçãoSubmercados_Subsídios para análise da SRE_teste ampla_casulo 5 2" xfId="1269" xr:uid="{4BAC0CAE-449C-4B08-BEC7-336B91910C12}"/>
    <cellStyle name="_CPFL-SobrasExposiçãoSubmercados_Subsídios para análise da SRE_teste ampla_casulo 5_Balanço" xfId="208" xr:uid="{9F80C0FF-3F26-491D-8324-8A351F0CE4B6}"/>
    <cellStyle name="_CPFL-SobrasExposiçãoSubmercados_Subsídios para análise da SRE_teste ampla_casulo 5_casulo 15" xfId="209" xr:uid="{2B2398AF-5F9E-4299-89E3-BE5426E70A77}"/>
    <cellStyle name="_CPFL-SobrasExposiçãoSubmercados_Subsídios para análise da SRE_teste ampla_casulo 5_IRT EEB 2010" xfId="2283" xr:uid="{58B461ED-F287-4145-80AE-C84028EF884A}"/>
    <cellStyle name="_CPFL-SobrasExposiçãoSubmercados_Subsídios para análise da SRE_teste ampla_IRT EEB 2010" xfId="2284" xr:uid="{5D747090-E281-4111-9568-7930982F4DF4}"/>
    <cellStyle name="_CPFL-SobrasExposiçãoSubmercados_SubsídiosAnáliseSRE_COSERN_IRT-2010" xfId="1544" xr:uid="{46BCCCA0-0396-4638-9E49-F38887F41034}"/>
    <cellStyle name="_CPFL-SobrasExposiçãoSubmercados_Tabelas de apoio NT CELPE" xfId="42769" xr:uid="{87778F2D-86EF-4A91-8B6E-FE9C72BC513C}"/>
    <cellStyle name="_CPFL-SobrasExposiçãoSubmercados_teste ampla" xfId="210" xr:uid="{A350B2A5-ED19-4584-82E6-691E541D9119}"/>
    <cellStyle name="_CPFL-SobrasExposiçãoSubmercados_teste ampla 2" xfId="1270" xr:uid="{B3FEB795-2D6D-4602-9517-1396DE98282E}"/>
    <cellStyle name="_CPFL-SobrasExposiçãoSubmercados_teste ampla_Balanço" xfId="211" xr:uid="{1AF8EDBA-95BE-4C75-A395-4EF0B06B6728}"/>
    <cellStyle name="_CPFL-SobrasExposiçãoSubmercados_teste ampla_Balanço 2" xfId="1271" xr:uid="{027F3999-31DA-40D1-899B-247BC35BF1E5}"/>
    <cellStyle name="_CPFL-SobrasExposiçãoSubmercados_teste ampla_casulo 15" xfId="212" xr:uid="{91137D24-4A2D-464B-BA71-BF8C5B4FB866}"/>
    <cellStyle name="_CPFL-SobrasExposiçãoSubmercados_teste ampla_casulo 5" xfId="213" xr:uid="{3DBC5BAC-DD22-44B0-8068-A32157780F99}"/>
    <cellStyle name="_CPFL-SobrasExposiçãoSubmercados_teste ampla_casulo 5 2" xfId="1272" xr:uid="{F0FA2F6E-97ED-478C-A1B7-F8C9D6EAF7B3}"/>
    <cellStyle name="_CPFL-SobrasExposiçãoSubmercados_teste ampla_casulo 5_Balanço" xfId="214" xr:uid="{64FC68FA-2D57-494D-94BA-27069D061D34}"/>
    <cellStyle name="_CPFL-SobrasExposiçãoSubmercados_teste ampla_casulo 5_casulo 15" xfId="215" xr:uid="{107F1D7E-348F-410A-AA3E-E5D0FDA03379}"/>
    <cellStyle name="_CPFL-SobrasExposiçãoSubmercados_teste ampla_casulo 5_IRT EEB 2010" xfId="2285" xr:uid="{CD564F59-AF62-45C5-A040-ED9E753ABAC2}"/>
    <cellStyle name="_CPFL-SobrasExposiçãoSubmercados_teste ampla_IRT EEB 2010" xfId="2286" xr:uid="{0633AE62-2AAC-469D-82FA-3E87843469E6}"/>
    <cellStyle name="_CVA e Subsídios para Fiscalizaçao SFF" xfId="2287" xr:uid="{39CE5ABF-102E-428C-9DB7-57E7328F40D5}"/>
    <cellStyle name="_CVA_Celpe_final_tarifa média" xfId="1545" xr:uid="{FAC79687-8B30-4126-BAB4-8BF1D36DF0DF}"/>
    <cellStyle name="_CVA_Energia_Sobrecontratacao_23_06_2009" xfId="2288" xr:uid="{38C65C56-30BD-4F34-AFB8-00256A407CD9}"/>
    <cellStyle name="_CVA_SFF_CELPA_AGO2006" xfId="1546" xr:uid="{FA6A77BB-26C5-4894-8DAC-62BD85FF7FF7}"/>
    <cellStyle name="_CVA_SFF_CELPA_AGO2006 2" xfId="2289" xr:uid="{C064B6DC-5FC5-4884-A3E1-3EE37B4D5FC5}"/>
    <cellStyle name="_CVA_SFF_CELPA_AGO2006_atualização serviços taxados" xfId="42770" xr:uid="{EFA4162F-F30D-46A3-8422-7D4B08A1076A}"/>
    <cellStyle name="_CVA_SFF_CELPA_AGO2006_COELCE - RTO 2011 - PLPT_PLANILHA_CÁLCULO_DÉFICIT" xfId="2290" xr:uid="{20B3AE14-D94E-43F3-854A-E259881D6CB6}"/>
    <cellStyle name="_CVA_SFF_CELPA_AGO2006_Financeiro Desconto na TUSD Consumidores Livres Reajuste 2010 - 03_03_2010" xfId="42771" xr:uid="{B031674D-75BD-4126-B73B-5283EE7CA120}"/>
    <cellStyle name="_CVA_SFF_CELPA_AGO2006_Financeiro Desconto na TUSD Geradores Reajuste 2010 - 03_03_2010" xfId="42772" xr:uid="{B7D47D51-743A-4594-8C15-D7DDD617AF29}"/>
    <cellStyle name="_CVA_SFF_CELPA_AGO2006_Financeiro Subsídio Baixa Renda Reajuste 2010 - 03_03_2010" xfId="42773" xr:uid="{D9E122A4-3C6D-4B46-812C-D63CF3D6BECB}"/>
    <cellStyle name="_CVA_SFF_CELPA_AGO2006_Financeiro Subsídio Rural Irrigante e Aquicultor Reajuste 2010 - 03_03_2010" xfId="42774" xr:uid="{632C08E0-E56F-4BF7-8004-DAF86141A6BE}"/>
    <cellStyle name="_CVAacompensar_ESCELSA_ago-07_jul-08" xfId="2291" xr:uid="{E60F44E5-49C8-483C-B31D-3418CCE7398D}"/>
    <cellStyle name="_CVAacompensar_ESCELSA_ago-07_jul-08_IRT-cálculo" xfId="2292" xr:uid="{3A04DB53-E67F-45CE-892B-0AA18114F67D}"/>
    <cellStyle name="_CVAacompensar_ESCELSA_ago-07_jul-08_IRT-cálculo CAPA NEUTRALIDADE" xfId="2293" xr:uid="{640B42BA-E0F9-4EE9-AF0D-D370E894EA21}"/>
    <cellStyle name="_Dados 2 ciclo Revisão Tarifaria Santa Cruz Base de Dados" xfId="2294" xr:uid="{7EE6E7C2-8687-4127-BF6D-B9C367477052}"/>
    <cellStyle name="_Dados_Rede_Basica_Compra_ESC_IRT_2008" xfId="2295" xr:uid="{35B81D70-75F8-4D7C-A29D-72076D4120BE}"/>
    <cellStyle name="_Dados_Rede_Basica_Compra_ESC_IRT_2008_IRT-cálculo" xfId="2296" xr:uid="{9796A948-956E-422B-A121-C27FBB2D1CEB}"/>
    <cellStyle name="_Dados_Rede_Basica_Compra_ESC_IRT_2008_IRT-cálculo CAPA NEUTRALIDADE" xfId="2297" xr:uid="{3A3F7327-5479-4ED4-A36C-C8690CCE053B}"/>
    <cellStyle name="_Desverticalização EDEVP" xfId="2298" xr:uid="{A9BD5668-71E5-491A-AC91-E13988A9BE45}"/>
    <cellStyle name="_Desverticalização EDEVP_2009.04.09 EEB IRT2009 Conexao CEMIG C Financeiro" xfId="2299" xr:uid="{A33FAFA5-9F71-4605-BF52-6BF65E45B4E7}"/>
    <cellStyle name="_Desverticalização EDEVP_atualização serviços taxados" xfId="42775" xr:uid="{670041EC-DF91-4F81-B16D-2070FA154ABD}"/>
    <cellStyle name="_Desverticalização EDEVP_Financeiro Desconto na TUSD Consumidores Livres Reajuste 2010 - 03_03_2010" xfId="42776" xr:uid="{52CA60F9-6B31-4F27-928E-0A953C1ACFFB}"/>
    <cellStyle name="_Desverticalização EDEVP_Financeiro Desconto na TUSD Geradores Reajuste 2010 - 03_03_2010" xfId="42777" xr:uid="{5FF48EF1-4DC8-4CDA-81E8-22B50F3B66CF}"/>
    <cellStyle name="_Desverticalização EDEVP_Financeiro Subsídio Baixa Renda Reajuste 2010 - 03_03_2010" xfId="42778" xr:uid="{A75C4F1D-9EA5-4F49-A2C7-FB0521446B2F}"/>
    <cellStyle name="_Desverticalização EDEVP_Financeiro Subsídio Rural Irrigante e Aquicultor Reajuste 2010 - 03_03_2010" xfId="42779" xr:uid="{C541CE87-A0B6-4D3E-916F-574AC63B41DD}"/>
    <cellStyle name="_Desverticalização EDEVP_IF - Autoprodutores 2" xfId="2300" xr:uid="{DBE68A28-73F2-42F8-A07C-6C9D280CEA73}"/>
    <cellStyle name="_Desverticalização EDEVP_IF_Consumidores livres e geradoras_2010" xfId="2301" xr:uid="{EFEE8C41-D76B-4066-A326-00C6C173D70C}"/>
    <cellStyle name="_Desverticalização EDEVP_Sheet1" xfId="2302" xr:uid="{48128D69-1916-46DE-A8D6-45A395F02809}"/>
    <cellStyle name="_EBO 2009 Subsídio Irrigantes - Final" xfId="2303" xr:uid="{5B5C4EDF-99EC-43CC-8F91-C76D89A2C570}"/>
    <cellStyle name="_EBOSubsídio Fontes Alternativas Cons Livre - final" xfId="2304" xr:uid="{A8F69AD6-C518-4523-941F-AC32B9ADA7E4}"/>
    <cellStyle name="_EDVP-SobrasExposiçãoSubmercados" xfId="2305" xr:uid="{24566DFE-86CE-4D01-AE81-D5A28FDAA91C}"/>
    <cellStyle name="_EDVP-SobrasExposiçãoSubmercados_2009.04.09 EEB IRT2009 Conexao CEMIG C Financeiro" xfId="2306" xr:uid="{4C41D69E-4A51-4937-A52C-AB47276DFDBD}"/>
    <cellStyle name="_EDVP-SobrasExposiçãoSubmercados_atualização serviços taxados" xfId="42780" xr:uid="{4272796D-251B-4D33-BEA7-967A721E32CC}"/>
    <cellStyle name="_EDVP-SobrasExposiçãoSubmercados_Financeiro Desconto na TUSD Consumidores Livres Reajuste 2010 - 03_03_2010" xfId="42781" xr:uid="{C414A257-4852-490B-957D-AD82057DED43}"/>
    <cellStyle name="_EDVP-SobrasExposiçãoSubmercados_Financeiro Desconto na TUSD Geradores Reajuste 2010 - 03_03_2010" xfId="42782" xr:uid="{54B78D0D-7C8A-4F6F-8CA4-72C43B6E84A2}"/>
    <cellStyle name="_EDVP-SobrasExposiçãoSubmercados_Financeiro Subsídio Baixa Renda Reajuste 2010 - 03_03_2010" xfId="42783" xr:uid="{3D50FBFA-EF55-413D-BD9C-E3A8B4524159}"/>
    <cellStyle name="_EDVP-SobrasExposiçãoSubmercados_Financeiro Subsídio Rural Irrigante e Aquicultor Reajuste 2010 - 03_03_2010" xfId="42784" xr:uid="{3D45A75D-B228-4E0B-B51A-5D89E7DBD465}"/>
    <cellStyle name="_EDVP-SobrasExposiçãoSubmercados_IF - Autoprodutores 2" xfId="2307" xr:uid="{417483B8-6905-47F3-99A2-DC40B98A9B9B}"/>
    <cellStyle name="_EDVP-SobrasExposiçãoSubmercados_IF_Consumidores livres e geradoras_2010" xfId="2308" xr:uid="{AE4C1591-569C-4DA7-AC1E-73DB1FAB74B3}"/>
    <cellStyle name="_EDVP-SobrasExposiçãoSubmercados_Sheet1" xfId="2309" xr:uid="{A48C404D-19D9-4D36-9919-F4C7E8F224FF}"/>
    <cellStyle name="_EEVP_Repasse-Sobrecontratação" xfId="2310" xr:uid="{617838DB-5DBB-423E-A1F5-4ACCD0B6A3AB}"/>
    <cellStyle name="_EEVP_Repasse-Sobrecontratação_atualização serviços taxados" xfId="42785" xr:uid="{2588B784-C95D-41E6-849F-E263CA887399}"/>
    <cellStyle name="_EEVP_Repasse-Sobrecontratação_Financeiro Desconto na TUSD Consumidores Livres Reajuste 2010 - 03_03_2010" xfId="42786" xr:uid="{20167CD4-9392-4490-8C5D-7D31CC704F59}"/>
    <cellStyle name="_EEVP_Repasse-Sobrecontratação_Financeiro Desconto na TUSD Geradores Reajuste 2010 - 03_03_2010" xfId="42787" xr:uid="{A087926A-CE9C-499A-B44C-A02A59094B00}"/>
    <cellStyle name="_EEVP_Repasse-Sobrecontratação_Financeiro Subsídio Baixa Renda Reajuste 2010 - 03_03_2010" xfId="42788" xr:uid="{210B581D-EB5B-4D5C-93B8-DC66B17A179A}"/>
    <cellStyle name="_EEVP_Repasse-Sobrecontratação_Financeiro Subsídio Rural Irrigante e Aquicultor Reajuste 2010 - 03_03_2010" xfId="42789" xr:uid="{A77670D3-03C5-424E-81F1-9EA347C145E2}"/>
    <cellStyle name="_EEVP_Repasse-Sobrecontratação_IF - Autoprodutores 2" xfId="2311" xr:uid="{75DD7362-4CAC-42BC-A9B6-776A7BE017FD}"/>
    <cellStyle name="_EEVP_Repasse-Sobrecontratação_IF_Consumidores livres e geradoras_2010" xfId="2312" xr:uid="{C7DA5FA6-81C8-414C-AEBA-CF5FD548AB1D}"/>
    <cellStyle name="_EEVP_Repasse-Sobrecontratação_Sheet1" xfId="2313" xr:uid="{2ED4132C-2DD1-4B6F-9BF6-B5402C7DA23A}"/>
    <cellStyle name="_ELEKTRO - Dados Repasse sobrecontratação" xfId="216" xr:uid="{10AC240A-2F29-432E-AD9C-A60971A74229}"/>
    <cellStyle name="_ELEKTRO - Dados Repasse sobrecontratação 2" xfId="1273" xr:uid="{37742758-9F49-406E-BAC6-30953D6F5CB7}"/>
    <cellStyle name="_ELEKTRO - Dados Repasse sobrecontratação 3" xfId="2314" xr:uid="{4721C13A-AD00-4B2E-9B0C-43AAE88052D6}"/>
    <cellStyle name="_ELEKTRO - Dados Repasse sobrecontratação_Exposição" xfId="42790" xr:uid="{3A17AA00-19D8-4160-8E4C-0F7F738BF81F}"/>
    <cellStyle name="_ELEKTRO - Dados Repasse sobrecontratação_Exposição_Agosto 2" xfId="2315" xr:uid="{2B184C81-E767-4324-A2CC-09E92C2DB76B}"/>
    <cellStyle name="_ELEKTRO - Dados Repasse sobrecontratação_IRT_CERON_2008" xfId="42791" xr:uid="{97C74582-05AC-4EC7-AD7E-B8E0CE89215C}"/>
    <cellStyle name="_ELEKTRO - Dados Repasse sobrecontratação_IRT_Revisão A-2" xfId="2316" xr:uid="{A2420C37-A8E5-4902-819E-8615FFA70A10}"/>
    <cellStyle name="_ELEKTRO_Repasse-sobrecontratação" xfId="217" xr:uid="{F9E6497B-FBD2-4049-8C22-05034BE3AD19}"/>
    <cellStyle name="_ELEKTRO_Repasse-sobrecontratação 2" xfId="1274" xr:uid="{2FF23481-8B61-4844-8AE4-86BE16C5E5DC}"/>
    <cellStyle name="_ELEKTRO_Repasse-sobrecontratação 3" xfId="2317" xr:uid="{E3C57A05-6DD7-4529-90C3-CC9DDDDBF4D0}"/>
    <cellStyle name="_ELEKTRO_Repasse-sobrecontratação_Exposição" xfId="42792" xr:uid="{8958987E-E0E4-4689-A008-CC85FA5F24F4}"/>
    <cellStyle name="_ELEKTRO_Repasse-sobrecontratação_Exposição_Agosto 2" xfId="2318" xr:uid="{FE0BF59E-F72E-47C0-852C-658819AFD749}"/>
    <cellStyle name="_ELEKTRO_Repasse-sobrecontratação_IRT_CERON_2008" xfId="42793" xr:uid="{F5E4B01A-7EDC-4D3E-A43E-21803BC3676A}"/>
    <cellStyle name="_ELEKTRO_Repasse-sobrecontratação_IRT_Revisão A-2" xfId="2319" xr:uid="{7AE12CB0-14A9-44F6-985B-45F34417EB23}"/>
    <cellStyle name="_ELEKTRO-tarifa media - para CVA" xfId="218" xr:uid="{57D4B7AA-14EF-4B75-9EB8-8CEDC9D46559}"/>
    <cellStyle name="_ELEKTRO-tarifa media - para CVA 2" xfId="1275" xr:uid="{1A809F3F-EBFA-40D9-98F5-B50D02667511}"/>
    <cellStyle name="_ELEKTRO-tarifa media - para CVA_atualização serviços taxados" xfId="42794" xr:uid="{772D14F7-F19E-4243-8221-C3354596DF16}"/>
    <cellStyle name="_ELEKTRO-tarifa media - para CVA_Calculo_Subsidio_ELFSM_26_06_08_Modelo_ANEEL" xfId="2320" xr:uid="{68207D0D-CA85-4CE7-B855-6C465B68EFF3}"/>
    <cellStyle name="_ELEKTRO-tarifa media - para CVA_Calculo_Subsidio_ELFSM_26_06_08_Modelo_ANEEL_IRT-cálculo" xfId="2321" xr:uid="{BFD84BF1-8F10-4143-9704-0E10F02FF26F}"/>
    <cellStyle name="_ELEKTRO-tarifa media - para CVA_Calculo_Subsidio_ELFSM_26_06_08_Modelo_ANEEL_IRT-cálculo CAPA NEUTRALIDADE" xfId="2322" xr:uid="{5FC76BDA-FC67-48CE-A118-361CE10F7E0F}"/>
    <cellStyle name="_ELEKTRO-tarifa media - para CVA_CVA_Projetada até dez-2008_Setembro" xfId="2323" xr:uid="{F2E8EC84-A8CB-4F85-B6BB-BDE70D3AB19C}"/>
    <cellStyle name="_ELEKTRO-tarifa media - para CVA_CVA_Projetada até dez-2008_Setembro_CVA Outros Componentes PROVISÃO" xfId="2324" xr:uid="{3CED7FF1-BA40-4A04-8408-AF3E2A0CE991}"/>
    <cellStyle name="_ELEKTRO-tarifa media - para CVA_CVA_Projetada até dez-2008_Setembro_PROVISÃO" xfId="2325" xr:uid="{8410E8A3-A19E-4A37-A27C-09DED4FDA678}"/>
    <cellStyle name="_ELEKTRO-tarifa media - para CVA_Energia Comprada" xfId="2326" xr:uid="{467C2261-FCE6-4AD4-9E78-469C28B1D561}"/>
    <cellStyle name="_ELEKTRO-tarifa media - para CVA_Energia Comprada_IRT-cálculo" xfId="2327" xr:uid="{948AFBE1-2CD9-43B2-815A-99A61E7D69D5}"/>
    <cellStyle name="_ELEKTRO-tarifa media - para CVA_Energia Comprada_IRT-cálculo CAPA NEUTRALIDADE" xfId="2328" xr:uid="{2877B673-A521-47E6-8FCE-B954C1E79132}"/>
    <cellStyle name="_ELEKTRO-tarifa media - para CVA_Fator X" xfId="1547" xr:uid="{E1BEB54F-625E-4DF2-A611-EB5D25ABC568}"/>
    <cellStyle name="_ELEKTRO-tarifa media - para CVA_Fator X_atualização serviços taxados" xfId="42795" xr:uid="{4F729C02-E58D-4344-B422-ACC73B3A9A7A}"/>
    <cellStyle name="_ELEKTRO-tarifa media - para CVA_Fator X_Financeiro Desconto na TUSD Consumidores Livres Reajuste 2010 - 03_03_2010" xfId="42796" xr:uid="{F168D5E5-8460-4A53-9180-A82F25C59A79}"/>
    <cellStyle name="_ELEKTRO-tarifa media - para CVA_Fator X_Financeiro Desconto na TUSD Geradores Reajuste 2010 - 03_03_2010" xfId="42797" xr:uid="{7FDC1BAC-86E2-461A-8DE2-73148D4CBA2B}"/>
    <cellStyle name="_ELEKTRO-tarifa media - para CVA_Fator X_Financeiro Subsídio Baixa Renda Reajuste 2010 - 03_03_2010" xfId="42798" xr:uid="{8951D7E0-A378-4838-83CB-43B0015F065A}"/>
    <cellStyle name="_ELEKTRO-tarifa media - para CVA_Fator X_Financeiro Subsídio Rural Irrigante e Aquicultor Reajuste 2010 - 03_03_2010" xfId="42799" xr:uid="{E5C96F3A-D44D-4EFD-A399-8A85A6581EF4}"/>
    <cellStyle name="_ELEKTRO-tarifa media - para CVA_Fator X_IRT-cálculo" xfId="2329" xr:uid="{64BB0B08-69FE-4041-BEFA-5F5D7BF14003}"/>
    <cellStyle name="_ELEKTRO-tarifa media - para CVA_Fator X_IRT-cálculo CAPA NEUTRALIDADE" xfId="2330" xr:uid="{5A9CD5BA-4C42-44D4-B8F4-5B402DE4CE57}"/>
    <cellStyle name="_ELEKTRO-tarifa media - para CVA_Fator X_SOBRECONTRATAÇÃO E CVA" xfId="2331" xr:uid="{08757726-0B33-4073-ACCB-DDAB56912530}"/>
    <cellStyle name="_ELEKTRO-tarifa media - para CVA_Financeiro Desconto na TUSD Consumidores Livres Reajuste 2010 - 03_03_2010" xfId="42800" xr:uid="{8675BB14-D6AE-4A0B-9C96-48C657470AD8}"/>
    <cellStyle name="_ELEKTRO-tarifa media - para CVA_Financeiro Desconto na TUSD Geradores Reajuste 2010 - 03_03_2010" xfId="42801" xr:uid="{F7B93FC7-475D-48E1-B341-84666F4C9DC2}"/>
    <cellStyle name="_ELEKTRO-tarifa media - para CVA_Financeiro Subsídio Baixa Renda Reajuste 2010 - 03_03_2010" xfId="42802" xr:uid="{43310553-B0D1-4FE8-8641-678308837029}"/>
    <cellStyle name="_ELEKTRO-tarifa media - para CVA_Financeiro Subsídio Rural Irrigante e Aquicultor Reajuste 2010 - 03_03_2010" xfId="42803" xr:uid="{A1064D2C-1B99-48A4-A882-869371B901E4}"/>
    <cellStyle name="_ELEKTRO-tarifa media - para CVA_IRT (2)" xfId="1548" xr:uid="{02F6E055-4FEC-4EE4-A2A6-4878607F7568}"/>
    <cellStyle name="_ELEKTRO-tarifa media - para CVA_IRT (2) 2" xfId="2332" xr:uid="{204F3D48-7378-422F-95AB-61E6210DDD72}"/>
    <cellStyle name="_ELEKTRO-tarifa media - para CVA_IRT_1" xfId="1549" xr:uid="{F8EB829B-C315-4E23-AC4A-946BF4F6426F}"/>
    <cellStyle name="_ELEKTRO-tarifa media - para CVA_IRT_1_atualização serviços taxados" xfId="42804" xr:uid="{0074B0B6-FAF1-4945-91B8-3B42158D9B7C}"/>
    <cellStyle name="_ELEKTRO-tarifa media - para CVA_IRT_1_Financeiro Desconto na TUSD Consumidores Livres Reajuste 2010 - 03_03_2010" xfId="42805" xr:uid="{6EF1037A-6BEF-42DB-8D3F-25AEBB600F87}"/>
    <cellStyle name="_ELEKTRO-tarifa media - para CVA_IRT_1_Financeiro Desconto na TUSD Geradores Reajuste 2010 - 03_03_2010" xfId="42806" xr:uid="{49CA920A-1E9A-4AD7-BEB8-BEDC1FBAA411}"/>
    <cellStyle name="_ELEKTRO-tarifa media - para CVA_IRT_1_Financeiro Subsídio Baixa Renda Reajuste 2010 - 03_03_2010" xfId="42807" xr:uid="{6BB2CF31-A409-4FF4-A70E-727DAEB3F15B}"/>
    <cellStyle name="_ELEKTRO-tarifa media - para CVA_IRT_1_Financeiro Subsídio Rural Irrigante e Aquicultor Reajuste 2010 - 03_03_2010" xfId="42808" xr:uid="{ACFAB916-F85A-4DB3-8BD7-0C69AE0A5A72}"/>
    <cellStyle name="_ELEKTRO-tarifa media - para CVA_IRT_1_IRT-cálculo" xfId="2333" xr:uid="{79439B9F-0002-469A-8A7F-16ED23370376}"/>
    <cellStyle name="_ELEKTRO-tarifa media - para CVA_IRT_1_IRT-cálculo CAPA NEUTRALIDADE" xfId="2334" xr:uid="{BF13FE8A-D51E-40E5-A41B-B2C429027451}"/>
    <cellStyle name="_ELEKTRO-tarifa media - para CVA_IRT_1_SOBRECONTRATAÇÃO E CVA" xfId="2335" xr:uid="{BC5781FE-FD36-47B2-AC24-04757CD25170}"/>
    <cellStyle name="_ELEKTRO-tarifa media - para CVA_IRT_Planilha Básica_DIRETORIA" xfId="2336" xr:uid="{B8E6AA37-595C-49DA-A3CF-7F1381C43952}"/>
    <cellStyle name="_ELEKTRO-tarifa media - para CVA_IRT_Pleito" xfId="2337" xr:uid="{634E1B07-4FD1-4377-851C-083E334B8A29}"/>
    <cellStyle name="_ELEKTRO-tarifa media - para CVA_IRT_Pleito_IRT-cálculo" xfId="2338" xr:uid="{A4AAAF10-B00B-4B98-BDD9-FD69B34EE717}"/>
    <cellStyle name="_ELEKTRO-tarifa media - para CVA_IRT_Pleito_IRT-cálculo CAPA NEUTRALIDADE" xfId="2339" xr:uid="{2460D6CD-8F51-4806-A09C-88D69637DD30}"/>
    <cellStyle name="_ELEKTRO-tarifa media - para CVA_IRT-cálculo" xfId="2340" xr:uid="{85C0A85B-72BE-4900-A21C-7D6A79465736}"/>
    <cellStyle name="_ELEKTRO-tarifa media - para CVA_IRT-cálculo CAPA NEUTRALIDADE" xfId="2341" xr:uid="{702D20AD-07E5-44DC-A211-1EF60298DCE6}"/>
    <cellStyle name="_ELEKTRO-tarifa media - para CVA_Pasta1" xfId="1550" xr:uid="{FB1047A7-14AF-416B-9406-D968D6AE8449}"/>
    <cellStyle name="_ELEKTRO-tarifa media - para CVA_Pasta1_atualização serviços taxados" xfId="42809" xr:uid="{5B4CCD18-D082-4AD2-89B4-D27A6E56B5F3}"/>
    <cellStyle name="_ELEKTRO-tarifa media - para CVA_Pasta1_Financeiro Desconto na TUSD Consumidores Livres Reajuste 2010 - 03_03_2010" xfId="42810" xr:uid="{583B3D9B-7331-4AEF-B521-6B6D953D483F}"/>
    <cellStyle name="_ELEKTRO-tarifa media - para CVA_Pasta1_Financeiro Desconto na TUSD Geradores Reajuste 2010 - 03_03_2010" xfId="42811" xr:uid="{4851FD36-D262-4FC2-934E-A66878E3B2AB}"/>
    <cellStyle name="_ELEKTRO-tarifa media - para CVA_Pasta1_Financeiro Subsídio Baixa Renda Reajuste 2010 - 03_03_2010" xfId="42812" xr:uid="{D5A43E66-04E2-4FD6-97C5-8AC8D8C81146}"/>
    <cellStyle name="_ELEKTRO-tarifa media - para CVA_Pasta1_Financeiro Subsídio Rural Irrigante e Aquicultor Reajuste 2010 - 03_03_2010" xfId="42813" xr:uid="{3B84AF8E-39EB-463C-88CD-426F3C566635}"/>
    <cellStyle name="_ELEKTRO-tarifa media - para CVA_Pasta1_IRT-cálculo" xfId="2342" xr:uid="{7C702B77-FF5A-4C67-834C-8F2D4FD64C89}"/>
    <cellStyle name="_ELEKTRO-tarifa media - para CVA_Pasta1_IRT-cálculo CAPA NEUTRALIDADE" xfId="2343" xr:uid="{3167E266-4190-49FC-984E-3E374CE245EF}"/>
    <cellStyle name="_ELEKTRO-tarifa media - para CVA_Pasta1_SOBRECONTRATAÇÃO E CVA" xfId="2344" xr:uid="{39E43EE3-84F1-4FD4-B26A-3261BBA29481}"/>
    <cellStyle name="_ELEKTRO-tarifa media - para CVA_SOBRECONTRATAÇÃO E CVA" xfId="2345" xr:uid="{FB4A0A66-F8B8-439A-B1C1-182425DB9DEC}"/>
    <cellStyle name="_ELEKTRO-tarifa media - para CVA_SOBRECONTRATAÇÃO E CVA A-1" xfId="2346" xr:uid="{0028E20B-A71F-4E52-BFF4-2EDFA72F645C}"/>
    <cellStyle name="_ELEKTRO-tarifa media - para CVA_SOBRECONTRATAÇÃO E CVA A-1_IRT-cálculo" xfId="2347" xr:uid="{0FDF3918-7E7B-44CE-BEEE-7839DDD9ABC1}"/>
    <cellStyle name="_ELEKTRO-tarifa media - para CVA_SOBRECONTRATAÇÃO E CVA A-1_IRT-cálculo CAPA NEUTRALIDADE" xfId="2348" xr:uid="{561D2388-6626-40FB-B30D-834A8DEFA3C6}"/>
    <cellStyle name="_ELETROPAULO - IRT_julho2006_PÓS IGPM" xfId="1551" xr:uid="{BF87363F-97EE-4435-941E-D39043F66C59}"/>
    <cellStyle name="_ELETROPAULO - IRT_julho2006_PÓS IGPM_atualização serviços taxados" xfId="42814" xr:uid="{5948A197-7796-4328-ABE8-0888F776DE7F}"/>
    <cellStyle name="_ELETROPAULO - IRT_julho2006_PÓS IGPM_COELCE - RTO 2011 - PLPT_PLANILHA_CÁLCULO_DÉFICIT" xfId="2349" xr:uid="{938C3DEF-2E96-4BF9-B981-0C41B39FF95F}"/>
    <cellStyle name="_ELETROPAULO - IRT_julho2006_PÓS IGPM_Financeiro Desconto na TUSD Consumidores Livres Reajuste 2010 - 03_03_2010" xfId="42815" xr:uid="{3D2085B4-8D27-41AD-BF29-CD5A657FD1B0}"/>
    <cellStyle name="_ELETROPAULO - IRT_julho2006_PÓS IGPM_Financeiro Desconto na TUSD Geradores Reajuste 2010 - 03_03_2010" xfId="42816" xr:uid="{5D27B2E4-7A4B-4A09-88E0-4105AA1BE76D}"/>
    <cellStyle name="_ELETROPAULO - IRT_julho2006_PÓS IGPM_Financeiro Subsídio Baixa Renda Reajuste 2010 - 03_03_2010" xfId="42817" xr:uid="{E622EAFC-ED6C-436C-9077-EF4C210DA011}"/>
    <cellStyle name="_ELETROPAULO - IRT_julho2006_PÓS IGPM_Financeiro Subsídio Rural Irrigante e Aquicultor Reajuste 2010 - 03_03_2010" xfId="42818" xr:uid="{49B9DCA0-624A-464F-A03C-54177C6E0A9F}"/>
    <cellStyle name="_ELETROPAULO 2007 - Repasse sobrecontratação" xfId="219" xr:uid="{FEB75140-C688-4823-B5DB-6FD6E3A626C4}"/>
    <cellStyle name="_ELETROPAULO 2007 - Repasse sobrecontratação 2" xfId="1276" xr:uid="{2973967C-7AE4-4AF3-B430-59683ACC61C0}"/>
    <cellStyle name="_ELETROPAULO 2007 - Repasse sobrecontratação 3" xfId="2350" xr:uid="{B825335C-F547-421A-AF62-299D740923C7}"/>
    <cellStyle name="_ELETROPAULO 2007 - Repasse sobrecontratação_Exposição" xfId="42819" xr:uid="{1176404A-BF73-4A99-820B-290F77B1D064}"/>
    <cellStyle name="_ELETROPAULO 2007 - Repasse sobrecontratação_Exposição_Agosto 2" xfId="2351" xr:uid="{58740DA7-9CFB-49EF-B094-BBFF41179B3B}"/>
    <cellStyle name="_ELETROPAULO 2007 - Repasse sobrecontratação_IRT_CERON_2008" xfId="42820" xr:uid="{3CAB68AA-72F8-4994-B5FC-E671D29B1A30}"/>
    <cellStyle name="_ELETROPAULO 2007 - Repasse sobrecontratação_IRT_Revisão A-2" xfId="2352" xr:uid="{B20C524A-0FD9-4A60-9DDD-F0A9B0FEAD75}"/>
    <cellStyle name="_ENERGIA-RESUMO" xfId="2353" xr:uid="{EF6E2716-7084-4854-9E2D-871C2DC0A728}"/>
    <cellStyle name="_ENERGIA-RESUMO_IF - Autoprodutores 2" xfId="2354" xr:uid="{D630FC99-4E26-49C5-9FF4-FEE7864FA66D}"/>
    <cellStyle name="_ENERGIA-RESUMO_IF_Consumidores livres e geradoras_2010" xfId="2355" xr:uid="{724E1A02-C4EC-443F-AC5A-5FC5FBC35D4C}"/>
    <cellStyle name="_ENERGIA-RESUMO_IRT-cálculo" xfId="42821" xr:uid="{BA198F30-C8E2-48D1-8043-338209AD1066}"/>
    <cellStyle name="_ENERGIA-RESUMO_Sheet1" xfId="2356" xr:uid="{5567D49F-7759-4F3A-A3D9-9DA0B46A5DEB}"/>
    <cellStyle name="_ENERGIPE_Análise 1ª Proposta ANEEL_13 fev 2008" xfId="2357" xr:uid="{1B8E410B-FFE3-412B-AE1B-EFDF527EEE66}"/>
    <cellStyle name="_Energipe-SobrasExposiçãoSubmercados" xfId="220" xr:uid="{03D8D648-4245-4863-A3A6-F2ACFD22B65E}"/>
    <cellStyle name="_Energipe-SobrasExposiçãoSubmercados 2" xfId="1277" xr:uid="{4E5D8002-E55A-445F-B6D8-F95214A44C31}"/>
    <cellStyle name="_Energipe-SobrasExposiçãoSubmercados 3" xfId="2358" xr:uid="{AE4E98ED-A944-4D5C-A85A-DE93CBB94FDF}"/>
    <cellStyle name="_Energipe-SobrasExposiçãoSubmercados_Balanço" xfId="221" xr:uid="{B04D546C-2305-4B53-B31E-5E90EFC7D530}"/>
    <cellStyle name="_Energipe-SobrasExposiçãoSubmercados_casulo 15" xfId="222" xr:uid="{6CA665D6-AF25-47E8-B8F4-0E5A6A8941BB}"/>
    <cellStyle name="_Energipe-SobrasExposiçãoSubmercados_CELPA CVA 2007 corrigida" xfId="1552" xr:uid="{20CDB291-1F8C-4366-A5B6-875CD38702F3}"/>
    <cellStyle name="_Energipe-SobrasExposiçãoSubmercados_CELPA CVA 2007 corrigida 2" xfId="2359" xr:uid="{4786596F-8A83-46FB-A6A0-FF1EE34C5F8E}"/>
    <cellStyle name="_Energipe-SobrasExposiçãoSubmercados_CELPA CVA 2007 corrigida_atualização serviços taxados" xfId="42822" xr:uid="{7218677B-B3BB-44DB-99D7-A3CBC53543BD}"/>
    <cellStyle name="_Energipe-SobrasExposiçãoSubmercados_CELPA CVA 2007 corrigida_COELCE - RTO 2011 - PLPT_PLANILHA_CÁLCULO_DÉFICIT" xfId="2360" xr:uid="{23D1433B-9ACC-4A0C-B3CA-96753DD5BF3A}"/>
    <cellStyle name="_Energipe-SobrasExposiçãoSubmercados_CELPA CVA 2007 corrigida_Financeiro Desconto na TUSD Consumidores Livres Reajuste 2010 - 03_03_2010" xfId="42823" xr:uid="{A2918778-7B47-419F-8D7B-7D429856EE80}"/>
    <cellStyle name="_Energipe-SobrasExposiçãoSubmercados_CELPA CVA 2007 corrigida_Financeiro Desconto na TUSD Geradores Reajuste 2010 - 03_03_2010" xfId="42824" xr:uid="{91A39378-5AF4-4247-9E1D-88BCFD989542}"/>
    <cellStyle name="_Energipe-SobrasExposiçãoSubmercados_CELPA CVA 2007 corrigida_Financeiro Subsídio Baixa Renda Reajuste 2010 - 03_03_2010" xfId="42825" xr:uid="{9A77A954-FB11-4324-8FEF-F4F848E3C748}"/>
    <cellStyle name="_Energipe-SobrasExposiçãoSubmercados_CELPA CVA 2007 corrigida_Financeiro Subsídio Rural Irrigante e Aquicultor Reajuste 2010 - 03_03_2010" xfId="42826" xr:uid="{FDCD30B7-36C5-41F2-BBD9-DF96AA7E82C9}"/>
    <cellStyle name="_Energipe-SobrasExposiçãoSubmercados_Exposição_Agosto 2" xfId="2361" xr:uid="{4428D86C-7121-425D-9D7A-EF1EAA9D74E1}"/>
    <cellStyle name="_Energipe-SobrasExposiçãoSubmercados_IRT EEB 2010" xfId="2362" xr:uid="{C5495CB5-48D5-4961-86F1-B4DFDFA9C72D}"/>
    <cellStyle name="_Energipe-SobrasExposiçãoSubmercados_IRT_Revisão A-2" xfId="2363" xr:uid="{8D3EE824-1E12-4C79-A072-6743F5B485DC}"/>
    <cellStyle name="_Energipe-SobrasExposiçãoSubmercados_Simulação AES SUL 03_04_07" xfId="223" xr:uid="{F8836A1B-F87A-4F80-837D-216227B539F2}"/>
    <cellStyle name="_Energipe-SobrasExposiçãoSubmercados_Simulação AES SUL 03_04_07 2" xfId="1278" xr:uid="{5AC5730C-0271-4260-81DA-2D418847B060}"/>
    <cellStyle name="_Energipe-SobrasExposiçãoSubmercados_Simulação AES SUL 03_04_07 3" xfId="2364" xr:uid="{1ABA619E-3D20-47FB-A594-7B442D8C4AA0}"/>
    <cellStyle name="_Energipe-SobrasExposiçãoSubmercados_Simulação AES SUL 03_04_07_Balanço" xfId="224" xr:uid="{376346CC-2A76-49E3-B059-A6ECEC330257}"/>
    <cellStyle name="_Energipe-SobrasExposiçãoSubmercados_Simulação AES SUL 03_04_07_casulo 15" xfId="225" xr:uid="{1DFB5D01-C4B7-46B4-BFBD-C4F5D468FF87}"/>
    <cellStyle name="_Energipe-SobrasExposiçãoSubmercados_Simulação AES SUL 03_04_07_IRT EEB 2010" xfId="2365" xr:uid="{63E0864F-9045-4D9D-9DD4-4C7F62DE1E7A}"/>
    <cellStyle name="_Energipe-SobrasExposiçãoSubmercados_Sobrecontratação AES (2)" xfId="226" xr:uid="{61AFBA17-BB6C-4DE1-9C68-57752F59C4CA}"/>
    <cellStyle name="_Energipe-SobrasExposiçãoSubmercados_Sobrecontratação AES (2) 2" xfId="1279" xr:uid="{DE3A2954-632F-434B-A71E-38996EC232C4}"/>
    <cellStyle name="_Energipe-SobrasExposiçãoSubmercados_Sobrecontratação AES (2) 3" xfId="2366" xr:uid="{1888D040-F7C2-4ACD-B9AB-783CBF6C2CAA}"/>
    <cellStyle name="_Energipe-SobrasExposiçãoSubmercados_Sobrecontratação AES (2)_Balanço" xfId="227" xr:uid="{0E572EB1-0B8A-41B7-8418-2B85E472B100}"/>
    <cellStyle name="_Energipe-SobrasExposiçãoSubmercados_Sobrecontratação AES (2)_casulo 15" xfId="228" xr:uid="{83A09688-0429-4219-A7F6-7A732A9F5579}"/>
    <cellStyle name="_Energipe-SobrasExposiçãoSubmercados_Sobrecontratação AES (2)_IRT EEB 2010" xfId="2367" xr:uid="{3CE8DF2B-B0F8-4A0F-9A89-9DC04AEE2A43}"/>
    <cellStyle name="_Enersul Impacto LPT_FINAL_22_02_07" xfId="229" xr:uid="{FB94EFBE-B268-435E-87A5-DB8F4BDF00CD}"/>
    <cellStyle name="_Enersul Impacto LPT_FINAL_22_02_07 2" xfId="933" xr:uid="{F54DEC1C-4168-41C3-9EC2-654AB8E60D95}"/>
    <cellStyle name="_Enersul Impacto LPT_FINAL_22_02_07 3" xfId="2368" xr:uid="{B347F9AF-9C30-4EFD-8A16-41A2BE49D06E}"/>
    <cellStyle name="_Enersul Impacto LPT_FINAL_22_02_07_2008.08.07 CELPA IRT2008 Homologado" xfId="2369" xr:uid="{36D84C1C-2E8C-4A88-A176-536695F34B85}"/>
    <cellStyle name="_Enersul Impacto LPT_FINAL_22_02_07_2009.04.09 EEB IRT2009 Conexao CEMIG C Financeiro" xfId="2370" xr:uid="{59C5BA34-F12F-4F91-8EE0-0029A4540871}"/>
    <cellStyle name="_Enersul Impacto LPT_FINAL_22_02_07_Ajuste SALDO CVA ANO ANTERIOR PÓS-REVISÃOx" xfId="2371" xr:uid="{96CFA242-3526-4E90-9684-BEAA8F25CEBE}"/>
    <cellStyle name="_Enersul Impacto LPT_FINAL_22_02_07_atualização serviços taxados" xfId="42827" xr:uid="{51C87231-5CC9-422E-977B-D1ACF7F4ACFE}"/>
    <cellStyle name="_Enersul Impacto LPT_FINAL_22_02_07_Balanço" xfId="230" xr:uid="{E96C100E-27C7-4777-8965-FAB18F57076D}"/>
    <cellStyle name="_Enersul Impacto LPT_FINAL_22_02_07_Balanço 2" xfId="1280" xr:uid="{9F2133B6-19DD-4068-99D9-A3A519C742A7}"/>
    <cellStyle name="_Enersul Impacto LPT_FINAL_22_02_07_Cálculo do Financeiro do Baixa Renda" xfId="2372" xr:uid="{7A757C23-FA25-4CDC-AF5F-DDDFB94A640B}"/>
    <cellStyle name="_Enersul Impacto LPT_FINAL_22_02_07_Cálculo do Financeiro do Baixa Renda_IRT-cálculo" xfId="2373" xr:uid="{2B4AA0F8-89A0-4F09-B04A-FACBD1B2B58E}"/>
    <cellStyle name="_Enersul Impacto LPT_FINAL_22_02_07_Cálculo do Financeiro do Baixa Renda_IRT-cálculo CAPA NEUTRALIDADE" xfId="2374" xr:uid="{99CE9292-B2E5-4F19-958A-B02BEF291C39}"/>
    <cellStyle name="_Enersul Impacto LPT_FINAL_22_02_07_Calculo_Subsidio_ELFSM_26_06_08_Modelo_ANEEL" xfId="2375" xr:uid="{31669803-303C-4517-B1EE-33F3056B7C79}"/>
    <cellStyle name="_Enersul Impacto LPT_FINAL_22_02_07_Calculo_Subsidio_ELFSM_26_06_08_Modelo_ANEEL_IRT-cálculo" xfId="2376" xr:uid="{DFBFFA2A-5E2D-42F9-8034-B2D881FDC514}"/>
    <cellStyle name="_Enersul Impacto LPT_FINAL_22_02_07_Calculo_Subsidio_ELFSM_26_06_08_Modelo_ANEEL_IRT-cálculo CAPA NEUTRALIDADE" xfId="2377" xr:uid="{5A883751-1BA3-4B52-9437-ABE7AB483734}"/>
    <cellStyle name="_Enersul Impacto LPT_FINAL_22_02_07_casulo 15" xfId="231" xr:uid="{D8BA7165-1B5C-4A50-89DA-B9344DE4F9DE}"/>
    <cellStyle name="_Enersul Impacto LPT_FINAL_22_02_07_casulo 5" xfId="232" xr:uid="{E98F2CDE-342B-4DE8-9913-CF1B82C8206F}"/>
    <cellStyle name="_Enersul Impacto LPT_FINAL_22_02_07_casulo 5 2" xfId="1281" xr:uid="{F7C7D973-6ED8-4438-9175-8D9667280D8B}"/>
    <cellStyle name="_Enersul Impacto LPT_FINAL_22_02_07_casulo 5_Balanço" xfId="233" xr:uid="{4394BEB2-C9B1-418F-904E-737C8AB1B6B9}"/>
    <cellStyle name="_Enersul Impacto LPT_FINAL_22_02_07_casulo 5_casulo 15" xfId="234" xr:uid="{F38D7BD0-284F-4E0D-9EBC-E1197DB549B5}"/>
    <cellStyle name="_Enersul Impacto LPT_FINAL_22_02_07_casulo 5_IRT EEB 2010" xfId="2378" xr:uid="{A7DBD1DA-1244-475A-894D-1A3F62CE8BF2}"/>
    <cellStyle name="_Enersul Impacto LPT_FINAL_22_02_07_Custo com Avaliação de Ativos para Base de Remuneração" xfId="2379" xr:uid="{304CC530-7DDF-4114-A961-2EC4DFE35114}"/>
    <cellStyle name="_Enersul Impacto LPT_FINAL_22_02_07_Custo com Avaliação de Ativos para Base de Remuneração_IRT-cálculo" xfId="2380" xr:uid="{A7DF4653-3E30-4EAA-8302-B7B6BE16C44D}"/>
    <cellStyle name="_Enersul Impacto LPT_FINAL_22_02_07_Custo com Avaliação de Ativos para Base de Remuneração_IRT-cálculo CAPA NEUTRALIDADE" xfId="2381" xr:uid="{6A4BFCBC-A4D9-44F8-9DFF-1B90AFA5C8CE}"/>
    <cellStyle name="_Enersul Impacto LPT_FINAL_22_02_07_Descontos CCC_CDE_PROINFA Nov_07_Out_08" xfId="2382" xr:uid="{03D494CE-2EEB-423A-9ADA-7706B09F2C89}"/>
    <cellStyle name="_Enersul Impacto LPT_FINAL_22_02_07_Descontos CCC_CDE_PROINFA Nov_07_Out_08_IRT-cálculo" xfId="2383" xr:uid="{0191DC6C-1C61-46EE-83A6-E8DC9B77CB38}"/>
    <cellStyle name="_Enersul Impacto LPT_FINAL_22_02_07_Descontos CCC_CDE_PROINFA Nov_07_Out_08_IRT-cálculo CAPA NEUTRALIDADE" xfId="2384" xr:uid="{F981B3EF-F351-465F-8FBF-0ECED786CB64}"/>
    <cellStyle name="_Enersul Impacto LPT_FINAL_22_02_07_Energia Comprada" xfId="2385" xr:uid="{2EC444F8-B1DD-41FD-A054-50B87D3C2D67}"/>
    <cellStyle name="_Enersul Impacto LPT_FINAL_22_02_07_Energia Comprada_IRT-cálculo" xfId="2386" xr:uid="{117A9917-6CED-466C-81A6-590568718593}"/>
    <cellStyle name="_Enersul Impacto LPT_FINAL_22_02_07_Energia Comprada_IRT-cálculo CAPA NEUTRALIDADE" xfId="2387" xr:uid="{D98516CC-9384-4E50-BB9D-B0565491D1C4}"/>
    <cellStyle name="_Enersul Impacto LPT_FINAL_22_02_07_Fator Novo e Antigo 4 anos" xfId="2388" xr:uid="{C676BEAD-F145-43D3-B8E0-A5912653E64E}"/>
    <cellStyle name="_Enersul Impacto LPT_FINAL_22_02_07_Fator Novo e Antigo 4 anos_IRT-cálculo" xfId="42828" xr:uid="{967A7EF2-7F82-4637-A9CD-8E3EC9CC929B}"/>
    <cellStyle name="_Enersul Impacto LPT_FINAL_22_02_07_Fator X" xfId="1553" xr:uid="{43FDDAD6-3FFD-4A91-89F1-126D868A3BDC}"/>
    <cellStyle name="_Enersul Impacto LPT_FINAL_22_02_07_Fator X 2" xfId="2389" xr:uid="{D44F91F2-9091-4C35-81EB-9226E3A91BAA}"/>
    <cellStyle name="_Enersul Impacto LPT_FINAL_22_02_07_Fator X_atualização serviços taxados" xfId="42829" xr:uid="{6EA2D057-E34A-4101-9498-057598D1D785}"/>
    <cellStyle name="_Enersul Impacto LPT_FINAL_22_02_07_Fator X_Financeiro Desconto na TUSD Consumidores Livres Reajuste 2010 - 03_03_2010" xfId="42830" xr:uid="{A539EFCC-E57C-4DCA-A885-B37E89005800}"/>
    <cellStyle name="_Enersul Impacto LPT_FINAL_22_02_07_Fator X_Financeiro Desconto na TUSD Geradores Reajuste 2010 - 03_03_2010" xfId="42831" xr:uid="{A9E002A2-D023-4E9E-841F-9C7C2A97D826}"/>
    <cellStyle name="_Enersul Impacto LPT_FINAL_22_02_07_Fator X_Financeiro Subsídio Baixa Renda Reajuste 2010 - 03_03_2010" xfId="42832" xr:uid="{3C2A2536-3CDE-414D-B0C0-67869006112E}"/>
    <cellStyle name="_Enersul Impacto LPT_FINAL_22_02_07_Fator X_Financeiro Subsídio Rural Irrigante e Aquicultor Reajuste 2010 - 03_03_2010" xfId="42833" xr:uid="{799974A1-61E6-4710-9D30-93852BE72B64}"/>
    <cellStyle name="_Enersul Impacto LPT_FINAL_22_02_07_Fator X_IRT-cálculo" xfId="2390" xr:uid="{6E0CD661-B990-4428-8EC0-188E6B404CE7}"/>
    <cellStyle name="_Enersul Impacto LPT_FINAL_22_02_07_Fator X_IRT-cálculo CAPA NEUTRALIDADE" xfId="2391" xr:uid="{241986DD-1FCE-46A0-B5FF-4A3E30A86481}"/>
    <cellStyle name="_Enersul Impacto LPT_FINAL_22_02_07_Fator X_SOBRECONTRATAÇÃO E CVA" xfId="2392" xr:uid="{71AC90DD-237D-4451-9C49-935F1B60E36F}"/>
    <cellStyle name="_Enersul Impacto LPT_FINAL_22_02_07_Financeiro Desconto na TUSD Consumidores Livres Reajuste 2010 - 03_03_2010" xfId="42834" xr:uid="{3C046519-4F07-47B3-8A06-1ECFACE192D4}"/>
    <cellStyle name="_Enersul Impacto LPT_FINAL_22_02_07_Financeiro Desconto na TUSD Geradores Reajuste 2010 - 03_03_2010" xfId="42835" xr:uid="{2736F730-9279-464F-B733-61F727BDFCB6}"/>
    <cellStyle name="_Enersul Impacto LPT_FINAL_22_02_07_Financeiro Subsídio Baixa Renda Reajuste 2010 - 03_03_2010" xfId="42836" xr:uid="{908C96D9-0C6C-48AF-ADC1-A81CD5F7A66B}"/>
    <cellStyle name="_Enersul Impacto LPT_FINAL_22_02_07_Financeiro Subsídio Rural Irrigante e Aquicultor Reajuste 2010 - 03_03_2010" xfId="42837" xr:uid="{01EE68E2-4E15-40F8-A445-52E07CA7B182}"/>
    <cellStyle name="_Enersul Impacto LPT_FINAL_22_02_07_IF - Autoprodutores 2" xfId="2393" xr:uid="{5792C14A-71D8-405B-ACEB-A66054B8507B}"/>
    <cellStyle name="_Enersul Impacto LPT_FINAL_22_02_07_IF_Consumidores livres e geradoras_2010" xfId="2394" xr:uid="{09AEA319-1F68-4BD4-8205-9F96B80D373C}"/>
    <cellStyle name="_Enersul Impacto LPT_FINAL_22_02_07_IRT (2)" xfId="1554" xr:uid="{D8EFE623-6E7F-4712-9DBD-2F8D5D1B3849}"/>
    <cellStyle name="_Enersul Impacto LPT_FINAL_22_02_07_IRT EEB 2010" xfId="2395" xr:uid="{EC9A9B6C-40F8-4254-9932-A5BABD4E5DCE}"/>
    <cellStyle name="_Enersul Impacto LPT_FINAL_22_02_07_IRT_1" xfId="1555" xr:uid="{BF5666D6-877F-4BC7-9BF9-D55BE5E3683B}"/>
    <cellStyle name="_Enersul Impacto LPT_FINAL_22_02_07_IRT_1 2" xfId="2396" xr:uid="{DB3CD1A1-A0EF-4DC9-9D20-C2C9F52BACE8}"/>
    <cellStyle name="_Enersul Impacto LPT_FINAL_22_02_07_IRT_1_atualização serviços taxados" xfId="42838" xr:uid="{F475AF29-E382-4318-8091-235A5A329681}"/>
    <cellStyle name="_Enersul Impacto LPT_FINAL_22_02_07_IRT_1_Financeiro Desconto na TUSD Consumidores Livres Reajuste 2010 - 03_03_2010" xfId="42839" xr:uid="{BEE0F5CA-AD64-4086-8821-31461D375BD3}"/>
    <cellStyle name="_Enersul Impacto LPT_FINAL_22_02_07_IRT_1_Financeiro Desconto na TUSD Geradores Reajuste 2010 - 03_03_2010" xfId="42840" xr:uid="{3673BC38-63AE-4BD1-AEA7-1E2E33392122}"/>
    <cellStyle name="_Enersul Impacto LPT_FINAL_22_02_07_IRT_1_Financeiro Subsídio Baixa Renda Reajuste 2010 - 03_03_2010" xfId="42841" xr:uid="{69F912A8-FCC8-430D-8309-172CFCE2A354}"/>
    <cellStyle name="_Enersul Impacto LPT_FINAL_22_02_07_IRT_1_Financeiro Subsídio Rural Irrigante e Aquicultor Reajuste 2010 - 03_03_2010" xfId="42842" xr:uid="{2FA35429-0332-4C79-A815-66A04A59E80C}"/>
    <cellStyle name="_Enersul Impacto LPT_FINAL_22_02_07_IRT_1_IRT-cálculo" xfId="2397" xr:uid="{6E8F4734-FC0C-44F6-ABAE-AC8C1AE767A1}"/>
    <cellStyle name="_Enersul Impacto LPT_FINAL_22_02_07_IRT_1_IRT-cálculo CAPA NEUTRALIDADE" xfId="2398" xr:uid="{DBB62DDB-DEE9-4503-8C95-DD4E15C8F3FD}"/>
    <cellStyle name="_Enersul Impacto LPT_FINAL_22_02_07_IRT_1_SOBRECONTRATAÇÃO E CVA" xfId="2399" xr:uid="{265C8C6E-8719-443C-A408-51CED8E73D85}"/>
    <cellStyle name="_Enersul Impacto LPT_FINAL_22_02_07_IRT_Bragantina_maio_2009" xfId="2400" xr:uid="{70178D3C-E422-4A5F-BAC3-D62637831782}"/>
    <cellStyle name="_Enersul Impacto LPT_FINAL_22_02_07_IRT_Planilha Básica_DIRETORIA" xfId="2401" xr:uid="{09B2C1C1-2451-4D70-8B5B-FC3509E5E1BB}"/>
    <cellStyle name="_Enersul Impacto LPT_FINAL_22_02_07_IRT_Pleito" xfId="2402" xr:uid="{0211F631-4E1E-4EED-8893-CAC4D47611E5}"/>
    <cellStyle name="_Enersul Impacto LPT_FINAL_22_02_07_IRT_Pleito_IRT-cálculo" xfId="2403" xr:uid="{3841DE28-7EBF-4DE4-B045-9303056C1837}"/>
    <cellStyle name="_Enersul Impacto LPT_FINAL_22_02_07_IRT_Pleito_IRT-cálculo CAPA NEUTRALIDADE" xfId="2404" xr:uid="{8A67A96E-37C2-45FF-B9E5-4EC1FE4CE2C2}"/>
    <cellStyle name="_Enersul Impacto LPT_FINAL_22_02_07_IRT_Revisão A-1" xfId="2405" xr:uid="{8D936600-B9BC-4924-B4FD-898371691653}"/>
    <cellStyle name="_Enersul Impacto LPT_FINAL_22_02_07_IRT_Revisão A-1_IRT-cálculo" xfId="2406" xr:uid="{477607C8-95BE-4573-993E-59670E84FEF3}"/>
    <cellStyle name="_Enersul Impacto LPT_FINAL_22_02_07_IRT_Revisão A-1_IRT-cálculo CAPA NEUTRALIDADE" xfId="2407" xr:uid="{D750081A-2134-4C6E-9EE9-02C95B5A27CD}"/>
    <cellStyle name="_Enersul Impacto LPT_FINAL_22_02_07_IRT-cálculo" xfId="2408" xr:uid="{43B888C3-A109-4F60-948C-F10C33C58972}"/>
    <cellStyle name="_Enersul Impacto LPT_FINAL_22_02_07_IRT-cálculo CAPA NEUTRALIDADE" xfId="2409" xr:uid="{00F99DC3-83B8-4F80-B372-52ACED7B7A1C}"/>
    <cellStyle name="_Enersul Impacto LPT_FINAL_22_02_07_Pasta1" xfId="1556" xr:uid="{94CA206B-94B8-45B4-B168-673534C522FE}"/>
    <cellStyle name="_Enersul Impacto LPT_FINAL_22_02_07_Pasta1 2" xfId="2410" xr:uid="{0ACC454C-BE94-4D2C-9EA1-6F5733EB1FC3}"/>
    <cellStyle name="_Enersul Impacto LPT_FINAL_22_02_07_Pasta1_atualização serviços taxados" xfId="42843" xr:uid="{5E075B47-AD19-42F6-952A-19D9F3479127}"/>
    <cellStyle name="_Enersul Impacto LPT_FINAL_22_02_07_Pasta1_Financeiro Desconto na TUSD Consumidores Livres Reajuste 2010 - 03_03_2010" xfId="42844" xr:uid="{7C0483D9-4DE1-478D-9D52-0E551F63906B}"/>
    <cellStyle name="_Enersul Impacto LPT_FINAL_22_02_07_Pasta1_Financeiro Desconto na TUSD Geradores Reajuste 2010 - 03_03_2010" xfId="42845" xr:uid="{C1F263DA-9832-4116-AA5E-5C845D8A29AF}"/>
    <cellStyle name="_Enersul Impacto LPT_FINAL_22_02_07_Pasta1_Financeiro Subsídio Baixa Renda Reajuste 2010 - 03_03_2010" xfId="42846" xr:uid="{10E7EBB5-C135-463C-8200-8BDBA09F014F}"/>
    <cellStyle name="_Enersul Impacto LPT_FINAL_22_02_07_Pasta1_Financeiro Subsídio Rural Irrigante e Aquicultor Reajuste 2010 - 03_03_2010" xfId="42847" xr:uid="{15435051-62C9-4AA6-90F4-3FFD1EAB4908}"/>
    <cellStyle name="_Enersul Impacto LPT_FINAL_22_02_07_Pasta1_IRT-cálculo" xfId="2411" xr:uid="{93C6AA48-5FA7-44FA-B6DF-C1A9B8D05273}"/>
    <cellStyle name="_Enersul Impacto LPT_FINAL_22_02_07_Pasta1_IRT-cálculo CAPA NEUTRALIDADE" xfId="2412" xr:uid="{08C34D42-D59A-4E52-B293-8FC99CB679A3}"/>
    <cellStyle name="_Enersul Impacto LPT_FINAL_22_02_07_Pasta1_SOBRECONTRATAÇÃO E CVA" xfId="2413" xr:uid="{40CFB828-6D87-44F5-BF9F-3A2B197E8D3E}"/>
    <cellStyle name="_Enersul Impacto LPT_FINAL_22_02_07_Sheet1" xfId="2414" xr:uid="{40FBAFBB-7C19-4B24-8C55-08F739039C79}"/>
    <cellStyle name="_Enersul Impacto LPT_FINAL_22_02_07_Sheet2" xfId="2415" xr:uid="{CAC3E2BC-1A58-4D45-982C-A3A816FB5CD5}"/>
    <cellStyle name="_Enersul Impacto LPT_FINAL_22_02_07_SOBRECONTRATAÇÃO E CVA" xfId="2416" xr:uid="{5FFA1E6B-D193-41D5-A6E4-8C55CEFB9132}"/>
    <cellStyle name="_Enersul Impacto PLT v1" xfId="235" xr:uid="{71CDBDC1-4F59-48F0-BAE2-E5219D5DB304}"/>
    <cellStyle name="_Enersul Impacto PLT v1 2" xfId="934" xr:uid="{10B3CC42-A996-4B8E-854D-0734353B4FCA}"/>
    <cellStyle name="_Enersul Impacto PLT v1 3" xfId="2417" xr:uid="{3FDE33E8-B543-496F-A082-5CDF48153B68}"/>
    <cellStyle name="_Enersul Impacto PLT v1_2008.08.07 CELPA IRT2008 Homologado" xfId="2418" xr:uid="{664BAC86-36DB-4FCC-A0A8-0E1B46BAE7C1}"/>
    <cellStyle name="_Enersul Impacto PLT v1_2009.04.09 EEB IRT2009 Conexao CEMIG C Financeiro" xfId="2419" xr:uid="{3419F608-9518-4204-9803-7EFBA03E5C41}"/>
    <cellStyle name="_Enersul Impacto PLT v1_Ajuste SALDO CVA ANO ANTERIOR PÓS-REVISÃOx" xfId="2420" xr:uid="{4FF19ABB-5587-4426-8468-ED61C0D7E27D}"/>
    <cellStyle name="_Enersul Impacto PLT v1_atualização serviços taxados" xfId="42848" xr:uid="{6CC0FD74-2EE6-400B-9514-5DC9C5E0BDA1}"/>
    <cellStyle name="_Enersul Impacto PLT v1_Balanço" xfId="236" xr:uid="{514DC08C-BDA0-44F4-B0CC-2C4FF776CF3D}"/>
    <cellStyle name="_Enersul Impacto PLT v1_Balanço 2" xfId="1282" xr:uid="{5FB7F78D-474C-4343-9487-08B886576A7F}"/>
    <cellStyle name="_Enersul Impacto PLT v1_Cálculo do Financeiro do Baixa Renda" xfId="2421" xr:uid="{35905EF9-519F-4DC0-A716-04741FCFF893}"/>
    <cellStyle name="_Enersul Impacto PLT v1_Cálculo do Financeiro do Baixa Renda_IRT-cálculo" xfId="2422" xr:uid="{0F02E79E-788F-4534-8803-A130392555B1}"/>
    <cellStyle name="_Enersul Impacto PLT v1_Cálculo do Financeiro do Baixa Renda_IRT-cálculo CAPA NEUTRALIDADE" xfId="2423" xr:uid="{35D9B8A5-8C69-4BA1-A01E-E1AEB772E620}"/>
    <cellStyle name="_Enersul Impacto PLT v1_Calculo_Subsidio_ELFSM_26_06_08_Modelo_ANEEL" xfId="2424" xr:uid="{6E5302A3-8420-4619-8C83-2BF4D26A2152}"/>
    <cellStyle name="_Enersul Impacto PLT v1_Calculo_Subsidio_ELFSM_26_06_08_Modelo_ANEEL_IRT-cálculo" xfId="2425" xr:uid="{22D3FC14-4079-447C-B53F-D5F0F557BC18}"/>
    <cellStyle name="_Enersul Impacto PLT v1_Calculo_Subsidio_ELFSM_26_06_08_Modelo_ANEEL_IRT-cálculo CAPA NEUTRALIDADE" xfId="2426" xr:uid="{A7474176-DBAC-4AA2-9565-C49937AEC25E}"/>
    <cellStyle name="_Enersul Impacto PLT v1_casulo 15" xfId="237" xr:uid="{CAA08C35-3463-4867-9221-193EF83A53C9}"/>
    <cellStyle name="_Enersul Impacto PLT v1_casulo 5" xfId="238" xr:uid="{825AEB25-D5DD-4B98-A863-9838D14B8A9C}"/>
    <cellStyle name="_Enersul Impacto PLT v1_casulo 5 2" xfId="1283" xr:uid="{0A6CBC70-D9FC-4692-BC78-4A641CE2E5D3}"/>
    <cellStyle name="_Enersul Impacto PLT v1_casulo 5_Balanço" xfId="239" xr:uid="{BDB6FCEA-5BE0-475D-B37E-BFC815EE93C5}"/>
    <cellStyle name="_Enersul Impacto PLT v1_casulo 5_casulo 15" xfId="240" xr:uid="{95A9AA11-09B6-4F8E-8DD7-6A9CAE60F77F}"/>
    <cellStyle name="_Enersul Impacto PLT v1_casulo 5_IRT EEB 2010" xfId="2427" xr:uid="{4ACF53B8-0A7A-40F0-A4DA-8F6B0FBE30F5}"/>
    <cellStyle name="_Enersul Impacto PLT v1_Custo com Avaliação de Ativos para Base de Remuneração" xfId="2428" xr:uid="{298BAC64-8961-4BDD-A592-6D9349E49490}"/>
    <cellStyle name="_Enersul Impacto PLT v1_Custo com Avaliação de Ativos para Base de Remuneração_IRT-cálculo" xfId="2429" xr:uid="{E8F0FF9F-B25E-4F14-9B52-AA6BA7A50EDD}"/>
    <cellStyle name="_Enersul Impacto PLT v1_Custo com Avaliação de Ativos para Base de Remuneração_IRT-cálculo CAPA NEUTRALIDADE" xfId="2430" xr:uid="{F120A059-2A24-40C9-8067-4FD430190A05}"/>
    <cellStyle name="_Enersul Impacto PLT v1_Descontos CCC_CDE_PROINFA Nov_07_Out_08" xfId="2431" xr:uid="{F215A98E-69E5-4198-94A6-0C14E3D1547E}"/>
    <cellStyle name="_Enersul Impacto PLT v1_Descontos CCC_CDE_PROINFA Nov_07_Out_08_IRT-cálculo" xfId="2432" xr:uid="{4416954D-68BF-4C75-8ADE-2458FE91081D}"/>
    <cellStyle name="_Enersul Impacto PLT v1_Descontos CCC_CDE_PROINFA Nov_07_Out_08_IRT-cálculo CAPA NEUTRALIDADE" xfId="2433" xr:uid="{57226F6B-8EF5-49B3-B483-1932866D6085}"/>
    <cellStyle name="_Enersul Impacto PLT v1_Energia Comprada" xfId="2434" xr:uid="{27F34E6C-3CFA-4394-BFFC-1907BE46B438}"/>
    <cellStyle name="_Enersul Impacto PLT v1_Energia Comprada_IRT-cálculo" xfId="2435" xr:uid="{9A75F218-33D9-4EF2-B049-D13A07F2483D}"/>
    <cellStyle name="_Enersul Impacto PLT v1_Energia Comprada_IRT-cálculo CAPA NEUTRALIDADE" xfId="2436" xr:uid="{E6BC62C0-DF29-479D-AA4C-A63CBC86E95C}"/>
    <cellStyle name="_Enersul Impacto PLT v1_Fator Novo e Antigo 4 anos" xfId="2437" xr:uid="{353EFD97-0B8C-4ECA-8AA4-CCFB5CAC0CAD}"/>
    <cellStyle name="_Enersul Impacto PLT v1_Fator Novo e Antigo 4 anos_IRT-cálculo" xfId="42849" xr:uid="{054CE993-48FC-4241-B0EF-EFD22BEBDCD0}"/>
    <cellStyle name="_Enersul Impacto PLT v1_Fator X" xfId="1557" xr:uid="{DA587910-7BAF-4302-8507-6BD08153CE46}"/>
    <cellStyle name="_Enersul Impacto PLT v1_Fator X 2" xfId="2438" xr:uid="{A0EBA45A-5861-4CD6-BAC2-72407D0D83E5}"/>
    <cellStyle name="_Enersul Impacto PLT v1_Fator X_atualização serviços taxados" xfId="42850" xr:uid="{C87E4C95-949F-4F13-8CF9-E2D382471D04}"/>
    <cellStyle name="_Enersul Impacto PLT v1_Fator X_Financeiro Desconto na TUSD Consumidores Livres Reajuste 2010 - 03_03_2010" xfId="42851" xr:uid="{4A6BD106-8C6D-4673-9996-613ABCA27838}"/>
    <cellStyle name="_Enersul Impacto PLT v1_Fator X_Financeiro Desconto na TUSD Geradores Reajuste 2010 - 03_03_2010" xfId="42852" xr:uid="{FD988D0E-C332-4DE2-B2C8-21CB00475FCC}"/>
    <cellStyle name="_Enersul Impacto PLT v1_Fator X_Financeiro Subsídio Baixa Renda Reajuste 2010 - 03_03_2010" xfId="42853" xr:uid="{6B4DAA2F-3F7D-4585-83E6-E3645584445F}"/>
    <cellStyle name="_Enersul Impacto PLT v1_Fator X_Financeiro Subsídio Rural Irrigante e Aquicultor Reajuste 2010 - 03_03_2010" xfId="42854" xr:uid="{B303F791-FA18-4830-9BE9-65EBE5F04B6B}"/>
    <cellStyle name="_Enersul Impacto PLT v1_Fator X_IRT-cálculo" xfId="2439" xr:uid="{F848B030-8660-499C-AE11-BB591FDBCB34}"/>
    <cellStyle name="_Enersul Impacto PLT v1_Fator X_IRT-cálculo CAPA NEUTRALIDADE" xfId="2440" xr:uid="{B1C3A602-2034-4C0C-B9BB-99F17FCD82FA}"/>
    <cellStyle name="_Enersul Impacto PLT v1_Fator X_SOBRECONTRATAÇÃO E CVA" xfId="2441" xr:uid="{784BD136-408D-4449-BA94-65B07D6DBA1C}"/>
    <cellStyle name="_Enersul Impacto PLT v1_Financeiro Desconto na TUSD Consumidores Livres Reajuste 2010 - 03_03_2010" xfId="42855" xr:uid="{88695590-FCB9-46B8-BD9F-FB1B3B5DFD80}"/>
    <cellStyle name="_Enersul Impacto PLT v1_Financeiro Desconto na TUSD Geradores Reajuste 2010 - 03_03_2010" xfId="42856" xr:uid="{3F3E964B-FBEA-486A-B7F7-D0B39BE61A7F}"/>
    <cellStyle name="_Enersul Impacto PLT v1_Financeiro Subsídio Baixa Renda Reajuste 2010 - 03_03_2010" xfId="42857" xr:uid="{9A72E709-9D00-4FE5-A851-26D8AE6AB0C3}"/>
    <cellStyle name="_Enersul Impacto PLT v1_Financeiro Subsídio Rural Irrigante e Aquicultor Reajuste 2010 - 03_03_2010" xfId="42858" xr:uid="{F1BF0D3C-B34A-4216-876B-8491222C8974}"/>
    <cellStyle name="_Enersul Impacto PLT v1_IF - Autoprodutores 2" xfId="2442" xr:uid="{5D2B966D-4B70-4FC1-BDBE-FAC2BDB899D3}"/>
    <cellStyle name="_Enersul Impacto PLT v1_IF_Consumidores livres e geradoras_2010" xfId="2443" xr:uid="{D0B78425-5502-4B01-BC94-74FD91664300}"/>
    <cellStyle name="_Enersul Impacto PLT v1_IRT (2)" xfId="1558" xr:uid="{FC0EE8E4-5D15-4C06-8A8E-D57B84BFE2AB}"/>
    <cellStyle name="_Enersul Impacto PLT v1_IRT EEB 2010" xfId="2444" xr:uid="{2B48BA73-A5B0-4D1D-B80F-B1A20FE0ED4F}"/>
    <cellStyle name="_Enersul Impacto PLT v1_IRT_1" xfId="1559" xr:uid="{9E013B8C-091D-4291-BC8F-ADC4687DF13B}"/>
    <cellStyle name="_Enersul Impacto PLT v1_IRT_1 2" xfId="2445" xr:uid="{DF883A09-78C0-4720-AD45-7A41DCFD1AF3}"/>
    <cellStyle name="_Enersul Impacto PLT v1_IRT_1_atualização serviços taxados" xfId="42859" xr:uid="{EB1CABFD-60AF-4458-A741-873121BB6272}"/>
    <cellStyle name="_Enersul Impacto PLT v1_IRT_1_Financeiro Desconto na TUSD Consumidores Livres Reajuste 2010 - 03_03_2010" xfId="42860" xr:uid="{AE86AD5C-A4D8-401A-8A1B-DB0671295E36}"/>
    <cellStyle name="_Enersul Impacto PLT v1_IRT_1_Financeiro Desconto na TUSD Geradores Reajuste 2010 - 03_03_2010" xfId="42861" xr:uid="{633B2A3D-EDEF-4C90-8EA2-05D511561BC6}"/>
    <cellStyle name="_Enersul Impacto PLT v1_IRT_1_Financeiro Subsídio Baixa Renda Reajuste 2010 - 03_03_2010" xfId="42862" xr:uid="{E5343B36-B3C2-4C19-89EB-48922D01868A}"/>
    <cellStyle name="_Enersul Impacto PLT v1_IRT_1_Financeiro Subsídio Rural Irrigante e Aquicultor Reajuste 2010 - 03_03_2010" xfId="42863" xr:uid="{3653B0B0-1535-4773-B823-0EA4B258DD9B}"/>
    <cellStyle name="_Enersul Impacto PLT v1_IRT_1_IRT-cálculo" xfId="2446" xr:uid="{BFC3F924-F07D-4146-B625-017AA75C5168}"/>
    <cellStyle name="_Enersul Impacto PLT v1_IRT_1_IRT-cálculo CAPA NEUTRALIDADE" xfId="2447" xr:uid="{837BF2E1-37A3-48F8-B339-0119A751D1B4}"/>
    <cellStyle name="_Enersul Impacto PLT v1_IRT_1_SOBRECONTRATAÇÃO E CVA" xfId="2448" xr:uid="{7CA09F62-9055-47F6-AA8B-6F5DE138B449}"/>
    <cellStyle name="_Enersul Impacto PLT v1_IRT_Bragantina_maio_2009" xfId="2449" xr:uid="{57044F67-F1C1-4816-9C13-07342BCD23BE}"/>
    <cellStyle name="_Enersul Impacto PLT v1_IRT_Planilha Básica_DIRETORIA" xfId="2450" xr:uid="{B492C439-7C66-43E7-ADCD-76BDF72DC016}"/>
    <cellStyle name="_Enersul Impacto PLT v1_IRT_Pleito" xfId="2451" xr:uid="{67022A17-F6EF-4EF3-9354-5DACB39E8EFE}"/>
    <cellStyle name="_Enersul Impacto PLT v1_IRT_Pleito_IRT-cálculo" xfId="2452" xr:uid="{92DB8D56-B97A-4DEC-A4B9-D52FAB0182B2}"/>
    <cellStyle name="_Enersul Impacto PLT v1_IRT_Pleito_IRT-cálculo CAPA NEUTRALIDADE" xfId="2453" xr:uid="{A8C2B320-3F4F-4DD9-8985-E9CC5C9C9FBA}"/>
    <cellStyle name="_Enersul Impacto PLT v1_IRT_Revisão A-1" xfId="2454" xr:uid="{E93DFB23-6165-4086-A97B-B8A9707ADA1B}"/>
    <cellStyle name="_Enersul Impacto PLT v1_IRT_Revisão A-1_IRT-cálculo" xfId="2455" xr:uid="{2CD976ED-8A66-4854-87B9-FFA16AA19648}"/>
    <cellStyle name="_Enersul Impacto PLT v1_IRT_Revisão A-1_IRT-cálculo CAPA NEUTRALIDADE" xfId="2456" xr:uid="{2B3A7A61-EC24-41F6-987B-7B24593F3969}"/>
    <cellStyle name="_Enersul Impacto PLT v1_IRT-cálculo" xfId="2457" xr:uid="{4A1FD9C9-0664-4F10-9398-E30926CD5A69}"/>
    <cellStyle name="_Enersul Impacto PLT v1_IRT-cálculo CAPA NEUTRALIDADE" xfId="2458" xr:uid="{E19408DC-407A-418C-9573-7F8D6E770DF8}"/>
    <cellStyle name="_Enersul Impacto PLT v1_Pasta1" xfId="1560" xr:uid="{6DC22B37-B14D-4ECF-8212-C25F6B68BEDA}"/>
    <cellStyle name="_Enersul Impacto PLT v1_Pasta1 2" xfId="2459" xr:uid="{CA975292-E0CD-40E7-AA9E-5D26D65100C2}"/>
    <cellStyle name="_Enersul Impacto PLT v1_Pasta1_atualização serviços taxados" xfId="42864" xr:uid="{39991D8B-A7AA-42E5-B9FF-B40147D29F6B}"/>
    <cellStyle name="_Enersul Impacto PLT v1_Pasta1_Financeiro Desconto na TUSD Consumidores Livres Reajuste 2010 - 03_03_2010" xfId="42865" xr:uid="{B416FC40-C1CA-4421-840E-A3822C0C8E7F}"/>
    <cellStyle name="_Enersul Impacto PLT v1_Pasta1_Financeiro Desconto na TUSD Geradores Reajuste 2010 - 03_03_2010" xfId="42866" xr:uid="{B348D77F-528E-4863-8CD2-AD3E92577EE7}"/>
    <cellStyle name="_Enersul Impacto PLT v1_Pasta1_Financeiro Subsídio Baixa Renda Reajuste 2010 - 03_03_2010" xfId="42867" xr:uid="{3BDC7FB3-F1EF-4179-9E07-821B7E8F1E5D}"/>
    <cellStyle name="_Enersul Impacto PLT v1_Pasta1_Financeiro Subsídio Rural Irrigante e Aquicultor Reajuste 2010 - 03_03_2010" xfId="42868" xr:uid="{74812161-13F6-4850-B7B0-717FAC7C57DB}"/>
    <cellStyle name="_Enersul Impacto PLT v1_Pasta1_IRT-cálculo" xfId="2460" xr:uid="{FD8D6941-D5BC-45F6-B06B-B49C8FE60173}"/>
    <cellStyle name="_Enersul Impacto PLT v1_Pasta1_IRT-cálculo CAPA NEUTRALIDADE" xfId="2461" xr:uid="{1C1173FB-9C28-4807-A173-003E20183786}"/>
    <cellStyle name="_Enersul Impacto PLT v1_Pasta1_SOBRECONTRATAÇÃO E CVA" xfId="2462" xr:uid="{E06AC752-7E8E-47CA-A3A8-B66B4670C29D}"/>
    <cellStyle name="_Enersul Impacto PLT v1_Sheet1" xfId="2463" xr:uid="{92F9AB4F-760E-43F3-82D5-A6274DCD57AB}"/>
    <cellStyle name="_Enersul Impacto PLT v1_Sheet2" xfId="2464" xr:uid="{6D17A131-2B45-478F-881C-548C8225A427}"/>
    <cellStyle name="_Enersul Impacto PLT v1_SOBRECONTRATAÇÃO E CVA" xfId="2465" xr:uid="{8857A2DC-2E48-4E67-9B82-D3297D41AF95}"/>
    <cellStyle name="_ESCELSA_Anexo II_Carta_CT_CCRE_31_07_Itens_Financeiros" xfId="2466" xr:uid="{DF86CA67-D30B-4D71-ACF1-FDFA7ADF55BC}"/>
    <cellStyle name="_ESCELSA_Anexo II_Carta_CT_CCRE_31_07_Itens_Financeiros_IRT-cálculo" xfId="2467" xr:uid="{FDCFB13D-78C2-4969-A9E9-C9DB07D5332D}"/>
    <cellStyle name="_ESCELSA_Anexo II_Carta_CT_CCRE_31_07_Itens_Financeiros_IRT-cálculo CAPA NEUTRALIDADE" xfId="2468" xr:uid="{E41848B3-0A46-4E88-94ED-C13C244115A5}"/>
    <cellStyle name="_ESCELSA_RESPOSTA_OFÍCIO_325_DEFINITIVO" xfId="241" xr:uid="{916F92A3-6D5C-473B-9D5E-7FAFBA3459C4}"/>
    <cellStyle name="_ESCELSA_RESPOSTA_OFÍCIO_325_DEFINITIVO 2" xfId="935" xr:uid="{97E3F1D0-BA49-4BC5-9B1A-8DB67E41EDBF}"/>
    <cellStyle name="_ESCELSA_RESPOSTA_OFÍCIO_325_DEFINITIVO 3" xfId="2469" xr:uid="{AE42EEE8-18D9-4E4F-8DEC-F673D91C03CD}"/>
    <cellStyle name="_ESCELSA_RESPOSTA_OFÍCIO_325_DEFINITIVO_2008.08.07 CELPA IRT2008 Homologado" xfId="2470" xr:uid="{77031A95-1CEF-417B-82E1-964D08AA3A88}"/>
    <cellStyle name="_ESCELSA_RESPOSTA_OFÍCIO_325_DEFINITIVO_2009.04.09 EEB IRT2009 Conexao CEMIG C Financeiro" xfId="2471" xr:uid="{53A489BD-B087-4A51-AD6E-574108FECDE3}"/>
    <cellStyle name="_ESCELSA_RESPOSTA_OFÍCIO_325_DEFINITIVO_Ajuste SALDO CVA ANO ANTERIOR PÓS-REVISÃOx" xfId="2472" xr:uid="{640EF0CE-7C62-4707-93EA-727774A39626}"/>
    <cellStyle name="_ESCELSA_RESPOSTA_OFÍCIO_325_DEFINITIVO_atualização serviços taxados" xfId="42869" xr:uid="{C1B1774B-6AE1-428B-969F-40B346E82D2B}"/>
    <cellStyle name="_ESCELSA_RESPOSTA_OFÍCIO_325_DEFINITIVO_Balanço" xfId="242" xr:uid="{097462CB-BCF0-4F93-A07A-777564EB9E98}"/>
    <cellStyle name="_ESCELSA_RESPOSTA_OFÍCIO_325_DEFINITIVO_Balanço 2" xfId="1284" xr:uid="{3FE77DB0-4694-4E45-B1D1-94CE1210113F}"/>
    <cellStyle name="_ESCELSA_RESPOSTA_OFÍCIO_325_DEFINITIVO_Cálculo do Financeiro do Baixa Renda" xfId="2473" xr:uid="{67CF6B78-0FF0-4F33-B029-F97CECD15E79}"/>
    <cellStyle name="_ESCELSA_RESPOSTA_OFÍCIO_325_DEFINITIVO_Cálculo do Financeiro do Baixa Renda_IRT-cálculo" xfId="2474" xr:uid="{6E59F415-40FE-4704-8DAA-72BF4EB6C86A}"/>
    <cellStyle name="_ESCELSA_RESPOSTA_OFÍCIO_325_DEFINITIVO_Cálculo do Financeiro do Baixa Renda_IRT-cálculo CAPA NEUTRALIDADE" xfId="2475" xr:uid="{81D320C8-FF47-4A53-82D7-E06B5031108D}"/>
    <cellStyle name="_ESCELSA_RESPOSTA_OFÍCIO_325_DEFINITIVO_Calculo_Subsidio_ELFSM_26_06_08_Modelo_ANEEL" xfId="2476" xr:uid="{CB625167-C259-4F07-863D-209EE71448B8}"/>
    <cellStyle name="_ESCELSA_RESPOSTA_OFÍCIO_325_DEFINITIVO_Calculo_Subsidio_ELFSM_26_06_08_Modelo_ANEEL_IRT-cálculo" xfId="2477" xr:uid="{34AB6B57-5B61-4FEC-8CC1-DCDA5351FDCB}"/>
    <cellStyle name="_ESCELSA_RESPOSTA_OFÍCIO_325_DEFINITIVO_Calculo_Subsidio_ELFSM_26_06_08_Modelo_ANEEL_IRT-cálculo CAPA NEUTRALIDADE" xfId="2478" xr:uid="{2E55092A-7BA8-493D-8BFC-6D521C82F8BC}"/>
    <cellStyle name="_ESCELSA_RESPOSTA_OFÍCIO_325_DEFINITIVO_casulo 15" xfId="243" xr:uid="{81EE4293-576D-4FEF-BA9F-18906D0EEDE8}"/>
    <cellStyle name="_ESCELSA_RESPOSTA_OFÍCIO_325_DEFINITIVO_casulo 5" xfId="244" xr:uid="{26F28311-A386-4925-BE7A-1865E4138E99}"/>
    <cellStyle name="_ESCELSA_RESPOSTA_OFÍCIO_325_DEFINITIVO_casulo 5 2" xfId="1285" xr:uid="{1F70B4EA-0E01-43A3-99DA-AC923C70BED0}"/>
    <cellStyle name="_ESCELSA_RESPOSTA_OFÍCIO_325_DEFINITIVO_casulo 5_Balanço" xfId="245" xr:uid="{E13DE243-4CBF-4FFF-BBE6-770307150755}"/>
    <cellStyle name="_ESCELSA_RESPOSTA_OFÍCIO_325_DEFINITIVO_casulo 5_casulo 15" xfId="246" xr:uid="{CC1192EB-23F9-49A8-88A6-87406BBE701E}"/>
    <cellStyle name="_ESCELSA_RESPOSTA_OFÍCIO_325_DEFINITIVO_casulo 5_IRT EEB 2010" xfId="2479" xr:uid="{4CC9DB05-26EC-4671-8F4D-38FD87D56608}"/>
    <cellStyle name="_ESCELSA_RESPOSTA_OFÍCIO_325_DEFINITIVO_Custo com Avaliação de Ativos para Base de Remuneração" xfId="2480" xr:uid="{FCB94E5D-9F99-49CA-BFAB-CABAE3550EA1}"/>
    <cellStyle name="_ESCELSA_RESPOSTA_OFÍCIO_325_DEFINITIVO_Custo com Avaliação de Ativos para Base de Remuneração_IRT-cálculo" xfId="2481" xr:uid="{844031A9-4CBD-4DAE-8740-EFDBDA01F37E}"/>
    <cellStyle name="_ESCELSA_RESPOSTA_OFÍCIO_325_DEFINITIVO_Custo com Avaliação de Ativos para Base de Remuneração_IRT-cálculo CAPA NEUTRALIDADE" xfId="2482" xr:uid="{A462BA4E-051C-4A03-AD8E-1DC678ECC92E}"/>
    <cellStyle name="_ESCELSA_RESPOSTA_OFÍCIO_325_DEFINITIVO_Descontos CCC_CDE_PROINFA Nov_07_Out_08" xfId="2483" xr:uid="{5A86774E-FB10-4488-8056-9FD6212893BE}"/>
    <cellStyle name="_ESCELSA_RESPOSTA_OFÍCIO_325_DEFINITIVO_Descontos CCC_CDE_PROINFA Nov_07_Out_08_IRT-cálculo" xfId="2484" xr:uid="{F1A07330-CF71-49B2-9CFB-08DFC218D35A}"/>
    <cellStyle name="_ESCELSA_RESPOSTA_OFÍCIO_325_DEFINITIVO_Descontos CCC_CDE_PROINFA Nov_07_Out_08_IRT-cálculo CAPA NEUTRALIDADE" xfId="2485" xr:uid="{9118479D-04AF-4ED5-A4CF-D8219E11E4D2}"/>
    <cellStyle name="_ESCELSA_RESPOSTA_OFÍCIO_325_DEFINITIVO_Energia Comprada" xfId="2486" xr:uid="{5EF8A66D-2C5F-402E-9214-CC1C43100EB3}"/>
    <cellStyle name="_ESCELSA_RESPOSTA_OFÍCIO_325_DEFINITIVO_Energia Comprada_IRT-cálculo" xfId="2487" xr:uid="{647268E3-5439-4310-8D91-288C8582E790}"/>
    <cellStyle name="_ESCELSA_RESPOSTA_OFÍCIO_325_DEFINITIVO_Energia Comprada_IRT-cálculo CAPA NEUTRALIDADE" xfId="2488" xr:uid="{56392BC1-BE11-40B9-ADFF-577681B53832}"/>
    <cellStyle name="_ESCELSA_RESPOSTA_OFÍCIO_325_DEFINITIVO_Fator Novo e Antigo 4 anos" xfId="2489" xr:uid="{3CFB9FF3-7BBD-44A7-910A-93BE882A8A00}"/>
    <cellStyle name="_ESCELSA_RESPOSTA_OFÍCIO_325_DEFINITIVO_Fator Novo e Antigo 4 anos_IRT-cálculo" xfId="42870" xr:uid="{52323794-AE19-48B9-9501-B80DB0AD5B3B}"/>
    <cellStyle name="_ESCELSA_RESPOSTA_OFÍCIO_325_DEFINITIVO_Fator X" xfId="1561" xr:uid="{361E2BAF-70EC-4CA4-8D00-F026BCB02988}"/>
    <cellStyle name="_ESCELSA_RESPOSTA_OFÍCIO_325_DEFINITIVO_Fator X 2" xfId="2490" xr:uid="{E4A534E6-A233-417F-B4F3-56FAEF6A2884}"/>
    <cellStyle name="_ESCELSA_RESPOSTA_OFÍCIO_325_DEFINITIVO_Fator X_atualização serviços taxados" xfId="42871" xr:uid="{9A35FCA6-4AC8-4B0E-A754-047D14D1D031}"/>
    <cellStyle name="_ESCELSA_RESPOSTA_OFÍCIO_325_DEFINITIVO_Fator X_Financeiro Desconto na TUSD Consumidores Livres Reajuste 2010 - 03_03_2010" xfId="42872" xr:uid="{21642F89-EF65-4BE3-9BDF-C2119DE30864}"/>
    <cellStyle name="_ESCELSA_RESPOSTA_OFÍCIO_325_DEFINITIVO_Fator X_Financeiro Desconto na TUSD Geradores Reajuste 2010 - 03_03_2010" xfId="42873" xr:uid="{12195BD1-79D6-4344-9447-33D1DF4DFF6A}"/>
    <cellStyle name="_ESCELSA_RESPOSTA_OFÍCIO_325_DEFINITIVO_Fator X_Financeiro Subsídio Baixa Renda Reajuste 2010 - 03_03_2010" xfId="42874" xr:uid="{E57B011E-F2D0-45FD-83E4-7742D6E107B4}"/>
    <cellStyle name="_ESCELSA_RESPOSTA_OFÍCIO_325_DEFINITIVO_Fator X_Financeiro Subsídio Rural Irrigante e Aquicultor Reajuste 2010 - 03_03_2010" xfId="42875" xr:uid="{584386B5-34CD-4881-A3BD-B753E9709C8B}"/>
    <cellStyle name="_ESCELSA_RESPOSTA_OFÍCIO_325_DEFINITIVO_Fator X_IRT-cálculo" xfId="2491" xr:uid="{90E0BD8C-89DF-4850-9D90-508438BBC453}"/>
    <cellStyle name="_ESCELSA_RESPOSTA_OFÍCIO_325_DEFINITIVO_Fator X_IRT-cálculo CAPA NEUTRALIDADE" xfId="2492" xr:uid="{714FD267-86C9-42B9-A9A9-1B8A14DA6961}"/>
    <cellStyle name="_ESCELSA_RESPOSTA_OFÍCIO_325_DEFINITIVO_Fator X_SOBRECONTRATAÇÃO E CVA" xfId="2493" xr:uid="{6A181E36-979C-4EF4-8668-EF800346A5FF}"/>
    <cellStyle name="_ESCELSA_RESPOSTA_OFÍCIO_325_DEFINITIVO_Financeiro Desconto na TUSD Consumidores Livres Reajuste 2010 - 03_03_2010" xfId="42876" xr:uid="{89BD0848-0D4B-40E7-8617-60A96ECA5B26}"/>
    <cellStyle name="_ESCELSA_RESPOSTA_OFÍCIO_325_DEFINITIVO_Financeiro Desconto na TUSD Geradores Reajuste 2010 - 03_03_2010" xfId="42877" xr:uid="{9AE36DA4-AC67-4D15-9239-C08E0637CB5A}"/>
    <cellStyle name="_ESCELSA_RESPOSTA_OFÍCIO_325_DEFINITIVO_Financeiro Subsídio Baixa Renda Reajuste 2010 - 03_03_2010" xfId="42878" xr:uid="{D6CAFEC0-3378-4B36-A4A9-29FFE13DBBEF}"/>
    <cellStyle name="_ESCELSA_RESPOSTA_OFÍCIO_325_DEFINITIVO_Financeiro Subsídio Rural Irrigante e Aquicultor Reajuste 2010 - 03_03_2010" xfId="42879" xr:uid="{47AC2B44-B980-41B7-9632-14D32E813F61}"/>
    <cellStyle name="_ESCELSA_RESPOSTA_OFÍCIO_325_DEFINITIVO_IF - Autoprodutores 2" xfId="2494" xr:uid="{810BE28D-BAD8-4D92-8912-BB5F9FB474C4}"/>
    <cellStyle name="_ESCELSA_RESPOSTA_OFÍCIO_325_DEFINITIVO_IF_Consumidores livres e geradoras_2010" xfId="2495" xr:uid="{3ED9793A-30B7-4538-B51F-4004F1E9A8F8}"/>
    <cellStyle name="_ESCELSA_RESPOSTA_OFÍCIO_325_DEFINITIVO_IRT (2)" xfId="1562" xr:uid="{F6D57F4B-A2CF-4345-9949-55CBFD2B15AE}"/>
    <cellStyle name="_ESCELSA_RESPOSTA_OFÍCIO_325_DEFINITIVO_IRT EEB 2010" xfId="2496" xr:uid="{DB35C808-C541-4A51-AA95-12AB879964E9}"/>
    <cellStyle name="_ESCELSA_RESPOSTA_OFÍCIO_325_DEFINITIVO_IRT_1" xfId="1563" xr:uid="{3A33609A-DFF3-439A-BEAC-0784B41CCE8F}"/>
    <cellStyle name="_ESCELSA_RESPOSTA_OFÍCIO_325_DEFINITIVO_IRT_1 2" xfId="2497" xr:uid="{0F9882A3-CE39-458A-B555-B8D0F8433525}"/>
    <cellStyle name="_ESCELSA_RESPOSTA_OFÍCIO_325_DEFINITIVO_IRT_1_atualização serviços taxados" xfId="42880" xr:uid="{E463696E-DBDC-4BD8-960F-4E69E6415CF4}"/>
    <cellStyle name="_ESCELSA_RESPOSTA_OFÍCIO_325_DEFINITIVO_IRT_1_Financeiro Desconto na TUSD Consumidores Livres Reajuste 2010 - 03_03_2010" xfId="42881" xr:uid="{D0C4DD6A-6DD5-4984-8770-1CA1FA541D29}"/>
    <cellStyle name="_ESCELSA_RESPOSTA_OFÍCIO_325_DEFINITIVO_IRT_1_Financeiro Desconto na TUSD Geradores Reajuste 2010 - 03_03_2010" xfId="42882" xr:uid="{90288814-5BEE-42D8-A779-239346642902}"/>
    <cellStyle name="_ESCELSA_RESPOSTA_OFÍCIO_325_DEFINITIVO_IRT_1_Financeiro Subsídio Baixa Renda Reajuste 2010 - 03_03_2010" xfId="42883" xr:uid="{818F9BA4-9DE0-4E71-9840-6B6B3BB7DB89}"/>
    <cellStyle name="_ESCELSA_RESPOSTA_OFÍCIO_325_DEFINITIVO_IRT_1_Financeiro Subsídio Rural Irrigante e Aquicultor Reajuste 2010 - 03_03_2010" xfId="42884" xr:uid="{FE6D8D9D-22B7-4217-8405-B91C0EC7820D}"/>
    <cellStyle name="_ESCELSA_RESPOSTA_OFÍCIO_325_DEFINITIVO_IRT_1_IRT-cálculo" xfId="2498" xr:uid="{0613235A-2264-4A57-BD69-EA5479EDF5CE}"/>
    <cellStyle name="_ESCELSA_RESPOSTA_OFÍCIO_325_DEFINITIVO_IRT_1_IRT-cálculo CAPA NEUTRALIDADE" xfId="2499" xr:uid="{33DDAE19-8BBF-42C0-9D5E-48057998638E}"/>
    <cellStyle name="_ESCELSA_RESPOSTA_OFÍCIO_325_DEFINITIVO_IRT_1_SOBRECONTRATAÇÃO E CVA" xfId="2500" xr:uid="{6A17309B-6DDB-430E-AAB9-5104A6976169}"/>
    <cellStyle name="_ESCELSA_RESPOSTA_OFÍCIO_325_DEFINITIVO_IRT_Bragantina_maio_2009" xfId="2501" xr:uid="{EC55FF61-1B26-4C1F-9578-D5044E3E9349}"/>
    <cellStyle name="_ESCELSA_RESPOSTA_OFÍCIO_325_DEFINITIVO_IRT_Planilha Básica_DIRETORIA" xfId="2502" xr:uid="{C3B7E7CB-D79F-48D5-8FFB-6601B1D369AA}"/>
    <cellStyle name="_ESCELSA_RESPOSTA_OFÍCIO_325_DEFINITIVO_IRT_Pleito" xfId="2503" xr:uid="{64997DFC-847A-483F-BB6C-A3AA0F7F1F19}"/>
    <cellStyle name="_ESCELSA_RESPOSTA_OFÍCIO_325_DEFINITIVO_IRT_Pleito_IRT-cálculo" xfId="2504" xr:uid="{BF06B1E3-E1E6-4281-B22E-D63466CD1470}"/>
    <cellStyle name="_ESCELSA_RESPOSTA_OFÍCIO_325_DEFINITIVO_IRT_Pleito_IRT-cálculo CAPA NEUTRALIDADE" xfId="2505" xr:uid="{8CBB676F-0C9E-4D57-A047-2476B0F215E1}"/>
    <cellStyle name="_ESCELSA_RESPOSTA_OFÍCIO_325_DEFINITIVO_IRT_Revisão A-1" xfId="2506" xr:uid="{365905FA-FD35-4E8F-AB17-6CB490143B37}"/>
    <cellStyle name="_ESCELSA_RESPOSTA_OFÍCIO_325_DEFINITIVO_IRT_Revisão A-1_IRT-cálculo" xfId="2507" xr:uid="{9F6DA1A7-7F39-4A43-A509-61A2BDB08762}"/>
    <cellStyle name="_ESCELSA_RESPOSTA_OFÍCIO_325_DEFINITIVO_IRT_Revisão A-1_IRT-cálculo CAPA NEUTRALIDADE" xfId="2508" xr:uid="{D7E20F88-E197-4F92-ABD1-78E95ECF4E1A}"/>
    <cellStyle name="_ESCELSA_RESPOSTA_OFÍCIO_325_DEFINITIVO_IRT-cálculo" xfId="2509" xr:uid="{B4996094-B902-4E65-844C-D9F8C5A268FE}"/>
    <cellStyle name="_ESCELSA_RESPOSTA_OFÍCIO_325_DEFINITIVO_IRT-cálculo CAPA NEUTRALIDADE" xfId="2510" xr:uid="{1315A77F-7FDF-40F7-9791-346DC520C1F4}"/>
    <cellStyle name="_ESCELSA_RESPOSTA_OFÍCIO_325_DEFINITIVO_Pasta1" xfId="1564" xr:uid="{4DD66429-195B-4C14-BAC1-74159543C9FF}"/>
    <cellStyle name="_ESCELSA_RESPOSTA_OFÍCIO_325_DEFINITIVO_Pasta1 2" xfId="2511" xr:uid="{034523AE-1EFC-4426-825B-67378380728A}"/>
    <cellStyle name="_ESCELSA_RESPOSTA_OFÍCIO_325_DEFINITIVO_Pasta1_atualização serviços taxados" xfId="42885" xr:uid="{093ECF6B-D882-4E4B-8D53-D456148A9D63}"/>
    <cellStyle name="_ESCELSA_RESPOSTA_OFÍCIO_325_DEFINITIVO_Pasta1_Financeiro Desconto na TUSD Consumidores Livres Reajuste 2010 - 03_03_2010" xfId="42886" xr:uid="{D7F22ED8-D452-41D0-AE38-C236C294D4EE}"/>
    <cellStyle name="_ESCELSA_RESPOSTA_OFÍCIO_325_DEFINITIVO_Pasta1_Financeiro Desconto na TUSD Geradores Reajuste 2010 - 03_03_2010" xfId="42887" xr:uid="{8170E002-8D93-4FF0-9BBF-7F8E7208ED28}"/>
    <cellStyle name="_ESCELSA_RESPOSTA_OFÍCIO_325_DEFINITIVO_Pasta1_Financeiro Subsídio Baixa Renda Reajuste 2010 - 03_03_2010" xfId="42888" xr:uid="{CAD5733B-6F92-4D1B-9D5B-CDAF6DC373CB}"/>
    <cellStyle name="_ESCELSA_RESPOSTA_OFÍCIO_325_DEFINITIVO_Pasta1_Financeiro Subsídio Rural Irrigante e Aquicultor Reajuste 2010 - 03_03_2010" xfId="42889" xr:uid="{F521DA0F-483B-4F77-8C75-70A0C19E2890}"/>
    <cellStyle name="_ESCELSA_RESPOSTA_OFÍCIO_325_DEFINITIVO_Pasta1_IRT-cálculo" xfId="2512" xr:uid="{97A26D17-2016-41E5-97C0-80966C3A8477}"/>
    <cellStyle name="_ESCELSA_RESPOSTA_OFÍCIO_325_DEFINITIVO_Pasta1_IRT-cálculo CAPA NEUTRALIDADE" xfId="2513" xr:uid="{583234F7-3276-4A49-8F35-488964B84B86}"/>
    <cellStyle name="_ESCELSA_RESPOSTA_OFÍCIO_325_DEFINITIVO_Pasta1_SOBRECONTRATAÇÃO E CVA" xfId="2514" xr:uid="{6D4BD9FC-F487-4F08-B0BA-8EFC00F30A7E}"/>
    <cellStyle name="_ESCELSA_RESPOSTA_OFÍCIO_325_DEFINITIVO_Sheet1" xfId="2515" xr:uid="{BF0CC5F0-3ACC-4F91-83DD-4BD81AF4AB0F}"/>
    <cellStyle name="_ESCELSA_RESPOSTA_OFÍCIO_325_DEFINITIVO_Sheet2" xfId="2516" xr:uid="{58DAB500-83F8-4957-9B49-55464BC9FB0B}"/>
    <cellStyle name="_ESCELSA_RESPOSTA_OFÍCIO_325_DEFINITIVO_SOBRECONTRATAÇÃO E CVA" xfId="2517" xr:uid="{79D91C46-9B4E-4102-9363-88F89031D044}"/>
    <cellStyle name="_Exposição" xfId="1565" xr:uid="{16ED0AF1-504C-4CF0-8252-01035C86174D}"/>
    <cellStyle name="_Fator Novo e Antigo 4 anos" xfId="2518" xr:uid="{C5C60E94-2CFA-4B80-91A6-397192FE750D}"/>
    <cellStyle name="_Fator Novo e Antigo 4 anos_IRT-cálculo" xfId="42890" xr:uid="{D52285CE-0E9E-4B14-98E7-96C434CB7E3F}"/>
    <cellStyle name="_Fiança EMG" xfId="2519" xr:uid="{3805C15D-C137-4500-88AA-42FCD01C9DC1}"/>
    <cellStyle name="_Fiança ESE" xfId="2520" xr:uid="{C8E8B501-15FF-4ABE-84F3-C4CA25E6AA4C}"/>
    <cellStyle name="_Financeiro Desconto na TUSD Consumidores Livres Reajuste 2010 - 03_03_2010" xfId="42891" xr:uid="{DA590723-6361-47C0-A0F0-523CD8713D94}"/>
    <cellStyle name="_Financeiro Desconto na TUSD Geradores Reajuste 2010 - 03_03_2010" xfId="42892" xr:uid="{DD76AF84-3D03-434C-A8B5-F6F5B165F098}"/>
    <cellStyle name="_Financeiro Subsídio Baixa Renda Reajuste 2010 - 03_03_2010" xfId="42893" xr:uid="{CD10703B-0169-4A4E-8FF7-4FC20F398B8D}"/>
    <cellStyle name="_Financeiro Subsídio Rural Irrigante e Aquicultor Reajuste 2010 - 03_03_2010" xfId="42894" xr:uid="{46575CDD-D799-4640-9CF4-09A7B7BEDEC6}"/>
    <cellStyle name="_Financiamento-Eletrobras Roger-Sergio-1-1" xfId="2521" xr:uid="{6CF2EF1D-6C0C-4757-AF73-41A162896A60}"/>
    <cellStyle name="_FR CHESFxCeal, Cepisa e Saelpa-2005-protegida" xfId="247" xr:uid="{BDD92B5E-C10C-4C97-A656-F8184DA7140F}"/>
    <cellStyle name="_FR CHESFxCeal, Cepisa e Saelpa-2005-protegida 2" xfId="1286" xr:uid="{EC0A6D4B-D5CD-4E50-86C9-B81C094170E6}"/>
    <cellStyle name="_FR CHESFxCeal, Cepisa e Saelpa-2005-protegida_2009.04.09 EEB IRT2009 Conexao CEMIG C Financeiro" xfId="2522" xr:uid="{A8CB7F72-7FE4-4670-A24C-4E15E606BA03}"/>
    <cellStyle name="_FR CHESFxCeal, Cepisa e Saelpa-2005-protegida_atualização serviços taxados" xfId="42895" xr:uid="{CE5A17B3-5E4E-4745-ABEE-72BBF89744E6}"/>
    <cellStyle name="_FR CHESFxCeal, Cepisa e Saelpa-2005-protegida_Balanço" xfId="248" xr:uid="{2A10B910-2B89-464C-99C5-4B54D7642E3D}"/>
    <cellStyle name="_FR CHESFxCeal, Cepisa e Saelpa-2005-protegida_Balanço 2" xfId="1287" xr:uid="{BBB27863-31CA-4850-AF51-93A0D496DE74}"/>
    <cellStyle name="_FR CHESFxCeal, Cepisa e Saelpa-2005-protegida_Calculo_Subsidio_ELFSM_26_06_08_Modelo_ANEEL" xfId="2523" xr:uid="{67BCBFD7-3D32-451C-A9D2-E374406B0910}"/>
    <cellStyle name="_FR CHESFxCeal, Cepisa e Saelpa-2005-protegida_Calculo_Subsidio_ELFSM_26_06_08_Modelo_ANEEL_IRT-cálculo" xfId="2524" xr:uid="{C877AA03-98AB-4D00-BA54-08CD64CD3FFB}"/>
    <cellStyle name="_FR CHESFxCeal, Cepisa e Saelpa-2005-protegida_Calculo_Subsidio_ELFSM_26_06_08_Modelo_ANEEL_IRT-cálculo CAPA NEUTRALIDADE" xfId="2525" xr:uid="{F03C2B95-820C-4067-8E79-01B9134859DC}"/>
    <cellStyle name="_FR CHESFxCeal, Cepisa e Saelpa-2005-protegida_casulo 15" xfId="249" xr:uid="{66FF8169-795A-40CD-883A-4722F80BF1C7}"/>
    <cellStyle name="_FR CHESFxCeal, Cepisa e Saelpa-2005-protegida_casulo 5" xfId="250" xr:uid="{533A6B29-73BD-4274-8F5A-34D57D701B1B}"/>
    <cellStyle name="_FR CHESFxCeal, Cepisa e Saelpa-2005-protegida_casulo 5 2" xfId="1288" xr:uid="{A60DEFA1-9875-4159-8D42-D8DBF36D27F1}"/>
    <cellStyle name="_FR CHESFxCeal, Cepisa e Saelpa-2005-protegida_casulo 5_Balanço" xfId="251" xr:uid="{D24BE7DD-5448-4E25-B9B3-4A4EA304F7FA}"/>
    <cellStyle name="_FR CHESFxCeal, Cepisa e Saelpa-2005-protegida_casulo 5_casulo 15" xfId="252" xr:uid="{B8699E54-4338-4ECD-890D-14C604F5CF57}"/>
    <cellStyle name="_FR CHESFxCeal, Cepisa e Saelpa-2005-protegida_casulo 5_IRT EEB 2010" xfId="2526" xr:uid="{E7CA73A9-9A93-40BE-BF84-AC2B2C3E1B89}"/>
    <cellStyle name="_FR CHESFxCeal, Cepisa e Saelpa-2005-protegida_CVA Borborema 2010 - Fiscalizada Final" xfId="2527" xr:uid="{3C4DCF44-68D2-44C7-92DD-786E0D3E930D}"/>
    <cellStyle name="_FR CHESFxCeal, Cepisa e Saelpa-2005-protegida_CVA e Subsídios fiscalização ESCELSA_08_07_2009 v3 SRE" xfId="2528" xr:uid="{9D720482-E689-4DEF-9FF3-9C22758D1287}"/>
    <cellStyle name="_FR CHESFxCeal, Cepisa e Saelpa-2005-protegida_CVA Outros Componentes PROVISÃO" xfId="2529" xr:uid="{D7878BA3-00DD-4729-B004-75992309A632}"/>
    <cellStyle name="_FR CHESFxCeal, Cepisa e Saelpa-2005-protegida_CVA_Projetada até dez-2008_Setembro" xfId="2530" xr:uid="{15356B71-EFAC-451F-B6B2-62757BDF5C66}"/>
    <cellStyle name="_FR CHESFxCeal, Cepisa e Saelpa-2005-protegida_Energia Comprada" xfId="2531" xr:uid="{D411B2B8-BEA5-452F-849F-F12227B00EF4}"/>
    <cellStyle name="_FR CHESFxCeal, Cepisa e Saelpa-2005-protegida_Energia Comprada_IRT-cálculo" xfId="2532" xr:uid="{28DF35A9-E29B-4F5E-AD79-F0F24C5969DC}"/>
    <cellStyle name="_FR CHESFxCeal, Cepisa e Saelpa-2005-protegida_Energia Comprada_IRT-cálculo CAPA NEUTRALIDADE" xfId="2533" xr:uid="{96B76FA6-491A-4D44-871D-DA0F00919E06}"/>
    <cellStyle name="_FR CHESFxCeal, Cepisa e Saelpa-2005-protegida_Fator X" xfId="1566" xr:uid="{E4EC4AA4-83F6-419A-9316-6A558A305389}"/>
    <cellStyle name="_FR CHESFxCeal, Cepisa e Saelpa-2005-protegida_Fator X 2" xfId="2534" xr:uid="{126CB8EF-A4F6-485F-B99E-9445D4E61497}"/>
    <cellStyle name="_FR CHESFxCeal, Cepisa e Saelpa-2005-protegida_Fator X_atualização serviços taxados" xfId="42896" xr:uid="{ACB0801C-52C4-4892-B07F-0786ABF5FC68}"/>
    <cellStyle name="_FR CHESFxCeal, Cepisa e Saelpa-2005-protegida_Fator X_Financeiro Desconto na TUSD Consumidores Livres Reajuste 2010 - 03_03_2010" xfId="42897" xr:uid="{0815998F-1E1C-4FE8-97D5-DDF890832866}"/>
    <cellStyle name="_FR CHESFxCeal, Cepisa e Saelpa-2005-protegida_Fator X_Financeiro Desconto na TUSD Geradores Reajuste 2010 - 03_03_2010" xfId="42898" xr:uid="{7DCCEED1-B9BD-44DA-829A-01B32DA138F5}"/>
    <cellStyle name="_FR CHESFxCeal, Cepisa e Saelpa-2005-protegida_Fator X_Financeiro Subsídio Baixa Renda Reajuste 2010 - 03_03_2010" xfId="42899" xr:uid="{AD7BAA22-A1DC-4223-A69F-3FE7E9551F6B}"/>
    <cellStyle name="_FR CHESFxCeal, Cepisa e Saelpa-2005-protegida_Fator X_Financeiro Subsídio Rural Irrigante e Aquicultor Reajuste 2010 - 03_03_2010" xfId="42900" xr:uid="{BF8E2FAA-4945-49A0-AAAF-E45B0C344E5A}"/>
    <cellStyle name="_FR CHESFxCeal, Cepisa e Saelpa-2005-protegida_Fator X_IRT-cálculo" xfId="2535" xr:uid="{FF1FE4D6-1EC9-4C80-926D-C12B7BD8616E}"/>
    <cellStyle name="_FR CHESFxCeal, Cepisa e Saelpa-2005-protegida_Fator X_IRT-cálculo CAPA NEUTRALIDADE" xfId="2536" xr:uid="{35B40488-14BE-4E24-93F2-D9DCBF2BF82F}"/>
    <cellStyle name="_FR CHESFxCeal, Cepisa e Saelpa-2005-protegida_Fator X_SOBRECONTRATAÇÃO E CVA" xfId="2537" xr:uid="{56B522B4-CB55-4269-BAFD-1685B677E2B6}"/>
    <cellStyle name="_FR CHESFxCeal, Cepisa e Saelpa-2005-protegida_Financeiro Desconto na TUSD Consumidores Livres Reajuste 2010 - 03_03_2010" xfId="42901" xr:uid="{802A7940-29B0-417A-8A5C-EC429E7C11C8}"/>
    <cellStyle name="_FR CHESFxCeal, Cepisa e Saelpa-2005-protegida_Financeiro Desconto na TUSD Geradores Reajuste 2010 - 03_03_2010" xfId="42902" xr:uid="{32E3A30C-2A12-4E79-9338-0737C3227DB4}"/>
    <cellStyle name="_FR CHESFxCeal, Cepisa e Saelpa-2005-protegida_Financeiro Subsídio Baixa Renda Reajuste 2010 - 03_03_2010" xfId="42903" xr:uid="{8536208C-73E8-4E8D-898E-4224052B9145}"/>
    <cellStyle name="_FR CHESFxCeal, Cepisa e Saelpa-2005-protegida_Financeiro Subsídio Rural Irrigante e Aquicultor Reajuste 2010 - 03_03_2010" xfId="42904" xr:uid="{74004873-B00B-4F79-BAEE-6BBEC012E040}"/>
    <cellStyle name="_FR CHESFxCeal, Cepisa e Saelpa-2005-protegida_IF - Autoprodutores 2" xfId="2538" xr:uid="{C307CC37-5C98-481B-9424-6E3CFA69D43F}"/>
    <cellStyle name="_FR CHESFxCeal, Cepisa e Saelpa-2005-protegida_IF_Consumidores livres e geradoras_2010" xfId="2539" xr:uid="{99C05D81-FA49-457B-8A21-BA6CB4C2243F}"/>
    <cellStyle name="_FR CHESFxCeal, Cepisa e Saelpa-2005-protegida_IRT (2)" xfId="1567" xr:uid="{BB22D06C-E71B-4EF1-BF41-26FC17D2844F}"/>
    <cellStyle name="_FR CHESFxCeal, Cepisa e Saelpa-2005-protegida_IRT EEB 2010" xfId="2540" xr:uid="{31206F5B-8AA3-4612-B81F-A91A16A01D13}"/>
    <cellStyle name="_FR CHESFxCeal, Cepisa e Saelpa-2005-protegida_IRT_1" xfId="1568" xr:uid="{AA688EBE-BB12-4168-81A5-17097F40ED26}"/>
    <cellStyle name="_FR CHESFxCeal, Cepisa e Saelpa-2005-protegida_IRT_1 2" xfId="2541" xr:uid="{E9E36E5F-CA38-4649-BFD0-376F4AF084A0}"/>
    <cellStyle name="_FR CHESFxCeal, Cepisa e Saelpa-2005-protegida_IRT_1_atualização serviços taxados" xfId="42905" xr:uid="{45D95F59-20D3-4371-8819-EDA7E85807C8}"/>
    <cellStyle name="_FR CHESFxCeal, Cepisa e Saelpa-2005-protegida_IRT_1_Financeiro Desconto na TUSD Consumidores Livres Reajuste 2010 - 03_03_2010" xfId="42906" xr:uid="{B2FEE67D-38B1-4B0D-A1B6-4613FF024D02}"/>
    <cellStyle name="_FR CHESFxCeal, Cepisa e Saelpa-2005-protegida_IRT_1_Financeiro Desconto na TUSD Geradores Reajuste 2010 - 03_03_2010" xfId="42907" xr:uid="{3E88AFC1-389D-43CA-BDEA-9EE823EA3388}"/>
    <cellStyle name="_FR CHESFxCeal, Cepisa e Saelpa-2005-protegida_IRT_1_Financeiro Subsídio Baixa Renda Reajuste 2010 - 03_03_2010" xfId="42908" xr:uid="{7C316408-88C0-4831-AB4A-D01941BAF865}"/>
    <cellStyle name="_FR CHESFxCeal, Cepisa e Saelpa-2005-protegida_IRT_1_Financeiro Subsídio Rural Irrigante e Aquicultor Reajuste 2010 - 03_03_2010" xfId="42909" xr:uid="{6E854678-C370-41E9-9B6C-4B74D4B74544}"/>
    <cellStyle name="_FR CHESFxCeal, Cepisa e Saelpa-2005-protegida_IRT_1_IRT-cálculo" xfId="2542" xr:uid="{E29F742D-944F-418C-8AD7-FC09BB5FDCD0}"/>
    <cellStyle name="_FR CHESFxCeal, Cepisa e Saelpa-2005-protegida_IRT_1_IRT-cálculo CAPA NEUTRALIDADE" xfId="2543" xr:uid="{A38F45F1-793A-4243-9B1F-A5220B3362BB}"/>
    <cellStyle name="_FR CHESFxCeal, Cepisa e Saelpa-2005-protegida_IRT_1_SOBRECONTRATAÇÃO E CVA" xfId="2544" xr:uid="{76335D29-2E01-4F75-83C1-AC0F486375A3}"/>
    <cellStyle name="_FR CHESFxCeal, Cepisa e Saelpa-2005-protegida_IRT_Bragantina_maio_2009" xfId="2545" xr:uid="{70951B39-976C-4A74-9E74-AE528651FF0D}"/>
    <cellStyle name="_FR CHESFxCeal, Cepisa e Saelpa-2005-protegida_IRT_Planilha Básica_ CETRIL" xfId="253" xr:uid="{F3084A8F-3C65-453E-9911-1D84F42C76CD}"/>
    <cellStyle name="_FR CHESFxCeal, Cepisa e Saelpa-2005-protegida_IRT_Planilha Básica_ CETRIL 2" xfId="1289" xr:uid="{C717F2DF-362D-42F1-A6AB-F0CE66E91552}"/>
    <cellStyle name="_FR CHESFxCeal, Cepisa e Saelpa-2005-protegida_IRT_Planilha Básica_ CETRIL_Balanço" xfId="254" xr:uid="{64EA44B7-FB94-4BC0-8E73-F1086CF98A6B}"/>
    <cellStyle name="_FR CHESFxCeal, Cepisa e Saelpa-2005-protegida_IRT_Planilha Básica_ CETRIL_casulo 15" xfId="255" xr:uid="{C45682FF-293E-462E-B1C9-2D04BE4E1013}"/>
    <cellStyle name="_FR CHESFxCeal, Cepisa e Saelpa-2005-protegida_IRT_Planilha Básica_ CETRIL_IRT EEB 2010" xfId="2546" xr:uid="{2547345A-B6DD-4743-9986-C75D27127056}"/>
    <cellStyle name="_FR CHESFxCeal, Cepisa e Saelpa-2005-protegida_IRT_Planilha Básica_DIRETORIA" xfId="2547" xr:uid="{05861532-17ED-4F00-A3CC-7116DEB7C754}"/>
    <cellStyle name="_FR CHESFxCeal, Cepisa e Saelpa-2005-protegida_IRT_Pleito" xfId="2548" xr:uid="{72E77393-6ED0-43E3-87AE-10C1BB7B32D3}"/>
    <cellStyle name="_FR CHESFxCeal, Cepisa e Saelpa-2005-protegida_IRT_Pleito_IRT-cálculo" xfId="2549" xr:uid="{EBA6DBAA-268D-4BC3-832A-658E1E305EF7}"/>
    <cellStyle name="_FR CHESFxCeal, Cepisa e Saelpa-2005-protegida_IRT_Pleito_IRT-cálculo CAPA NEUTRALIDADE" xfId="2550" xr:uid="{CAF7BE06-5DF0-437D-8F4C-33BABE044A86}"/>
    <cellStyle name="_FR CHESFxCeal, Cepisa e Saelpa-2005-protegida_IRT_Revisão A-1" xfId="2551" xr:uid="{92C82AC1-15BE-4BB0-956F-748F5B55B625}"/>
    <cellStyle name="_FR CHESFxCeal, Cepisa e Saelpa-2005-protegida_IRT_Revisão A-1_IRT-cálculo" xfId="2552" xr:uid="{CB101E9D-4C6A-4228-A438-FA3A62EBB4F8}"/>
    <cellStyle name="_FR CHESFxCeal, Cepisa e Saelpa-2005-protegida_IRT_Revisão A-1_IRT-cálculo CAPA NEUTRALIDADE" xfId="2553" xr:uid="{7056A5C9-8BF5-400C-93F7-0504588CDAB5}"/>
    <cellStyle name="_FR CHESFxCeal, Cepisa e Saelpa-2005-protegida_IRT-cálculo" xfId="2554" xr:uid="{474BB622-16E5-46B0-B6D4-6C392EA7F40A}"/>
    <cellStyle name="_FR CHESFxCeal, Cepisa e Saelpa-2005-protegida_IRT-cálculo CAPA NEUTRALIDADE" xfId="2555" xr:uid="{F8EC14D5-BD5A-41F2-B297-AFF13B3E76BA}"/>
    <cellStyle name="_FR CHESFxCeal, Cepisa e Saelpa-2005-protegida_Pasta1" xfId="1569" xr:uid="{80483254-5F94-4C19-A391-963D9E32DD30}"/>
    <cellStyle name="_FR CHESFxCeal, Cepisa e Saelpa-2005-protegida_Pasta1 2" xfId="2556" xr:uid="{C611707C-06FF-4786-AE15-DFAC4609E519}"/>
    <cellStyle name="_FR CHESFxCeal, Cepisa e Saelpa-2005-protegida_Pasta1_atualização serviços taxados" xfId="42910" xr:uid="{C1106494-095F-479A-8FD1-B771D4296C06}"/>
    <cellStyle name="_FR CHESFxCeal, Cepisa e Saelpa-2005-protegida_Pasta1_Financeiro Desconto na TUSD Consumidores Livres Reajuste 2010 - 03_03_2010" xfId="42911" xr:uid="{5149CCAD-BDE9-4672-94CC-C3FAA8C2DC1D}"/>
    <cellStyle name="_FR CHESFxCeal, Cepisa e Saelpa-2005-protegida_Pasta1_Financeiro Desconto na TUSD Geradores Reajuste 2010 - 03_03_2010" xfId="42912" xr:uid="{A7E07F04-F5F1-4C63-AD1C-5BC653CA9C44}"/>
    <cellStyle name="_FR CHESFxCeal, Cepisa e Saelpa-2005-protegida_Pasta1_Financeiro Subsídio Baixa Renda Reajuste 2010 - 03_03_2010" xfId="42913" xr:uid="{A5C0E7AC-F5E2-47E2-8BEC-013448016D2A}"/>
    <cellStyle name="_FR CHESFxCeal, Cepisa e Saelpa-2005-protegida_Pasta1_Financeiro Subsídio Rural Irrigante e Aquicultor Reajuste 2010 - 03_03_2010" xfId="42914" xr:uid="{6598B1EE-9FFF-43D2-8D9D-FEFB2758CEC0}"/>
    <cellStyle name="_FR CHESFxCeal, Cepisa e Saelpa-2005-protegida_Pasta1_IRT-cálculo" xfId="2557" xr:uid="{C12AD59A-51F9-45B6-9BED-0F85ABFBBCAA}"/>
    <cellStyle name="_FR CHESFxCeal, Cepisa e Saelpa-2005-protegida_Pasta1_IRT-cálculo CAPA NEUTRALIDADE" xfId="2558" xr:uid="{E000F4A9-2170-4FDA-93E8-8BACF7DFB64E}"/>
    <cellStyle name="_FR CHESFxCeal, Cepisa e Saelpa-2005-protegida_Pasta1_SOBRECONTRATAÇÃO E CVA" xfId="2559" xr:uid="{4A2F262C-7473-4DA8-A052-77FC5CEA537C}"/>
    <cellStyle name="_FR CHESFxCeal, Cepisa e Saelpa-2005-protegida_PROVISÃO" xfId="2560" xr:uid="{D12D2C02-5F60-4435-9E0D-5DC3701FC45F}"/>
    <cellStyle name="_FR CHESFxCeal, Cepisa e Saelpa-2005-protegida_Sheet1" xfId="2561" xr:uid="{48CD54E1-47FF-4CF3-9E69-CD70453E3792}"/>
    <cellStyle name="_FR CHESFxCeal, Cepisa e Saelpa-2005-protegida_SOBRECONTRATAÇÃO E CVA" xfId="2562" xr:uid="{7FBC2D69-7A46-482B-9914-BF17D038F271}"/>
    <cellStyle name="_FR CHESFxCeal, Cepisa e Saelpa-2005-protegida_SOBRECONTRATAÇÃO E CVA A-1" xfId="2563" xr:uid="{A758B0BA-612B-4DA2-AC29-4D6F7AB9B79F}"/>
    <cellStyle name="_FR CHESFxCeal, Cepisa e Saelpa-2005-protegida_SOBRECONTRATAÇÃO E CVA A-1_IRT-cálculo" xfId="2564" xr:uid="{845D008D-DDAD-4AFE-8ACA-3E9F7335775E}"/>
    <cellStyle name="_FR CHESFxCeal, Cepisa e Saelpa-2005-protegida_SOBRECONTRATAÇÃO E CVA A-1_IRT-cálculo CAPA NEUTRALIDADE" xfId="2565" xr:uid="{9DE15625-5C85-40F4-85A9-B5E0466C74B7}"/>
    <cellStyle name="_FR CHESFxCeal, Cepisa e Saelpa-2005-protegida_SOBRECONTRATAÇÃO-RES 255-2007-ap038-07-CPFL07" xfId="2566" xr:uid="{CA4E7329-A47A-46B2-A00D-2AA36E09B756}"/>
    <cellStyle name="_GARANTIAS - EMG" xfId="2567" xr:uid="{4FF2BF18-6AD1-4F05-8F3B-B725E6722133}"/>
    <cellStyle name="_Garantias - ESE 2010" xfId="2568" xr:uid="{D411969A-DDD8-42EB-B1F1-3A7E89CBB2AD}"/>
    <cellStyle name="_Garantias - Final" xfId="2569" xr:uid="{2C3F4AE8-D0ED-4FFD-94DB-C50D961E94CC}"/>
    <cellStyle name="_Hom07-Realinhamento ELETROPAULO FINAL  com tarifa cooperativa" xfId="2570" xr:uid="{A6B3A36F-0765-41E3-B329-8DD3121391D5}"/>
    <cellStyle name="_Hom07-Realinhamento ELETROPAULO FINAL  com tarifa cooperativa_NOVA PLANILHA REVISÃO 1" xfId="2571" xr:uid="{7947973C-5C45-430E-A160-B7506E1F46B8}"/>
    <cellStyle name="_Irrigantes_-_ESE_2010_aud" xfId="2572" xr:uid="{1BCE5D00-7887-400B-964F-DA55CB48CA09}"/>
    <cellStyle name="_IRT" xfId="2573" xr:uid="{F344152F-9B6A-4A6B-B788-8DCDB0550098}"/>
    <cellStyle name="_IRT - chesp 2005-V2 " xfId="256" xr:uid="{36B6F3A4-3C6F-4B4F-8645-13737E314EEE}"/>
    <cellStyle name="_IRT - chesp 2005-V2 _atualização serviços taxados" xfId="42915" xr:uid="{152EA1D7-2576-465D-A1BB-EA0CEAB209E3}"/>
    <cellStyle name="_IRT - chesp 2005-V2 _Calculo_Subsidio_ELFSM_26_06_08_Modelo_ANEEL" xfId="2574" xr:uid="{268791CD-9AB0-46C7-B49B-B442EAC6B0E1}"/>
    <cellStyle name="_IRT - chesp 2005-V2 _Calculo_Subsidio_ELFSM_26_06_08_Modelo_ANEEL_IRT-cálculo" xfId="2575" xr:uid="{0026EE3B-ADFF-4B5C-AF52-D1953DABFFFB}"/>
    <cellStyle name="_IRT - chesp 2005-V2 _Calculo_Subsidio_ELFSM_26_06_08_Modelo_ANEEL_IRT-cálculo CAPA NEUTRALIDADE" xfId="2576" xr:uid="{354042C1-50A2-4BA0-B57D-213C5CD070A5}"/>
    <cellStyle name="_IRT - chesp 2005-V2 _CVA_Projetada até dez-2008_Setembro" xfId="2577" xr:uid="{8962FF7A-9E59-45E6-859D-3206B64DEC33}"/>
    <cellStyle name="_IRT - chesp 2005-V2 _CVA_Projetada até dez-2008_Setembro_CVA Outros Componentes PROVISÃO" xfId="2578" xr:uid="{2B1BC706-A3B4-4A06-9356-678B7677AB18}"/>
    <cellStyle name="_IRT - chesp 2005-V2 _CVA_Projetada até dez-2008_Setembro_PROVISÃO" xfId="2579" xr:uid="{B50BFA0D-B61E-4E0F-85B2-5E77D2370D96}"/>
    <cellStyle name="_IRT - chesp 2005-V2 _Energia Comprada" xfId="2580" xr:uid="{8713A5A1-30B3-4128-87F7-BA77E885F425}"/>
    <cellStyle name="_IRT - chesp 2005-V2 _Energia Comprada_IRT-cálculo" xfId="2581" xr:uid="{B4EA1268-7508-4B81-B9B6-9D476ED53A25}"/>
    <cellStyle name="_IRT - chesp 2005-V2 _Energia Comprada_IRT-cálculo CAPA NEUTRALIDADE" xfId="2582" xr:uid="{853420EA-3513-47D3-A5B3-F8FA7C8F1E7D}"/>
    <cellStyle name="_IRT - chesp 2005-V2 _Fator X" xfId="1570" xr:uid="{BF9FA9A7-59E6-4BE5-9284-A6DC6DBEB7F2}"/>
    <cellStyle name="_IRT - chesp 2005-V2 _Fator X_atualização serviços taxados" xfId="42916" xr:uid="{E62C272F-1EFA-4BBB-81D7-7F5B14DB9F74}"/>
    <cellStyle name="_IRT - chesp 2005-V2 _Fator X_Financeiro Desconto na TUSD Consumidores Livres Reajuste 2010 - 03_03_2010" xfId="42917" xr:uid="{8777B938-97CA-4942-9631-14CC13BE5E71}"/>
    <cellStyle name="_IRT - chesp 2005-V2 _Fator X_Financeiro Desconto na TUSD Geradores Reajuste 2010 - 03_03_2010" xfId="42918" xr:uid="{38CE0919-2ACE-4E6B-9AF2-FB8F14747724}"/>
    <cellStyle name="_IRT - chesp 2005-V2 _Fator X_Financeiro Subsídio Baixa Renda Reajuste 2010 - 03_03_2010" xfId="42919" xr:uid="{30CB0C43-AA9A-45EA-AE07-87B37F0613BE}"/>
    <cellStyle name="_IRT - chesp 2005-V2 _Fator X_Financeiro Subsídio Rural Irrigante e Aquicultor Reajuste 2010 - 03_03_2010" xfId="42920" xr:uid="{487B06BE-0549-4087-9C11-B440E190A9E0}"/>
    <cellStyle name="_IRT - chesp 2005-V2 _Fator X_IRT-cálculo" xfId="2583" xr:uid="{FBA20F58-D11E-4BFE-B231-60B34090F380}"/>
    <cellStyle name="_IRT - chesp 2005-V2 _Fator X_IRT-cálculo CAPA NEUTRALIDADE" xfId="2584" xr:uid="{06F86EA4-1A0D-45F6-B1F9-00828E527DB7}"/>
    <cellStyle name="_IRT - chesp 2005-V2 _Fator X_SOBRECONTRATAÇÃO E CVA" xfId="2585" xr:uid="{EAB2EFD8-CF39-4AEC-858B-289FA4B40399}"/>
    <cellStyle name="_IRT - chesp 2005-V2 _Financeiro Desconto na TUSD Consumidores Livres Reajuste 2010 - 03_03_2010" xfId="42921" xr:uid="{E40540FF-E418-4CDB-95EC-1EAD051C9A34}"/>
    <cellStyle name="_IRT - chesp 2005-V2 _Financeiro Desconto na TUSD Geradores Reajuste 2010 - 03_03_2010" xfId="42922" xr:uid="{1A4A2B49-E34E-4CD1-894B-0C6B85C90C6E}"/>
    <cellStyle name="_IRT - chesp 2005-V2 _Financeiro Subsídio Baixa Renda Reajuste 2010 - 03_03_2010" xfId="42923" xr:uid="{78E39113-2BC0-4059-939B-46E260830C30}"/>
    <cellStyle name="_IRT - chesp 2005-V2 _Financeiro Subsídio Rural Irrigante e Aquicultor Reajuste 2010 - 03_03_2010" xfId="42924" xr:uid="{751DEBAE-7D03-4289-A479-2E217214DE67}"/>
    <cellStyle name="_IRT - chesp 2005-V2 _IF - Autoprodutores 2" xfId="2586" xr:uid="{400678B5-11D4-4B2E-A302-39817126BA19}"/>
    <cellStyle name="_IRT - chesp 2005-V2 _IF_Consumidores livres e geradoras_2010" xfId="2587" xr:uid="{737EC49D-25F1-40F5-9F7D-DFD296615D6E}"/>
    <cellStyle name="_IRT - chesp 2005-V2 _IRT (2)" xfId="1571" xr:uid="{920F365E-6EEE-42AD-B9A1-CA980057562A}"/>
    <cellStyle name="_IRT - chesp 2005-V2 _IRT (2) 2" xfId="2588" xr:uid="{912EEA77-7D1D-4C15-B766-CF56B6F30C75}"/>
    <cellStyle name="_IRT - chesp 2005-V2 _IRT_1" xfId="1572" xr:uid="{B940FBC1-A4ED-4E08-BA04-B025833C6436}"/>
    <cellStyle name="_IRT - chesp 2005-V2 _IRT_1_atualização serviços taxados" xfId="42925" xr:uid="{2115D4B2-18E4-42BF-84FA-C40BF0D0EB4F}"/>
    <cellStyle name="_IRT - chesp 2005-V2 _IRT_1_Financeiro Desconto na TUSD Consumidores Livres Reajuste 2010 - 03_03_2010" xfId="42926" xr:uid="{C03D31C7-805D-47D0-BA3E-EA79AC704952}"/>
    <cellStyle name="_IRT - chesp 2005-V2 _IRT_1_Financeiro Desconto na TUSD Geradores Reajuste 2010 - 03_03_2010" xfId="42927" xr:uid="{3033A1A2-E32A-4093-9229-A3B83E7295F2}"/>
    <cellStyle name="_IRT - chesp 2005-V2 _IRT_1_Financeiro Subsídio Baixa Renda Reajuste 2010 - 03_03_2010" xfId="42928" xr:uid="{3128DAE2-BC7E-4F81-BF72-48EDF4FFAB50}"/>
    <cellStyle name="_IRT - chesp 2005-V2 _IRT_1_Financeiro Subsídio Rural Irrigante e Aquicultor Reajuste 2010 - 03_03_2010" xfId="42929" xr:uid="{02CDEA2D-2921-4AC0-8C25-F13200C85629}"/>
    <cellStyle name="_IRT - chesp 2005-V2 _IRT_1_IRT-cálculo" xfId="2589" xr:uid="{2198004A-6642-4373-B5D9-73A150AF830C}"/>
    <cellStyle name="_IRT - chesp 2005-V2 _IRT_1_IRT-cálculo CAPA NEUTRALIDADE" xfId="2590" xr:uid="{F281F533-4BFE-426E-8C72-F77A7B860B9B}"/>
    <cellStyle name="_IRT - chesp 2005-V2 _IRT_1_SOBRECONTRATAÇÃO E CVA" xfId="2591" xr:uid="{312B1741-82F0-483B-84E7-CA43A9C35B5C}"/>
    <cellStyle name="_IRT - chesp 2005-V2 _IRT_Planilha Básica_ CETRIL" xfId="257" xr:uid="{56068A7F-A69C-4644-93A1-4E9DBDF4BA44}"/>
    <cellStyle name="_IRT - chesp 2005-V2 _IRT_Planilha Básica_ CETRIL 2" xfId="1290" xr:uid="{93EDB582-8671-4DF8-8010-C832DE129F91}"/>
    <cellStyle name="_IRT - chesp 2005-V2 _IRT_Pleito" xfId="2592" xr:uid="{2538EBC3-14B2-456C-A311-52C932A8A180}"/>
    <cellStyle name="_IRT - chesp 2005-V2 _IRT_Pleito_IRT-cálculo" xfId="2593" xr:uid="{E237653A-20C1-4FCA-9BD9-0E787C05AE73}"/>
    <cellStyle name="_IRT - chesp 2005-V2 _IRT_Pleito_IRT-cálculo CAPA NEUTRALIDADE" xfId="2594" xr:uid="{27D566FB-8245-4648-851C-147869068B4F}"/>
    <cellStyle name="_IRT - chesp 2005-V2 _IRT_Revisão A-1" xfId="2595" xr:uid="{BCC336EA-4092-4A08-8557-9814659069B3}"/>
    <cellStyle name="_IRT - chesp 2005-V2 _IRT-cálculo" xfId="2596" xr:uid="{0D0ED751-535A-4EE5-88A5-9FF7BEECD4C4}"/>
    <cellStyle name="_IRT - chesp 2005-V2 _IRT-cálculo CAPA NEUTRALIDADE" xfId="2597" xr:uid="{1E07C9CF-8E83-4E53-AE7D-725AC1DF52B9}"/>
    <cellStyle name="_IRT - chesp 2005-V2 _Pasta1" xfId="1573" xr:uid="{9A3D9DA6-75EA-4B28-B2E1-0B6A8DF25E18}"/>
    <cellStyle name="_IRT - chesp 2005-V2 _Pasta1_atualização serviços taxados" xfId="42930" xr:uid="{BD6E86F9-A048-4FAE-AD69-5823F2F52649}"/>
    <cellStyle name="_IRT - chesp 2005-V2 _Pasta1_Financeiro Desconto na TUSD Consumidores Livres Reajuste 2010 - 03_03_2010" xfId="42931" xr:uid="{7D39F785-7901-4A04-9F52-5C7B54E9D9A8}"/>
    <cellStyle name="_IRT - chesp 2005-V2 _Pasta1_Financeiro Desconto na TUSD Geradores Reajuste 2010 - 03_03_2010" xfId="42932" xr:uid="{03CFE527-23BE-47BA-A7C2-7E922B2625EC}"/>
    <cellStyle name="_IRT - chesp 2005-V2 _Pasta1_Financeiro Subsídio Baixa Renda Reajuste 2010 - 03_03_2010" xfId="42933" xr:uid="{4AD01406-A2F6-4E82-96F6-A56D5DC54FAE}"/>
    <cellStyle name="_IRT - chesp 2005-V2 _Pasta1_Financeiro Subsídio Rural Irrigante e Aquicultor Reajuste 2010 - 03_03_2010" xfId="42934" xr:uid="{BDBFB9DF-5660-4D9C-A06C-73E9CF8F1C47}"/>
    <cellStyle name="_IRT - chesp 2005-V2 _Pasta1_IRT-cálculo" xfId="2598" xr:uid="{C70365CC-0229-4E29-B149-714781A9F265}"/>
    <cellStyle name="_IRT - chesp 2005-V2 _Pasta1_IRT-cálculo CAPA NEUTRALIDADE" xfId="2599" xr:uid="{CAFDCF79-CD29-4E99-B998-E39271CF6037}"/>
    <cellStyle name="_IRT - chesp 2005-V2 _Pasta1_SOBRECONTRATAÇÃO E CVA" xfId="2600" xr:uid="{CC2F7AA3-A05F-4E53-B6ED-3571600BE174}"/>
    <cellStyle name="_IRT - chesp 2005-V2 _Sheet1" xfId="2601" xr:uid="{2AD21620-B4ED-4BC9-87B8-4187DD7A2998}"/>
    <cellStyle name="_IRT - chesp 2005-V2 _SOBRECONTRATAÇÃO E CVA" xfId="2602" xr:uid="{7CE63A34-2F27-45FA-8AB5-6BD9217BDEEF}"/>
    <cellStyle name="_IRT - chesp 2005-V2 _SOBRECONTRATAÇÃO E CVA A-1" xfId="2603" xr:uid="{F0DE57FC-BADC-4537-9C1A-10BE836D657D}"/>
    <cellStyle name="_IRT - chesp 2005-V2 _SOBRECONTRATAÇÃO E CVA A-1_IRT-cálculo" xfId="2604" xr:uid="{F33F046B-4C0A-4761-859D-1C4272624389}"/>
    <cellStyle name="_IRT - chesp 2005-V2 _SOBRECONTRATAÇÃO E CVA A-1_IRT-cálculo CAPA NEUTRALIDADE" xfId="2605" xr:uid="{768C36A9-9E49-426A-A3A9-81577E336C43}"/>
    <cellStyle name="_IRT 2" xfId="2606" xr:uid="{917D4DE3-422E-4D01-9401-19DFBDBE3BF0}"/>
    <cellStyle name="_IRT 2005 - CELTINS-cláudia210605" xfId="258" xr:uid="{F1C4762B-6D83-4C88-A526-EBD21B9A1396}"/>
    <cellStyle name="_IRT 2005 - CELTINS-cláudia210605_atualização serviços taxados" xfId="42935" xr:uid="{371D04D1-B557-4942-B433-B9B843295294}"/>
    <cellStyle name="_IRT 2005 - CELTINS-cláudia210605_Calculo_Subsidio_ELFSM_26_06_08_Modelo_ANEEL" xfId="2607" xr:uid="{131AB9D8-0751-4A5C-83DA-4F42CBA57ECF}"/>
    <cellStyle name="_IRT 2005 - CELTINS-cláudia210605_Calculo_Subsidio_ELFSM_26_06_08_Modelo_ANEEL_IRT-cálculo" xfId="2608" xr:uid="{8C464BD8-2A54-4DAC-A894-2E4DD8DBB4FA}"/>
    <cellStyle name="_IRT 2005 - CELTINS-cláudia210605_Calculo_Subsidio_ELFSM_26_06_08_Modelo_ANEEL_IRT-cálculo CAPA NEUTRALIDADE" xfId="2609" xr:uid="{D04EC089-7150-48F3-916C-AC2397C9E3F0}"/>
    <cellStyle name="_IRT 2005 - CELTINS-cláudia210605_CVA_Projetada até dez-2008_Setembro" xfId="2610" xr:uid="{8F47D474-F4F1-4571-B900-2103A3363847}"/>
    <cellStyle name="_IRT 2005 - CELTINS-cláudia210605_CVA_Projetada até dez-2008_Setembro_CVA Outros Componentes PROVISÃO" xfId="2611" xr:uid="{023E497F-8E21-47F7-B49A-B8FA15A39253}"/>
    <cellStyle name="_IRT 2005 - CELTINS-cláudia210605_CVA_Projetada até dez-2008_Setembro_PROVISÃO" xfId="2612" xr:uid="{7AE24656-0CAC-489E-BDF2-359C5887A490}"/>
    <cellStyle name="_IRT 2005 - CELTINS-cláudia210605_Energia Comprada" xfId="2613" xr:uid="{52F6874E-1B02-4AD0-A5E4-AD2FE66293CF}"/>
    <cellStyle name="_IRT 2005 - CELTINS-cláudia210605_Energia Comprada_IRT-cálculo" xfId="2614" xr:uid="{DB2EB5F4-E707-4E60-870D-2639687D7919}"/>
    <cellStyle name="_IRT 2005 - CELTINS-cláudia210605_Energia Comprada_IRT-cálculo CAPA NEUTRALIDADE" xfId="2615" xr:uid="{343FD46C-DC0A-4A1D-9B15-2F1840093864}"/>
    <cellStyle name="_IRT 2005 - CELTINS-cláudia210605_Fator X" xfId="1574" xr:uid="{16F870EE-C0EE-42D2-883E-24B28CC9DE7D}"/>
    <cellStyle name="_IRT 2005 - CELTINS-cláudia210605_Fator X_atualização serviços taxados" xfId="42936" xr:uid="{62CD9248-D2A8-4A14-9BD4-6B5E6C39D680}"/>
    <cellStyle name="_IRT 2005 - CELTINS-cláudia210605_Fator X_Financeiro Desconto na TUSD Consumidores Livres Reajuste 2010 - 03_03_2010" xfId="42937" xr:uid="{B9C89333-67D7-48EC-849B-1F994DF67AE6}"/>
    <cellStyle name="_IRT 2005 - CELTINS-cláudia210605_Fator X_Financeiro Desconto na TUSD Geradores Reajuste 2010 - 03_03_2010" xfId="42938" xr:uid="{70A6319A-4E5D-413A-AE5E-9B0E7700755E}"/>
    <cellStyle name="_IRT 2005 - CELTINS-cláudia210605_Fator X_Financeiro Subsídio Baixa Renda Reajuste 2010 - 03_03_2010" xfId="42939" xr:uid="{346C3DB7-4604-4CBE-B99C-2BDBE315B09B}"/>
    <cellStyle name="_IRT 2005 - CELTINS-cláudia210605_Fator X_Financeiro Subsídio Rural Irrigante e Aquicultor Reajuste 2010 - 03_03_2010" xfId="42940" xr:uid="{796B8318-2171-47C4-B703-F2F8B92D9F4A}"/>
    <cellStyle name="_IRT 2005 - CELTINS-cláudia210605_Fator X_IRT-cálculo" xfId="2616" xr:uid="{75927883-F5DF-47F4-924A-820924A45983}"/>
    <cellStyle name="_IRT 2005 - CELTINS-cláudia210605_Fator X_IRT-cálculo CAPA NEUTRALIDADE" xfId="2617" xr:uid="{6E4F8F84-9935-4F0A-A7ED-CC6590FCDF8A}"/>
    <cellStyle name="_IRT 2005 - CELTINS-cláudia210605_Fator X_SOBRECONTRATAÇÃO E CVA" xfId="2618" xr:uid="{16FE6F34-99C8-48FA-9CFE-42C9B6809DB2}"/>
    <cellStyle name="_IRT 2005 - CELTINS-cláudia210605_Financeiro Desconto na TUSD Consumidores Livres Reajuste 2010 - 03_03_2010" xfId="42941" xr:uid="{6B54F777-49D3-4E8D-8990-604776A773C3}"/>
    <cellStyle name="_IRT 2005 - CELTINS-cláudia210605_Financeiro Desconto na TUSD Geradores Reajuste 2010 - 03_03_2010" xfId="42942" xr:uid="{FD2B03C7-476E-4406-800A-E1397A47FB58}"/>
    <cellStyle name="_IRT 2005 - CELTINS-cláudia210605_Financeiro Subsídio Baixa Renda Reajuste 2010 - 03_03_2010" xfId="42943" xr:uid="{F6146192-E6A2-46CD-92BD-A7F8B4F49E2C}"/>
    <cellStyle name="_IRT 2005 - CELTINS-cláudia210605_Financeiro Subsídio Rural Irrigante e Aquicultor Reajuste 2010 - 03_03_2010" xfId="42944" xr:uid="{AB9CA4B3-38AE-497C-B2A8-E5D10EC036D0}"/>
    <cellStyle name="_IRT 2005 - CELTINS-cláudia210605_IF - Autoprodutores 2" xfId="2619" xr:uid="{D87968A5-46C5-4DE0-BD91-78B013A8E5A5}"/>
    <cellStyle name="_IRT 2005 - CELTINS-cláudia210605_IF_Consumidores livres e geradoras_2010" xfId="2620" xr:uid="{41472D06-E7DD-4E36-8DAD-4992BCE5F49F}"/>
    <cellStyle name="_IRT 2005 - CELTINS-cláudia210605_IRT (2)" xfId="1575" xr:uid="{EBA92C8A-2C04-4BC9-AEF1-B31290D31764}"/>
    <cellStyle name="_IRT 2005 - CELTINS-cláudia210605_IRT (2) 2" xfId="2621" xr:uid="{5474C09F-713F-475F-A814-C0AC84906854}"/>
    <cellStyle name="_IRT 2005 - CELTINS-cláudia210605_IRT_1" xfId="1576" xr:uid="{FCDE0DBA-7AE0-4EBB-9626-549E86F00B32}"/>
    <cellStyle name="_IRT 2005 - CELTINS-cláudia210605_IRT_1_atualização serviços taxados" xfId="42945" xr:uid="{FDEB9819-388A-4CE8-9C1A-1235E0A8DF5E}"/>
    <cellStyle name="_IRT 2005 - CELTINS-cláudia210605_IRT_1_Financeiro Desconto na TUSD Consumidores Livres Reajuste 2010 - 03_03_2010" xfId="42946" xr:uid="{B388199B-C7FD-4769-996B-3F0FC05B1F38}"/>
    <cellStyle name="_IRT 2005 - CELTINS-cláudia210605_IRT_1_Financeiro Desconto na TUSD Geradores Reajuste 2010 - 03_03_2010" xfId="42947" xr:uid="{B8A32282-620D-4507-9E20-86317B93317E}"/>
    <cellStyle name="_IRT 2005 - CELTINS-cláudia210605_IRT_1_Financeiro Subsídio Baixa Renda Reajuste 2010 - 03_03_2010" xfId="42948" xr:uid="{E478C0D9-1CB4-4BB2-93AE-55F6A8F3F28F}"/>
    <cellStyle name="_IRT 2005 - CELTINS-cláudia210605_IRT_1_Financeiro Subsídio Rural Irrigante e Aquicultor Reajuste 2010 - 03_03_2010" xfId="42949" xr:uid="{26556F7F-13E1-4020-B21F-1B95C555B50E}"/>
    <cellStyle name="_IRT 2005 - CELTINS-cláudia210605_IRT_1_IRT-cálculo" xfId="2622" xr:uid="{1F03264B-F454-48B8-B010-9302F5382D17}"/>
    <cellStyle name="_IRT 2005 - CELTINS-cláudia210605_IRT_1_IRT-cálculo CAPA NEUTRALIDADE" xfId="2623" xr:uid="{CA90FE76-DDF2-43CA-AF60-D0535D93CF36}"/>
    <cellStyle name="_IRT 2005 - CELTINS-cláudia210605_IRT_1_SOBRECONTRATAÇÃO E CVA" xfId="2624" xr:uid="{6D9A9FEE-DF80-49CE-AE76-FC7A5DA245BF}"/>
    <cellStyle name="_IRT 2005 - CELTINS-cláudia210605_IRT_Planilha Básica_ CETRIL" xfId="259" xr:uid="{113F9877-E36B-4F0D-9826-67B569585CB8}"/>
    <cellStyle name="_IRT 2005 - CELTINS-cláudia210605_IRT_Planilha Básica_ CETRIL 2" xfId="1291" xr:uid="{7442F44F-2A69-4DE1-AC72-F7869DA09D29}"/>
    <cellStyle name="_IRT 2005 - CELTINS-cláudia210605_IRT_Pleito" xfId="2625" xr:uid="{7119B721-5E80-4486-87E2-B09C2D08E234}"/>
    <cellStyle name="_IRT 2005 - CELTINS-cláudia210605_IRT_Pleito_IRT-cálculo" xfId="2626" xr:uid="{A1537212-4FDC-4156-9836-20F00959C4DB}"/>
    <cellStyle name="_IRT 2005 - CELTINS-cláudia210605_IRT_Pleito_IRT-cálculo CAPA NEUTRALIDADE" xfId="2627" xr:uid="{21413BA6-CD73-4DFC-BE01-41C489A05EA4}"/>
    <cellStyle name="_IRT 2005 - CELTINS-cláudia210605_IRT_Revisão A-1" xfId="2628" xr:uid="{99C16CD8-CCCE-4D45-B250-523AEDD81FE1}"/>
    <cellStyle name="_IRT 2005 - CELTINS-cláudia210605_IRT-cálculo" xfId="2629" xr:uid="{46A566BE-BCA9-43E7-9810-AB2AC38A611E}"/>
    <cellStyle name="_IRT 2005 - CELTINS-cláudia210605_IRT-cálculo CAPA NEUTRALIDADE" xfId="2630" xr:uid="{1074246C-85FC-4B26-9A5A-6C572A66D39C}"/>
    <cellStyle name="_IRT 2005 - CELTINS-cláudia210605_Pasta1" xfId="1577" xr:uid="{566998F8-51B4-4D3D-B25C-0FFEBB5E65F4}"/>
    <cellStyle name="_IRT 2005 - CELTINS-cláudia210605_Pasta1_atualização serviços taxados" xfId="42950" xr:uid="{E277372D-D2AB-46A0-996C-EF19D0C3F08C}"/>
    <cellStyle name="_IRT 2005 - CELTINS-cláudia210605_Pasta1_Financeiro Desconto na TUSD Consumidores Livres Reajuste 2010 - 03_03_2010" xfId="42951" xr:uid="{F40744ED-7EAB-4A7F-BD61-301E75D6B2EB}"/>
    <cellStyle name="_IRT 2005 - CELTINS-cláudia210605_Pasta1_Financeiro Desconto na TUSD Geradores Reajuste 2010 - 03_03_2010" xfId="42952" xr:uid="{C6102355-FEFD-455D-A70F-E07DDAB03CE1}"/>
    <cellStyle name="_IRT 2005 - CELTINS-cláudia210605_Pasta1_Financeiro Subsídio Baixa Renda Reajuste 2010 - 03_03_2010" xfId="42953" xr:uid="{49AD1CFF-24D4-486E-9F94-DD1D1328C656}"/>
    <cellStyle name="_IRT 2005 - CELTINS-cláudia210605_Pasta1_Financeiro Subsídio Rural Irrigante e Aquicultor Reajuste 2010 - 03_03_2010" xfId="42954" xr:uid="{27EDD0DD-E01B-4537-B976-B358EB0DBB47}"/>
    <cellStyle name="_IRT 2005 - CELTINS-cláudia210605_Pasta1_IRT-cálculo" xfId="2631" xr:uid="{9668E9DE-F22D-44FF-9249-1579BCD90FBD}"/>
    <cellStyle name="_IRT 2005 - CELTINS-cláudia210605_Pasta1_IRT-cálculo CAPA NEUTRALIDADE" xfId="2632" xr:uid="{AF15A5BC-6506-446C-A09D-6BFE26590836}"/>
    <cellStyle name="_IRT 2005 - CELTINS-cláudia210605_Pasta1_SOBRECONTRATAÇÃO E CVA" xfId="2633" xr:uid="{AEEB386D-6365-4BDE-89B5-A8E82CF6B9A6}"/>
    <cellStyle name="_IRT 2005 - CELTINS-cláudia210605_Sheet1" xfId="2634" xr:uid="{C162A143-2F58-4C40-B7F4-F41D5C429F2E}"/>
    <cellStyle name="_IRT 2005 - CELTINS-cláudia210605_SOBRECONTRATAÇÃO E CVA" xfId="2635" xr:uid="{60E23DFD-2049-4490-8E18-C149ADD411F1}"/>
    <cellStyle name="_IRT 2005 - CELTINS-cláudia210605_SOBRECONTRATAÇÃO E CVA A-1" xfId="2636" xr:uid="{E2C362EA-B700-4565-8EC3-5D023D6B3980}"/>
    <cellStyle name="_IRT 2005 - CELTINS-cláudia210605_SOBRECONTRATAÇÃO E CVA A-1_IRT-cálculo" xfId="2637" xr:uid="{F021A076-CD57-46EB-B475-8845CC397A30}"/>
    <cellStyle name="_IRT 2005 - CELTINS-cláudia210605_SOBRECONTRATAÇÃO E CVA A-1_IRT-cálculo CAPA NEUTRALIDADE" xfId="2638" xr:uid="{F8292501-4042-4476-9BF8-FADA9969B3F2}"/>
    <cellStyle name="_IRT 2005 - CHESP-040705" xfId="260" xr:uid="{9B11C542-6974-41C0-BAB5-AFCD2836983C}"/>
    <cellStyle name="_IRT 2005 - CHESP-040705_atualização serviços taxados" xfId="42955" xr:uid="{E3A01760-C320-4DEB-AE4C-A86C09576A11}"/>
    <cellStyle name="_IRT 2005 - CHESP-040705_Calculo_Subsidio_ELFSM_26_06_08_Modelo_ANEEL" xfId="2639" xr:uid="{F4B04257-682D-40EB-A32E-6D7A77099DAA}"/>
    <cellStyle name="_IRT 2005 - CHESP-040705_Calculo_Subsidio_ELFSM_26_06_08_Modelo_ANEEL_IRT-cálculo" xfId="2640" xr:uid="{7319E0EF-2F2F-4362-8EE7-52936D82A074}"/>
    <cellStyle name="_IRT 2005 - CHESP-040705_Calculo_Subsidio_ELFSM_26_06_08_Modelo_ANEEL_IRT-cálculo CAPA NEUTRALIDADE" xfId="2641" xr:uid="{07EFAEEA-D5DB-4B25-A3B1-17CD788CCF99}"/>
    <cellStyle name="_IRT 2005 - CHESP-040705_CVA_Projetada até dez-2008_Setembro" xfId="2642" xr:uid="{036FCD78-DC1E-4CBF-8F1B-95EA841B0236}"/>
    <cellStyle name="_IRT 2005 - CHESP-040705_CVA_Projetada até dez-2008_Setembro_CVA Outros Componentes PROVISÃO" xfId="2643" xr:uid="{47548450-D044-4742-B0EF-FD0C632C399C}"/>
    <cellStyle name="_IRT 2005 - CHESP-040705_CVA_Projetada até dez-2008_Setembro_PROVISÃO" xfId="2644" xr:uid="{6E698E7B-D35F-4812-AB48-374D2911710C}"/>
    <cellStyle name="_IRT 2005 - CHESP-040705_Energia Comprada" xfId="2645" xr:uid="{8F865017-9249-4F4C-8CC0-CDF56B0D4118}"/>
    <cellStyle name="_IRT 2005 - CHESP-040705_Energia Comprada_IRT-cálculo" xfId="2646" xr:uid="{1360E637-8914-4C33-BFE7-47C0768B1BCA}"/>
    <cellStyle name="_IRT 2005 - CHESP-040705_Energia Comprada_IRT-cálculo CAPA NEUTRALIDADE" xfId="2647" xr:uid="{D718430B-7308-41F2-BFEB-0E64A2DC9306}"/>
    <cellStyle name="_IRT 2005 - CHESP-040705_Fator X" xfId="1578" xr:uid="{2D5B90FB-BD92-476B-A970-3A8B981F6F91}"/>
    <cellStyle name="_IRT 2005 - CHESP-040705_Fator X_atualização serviços taxados" xfId="42956" xr:uid="{73F6B76D-5FC0-481B-95B0-94C5B317F48B}"/>
    <cellStyle name="_IRT 2005 - CHESP-040705_Fator X_Financeiro Desconto na TUSD Consumidores Livres Reajuste 2010 - 03_03_2010" xfId="42957" xr:uid="{B8B96602-E22F-40DD-89C8-60B4C71E9102}"/>
    <cellStyle name="_IRT 2005 - CHESP-040705_Fator X_Financeiro Desconto na TUSD Geradores Reajuste 2010 - 03_03_2010" xfId="42958" xr:uid="{4D10445F-B9D9-4377-B0E6-8CCF98392B24}"/>
    <cellStyle name="_IRT 2005 - CHESP-040705_Fator X_Financeiro Subsídio Baixa Renda Reajuste 2010 - 03_03_2010" xfId="42959" xr:uid="{AB4B4F6D-B5CD-4997-B0CA-D5C55A11D5D2}"/>
    <cellStyle name="_IRT 2005 - CHESP-040705_Fator X_Financeiro Subsídio Rural Irrigante e Aquicultor Reajuste 2010 - 03_03_2010" xfId="42960" xr:uid="{B75F0C7C-FFA3-4397-B28C-54E7B65C5B04}"/>
    <cellStyle name="_IRT 2005 - CHESP-040705_Fator X_IRT-cálculo" xfId="2648" xr:uid="{72F2E8DD-9A70-4350-8DB9-4A434DBB07A8}"/>
    <cellStyle name="_IRT 2005 - CHESP-040705_Fator X_IRT-cálculo CAPA NEUTRALIDADE" xfId="2649" xr:uid="{4770E1A2-F58A-4BCD-A03E-580356884C81}"/>
    <cellStyle name="_IRT 2005 - CHESP-040705_Fator X_SOBRECONTRATAÇÃO E CVA" xfId="2650" xr:uid="{45EB6854-0F7F-49B9-8CF9-7412E6DDBDB1}"/>
    <cellStyle name="_IRT 2005 - CHESP-040705_Financeiro Desconto na TUSD Consumidores Livres Reajuste 2010 - 03_03_2010" xfId="42961" xr:uid="{65CD0474-F494-47DB-B51D-7EF6A4EDAE42}"/>
    <cellStyle name="_IRT 2005 - CHESP-040705_Financeiro Desconto na TUSD Geradores Reajuste 2010 - 03_03_2010" xfId="42962" xr:uid="{ABA01198-1E68-48B0-8A86-A2BE19C195CF}"/>
    <cellStyle name="_IRT 2005 - CHESP-040705_Financeiro Subsídio Baixa Renda Reajuste 2010 - 03_03_2010" xfId="42963" xr:uid="{43351AEF-D7F1-4DFA-A1C0-6B5939ABCB82}"/>
    <cellStyle name="_IRT 2005 - CHESP-040705_Financeiro Subsídio Rural Irrigante e Aquicultor Reajuste 2010 - 03_03_2010" xfId="42964" xr:uid="{966AD206-128F-449A-ABE8-66FC567C2786}"/>
    <cellStyle name="_IRT 2005 - CHESP-040705_IF - Autoprodutores 2" xfId="2651" xr:uid="{B6718C04-9DDF-42F2-B631-6DA1491EBA1D}"/>
    <cellStyle name="_IRT 2005 - CHESP-040705_IF_Consumidores livres e geradoras_2010" xfId="2652" xr:uid="{8154313C-BB9D-4865-92E6-F663D32A8FFA}"/>
    <cellStyle name="_IRT 2005 - CHESP-040705_IRT (2)" xfId="1579" xr:uid="{DC679A54-F112-42E9-8BA8-37432A45180C}"/>
    <cellStyle name="_IRT 2005 - CHESP-040705_IRT (2) 2" xfId="2653" xr:uid="{6DC246A1-79A8-4DF7-B13A-857C80A3B26E}"/>
    <cellStyle name="_IRT 2005 - CHESP-040705_IRT_1" xfId="1580" xr:uid="{B29FC393-CE6D-4696-9ACC-5EB09AE8E475}"/>
    <cellStyle name="_IRT 2005 - CHESP-040705_IRT_1_atualização serviços taxados" xfId="42965" xr:uid="{567383E6-0D85-4A74-B947-2F5226C281A6}"/>
    <cellStyle name="_IRT 2005 - CHESP-040705_IRT_1_Financeiro Desconto na TUSD Consumidores Livres Reajuste 2010 - 03_03_2010" xfId="42966" xr:uid="{5DCE343B-9C17-4D7E-97D6-BB94AC150ECD}"/>
    <cellStyle name="_IRT 2005 - CHESP-040705_IRT_1_Financeiro Desconto na TUSD Geradores Reajuste 2010 - 03_03_2010" xfId="42967" xr:uid="{9CB78054-30DA-4EE6-831B-C1A68315B6FE}"/>
    <cellStyle name="_IRT 2005 - CHESP-040705_IRT_1_Financeiro Subsídio Baixa Renda Reajuste 2010 - 03_03_2010" xfId="42968" xr:uid="{11E7AEF6-FA65-4ABA-A269-6882C0A0AE13}"/>
    <cellStyle name="_IRT 2005 - CHESP-040705_IRT_1_Financeiro Subsídio Rural Irrigante e Aquicultor Reajuste 2010 - 03_03_2010" xfId="42969" xr:uid="{282EBA89-E15C-460A-8F76-066B2FA108F8}"/>
    <cellStyle name="_IRT 2005 - CHESP-040705_IRT_1_IRT-cálculo" xfId="2654" xr:uid="{A624ECC1-9E8F-4DF4-9458-0247BC8FDCE6}"/>
    <cellStyle name="_IRT 2005 - CHESP-040705_IRT_1_IRT-cálculo CAPA NEUTRALIDADE" xfId="2655" xr:uid="{F9CD3AA6-A514-4669-B432-EE5005534AEE}"/>
    <cellStyle name="_IRT 2005 - CHESP-040705_IRT_1_SOBRECONTRATAÇÃO E CVA" xfId="2656" xr:uid="{E894E356-7016-40AD-8826-32DEB9EF7BEF}"/>
    <cellStyle name="_IRT 2005 - CHESP-040705_IRT_Planilha Básica_ CETRIL" xfId="261" xr:uid="{1013F646-55E5-4D29-9583-A693975523BF}"/>
    <cellStyle name="_IRT 2005 - CHESP-040705_IRT_Planilha Básica_ CETRIL 2" xfId="1292" xr:uid="{C3318948-909D-44F6-8376-3137CE3E9252}"/>
    <cellStyle name="_IRT 2005 - CHESP-040705_IRT_Pleito" xfId="2657" xr:uid="{0B2B9715-2742-49D3-A9B2-DDC3A5DAEFA1}"/>
    <cellStyle name="_IRT 2005 - CHESP-040705_IRT_Pleito_IRT-cálculo" xfId="2658" xr:uid="{3AE977A1-3A5E-4E94-8DEC-089E2E531FF1}"/>
    <cellStyle name="_IRT 2005 - CHESP-040705_IRT_Pleito_IRT-cálculo CAPA NEUTRALIDADE" xfId="2659" xr:uid="{198FF47E-EDB1-433D-9E5A-0DA9863AFE3A}"/>
    <cellStyle name="_IRT 2005 - CHESP-040705_IRT_Revisão A-1" xfId="2660" xr:uid="{51EDAC9A-2565-43BE-AE6F-79A53086B5B2}"/>
    <cellStyle name="_IRT 2005 - CHESP-040705_IRT-cálculo" xfId="2661" xr:uid="{D1960F47-5BBA-45E8-A95E-6A65A52F114A}"/>
    <cellStyle name="_IRT 2005 - CHESP-040705_IRT-cálculo CAPA NEUTRALIDADE" xfId="2662" xr:uid="{2DE45B9A-28A1-4D8D-A734-87400F02E6A1}"/>
    <cellStyle name="_IRT 2005 - CHESP-040705_Pasta1" xfId="1581" xr:uid="{F94E4067-FDCC-42AE-95F9-6BF0E2AB902B}"/>
    <cellStyle name="_IRT 2005 - CHESP-040705_Pasta1_atualização serviços taxados" xfId="42970" xr:uid="{AEF50242-9BD0-407A-887E-34A30C8A49D5}"/>
    <cellStyle name="_IRT 2005 - CHESP-040705_Pasta1_Financeiro Desconto na TUSD Consumidores Livres Reajuste 2010 - 03_03_2010" xfId="42971" xr:uid="{B047B163-DA39-42CD-AD7A-954F15F22E67}"/>
    <cellStyle name="_IRT 2005 - CHESP-040705_Pasta1_Financeiro Desconto na TUSD Geradores Reajuste 2010 - 03_03_2010" xfId="42972" xr:uid="{2D7BBC48-F782-468B-81DC-EC25D2603D58}"/>
    <cellStyle name="_IRT 2005 - CHESP-040705_Pasta1_Financeiro Subsídio Baixa Renda Reajuste 2010 - 03_03_2010" xfId="42973" xr:uid="{8E5E4D13-C063-4450-8359-2AEBCC89B935}"/>
    <cellStyle name="_IRT 2005 - CHESP-040705_Pasta1_Financeiro Subsídio Rural Irrigante e Aquicultor Reajuste 2010 - 03_03_2010" xfId="42974" xr:uid="{1FC2F77C-F2BB-419C-971C-668D184C2A8F}"/>
    <cellStyle name="_IRT 2005 - CHESP-040705_Pasta1_IRT-cálculo" xfId="2663" xr:uid="{9A03CF9E-05B6-4E78-9664-7CCA708915DC}"/>
    <cellStyle name="_IRT 2005 - CHESP-040705_Pasta1_IRT-cálculo CAPA NEUTRALIDADE" xfId="2664" xr:uid="{CD9E770D-C85A-4140-B7AC-6362E151EB74}"/>
    <cellStyle name="_IRT 2005 - CHESP-040705_Pasta1_SOBRECONTRATAÇÃO E CVA" xfId="2665" xr:uid="{9CE3C3F0-69A6-4CC8-8439-A4D1F0AEEBF2}"/>
    <cellStyle name="_IRT 2005 - CHESP-040705_Sheet1" xfId="2666" xr:uid="{9850A19A-938F-4C73-B314-88D09F0AE262}"/>
    <cellStyle name="_IRT 2005 - CHESP-040705_SOBRECONTRATAÇÃO E CVA" xfId="2667" xr:uid="{B7024B5A-19E3-4E3D-9606-6EDABC768C39}"/>
    <cellStyle name="_IRT 2005 - CHESP-040705_SOBRECONTRATAÇÃO E CVA A-1" xfId="2668" xr:uid="{6B40D2D6-DF33-4193-8877-AF89E47687C5}"/>
    <cellStyle name="_IRT 2005 - CHESP-040705_SOBRECONTRATAÇÃO E CVA A-1_IRT-cálculo" xfId="2669" xr:uid="{307ED206-5F56-4ECC-91E9-30FB029D91F7}"/>
    <cellStyle name="_IRT 2005 - CHESP-040705_SOBRECONTRATAÇÃO E CVA A-1_IRT-cálculo CAPA NEUTRALIDADE" xfId="2670" xr:uid="{EAEAB8EC-D37C-4A19-80B6-06FE4757F817}"/>
    <cellStyle name="_IRT 2005 - CHESP-140705" xfId="262" xr:uid="{19B80265-D895-4ED4-ABA5-F59DC5F45529}"/>
    <cellStyle name="_IRT 2005 - CHESP-140705_atualização serviços taxados" xfId="42975" xr:uid="{8C8CE7F0-E8F6-4B33-904B-322D520E75E4}"/>
    <cellStyle name="_IRT 2005 - CHESP-140705_Calculo_Subsidio_ELFSM_26_06_08_Modelo_ANEEL" xfId="2671" xr:uid="{D9728F17-C859-4AC9-9BED-3DB1633EAEDE}"/>
    <cellStyle name="_IRT 2005 - CHESP-140705_Calculo_Subsidio_ELFSM_26_06_08_Modelo_ANEEL_IRT-cálculo" xfId="2672" xr:uid="{520B638F-4904-41C3-811E-B40D77BC4C73}"/>
    <cellStyle name="_IRT 2005 - CHESP-140705_Calculo_Subsidio_ELFSM_26_06_08_Modelo_ANEEL_IRT-cálculo CAPA NEUTRALIDADE" xfId="2673" xr:uid="{BA26CB01-2B61-4AC0-B9A3-2A5661A710C3}"/>
    <cellStyle name="_IRT 2005 - CHESP-140705_CVA_Projetada até dez-2008_Setembro" xfId="2674" xr:uid="{686A882E-1CF2-4D1C-B19A-7A25AB443621}"/>
    <cellStyle name="_IRT 2005 - CHESP-140705_CVA_Projetada até dez-2008_Setembro_CVA Outros Componentes PROVISÃO" xfId="2675" xr:uid="{3C37A70E-3F79-443B-AE04-5F1972B827FF}"/>
    <cellStyle name="_IRT 2005 - CHESP-140705_CVA_Projetada até dez-2008_Setembro_PROVISÃO" xfId="2676" xr:uid="{271631F2-7E1B-443D-B52D-1C6D3A8D67E9}"/>
    <cellStyle name="_IRT 2005 - CHESP-140705_Energia Comprada" xfId="2677" xr:uid="{4F68CA68-D17E-4142-9C54-74FB849BFB38}"/>
    <cellStyle name="_IRT 2005 - CHESP-140705_Energia Comprada_IRT-cálculo" xfId="2678" xr:uid="{79192393-C2BA-4F99-9684-294C1F63C714}"/>
    <cellStyle name="_IRT 2005 - CHESP-140705_Energia Comprada_IRT-cálculo CAPA NEUTRALIDADE" xfId="2679" xr:uid="{841BAECE-C960-4468-8754-AA54104AF368}"/>
    <cellStyle name="_IRT 2005 - CHESP-140705_Fator X" xfId="1582" xr:uid="{3ECE2907-B5D7-4A99-81A5-45F0E351D4D7}"/>
    <cellStyle name="_IRT 2005 - CHESP-140705_Fator X_atualização serviços taxados" xfId="42976" xr:uid="{98CE8C89-6C94-4F9D-B3F6-1D0EB394BA38}"/>
    <cellStyle name="_IRT 2005 - CHESP-140705_Fator X_Financeiro Desconto na TUSD Consumidores Livres Reajuste 2010 - 03_03_2010" xfId="42977" xr:uid="{F5A6D219-141B-4802-B8A6-098016769B74}"/>
    <cellStyle name="_IRT 2005 - CHESP-140705_Fator X_Financeiro Desconto na TUSD Geradores Reajuste 2010 - 03_03_2010" xfId="42978" xr:uid="{89DC79F6-7384-4E01-B5BC-DCA4EB96CB1A}"/>
    <cellStyle name="_IRT 2005 - CHESP-140705_Fator X_Financeiro Subsídio Baixa Renda Reajuste 2010 - 03_03_2010" xfId="42979" xr:uid="{2A3EF1D2-51E2-4CE5-9188-4AB1509D8247}"/>
    <cellStyle name="_IRT 2005 - CHESP-140705_Fator X_Financeiro Subsídio Rural Irrigante e Aquicultor Reajuste 2010 - 03_03_2010" xfId="42980" xr:uid="{85DB15E9-4131-43AE-A766-FD561EA8D252}"/>
    <cellStyle name="_IRT 2005 - CHESP-140705_Fator X_IRT-cálculo" xfId="2680" xr:uid="{1DFEE2CC-B52D-4B96-BC9B-652BFD0F74A2}"/>
    <cellStyle name="_IRT 2005 - CHESP-140705_Fator X_IRT-cálculo CAPA NEUTRALIDADE" xfId="2681" xr:uid="{4300A55D-59CB-4610-878C-B5D053CA355D}"/>
    <cellStyle name="_IRT 2005 - CHESP-140705_Fator X_SOBRECONTRATAÇÃO E CVA" xfId="2682" xr:uid="{877EBC7D-8908-430A-8507-A684F66B0051}"/>
    <cellStyle name="_IRT 2005 - CHESP-140705_Financeiro Desconto na TUSD Consumidores Livres Reajuste 2010 - 03_03_2010" xfId="42981" xr:uid="{E9B890ED-7674-4E3B-8120-184869FD2586}"/>
    <cellStyle name="_IRT 2005 - CHESP-140705_Financeiro Desconto na TUSD Geradores Reajuste 2010 - 03_03_2010" xfId="42982" xr:uid="{E5732298-1D1E-4D8D-8C7B-8FEF45CB258E}"/>
    <cellStyle name="_IRT 2005 - CHESP-140705_Financeiro Subsídio Baixa Renda Reajuste 2010 - 03_03_2010" xfId="42983" xr:uid="{20C2F00C-07A1-46A0-9317-AA6612EFD9BB}"/>
    <cellStyle name="_IRT 2005 - CHESP-140705_Financeiro Subsídio Rural Irrigante e Aquicultor Reajuste 2010 - 03_03_2010" xfId="42984" xr:uid="{4605EBAB-6DCA-40D2-A430-1F7FCF2E58D6}"/>
    <cellStyle name="_IRT 2005 - CHESP-140705_IF - Autoprodutores 2" xfId="2683" xr:uid="{89086DB3-9132-4F41-8609-E4EC3031A4BC}"/>
    <cellStyle name="_IRT 2005 - CHESP-140705_IF_Consumidores livres e geradoras_2010" xfId="2684" xr:uid="{72C89689-D402-4941-AB82-CBB04B3F9BB9}"/>
    <cellStyle name="_IRT 2005 - CHESP-140705_IRT (2)" xfId="1583" xr:uid="{3D500372-8D1D-4C31-9B4E-E09E4194C006}"/>
    <cellStyle name="_IRT 2005 - CHESP-140705_IRT (2) 2" xfId="2685" xr:uid="{37EF7D3B-A938-4B60-B4B3-F253EF7968E6}"/>
    <cellStyle name="_IRT 2005 - CHESP-140705_IRT_1" xfId="1584" xr:uid="{F6AC0A85-0AD0-474D-95F0-73EDFA0CCBCC}"/>
    <cellStyle name="_IRT 2005 - CHESP-140705_IRT_1_atualização serviços taxados" xfId="42985" xr:uid="{CCFF9348-81C8-45BC-B133-A30114AB4ED1}"/>
    <cellStyle name="_IRT 2005 - CHESP-140705_IRT_1_Financeiro Desconto na TUSD Consumidores Livres Reajuste 2010 - 03_03_2010" xfId="42986" xr:uid="{9F4057D2-A3B5-4174-87F8-0C527CDF9903}"/>
    <cellStyle name="_IRT 2005 - CHESP-140705_IRT_1_Financeiro Desconto na TUSD Geradores Reajuste 2010 - 03_03_2010" xfId="42987" xr:uid="{299E07AB-5D80-42E7-BCB2-1C7BF05E1AA4}"/>
    <cellStyle name="_IRT 2005 - CHESP-140705_IRT_1_Financeiro Subsídio Baixa Renda Reajuste 2010 - 03_03_2010" xfId="42988" xr:uid="{5A541803-EB14-4C7D-9F9B-F596E8156974}"/>
    <cellStyle name="_IRT 2005 - CHESP-140705_IRT_1_Financeiro Subsídio Rural Irrigante e Aquicultor Reajuste 2010 - 03_03_2010" xfId="42989" xr:uid="{4DD521A9-05DB-42B4-AB9C-CA723AE64654}"/>
    <cellStyle name="_IRT 2005 - CHESP-140705_IRT_1_IRT-cálculo" xfId="2686" xr:uid="{51BD547B-A413-4DC7-A69C-5F8DB3C92556}"/>
    <cellStyle name="_IRT 2005 - CHESP-140705_IRT_1_IRT-cálculo CAPA NEUTRALIDADE" xfId="2687" xr:uid="{77D07165-89F3-4C3D-9B93-C41F81A52CF7}"/>
    <cellStyle name="_IRT 2005 - CHESP-140705_IRT_1_SOBRECONTRATAÇÃO E CVA" xfId="2688" xr:uid="{E654A176-A619-43B7-A0A9-303823027986}"/>
    <cellStyle name="_IRT 2005 - CHESP-140705_IRT_Planilha Básica_ CETRIL" xfId="263" xr:uid="{F10BE13E-3B67-4E61-A8D3-8D9AE5D282A1}"/>
    <cellStyle name="_IRT 2005 - CHESP-140705_IRT_Planilha Básica_ CETRIL 2" xfId="1293" xr:uid="{764F9432-412B-4598-BAD4-2952025B9461}"/>
    <cellStyle name="_IRT 2005 - CHESP-140705_IRT_Pleito" xfId="2689" xr:uid="{3AE76E0F-A303-4C33-9431-F77CDE174371}"/>
    <cellStyle name="_IRT 2005 - CHESP-140705_IRT_Pleito_IRT-cálculo" xfId="2690" xr:uid="{89EA672E-E0CF-4147-B58B-2F4D684F2D36}"/>
    <cellStyle name="_IRT 2005 - CHESP-140705_IRT_Pleito_IRT-cálculo CAPA NEUTRALIDADE" xfId="2691" xr:uid="{A773D9F4-7C7F-4B69-BD41-0F0E438B2F95}"/>
    <cellStyle name="_IRT 2005 - CHESP-140705_IRT_Revisão A-1" xfId="2692" xr:uid="{D815BE0C-BCB9-488E-8D6C-B8F7B876FD84}"/>
    <cellStyle name="_IRT 2005 - CHESP-140705_IRT-cálculo" xfId="2693" xr:uid="{56F0298F-A257-402F-9436-CB05BB790344}"/>
    <cellStyle name="_IRT 2005 - CHESP-140705_IRT-cálculo CAPA NEUTRALIDADE" xfId="2694" xr:uid="{17FE25EE-295D-4D9B-9EFF-0C85DCE2D938}"/>
    <cellStyle name="_IRT 2005 - CHESP-140705_Pasta1" xfId="1585" xr:uid="{DB0C135C-AF1C-463A-A2FE-A8FF939BA604}"/>
    <cellStyle name="_IRT 2005 - CHESP-140705_Pasta1_atualização serviços taxados" xfId="42990" xr:uid="{2593A8B0-497A-457E-BB69-9C1F63562B5F}"/>
    <cellStyle name="_IRT 2005 - CHESP-140705_Pasta1_Financeiro Desconto na TUSD Consumidores Livres Reajuste 2010 - 03_03_2010" xfId="42991" xr:uid="{6C2022A9-5399-4BB1-97EC-800B2CC77677}"/>
    <cellStyle name="_IRT 2005 - CHESP-140705_Pasta1_Financeiro Desconto na TUSD Geradores Reajuste 2010 - 03_03_2010" xfId="42992" xr:uid="{C913CECE-75E8-453A-8E78-C36BEAFE7626}"/>
    <cellStyle name="_IRT 2005 - CHESP-140705_Pasta1_Financeiro Subsídio Baixa Renda Reajuste 2010 - 03_03_2010" xfId="42993" xr:uid="{BD30C302-A7BE-48A6-B7A2-E29DB88380F6}"/>
    <cellStyle name="_IRT 2005 - CHESP-140705_Pasta1_Financeiro Subsídio Rural Irrigante e Aquicultor Reajuste 2010 - 03_03_2010" xfId="42994" xr:uid="{4A878671-F977-4C92-9C72-86799D064306}"/>
    <cellStyle name="_IRT 2005 - CHESP-140705_Pasta1_IRT-cálculo" xfId="2695" xr:uid="{05336CB9-F819-46FE-9CF8-C823843E4AA8}"/>
    <cellStyle name="_IRT 2005 - CHESP-140705_Pasta1_IRT-cálculo CAPA NEUTRALIDADE" xfId="2696" xr:uid="{30D9BF11-3802-44AA-9737-1FF3857A18E5}"/>
    <cellStyle name="_IRT 2005 - CHESP-140705_Pasta1_SOBRECONTRATAÇÃO E CVA" xfId="2697" xr:uid="{69A82270-6962-420A-BABA-0760C1882313}"/>
    <cellStyle name="_IRT 2005 - CHESP-140705_Sheet1" xfId="2698" xr:uid="{94DC4239-8837-49FC-A856-A7FAF9F21BF0}"/>
    <cellStyle name="_IRT 2005 - CHESP-140705_SOBRECONTRATAÇÃO E CVA" xfId="2699" xr:uid="{6906DBA2-7AB0-4040-9922-730C0FB13B40}"/>
    <cellStyle name="_IRT 2005 - CHESP-140705_SOBRECONTRATAÇÃO E CVA A-1" xfId="2700" xr:uid="{2C16CE45-A6E9-49BC-9A06-38C0E5457C2F}"/>
    <cellStyle name="_IRT 2005 - CHESP-140705_SOBRECONTRATAÇÃO E CVA A-1_IRT-cálculo" xfId="2701" xr:uid="{E92FC3C5-EC9C-411E-A82D-1C4FA4630FD5}"/>
    <cellStyle name="_IRT 2005 - CHESP-140705_SOBRECONTRATAÇÃO E CVA A-1_IRT-cálculo CAPA NEUTRALIDADE" xfId="2702" xr:uid="{E9DC7DAF-8E8C-468F-A845-4557DE8FCF96}"/>
    <cellStyle name="_IRT 2006 - CEEE" xfId="264" xr:uid="{4ABC646C-D147-4056-93ED-89D9A4473A3F}"/>
    <cellStyle name="_IRT 2006 - CEEE_atualização serviços taxados" xfId="42995" xr:uid="{9AA094E7-9677-409C-96AA-A02AA05141A5}"/>
    <cellStyle name="_IRT 2006 - CEEE_Calculo_Subsidio_ELFSM_26_06_08_Modelo_ANEEL" xfId="2703" xr:uid="{98A2CFA6-1EF9-4948-B8EA-7D38ED71991C}"/>
    <cellStyle name="_IRT 2006 - CEEE_Calculo_Subsidio_ELFSM_26_06_08_Modelo_ANEEL_IRT-cálculo" xfId="2704" xr:uid="{78C80D10-10B1-42A3-8DB3-6FF70FFEFF3B}"/>
    <cellStyle name="_IRT 2006 - CEEE_Calculo_Subsidio_ELFSM_26_06_08_Modelo_ANEEL_IRT-cálculo CAPA NEUTRALIDADE" xfId="2705" xr:uid="{0429FF85-17F4-460C-80E7-F04F56CDA2BC}"/>
    <cellStyle name="_IRT 2006 - CEEE_CVA_Projetada até dez-2008_Setembro" xfId="2706" xr:uid="{269F8FCC-BBE4-4E35-B0F1-98D35AD53D18}"/>
    <cellStyle name="_IRT 2006 - CEEE_CVA_Projetada até dez-2008_Setembro_CVA Outros Componentes PROVISÃO" xfId="2707" xr:uid="{05B4FA9E-D421-4AB5-A466-2EA4950958DF}"/>
    <cellStyle name="_IRT 2006 - CEEE_CVA_Projetada até dez-2008_Setembro_PROVISÃO" xfId="2708" xr:uid="{6586D328-C0CE-4F81-9172-C136D4CA9FE8}"/>
    <cellStyle name="_IRT 2006 - CEEE_Energia Comprada" xfId="2709" xr:uid="{8C0B8DCA-FABD-4928-9DEB-5834C3CF3574}"/>
    <cellStyle name="_IRT 2006 - CEEE_Energia Comprada_IRT-cálculo" xfId="2710" xr:uid="{0903FBC4-9C0B-4489-A73D-F89A8CE5D12E}"/>
    <cellStyle name="_IRT 2006 - CEEE_Energia Comprada_IRT-cálculo CAPA NEUTRALIDADE" xfId="2711" xr:uid="{22B55987-633F-44FA-9A84-912F08D295F8}"/>
    <cellStyle name="_IRT 2006 - CEEE_Fator X" xfId="1586" xr:uid="{146C1555-5D3E-45EB-95AA-FE8604568A40}"/>
    <cellStyle name="_IRT 2006 - CEEE_Fator X_atualização serviços taxados" xfId="42996" xr:uid="{D82529E6-D664-4681-8849-B1F7813A925E}"/>
    <cellStyle name="_IRT 2006 - CEEE_Fator X_Financeiro Desconto na TUSD Consumidores Livres Reajuste 2010 - 03_03_2010" xfId="42997" xr:uid="{71FDCCB0-F915-465A-9302-3B9AA640DC21}"/>
    <cellStyle name="_IRT 2006 - CEEE_Fator X_Financeiro Desconto na TUSD Geradores Reajuste 2010 - 03_03_2010" xfId="42998" xr:uid="{95B2A7BB-4C1B-43D7-B111-25B99F866BA8}"/>
    <cellStyle name="_IRT 2006 - CEEE_Fator X_Financeiro Subsídio Baixa Renda Reajuste 2010 - 03_03_2010" xfId="42999" xr:uid="{FB1FE90F-F7C8-4EDB-892C-F4210B9BF4E3}"/>
    <cellStyle name="_IRT 2006 - CEEE_Fator X_Financeiro Subsídio Rural Irrigante e Aquicultor Reajuste 2010 - 03_03_2010" xfId="43000" xr:uid="{F74048B7-313E-4D41-965E-06132DFB91B8}"/>
    <cellStyle name="_IRT 2006 - CEEE_Fator X_IRT-cálculo" xfId="2712" xr:uid="{D6C2187A-3929-4880-8C1B-3B6EEEFE0256}"/>
    <cellStyle name="_IRT 2006 - CEEE_Fator X_IRT-cálculo CAPA NEUTRALIDADE" xfId="2713" xr:uid="{B812A303-2D5E-4166-9E1D-E42514DAAEAB}"/>
    <cellStyle name="_IRT 2006 - CEEE_Fator X_SOBRECONTRATAÇÃO E CVA" xfId="2714" xr:uid="{74D98817-EA9F-43AC-90F2-4E147E7C64D8}"/>
    <cellStyle name="_IRT 2006 - CEEE_Financeiro Desconto na TUSD Consumidores Livres Reajuste 2010 - 03_03_2010" xfId="43001" xr:uid="{FF787F3E-9935-4931-9C9F-DB0B59BBA6C3}"/>
    <cellStyle name="_IRT 2006 - CEEE_Financeiro Desconto na TUSD Geradores Reajuste 2010 - 03_03_2010" xfId="43002" xr:uid="{1BFD6BE7-21F0-4744-8FD3-7DDA38977DE6}"/>
    <cellStyle name="_IRT 2006 - CEEE_Financeiro Subsídio Baixa Renda Reajuste 2010 - 03_03_2010" xfId="43003" xr:uid="{0EEB7C27-B552-43A8-8B25-4EFEA978834A}"/>
    <cellStyle name="_IRT 2006 - CEEE_Financeiro Subsídio Rural Irrigante e Aquicultor Reajuste 2010 - 03_03_2010" xfId="43004" xr:uid="{4BFA5CBE-38AE-4F0F-B54D-B0132D14B2EC}"/>
    <cellStyle name="_IRT 2006 - CEEE_IF - Autoprodutores 2" xfId="2715" xr:uid="{B0E0C6BD-B57E-4E41-BDCC-12A0BA1F4BEF}"/>
    <cellStyle name="_IRT 2006 - CEEE_IF_Consumidores livres e geradoras_2010" xfId="2716" xr:uid="{4FDA9BCC-0E6A-48E4-A626-CE396B02E2D2}"/>
    <cellStyle name="_IRT 2006 - CEEE_IRT (2)" xfId="1587" xr:uid="{E8D3D310-DE1F-4117-BF3F-946D7D29AD22}"/>
    <cellStyle name="_IRT 2006 - CEEE_IRT (2) 2" xfId="2717" xr:uid="{38B1E9C8-0CAB-4E62-84CE-6B9E44291525}"/>
    <cellStyle name="_IRT 2006 - CEEE_IRT_1" xfId="1588" xr:uid="{A4F2F0DB-9D1B-48B1-A750-D06FA7E57E2C}"/>
    <cellStyle name="_IRT 2006 - CEEE_IRT_1_atualização serviços taxados" xfId="43005" xr:uid="{6DA58F1F-6315-4717-B095-B74F8BF14DAC}"/>
    <cellStyle name="_IRT 2006 - CEEE_IRT_1_Financeiro Desconto na TUSD Consumidores Livres Reajuste 2010 - 03_03_2010" xfId="43006" xr:uid="{D324628C-0BBE-485B-89E2-92F470FC4C57}"/>
    <cellStyle name="_IRT 2006 - CEEE_IRT_1_Financeiro Desconto na TUSD Geradores Reajuste 2010 - 03_03_2010" xfId="43007" xr:uid="{4A4BDF59-ADF7-4004-BECD-3F7ABD073BB5}"/>
    <cellStyle name="_IRT 2006 - CEEE_IRT_1_Financeiro Subsídio Baixa Renda Reajuste 2010 - 03_03_2010" xfId="43008" xr:uid="{7B3B7A2B-F7B0-4973-80D1-24DA560472DF}"/>
    <cellStyle name="_IRT 2006 - CEEE_IRT_1_Financeiro Subsídio Rural Irrigante e Aquicultor Reajuste 2010 - 03_03_2010" xfId="43009" xr:uid="{F2944CCD-771B-4405-AB07-73834D0E1B50}"/>
    <cellStyle name="_IRT 2006 - CEEE_IRT_1_IRT-cálculo" xfId="2718" xr:uid="{1EF96750-5AA9-4520-BA8A-95667FB4111A}"/>
    <cellStyle name="_IRT 2006 - CEEE_IRT_1_IRT-cálculo CAPA NEUTRALIDADE" xfId="2719" xr:uid="{575F4097-034C-4BEE-B403-4BFB9D39F066}"/>
    <cellStyle name="_IRT 2006 - CEEE_IRT_1_SOBRECONTRATAÇÃO E CVA" xfId="2720" xr:uid="{E4603199-2FD5-4804-9D7B-59B5CD4ECCDC}"/>
    <cellStyle name="_IRT 2006 - CEEE_IRT_Planilha Básica_ CETRIL" xfId="265" xr:uid="{1E9A0768-4A5A-4A79-BD28-85E08B9D3FEE}"/>
    <cellStyle name="_IRT 2006 - CEEE_IRT_Planilha Básica_ CETRIL 2" xfId="1294" xr:uid="{51A418C5-E3C3-4752-BC1F-432ED4AE11F9}"/>
    <cellStyle name="_IRT 2006 - CEEE_IRT_Pleito" xfId="2721" xr:uid="{18A33EA9-6A6A-4452-9379-D8BF8D01DABA}"/>
    <cellStyle name="_IRT 2006 - CEEE_IRT_Pleito_IRT-cálculo" xfId="2722" xr:uid="{82A67772-7532-48E1-B405-FB2D4AB93600}"/>
    <cellStyle name="_IRT 2006 - CEEE_IRT_Pleito_IRT-cálculo CAPA NEUTRALIDADE" xfId="2723" xr:uid="{C730DA0D-6876-433B-9CBD-24D376AFDBF9}"/>
    <cellStyle name="_IRT 2006 - CEEE_IRT_Revisão A-1" xfId="2724" xr:uid="{86D72970-E81B-4104-A70A-186F109F5D4E}"/>
    <cellStyle name="_IRT 2006 - CEEE_IRT-cálculo" xfId="2725" xr:uid="{B4106688-97C6-4AF6-AD82-AE4138FD9A78}"/>
    <cellStyle name="_IRT 2006 - CEEE_IRT-cálculo CAPA NEUTRALIDADE" xfId="2726" xr:uid="{0C31DAE8-A672-4E87-8B1C-10B80AF1A486}"/>
    <cellStyle name="_IRT 2006 - CEEE_Pasta1" xfId="1589" xr:uid="{F567CB55-9D74-4202-AEFE-C8C07D09A391}"/>
    <cellStyle name="_IRT 2006 - CEEE_Pasta1_atualização serviços taxados" xfId="43010" xr:uid="{D2E10BA7-8FB0-4C2D-B85B-2754B7BC8059}"/>
    <cellStyle name="_IRT 2006 - CEEE_Pasta1_Financeiro Desconto na TUSD Consumidores Livres Reajuste 2010 - 03_03_2010" xfId="43011" xr:uid="{CD74C701-DDD1-48B5-85E3-F15C58EDFCC7}"/>
    <cellStyle name="_IRT 2006 - CEEE_Pasta1_Financeiro Desconto na TUSD Geradores Reajuste 2010 - 03_03_2010" xfId="43012" xr:uid="{5B994556-6958-4F60-89BE-E56ED122741D}"/>
    <cellStyle name="_IRT 2006 - CEEE_Pasta1_Financeiro Subsídio Baixa Renda Reajuste 2010 - 03_03_2010" xfId="43013" xr:uid="{25E0C556-06A5-494A-91D4-3F0C31A9F07F}"/>
    <cellStyle name="_IRT 2006 - CEEE_Pasta1_Financeiro Subsídio Rural Irrigante e Aquicultor Reajuste 2010 - 03_03_2010" xfId="43014" xr:uid="{7CA02A84-18DC-47BA-9D11-ED12BF8A3C06}"/>
    <cellStyle name="_IRT 2006 - CEEE_Pasta1_IRT-cálculo" xfId="2727" xr:uid="{68CEF166-9389-4CE1-8580-4F81D5D21880}"/>
    <cellStyle name="_IRT 2006 - CEEE_Pasta1_IRT-cálculo CAPA NEUTRALIDADE" xfId="2728" xr:uid="{CF8C9138-BBE3-4583-BCB9-1E7B4A30EAE8}"/>
    <cellStyle name="_IRT 2006 - CEEE_Pasta1_SOBRECONTRATAÇÃO E CVA" xfId="2729" xr:uid="{CB2D82D9-7872-44E1-BDA7-E2A5E114E421}"/>
    <cellStyle name="_IRT 2006 - CEEE_Sheet1" xfId="2730" xr:uid="{BD61F087-4AD9-45D6-AC1F-6C598D6CC60A}"/>
    <cellStyle name="_IRT 2006 - CEEE_SOBRECONTRATAÇÃO E CVA" xfId="2731" xr:uid="{F1A27D01-CD9A-434A-A3CF-49CECAA18CF5}"/>
    <cellStyle name="_IRT 2006 - CEEE_SOBRECONTRATAÇÃO E CVA A-1" xfId="2732" xr:uid="{09D36123-39A7-4BD9-A704-FB4DC8302E67}"/>
    <cellStyle name="_IRT 2006 - CEEE_SOBRECONTRATAÇÃO E CVA A-1_IRT-cálculo" xfId="2733" xr:uid="{08C6D9E9-E74E-4E31-8280-E2E8BA7F32D2}"/>
    <cellStyle name="_IRT 2006 - CEEE_SOBRECONTRATAÇÃO E CVA A-1_IRT-cálculo CAPA NEUTRALIDADE" xfId="2734" xr:uid="{5579D0E8-C07E-4E0B-B18A-91CCF437F7D0}"/>
    <cellStyle name="_IRT 2006 Boa Vista" xfId="266" xr:uid="{65C09DB4-543C-4B11-A63C-9F83839002D6}"/>
    <cellStyle name="_IRT 2006 Boa Vista 2" xfId="1295" xr:uid="{3D0E7AAB-2A98-4201-8977-4957F3222510}"/>
    <cellStyle name="_IRT 2006 Boa Vista 3" xfId="2735" xr:uid="{2836639D-B9C5-4A7B-86A4-7FDDE5ED4457}"/>
    <cellStyle name="_IRT 2006 Boa Vista_Balanço" xfId="267" xr:uid="{A4DAC88C-EC1A-4056-8347-84FE4221B27B}"/>
    <cellStyle name="_IRT 2006 Boa Vista_casulo 15" xfId="268" xr:uid="{AF3028E3-5D15-47DB-A3C9-33F9D5146D53}"/>
    <cellStyle name="_IRT 2006 Boa Vista_COELCE  ICMS Não Compensado RTO 2012 281211" xfId="2736" xr:uid="{92B636A3-D196-4807-9B7C-71D7BF6003E2}"/>
    <cellStyle name="_IRT 2006 Boa Vista_COELCE - RTO 2011 - PLPT_PLANILHA_CÁLCULO_DÉFICIT" xfId="2737" xr:uid="{84E0EF12-6E0D-4952-B096-6E77C0C70278}"/>
    <cellStyle name="_IRT 2006 Boa Vista_Exposição_Agosto 2" xfId="2738" xr:uid="{E068F67F-1C61-44D2-AB5D-3CE78A773DD5}"/>
    <cellStyle name="_IRT 2006 Boa Vista_IRT EEB 2010" xfId="2739" xr:uid="{04228E5F-2799-42F2-A9D2-C9F76901EF42}"/>
    <cellStyle name="_IRT 2006 Boa Vista_IRT_Revisão A-2" xfId="2740" xr:uid="{360B3361-7AC3-4910-80BA-AD6FFA67AAEF}"/>
    <cellStyle name="_IRT 2006 Boa Vista_IRT-cálculo" xfId="2741" xr:uid="{FEFF0E27-211C-48DA-AEFA-96A78330782D}"/>
    <cellStyle name="_IRT 2006 Boa Vista_Simulação AES SUL 03_04_07" xfId="269" xr:uid="{DEF8EC7C-AFE3-4D9F-BD3A-8491753A965A}"/>
    <cellStyle name="_IRT 2006 Boa Vista_Simulação AES SUL 03_04_07 2" xfId="1296" xr:uid="{A7A1C698-3E0A-48F6-BAED-1958C6E1DAED}"/>
    <cellStyle name="_IRT 2006 Boa Vista_Simulação AES SUL 03_04_07 3" xfId="2742" xr:uid="{07D88D0E-0C0F-4B28-93F8-B4203D90F2AB}"/>
    <cellStyle name="_IRT 2006 Boa Vista_Simulação AES SUL 03_04_07_Balanço" xfId="270" xr:uid="{FCFFAEE9-94C6-4F81-9A5E-5154D87C090B}"/>
    <cellStyle name="_IRT 2006 Boa Vista_Simulação AES SUL 03_04_07_casulo 15" xfId="271" xr:uid="{2ED967DB-9608-496A-817E-67A6C8F2B18C}"/>
    <cellStyle name="_IRT 2006 Boa Vista_Simulação AES SUL 03_04_07_IRT EEB 2010" xfId="2743" xr:uid="{4ED141E2-2EBC-423A-9F6C-517677F7ED6B}"/>
    <cellStyle name="_IRT 2006 Boa Vista_Simulação congelamento COELCE 2011 - Propostas 3ª Fase AP040 (20.12.2011)" xfId="2744" xr:uid="{A5DF71E4-A49C-4A73-BCCF-D18F8D09B693}"/>
    <cellStyle name="_IRT 2006 Boa Vista_Sobrecontratação AES (2)" xfId="272" xr:uid="{B08EE66B-E46D-4E49-9168-FC9C1F3FE1C4}"/>
    <cellStyle name="_IRT 2006 Boa Vista_Sobrecontratação AES (2) 2" xfId="1297" xr:uid="{2E090AD9-8307-4184-927E-6E3F4328AABE}"/>
    <cellStyle name="_IRT 2006 Boa Vista_Sobrecontratação AES (2) 3" xfId="2745" xr:uid="{07216526-E8B0-4986-B131-8AAB4AB8C0F2}"/>
    <cellStyle name="_IRT 2006 Boa Vista_Sobrecontratação AES (2)_Balanço" xfId="273" xr:uid="{C1042008-9710-4EFE-B225-4A7ECA3592DD}"/>
    <cellStyle name="_IRT 2006 Boa Vista_Sobrecontratação AES (2)_casulo 15" xfId="274" xr:uid="{2914F645-1E16-4C2F-9BD4-9D1A5D963D9E}"/>
    <cellStyle name="_IRT 2006 Boa Vista_Sobrecontratação AES (2)_IRT EEB 2010" xfId="2746" xr:uid="{D79A0054-CB3F-4187-912B-05F2F8AD42CF}"/>
    <cellStyle name="_IRT 2006 Boa Vista_SOBRECONTRATAÇÃO E CVA" xfId="2747" xr:uid="{BFA38B99-6C4F-44EA-A515-9C5DF361424D}"/>
    <cellStyle name="_IRT 2007 - COELBA" xfId="275" xr:uid="{6606AAB1-13CB-4847-823E-739D1B368A4E}"/>
    <cellStyle name="_IRT 2007 - COELBA_atualização serviços taxados" xfId="43015" xr:uid="{5ABFD083-EB1E-492C-A0CB-A2C629D9E9F1}"/>
    <cellStyle name="_IRT 2007 - COELBA_Financeiro Desconto na TUSD Consumidores Livres Reajuste 2010 - 03_03_2010" xfId="43016" xr:uid="{0E02818B-263E-42B5-9BF8-784D8E00BE96}"/>
    <cellStyle name="_IRT 2007 - COELBA_Financeiro Desconto na TUSD Geradores Reajuste 2010 - 03_03_2010" xfId="43017" xr:uid="{A554CBDC-14D4-446D-862B-716BBDA5EF59}"/>
    <cellStyle name="_IRT 2007 - COELBA_Financeiro Subsídio Baixa Renda Reajuste 2010 - 03_03_2010" xfId="43018" xr:uid="{B3CFDBD0-DE3B-4461-99F5-CEDBD4570E1A}"/>
    <cellStyle name="_IRT 2007 - COELBA_Financeiro Subsídio Rural Irrigante e Aquicultor Reajuste 2010 - 03_03_2010" xfId="43019" xr:uid="{45E2FC24-40BF-4782-8F90-B6E4D50EF71C}"/>
    <cellStyle name="_IRT 2007 - COELBA_IF - Autoprodutores 2" xfId="2748" xr:uid="{875155B1-6663-416B-BD49-B58B406FA75C}"/>
    <cellStyle name="_IRT 2007 - COELBA_IF_Consumidores livres e geradoras_2010" xfId="2749" xr:uid="{5FEF3FEC-7FD3-404D-9538-BA214C9C8121}"/>
    <cellStyle name="_IRT 2007 - COELBA_IRT-cálculo" xfId="2750" xr:uid="{F759E35A-0829-4DD3-AFAA-CAC823D49807}"/>
    <cellStyle name="_IRT 2007 - COELBA_Sheet1" xfId="2751" xr:uid="{E8EDAE5C-5F52-4E19-BC93-EA86F4DFDF38}"/>
    <cellStyle name="_IRT 2007 - COELBA_Sheet2" xfId="2752" xr:uid="{CE705F76-04D6-480D-BD7E-FD363F470079}"/>
    <cellStyle name="_IRT 2007 - Enersul" xfId="276" xr:uid="{77B19A39-06CF-4204-B17C-22B73CB8F097}"/>
    <cellStyle name="_IRT 2007 - Enersul_IF - Autoprodutores 2" xfId="2753" xr:uid="{4D039AD1-02C7-4C93-8A30-1F90086154E5}"/>
    <cellStyle name="_IRT 2007 - Enersul_IF_Consumidores livres e geradoras_2010" xfId="2754" xr:uid="{BF1A933D-7E49-49FE-8C1A-4294F4A53B0A}"/>
    <cellStyle name="_IRT 2007 - Enersul_IRT-cálculo" xfId="2755" xr:uid="{6FD15FFA-8234-4BFB-81E6-49EE555F8635}"/>
    <cellStyle name="_IRT 2007 - Enersul_Sheet1" xfId="2756" xr:uid="{2D76C2E4-9B61-4332-89EB-D67DECDCE7FB}"/>
    <cellStyle name="_IRT CPEE_fev07" xfId="277" xr:uid="{D053F200-AEA4-4717-A5B2-FFB9AEF2F66F}"/>
    <cellStyle name="_IRT CPEE_fev07_atualização serviços taxados" xfId="43020" xr:uid="{78B39B1A-87B6-4C83-BDA7-E83AA9757966}"/>
    <cellStyle name="_IRT CPEE_fev07_Calculo_Subsidio_ELFSM_26_06_08_Modelo_ANEEL" xfId="2757" xr:uid="{435150C4-DC97-445B-BDF1-0D4DBDFAE021}"/>
    <cellStyle name="_IRT CPEE_fev07_Calculo_Subsidio_ELFSM_26_06_08_Modelo_ANEEL_IRT-cálculo" xfId="2758" xr:uid="{23FE434A-43A5-4C1E-AD54-B934A9FA52E3}"/>
    <cellStyle name="_IRT CPEE_fev07_Calculo_Subsidio_ELFSM_26_06_08_Modelo_ANEEL_IRT-cálculo CAPA NEUTRALIDADE" xfId="2759" xr:uid="{CAE7E29E-6E06-4482-AC9D-D1FD0E779AB4}"/>
    <cellStyle name="_IRT CPEE_fev07_CVA_Projetada até dez-2008_Setembro" xfId="2760" xr:uid="{1BABAD56-3930-4B12-8E37-BF6E77F00CCD}"/>
    <cellStyle name="_IRT CPEE_fev07_CVA_Projetada até dez-2008_Setembro_CVA Outros Componentes PROVISÃO" xfId="2761" xr:uid="{BC1BD33D-67D5-40C9-B39F-009B7D244457}"/>
    <cellStyle name="_IRT CPEE_fev07_CVA_Projetada até dez-2008_Setembro_PROVISÃO" xfId="2762" xr:uid="{011D011B-7143-4E81-9B3B-39986B1DD0DF}"/>
    <cellStyle name="_IRT CPEE_fev07_Energia Comprada" xfId="2763" xr:uid="{21FC015B-AB72-457D-9F3C-67D355266360}"/>
    <cellStyle name="_IRT CPEE_fev07_Energia Comprada_IRT-cálculo" xfId="2764" xr:uid="{D7925097-FCC6-4A6F-A193-CF59408E5CF9}"/>
    <cellStyle name="_IRT CPEE_fev07_Energia Comprada_IRT-cálculo CAPA NEUTRALIDADE" xfId="2765" xr:uid="{9CC90F83-0DBF-45C0-BB93-C2F618556C31}"/>
    <cellStyle name="_IRT CPEE_fev07_Fator X" xfId="1590" xr:uid="{EE5159EA-0291-4A85-841F-B3F1D85CBE0D}"/>
    <cellStyle name="_IRT CPEE_fev07_Fator X_atualização serviços taxados" xfId="43021" xr:uid="{705A5822-7662-4E4E-ACEE-93F0A48C2D37}"/>
    <cellStyle name="_IRT CPEE_fev07_Fator X_Financeiro Desconto na TUSD Consumidores Livres Reajuste 2010 - 03_03_2010" xfId="43022" xr:uid="{BA5C52B3-0693-4CDE-9E51-9E2F9431DEC1}"/>
    <cellStyle name="_IRT CPEE_fev07_Fator X_Financeiro Desconto na TUSD Geradores Reajuste 2010 - 03_03_2010" xfId="43023" xr:uid="{83428670-E0A6-41E4-8CD0-089559FDEADC}"/>
    <cellStyle name="_IRT CPEE_fev07_Fator X_Financeiro Subsídio Baixa Renda Reajuste 2010 - 03_03_2010" xfId="43024" xr:uid="{ACC4EF2D-D239-4050-BD11-97A2C5995383}"/>
    <cellStyle name="_IRT CPEE_fev07_Fator X_Financeiro Subsídio Rural Irrigante e Aquicultor Reajuste 2010 - 03_03_2010" xfId="43025" xr:uid="{A0A136EB-CB50-4658-97A8-DE43C19AD0B3}"/>
    <cellStyle name="_IRT CPEE_fev07_Fator X_IRT-cálculo" xfId="2766" xr:uid="{FF23929E-B023-46D2-8B41-B35C9C781C32}"/>
    <cellStyle name="_IRT CPEE_fev07_Fator X_IRT-cálculo CAPA NEUTRALIDADE" xfId="2767" xr:uid="{CDF8A970-375D-4DD5-8F34-DF25108C180C}"/>
    <cellStyle name="_IRT CPEE_fev07_Fator X_SOBRECONTRATAÇÃO E CVA" xfId="2768" xr:uid="{6DEDA47F-59E0-4DAF-8517-FB299F886B49}"/>
    <cellStyle name="_IRT CPEE_fev07_Financeiro Desconto na TUSD Consumidores Livres Reajuste 2010 - 03_03_2010" xfId="43026" xr:uid="{4C408CFC-7705-426E-88FE-87D5909426E7}"/>
    <cellStyle name="_IRT CPEE_fev07_Financeiro Desconto na TUSD Geradores Reajuste 2010 - 03_03_2010" xfId="43027" xr:uid="{7A6C751D-4897-4098-BD3F-23B626C33B46}"/>
    <cellStyle name="_IRT CPEE_fev07_Financeiro Subsídio Baixa Renda Reajuste 2010 - 03_03_2010" xfId="43028" xr:uid="{B95493F6-805D-4BA3-8A3E-FC7C595EEB0E}"/>
    <cellStyle name="_IRT CPEE_fev07_Financeiro Subsídio Rural Irrigante e Aquicultor Reajuste 2010 - 03_03_2010" xfId="43029" xr:uid="{52415E56-D118-45BB-AF89-D38868648844}"/>
    <cellStyle name="_IRT CPEE_fev07_IF - Autoprodutores 2" xfId="2769" xr:uid="{4F6112FD-0559-47C9-93E5-EE7ABE0786B3}"/>
    <cellStyle name="_IRT CPEE_fev07_IF_Consumidores livres e geradoras_2010" xfId="2770" xr:uid="{0E36E7C3-ED96-49D3-9079-66CBBF88F477}"/>
    <cellStyle name="_IRT CPEE_fev07_IRT (2)" xfId="1591" xr:uid="{5C42B181-0A43-4B73-A17C-80A1F999B6EA}"/>
    <cellStyle name="_IRT CPEE_fev07_IRT (2) 2" xfId="2771" xr:uid="{B749407D-588B-4A00-A2AF-CC6EEF686ED5}"/>
    <cellStyle name="_IRT CPEE_fev07_IRT_1" xfId="1592" xr:uid="{FC375433-8CD3-4822-9893-8D783A8BE68D}"/>
    <cellStyle name="_IRT CPEE_fev07_IRT_1_atualização serviços taxados" xfId="43030" xr:uid="{441457B9-B557-448A-8E5A-EBD700DBC0F1}"/>
    <cellStyle name="_IRT CPEE_fev07_IRT_1_Financeiro Desconto na TUSD Consumidores Livres Reajuste 2010 - 03_03_2010" xfId="43031" xr:uid="{AE193C8A-C9A9-4DE8-8732-40B40ED33096}"/>
    <cellStyle name="_IRT CPEE_fev07_IRT_1_Financeiro Desconto na TUSD Geradores Reajuste 2010 - 03_03_2010" xfId="43032" xr:uid="{24726C19-37D7-4D83-BC41-6839C8968AF4}"/>
    <cellStyle name="_IRT CPEE_fev07_IRT_1_Financeiro Subsídio Baixa Renda Reajuste 2010 - 03_03_2010" xfId="43033" xr:uid="{75AD2B3C-CBA4-4865-AC91-4DE683F17C5F}"/>
    <cellStyle name="_IRT CPEE_fev07_IRT_1_Financeiro Subsídio Rural Irrigante e Aquicultor Reajuste 2010 - 03_03_2010" xfId="43034" xr:uid="{C556EABB-B13A-4C0A-9D3C-D659EA696D47}"/>
    <cellStyle name="_IRT CPEE_fev07_IRT_1_IRT-cálculo" xfId="2772" xr:uid="{AA17F1CF-4946-40D9-9366-6957A2DE2BB2}"/>
    <cellStyle name="_IRT CPEE_fev07_IRT_1_IRT-cálculo CAPA NEUTRALIDADE" xfId="2773" xr:uid="{D230611C-F187-49AB-9B2D-3DB4E234097E}"/>
    <cellStyle name="_IRT CPEE_fev07_IRT_1_SOBRECONTRATAÇÃO E CVA" xfId="2774" xr:uid="{14AF3C6D-3ECB-4E36-BE50-43261653ADEB}"/>
    <cellStyle name="_IRT CPEE_fev07_IRT_Planilha Básica_ CETRIL" xfId="278" xr:uid="{C75E97FB-0DB7-410C-AEF1-37EAB91EA984}"/>
    <cellStyle name="_IRT CPEE_fev07_IRT_Planilha Básica_ CETRIL 2" xfId="1298" xr:uid="{0E52B9AC-9B11-4668-AFFA-02384655BA5F}"/>
    <cellStyle name="_IRT CPEE_fev07_IRT_Pleito" xfId="2775" xr:uid="{AF041353-2A09-4CD3-ADF6-1AB22C9DF87E}"/>
    <cellStyle name="_IRT CPEE_fev07_IRT_Pleito_IRT-cálculo" xfId="2776" xr:uid="{AF968297-153E-4044-A935-DFD825AF8BEC}"/>
    <cellStyle name="_IRT CPEE_fev07_IRT_Pleito_IRT-cálculo CAPA NEUTRALIDADE" xfId="2777" xr:uid="{683D95BF-3274-4F4C-A13D-6210925A0EF5}"/>
    <cellStyle name="_IRT CPEE_fev07_IRT_Revisão A-1" xfId="2778" xr:uid="{8F91EAB7-21C0-497B-8856-D485707BEE06}"/>
    <cellStyle name="_IRT CPEE_fev07_IRT-cálculo" xfId="2779" xr:uid="{2C62E94F-E6E1-4D95-B8DB-800BD317FE02}"/>
    <cellStyle name="_IRT CPEE_fev07_IRT-cálculo CAPA NEUTRALIDADE" xfId="2780" xr:uid="{356A1CD8-D238-4059-AFA8-5B32DC9B4C19}"/>
    <cellStyle name="_IRT CPEE_fev07_Pasta1" xfId="1593" xr:uid="{5CC9F6D1-7993-4F30-9084-39CB7C0D675C}"/>
    <cellStyle name="_IRT CPEE_fev07_Pasta1_atualização serviços taxados" xfId="43035" xr:uid="{38B15A6E-10B2-4B3F-85A0-86703A8AB1E6}"/>
    <cellStyle name="_IRT CPEE_fev07_Pasta1_Financeiro Desconto na TUSD Consumidores Livres Reajuste 2010 - 03_03_2010" xfId="43036" xr:uid="{8C500CF1-4196-4680-82BB-1E95EE7F7846}"/>
    <cellStyle name="_IRT CPEE_fev07_Pasta1_Financeiro Desconto na TUSD Geradores Reajuste 2010 - 03_03_2010" xfId="43037" xr:uid="{400489DB-B2C9-401E-87F7-C82AFD16FFAD}"/>
    <cellStyle name="_IRT CPEE_fev07_Pasta1_Financeiro Subsídio Baixa Renda Reajuste 2010 - 03_03_2010" xfId="43038" xr:uid="{42D50CD8-7C73-42CC-8159-2E3E216176D0}"/>
    <cellStyle name="_IRT CPEE_fev07_Pasta1_Financeiro Subsídio Rural Irrigante e Aquicultor Reajuste 2010 - 03_03_2010" xfId="43039" xr:uid="{24A065B0-FED5-4D65-96A6-1A0694FF0E90}"/>
    <cellStyle name="_IRT CPEE_fev07_Pasta1_IRT-cálculo" xfId="2781" xr:uid="{C897E622-9C9B-4CDB-B3FD-C9C35AF572CF}"/>
    <cellStyle name="_IRT CPEE_fev07_Pasta1_IRT-cálculo CAPA NEUTRALIDADE" xfId="2782" xr:uid="{29DFE0BA-500B-4CE6-AA23-91F462D42D06}"/>
    <cellStyle name="_IRT CPEE_fev07_Pasta1_SOBRECONTRATAÇÃO E CVA" xfId="2783" xr:uid="{7EBE4C75-702B-46FB-82DC-BE92BFD8866E}"/>
    <cellStyle name="_IRT CPEE_fev07_pós-IGPM" xfId="279" xr:uid="{A0BD403E-4F28-4D91-BAC2-581A811379DB}"/>
    <cellStyle name="_IRT CPEE_fev07_pós-IGPM_atualização serviços taxados" xfId="43040" xr:uid="{62283A62-4410-446C-9A64-ABC3632C574C}"/>
    <cellStyle name="_IRT CPEE_fev07_pós-IGPM_Cálculo do Financeiro do Baixa Renda" xfId="2784" xr:uid="{978289D6-B9D7-45C9-BAAD-1A6D693F4717}"/>
    <cellStyle name="_IRT CPEE_fev07_pós-IGPM_Cálculo do Financeiro do Baixa Renda_IRT-cálculo" xfId="2785" xr:uid="{63755D41-1174-4F52-805B-EBD2332505FE}"/>
    <cellStyle name="_IRT CPEE_fev07_pós-IGPM_Cálculo do Financeiro do Baixa Renda_IRT-cálculo CAPA NEUTRALIDADE" xfId="2786" xr:uid="{89CB5B75-E389-4CCE-B4A4-14EF485A8758}"/>
    <cellStyle name="_IRT CPEE_fev07_pós-IGPM_Custo com Avaliação de Ativos para Base de Remuneração" xfId="2787" xr:uid="{1E556BA6-9C1D-4020-9531-6E3D260CB26D}"/>
    <cellStyle name="_IRT CPEE_fev07_pós-IGPM_Custo com Avaliação de Ativos para Base de Remuneração_IRT-cálculo" xfId="2788" xr:uid="{DC32390E-FC7C-408E-9BFA-A78A1702C265}"/>
    <cellStyle name="_IRT CPEE_fev07_pós-IGPM_Custo com Avaliação de Ativos para Base de Remuneração_IRT-cálculo CAPA NEUTRALIDADE" xfId="2789" xr:uid="{F95AE697-9140-4FC2-8A1E-7EFDCAD86335}"/>
    <cellStyle name="_IRT CPEE_fev07_pós-IGPM_Energia Comprada" xfId="2790" xr:uid="{439B6BC4-25A6-4C20-AC41-CCF84231681A}"/>
    <cellStyle name="_IRT CPEE_fev07_pós-IGPM_Energia Comprada_IRT-cálculo" xfId="2791" xr:uid="{FB91AF48-9109-4A1D-89D0-2CDCE1B052C2}"/>
    <cellStyle name="_IRT CPEE_fev07_pós-IGPM_Energia Comprada_IRT-cálculo CAPA NEUTRALIDADE" xfId="2792" xr:uid="{456EE6C9-E446-4449-AD01-DD33F942BDE7}"/>
    <cellStyle name="_IRT CPEE_fev07_pós-IGPM_Fator X" xfId="1594" xr:uid="{56E0BC5E-BBBC-4D29-83CE-0E23483E7040}"/>
    <cellStyle name="_IRT CPEE_fev07_pós-IGPM_Fator X_atualização serviços taxados" xfId="43041" xr:uid="{44AA968F-9DAE-449E-AD25-66B2F9D2E41B}"/>
    <cellStyle name="_IRT CPEE_fev07_pós-IGPM_Fator X_Financeiro Desconto na TUSD Consumidores Livres Reajuste 2010 - 03_03_2010" xfId="43042" xr:uid="{96B78C3F-3377-4990-B51B-41C0F6DE99C7}"/>
    <cellStyle name="_IRT CPEE_fev07_pós-IGPM_Fator X_Financeiro Desconto na TUSD Geradores Reajuste 2010 - 03_03_2010" xfId="43043" xr:uid="{D314F649-905B-437C-92BD-F40D09C35106}"/>
    <cellStyle name="_IRT CPEE_fev07_pós-IGPM_Fator X_Financeiro Subsídio Baixa Renda Reajuste 2010 - 03_03_2010" xfId="43044" xr:uid="{ECC0A19B-6005-4359-8889-68355CD17340}"/>
    <cellStyle name="_IRT CPEE_fev07_pós-IGPM_Fator X_Financeiro Subsídio Rural Irrigante e Aquicultor Reajuste 2010 - 03_03_2010" xfId="43045" xr:uid="{B11420F5-DF2C-4923-A11A-4C4815CE511F}"/>
    <cellStyle name="_IRT CPEE_fev07_pós-IGPM_Fator X_IRT-cálculo" xfId="2793" xr:uid="{5A01A9E1-7D32-4760-8352-233516433C9F}"/>
    <cellStyle name="_IRT CPEE_fev07_pós-IGPM_Fator X_IRT-cálculo CAPA NEUTRALIDADE" xfId="2794" xr:uid="{7BAC96E7-27DB-4643-A26B-43C64B93D730}"/>
    <cellStyle name="_IRT CPEE_fev07_pós-IGPM_Fator X_SOBRECONTRATAÇÃO E CVA" xfId="2795" xr:uid="{5BEDC8AC-ED39-4B77-B323-062C7970467B}"/>
    <cellStyle name="_IRT CPEE_fev07_pós-IGPM_Financeiro Desconto na TUSD Consumidores Livres Reajuste 2010 - 03_03_2010" xfId="43046" xr:uid="{8C1687B2-C725-4B7C-8F39-60465BDABF99}"/>
    <cellStyle name="_IRT CPEE_fev07_pós-IGPM_Financeiro Desconto na TUSD Geradores Reajuste 2010 - 03_03_2010" xfId="43047" xr:uid="{E3DF2AEF-6485-4C14-8438-F7F39CDBDE47}"/>
    <cellStyle name="_IRT CPEE_fev07_pós-IGPM_Financeiro Subsídio Baixa Renda Reajuste 2010 - 03_03_2010" xfId="43048" xr:uid="{F3AEFE48-CA2E-4EDA-B296-099FA62D8E65}"/>
    <cellStyle name="_IRT CPEE_fev07_pós-IGPM_Financeiro Subsídio Rural Irrigante e Aquicultor Reajuste 2010 - 03_03_2010" xfId="43049" xr:uid="{19410DF6-DD1B-47D7-943B-1511A6C59F87}"/>
    <cellStyle name="_IRT CPEE_fev07_pós-IGPM_IF - Autoprodutores 2" xfId="2796" xr:uid="{4B18E851-8194-4B55-8F17-0F6E2421C446}"/>
    <cellStyle name="_IRT CPEE_fev07_pós-IGPM_IF_Consumidores livres e geradoras_2010" xfId="2797" xr:uid="{B95E1DC9-2FEB-44E2-B92B-847D382BDC4D}"/>
    <cellStyle name="_IRT CPEE_fev07_pós-IGPM_IRT (2)" xfId="1595" xr:uid="{C8D874AF-AD07-46E7-BAF3-1D1B1A7E1BAC}"/>
    <cellStyle name="_IRT CPEE_fev07_pós-IGPM_IRT (2) 2" xfId="2798" xr:uid="{09F3D561-9626-4631-A6DF-B8DAF09B4A07}"/>
    <cellStyle name="_IRT CPEE_fev07_pós-IGPM_IRT_1" xfId="1596" xr:uid="{C0F6BD1E-2251-40F9-892C-000508417335}"/>
    <cellStyle name="_IRT CPEE_fev07_pós-IGPM_IRT_1_atualização serviços taxados" xfId="43050" xr:uid="{B0E3D0A2-5E2B-4A07-BD0D-872C1A6D7A8E}"/>
    <cellStyle name="_IRT CPEE_fev07_pós-IGPM_IRT_1_Financeiro Desconto na TUSD Consumidores Livres Reajuste 2010 - 03_03_2010" xfId="43051" xr:uid="{EE98474E-91A1-43B1-B50D-F978B93BC826}"/>
    <cellStyle name="_IRT CPEE_fev07_pós-IGPM_IRT_1_Financeiro Desconto na TUSD Geradores Reajuste 2010 - 03_03_2010" xfId="43052" xr:uid="{B84271A5-B634-44C5-87D7-ABFCE07BEB8D}"/>
    <cellStyle name="_IRT CPEE_fev07_pós-IGPM_IRT_1_Financeiro Subsídio Baixa Renda Reajuste 2010 - 03_03_2010" xfId="43053" xr:uid="{3B4C0353-5EB3-425E-9CE3-427003552BE4}"/>
    <cellStyle name="_IRT CPEE_fev07_pós-IGPM_IRT_1_Financeiro Subsídio Rural Irrigante e Aquicultor Reajuste 2010 - 03_03_2010" xfId="43054" xr:uid="{5AC2ADA8-9A56-42CC-81EC-4E89C479A381}"/>
    <cellStyle name="_IRT CPEE_fev07_pós-IGPM_IRT_1_IRT-cálculo" xfId="2799" xr:uid="{BF5DCDC3-B137-44C2-858B-9BF19CFFF46C}"/>
    <cellStyle name="_IRT CPEE_fev07_pós-IGPM_IRT_1_IRT-cálculo CAPA NEUTRALIDADE" xfId="2800" xr:uid="{BC823589-A255-4D1D-AEDB-BF7E7C6338D2}"/>
    <cellStyle name="_IRT CPEE_fev07_pós-IGPM_IRT_1_SOBRECONTRATAÇÃO E CVA" xfId="2801" xr:uid="{41A656EA-C326-4206-91C4-E0DC66A44D18}"/>
    <cellStyle name="_IRT CPEE_fev07_pós-IGPM_IRT_Revisão A-1" xfId="2802" xr:uid="{CCDE700E-EF41-4A03-867C-B8894993FB2D}"/>
    <cellStyle name="_IRT CPEE_fev07_pós-IGPM_IRT-cálculo" xfId="2803" xr:uid="{762E0ABD-0455-4098-BC57-FB0B1991AB45}"/>
    <cellStyle name="_IRT CPEE_fev07_pós-IGPM_IRT-cálculo CAPA NEUTRALIDADE" xfId="2804" xr:uid="{918A3DD9-BCE6-4310-88B4-933EF7259CDB}"/>
    <cellStyle name="_IRT CPEE_fev07_pós-IGPM_Pasta1" xfId="1597" xr:uid="{08EED5D1-6C2B-4F66-9F24-6886D21E94C6}"/>
    <cellStyle name="_IRT CPEE_fev07_pós-IGPM_Pasta1_atualização serviços taxados" xfId="43055" xr:uid="{EAECA643-0DE4-4F72-9520-912238615F0D}"/>
    <cellStyle name="_IRT CPEE_fev07_pós-IGPM_Pasta1_Financeiro Desconto na TUSD Consumidores Livres Reajuste 2010 - 03_03_2010" xfId="43056" xr:uid="{057A33C3-3089-42C3-9433-5A37FCCDE451}"/>
    <cellStyle name="_IRT CPEE_fev07_pós-IGPM_Pasta1_Financeiro Desconto na TUSD Geradores Reajuste 2010 - 03_03_2010" xfId="43057" xr:uid="{15206E4E-9DDD-455F-B521-755153172F61}"/>
    <cellStyle name="_IRT CPEE_fev07_pós-IGPM_Pasta1_Financeiro Subsídio Baixa Renda Reajuste 2010 - 03_03_2010" xfId="43058" xr:uid="{76C32FB7-122B-4368-87F9-62C405842116}"/>
    <cellStyle name="_IRT CPEE_fev07_pós-IGPM_Pasta1_Financeiro Subsídio Rural Irrigante e Aquicultor Reajuste 2010 - 03_03_2010" xfId="43059" xr:uid="{82B608B1-4939-410A-897D-A82B47339D0E}"/>
    <cellStyle name="_IRT CPEE_fev07_pós-IGPM_Pasta1_IRT-cálculo" xfId="2805" xr:uid="{8F9F80A9-2D0E-48E0-8C1A-5CACB510ADEA}"/>
    <cellStyle name="_IRT CPEE_fev07_pós-IGPM_Pasta1_IRT-cálculo CAPA NEUTRALIDADE" xfId="2806" xr:uid="{1935B45F-4681-459C-B8E4-C2F9FC30272D}"/>
    <cellStyle name="_IRT CPEE_fev07_pós-IGPM_Pasta1_SOBRECONTRATAÇÃO E CVA" xfId="2807" xr:uid="{DBF1555D-7702-4C74-98D9-EC615A782BE7}"/>
    <cellStyle name="_IRT CPEE_fev07_pós-IGPM_Sheet1" xfId="2808" xr:uid="{7E8F06B3-2F91-4955-BFA3-5D3DED13A7E2}"/>
    <cellStyle name="_IRT CPEE_fev07_pós-IGPM_Sheet2" xfId="2809" xr:uid="{5EC4A860-C83B-4DCB-AF83-DC64FA2F9CC8}"/>
    <cellStyle name="_IRT CPEE_fev07_pós-IGPM_SOBRECONTRATAÇÃO E CVA" xfId="2810" xr:uid="{A5777139-6359-4483-9CC1-6E0E4CD69ED2}"/>
    <cellStyle name="_IRT CPEE_fev07_Sheet1" xfId="2811" xr:uid="{3FFDA39A-E889-42AF-8A16-74E02B2F8BC3}"/>
    <cellStyle name="_IRT CPEE_fev07_SOBRECONTRATAÇÃO E CVA" xfId="2812" xr:uid="{3B2D8022-D999-4877-B7D4-B4AD4ED41B2F}"/>
    <cellStyle name="_IRT CPEE_fev07_SOBRECONTRATAÇÃO E CVA A-1" xfId="2813" xr:uid="{700F2C40-58F2-4822-95DF-A92456033CBA}"/>
    <cellStyle name="_IRT CPEE_fev07_SOBRECONTRATAÇÃO E CVA A-1_IRT-cálculo" xfId="2814" xr:uid="{0398DA94-2C04-4B99-A684-4B75F301CBA7}"/>
    <cellStyle name="_IRT CPEE_fev07_SOBRECONTRATAÇÃO E CVA A-1_IRT-cálculo CAPA NEUTRALIDADE" xfId="2815" xr:uid="{89967C83-2460-42E3-B808-C8211F808678}"/>
    <cellStyle name="_IRT Energipe 2007" xfId="2816" xr:uid="{6B370D3C-BF24-4FA8-A4D6-1A93B4E7C47D}"/>
    <cellStyle name="_IRT IGUAÇU_2007 (2)" xfId="2817" xr:uid="{5F0B3916-F9A9-4B3D-983D-2F6537AA546B}"/>
    <cellStyle name="_IRT SAELPA-2006" xfId="2818" xr:uid="{4EAE59E1-4734-443A-AA76-5D90C35F3CB3}"/>
    <cellStyle name="_IRT SAELPA-2006_CVA Borborema 2010 - Fiscalizada Final" xfId="2819" xr:uid="{6676C655-EDD2-4BD9-BE89-6C4C8FC40E20}"/>
    <cellStyle name="_IRT_2006_Sulgipe_Final" xfId="280" xr:uid="{26384170-AAF8-448A-B272-03061D92EBF6}"/>
    <cellStyle name="_IRT_2006_Sulgipe_Final 2" xfId="1299" xr:uid="{BEDF0F9D-0E74-447A-8489-B32EF74E5615}"/>
    <cellStyle name="_IRT_2006_Sulgipe_Final 3" xfId="2820" xr:uid="{8BA3850E-1600-4291-882F-62351C388BC9}"/>
    <cellStyle name="_IRT_2006_Sulgipe_Final_Balanço" xfId="281" xr:uid="{BF6C8241-862E-4C0A-8F3B-897785F6C1D1}"/>
    <cellStyle name="_IRT_2006_Sulgipe_Final_casulo 15" xfId="282" xr:uid="{F6FBE9A7-0590-43CC-896C-C332830633F6}"/>
    <cellStyle name="_IRT_2006_Sulgipe_Final_COELCE  ICMS Não Compensado RTO 2012 281211" xfId="2821" xr:uid="{0DEF802C-C51B-4E0A-AF91-4D716A374BC3}"/>
    <cellStyle name="_IRT_2006_Sulgipe_Final_COELCE - RTO 2011 - PLPT_PLANILHA_CÁLCULO_DÉFICIT" xfId="2822" xr:uid="{330DD031-FCE2-4585-BF4C-B39E83B77BBD}"/>
    <cellStyle name="_IRT_2006_Sulgipe_Final_Exposição_Agosto 2" xfId="2823" xr:uid="{660392BD-C720-405A-9FA6-D16699022928}"/>
    <cellStyle name="_IRT_2006_Sulgipe_Final_IRT EEB 2010" xfId="2824" xr:uid="{5743BD34-A821-4F56-B2CB-EF1F082B72A1}"/>
    <cellStyle name="_IRT_2006_Sulgipe_Final_IRT_Revisão A-2" xfId="2825" xr:uid="{E42B48A2-DB3A-43E4-8B25-2E5C04867F50}"/>
    <cellStyle name="_IRT_2006_Sulgipe_Final_IRT-cálculo" xfId="2826" xr:uid="{EF81D65D-687C-4FFE-AC4E-44BC7ED8CFAB}"/>
    <cellStyle name="_IRT_2006_Sulgipe_Final_Simulação AES SUL 03_04_07" xfId="283" xr:uid="{DCBF9E50-1D1D-4883-A4FB-9F958DF59F30}"/>
    <cellStyle name="_IRT_2006_Sulgipe_Final_Simulação AES SUL 03_04_07 2" xfId="1300" xr:uid="{1073C982-43A7-49AF-8EC5-B17EE5E8CA02}"/>
    <cellStyle name="_IRT_2006_Sulgipe_Final_Simulação AES SUL 03_04_07 3" xfId="2827" xr:uid="{ADC76565-23C8-4509-AF5F-D668DDFF4098}"/>
    <cellStyle name="_IRT_2006_Sulgipe_Final_Simulação AES SUL 03_04_07_Balanço" xfId="284" xr:uid="{AB406E93-3089-4695-B1C0-A044C5E423BF}"/>
    <cellStyle name="_IRT_2006_Sulgipe_Final_Simulação AES SUL 03_04_07_casulo 15" xfId="285" xr:uid="{C30F52E8-2FCD-45BD-9F2A-8EF013ECE0B3}"/>
    <cellStyle name="_IRT_2006_Sulgipe_Final_Simulação AES SUL 03_04_07_IRT EEB 2010" xfId="2828" xr:uid="{AF7CD75F-6003-4D21-A780-79C0B1DA1270}"/>
    <cellStyle name="_IRT_2006_Sulgipe_Final_Simulação congelamento COELCE 2011 - Propostas 3ª Fase AP040 (20.12.2011)" xfId="2829" xr:uid="{7BFDF4FE-337D-4BB7-AFED-103AC33762B2}"/>
    <cellStyle name="_IRT_2006_Sulgipe_Final_Sobrecontratação AES (2)" xfId="286" xr:uid="{55699CE4-8319-4BA2-90D5-34F1CC43A37E}"/>
    <cellStyle name="_IRT_2006_Sulgipe_Final_Sobrecontratação AES (2) 2" xfId="1301" xr:uid="{2FBFF872-97D5-4FE7-AC4D-F671747D1348}"/>
    <cellStyle name="_IRT_2006_Sulgipe_Final_Sobrecontratação AES (2) 3" xfId="2830" xr:uid="{14CB7D2D-1554-45C3-8F6A-900442D9D188}"/>
    <cellStyle name="_IRT_2006_Sulgipe_Final_Sobrecontratação AES (2)_Balanço" xfId="287" xr:uid="{77904982-3604-49EA-9C11-D965D759DB56}"/>
    <cellStyle name="_IRT_2006_Sulgipe_Final_Sobrecontratação AES (2)_casulo 15" xfId="288" xr:uid="{0D8BC2F4-0383-4DCC-92C2-85494721E788}"/>
    <cellStyle name="_IRT_2006_Sulgipe_Final_Sobrecontratação AES (2)_IRT EEB 2010" xfId="2831" xr:uid="{7B4776CC-470A-44C6-B01A-74142626186F}"/>
    <cellStyle name="_IRT_2006_Sulgipe_Final_SOBRECONTRATAÇÃO E CVA" xfId="2832" xr:uid="{A0C7B45F-8236-4A89-A247-751F97225282}"/>
    <cellStyle name="_IRT_Bragantina_maio_2009" xfId="2833" xr:uid="{435BA2D0-251C-43CE-9A88-3B5454D559A9}"/>
    <cellStyle name="_IRT_CAT_LEO" xfId="2834" xr:uid="{CE7290F7-B763-4D4D-B7D1-551FCBEFE028}"/>
    <cellStyle name="_IRT_CAT_LEO_CVA Borborema 2010 - Fiscalizada Final" xfId="2835" xr:uid="{3BE41CD6-4730-478C-9022-D9226E723C9C}"/>
    <cellStyle name="_IRT_CEEE_OUT2009" xfId="2836" xr:uid="{71F4574E-6FD0-4C8C-A5A9-F47E4591B482}"/>
    <cellStyle name="_IRT_CELG_setembro2007_pósIPCA" xfId="2837" xr:uid="{25F7590D-2401-41C9-920D-2C8AEA2E5A3B}"/>
    <cellStyle name="_IRT_CELG_setembro2007_pósIPCA_Cálculo do Financeiro do Baixa Renda" xfId="2838" xr:uid="{8B0E64A0-C639-477F-9BD2-5CC46275FDD4}"/>
    <cellStyle name="_IRT_CELG_setembro2007_pósIPCA_Cálculo do Financeiro do Baixa Renda_IRT-cálculo" xfId="2839" xr:uid="{E0BDF596-69E4-4EBD-9886-DB125AAC447C}"/>
    <cellStyle name="_IRT_CELG_setembro2007_pósIPCA_Cálculo do Financeiro do Baixa Renda_IRT-cálculo CAPA NEUTRALIDADE" xfId="2840" xr:uid="{C1F2D67F-52F9-4C72-A3E9-E28B6CFCABC2}"/>
    <cellStyle name="_IRT_CELG_setembro2007_pósIPCA_Custo com Avaliação de Ativos para Base de Remuneração" xfId="2841" xr:uid="{0E8F159B-D225-41F1-BDE7-564F65C7EE68}"/>
    <cellStyle name="_IRT_CELG_setembro2007_pósIPCA_Custo com Avaliação de Ativos para Base de Remuneração_IRT-cálculo" xfId="2842" xr:uid="{B79B0DD8-34EC-4115-9B66-15A68C7F8B18}"/>
    <cellStyle name="_IRT_CELG_setembro2007_pósIPCA_Custo com Avaliação de Ativos para Base de Remuneração_IRT-cálculo CAPA NEUTRALIDADE" xfId="2843" xr:uid="{F867D5B5-6150-419A-9F62-059DA2E20D23}"/>
    <cellStyle name="_IRT_CELG_setembro2007_pósIPCA_IF - Autoprodutores 2" xfId="2844" xr:uid="{B36784B6-8CA7-450A-970D-E23B1D31F1AB}"/>
    <cellStyle name="_IRT_CELG_setembro2007_pósIPCA_IF_Consumidores livres e geradoras_2010" xfId="2845" xr:uid="{0E3FB57D-F5F8-4A0C-8B35-33DBEB4C82B7}"/>
    <cellStyle name="_IRT_CELG_setembro2007_pósIPCA_IRT-cálculo" xfId="43060" xr:uid="{8116EA2A-E501-4597-8ED2-80E678F3BB56}"/>
    <cellStyle name="_IRT_CELG_setembro2007_pósIPCA_Sheet1" xfId="2846" xr:uid="{FB0C6DB1-68D8-4329-AF3A-24178FD663F6}"/>
    <cellStyle name="_IRT_CELPE_abril_2007_hermano vfinal" xfId="43061" xr:uid="{F9738E77-81B9-4BA5-BCE1-9A6DA132B688}"/>
    <cellStyle name="_IRT_CELPE_abril_2007_hermano vfinal teste" xfId="43062" xr:uid="{476BD820-B31C-4C28-A46C-385341B43089}"/>
    <cellStyle name="_IRT_CEMAR_2007_VDef" xfId="289" xr:uid="{7BC7370B-250F-42B4-A752-E74681D0090E}"/>
    <cellStyle name="_IRT_CEMAR_2007_VDef_IF - Autoprodutores 2" xfId="2847" xr:uid="{EBB2D917-A788-4DA4-8072-8D5A7C829726}"/>
    <cellStyle name="_IRT_CEMAR_2007_VDef_IF_Consumidores livres e geradoras_2010" xfId="2848" xr:uid="{856CD8BD-E406-478E-B449-707B59674B1B}"/>
    <cellStyle name="_IRT_CEMAR_2007_VDef_IRT-cálculo" xfId="2849" xr:uid="{F828C775-7594-4357-887F-43AB15CF24DB}"/>
    <cellStyle name="_IRT_CEMAR_2007_VDef_Sheet1" xfId="2850" xr:uid="{B86776CD-8C56-4EDA-9267-66555D5123C4}"/>
    <cellStyle name="_IRT_CEMAT_2009" xfId="2851" xr:uid="{C004F928-8CBE-4A0F-86C4-E87CEFFEE3F0}"/>
    <cellStyle name="_IRT_CEMIG_abr 2009" xfId="1598" xr:uid="{FA1F8C76-C8AD-49BC-8440-42B5C4A693EC}"/>
    <cellStyle name="_IRT_CERON_2008" xfId="43063" xr:uid="{356F8962-A12C-47B1-955A-0EA2677B6648}"/>
    <cellStyle name="_IRT_COELCE_abr2008_prévia6 final" xfId="43064" xr:uid="{1109AC81-DC00-4C11-B96B-2954BA1314AC}"/>
    <cellStyle name="_IRT_COPEL-DIS_junho2007" xfId="290" xr:uid="{6389DE7B-0841-4BCC-958C-A30FF391CAB8}"/>
    <cellStyle name="_IRT_COPEL-DIS_junho2007_atualização serviços taxados" xfId="43065" xr:uid="{5D599252-8A11-4E51-984D-6A01D40FCF67}"/>
    <cellStyle name="_IRT_COPEL-DIS_junho2007_Cálculo do Financeiro do Baixa Renda" xfId="2852" xr:uid="{7F1EE8A9-4155-47FF-AC59-6C55554A7C8F}"/>
    <cellStyle name="_IRT_COPEL-DIS_junho2007_Cálculo do Financeiro do Baixa Renda_IRT-cálculo" xfId="2853" xr:uid="{AFE47459-F4ED-49E2-BF08-D49653A17CD0}"/>
    <cellStyle name="_IRT_COPEL-DIS_junho2007_Cálculo do Financeiro do Baixa Renda_IRT-cálculo CAPA NEUTRALIDADE" xfId="2854" xr:uid="{5E088AFB-C306-4051-86C5-C78D0EB4EF81}"/>
    <cellStyle name="_IRT_COPEL-DIS_junho2007_Contratos_Compra_Energia_Fev_09_Jan_10_recebido_06_01_09" xfId="2855" xr:uid="{6104AFAB-89A5-47FD-A714-E256FCF552F5}"/>
    <cellStyle name="_IRT_COPEL-DIS_junho2007_CT_DIR_13_2008_Anexo_II_IRT_ESCELSA_Memoria_de_Calculo" xfId="2856" xr:uid="{16868FA9-3BB2-4690-B00F-854D66EE61A8}"/>
    <cellStyle name="_IRT_COPEL-DIS_junho2007_Custo com Avaliação de Ativos para Base de Remuneração" xfId="2857" xr:uid="{4447D33F-D8C2-47C5-8D1C-D71045D43311}"/>
    <cellStyle name="_IRT_COPEL-DIS_junho2007_Custo com Avaliação de Ativos para Base de Remuneração_IRT-cálculo" xfId="2858" xr:uid="{DAA534CC-75A3-4562-AC75-2FF611F946BC}"/>
    <cellStyle name="_IRT_COPEL-DIS_junho2007_Custo com Avaliação de Ativos para Base de Remuneração_IRT-cálculo CAPA NEUTRALIDADE" xfId="2859" xr:uid="{C61E5B3C-D006-4A24-B767-C3E7F2B30BF1}"/>
    <cellStyle name="_IRT_COPEL-DIS_junho2007_Energia Comprada" xfId="2860" xr:uid="{2AA890E5-D0FA-47DA-BD29-88F35248EDB7}"/>
    <cellStyle name="_IRT_COPEL-DIS_junho2007_Energia Comprada_IRT-cálculo" xfId="2861" xr:uid="{F0469E61-5DA2-4EDA-A352-7487C9104B40}"/>
    <cellStyle name="_IRT_COPEL-DIS_junho2007_Energia Comprada_IRT-cálculo CAPA NEUTRALIDADE" xfId="2862" xr:uid="{A60E5663-726E-47F3-AD10-A8060048E2DF}"/>
    <cellStyle name="_IRT_COPEL-DIS_junho2007_Fator X" xfId="1599" xr:uid="{6DFDB07D-274C-4B88-97F6-0C3F128F4B3E}"/>
    <cellStyle name="_IRT_COPEL-DIS_junho2007_Fator X_atualização serviços taxados" xfId="43066" xr:uid="{8650B35D-8A0D-464D-A4B4-DD5DA1DB904B}"/>
    <cellStyle name="_IRT_COPEL-DIS_junho2007_Fator X_Financeiro Desconto na TUSD Consumidores Livres Reajuste 2010 - 03_03_2010" xfId="43067" xr:uid="{DF263EE3-EF22-4ABE-8EE5-BF96104FBE06}"/>
    <cellStyle name="_IRT_COPEL-DIS_junho2007_Fator X_Financeiro Desconto na TUSD Geradores Reajuste 2010 - 03_03_2010" xfId="43068" xr:uid="{820C7A82-F99C-4784-825C-67E60335225E}"/>
    <cellStyle name="_IRT_COPEL-DIS_junho2007_Fator X_Financeiro Subsídio Baixa Renda Reajuste 2010 - 03_03_2010" xfId="43069" xr:uid="{7ED248D1-D0A9-490F-AA9F-65D09F5B3C7C}"/>
    <cellStyle name="_IRT_COPEL-DIS_junho2007_Fator X_Financeiro Subsídio Rural Irrigante e Aquicultor Reajuste 2010 - 03_03_2010" xfId="43070" xr:uid="{B464B31C-D7A4-4654-810E-1BE846A27826}"/>
    <cellStyle name="_IRT_COPEL-DIS_junho2007_Fator X_IRT-cálculo" xfId="2863" xr:uid="{E44DFE6E-E24F-4B33-9D40-2337E5B41AA5}"/>
    <cellStyle name="_IRT_COPEL-DIS_junho2007_Fator X_IRT-cálculo CAPA NEUTRALIDADE" xfId="2864" xr:uid="{DBD897BD-DFFA-48FA-9D7D-D81EE1C13DEA}"/>
    <cellStyle name="_IRT_COPEL-DIS_junho2007_Fator X_SOBRECONTRATAÇÃO E CVA" xfId="2865" xr:uid="{F1F00D08-7DC2-442B-B165-73434EF83211}"/>
    <cellStyle name="_IRT_COPEL-DIS_junho2007_Financeiro Desconto na TUSD Consumidores Livres Reajuste 2010 - 03_03_2010" xfId="43071" xr:uid="{732E726B-36A1-4A42-A70F-828E0756DC66}"/>
    <cellStyle name="_IRT_COPEL-DIS_junho2007_Financeiro Desconto na TUSD Geradores Reajuste 2010 - 03_03_2010" xfId="43072" xr:uid="{C280D33D-8C9F-46E5-8AAD-6B72D4797CE7}"/>
    <cellStyle name="_IRT_COPEL-DIS_junho2007_Financeiro Subsídio Baixa Renda Reajuste 2010 - 03_03_2010" xfId="43073" xr:uid="{CCD29D56-0E8B-49D9-A564-49C0EF3A87B1}"/>
    <cellStyle name="_IRT_COPEL-DIS_junho2007_Financeiro Subsídio Rural Irrigante e Aquicultor Reajuste 2010 - 03_03_2010" xfId="43074" xr:uid="{1C423C1B-8C28-42CE-95F2-726FCD9C6728}"/>
    <cellStyle name="_IRT_COPEL-DIS_junho2007_IF - Autoprodutores 2" xfId="2866" xr:uid="{BAEEBEC4-40D7-4AED-A925-4C59E2EE607E}"/>
    <cellStyle name="_IRT_COPEL-DIS_junho2007_IF_Consumidores livres e geradoras_2010" xfId="2867" xr:uid="{D9937ED5-CC93-4409-8794-45A6F0C2C77C}"/>
    <cellStyle name="_IRT_COPEL-DIS_junho2007_IRT (2)" xfId="1600" xr:uid="{3B226BF6-164C-4254-85F5-9A5A2C5C2774}"/>
    <cellStyle name="_IRT_COPEL-DIS_junho2007_IRT (2) 2" xfId="2868" xr:uid="{C3201F64-B31D-4850-9E95-534D79495356}"/>
    <cellStyle name="_IRT_COPEL-DIS_junho2007_IRT_1" xfId="1601" xr:uid="{1AACC6D7-9218-4DED-B806-2F1048109967}"/>
    <cellStyle name="_IRT_COPEL-DIS_junho2007_IRT_1_atualização serviços taxados" xfId="43075" xr:uid="{DEBA2BD9-EB26-4680-845B-EBDD55536302}"/>
    <cellStyle name="_IRT_COPEL-DIS_junho2007_IRT_1_Financeiro Desconto na TUSD Consumidores Livres Reajuste 2010 - 03_03_2010" xfId="43076" xr:uid="{4C22046C-1849-4A2E-A9FE-CFCBA319FC9A}"/>
    <cellStyle name="_IRT_COPEL-DIS_junho2007_IRT_1_Financeiro Desconto na TUSD Geradores Reajuste 2010 - 03_03_2010" xfId="43077" xr:uid="{F52B0132-A0F8-4F39-B7C9-E4482BD68915}"/>
    <cellStyle name="_IRT_COPEL-DIS_junho2007_IRT_1_Financeiro Subsídio Baixa Renda Reajuste 2010 - 03_03_2010" xfId="43078" xr:uid="{D6287F48-78C5-4CDB-B3EF-023AB27249B5}"/>
    <cellStyle name="_IRT_COPEL-DIS_junho2007_IRT_1_Financeiro Subsídio Rural Irrigante e Aquicultor Reajuste 2010 - 03_03_2010" xfId="43079" xr:uid="{69C858AC-B6D2-4E7B-9734-B4C4D138EB17}"/>
    <cellStyle name="_IRT_COPEL-DIS_junho2007_IRT_1_IRT-cálculo" xfId="2869" xr:uid="{4FABBAB2-BA9A-403B-A49A-6A2D956EBEAB}"/>
    <cellStyle name="_IRT_COPEL-DIS_junho2007_IRT_1_IRT-cálculo CAPA NEUTRALIDADE" xfId="2870" xr:uid="{5A4A3785-830E-4113-8682-A82C309AAA76}"/>
    <cellStyle name="_IRT_COPEL-DIS_junho2007_IRT_1_SOBRECONTRATAÇÃO E CVA" xfId="2871" xr:uid="{9792B4EE-465F-4422-A23A-BF935534ED2F}"/>
    <cellStyle name="_IRT_COPEL-DIS_junho2007_IRT_ESCELSA_2009_Contratos_Compra_Energia_Ago_08_Jul_10_PerfilCarga_25_06_2009" xfId="2872" xr:uid="{F9DAD936-8CD9-4925-A2B9-EE160125A7E1}"/>
    <cellStyle name="_IRT_COPEL-DIS_junho2007_IRT_Revisão A-1" xfId="2873" xr:uid="{B3D6EB46-1FB0-418A-A4FB-FBC978940A2C}"/>
    <cellStyle name="_IRT_COPEL-DIS_junho2007_IRT-cálculo" xfId="2874" xr:uid="{5682BEFA-2880-4A76-B06F-D9625A7747DE}"/>
    <cellStyle name="_IRT_COPEL-DIS_junho2007_IRT-cálculo CAPA NEUTRALIDADE" xfId="2875" xr:uid="{B7FC606C-E2D7-4911-9264-F9C2447DF619}"/>
    <cellStyle name="_IRT_COPEL-DIS_junho2007_Pasta1" xfId="1602" xr:uid="{E5862136-E425-4315-9ED4-E47E55C85B6A}"/>
    <cellStyle name="_IRT_COPEL-DIS_junho2007_Pasta1_atualização serviços taxados" xfId="43080" xr:uid="{13D8ABF6-5949-44EE-8513-457BC297EC9E}"/>
    <cellStyle name="_IRT_COPEL-DIS_junho2007_Pasta1_Financeiro Desconto na TUSD Consumidores Livres Reajuste 2010 - 03_03_2010" xfId="43081" xr:uid="{D9F5087A-B50D-4D55-A913-C8834423223B}"/>
    <cellStyle name="_IRT_COPEL-DIS_junho2007_Pasta1_Financeiro Desconto na TUSD Geradores Reajuste 2010 - 03_03_2010" xfId="43082" xr:uid="{4AD3606E-1DEE-418A-9E17-E920040F7B03}"/>
    <cellStyle name="_IRT_COPEL-DIS_junho2007_Pasta1_Financeiro Subsídio Baixa Renda Reajuste 2010 - 03_03_2010" xfId="43083" xr:uid="{E5D60AE8-01D8-4CEA-9A9E-5C15AE038910}"/>
    <cellStyle name="_IRT_COPEL-DIS_junho2007_Pasta1_Financeiro Subsídio Rural Irrigante e Aquicultor Reajuste 2010 - 03_03_2010" xfId="43084" xr:uid="{407F0D2E-03F0-422A-83A9-9302A64755F8}"/>
    <cellStyle name="_IRT_COPEL-DIS_junho2007_Pasta1_IRT-cálculo" xfId="2876" xr:uid="{D9BC7BD1-1EC4-442C-ACEB-A52668D8B807}"/>
    <cellStyle name="_IRT_COPEL-DIS_junho2007_Pasta1_IRT-cálculo CAPA NEUTRALIDADE" xfId="2877" xr:uid="{07E59AFE-521D-4DA5-BEB5-9D16BA8728EF}"/>
    <cellStyle name="_IRT_COPEL-DIS_junho2007_Pasta1_SOBRECONTRATAÇÃO E CVA" xfId="2878" xr:uid="{B1A90300-B84D-4F2A-9E5D-2636F39E054A}"/>
    <cellStyle name="_IRT_COPEL-DIS_junho2007_Sheet1" xfId="2879" xr:uid="{4BA8E798-468E-44E3-8539-8086F1DC4BC7}"/>
    <cellStyle name="_IRT_COPEL-DIS_junho2007_Sheet2" xfId="2880" xr:uid="{DC6ADA87-784C-47E3-B7AA-701F932C77B3}"/>
    <cellStyle name="_IRT_COPEL-DIS_junho2007_SOBRECONTRATAÇÃO E CVA" xfId="2881" xr:uid="{8AFD3EB6-14A9-4DC9-B2A4-7D0336F4950C}"/>
    <cellStyle name="_IRT_CPFL_LESTE_PAULISTA(CPEE)_fev2009-COM_PREVISÃO_BR_da_Diretoria_pos_IGPM" xfId="291" xr:uid="{CE8C8A3A-140A-4FAC-9FDE-42F87905B7ED}"/>
    <cellStyle name="_IRT_ENERGISA_SE_abr2009" xfId="2882" xr:uid="{A36AA220-8503-49B5-ABE3-07CA251A975F}"/>
    <cellStyle name="_IRT_ENF" xfId="2883" xr:uid="{DDECEB45-5171-4F2C-9C89-8267E72C438D}"/>
    <cellStyle name="_IRT_Escelsa" xfId="2884" xr:uid="{319417C4-BEA1-41B9-8F59-1427C674C897}"/>
    <cellStyle name="_IRT_IRT-cálculo" xfId="2885" xr:uid="{4D10CF6D-A683-4FD7-9C17-B0CF56195B42}"/>
    <cellStyle name="_IRT_IRT-cálculo CAPA NEUTRALIDADE" xfId="2886" xr:uid="{933CFA8F-C0FF-4857-8616-1F6BE9D75CA1}"/>
    <cellStyle name="_IRT_LIGHT_nov2007" xfId="2887" xr:uid="{F0B60C74-05C8-476C-BCF3-F93572B8A0E5}"/>
    <cellStyle name="_IRT_LIGHT_nov2007_Cálculo do Financeiro do Baixa Renda" xfId="2888" xr:uid="{AC85C3A5-9187-4577-A3E3-93612390BC11}"/>
    <cellStyle name="_IRT_LIGHT_nov2007_Cálculo do Financeiro do Baixa Renda_IRT-cálculo" xfId="2889" xr:uid="{CA47F2E4-BF7A-4913-A51B-A840D481AD3B}"/>
    <cellStyle name="_IRT_LIGHT_nov2007_Cálculo do Financeiro do Baixa Renda_IRT-cálculo CAPA NEUTRALIDADE" xfId="2890" xr:uid="{AFD9FC07-2F36-4B3D-A49C-F834B86D0402}"/>
    <cellStyle name="_IRT_LIGHT_nov2007_Custo com Avaliação de Ativos para Base de Remuneração" xfId="2891" xr:uid="{DFB017DC-7D77-45C7-93A5-0337E0654C5F}"/>
    <cellStyle name="_IRT_LIGHT_nov2007_Custo com Avaliação de Ativos para Base de Remuneração_IRT-cálculo" xfId="2892" xr:uid="{F976F4FB-DD08-4A33-8D60-61831F48D9F1}"/>
    <cellStyle name="_IRT_LIGHT_nov2007_Custo com Avaliação de Ativos para Base de Remuneração_IRT-cálculo CAPA NEUTRALIDADE" xfId="2893" xr:uid="{74E01001-8F16-410D-81D9-7CC2494A26E9}"/>
    <cellStyle name="_IRT_LIGHT_nov2007_IRT-cálculo" xfId="43085" xr:uid="{2074D0B5-5386-4430-B298-1E54D4B05387}"/>
    <cellStyle name="_IRT_Planilha Básica_30jun2009" xfId="2894" xr:uid="{88E393CB-AF97-42CA-A09D-7933C3D2F3A3}"/>
    <cellStyle name="_IRT_Planilha Básica_fev2010a" xfId="292" xr:uid="{89BCF98B-C191-4A3D-A8F2-D486DBA6CC41}"/>
    <cellStyle name="_IRT_Planilha Básica_fev2010a 2" xfId="1302" xr:uid="{6DADECB5-10FC-4459-950A-7C0D3E104D7F}"/>
    <cellStyle name="_IRT_Planilha Básica_fev2010a_Balanço" xfId="293" xr:uid="{348D3772-F5B2-43E6-AECE-8D830C2F3925}"/>
    <cellStyle name="_IRT_Planilha Básica_fev2010a_casulo 15" xfId="294" xr:uid="{3C4976BA-8764-452F-B060-FA1553C29D15}"/>
    <cellStyle name="_IRT_Planilha Básica_fev2010a_IRT EEB 2010" xfId="2895" xr:uid="{2E33D66A-7597-4FF7-B537-086E6DA919F5}"/>
    <cellStyle name="_IRT_Planilha Básica_jun2009" xfId="2896" xr:uid="{199E0678-7A33-47FC-A9C5-2D1289A2D274}"/>
    <cellStyle name="_IRT_Planilha Básica_mar2010b" xfId="2897" xr:uid="{5C3BA292-66F5-48EF-96AE-C202BF8D18DC}"/>
    <cellStyle name="_IRT_Planilha Básica_março2009" xfId="295" xr:uid="{75D721D8-2B47-4ECD-8AC6-66C3681DDF78}"/>
    <cellStyle name="_IRT_Planilha Básica_março2009_COELCE  ICMS Não Compensado RTO 2012 281211" xfId="2898" xr:uid="{1BF505A6-A24A-474A-881E-E685108C4D49}"/>
    <cellStyle name="_IRT_Planilha Básica_março2009_COELCE - RTO 2011 - PLPT_PLANILHA_CÁLCULO_DÉFICIT" xfId="2899" xr:uid="{54D60105-535A-4C98-805D-89BFFD946D29}"/>
    <cellStyle name="_IRT_Planilha Básica_março2009_IRT Piratininga 2009" xfId="296" xr:uid="{3F5C3E83-3BC6-433A-A651-422C5D0BDC7F}"/>
    <cellStyle name="_IRT_Planilha Básica_março2009_IRT Piratininga 2009 2" xfId="1303" xr:uid="{71766818-BFAA-4CC5-ACA0-7E4E66F290F6}"/>
    <cellStyle name="_IRT_Planilha Básica_março2009_IRT_Planilha Básica_ CETRIL" xfId="297" xr:uid="{BBA2A121-AB76-4D6D-847B-4CE7B7C36339}"/>
    <cellStyle name="_IRT_Planilha Básica_março2009_IRT_Planilha Básica_ CETRIL 2" xfId="1304" xr:uid="{C090A3DE-A583-44EB-BCF3-380C13686AF4}"/>
    <cellStyle name="_IRT_Planilha Básica_março2009_Simulação congelamento COELCE 2011 - Propostas 3ª Fase AP040 (20.12.2011)" xfId="2900" xr:uid="{9F9AA2C7-C836-4C01-B50D-2BA36DE29C1B}"/>
    <cellStyle name="_IRT_Planilha Básica_NOVA METODOLOGIA" xfId="2901" xr:uid="{26699A9C-72F6-4936-A7BD-D0D4383DF39F}"/>
    <cellStyle name="_IRT_Planilha Básica_set2009" xfId="2902" xr:uid="{8CCBB00A-B8A2-4435-81F9-56DDDBEB61B4}"/>
    <cellStyle name="_IRT_Pleito" xfId="2903" xr:uid="{7B02B856-8532-4A04-A996-C3C9D46574F3}"/>
    <cellStyle name="_IRT_Pleito_IRT-cálculo" xfId="2904" xr:uid="{034D2394-F0B4-438D-9234-298F3A9EE647}"/>
    <cellStyle name="_IRT_Pleito_IRT-cálculo CAPA NEUTRALIDADE" xfId="2905" xr:uid="{C8C0F19A-A897-4EAB-9114-9A518A8FD861}"/>
    <cellStyle name="_IRT_Revisão A-1" xfId="2906" xr:uid="{58165101-F939-4651-8FCD-3BB779854E3F}"/>
    <cellStyle name="_IRT_Revisão A-2" xfId="2907" xr:uid="{D7666BA4-1173-4687-B0AE-FAFA16BDB71E}"/>
    <cellStyle name="_IRT_Santa 2010" xfId="2908" xr:uid="{5127DE40-C396-4BC8-BC1D-9E1A45932564}"/>
    <cellStyle name="_IRT_SantaCruzpós IGPM" xfId="2909" xr:uid="{0ED248BF-CC34-4B5D-B351-2F1A25667696}"/>
    <cellStyle name="_IRT2006_CEB_Final" xfId="298" xr:uid="{0F26929D-1875-491A-A4A3-3996D577886F}"/>
    <cellStyle name="_IRT2006_CEB_Final 2" xfId="1305" xr:uid="{9DB42FA2-82AA-42FE-8961-0F7342BD5DA0}"/>
    <cellStyle name="_IRT2006_CEB_Final 3" xfId="2910" xr:uid="{A36AF6E0-2663-4FFB-BBD5-8B1316F568BA}"/>
    <cellStyle name="_IRT2006_CEB_Final_Balanço" xfId="299" xr:uid="{46361FC9-CCF4-459D-95B3-3040BAAD332D}"/>
    <cellStyle name="_IRT2006_CEB_Final_casulo 15" xfId="300" xr:uid="{1BD082BE-ACD7-44B5-8FA4-ED8B6F403ABD}"/>
    <cellStyle name="_IRT2006_CEB_Final_Exposição_Agosto 2" xfId="2911" xr:uid="{5D4372C6-E7AF-4ED8-A8EF-006CB181EDDE}"/>
    <cellStyle name="_IRT2006_CEB_Final_IRT EEB 2010" xfId="2912" xr:uid="{28513C0B-C08B-4433-9CE2-DB8DE47EFF75}"/>
    <cellStyle name="_IRT2006_CEB_Final_IRT_Revisão A-2" xfId="2913" xr:uid="{95D52F48-D701-49FC-B013-CE87EAF81CFF}"/>
    <cellStyle name="_IRT2006_CEB_Final_Simulação AES SUL 03_04_07" xfId="301" xr:uid="{4D4117BA-AD03-4DAC-A296-415ECF9B6CE6}"/>
    <cellStyle name="_IRT2006_CEB_Final_Simulação AES SUL 03_04_07 2" xfId="1306" xr:uid="{DCA625D3-4693-4CD4-83F6-10D0649B17BE}"/>
    <cellStyle name="_IRT2006_CEB_Final_Simulação AES SUL 03_04_07 3" xfId="2914" xr:uid="{C0C9FE10-3EB3-46F1-B87A-1E4033F841A3}"/>
    <cellStyle name="_IRT2006_CEB_Final_Simulação AES SUL 03_04_07_Balanço" xfId="302" xr:uid="{91B36B2C-BEC9-41B0-88E5-BDA6BF0DE04E}"/>
    <cellStyle name="_IRT2006_CEB_Final_Simulação AES SUL 03_04_07_casulo 15" xfId="303" xr:uid="{C234ED34-5FB7-4463-9622-2EEBB4D103E8}"/>
    <cellStyle name="_IRT2006_CEB_Final_Simulação AES SUL 03_04_07_IRT EEB 2010" xfId="2915" xr:uid="{6CDAA9DB-5206-4366-B249-93AE9B70B1DC}"/>
    <cellStyle name="_IRT2006_CEB_Final_Sobrecontratação AES (2)" xfId="304" xr:uid="{8598C33E-CA70-4C6B-BCD3-8E8E2EDDF560}"/>
    <cellStyle name="_IRT2006_CEB_Final_Sobrecontratação AES (2) 2" xfId="1307" xr:uid="{38D572C1-42D4-41A0-892F-91CEBD26AD6A}"/>
    <cellStyle name="_IRT2006_CEB_Final_Sobrecontratação AES (2) 3" xfId="2916" xr:uid="{45448E6B-FFF4-49B7-B22B-7C2300161134}"/>
    <cellStyle name="_IRT2006_CEB_Final_Sobrecontratação AES (2)_Balanço" xfId="305" xr:uid="{CEE2BFB2-DA7C-4F47-99F8-4C7D91BB1E15}"/>
    <cellStyle name="_IRT2006_CEB_Final_Sobrecontratação AES (2)_casulo 15" xfId="306" xr:uid="{11879080-EF6D-4E36-94CE-B587D36D8D1F}"/>
    <cellStyle name="_IRT2006_CEB_Final_Sobrecontratação AES (2)_IRT EEB 2010" xfId="2917" xr:uid="{F335208B-9B69-4371-875A-15BF3EBDA1D0}"/>
    <cellStyle name="_IRT-2010_COPEL_PLPT_CALCULO_DEFICIT_RES_294_V4" xfId="1603" xr:uid="{3EA1B864-FADA-4AB0-AFFC-01EEFDEEE852}"/>
    <cellStyle name="_IRT-2010_COPEL_SOBRECONTRATAÇÃOeCVAenergia" xfId="1604" xr:uid="{AD2BB233-B4CD-4471-8632-77F0E4520F63}"/>
    <cellStyle name="_IRT-cálculo" xfId="2918" xr:uid="{44A08B85-4B99-4F7A-AF72-33174EF9106F}"/>
    <cellStyle name="_Modelo  Repasse sobrecontratação" xfId="1605" xr:uid="{D2BB8546-E6A5-4684-A9D6-7D3021CA924F}"/>
    <cellStyle name="_Modelo  Repasse sobrecontratação 2" xfId="2919" xr:uid="{6C41F0BC-660D-4C01-8553-2C14207798C2}"/>
    <cellStyle name="_Modelo IRT ANEELl_2010" xfId="43086" xr:uid="{3532B502-58F6-4462-9B2E-AFB51FE92101}"/>
    <cellStyle name="_MODELO PLANILHAS IRT-versão 2" xfId="307" xr:uid="{A64A88DD-8E27-4539-9D82-BE16FABDDFF9}"/>
    <cellStyle name="_MODELO PLANILHAS IRT-versão 2_atualização serviços taxados" xfId="43087" xr:uid="{89131702-AF48-4474-B961-5C9974A1456E}"/>
    <cellStyle name="_MODELO PLANILHAS IRT-versão 2_Calculo_Subsidio_ELFSM_26_06_08_Modelo_ANEEL" xfId="2920" xr:uid="{B6726FEB-F4AD-4465-A8DB-1E82F48AF59E}"/>
    <cellStyle name="_MODELO PLANILHAS IRT-versão 2_Calculo_Subsidio_ELFSM_26_06_08_Modelo_ANEEL_IRT-cálculo" xfId="2921" xr:uid="{867F082A-46B0-42DE-BA49-A27EDC8A6C91}"/>
    <cellStyle name="_MODELO PLANILHAS IRT-versão 2_Calculo_Subsidio_ELFSM_26_06_08_Modelo_ANEEL_IRT-cálculo CAPA NEUTRALIDADE" xfId="2922" xr:uid="{4BBC5612-0B95-4EA4-B4F9-75E2F18D4649}"/>
    <cellStyle name="_MODELO PLANILHAS IRT-versão 2_CVA_Projetada até dez-2008_Setembro" xfId="2923" xr:uid="{E9FEBABD-8793-4630-9988-86685DD49694}"/>
    <cellStyle name="_MODELO PLANILHAS IRT-versão 2_CVA_Projetada até dez-2008_Setembro_CVA Outros Componentes PROVISÃO" xfId="2924" xr:uid="{DBB22EB3-E996-4486-89AA-CB0DF74A934D}"/>
    <cellStyle name="_MODELO PLANILHAS IRT-versão 2_CVA_Projetada até dez-2008_Setembro_PROVISÃO" xfId="2925" xr:uid="{6DC9E630-A321-460D-AD67-DC85696DE480}"/>
    <cellStyle name="_MODELO PLANILHAS IRT-versão 2_Energia Comprada" xfId="2926" xr:uid="{7DCEAEE1-9B59-4A1C-BEDE-AF68139D86BF}"/>
    <cellStyle name="_MODELO PLANILHAS IRT-versão 2_Energia Comprada_IRT-cálculo" xfId="2927" xr:uid="{EAE70680-D484-4EFF-9406-3228EBD839E2}"/>
    <cellStyle name="_MODELO PLANILHAS IRT-versão 2_Energia Comprada_IRT-cálculo CAPA NEUTRALIDADE" xfId="2928" xr:uid="{A664B79E-F215-4711-A53C-D3125391C45F}"/>
    <cellStyle name="_MODELO PLANILHAS IRT-versão 2_Fator X" xfId="1606" xr:uid="{DDA5FF45-0C5D-464F-81EB-638942CE2F09}"/>
    <cellStyle name="_MODELO PLANILHAS IRT-versão 2_Fator X_atualização serviços taxados" xfId="43088" xr:uid="{B35BFB3E-2ABB-4AB2-9E71-72CCC43193BD}"/>
    <cellStyle name="_MODELO PLANILHAS IRT-versão 2_Fator X_Financeiro Desconto na TUSD Consumidores Livres Reajuste 2010 - 03_03_2010" xfId="43089" xr:uid="{D6DDA696-719D-488E-92C1-2032B04B4AC0}"/>
    <cellStyle name="_MODELO PLANILHAS IRT-versão 2_Fator X_Financeiro Desconto na TUSD Geradores Reajuste 2010 - 03_03_2010" xfId="43090" xr:uid="{94FDE779-8105-4C74-84FF-9F24A7572497}"/>
    <cellStyle name="_MODELO PLANILHAS IRT-versão 2_Fator X_Financeiro Subsídio Baixa Renda Reajuste 2010 - 03_03_2010" xfId="43091" xr:uid="{3D688D8E-A157-4F8B-B700-EA116E30CAD2}"/>
    <cellStyle name="_MODELO PLANILHAS IRT-versão 2_Fator X_Financeiro Subsídio Rural Irrigante e Aquicultor Reajuste 2010 - 03_03_2010" xfId="43092" xr:uid="{ABAA0676-7F53-4598-BD90-93028818FB0D}"/>
    <cellStyle name="_MODELO PLANILHAS IRT-versão 2_Fator X_IRT-cálculo" xfId="2929" xr:uid="{6053D01B-4C0E-4BBF-A50A-291093A248F0}"/>
    <cellStyle name="_MODELO PLANILHAS IRT-versão 2_Fator X_IRT-cálculo CAPA NEUTRALIDADE" xfId="2930" xr:uid="{E202323B-4E5F-44A1-85D8-01B06D4FF527}"/>
    <cellStyle name="_MODELO PLANILHAS IRT-versão 2_Fator X_SOBRECONTRATAÇÃO E CVA" xfId="2931" xr:uid="{CAD984AD-CD41-4205-AF15-F5A9CCD60A07}"/>
    <cellStyle name="_MODELO PLANILHAS IRT-versão 2_Financeiro Desconto na TUSD Consumidores Livres Reajuste 2010 - 03_03_2010" xfId="43093" xr:uid="{A1C66CFB-2359-4F13-BC8A-A1CC562FF639}"/>
    <cellStyle name="_MODELO PLANILHAS IRT-versão 2_Financeiro Desconto na TUSD Geradores Reajuste 2010 - 03_03_2010" xfId="43094" xr:uid="{3BBF8126-C8AC-4B45-9175-670120E6114B}"/>
    <cellStyle name="_MODELO PLANILHAS IRT-versão 2_Financeiro Subsídio Baixa Renda Reajuste 2010 - 03_03_2010" xfId="43095" xr:uid="{E3CF7BAF-93AA-45DD-8D77-A726276542A9}"/>
    <cellStyle name="_MODELO PLANILHAS IRT-versão 2_Financeiro Subsídio Rural Irrigante e Aquicultor Reajuste 2010 - 03_03_2010" xfId="43096" xr:uid="{E50B4487-10EC-485C-B902-ACDF7695DBE5}"/>
    <cellStyle name="_MODELO PLANILHAS IRT-versão 2_IF - Autoprodutores 2" xfId="2932" xr:uid="{06B418B8-BF1D-468B-AA2B-81EC50A5D764}"/>
    <cellStyle name="_MODELO PLANILHAS IRT-versão 2_IF_Consumidores livres e geradoras_2010" xfId="2933" xr:uid="{0EAB3448-D9E6-4CE4-B340-F520E0522D73}"/>
    <cellStyle name="_MODELO PLANILHAS IRT-versão 2_IRT (2)" xfId="1607" xr:uid="{B2E35970-BAC6-4CB0-A360-0488BC201767}"/>
    <cellStyle name="_MODELO PLANILHAS IRT-versão 2_IRT (2) 2" xfId="2934" xr:uid="{68C9C715-D3F7-4122-B82B-94A2794C9F9F}"/>
    <cellStyle name="_MODELO PLANILHAS IRT-versão 2_IRT_1" xfId="1608" xr:uid="{54CE5D03-131C-4BFC-A909-780C6B244E4D}"/>
    <cellStyle name="_MODELO PLANILHAS IRT-versão 2_IRT_1_atualização serviços taxados" xfId="43097" xr:uid="{B8C76688-5714-4591-BDAE-4CD94D6C07E5}"/>
    <cellStyle name="_MODELO PLANILHAS IRT-versão 2_IRT_1_Financeiro Desconto na TUSD Consumidores Livres Reajuste 2010 - 03_03_2010" xfId="43098" xr:uid="{994E1FD9-FF2E-431E-AD4F-115BC9F4B297}"/>
    <cellStyle name="_MODELO PLANILHAS IRT-versão 2_IRT_1_Financeiro Desconto na TUSD Geradores Reajuste 2010 - 03_03_2010" xfId="43099" xr:uid="{12296DFD-36DA-4701-908F-D2332500F271}"/>
    <cellStyle name="_MODELO PLANILHAS IRT-versão 2_IRT_1_Financeiro Subsídio Baixa Renda Reajuste 2010 - 03_03_2010" xfId="43100" xr:uid="{BA72D761-E755-422E-BE04-79C85281CE0A}"/>
    <cellStyle name="_MODELO PLANILHAS IRT-versão 2_IRT_1_Financeiro Subsídio Rural Irrigante e Aquicultor Reajuste 2010 - 03_03_2010" xfId="43101" xr:uid="{05873398-BA14-4268-AE57-6B0F16AFDDDD}"/>
    <cellStyle name="_MODELO PLANILHAS IRT-versão 2_IRT_1_IRT-cálculo" xfId="2935" xr:uid="{04BABEC4-76EE-4760-8FAD-AF16745FC75A}"/>
    <cellStyle name="_MODELO PLANILHAS IRT-versão 2_IRT_1_IRT-cálculo CAPA NEUTRALIDADE" xfId="2936" xr:uid="{CFAC88F0-4739-42C3-B313-B238819FF18B}"/>
    <cellStyle name="_MODELO PLANILHAS IRT-versão 2_IRT_1_SOBRECONTRATAÇÃO E CVA" xfId="2937" xr:uid="{555BCB69-48A9-4E6E-B847-FC22A2897C32}"/>
    <cellStyle name="_MODELO PLANILHAS IRT-versão 2_IRT_Planilha Básica_ CETRIL" xfId="308" xr:uid="{9D603075-7EC6-46D3-B57B-0B8EBA151D27}"/>
    <cellStyle name="_MODELO PLANILHAS IRT-versão 2_IRT_Planilha Básica_ CETRIL 2" xfId="1308" xr:uid="{3DC0E9D1-4949-45C5-9D66-41C8FEC0B5C2}"/>
    <cellStyle name="_MODELO PLANILHAS IRT-versão 2_IRT_Pleito" xfId="2938" xr:uid="{6AF0609B-B6F7-4382-96CF-3BD9B3B2E053}"/>
    <cellStyle name="_MODELO PLANILHAS IRT-versão 2_IRT_Pleito_IRT-cálculo" xfId="2939" xr:uid="{E1EC48BE-F19C-4D8E-9B6B-9EDFA8241385}"/>
    <cellStyle name="_MODELO PLANILHAS IRT-versão 2_IRT_Pleito_IRT-cálculo CAPA NEUTRALIDADE" xfId="2940" xr:uid="{B9AF020E-BA97-4224-BD71-569CF8DF5BF0}"/>
    <cellStyle name="_MODELO PLANILHAS IRT-versão 2_IRT_Revisão A-1" xfId="2941" xr:uid="{4AC83F61-9CB4-4B92-9046-404737D47AC9}"/>
    <cellStyle name="_MODELO PLANILHAS IRT-versão 2_IRT-cálculo" xfId="2942" xr:uid="{BBF3189A-FCD9-4A7C-BFC4-2307AD8A2BFA}"/>
    <cellStyle name="_MODELO PLANILHAS IRT-versão 2_IRT-cálculo CAPA NEUTRALIDADE" xfId="2943" xr:uid="{787DF80C-166B-4450-9126-8CBDFC1B90E6}"/>
    <cellStyle name="_MODELO PLANILHAS IRT-versão 2_Pasta1" xfId="1609" xr:uid="{54F80B19-EDCD-41D4-9C3A-1A802386B702}"/>
    <cellStyle name="_MODELO PLANILHAS IRT-versão 2_Pasta1_atualização serviços taxados" xfId="43102" xr:uid="{5DAE5A5A-92A1-4B97-BD83-DE9784F0DE48}"/>
    <cellStyle name="_MODELO PLANILHAS IRT-versão 2_Pasta1_Financeiro Desconto na TUSD Consumidores Livres Reajuste 2010 - 03_03_2010" xfId="43103" xr:uid="{436C787A-D798-4987-B05F-43872016E3E5}"/>
    <cellStyle name="_MODELO PLANILHAS IRT-versão 2_Pasta1_Financeiro Desconto na TUSD Geradores Reajuste 2010 - 03_03_2010" xfId="43104" xr:uid="{C3C90A7B-A6B6-48C8-AC60-709EC17D1D8C}"/>
    <cellStyle name="_MODELO PLANILHAS IRT-versão 2_Pasta1_Financeiro Subsídio Baixa Renda Reajuste 2010 - 03_03_2010" xfId="43105" xr:uid="{80D42D35-DADD-4532-94C3-04E68AA443D2}"/>
    <cellStyle name="_MODELO PLANILHAS IRT-versão 2_Pasta1_Financeiro Subsídio Rural Irrigante e Aquicultor Reajuste 2010 - 03_03_2010" xfId="43106" xr:uid="{9471FA9B-8E05-4BBB-8805-B493F9AB55FE}"/>
    <cellStyle name="_MODELO PLANILHAS IRT-versão 2_Pasta1_IRT-cálculo" xfId="2944" xr:uid="{2B0F771F-DE9F-4885-9945-2EB16F5F3E48}"/>
    <cellStyle name="_MODELO PLANILHAS IRT-versão 2_Pasta1_IRT-cálculo CAPA NEUTRALIDADE" xfId="2945" xr:uid="{2D194757-33B5-456E-9CDE-7D71647E022C}"/>
    <cellStyle name="_MODELO PLANILHAS IRT-versão 2_Pasta1_SOBRECONTRATAÇÃO E CVA" xfId="2946" xr:uid="{6FA7F42B-25AA-4836-91FA-4E0D77CCFB5D}"/>
    <cellStyle name="_MODELO PLANILHAS IRT-versão 2_Sheet1" xfId="2947" xr:uid="{1696A18D-9EBE-4BC4-9A87-8DABC75E85FF}"/>
    <cellStyle name="_MODELO PLANILHAS IRT-versão 2_SOBRECONTRATAÇÃO E CVA" xfId="2948" xr:uid="{E69F8860-B034-4224-A05E-D26E0B677074}"/>
    <cellStyle name="_MODELO PLANILHAS IRT-versão 2_SOBRECONTRATAÇÃO E CVA A-1" xfId="2949" xr:uid="{83CD036C-17D8-4906-8BB6-F30952BE5416}"/>
    <cellStyle name="_MODELO PLANILHAS IRT-versão 2_SOBRECONTRATAÇÃO E CVA A-1_IRT-cálculo" xfId="2950" xr:uid="{82B4250C-C346-4038-A466-41124EBC0506}"/>
    <cellStyle name="_MODELO PLANILHAS IRT-versão 2_SOBRECONTRATAÇÃO E CVA A-1_IRT-cálculo CAPA NEUTRALIDADE" xfId="2951" xr:uid="{494410F4-69DB-4B63-938E-B986A5F50592}"/>
    <cellStyle name="_MODELO SALDO CVA" xfId="309" xr:uid="{C79D480C-9EC1-4847-AEB5-988D6325888E}"/>
    <cellStyle name="_MODELO SALDO CVA 2" xfId="1309" xr:uid="{0E65F538-BF2D-4B7D-9AFE-1EFAC03FF395}"/>
    <cellStyle name="_MODELO SALDO CVA 3" xfId="2952" xr:uid="{E158289B-39A0-4D72-BAEE-8674F95BBF26}"/>
    <cellStyle name="_MODELO SALDO CVA_Balanço" xfId="310" xr:uid="{9A5F60CF-20B8-4345-A6DF-16F9FB715FE2}"/>
    <cellStyle name="_MODELO SALDO CVA_casulo 15" xfId="311" xr:uid="{8A61C81C-7C30-482B-91E3-6316668DB70C}"/>
    <cellStyle name="_MODELO SALDO CVA_Exposição_Agosto 2" xfId="2953" xr:uid="{4CAC4391-7823-4F2D-A0B7-C5F3F82752A9}"/>
    <cellStyle name="_MODELO SALDO CVA_IRT EEB 2010" xfId="2954" xr:uid="{14D1A7FC-0164-4688-9742-F21261B3D6FE}"/>
    <cellStyle name="_MODELO SALDO CVA_IRT_Revisão A-2" xfId="2955" xr:uid="{F7A08A3D-4F7F-4FBC-B65E-10CB5D1F1D22}"/>
    <cellStyle name="_MODELO SALDO CVA_Simulação AES SUL 03_04_07" xfId="312" xr:uid="{70017B02-B4FB-44A4-9160-84764578E604}"/>
    <cellStyle name="_MODELO SALDO CVA_Simulação AES SUL 03_04_07 2" xfId="1310" xr:uid="{7F2A09B1-A94D-4030-A0BB-EFD4262CCFCC}"/>
    <cellStyle name="_MODELO SALDO CVA_Simulação AES SUL 03_04_07 3" xfId="2956" xr:uid="{B14697BC-E057-4987-ADB3-9E917167B39A}"/>
    <cellStyle name="_MODELO SALDO CVA_Simulação AES SUL 03_04_07_Balanço" xfId="313" xr:uid="{DA0ABF82-AF85-4886-ACE9-1916E7FB3B3E}"/>
    <cellStyle name="_MODELO SALDO CVA_Simulação AES SUL 03_04_07_casulo 15" xfId="314" xr:uid="{E0171FC5-56E2-43FD-9604-0524DCB1EABC}"/>
    <cellStyle name="_MODELO SALDO CVA_Simulação AES SUL 03_04_07_IRT EEB 2010" xfId="2957" xr:uid="{2240DEA9-94A9-4C3B-B505-52623558E6C9}"/>
    <cellStyle name="_MODELO SALDO CVA_Sobrecontratação AES (2)" xfId="315" xr:uid="{826C6C84-DD42-40DC-A209-F48262EF5B34}"/>
    <cellStyle name="_MODELO SALDO CVA_Sobrecontratação AES (2) 2" xfId="1311" xr:uid="{AFCC2D00-4A40-4EA3-9213-2B0CEEED680C}"/>
    <cellStyle name="_MODELO SALDO CVA_Sobrecontratação AES (2) 3" xfId="2958" xr:uid="{B74822B2-4A16-4713-9326-6C33B567E583}"/>
    <cellStyle name="_MODELO SALDO CVA_Sobrecontratação AES (2)_Balanço" xfId="316" xr:uid="{7A4526DE-82B8-4AEA-95D3-DA08AED3D428}"/>
    <cellStyle name="_MODELO SALDO CVA_Sobrecontratação AES (2)_casulo 15" xfId="317" xr:uid="{99B4C0B8-97E7-43EC-9C23-78054A836218}"/>
    <cellStyle name="_MODELO SALDO CVA_Sobrecontratação AES (2)_IRT EEB 2010" xfId="2959" xr:uid="{59E35647-6237-4D68-A1C4-C9CBC986E500}"/>
    <cellStyle name="_modelo_Sobrecontratacao" xfId="2960" xr:uid="{3C242BF1-ED96-4A8B-B509-AFA6463471D5}"/>
    <cellStyle name="_Oficio037-Planilha07 v18-04-07c" xfId="2961" xr:uid="{5B628A80-0C32-4C98-B2C5-01128EA742D1}"/>
    <cellStyle name="_Oficio037-Planilha07 v18-04-07c_2009.04.09 EEB IRT2009 Conexao CEMIG C Financeiro" xfId="2962" xr:uid="{CA4EE464-D431-4671-B145-3972C6BDE4FB}"/>
    <cellStyle name="_Oficio037-Planilha07 v18-04-07c_Base Mercado_EMG" xfId="2963" xr:uid="{C0D97573-EDC0-47C0-8B28-E34F907BE052}"/>
    <cellStyle name="_Oficio037-Planilha07 v18-04-07c_IF - Autoprodutores 2" xfId="2964" xr:uid="{C346336F-C4DD-4E4E-8B44-A1369F653651}"/>
    <cellStyle name="_Oficio037-Planilha07 v18-04-07c_IF_Consumidores livres e geradoras_2010" xfId="2965" xr:uid="{BD4FDC66-26E7-490B-979C-4884C2C94BDB}"/>
    <cellStyle name="_Oficio037-Planilha07 v18-04-07c_IRT-cálculo" xfId="43107" xr:uid="{82F4D38A-E3DA-4B0A-94CB-5BC94A0482CA}"/>
    <cellStyle name="_Oficio037-Planilha07 v18-04-07c_Pleito_IRT_ESE_2010_Envio_ANEEL_Final_atualizado_05_04" xfId="2966" xr:uid="{D46FAF4B-06DC-4202-9765-6ABFFF7159BE}"/>
    <cellStyle name="_Oficio037-Planilha07 v18-04-07c_Sheet1" xfId="2967" xr:uid="{3FD73263-E611-4580-AC2B-F5F98EECA83B}"/>
    <cellStyle name="_passivo PIS_COFINS" xfId="2968" xr:uid="{35CCB2A9-FF8B-48B8-9507-3F88E7E5943C}"/>
    <cellStyle name="_passivo PIS_COFINS_atualização serviços taxados" xfId="43108" xr:uid="{E227FD96-49E5-475D-9235-ACD2D3CD5729}"/>
    <cellStyle name="_passivo PIS_COFINS_Financeiro Desconto na TUSD Consumidores Livres Reajuste 2010 - 03_03_2010" xfId="43109" xr:uid="{53618E23-D1BB-4492-B07E-F25CBCDC87F4}"/>
    <cellStyle name="_passivo PIS_COFINS_Financeiro Desconto na TUSD Geradores Reajuste 2010 - 03_03_2010" xfId="43110" xr:uid="{1ADDAE83-75C3-46DF-A990-33EBC782B6F9}"/>
    <cellStyle name="_passivo PIS_COFINS_Financeiro Subsídio Baixa Renda Reajuste 2010 - 03_03_2010" xfId="43111" xr:uid="{0C22BF5D-4EFD-421B-9294-E105563B15C2}"/>
    <cellStyle name="_passivo PIS_COFINS_Financeiro Subsídio Rural Irrigante e Aquicultor Reajuste 2010 - 03_03_2010" xfId="43112" xr:uid="{01DCDA43-FA8A-437A-A033-224022AF7850}"/>
    <cellStyle name="_passivo PIS_COFINS_IF - Autoprodutores 2" xfId="2969" xr:uid="{E50AC751-BDAF-4DE8-A3AB-94F95F39259D}"/>
    <cellStyle name="_passivo PIS_COFINS_IF_Consumidores livres e geradoras_2010" xfId="2970" xr:uid="{E44027D4-C52F-4140-952F-118E19C4DA98}"/>
    <cellStyle name="_passivo PIS_COFINS_IRT-cálculo" xfId="2971" xr:uid="{340DC282-D197-4E60-808F-79CB0C226A65}"/>
    <cellStyle name="_passivo PIS_COFINS_Sheet1" xfId="2972" xr:uid="{917B3B67-EAB7-449B-9839-CD0BE8F068C1}"/>
    <cellStyle name="_Pasta1" xfId="318" xr:uid="{1EB3B44F-EFB1-4413-9D10-FBE18A916B0B}"/>
    <cellStyle name="_Pasta1 2" xfId="1312" xr:uid="{8405B3AF-94D8-4EE4-91F5-65D7DA0F63C2}"/>
    <cellStyle name="_Pasta1 2 2" xfId="2973" xr:uid="{8AEE9897-F8AB-4DE7-91BA-32FEC24EDA2F}"/>
    <cellStyle name="_Pasta1 3" xfId="2974" xr:uid="{A3E53FA9-5ED7-4FE5-B956-DEDB0A449326}"/>
    <cellStyle name="_Pasta1_atualização serviços taxados" xfId="43113" xr:uid="{A290BE1E-4D88-4B56-9254-83B27974AEE0}"/>
    <cellStyle name="_Pasta1_Balanço" xfId="319" xr:uid="{16F353D3-7AE1-4F0F-8696-6A04FD241993}"/>
    <cellStyle name="_Pasta1_casulo 15" xfId="320" xr:uid="{52B0F51A-7B87-42A4-802E-B5332D1ACF09}"/>
    <cellStyle name="_Pasta1_CVA Borborema 2010 - Fiscalizada Final" xfId="2975" xr:uid="{33CAF83F-64B1-4A5D-9A4B-CA4A4FC6FA96}"/>
    <cellStyle name="_Pasta1_Energia Comprada" xfId="2976" xr:uid="{59158E36-4E27-4D51-AD91-6B9E4E830966}"/>
    <cellStyle name="_Pasta1_Energia Comprada_IRT-cálculo" xfId="2977" xr:uid="{A5B0A3E5-8695-48D9-B171-1F9B65F0A065}"/>
    <cellStyle name="_Pasta1_Energia Comprada_IRT-cálculo CAPA NEUTRALIDADE" xfId="2978" xr:uid="{139B4838-4DDC-45BA-A740-A073DCA00558}"/>
    <cellStyle name="_Pasta1_Fator X" xfId="1610" xr:uid="{9FEE2505-9310-4971-9E01-00303ED16237}"/>
    <cellStyle name="_Pasta1_Fator X 2" xfId="2979" xr:uid="{34AD3864-A7B2-47AF-B305-0BB76CD52EC3}"/>
    <cellStyle name="_Pasta1_Fator X_atualização serviços taxados" xfId="43114" xr:uid="{63852ACF-BAD8-46FE-9D41-C7B52B62B33F}"/>
    <cellStyle name="_Pasta1_Fator X_Financeiro Desconto na TUSD Consumidores Livres Reajuste 2010 - 03_03_2010" xfId="43115" xr:uid="{871345ED-CCC6-40F2-8167-E06661A0842B}"/>
    <cellStyle name="_Pasta1_Fator X_Financeiro Desconto na TUSD Geradores Reajuste 2010 - 03_03_2010" xfId="43116" xr:uid="{8B9E6852-281C-4518-BC03-564A631F90AA}"/>
    <cellStyle name="_Pasta1_Fator X_Financeiro Subsídio Baixa Renda Reajuste 2010 - 03_03_2010" xfId="43117" xr:uid="{0AA25608-79F4-4C49-901F-F92C518B4A62}"/>
    <cellStyle name="_Pasta1_Fator X_Financeiro Subsídio Rural Irrigante e Aquicultor Reajuste 2010 - 03_03_2010" xfId="43118" xr:uid="{A52B8345-D3E5-424A-8BF5-A003B2DCAE5D}"/>
    <cellStyle name="_Pasta1_Fator X_IRT-cálculo" xfId="2980" xr:uid="{2603B047-14AB-4B37-8792-2D6A13B4E0C7}"/>
    <cellStyle name="_Pasta1_Fator X_IRT-cálculo CAPA NEUTRALIDADE" xfId="2981" xr:uid="{FB9594B3-CF4A-4575-BB98-B0654BE14907}"/>
    <cellStyle name="_Pasta1_Fator X_SOBRECONTRATAÇÃO E CVA" xfId="2982" xr:uid="{32EAE852-D96B-4EB0-8C4A-5508CAE76CC8}"/>
    <cellStyle name="_Pasta1_Financeiro Desconto na TUSD Consumidores Livres Reajuste 2010 - 03_03_2010" xfId="43119" xr:uid="{9F84268A-D10E-4C62-A68B-D7A7E6F1EBA6}"/>
    <cellStyle name="_Pasta1_Financeiro Desconto na TUSD Geradores Reajuste 2010 - 03_03_2010" xfId="43120" xr:uid="{E14C09AF-AE39-45FF-BEEA-894AC54F17BD}"/>
    <cellStyle name="_Pasta1_Financeiro Subsídio Baixa Renda Reajuste 2010 - 03_03_2010" xfId="43121" xr:uid="{E18D60FB-EA51-49BB-9121-2A7CB90A0DE3}"/>
    <cellStyle name="_Pasta1_Financeiro Subsídio Rural Irrigante e Aquicultor Reajuste 2010 - 03_03_2010" xfId="43122" xr:uid="{AE613DC6-6746-41A7-BFA9-EDFF3FF49FD0}"/>
    <cellStyle name="_Pasta1_IRT (2)" xfId="1611" xr:uid="{F7EFC63E-5FBE-401F-B018-323F54E627EE}"/>
    <cellStyle name="_Pasta1_IRT EEB 2010" xfId="2983" xr:uid="{7923D236-2C2C-45B7-BD6E-2C49E5BE4810}"/>
    <cellStyle name="_Pasta1_IRT_1" xfId="1612" xr:uid="{6229BFC2-D4ED-439F-A3C4-2E4BCB953F3E}"/>
    <cellStyle name="_Pasta1_IRT_1 2" xfId="2984" xr:uid="{689EBE89-7849-406C-9590-037D531CAEB2}"/>
    <cellStyle name="_Pasta1_IRT_1_atualização serviços taxados" xfId="43123" xr:uid="{4B7B839C-A194-484E-9AB4-7AB314D4C6A5}"/>
    <cellStyle name="_Pasta1_IRT_1_Financeiro Desconto na TUSD Consumidores Livres Reajuste 2010 - 03_03_2010" xfId="43124" xr:uid="{1F516391-DC96-425F-B71F-C4251C16BEE2}"/>
    <cellStyle name="_Pasta1_IRT_1_Financeiro Desconto na TUSD Geradores Reajuste 2010 - 03_03_2010" xfId="43125" xr:uid="{36D5DFBA-0108-4B34-8864-A56FCEBBD98C}"/>
    <cellStyle name="_Pasta1_IRT_1_Financeiro Subsídio Baixa Renda Reajuste 2010 - 03_03_2010" xfId="43126" xr:uid="{438D8226-DDA9-4A45-9D2D-E53A2A05FC4B}"/>
    <cellStyle name="_Pasta1_IRT_1_Financeiro Subsídio Rural Irrigante e Aquicultor Reajuste 2010 - 03_03_2010" xfId="43127" xr:uid="{00F3B216-8CBE-48A1-A446-F6A28464E5E8}"/>
    <cellStyle name="_Pasta1_IRT_1_IRT-cálculo" xfId="2985" xr:uid="{F7B40209-D895-43F3-926B-D965232EFEFD}"/>
    <cellStyle name="_Pasta1_IRT_1_IRT-cálculo CAPA NEUTRALIDADE" xfId="2986" xr:uid="{C89BEF9F-EAB4-4E95-9D4E-32215773149B}"/>
    <cellStyle name="_Pasta1_IRT_1_SOBRECONTRATAÇÃO E CVA" xfId="2987" xr:uid="{44677957-EB7F-423E-B980-C74842611F01}"/>
    <cellStyle name="_Pasta1_IRT_Planilha Básica_DIRETORIA" xfId="2988" xr:uid="{CB60B26E-607A-4A37-8EBA-015999B687B0}"/>
    <cellStyle name="_Pasta1_IRT_Revisão A-1" xfId="2989" xr:uid="{54D14C43-706C-48A3-9B79-3A37B0096367}"/>
    <cellStyle name="_Pasta1_IRT-cálculo" xfId="2990" xr:uid="{2EC496EE-93C9-48FB-B5B6-C50E0B5F918A}"/>
    <cellStyle name="_Pasta1_IRT-cálculo CAPA NEUTRALIDADE" xfId="2991" xr:uid="{13263D38-1B68-477A-8271-9C444E095C0E}"/>
    <cellStyle name="_Pasta1_NOVA PLANILHA REVISÃO 1" xfId="2992" xr:uid="{8449DA28-28AF-42B5-9F33-44C9BE529462}"/>
    <cellStyle name="_Pasta1_Pasta1" xfId="1613" xr:uid="{1F891068-4FB4-438B-918C-7BAD85449344}"/>
    <cellStyle name="_Pasta1_Pasta1 2" xfId="2993" xr:uid="{E00D3E3D-3C7B-47AB-95AD-E2B57B38510B}"/>
    <cellStyle name="_Pasta1_Pasta1_atualização serviços taxados" xfId="43128" xr:uid="{F09F61E2-69E0-44FD-B1E5-1D1B91AAED1B}"/>
    <cellStyle name="_Pasta1_Pasta1_Financeiro Desconto na TUSD Consumidores Livres Reajuste 2010 - 03_03_2010" xfId="43129" xr:uid="{784789FF-5CB9-46AA-836B-55EB94630A55}"/>
    <cellStyle name="_Pasta1_Pasta1_Financeiro Desconto na TUSD Geradores Reajuste 2010 - 03_03_2010" xfId="43130" xr:uid="{7AA28BEE-E5C5-4DFF-9982-A9FB2C1EFA2A}"/>
    <cellStyle name="_Pasta1_Pasta1_Financeiro Subsídio Baixa Renda Reajuste 2010 - 03_03_2010" xfId="43131" xr:uid="{6EC18F97-66FF-403E-9652-07C8B24F961A}"/>
    <cellStyle name="_Pasta1_Pasta1_Financeiro Subsídio Rural Irrigante e Aquicultor Reajuste 2010 - 03_03_2010" xfId="43132" xr:uid="{892CBF89-9A08-429F-ADEC-89C7465193BB}"/>
    <cellStyle name="_Pasta1_Pasta1_IRT-cálculo" xfId="2994" xr:uid="{63BE7682-299B-4CE6-8E00-9445466D37F1}"/>
    <cellStyle name="_Pasta1_Pasta1_IRT-cálculo CAPA NEUTRALIDADE" xfId="2995" xr:uid="{2442A9B3-C17B-48B0-B132-31DFE0CBE73D}"/>
    <cellStyle name="_Pasta1_Pasta1_SOBRECONTRATAÇÃO E CVA" xfId="2996" xr:uid="{BC5CEEB3-E3B4-4E86-9C45-B5FDBD3CA1CF}"/>
    <cellStyle name="_Pasta1_SOBRECONTRATAÇÃO E CVA" xfId="2997" xr:uid="{D141B4BA-8B0A-467E-BF8A-209E6AADF6D2}"/>
    <cellStyle name="_Pasta11" xfId="1614" xr:uid="{EA2D92C0-B0F0-419C-B594-6322C2E27259}"/>
    <cellStyle name="_Pasta11 2" xfId="2998" xr:uid="{A4BE0684-52EA-4E12-9C70-49D36C82F6A0}"/>
    <cellStyle name="_Pasta11_atualização serviços taxados" xfId="43133" xr:uid="{4A105B11-3194-453E-BB7A-C93A21D3F3C1}"/>
    <cellStyle name="_Pasta11_Energia Comprada" xfId="2999" xr:uid="{63D0D577-8FAB-481E-AB1B-369C241FC518}"/>
    <cellStyle name="_Pasta11_Energia Comprada_IRT-cálculo" xfId="3000" xr:uid="{1B9AE520-5DC4-4F9E-A9ED-89E0F0AC4612}"/>
    <cellStyle name="_Pasta11_Energia Comprada_IRT-cálculo CAPA NEUTRALIDADE" xfId="3001" xr:uid="{7DB1C216-B33E-4ABB-972A-E68AE9A810A0}"/>
    <cellStyle name="_Pasta11_Fator X" xfId="1615" xr:uid="{6A650E8A-EA91-44A9-A4E7-DB72537844F1}"/>
    <cellStyle name="_Pasta11_Fator X 2" xfId="3002" xr:uid="{64E2303D-B3E1-43A3-8F49-3DF39D74F1F7}"/>
    <cellStyle name="_Pasta11_Fator X_atualização serviços taxados" xfId="43134" xr:uid="{99E7D0CB-2282-4E58-8BD5-20A9D7FD2CF3}"/>
    <cellStyle name="_Pasta11_Fator X_Financeiro Desconto na TUSD Consumidores Livres Reajuste 2010 - 03_03_2010" xfId="43135" xr:uid="{AA6D2F3E-CE6D-41F1-9EE9-6E388BD61420}"/>
    <cellStyle name="_Pasta11_Fator X_Financeiro Desconto na TUSD Geradores Reajuste 2010 - 03_03_2010" xfId="43136" xr:uid="{71CF23C4-19DC-4D45-B8B3-0FA50C278F6E}"/>
    <cellStyle name="_Pasta11_Fator X_Financeiro Subsídio Baixa Renda Reajuste 2010 - 03_03_2010" xfId="43137" xr:uid="{8938C7D7-954D-4855-BE50-184A580B605C}"/>
    <cellStyle name="_Pasta11_Fator X_Financeiro Subsídio Rural Irrigante e Aquicultor Reajuste 2010 - 03_03_2010" xfId="43138" xr:uid="{209F0C94-9A5D-4CB5-9D4A-101574F28A35}"/>
    <cellStyle name="_Pasta11_Fator X_IRT-cálculo" xfId="3003" xr:uid="{511209F9-965C-4519-8BC8-25483EC60A6E}"/>
    <cellStyle name="_Pasta11_Fator X_IRT-cálculo CAPA NEUTRALIDADE" xfId="3004" xr:uid="{2E8DA4DF-CA4B-42CF-A6A2-48E7ABB0CAC2}"/>
    <cellStyle name="_Pasta11_Fator X_SOBRECONTRATAÇÃO E CVA" xfId="3005" xr:uid="{D6E85B74-0772-412B-913A-63EDC11D7E3F}"/>
    <cellStyle name="_Pasta11_Financeiro Desconto na TUSD Consumidores Livres Reajuste 2010 - 03_03_2010" xfId="43139" xr:uid="{8699959C-439A-4AAF-87FF-49B7D0000B19}"/>
    <cellStyle name="_Pasta11_Financeiro Desconto na TUSD Geradores Reajuste 2010 - 03_03_2010" xfId="43140" xr:uid="{D131BAD5-283B-452B-A32D-C49BED803EE9}"/>
    <cellStyle name="_Pasta11_Financeiro Subsídio Baixa Renda Reajuste 2010 - 03_03_2010" xfId="43141" xr:uid="{02406CA8-AC62-4738-BB37-F671643CFB13}"/>
    <cellStyle name="_Pasta11_Financeiro Subsídio Rural Irrigante e Aquicultor Reajuste 2010 - 03_03_2010" xfId="43142" xr:uid="{F4C518A2-F8B2-4AE0-8B71-FD7426FC7226}"/>
    <cellStyle name="_Pasta11_IRT (2)" xfId="1616" xr:uid="{566439A1-DB20-4D4B-BFA9-9B3E6042B124}"/>
    <cellStyle name="_Pasta11_IRT_1" xfId="1617" xr:uid="{9E50919F-19FF-4D06-A342-7FFBB8C61B50}"/>
    <cellStyle name="_Pasta11_IRT_1 2" xfId="3006" xr:uid="{894FB398-1548-444B-8950-40783DE60D08}"/>
    <cellStyle name="_Pasta11_IRT_1_atualização serviços taxados" xfId="43143" xr:uid="{3E568C17-DADE-4535-B073-5EB3A632989E}"/>
    <cellStyle name="_Pasta11_IRT_1_Financeiro Desconto na TUSD Consumidores Livres Reajuste 2010 - 03_03_2010" xfId="43144" xr:uid="{219B492A-C9AE-4430-B7D8-7D3EA6C9611C}"/>
    <cellStyle name="_Pasta11_IRT_1_Financeiro Desconto na TUSD Geradores Reajuste 2010 - 03_03_2010" xfId="43145" xr:uid="{6AF32930-34DD-4A45-872A-D21A68F45B39}"/>
    <cellStyle name="_Pasta11_IRT_1_Financeiro Subsídio Baixa Renda Reajuste 2010 - 03_03_2010" xfId="43146" xr:uid="{78ACA7C8-F062-4983-B19E-D72743576DC3}"/>
    <cellStyle name="_Pasta11_IRT_1_Financeiro Subsídio Rural Irrigante e Aquicultor Reajuste 2010 - 03_03_2010" xfId="43147" xr:uid="{D2D990B0-6CE4-48C8-A34D-875F9CA216E2}"/>
    <cellStyle name="_Pasta11_IRT_1_IRT-cálculo" xfId="3007" xr:uid="{C4B9CB97-3C1B-4062-9052-3B48C6C92074}"/>
    <cellStyle name="_Pasta11_IRT_1_IRT-cálculo CAPA NEUTRALIDADE" xfId="3008" xr:uid="{DE5A4A99-EDAA-4E18-9AD9-CAAC7BFA8AC4}"/>
    <cellStyle name="_Pasta11_IRT_1_SOBRECONTRATAÇÃO E CVA" xfId="3009" xr:uid="{D3E6B413-9A19-4B26-A425-E02F92A79D66}"/>
    <cellStyle name="_Pasta11_IRT-cálculo" xfId="3010" xr:uid="{C22C6DF3-8F07-44E6-ACA1-06F1167A2B07}"/>
    <cellStyle name="_Pasta11_IRT-cálculo CAPA NEUTRALIDADE" xfId="3011" xr:uid="{B76D4CFA-A034-42AF-AF72-790EF4DE36BD}"/>
    <cellStyle name="_Pasta11_Pasta1" xfId="1618" xr:uid="{346BA937-752B-4876-A0C5-507C33A19FB5}"/>
    <cellStyle name="_Pasta11_Pasta1 2" xfId="3012" xr:uid="{FEF56087-BCC9-4031-A23B-64B06376B991}"/>
    <cellStyle name="_Pasta11_Pasta1_atualização serviços taxados" xfId="43148" xr:uid="{A026D85A-470D-4D4C-844A-E02F2CA6C175}"/>
    <cellStyle name="_Pasta11_Pasta1_Financeiro Desconto na TUSD Consumidores Livres Reajuste 2010 - 03_03_2010" xfId="43149" xr:uid="{402076DA-AF7D-4EB6-B1E1-FFD47C33D73A}"/>
    <cellStyle name="_Pasta11_Pasta1_Financeiro Desconto na TUSD Geradores Reajuste 2010 - 03_03_2010" xfId="43150" xr:uid="{66CB018B-5F79-41A7-955F-1BCB366BDBAD}"/>
    <cellStyle name="_Pasta11_Pasta1_Financeiro Subsídio Baixa Renda Reajuste 2010 - 03_03_2010" xfId="43151" xr:uid="{41B372C7-7898-43AB-8BD2-B078EBB7518E}"/>
    <cellStyle name="_Pasta11_Pasta1_Financeiro Subsídio Rural Irrigante e Aquicultor Reajuste 2010 - 03_03_2010" xfId="43152" xr:uid="{5024758D-B4C7-4D0F-A025-F9AAE33E08F7}"/>
    <cellStyle name="_Pasta11_Pasta1_IRT-cálculo" xfId="3013" xr:uid="{18AF33EA-C238-41B5-B56F-73BC1E23F7E7}"/>
    <cellStyle name="_Pasta11_Pasta1_IRT-cálculo CAPA NEUTRALIDADE" xfId="3014" xr:uid="{71AD2996-9750-4D16-9B7C-C1568A6C38D7}"/>
    <cellStyle name="_Pasta11_Pasta1_SOBRECONTRATAÇÃO E CVA" xfId="3015" xr:uid="{505347C5-B8A0-4A5C-AFC4-F83F0D6B7340}"/>
    <cellStyle name="_Pasta11_SOBRECONTRATAÇÃO E CVA" xfId="3016" xr:uid="{50FC1EEE-6CB8-4202-B7A4-83FEFE9B1D46}"/>
    <cellStyle name="_Pasta12" xfId="1619" xr:uid="{3FD69C58-5018-482E-A57C-79B9BF77D6C1}"/>
    <cellStyle name="_Pasta12 2" xfId="3017" xr:uid="{D18C3A2F-BBAB-4E99-9564-A581461EBB8B}"/>
    <cellStyle name="_Pasta12_atualização serviços taxados" xfId="43153" xr:uid="{A46707DA-3F5E-495D-9F61-1E8053AB5F6C}"/>
    <cellStyle name="_Pasta12_Energia Comprada" xfId="3018" xr:uid="{0895CC5C-6B0A-4DF8-B9F7-6F8664250CE9}"/>
    <cellStyle name="_Pasta12_Energia Comprada_IRT-cálculo" xfId="3019" xr:uid="{7DB4CB1A-7A26-47E3-94DE-C62CED498AFD}"/>
    <cellStyle name="_Pasta12_Energia Comprada_IRT-cálculo CAPA NEUTRALIDADE" xfId="3020" xr:uid="{FEC65CEE-5F54-4482-947D-9A41554959B8}"/>
    <cellStyle name="_Pasta12_Fator X" xfId="1620" xr:uid="{F32CB635-2DB5-42EF-9A2D-1300F65BB5E4}"/>
    <cellStyle name="_Pasta12_Fator X 2" xfId="3021" xr:uid="{58B7E387-9763-4967-A51C-AE18F4DBFA50}"/>
    <cellStyle name="_Pasta12_Fator X_atualização serviços taxados" xfId="43154" xr:uid="{F7436872-4D3E-45C5-AE40-49525E68352B}"/>
    <cellStyle name="_Pasta12_Fator X_Financeiro Desconto na TUSD Consumidores Livres Reajuste 2010 - 03_03_2010" xfId="43155" xr:uid="{0308AE74-A732-4E90-A6CE-EA6B5B605827}"/>
    <cellStyle name="_Pasta12_Fator X_Financeiro Desconto na TUSD Geradores Reajuste 2010 - 03_03_2010" xfId="43156" xr:uid="{83781EF5-A822-47D7-B718-215FD45B792D}"/>
    <cellStyle name="_Pasta12_Fator X_Financeiro Subsídio Baixa Renda Reajuste 2010 - 03_03_2010" xfId="43157" xr:uid="{40802E9E-A85B-4123-A537-8137581E1530}"/>
    <cellStyle name="_Pasta12_Fator X_Financeiro Subsídio Rural Irrigante e Aquicultor Reajuste 2010 - 03_03_2010" xfId="43158" xr:uid="{28FD4DD3-86BB-4BE0-B8D7-7C82E4D9D80D}"/>
    <cellStyle name="_Pasta12_Fator X_IRT-cálculo" xfId="3022" xr:uid="{9D0291BD-AA1A-4DD9-988F-96E7371D19F3}"/>
    <cellStyle name="_Pasta12_Fator X_IRT-cálculo CAPA NEUTRALIDADE" xfId="3023" xr:uid="{CC012395-597C-4146-BD75-C9F7EFF04117}"/>
    <cellStyle name="_Pasta12_Fator X_SOBRECONTRATAÇÃO E CVA" xfId="3024" xr:uid="{10C50D94-1AE7-4D99-B0FD-FEC25D25BF38}"/>
    <cellStyle name="_Pasta12_Financeiro Desconto na TUSD Consumidores Livres Reajuste 2010 - 03_03_2010" xfId="43159" xr:uid="{019328C5-C406-47A2-BF84-C1BE7E361B44}"/>
    <cellStyle name="_Pasta12_Financeiro Desconto na TUSD Geradores Reajuste 2010 - 03_03_2010" xfId="43160" xr:uid="{5AD90648-A8D5-4435-8652-22513370C1A5}"/>
    <cellStyle name="_Pasta12_Financeiro Subsídio Baixa Renda Reajuste 2010 - 03_03_2010" xfId="43161" xr:uid="{5EC68167-C132-470D-AB78-6B9541FA5F93}"/>
    <cellStyle name="_Pasta12_Financeiro Subsídio Rural Irrigante e Aquicultor Reajuste 2010 - 03_03_2010" xfId="43162" xr:uid="{C4293D00-46A8-46DF-9126-A8B767082FB1}"/>
    <cellStyle name="_Pasta12_IRT (2)" xfId="1621" xr:uid="{C8FA78FF-72A8-4BB7-BAA9-6EA781166A1E}"/>
    <cellStyle name="_Pasta12_IRT_1" xfId="1622" xr:uid="{142D19AA-CA94-4A2E-B125-D055FB5E00E9}"/>
    <cellStyle name="_Pasta12_IRT_1 2" xfId="3025" xr:uid="{9A8CEAAA-1970-4FC6-8E63-FF7AA3C7AD96}"/>
    <cellStyle name="_Pasta12_IRT_1_atualização serviços taxados" xfId="43163" xr:uid="{635015CF-32A1-4EEC-9227-BBEBC2AC28D7}"/>
    <cellStyle name="_Pasta12_IRT_1_Financeiro Desconto na TUSD Consumidores Livres Reajuste 2010 - 03_03_2010" xfId="43164" xr:uid="{7765E7C6-73EF-4B17-B314-8229F35FCBC2}"/>
    <cellStyle name="_Pasta12_IRT_1_Financeiro Desconto na TUSD Geradores Reajuste 2010 - 03_03_2010" xfId="43165" xr:uid="{E0736BB6-934E-4676-9FCF-93C4E7552D3B}"/>
    <cellStyle name="_Pasta12_IRT_1_Financeiro Subsídio Baixa Renda Reajuste 2010 - 03_03_2010" xfId="43166" xr:uid="{5285283C-D7B2-4532-8D80-46DD6B72744B}"/>
    <cellStyle name="_Pasta12_IRT_1_Financeiro Subsídio Rural Irrigante e Aquicultor Reajuste 2010 - 03_03_2010" xfId="43167" xr:uid="{06156CE6-84B6-4C1A-8128-5E32E59F387B}"/>
    <cellStyle name="_Pasta12_IRT_1_IRT-cálculo" xfId="3026" xr:uid="{71F8AC04-4720-4F72-A1BD-DC2B220EDB2E}"/>
    <cellStyle name="_Pasta12_IRT_1_IRT-cálculo CAPA NEUTRALIDADE" xfId="3027" xr:uid="{72D1AFE9-8278-4A50-B1ED-16BC098000DC}"/>
    <cellStyle name="_Pasta12_IRT_1_SOBRECONTRATAÇÃO E CVA" xfId="3028" xr:uid="{8FECCE2C-FCA2-4FB5-BA9B-0593EB7B6ED7}"/>
    <cellStyle name="_Pasta12_IRT-cálculo" xfId="3029" xr:uid="{5D972166-0126-4F79-B392-61DEE912EE76}"/>
    <cellStyle name="_Pasta12_IRT-cálculo CAPA NEUTRALIDADE" xfId="3030" xr:uid="{07BC72BB-1AFC-4C12-909C-778F37C85AF7}"/>
    <cellStyle name="_Pasta12_Pasta1" xfId="1623" xr:uid="{2A49F3E2-25EF-4FBB-ADA9-A351E28477AF}"/>
    <cellStyle name="_Pasta12_Pasta1 2" xfId="3031" xr:uid="{333F77C1-E72B-498F-9B63-786C2117B463}"/>
    <cellStyle name="_Pasta12_Pasta1_atualização serviços taxados" xfId="43168" xr:uid="{A39DD594-5E6F-484C-ADEE-BBCECD6A148B}"/>
    <cellStyle name="_Pasta12_Pasta1_Financeiro Desconto na TUSD Consumidores Livres Reajuste 2010 - 03_03_2010" xfId="43169" xr:uid="{F4ED0E2B-AD19-439C-9725-3AED74394A1A}"/>
    <cellStyle name="_Pasta12_Pasta1_Financeiro Desconto na TUSD Geradores Reajuste 2010 - 03_03_2010" xfId="43170" xr:uid="{0FF11372-72FF-49B2-97B1-CB0213924DDB}"/>
    <cellStyle name="_Pasta12_Pasta1_Financeiro Subsídio Baixa Renda Reajuste 2010 - 03_03_2010" xfId="43171" xr:uid="{23E993F3-7056-404C-B25E-A1F7F5A2D3F8}"/>
    <cellStyle name="_Pasta12_Pasta1_Financeiro Subsídio Rural Irrigante e Aquicultor Reajuste 2010 - 03_03_2010" xfId="43172" xr:uid="{48F02601-E3FD-48AF-9424-22F59B1E899C}"/>
    <cellStyle name="_Pasta12_Pasta1_IRT-cálculo" xfId="3032" xr:uid="{591F4942-0DA8-480A-9A6C-482655DC3551}"/>
    <cellStyle name="_Pasta12_Pasta1_IRT-cálculo CAPA NEUTRALIDADE" xfId="3033" xr:uid="{5901AD30-D81D-4175-93C2-9FC11C8646A2}"/>
    <cellStyle name="_Pasta12_Pasta1_SOBRECONTRATAÇÃO E CVA" xfId="3034" xr:uid="{5BBE6F54-3513-45DA-8086-A6234AB73EC8}"/>
    <cellStyle name="_Pasta12_SOBRECONTRATAÇÃO E CVA" xfId="3035" xr:uid="{0B11BDC4-A13B-4160-9689-F4772A8A935A}"/>
    <cellStyle name="_Pasta2" xfId="321" xr:uid="{DD3C5196-FE51-4973-AF41-557DC7C12DDA}"/>
    <cellStyle name="_Pasta2 2" xfId="3036" xr:uid="{84B3D62B-0E9A-4CF8-BD3A-32CED032B3AB}"/>
    <cellStyle name="_Pasta2 3" xfId="3037" xr:uid="{B400ED9E-77D2-4BA8-A7AE-F07A3F0C18E7}"/>
    <cellStyle name="_Pasta2_IF - Autoprodutores 2" xfId="3038" xr:uid="{B463A406-4DB6-417C-8EE2-2B37812FD751}"/>
    <cellStyle name="_Pasta2_IF_Consumidores livres e geradoras_2010" xfId="3039" xr:uid="{02FF2DED-FF34-4EE4-BDBF-121F9554AB35}"/>
    <cellStyle name="_Pasta2_IRT Piratininga 2009" xfId="322" xr:uid="{E7EFD1C3-E6D2-4C1B-8E27-B4585E78DB1C}"/>
    <cellStyle name="_Pasta2_IRT Piratininga 2009 2" xfId="1313" xr:uid="{26A77726-520F-4D06-A4E8-C91C01219006}"/>
    <cellStyle name="_Pasta2_IRT_Planilha Básica_ CETRIL" xfId="323" xr:uid="{16830737-C5DA-4292-8D91-628B8293F508}"/>
    <cellStyle name="_Pasta2_IRT_Planilha Básica_ CETRIL 2" xfId="1314" xr:uid="{C2A9F906-F18F-403F-A3C1-9C91DA38CD52}"/>
    <cellStyle name="_Pasta2_IRT_Planilha Básica_mar2010b" xfId="3040" xr:uid="{23C7453D-4031-42EA-AF1D-E01180F7F329}"/>
    <cellStyle name="_Pasta2_IRT-cálculo" xfId="3041" xr:uid="{E35B593D-AA33-44C0-9A17-240AA82067BB}"/>
    <cellStyle name="_Pasta2_Sheet1" xfId="3042" xr:uid="{BC4E3DB7-2116-438E-861B-51A7373B91A4}"/>
    <cellStyle name="_Pasta2_SRE_SOBRECONTRATAÇÃO E CVA 7521_COELCE_V2" xfId="43173" xr:uid="{7CA359B5-679A-41A8-AE12-5A9DA5EA8FCA}"/>
    <cellStyle name="_PERSONAL" xfId="3043" xr:uid="{849B98A9-5D98-4F1A-8A2C-CB1B563E99EC}"/>
    <cellStyle name="_PERSONAL_PERSONAL" xfId="3044" xr:uid="{CB8546F5-E10E-4F9D-BAED-BCECE6C44EFE}"/>
    <cellStyle name="_PERSONAL_PERSONAL_1" xfId="3045" xr:uid="{B4696182-F901-412A-A169-23AFBC4B8D65}"/>
    <cellStyle name="_PERSONAL_PERSONAL_2" xfId="3046" xr:uid="{E9872750-9ED6-4A34-9066-A9DE901F1E0F}"/>
    <cellStyle name="_PERSONAL_PERSONAL_3" xfId="3047" xr:uid="{E279C556-0562-49F4-85A2-9085D565A880}"/>
    <cellStyle name="_Plan1" xfId="3048" xr:uid="{28319165-775A-484B-A738-BCC5B8894831}"/>
    <cellStyle name="_Plan2" xfId="1624" xr:uid="{F2D105F4-C2B8-40AA-A0D8-AEBBD0EAF2A9}"/>
    <cellStyle name="_Plan2 2" xfId="3049" xr:uid="{A79A2692-DB27-4485-90D9-CEAE4BD25D4D}"/>
    <cellStyle name="_Plan2_atualização serviços taxados" xfId="43174" xr:uid="{B3CDA333-4631-41EA-BE66-EC0FA64180C8}"/>
    <cellStyle name="_Plan2_COELCE - RTO 2011 - PLPT_PLANILHA_CÁLCULO_DÉFICIT" xfId="3050" xr:uid="{33F4D57C-E1D5-40A2-BD48-1C4BB055CD66}"/>
    <cellStyle name="_Plan2_Financeiro Desconto na TUSD Consumidores Livres Reajuste 2010 - 03_03_2010" xfId="43175" xr:uid="{7D433AD9-E51E-450F-A91C-014154418484}"/>
    <cellStyle name="_Plan2_Financeiro Desconto na TUSD Geradores Reajuste 2010 - 03_03_2010" xfId="43176" xr:uid="{972FE257-F4B5-4BFE-B283-75D424EFE69D}"/>
    <cellStyle name="_Plan2_Financeiro Subsídio Baixa Renda Reajuste 2010 - 03_03_2010" xfId="43177" xr:uid="{13AA0151-3439-4553-AB56-1370A6CF6859}"/>
    <cellStyle name="_Plan2_Financeiro Subsídio Rural Irrigante e Aquicultor Reajuste 2010 - 03_03_2010" xfId="43178" xr:uid="{866AC254-CA2A-4994-A0B8-FF4B4D90027D}"/>
    <cellStyle name="_Planilha 14.Gastos O&amp;M 29062007  Vfinal M 3" xfId="3051" xr:uid="{2BD1ED77-06D7-4E3B-816A-9AEA5FF7E340}"/>
    <cellStyle name="_Planilha 15 Consumidores 28062007 final M 3" xfId="3052" xr:uid="{EEADFCD8-B72C-4832-B67F-E1D3FB2D9709}"/>
    <cellStyle name="_Planilha 17 Dados Físicos 28062007 vfinal M 3 " xfId="3053" xr:uid="{254C5C91-2C47-4E2D-80A4-AB3FB0B9AE3C}"/>
    <cellStyle name="_Planilha 18 Veículos 28062007 vfinal M 3" xfId="3054" xr:uid="{16D29F4A-2D53-4367-AF0B-28C4050D7196}"/>
    <cellStyle name="_Planilha 19 Informática e Telecom vfinal M 3" xfId="3055" xr:uid="{494245D3-F2B6-4063-83F9-C11A074D45E2}"/>
    <cellStyle name="_Planilha 20 Edificações  28062007 vfinal M 3" xfId="3056" xr:uid="{E40C8717-2CCB-4B1D-BDDF-ABFD0A0BA293}"/>
    <cellStyle name="_Planilha16 CO RP 29062007 v final M 3" xfId="3057" xr:uid="{8549D34F-FD61-4257-AA11-F09F3317B9F8}"/>
    <cellStyle name="_Planilhas_Desc_Tusd_-Validadas SFF" xfId="1625" xr:uid="{EBF655DD-BAFE-4960-84BE-ADB4DC88AC02}"/>
    <cellStyle name="_Planilhas_Desc_Tusd_-Validadas SFF 2" xfId="3058" xr:uid="{96539961-34BC-42E8-86AA-7F40EE606018}"/>
    <cellStyle name="_Planilhas_Desc_Tusd_-Validadas SFF_atualização serviços taxados" xfId="43179" xr:uid="{9C25A784-1609-441F-A3BB-3D1737E1CE2F}"/>
    <cellStyle name="_Planilhas_Desc_Tusd_-Validadas SFF_Energia Comprada" xfId="3059" xr:uid="{58E5C0A8-8108-403F-AD2E-E80AFDA0494B}"/>
    <cellStyle name="_Planilhas_Desc_Tusd_-Validadas SFF_Energia Comprada_IRT-cálculo" xfId="3060" xr:uid="{3852C709-0ED2-4586-88B7-B1898ABEEFC9}"/>
    <cellStyle name="_Planilhas_Desc_Tusd_-Validadas SFF_Energia Comprada_IRT-cálculo CAPA NEUTRALIDADE" xfId="3061" xr:uid="{1DB683DE-8DAE-4BE7-93A9-7F2644C68D08}"/>
    <cellStyle name="_Planilhas_Desc_Tusd_-Validadas SFF_Fator X" xfId="1626" xr:uid="{2FC4EF3F-476D-4C20-896B-395CA1CFF5E1}"/>
    <cellStyle name="_Planilhas_Desc_Tusd_-Validadas SFF_Fator X 2" xfId="3062" xr:uid="{89EEABE2-D0FA-41C2-BDEB-8611D786506B}"/>
    <cellStyle name="_Planilhas_Desc_Tusd_-Validadas SFF_Fator X_atualização serviços taxados" xfId="43180" xr:uid="{4D072E38-EF6B-4BBF-9F51-F029019D3614}"/>
    <cellStyle name="_Planilhas_Desc_Tusd_-Validadas SFF_Fator X_Financeiro Desconto na TUSD Consumidores Livres Reajuste 2010 - 03_03_2010" xfId="43181" xr:uid="{6C13F878-96E1-43D4-97DF-BBA9272C46C2}"/>
    <cellStyle name="_Planilhas_Desc_Tusd_-Validadas SFF_Fator X_Financeiro Desconto na TUSD Geradores Reajuste 2010 - 03_03_2010" xfId="43182" xr:uid="{47EE5C55-E9AE-4321-BDD2-DEE7DB010094}"/>
    <cellStyle name="_Planilhas_Desc_Tusd_-Validadas SFF_Fator X_Financeiro Subsídio Baixa Renda Reajuste 2010 - 03_03_2010" xfId="43183" xr:uid="{2A80FA59-EB1C-4D98-B822-78E1EB32930F}"/>
    <cellStyle name="_Planilhas_Desc_Tusd_-Validadas SFF_Fator X_Financeiro Subsídio Rural Irrigante e Aquicultor Reajuste 2010 - 03_03_2010" xfId="43184" xr:uid="{327AE0D5-2EAF-4E23-A635-6AE982E53BB3}"/>
    <cellStyle name="_Planilhas_Desc_Tusd_-Validadas SFF_Fator X_IRT-cálculo" xfId="3063" xr:uid="{9E90A32C-D25B-4F16-AF31-D58BEAECE06C}"/>
    <cellStyle name="_Planilhas_Desc_Tusd_-Validadas SFF_Fator X_IRT-cálculo CAPA NEUTRALIDADE" xfId="3064" xr:uid="{89B98F81-6A1C-480F-8600-413E1894AE07}"/>
    <cellStyle name="_Planilhas_Desc_Tusd_-Validadas SFF_Fator X_SOBRECONTRATAÇÃO E CVA" xfId="3065" xr:uid="{A805D7E8-B8D5-4C04-9CE7-248510FCC130}"/>
    <cellStyle name="_Planilhas_Desc_Tusd_-Validadas SFF_Financeiro Desconto na TUSD Consumidores Livres Reajuste 2010 - 03_03_2010" xfId="43185" xr:uid="{FF1C674D-F5CC-4557-BC87-43C580F27257}"/>
    <cellStyle name="_Planilhas_Desc_Tusd_-Validadas SFF_Financeiro Desconto na TUSD Geradores Reajuste 2010 - 03_03_2010" xfId="43186" xr:uid="{22B314B4-9349-4F07-B514-4FF9FA24DDC3}"/>
    <cellStyle name="_Planilhas_Desc_Tusd_-Validadas SFF_Financeiro Subsídio Baixa Renda Reajuste 2010 - 03_03_2010" xfId="43187" xr:uid="{6090BA18-92F8-483B-A2D3-7A6A998F35D9}"/>
    <cellStyle name="_Planilhas_Desc_Tusd_-Validadas SFF_Financeiro Subsídio Rural Irrigante e Aquicultor Reajuste 2010 - 03_03_2010" xfId="43188" xr:uid="{198B096F-7409-4B83-88E2-5FB20578A3DB}"/>
    <cellStyle name="_Planilhas_Desc_Tusd_-Validadas SFF_IRT (2)" xfId="1627" xr:uid="{3BCF48E2-1ED0-4871-982C-162406A40CC6}"/>
    <cellStyle name="_Planilhas_Desc_Tusd_-Validadas SFF_IRT_1" xfId="1628" xr:uid="{60116B06-4002-47D2-B72E-CFAFD0021FA2}"/>
    <cellStyle name="_Planilhas_Desc_Tusd_-Validadas SFF_IRT_1 2" xfId="3066" xr:uid="{C2732515-B645-49D7-A018-98191B8423CC}"/>
    <cellStyle name="_Planilhas_Desc_Tusd_-Validadas SFF_IRT_1_atualização serviços taxados" xfId="43189" xr:uid="{5FA63BEB-0E39-48FA-935A-C367A4CAB9AE}"/>
    <cellStyle name="_Planilhas_Desc_Tusd_-Validadas SFF_IRT_1_Financeiro Desconto na TUSD Consumidores Livres Reajuste 2010 - 03_03_2010" xfId="43190" xr:uid="{F1253E0A-572F-462C-A395-A72FC73137A0}"/>
    <cellStyle name="_Planilhas_Desc_Tusd_-Validadas SFF_IRT_1_Financeiro Desconto na TUSD Geradores Reajuste 2010 - 03_03_2010" xfId="43191" xr:uid="{4586F628-C571-44DC-BBDC-13658892E2F1}"/>
    <cellStyle name="_Planilhas_Desc_Tusd_-Validadas SFF_IRT_1_Financeiro Subsídio Baixa Renda Reajuste 2010 - 03_03_2010" xfId="43192" xr:uid="{2F8789D4-5E11-45A2-928D-A4F72AEAB180}"/>
    <cellStyle name="_Planilhas_Desc_Tusd_-Validadas SFF_IRT_1_Financeiro Subsídio Rural Irrigante e Aquicultor Reajuste 2010 - 03_03_2010" xfId="43193" xr:uid="{D8E94A11-8D14-43F7-8B2F-82E28ADCC8EF}"/>
    <cellStyle name="_Planilhas_Desc_Tusd_-Validadas SFF_IRT_1_IRT-cálculo" xfId="3067" xr:uid="{5DC3A24C-8044-472D-B902-9B2FE43DA159}"/>
    <cellStyle name="_Planilhas_Desc_Tusd_-Validadas SFF_IRT_1_IRT-cálculo CAPA NEUTRALIDADE" xfId="3068" xr:uid="{9726CDDF-78A5-4CBD-89BF-E175D3CD0251}"/>
    <cellStyle name="_Planilhas_Desc_Tusd_-Validadas SFF_IRT_1_SOBRECONTRATAÇÃO E CVA" xfId="3069" xr:uid="{C6869099-1C7A-4E25-AE82-E8BE7234B62B}"/>
    <cellStyle name="_Planilhas_Desc_Tusd_-Validadas SFF_IRT-cálculo" xfId="3070" xr:uid="{365FA694-6930-4969-ACA3-02691542F4D3}"/>
    <cellStyle name="_Planilhas_Desc_Tusd_-Validadas SFF_IRT-cálculo CAPA NEUTRALIDADE" xfId="3071" xr:uid="{ECB47F63-8609-4B68-B6E1-7374B152C59E}"/>
    <cellStyle name="_Planilhas_Desc_Tusd_-Validadas SFF_Pasta1" xfId="1629" xr:uid="{E84DBA47-B78A-4F4D-BA49-3A10FB1AAC35}"/>
    <cellStyle name="_Planilhas_Desc_Tusd_-Validadas SFF_Pasta1 2" xfId="3072" xr:uid="{1AA741EE-5EFA-4A91-B92F-AC28D119C701}"/>
    <cellStyle name="_Planilhas_Desc_Tusd_-Validadas SFF_Pasta1_atualização serviços taxados" xfId="43194" xr:uid="{66553E65-2FC0-4097-9B9B-2921EA784847}"/>
    <cellStyle name="_Planilhas_Desc_Tusd_-Validadas SFF_Pasta1_Financeiro Desconto na TUSD Consumidores Livres Reajuste 2010 - 03_03_2010" xfId="43195" xr:uid="{7C558CE9-541D-475B-A1FC-3F78AE2D7D7D}"/>
    <cellStyle name="_Planilhas_Desc_Tusd_-Validadas SFF_Pasta1_Financeiro Desconto na TUSD Geradores Reajuste 2010 - 03_03_2010" xfId="43196" xr:uid="{325336B6-1917-47C5-98C6-997392A9D602}"/>
    <cellStyle name="_Planilhas_Desc_Tusd_-Validadas SFF_Pasta1_Financeiro Subsídio Baixa Renda Reajuste 2010 - 03_03_2010" xfId="43197" xr:uid="{3404D5D5-7FC8-4933-B44F-EF2B3B5552F4}"/>
    <cellStyle name="_Planilhas_Desc_Tusd_-Validadas SFF_Pasta1_Financeiro Subsídio Rural Irrigante e Aquicultor Reajuste 2010 - 03_03_2010" xfId="43198" xr:uid="{CF607660-6108-4FC9-B3AE-733C6AA923B9}"/>
    <cellStyle name="_Planilhas_Desc_Tusd_-Validadas SFF_Pasta1_IRT-cálculo" xfId="3073" xr:uid="{1932A9EE-E64C-4DD5-B3A5-744BD74FD143}"/>
    <cellStyle name="_Planilhas_Desc_Tusd_-Validadas SFF_Pasta1_IRT-cálculo CAPA NEUTRALIDADE" xfId="3074" xr:uid="{D00E9E97-96E8-435C-B89C-8A5ABD821D84}"/>
    <cellStyle name="_Planilhas_Desc_Tusd_-Validadas SFF_Pasta1_SOBRECONTRATAÇÃO E CVA" xfId="3075" xr:uid="{762983AB-9E83-4BF6-A2DC-A2692AB1901C}"/>
    <cellStyle name="_Planilhas_Desc_Tusd_-Validadas SFF_SOBRECONTRATAÇÃO E CVA" xfId="3076" xr:uid="{F3E0A47C-CD46-4ED3-BC8B-AD99B9C824FA}"/>
    <cellStyle name="_Pleito PLT EMG" xfId="3077" xr:uid="{3CB639A6-EC9A-4FE7-A5BB-85488F0E76C8}"/>
    <cellStyle name="_Pleito PLT EPB" xfId="3078" xr:uid="{2C33F362-9A0E-45B9-BE00-E54ACE7B6041}"/>
    <cellStyle name="_Pleito PLT EPB_CVA Borborema 2010 - Fiscalizada Final" xfId="3079" xr:uid="{246324C1-B698-4D3C-A65E-D109577E5738}"/>
    <cellStyle name="_Pleito PLT ESE" xfId="3080" xr:uid="{D9A844CD-3A9E-489B-B501-423A09D8366A}"/>
    <cellStyle name="_Pleito_IRT_EBO_2010_FINAL_ENVIO_ANEEL" xfId="3081" xr:uid="{F585882E-6D7B-40BB-B56E-7EE8915EAE97}"/>
    <cellStyle name="_PLPT CEMIG 2009_PLANILHA_CÁLCULO_DÉFICIT_RESOLUÇÃO_294_2007_V3" xfId="324" xr:uid="{66BAACE3-EF4B-4383-B92D-43472185660A}"/>
    <cellStyle name="_PLPT CEMIG 2009_PLANILHA_CÁLCULO_DÉFICIT_RESOLUÇÃO_294_2007_V3 2" xfId="1315" xr:uid="{D8A40B33-A8E4-466A-A5EF-90D713B41D4F}"/>
    <cellStyle name="_PLPT CEMIG 2009_PLANILHA_CÁLCULO_DÉFICIT_RESOLUÇÃO_294_2007_V3_Ajustes REAJUSTE 2008 ELETROPAULO" xfId="3082" xr:uid="{0BB5ABF3-E972-4D67-A828-52EF28E981E1}"/>
    <cellStyle name="_PLPT CEMIG 2009_PLANILHA_CÁLCULO_DÉFICIT_RESOLUÇÃO_294_2007_V3_Ajustes REAJUSTE 2008 ELETROPAULO_IRT-cálculo" xfId="3083" xr:uid="{491473A9-29FE-4381-A6D5-ABF6D8587A12}"/>
    <cellStyle name="_PLPT CEMIG 2009_PLANILHA_CÁLCULO_DÉFICIT_RESOLUÇÃO_294_2007_V3_Ajustes REAJUSTE 2008 ELETROPAULO_IRT-cálculo CAPA NEUTRALIDADE" xfId="3084" xr:uid="{94517721-12CB-4294-8607-B2982384B608}"/>
    <cellStyle name="_PLPT CEMIG 2009_PLANILHA_CÁLCULO_DÉFICIT_RESOLUÇÃO_294_2007_V3_Ajustes REVISÃO 2007 ELETROPAULO" xfId="3085" xr:uid="{6162D1DD-E33B-4041-82B5-23E9BCB2826F}"/>
    <cellStyle name="_PLPT CEMIG 2009_PLANILHA_CÁLCULO_DÉFICIT_RESOLUÇÃO_294_2007_V3_Ajustes REVISÃO 2007 ELETROPAULO_IRT-cálculo" xfId="3086" xr:uid="{4F0DBF54-D314-4949-A103-06C760C52B28}"/>
    <cellStyle name="_PLPT CEMIG 2009_PLANILHA_CÁLCULO_DÉFICIT_RESOLUÇÃO_294_2007_V3_Ajustes REVISÃO 2007 ELETROPAULO_IRT-cálculo CAPA NEUTRALIDADE" xfId="3087" xr:uid="{D2C4ACB7-DA5F-4FC9-ADB4-D0D5FB37648A}"/>
    <cellStyle name="_PLPT CEMIG 2009_PLANILHA_CÁLCULO_DÉFICIT_RESOLUÇÃO_294_2007_V3_Balanço" xfId="325" xr:uid="{0B2EACE7-3609-4B8A-858E-3258BE717B56}"/>
    <cellStyle name="_PLPT CEMIG 2009_PLANILHA_CÁLCULO_DÉFICIT_RESOLUÇÃO_294_2007_V3_Balanço 2" xfId="1316" xr:uid="{6015026C-86A9-4880-9950-63C339D55B99}"/>
    <cellStyle name="_PLPT CEMIG 2009_PLANILHA_CÁLCULO_DÉFICIT_RESOLUÇÃO_294_2007_V3_casulo 15" xfId="326" xr:uid="{B3755324-6AD5-4D81-A0A3-F9BB55E144C8}"/>
    <cellStyle name="_PLPT CEMIG 2009_PLANILHA_CÁLCULO_DÉFICIT_RESOLUÇÃO_294_2007_V3_casulo 5" xfId="327" xr:uid="{522BF526-6E9B-4F8C-9540-F453DC8FEF01}"/>
    <cellStyle name="_PLPT CEMIG 2009_PLANILHA_CÁLCULO_DÉFICIT_RESOLUÇÃO_294_2007_V3_casulo 5 2" xfId="1317" xr:uid="{DC96BFF2-8590-45EB-B37D-C89B6FFBE025}"/>
    <cellStyle name="_PLPT CEMIG 2009_PLANILHA_CÁLCULO_DÉFICIT_RESOLUÇÃO_294_2007_V3_casulo 5_Balanço" xfId="328" xr:uid="{BBD7CC69-7D39-4B9E-B6DE-35F8A917075C}"/>
    <cellStyle name="_PLPT CEMIG 2009_PLANILHA_CÁLCULO_DÉFICIT_RESOLUÇÃO_294_2007_V3_casulo 5_casulo 15" xfId="329" xr:uid="{8B9A35D9-C716-4BF5-9EB9-9539C17BBC7F}"/>
    <cellStyle name="_PLPT CEMIG 2009_PLANILHA_CÁLCULO_DÉFICIT_RESOLUÇÃO_294_2007_V3_casulo 5_IRT EEB 2010" xfId="3088" xr:uid="{3B9FC6B0-04F3-498B-9F65-986462455B18}"/>
    <cellStyle name="_PLPT CEMIG 2009_PLANILHA_CÁLCULO_DÉFICIT_RESOLUÇÃO_294_2007_V3_IRT EEB 2010" xfId="3089" xr:uid="{21675E63-8278-4DDD-9BE3-BA839E843621}"/>
    <cellStyle name="_PLPT CEMIG 2009_PLANILHA_CÁLCULO_DÉFICIT_RESOLUÇÃO_294_2007_V3_IRT Piratininga 2009" xfId="330" xr:uid="{B43D0B12-12A2-4A1B-BA9E-75A4E709763B}"/>
    <cellStyle name="_PLPT CEMIG 2009_PLANILHA_CÁLCULO_DÉFICIT_RESOLUÇÃO_294_2007_V3_IRT Piratininga 2009 2" xfId="1318" xr:uid="{8DB31488-6837-4A91-A22E-BE5CDBC257FA}"/>
    <cellStyle name="_PLPT CEMIG 2009_PLANILHA_CÁLCULO_DÉFICIT_RESOLUÇÃO_294_2007_V3_IRT Piratininga 2009_Balanço" xfId="331" xr:uid="{79653324-3F32-475A-9E19-06DA6694C52D}"/>
    <cellStyle name="_PLPT CEMIG 2009_PLANILHA_CÁLCULO_DÉFICIT_RESOLUÇÃO_294_2007_V3_IRT Piratininga 2009_casulo 15" xfId="332" xr:uid="{09E5D0AA-531C-40A7-9F6C-737E92570A27}"/>
    <cellStyle name="_PLPT CEMIG 2009_PLANILHA_CÁLCULO_DÉFICIT_RESOLUÇÃO_294_2007_V3_IRT Piratininga 2009_IRT EEB 2010" xfId="3090" xr:uid="{3DE50AA7-69DC-4D1D-8BD5-7735B2F2A66E}"/>
    <cellStyle name="_PLPT CEMIG 2009_PLANILHA_CÁLCULO_DÉFICIT_RESOLUÇÃO_294_2007_V3_IRT_Bragantina_maio_2009" xfId="3091" xr:uid="{B46547A6-F001-4115-8C28-7F0354AA9F8C}"/>
    <cellStyle name="_PLPT CEMIG 2009_PLANILHA_CÁLCULO_DÉFICIT_RESOLUÇÃO_294_2007_V3_IRT_CEMAT_2009" xfId="3092" xr:uid="{6DA68683-293A-404C-B003-A0A1CC0561D2}"/>
    <cellStyle name="_PLPT CEMIG 2009_PLANILHA_CÁLCULO_DÉFICIT_RESOLUÇÃO_294_2007_V3_IRT_EBB_mai2010d" xfId="3093" xr:uid="{F189DE68-1C59-44ED-B3AB-A91964F31DB8}"/>
    <cellStyle name="_PLPT CEMIG 2009_PLANILHA_CÁLCULO_DÉFICIT_RESOLUÇÃO_294_2007_V3_IRT_Planilha Básica_ CETRIL" xfId="333" xr:uid="{55FF8D98-8AD5-441E-9593-C6BCF6A59392}"/>
    <cellStyle name="_PLPT CEMIG 2009_PLANILHA_CÁLCULO_DÉFICIT_RESOLUÇÃO_294_2007_V3_IRT_Planilha Básica_ CETRIL 2" xfId="1319" xr:uid="{3055E47D-22C3-4CD0-BB28-49AEEA464419}"/>
    <cellStyle name="_PLPT CEMIG 2009_PLANILHA_CÁLCULO_DÉFICIT_RESOLUÇÃO_294_2007_V3_IRT_Planilha Básica_ CETRIL_Balanço" xfId="334" xr:uid="{2CC511AB-DA72-4CD5-B870-EEE55BA06023}"/>
    <cellStyle name="_PLPT CEMIG 2009_PLANILHA_CÁLCULO_DÉFICIT_RESOLUÇÃO_294_2007_V3_IRT_Planilha Básica_ CETRIL_casulo 15" xfId="335" xr:uid="{9DEE8BBB-7780-48FB-B469-D1E83075E0DC}"/>
    <cellStyle name="_PLPT CEMIG 2009_PLANILHA_CÁLCULO_DÉFICIT_RESOLUÇÃO_294_2007_V3_IRT_Planilha Básica_ CETRIL_IRT EEB 2010" xfId="3094" xr:uid="{5B064EEC-A1DC-4EB4-9D38-A3F06308E716}"/>
    <cellStyle name="_PLPT CEMIG 2009_PLANILHA_CÁLCULO_DÉFICIT_RESOLUÇÃO_294_2007_V3_IRT_Planilha Básica_DIRETORIA" xfId="3095" xr:uid="{E7FAC39B-7605-485A-A9D6-3354F50D0DEF}"/>
    <cellStyle name="_PLPT CEMIG 2009_PLANILHA_CÁLCULO_DÉFICIT_RESOLUÇÃO_294_2007_V3_IRT_Planilha Básica_mar2010b" xfId="3096" xr:uid="{EB417CCF-109E-4BEA-BF61-2B80E8392B10}"/>
    <cellStyle name="_PLPT CEMIG 2009_PLANILHA_CÁLCULO_DÉFICIT_RESOLUÇÃO_294_2007_V3_IRT_Planilha Básica_mar2010d" xfId="336" xr:uid="{168902F0-2EF9-4E78-BBDD-B43FB3935D3A}"/>
    <cellStyle name="_PLPT CEMIG 2009_PLANILHA_CÁLCULO_DÉFICIT_RESOLUÇÃO_294_2007_V3_IRT_Planilha Básica_mar2010d 2" xfId="1320" xr:uid="{3EE5312C-9CDF-41F6-A811-1CDB57A2BCA8}"/>
    <cellStyle name="_PLPT CEMIG 2009_PLANILHA_CÁLCULO_DÉFICIT_RESOLUÇÃO_294_2007_V3_IRT-cálculo" xfId="3097" xr:uid="{5D378A7B-18C5-41B2-97BE-F2CE78C10493}"/>
    <cellStyle name="_PLPT CEMIG 2009_PLANILHA_CÁLCULO_DÉFICIT_RESOLUÇÃO_294_2007_V3_IRT-cálculo CAPA NEUTRALIDADE" xfId="3098" xr:uid="{52AAC719-71F2-4177-BE9D-7CC50F3148B8}"/>
    <cellStyle name="_PLPT CEMIG 2009_PLANILHA_CÁLCULO_DÉFICIT_RESOLUÇÃO_294_2007_V3_Resultados_DEA_RND_QUAL_PERDAS" xfId="42541" xr:uid="{871FB99A-C0D9-4802-BC23-D82D4A4C2304}"/>
    <cellStyle name="_PLPT CEMIG 2009_PLANILHA_CÁLCULO_DÉFICIT_RESOLUÇÃO_294_2007_V3_Subsídios para análise da SRE" xfId="337" xr:uid="{8726944B-0E62-4A54-8AD8-2386979AFDA7}"/>
    <cellStyle name="_PLPT CEMIG 2009_PLANILHA_CÁLCULO_DÉFICIT_RESOLUÇÃO_294_2007_V3_Subsídios para análise da SRE 2" xfId="1321" xr:uid="{7FE47808-B497-4B98-919F-520BBBDD3B7F}"/>
    <cellStyle name="_PLPT CEMIG 2009_PLANILHA_CÁLCULO_DÉFICIT_RESOLUÇÃO_294_2007_V3_Subsídios para análise da SRE_02 IRT Bandeirante 2009" xfId="3099" xr:uid="{314B7836-3E57-4D69-8D48-B9AAC4CDE83F}"/>
    <cellStyle name="_PLPT CEMIG 2009_PLANILHA_CÁLCULO_DÉFICIT_RESOLUÇÃO_294_2007_V3_Subsídios para análise da SRE_1" xfId="3100" xr:uid="{91E62B81-B1F8-45D7-9C5E-720EC1E989F7}"/>
    <cellStyle name="_PLPT CEMIG 2009_PLANILHA_CÁLCULO_DÉFICIT_RESOLUÇÃO_294_2007_V3_Subsídios para análise da SRE_Balanço" xfId="338" xr:uid="{50BDEF9B-562E-43CE-A338-19BD8A131C57}"/>
    <cellStyle name="_PLPT CEMIG 2009_PLANILHA_CÁLCULO_DÉFICIT_RESOLUÇÃO_294_2007_V3_Subsídios para análise da SRE_Balanço 2" xfId="1322" xr:uid="{C16B09D7-FD19-4BB4-9FB2-0F127906E92D}"/>
    <cellStyle name="_PLPT CEMIG 2009_PLANILHA_CÁLCULO_DÉFICIT_RESOLUÇÃO_294_2007_V3_Subsídios para análise da SRE_casulo 15" xfId="339" xr:uid="{272CC3EC-07EE-48A6-BCEC-5A949AC0E072}"/>
    <cellStyle name="_PLPT CEMIG 2009_PLANILHA_CÁLCULO_DÉFICIT_RESOLUÇÃO_294_2007_V3_Subsídios para análise da SRE_casulo 5" xfId="340" xr:uid="{CBB808D6-11A2-4C5E-90B5-65D8408ABA29}"/>
    <cellStyle name="_PLPT CEMIG 2009_PLANILHA_CÁLCULO_DÉFICIT_RESOLUÇÃO_294_2007_V3_Subsídios para análise da SRE_casulo 5 2" xfId="1323" xr:uid="{B66A81C9-AD1E-45DC-A8B4-A246AE2F2275}"/>
    <cellStyle name="_PLPT CEMIG 2009_PLANILHA_CÁLCULO_DÉFICIT_RESOLUÇÃO_294_2007_V3_Subsídios para análise da SRE_casulo 5_Balanço" xfId="341" xr:uid="{DC74A4C4-9318-430A-8C33-02F609C0C418}"/>
    <cellStyle name="_PLPT CEMIG 2009_PLANILHA_CÁLCULO_DÉFICIT_RESOLUÇÃO_294_2007_V3_Subsídios para análise da SRE_casulo 5_casulo 15" xfId="342" xr:uid="{742FC92C-7527-43B0-AFE4-8BC4B68618D8}"/>
    <cellStyle name="_PLPT CEMIG 2009_PLANILHA_CÁLCULO_DÉFICIT_RESOLUÇÃO_294_2007_V3_Subsídios para análise da SRE_casulo 5_IRT EEB 2010" xfId="3101" xr:uid="{486CCB6F-C6C5-4CBC-B040-7D53D5A53469}"/>
    <cellStyle name="_PLPT CEMIG 2009_PLANILHA_CÁLCULO_DÉFICIT_RESOLUÇÃO_294_2007_V3_Subsídios para análise da SRE_IRT EEB 2010" xfId="3102" xr:uid="{AA92A9B5-0226-4FDA-A169-8561BFEFAB94}"/>
    <cellStyle name="_PLPT CEMIG 2009_PLANILHA_CÁLCULO_DÉFICIT_RESOLUÇÃO_294_2007_V3_Subsídios para análise da SRE_IRT Piratininga 2009" xfId="343" xr:uid="{1271E4F4-E97A-424A-B56D-9841A2385EA7}"/>
    <cellStyle name="_PLPT CEMIG 2009_PLANILHA_CÁLCULO_DÉFICIT_RESOLUÇÃO_294_2007_V3_Subsídios para análise da SRE_IRT Piratininga 2009 2" xfId="1324" xr:uid="{84F8DA62-18A9-4C14-B812-C82E4173E0B4}"/>
    <cellStyle name="_PLPT CEMIG 2009_PLANILHA_CÁLCULO_DÉFICIT_RESOLUÇÃO_294_2007_V3_Subsídios para análise da SRE_IRT Piratininga 2009_Balanço" xfId="344" xr:uid="{F74450CD-55C2-4237-B719-9E7643B37BDA}"/>
    <cellStyle name="_PLPT CEMIG 2009_PLANILHA_CÁLCULO_DÉFICIT_RESOLUÇÃO_294_2007_V3_Subsídios para análise da SRE_IRT Piratininga 2009_casulo 15" xfId="345" xr:uid="{ABEC8AFE-25F6-4CA2-BBA9-910478A27EA8}"/>
    <cellStyle name="_PLPT CEMIG 2009_PLANILHA_CÁLCULO_DÉFICIT_RESOLUÇÃO_294_2007_V3_Subsídios para análise da SRE_IRT Piratininga 2009_IRT EEB 2010" xfId="3103" xr:uid="{8B15FF80-74DE-423A-B061-328DD4CEA1FE}"/>
    <cellStyle name="_PLPT CEMIG 2009_PLANILHA_CÁLCULO_DÉFICIT_RESOLUÇÃO_294_2007_V3_Subsídios para análise da SRE_IRT_EBB_mai2010d" xfId="3104" xr:uid="{5BB3120C-3936-42EF-AFFF-4543D13B9223}"/>
    <cellStyle name="_PLPT CEMIG 2009_PLANILHA_CÁLCULO_DÉFICIT_RESOLUÇÃO_294_2007_V3_Subsídios para análise da SRE_IRT_Planilha Básica_ CETRIL" xfId="346" xr:uid="{DCA1D85E-20B1-4470-B2B5-481B4C4EE09E}"/>
    <cellStyle name="_PLPT CEMIG 2009_PLANILHA_CÁLCULO_DÉFICIT_RESOLUÇÃO_294_2007_V3_Subsídios para análise da SRE_IRT_Planilha Básica_ CETRIL 2" xfId="1325" xr:uid="{EC6D84A9-CB85-4D1C-A437-A8F81ABC6CDE}"/>
    <cellStyle name="_PLPT CEMIG 2009_PLANILHA_CÁLCULO_DÉFICIT_RESOLUÇÃO_294_2007_V3_Subsídios para análise da SRE_IRT_Planilha Básica_ CETRIL_Balanço" xfId="347" xr:uid="{006F7C90-F33D-42A2-B9AB-2652EF352245}"/>
    <cellStyle name="_PLPT CEMIG 2009_PLANILHA_CÁLCULO_DÉFICIT_RESOLUÇÃO_294_2007_V3_Subsídios para análise da SRE_IRT_Planilha Básica_ CETRIL_casulo 15" xfId="348" xr:uid="{60D25425-524E-414B-B0CD-3A202F7DEE89}"/>
    <cellStyle name="_PLPT CEMIG 2009_PLANILHA_CÁLCULO_DÉFICIT_RESOLUÇÃO_294_2007_V3_Subsídios para análise da SRE_IRT_Planilha Básica_ CETRIL_IRT EEB 2010" xfId="3105" xr:uid="{16CBAEF9-BA11-49E2-91FF-415D6386B56E}"/>
    <cellStyle name="_PLPT CEMIG 2009_PLANILHA_CÁLCULO_DÉFICIT_RESOLUÇÃO_294_2007_V3_Subsídios para análise da SRE_IRT_Planilha Básica_DIRETORIA" xfId="3106" xr:uid="{E0F6F163-5B90-4790-B328-4A422B115FB1}"/>
    <cellStyle name="_PLPT CEMIG 2009_PLANILHA_CÁLCULO_DÉFICIT_RESOLUÇÃO_294_2007_V3_Subsídios para análise da SRE_IRT_Planilha Básica_fev2010" xfId="3107" xr:uid="{8DBBFF51-A04C-4512-89AE-9768B9122774}"/>
    <cellStyle name="_PLPT CEMIG 2009_PLANILHA_CÁLCULO_DÉFICIT_RESOLUÇÃO_294_2007_V3_Subsídios para análise da SRE_IRT_Planilha Básica_fev2010a" xfId="349" xr:uid="{F4FD6C57-694E-41D3-8FE8-DC6300289B23}"/>
    <cellStyle name="_PLPT CEMIG 2009_PLANILHA_CÁLCULO_DÉFICIT_RESOLUÇÃO_294_2007_V3_Subsídios para análise da SRE_IRT_Planilha Básica_fev2010a 2" xfId="1326" xr:uid="{86EB06A4-50D6-427B-AC08-29731F6A436E}"/>
    <cellStyle name="_PLPT CEMIG 2009_PLANILHA_CÁLCULO_DÉFICIT_RESOLUÇÃO_294_2007_V3_Subsídios para análise da SRE_IRT_Planilha Básica_fev2010a_Balanço" xfId="350" xr:uid="{93D5A83D-6AB7-42C8-BE17-7FAA645ABC81}"/>
    <cellStyle name="_PLPT CEMIG 2009_PLANILHA_CÁLCULO_DÉFICIT_RESOLUÇÃO_294_2007_V3_Subsídios para análise da SRE_IRT_Planilha Básica_fev2010a_Balanço 2" xfId="1327" xr:uid="{163B2892-1D6E-4DF3-94E0-95363F3FD7A8}"/>
    <cellStyle name="_PLPT CEMIG 2009_PLANILHA_CÁLCULO_DÉFICIT_RESOLUÇÃO_294_2007_V3_Subsídios para análise da SRE_IRT_Planilha Básica_fev2010a_casulo 15" xfId="351" xr:uid="{2B7CA4B9-C052-4DE2-A33A-6C1CCBA13375}"/>
    <cellStyle name="_PLPT CEMIG 2009_PLANILHA_CÁLCULO_DÉFICIT_RESOLUÇÃO_294_2007_V3_Subsídios para análise da SRE_IRT_Planilha Básica_fev2010a_casulo 5" xfId="352" xr:uid="{BBF41E98-4014-4604-BCC6-3F11A1249D91}"/>
    <cellStyle name="_PLPT CEMIG 2009_PLANILHA_CÁLCULO_DÉFICIT_RESOLUÇÃO_294_2007_V3_Subsídios para análise da SRE_IRT_Planilha Básica_fev2010a_casulo 5 2" xfId="1328" xr:uid="{2BDEA3D6-EA6F-41F6-A7A3-84024A01AD37}"/>
    <cellStyle name="_PLPT CEMIG 2009_PLANILHA_CÁLCULO_DÉFICIT_RESOLUÇÃO_294_2007_V3_Subsídios para análise da SRE_IRT_Planilha Básica_fev2010a_casulo 5_Balanço" xfId="353" xr:uid="{02C342CE-E549-49BB-AACA-86C9AA9635B5}"/>
    <cellStyle name="_PLPT CEMIG 2009_PLANILHA_CÁLCULO_DÉFICIT_RESOLUÇÃO_294_2007_V3_Subsídios para análise da SRE_IRT_Planilha Básica_fev2010a_casulo 5_casulo 15" xfId="354" xr:uid="{6A34EACB-D65E-40B9-8920-A19EC135F7EC}"/>
    <cellStyle name="_PLPT CEMIG 2009_PLANILHA_CÁLCULO_DÉFICIT_RESOLUÇÃO_294_2007_V3_Subsídios para análise da SRE_IRT_Planilha Básica_fev2010a_casulo 5_IRT EEB 2010" xfId="3108" xr:uid="{78D4C839-8096-47E9-ADDC-4F9226D68AC4}"/>
    <cellStyle name="_PLPT CEMIG 2009_PLANILHA_CÁLCULO_DÉFICIT_RESOLUÇÃO_294_2007_V3_Subsídios para análise da SRE_IRT_Planilha Básica_fev2010a_IRT EEB 2010" xfId="3109" xr:uid="{92B6A9A7-EE58-4CD8-B83E-3E959145E4CF}"/>
    <cellStyle name="_PLPT CEMIG 2009_PLANILHA_CÁLCULO_DÉFICIT_RESOLUÇÃO_294_2007_V3_Subsídios para análise da SRE_IRT_Planilha Básica_jan2010" xfId="3110" xr:uid="{3723E8E3-0F56-49DB-A9E0-6AAA0BEA0399}"/>
    <cellStyle name="_PLPT CEMIG 2009_PLANILHA_CÁLCULO_DÉFICIT_RESOLUÇÃO_294_2007_V3_Subsídios para análise da SRE_IRT_Planilha Básica_mar2010b" xfId="3111" xr:uid="{AAD82AF2-081E-4614-9363-30A80E62BC0A}"/>
    <cellStyle name="_PLPT CEMIG 2009_PLANILHA_CÁLCULO_DÉFICIT_RESOLUÇÃO_294_2007_V3_Subsídios para análise da SRE_IRT_Planilha Básica_mar2010d" xfId="355" xr:uid="{D5872D02-0D6A-462E-AE10-B88F5FE04CB6}"/>
    <cellStyle name="_PLPT CEMIG 2009_PLANILHA_CÁLCULO_DÉFICIT_RESOLUÇÃO_294_2007_V3_Subsídios para análise da SRE_IRT_Planilha Básica_mar2010d 2" xfId="1329" xr:uid="{4B55B946-0D4B-41DC-B5D1-7005B09984D8}"/>
    <cellStyle name="_PLPT CEMIG 2009_PLANILHA_CÁLCULO_DÉFICIT_RESOLUÇÃO_294_2007_V3_Subsídios para análise da SRE_IRT_Planilha Básica_NOVA METODOLOGIA" xfId="3112" xr:uid="{5DB1E21D-4498-4997-AE2A-6F2DF33416C4}"/>
    <cellStyle name="_PLPT CEMIG 2009_PLANILHA_CÁLCULO_DÉFICIT_RESOLUÇÃO_294_2007_V3_Subsídios para análise da SRE_IRT_Santa 2010" xfId="3113" xr:uid="{8A01184B-B1DE-474F-BC23-FF1C510518C9}"/>
    <cellStyle name="_PLPT CEMIG 2009_PLANILHA_CÁLCULO_DÉFICIT_RESOLUÇÃO_294_2007_V3_Subsídios para análise da SRE_IRT-cálculo" xfId="3114" xr:uid="{EBFADE12-B683-4269-98F7-A831CBC13A27}"/>
    <cellStyle name="_PLPT CEMIG 2009_PLANILHA_CÁLCULO_DÉFICIT_RESOLUÇÃO_294_2007_V3_Subsídios para análise da SRE_IRT-cálculo CAPA NEUTRALIDADE" xfId="3115" xr:uid="{1CD9DD4B-A06E-4181-8CB2-3A4D76A4D5C5}"/>
    <cellStyle name="_PLPT CEMIG 2009_PLANILHA_CÁLCULO_DÉFICIT_RESOLUÇÃO_294_2007_V3_Subsídios para análise da SRE_Resultados_DEA_RND_QUAL_PERDAS" xfId="42542" xr:uid="{7FFB10E4-7226-451F-BFEA-2841DB19CE4F}"/>
    <cellStyle name="_PLPT CEMIG 2009_PLANILHA_CÁLCULO_DÉFICIT_RESOLUÇÃO_294_2007_V3_Subsídios para análise da SRE_teste ampla" xfId="356" xr:uid="{A10C58B3-CD6A-4C6C-8E8B-F638A0B61889}"/>
    <cellStyle name="_PLPT CEMIG 2009_PLANILHA_CÁLCULO_DÉFICIT_RESOLUÇÃO_294_2007_V3_Subsídios para análise da SRE_teste ampla 2" xfId="1330" xr:uid="{6864C613-879E-4E80-B6DA-6E98DE5B67D3}"/>
    <cellStyle name="_PLPT CEMIG 2009_PLANILHA_CÁLCULO_DÉFICIT_RESOLUÇÃO_294_2007_V3_Subsídios para análise da SRE_teste ampla_Balanço" xfId="357" xr:uid="{A574B81F-DF77-4F23-9D54-BB7E15752178}"/>
    <cellStyle name="_PLPT CEMIG 2009_PLANILHA_CÁLCULO_DÉFICIT_RESOLUÇÃO_294_2007_V3_Subsídios para análise da SRE_teste ampla_Balanço 2" xfId="1331" xr:uid="{543D7146-327A-40C3-8EB8-0C21C7848A29}"/>
    <cellStyle name="_PLPT CEMIG 2009_PLANILHA_CÁLCULO_DÉFICIT_RESOLUÇÃO_294_2007_V3_Subsídios para análise da SRE_teste ampla_casulo 15" xfId="358" xr:uid="{476F5E07-6732-4BE3-B872-50097B7F23D0}"/>
    <cellStyle name="_PLPT CEMIG 2009_PLANILHA_CÁLCULO_DÉFICIT_RESOLUÇÃO_294_2007_V3_Subsídios para análise da SRE_teste ampla_casulo 5" xfId="359" xr:uid="{DFDDFF64-D293-49D1-A7D8-961FF6EC0EA8}"/>
    <cellStyle name="_PLPT CEMIG 2009_PLANILHA_CÁLCULO_DÉFICIT_RESOLUÇÃO_294_2007_V3_Subsídios para análise da SRE_teste ampla_casulo 5 2" xfId="1332" xr:uid="{ACC75224-E957-46A0-AECF-ED0FD134C3DD}"/>
    <cellStyle name="_PLPT CEMIG 2009_PLANILHA_CÁLCULO_DÉFICIT_RESOLUÇÃO_294_2007_V3_Subsídios para análise da SRE_teste ampla_casulo 5_Balanço" xfId="360" xr:uid="{959F81A0-8BDA-454C-823C-DB5B2C06A714}"/>
    <cellStyle name="_PLPT CEMIG 2009_PLANILHA_CÁLCULO_DÉFICIT_RESOLUÇÃO_294_2007_V3_Subsídios para análise da SRE_teste ampla_casulo 5_casulo 15" xfId="361" xr:uid="{AB138EE8-152E-4BB1-8D0D-DF33608755C5}"/>
    <cellStyle name="_PLPT CEMIG 2009_PLANILHA_CÁLCULO_DÉFICIT_RESOLUÇÃO_294_2007_V3_Subsídios para análise da SRE_teste ampla_casulo 5_IRT EEB 2010" xfId="3116" xr:uid="{FD76466B-FBEF-4394-B833-678771699A7E}"/>
    <cellStyle name="_PLPT CEMIG 2009_PLANILHA_CÁLCULO_DÉFICIT_RESOLUÇÃO_294_2007_V3_Subsídios para análise da SRE_teste ampla_IRT EEB 2010" xfId="3117" xr:uid="{21D2F323-DCE9-4A41-B839-FCD89C873131}"/>
    <cellStyle name="_PLPT CEMIG 2009_PLANILHA_CÁLCULO_DÉFICIT_RESOLUÇÃO_294_2007_V3_SubsídiosAnáliseSRE_COSERN_IRT-2010" xfId="1630" xr:uid="{46762835-B8C0-47E9-A679-A6CAEA0E6717}"/>
    <cellStyle name="_PLPT EMG 2010" xfId="3118" xr:uid="{20AD62C0-259F-439A-A00A-E2BE7EE35FE9}"/>
    <cellStyle name="_PLPT EMG 2010_ANEEL" xfId="3119" xr:uid="{84964277-982E-47A2-B4E9-023C16767789}"/>
    <cellStyle name="_PLPT MOCOCA-2009_PLANILHA_CÁLCULO_DÉFICIT_RESOLUÇÃO_294_2007_V3" xfId="362" xr:uid="{BF9E4D3C-57EA-4CFB-A418-DA96D89D060D}"/>
    <cellStyle name="_PLPT MOCOCA-2009_PLANILHA_CÁLCULO_DÉFICIT_RESOLUÇÃO_294_2007_V3 2" xfId="1333" xr:uid="{A1CE03CC-1E83-4897-B69C-6FC88E8AE4B8}"/>
    <cellStyle name="_PLPT MOCOCA-2009_PLANILHA_CÁLCULO_DÉFICIT_RESOLUÇÃO_294_2007_V3_02 IRT COSERN 2009" xfId="1631" xr:uid="{D22189A5-2624-4745-A46B-A952AFF23C1A}"/>
    <cellStyle name="_PLPT MOCOCA-2009_PLANILHA_CÁLCULO_DÉFICIT_RESOLUÇÃO_294_2007_V3_Ajustes REAJUSTE 2008 ELETROPAULO" xfId="3120" xr:uid="{6C8AE4F7-AED3-4C97-9568-6A3A22000C3E}"/>
    <cellStyle name="_PLPT MOCOCA-2009_PLANILHA_CÁLCULO_DÉFICIT_RESOLUÇÃO_294_2007_V3_Ajustes REAJUSTE 2008 ELETROPAULO_IRT-cálculo" xfId="3121" xr:uid="{1C17AA7A-64E6-48DD-9820-BFE521CC276C}"/>
    <cellStyle name="_PLPT MOCOCA-2009_PLANILHA_CÁLCULO_DÉFICIT_RESOLUÇÃO_294_2007_V3_Ajustes REAJUSTE 2008 ELETROPAULO_IRT-cálculo CAPA NEUTRALIDADE" xfId="3122" xr:uid="{8598DF07-5A3A-40C5-BDF9-F720DBFB1C23}"/>
    <cellStyle name="_PLPT MOCOCA-2009_PLANILHA_CÁLCULO_DÉFICIT_RESOLUÇÃO_294_2007_V3_Ajustes REVISÃO 2007 ELETROPAULO" xfId="3123" xr:uid="{2EA9E192-B376-42DD-B060-1E0AA38C6FFF}"/>
    <cellStyle name="_PLPT MOCOCA-2009_PLANILHA_CÁLCULO_DÉFICIT_RESOLUÇÃO_294_2007_V3_Ajustes REVISÃO 2007 ELETROPAULO_IRT-cálculo" xfId="3124" xr:uid="{9F1674C9-CBE0-4DC1-BE78-F48BE290A0B5}"/>
    <cellStyle name="_PLPT MOCOCA-2009_PLANILHA_CÁLCULO_DÉFICIT_RESOLUÇÃO_294_2007_V3_Ajustes REVISÃO 2007 ELETROPAULO_IRT-cálculo CAPA NEUTRALIDADE" xfId="3125" xr:uid="{21EAD8B4-D213-40A4-AFF4-58B6B8C5EA7B}"/>
    <cellStyle name="_PLPT MOCOCA-2009_PLANILHA_CÁLCULO_DÉFICIT_RESOLUÇÃO_294_2007_V3_atualização serviços taxados" xfId="43199" xr:uid="{07991A1A-4A39-4518-9DF5-F42A9594CA2A}"/>
    <cellStyle name="_PLPT MOCOCA-2009_PLANILHA_CÁLCULO_DÉFICIT_RESOLUÇÃO_294_2007_V3_Balanço" xfId="363" xr:uid="{68DEE37C-E0F8-43DD-992F-496C66C24548}"/>
    <cellStyle name="_PLPT MOCOCA-2009_PLANILHA_CÁLCULO_DÉFICIT_RESOLUÇÃO_294_2007_V3_Balanço 2" xfId="1334" xr:uid="{CE87307A-EEF6-4842-944A-FFD43F8411B5}"/>
    <cellStyle name="_PLPT MOCOCA-2009_PLANILHA_CÁLCULO_DÉFICIT_RESOLUÇÃO_294_2007_V3_casulo 15" xfId="364" xr:uid="{74409ABA-7102-47A7-9FA3-AFB1357F3F32}"/>
    <cellStyle name="_PLPT MOCOCA-2009_PLANILHA_CÁLCULO_DÉFICIT_RESOLUÇÃO_294_2007_V3_casulo 5" xfId="365" xr:uid="{F399B994-9AFC-40D4-8D31-B1DFA12D20E5}"/>
    <cellStyle name="_PLPT MOCOCA-2009_PLANILHA_CÁLCULO_DÉFICIT_RESOLUÇÃO_294_2007_V3_casulo 5 2" xfId="1335" xr:uid="{FEB44E31-DB12-40B2-B315-EBA8D6B862BF}"/>
    <cellStyle name="_PLPT MOCOCA-2009_PLANILHA_CÁLCULO_DÉFICIT_RESOLUÇÃO_294_2007_V3_casulo 5_Balanço" xfId="366" xr:uid="{3DB7366E-56FF-40AB-AD24-247A4A0580D9}"/>
    <cellStyle name="_PLPT MOCOCA-2009_PLANILHA_CÁLCULO_DÉFICIT_RESOLUÇÃO_294_2007_V3_casulo 5_casulo 15" xfId="367" xr:uid="{63C207B9-1D7C-400A-A069-E3B410C39EBA}"/>
    <cellStyle name="_PLPT MOCOCA-2009_PLANILHA_CÁLCULO_DÉFICIT_RESOLUÇÃO_294_2007_V3_casulo 5_IRT EEB 2010" xfId="3126" xr:uid="{03A9D88B-C61A-494E-B968-E2C7C04A5991}"/>
    <cellStyle name="_PLPT MOCOCA-2009_PLANILHA_CÁLCULO_DÉFICIT_RESOLUÇÃO_294_2007_V3_Financeiro Desconto na TUSD Consumidores Livres Reajuste 2010 - 03_03_2010" xfId="43200" xr:uid="{E50C917A-E449-418B-A583-EAC565576FD8}"/>
    <cellStyle name="_PLPT MOCOCA-2009_PLANILHA_CÁLCULO_DÉFICIT_RESOLUÇÃO_294_2007_V3_Financeiro Desconto na TUSD Geradores Reajuste 2010 - 03_03_2010" xfId="43201" xr:uid="{5F327872-A3F8-4250-A82D-8FABA97A0BC2}"/>
    <cellStyle name="_PLPT MOCOCA-2009_PLANILHA_CÁLCULO_DÉFICIT_RESOLUÇÃO_294_2007_V3_Financeiro Subsídio Baixa Renda Reajuste 2010 - 03_03_2010" xfId="43202" xr:uid="{DB8515DE-F7AE-449A-B984-AE5EEB76C950}"/>
    <cellStyle name="_PLPT MOCOCA-2009_PLANILHA_CÁLCULO_DÉFICIT_RESOLUÇÃO_294_2007_V3_Financeiro Subsídio Rural Irrigante e Aquicultor Reajuste 2010 - 03_03_2010" xfId="43203" xr:uid="{AE9F6147-AFF4-448F-8812-6CE1299523DF}"/>
    <cellStyle name="_PLPT MOCOCA-2009_PLANILHA_CÁLCULO_DÉFICIT_RESOLUÇÃO_294_2007_V3_IRT" xfId="3127" xr:uid="{41FA3C51-01B0-4290-9569-96BA6CBC3CA2}"/>
    <cellStyle name="_PLPT MOCOCA-2009_PLANILHA_CÁLCULO_DÉFICIT_RESOLUÇÃO_294_2007_V3_IRT EEB 2010" xfId="3128" xr:uid="{36FB269F-4401-4CC7-ADA2-EF72F599FCDA}"/>
    <cellStyle name="_PLPT MOCOCA-2009_PLANILHA_CÁLCULO_DÉFICIT_RESOLUÇÃO_294_2007_V3_IRT Piratininga 2009" xfId="368" xr:uid="{2B095F85-4D8D-4FAE-BBF2-5BD01DA07EE2}"/>
    <cellStyle name="_PLPT MOCOCA-2009_PLANILHA_CÁLCULO_DÉFICIT_RESOLUÇÃO_294_2007_V3_IRT Piratininga 2009 2" xfId="1336" xr:uid="{1B030ECD-9110-41F1-8EF4-27D23E38BACC}"/>
    <cellStyle name="_PLPT MOCOCA-2009_PLANILHA_CÁLCULO_DÉFICIT_RESOLUÇÃO_294_2007_V3_IRT Piratininga 2009_Balanço" xfId="369" xr:uid="{90EF0186-8A00-4585-A294-B315E6834994}"/>
    <cellStyle name="_PLPT MOCOCA-2009_PLANILHA_CÁLCULO_DÉFICIT_RESOLUÇÃO_294_2007_V3_IRT Piratininga 2009_casulo 15" xfId="370" xr:uid="{096E17D9-1626-4996-8705-B0C8935C294A}"/>
    <cellStyle name="_PLPT MOCOCA-2009_PLANILHA_CÁLCULO_DÉFICIT_RESOLUÇÃO_294_2007_V3_IRT Piratininga 2009_IRT EEB 2010" xfId="3129" xr:uid="{A853D9F7-5422-4E10-B60B-E4C000F8245D}"/>
    <cellStyle name="_PLPT MOCOCA-2009_PLANILHA_CÁLCULO_DÉFICIT_RESOLUÇÃO_294_2007_V3_IRT_Bragantina_maio_2009" xfId="3130" xr:uid="{A3A8A3A1-9397-4625-99CD-B170286CF454}"/>
    <cellStyle name="_PLPT MOCOCA-2009_PLANILHA_CÁLCULO_DÉFICIT_RESOLUÇÃO_294_2007_V3_IRT_CEMAT_2009" xfId="3131" xr:uid="{07EC815C-65E2-4D2F-8D0D-2C65B6A7E7FF}"/>
    <cellStyle name="_PLPT MOCOCA-2009_PLANILHA_CÁLCULO_DÉFICIT_RESOLUÇÃO_294_2007_V3_IRT_EBB_mai2010d" xfId="3132" xr:uid="{EDFC2D32-112A-4860-877F-358AD36240FA}"/>
    <cellStyle name="_PLPT MOCOCA-2009_PLANILHA_CÁLCULO_DÉFICIT_RESOLUÇÃO_294_2007_V3_IRT_ENF" xfId="3133" xr:uid="{4084FC79-5E6C-41AB-88BF-83CF9C899C11}"/>
    <cellStyle name="_PLPT MOCOCA-2009_PLANILHA_CÁLCULO_DÉFICIT_RESOLUÇÃO_294_2007_V3_IRT_Escelsa" xfId="3134" xr:uid="{DCB3F2FE-0442-4687-93FC-9966C7CC800D}"/>
    <cellStyle name="_PLPT MOCOCA-2009_PLANILHA_CÁLCULO_DÉFICIT_RESOLUÇÃO_294_2007_V3_IRT_Planilha Básica_ CETRIL" xfId="371" xr:uid="{56063D96-F7F9-4C9C-82EB-3FC3D6F73769}"/>
    <cellStyle name="_PLPT MOCOCA-2009_PLANILHA_CÁLCULO_DÉFICIT_RESOLUÇÃO_294_2007_V3_IRT_Planilha Básica_ CETRIL 2" xfId="1337" xr:uid="{D94B37D3-8966-4F21-AD8D-5D63654E29F7}"/>
    <cellStyle name="_PLPT MOCOCA-2009_PLANILHA_CÁLCULO_DÉFICIT_RESOLUÇÃO_294_2007_V3_IRT_Planilha Básica_ CETRIL_Balanço" xfId="372" xr:uid="{1CD55225-D50E-4318-820B-3DD122D7DF84}"/>
    <cellStyle name="_PLPT MOCOCA-2009_PLANILHA_CÁLCULO_DÉFICIT_RESOLUÇÃO_294_2007_V3_IRT_Planilha Básica_ CETRIL_casulo 15" xfId="373" xr:uid="{34A3C3FB-2077-4C74-8949-8E554DD4CBC6}"/>
    <cellStyle name="_PLPT MOCOCA-2009_PLANILHA_CÁLCULO_DÉFICIT_RESOLUÇÃO_294_2007_V3_IRT_Planilha Básica_ CETRIL_IRT EEB 2010" xfId="3135" xr:uid="{C3561F6F-845B-42C4-A360-9467C2DF65DD}"/>
    <cellStyle name="_PLPT MOCOCA-2009_PLANILHA_CÁLCULO_DÉFICIT_RESOLUÇÃO_294_2007_V3_IRT_Planilha Básica_30jun2009" xfId="3136" xr:uid="{6D17EC1B-269C-4052-B9AA-D3C5C94A1821}"/>
    <cellStyle name="_PLPT MOCOCA-2009_PLANILHA_CÁLCULO_DÉFICIT_RESOLUÇÃO_294_2007_V3_IRT_Planilha Básica_DIRETORIA" xfId="3137" xr:uid="{B885B326-B376-400A-8D60-C60F8B115F91}"/>
    <cellStyle name="_PLPT MOCOCA-2009_PLANILHA_CÁLCULO_DÉFICIT_RESOLUÇÃO_294_2007_V3_IRT_Planilha Básica_jun2009" xfId="3138" xr:uid="{DAF697B7-7FE1-446D-904A-0636064AF7E1}"/>
    <cellStyle name="_PLPT MOCOCA-2009_PLANILHA_CÁLCULO_DÉFICIT_RESOLUÇÃO_294_2007_V3_IRT_Planilha Básica_mar2010b" xfId="3139" xr:uid="{F3D517DA-C455-4DE9-871A-53493C18300E}"/>
    <cellStyle name="_PLPT MOCOCA-2009_PLANILHA_CÁLCULO_DÉFICIT_RESOLUÇÃO_294_2007_V3_IRT_Planilha Básica_mar2010d" xfId="374" xr:uid="{074C066D-A13B-4A4E-85B6-B835F99A2D7F}"/>
    <cellStyle name="_PLPT MOCOCA-2009_PLANILHA_CÁLCULO_DÉFICIT_RESOLUÇÃO_294_2007_V3_IRT_Planilha Básica_mar2010d 2" xfId="1338" xr:uid="{35FBBBD0-5F7C-4800-B352-4433A3500440}"/>
    <cellStyle name="_PLPT MOCOCA-2009_PLANILHA_CÁLCULO_DÉFICIT_RESOLUÇÃO_294_2007_V3_IRT_Planilha Básica_março2009" xfId="375" xr:uid="{967D27FB-3C1C-46A6-B8D6-3C036575906F}"/>
    <cellStyle name="_PLPT MOCOCA-2009_PLANILHA_CÁLCULO_DÉFICIT_RESOLUÇÃO_294_2007_V3_IRT_Planilha Básica_março2009 2" xfId="1339" xr:uid="{C0807DF2-B5DF-4D27-A74F-1EC5635EDA9F}"/>
    <cellStyle name="_PLPT MOCOCA-2009_PLANILHA_CÁLCULO_DÉFICIT_RESOLUÇÃO_294_2007_V3_IRT_Planilha Básica_março2009_02 IRT Bandeirante 2009" xfId="3140" xr:uid="{82C1FACA-68A3-42B8-90DD-C62363274F17}"/>
    <cellStyle name="_PLPT MOCOCA-2009_PLANILHA_CÁLCULO_DÉFICIT_RESOLUÇÃO_294_2007_V3_IRT_Planilha Básica_março2009_Balanço" xfId="376" xr:uid="{E64E6531-3F35-496B-8BD7-2FA575918E34}"/>
    <cellStyle name="_PLPT MOCOCA-2009_PLANILHA_CÁLCULO_DÉFICIT_RESOLUÇÃO_294_2007_V3_IRT_Planilha Básica_março2009_Balanço 2" xfId="1340" xr:uid="{141706D3-3E85-4724-815A-00D9EB0CF4E1}"/>
    <cellStyle name="_PLPT MOCOCA-2009_PLANILHA_CÁLCULO_DÉFICIT_RESOLUÇÃO_294_2007_V3_IRT_Planilha Básica_março2009_casulo 15" xfId="377" xr:uid="{2B76C656-F3E3-4BC8-A94B-4E815DCEB936}"/>
    <cellStyle name="_PLPT MOCOCA-2009_PLANILHA_CÁLCULO_DÉFICIT_RESOLUÇÃO_294_2007_V3_IRT_Planilha Básica_março2009_casulo 5" xfId="378" xr:uid="{6989977B-A469-431F-BBA8-BBE91B6C1690}"/>
    <cellStyle name="_PLPT MOCOCA-2009_PLANILHA_CÁLCULO_DÉFICIT_RESOLUÇÃO_294_2007_V3_IRT_Planilha Básica_março2009_casulo 5 2" xfId="1341" xr:uid="{CCDA013C-A3D1-4170-A0EA-CE17B7DB4215}"/>
    <cellStyle name="_PLPT MOCOCA-2009_PLANILHA_CÁLCULO_DÉFICIT_RESOLUÇÃO_294_2007_V3_IRT_Planilha Básica_março2009_casulo 5_Balanço" xfId="379" xr:uid="{690EAC54-1106-4E2A-A3CE-3CF3E9BF1667}"/>
    <cellStyle name="_PLPT MOCOCA-2009_PLANILHA_CÁLCULO_DÉFICIT_RESOLUÇÃO_294_2007_V3_IRT_Planilha Básica_março2009_casulo 5_casulo 15" xfId="380" xr:uid="{9AC40046-F15C-4937-9E2C-E309F862B676}"/>
    <cellStyle name="_PLPT MOCOCA-2009_PLANILHA_CÁLCULO_DÉFICIT_RESOLUÇÃO_294_2007_V3_IRT_Planilha Básica_março2009_casulo 5_IRT EEB 2010" xfId="3141" xr:uid="{A0804A7C-7D45-470F-9DE9-932ABF5FDEC9}"/>
    <cellStyle name="_PLPT MOCOCA-2009_PLANILHA_CÁLCULO_DÉFICIT_RESOLUÇÃO_294_2007_V3_IRT_Planilha Básica_março2009_COELCE  ICMS Não Compensado RTO 2012 281211" xfId="3142" xr:uid="{1B3DF26E-68AF-4F5A-B6B4-0C772D1AE0BC}"/>
    <cellStyle name="_PLPT MOCOCA-2009_PLANILHA_CÁLCULO_DÉFICIT_RESOLUÇÃO_294_2007_V3_IRT_Planilha Básica_março2009_COELCE - RTO 2011 - PLPT_PLANILHA_CÁLCULO_DÉFICIT" xfId="3143" xr:uid="{99FEEE0C-3517-4BC8-BF18-A1A081C3B33B}"/>
    <cellStyle name="_PLPT MOCOCA-2009_PLANILHA_CÁLCULO_DÉFICIT_RESOLUÇÃO_294_2007_V3_IRT_Planilha Básica_março2009_IRT EEB 2010" xfId="3144" xr:uid="{6FA8606E-8187-4737-98A5-6ADDF51AD6A4}"/>
    <cellStyle name="_PLPT MOCOCA-2009_PLANILHA_CÁLCULO_DÉFICIT_RESOLUÇÃO_294_2007_V3_IRT_Planilha Básica_março2009_IRT Piratininga 2009" xfId="381" xr:uid="{977B4CAD-C47E-4005-95AD-AC0187FCDE58}"/>
    <cellStyle name="_PLPT MOCOCA-2009_PLANILHA_CÁLCULO_DÉFICIT_RESOLUÇÃO_294_2007_V3_IRT_Planilha Básica_março2009_IRT Piratininga 2009 2" xfId="1342" xr:uid="{C66C7DDD-47AD-4D2D-BA5D-887D52B04DE7}"/>
    <cellStyle name="_PLPT MOCOCA-2009_PLANILHA_CÁLCULO_DÉFICIT_RESOLUÇÃO_294_2007_V3_IRT_Planilha Básica_março2009_IRT Piratininga 2009_Balanço" xfId="382" xr:uid="{B22205FA-F64F-4654-8C90-1C2CA17D47C2}"/>
    <cellStyle name="_PLPT MOCOCA-2009_PLANILHA_CÁLCULO_DÉFICIT_RESOLUÇÃO_294_2007_V3_IRT_Planilha Básica_março2009_IRT Piratininga 2009_casulo 15" xfId="383" xr:uid="{4D76960A-BB37-46C4-B492-1C10ABA3D766}"/>
    <cellStyle name="_PLPT MOCOCA-2009_PLANILHA_CÁLCULO_DÉFICIT_RESOLUÇÃO_294_2007_V3_IRT_Planilha Básica_março2009_IRT Piratininga 2009_IRT EEB 2010" xfId="3145" xr:uid="{0A8B4BED-8ECB-47EF-BDAB-D26885ADCB35}"/>
    <cellStyle name="_PLPT MOCOCA-2009_PLANILHA_CÁLCULO_DÉFICIT_RESOLUÇÃO_294_2007_V3_IRT_Planilha Básica_março2009_IRT_EBB_mai2010d" xfId="3146" xr:uid="{0D34D62D-2FCD-4739-B78D-993C7EA0A010}"/>
    <cellStyle name="_PLPT MOCOCA-2009_PLANILHA_CÁLCULO_DÉFICIT_RESOLUÇÃO_294_2007_V3_IRT_Planilha Básica_março2009_IRT_Planilha Básica_ CETRIL" xfId="384" xr:uid="{406BB44E-A228-42C6-9961-8B8920AB0E49}"/>
    <cellStyle name="_PLPT MOCOCA-2009_PLANILHA_CÁLCULO_DÉFICIT_RESOLUÇÃO_294_2007_V3_IRT_Planilha Básica_março2009_IRT_Planilha Básica_ CETRIL 2" xfId="1343" xr:uid="{A74ED27A-991E-4FA3-9ADD-CFC030F52763}"/>
    <cellStyle name="_PLPT MOCOCA-2009_PLANILHA_CÁLCULO_DÉFICIT_RESOLUÇÃO_294_2007_V3_IRT_Planilha Básica_março2009_IRT_Planilha Básica_ CETRIL_Balanço" xfId="385" xr:uid="{FA526043-AAE7-4FAB-B9DF-5733A3924313}"/>
    <cellStyle name="_PLPT MOCOCA-2009_PLANILHA_CÁLCULO_DÉFICIT_RESOLUÇÃO_294_2007_V3_IRT_Planilha Básica_março2009_IRT_Planilha Básica_ CETRIL_casulo 15" xfId="386" xr:uid="{E51FA9A1-A124-43CE-8C3B-43620F391F02}"/>
    <cellStyle name="_PLPT MOCOCA-2009_PLANILHA_CÁLCULO_DÉFICIT_RESOLUÇÃO_294_2007_V3_IRT_Planilha Básica_março2009_IRT_Planilha Básica_ CETRIL_IRT EEB 2010" xfId="3147" xr:uid="{415616BE-AF54-48EA-9283-D091FF02ABE7}"/>
    <cellStyle name="_PLPT MOCOCA-2009_PLANILHA_CÁLCULO_DÉFICIT_RESOLUÇÃO_294_2007_V3_IRT_Planilha Básica_março2009_IRT_Planilha Básica_DIRETORIA" xfId="3148" xr:uid="{21DD746B-EF07-4C29-BBC0-0FE6AAC843E4}"/>
    <cellStyle name="_PLPT MOCOCA-2009_PLANILHA_CÁLCULO_DÉFICIT_RESOLUÇÃO_294_2007_V3_IRT_Planilha Básica_março2009_IRT_Planilha Básica_fev2010" xfId="3149" xr:uid="{FCEC5924-2946-40F0-A60E-FD927880321B}"/>
    <cellStyle name="_PLPT MOCOCA-2009_PLANILHA_CÁLCULO_DÉFICIT_RESOLUÇÃO_294_2007_V3_IRT_Planilha Básica_março2009_IRT_Planilha Básica_fev2010a" xfId="387" xr:uid="{136211D2-7887-4F5C-8BD3-AD934B10A620}"/>
    <cellStyle name="_PLPT MOCOCA-2009_PLANILHA_CÁLCULO_DÉFICIT_RESOLUÇÃO_294_2007_V3_IRT_Planilha Básica_março2009_IRT_Planilha Básica_fev2010a 2" xfId="1344" xr:uid="{72AED0D8-C5B3-4EA9-875D-290A6232F6D9}"/>
    <cellStyle name="_PLPT MOCOCA-2009_PLANILHA_CÁLCULO_DÉFICIT_RESOLUÇÃO_294_2007_V3_IRT_Planilha Básica_março2009_IRT_Planilha Básica_fev2010a_Balanço" xfId="388" xr:uid="{04AFA9DA-1F1B-41DD-B590-C030C650B783}"/>
    <cellStyle name="_PLPT MOCOCA-2009_PLANILHA_CÁLCULO_DÉFICIT_RESOLUÇÃO_294_2007_V3_IRT_Planilha Básica_março2009_IRT_Planilha Básica_fev2010a_Balanço 2" xfId="1345" xr:uid="{1D8393DE-07A1-4B7D-A226-416F877E800A}"/>
    <cellStyle name="_PLPT MOCOCA-2009_PLANILHA_CÁLCULO_DÉFICIT_RESOLUÇÃO_294_2007_V3_IRT_Planilha Básica_março2009_IRT_Planilha Básica_fev2010a_casulo 15" xfId="389" xr:uid="{04364F34-2CF5-4EFD-B318-2FF76DA07CC8}"/>
    <cellStyle name="_PLPT MOCOCA-2009_PLANILHA_CÁLCULO_DÉFICIT_RESOLUÇÃO_294_2007_V3_IRT_Planilha Básica_março2009_IRT_Planilha Básica_fev2010a_casulo 5" xfId="390" xr:uid="{F3B19BF9-CD89-48E8-AE0A-7AA151F31A1E}"/>
    <cellStyle name="_PLPT MOCOCA-2009_PLANILHA_CÁLCULO_DÉFICIT_RESOLUÇÃO_294_2007_V3_IRT_Planilha Básica_março2009_IRT_Planilha Básica_fev2010a_casulo 5 2" xfId="1346" xr:uid="{27535D57-1D69-4E2D-8504-646BB83E8EB3}"/>
    <cellStyle name="_PLPT MOCOCA-2009_PLANILHA_CÁLCULO_DÉFICIT_RESOLUÇÃO_294_2007_V3_IRT_Planilha Básica_março2009_IRT_Planilha Básica_fev2010a_casulo 5_Balanço" xfId="391" xr:uid="{7A481E48-DA5D-4928-BE1D-AEBE3E81537A}"/>
    <cellStyle name="_PLPT MOCOCA-2009_PLANILHA_CÁLCULO_DÉFICIT_RESOLUÇÃO_294_2007_V3_IRT_Planilha Básica_março2009_IRT_Planilha Básica_fev2010a_casulo 5_casulo 15" xfId="392" xr:uid="{AB85869E-5BFA-450C-84B2-E7B092317E40}"/>
    <cellStyle name="_PLPT MOCOCA-2009_PLANILHA_CÁLCULO_DÉFICIT_RESOLUÇÃO_294_2007_V3_IRT_Planilha Básica_março2009_IRT_Planilha Básica_fev2010a_casulo 5_IRT EEB 2010" xfId="3150" xr:uid="{07016DF0-C002-437D-9FA1-8EE2D9CDCA06}"/>
    <cellStyle name="_PLPT MOCOCA-2009_PLANILHA_CÁLCULO_DÉFICIT_RESOLUÇÃO_294_2007_V3_IRT_Planilha Básica_março2009_IRT_Planilha Básica_fev2010a_IRT EEB 2010" xfId="3151" xr:uid="{C979C831-4293-4388-839E-86F718907167}"/>
    <cellStyle name="_PLPT MOCOCA-2009_PLANILHA_CÁLCULO_DÉFICIT_RESOLUÇÃO_294_2007_V3_IRT_Planilha Básica_março2009_IRT_Planilha Básica_jan2010" xfId="3152" xr:uid="{E1F0E195-768E-4BF5-ACE4-F4406C7D1108}"/>
    <cellStyle name="_PLPT MOCOCA-2009_PLANILHA_CÁLCULO_DÉFICIT_RESOLUÇÃO_294_2007_V3_IRT_Planilha Básica_março2009_IRT_Planilha Básica_mar2010d" xfId="393" xr:uid="{9F13DDE1-D5D1-403C-AD61-290397054C49}"/>
    <cellStyle name="_PLPT MOCOCA-2009_PLANILHA_CÁLCULO_DÉFICIT_RESOLUÇÃO_294_2007_V3_IRT_Planilha Básica_março2009_IRT_Planilha Básica_mar2010d 2" xfId="1347" xr:uid="{37A20372-6614-42E7-9D94-1770AE81C9C7}"/>
    <cellStyle name="_PLPT MOCOCA-2009_PLANILHA_CÁLCULO_DÉFICIT_RESOLUÇÃO_294_2007_V3_IRT_Planilha Básica_março2009_IRT_Planilha Básica_NOVA METODOLOGIA" xfId="3153" xr:uid="{99B65243-DE7B-4DBC-843F-AB63E21DAFDC}"/>
    <cellStyle name="_PLPT MOCOCA-2009_PLANILHA_CÁLCULO_DÉFICIT_RESOLUÇÃO_294_2007_V3_IRT_Planilha Básica_março2009_IRT_Santa 2010" xfId="3154" xr:uid="{E03BAA91-3DAC-4296-9BA5-0839F59D721A}"/>
    <cellStyle name="_PLPT MOCOCA-2009_PLANILHA_CÁLCULO_DÉFICIT_RESOLUÇÃO_294_2007_V3_IRT_Planilha Básica_março2009_IRT-cálculo" xfId="43204" xr:uid="{C39CC6D0-8CAB-4DD3-9AA7-E7D87DE82003}"/>
    <cellStyle name="_PLPT MOCOCA-2009_PLANILHA_CÁLCULO_DÉFICIT_RESOLUÇÃO_294_2007_V3_IRT_Planilha Básica_março2009_Resultados_DEA_RND_QUAL_PERDAS" xfId="42543" xr:uid="{0133BAFC-B24E-4E9F-A1AA-15A0477246DB}"/>
    <cellStyle name="_PLPT MOCOCA-2009_PLANILHA_CÁLCULO_DÉFICIT_RESOLUÇÃO_294_2007_V3_IRT_Planilha Básica_março2009_Simulação congelamento COELCE 2011 - Propostas 3ª Fase AP040 (20.12.2011)" xfId="3155" xr:uid="{04B7748D-BB43-4753-9661-D1C5F59E764F}"/>
    <cellStyle name="_PLPT MOCOCA-2009_PLANILHA_CÁLCULO_DÉFICIT_RESOLUÇÃO_294_2007_V3_IRT_Planilha Básica_março2009_teste ampla" xfId="394" xr:uid="{23C34CCB-8E37-4B1F-A9C7-AC54540716A1}"/>
    <cellStyle name="_PLPT MOCOCA-2009_PLANILHA_CÁLCULO_DÉFICIT_RESOLUÇÃO_294_2007_V3_IRT_Planilha Básica_março2009_teste ampla 2" xfId="1348" xr:uid="{4B6BF3D9-37BD-473F-A207-F084F3688639}"/>
    <cellStyle name="_PLPT MOCOCA-2009_PLANILHA_CÁLCULO_DÉFICIT_RESOLUÇÃO_294_2007_V3_IRT_Planilha Básica_março2009_teste ampla_Balanço" xfId="395" xr:uid="{4A6F0921-120F-4DB6-9738-5DCBA8B0BC65}"/>
    <cellStyle name="_PLPT MOCOCA-2009_PLANILHA_CÁLCULO_DÉFICIT_RESOLUÇÃO_294_2007_V3_IRT_Planilha Básica_março2009_teste ampla_Balanço 2" xfId="1349" xr:uid="{EE322BD9-26C6-4890-9FC6-A61875D47192}"/>
    <cellStyle name="_PLPT MOCOCA-2009_PLANILHA_CÁLCULO_DÉFICIT_RESOLUÇÃO_294_2007_V3_IRT_Planilha Básica_março2009_teste ampla_casulo 15" xfId="396" xr:uid="{D6359E11-E81B-4960-B213-CFF646C199A9}"/>
    <cellStyle name="_PLPT MOCOCA-2009_PLANILHA_CÁLCULO_DÉFICIT_RESOLUÇÃO_294_2007_V3_IRT_Planilha Básica_março2009_teste ampla_casulo 5" xfId="397" xr:uid="{445B3344-D386-4EE0-BED4-3B91E87E57B1}"/>
    <cellStyle name="_PLPT MOCOCA-2009_PLANILHA_CÁLCULO_DÉFICIT_RESOLUÇÃO_294_2007_V3_IRT_Planilha Básica_março2009_teste ampla_casulo 5 2" xfId="1350" xr:uid="{DB3F7DFC-D896-4DBC-A341-5D9E0D0205ED}"/>
    <cellStyle name="_PLPT MOCOCA-2009_PLANILHA_CÁLCULO_DÉFICIT_RESOLUÇÃO_294_2007_V3_IRT_Planilha Básica_março2009_teste ampla_casulo 5_Balanço" xfId="398" xr:uid="{F2B50B56-FC57-4049-8231-A428FBD9A4FB}"/>
    <cellStyle name="_PLPT MOCOCA-2009_PLANILHA_CÁLCULO_DÉFICIT_RESOLUÇÃO_294_2007_V3_IRT_Planilha Básica_março2009_teste ampla_casulo 5_casulo 15" xfId="399" xr:uid="{CD50EE84-6A54-47A9-AFC4-44F8D0DA36FE}"/>
    <cellStyle name="_PLPT MOCOCA-2009_PLANILHA_CÁLCULO_DÉFICIT_RESOLUÇÃO_294_2007_V3_IRT_Planilha Básica_março2009_teste ampla_casulo 5_IRT EEB 2010" xfId="3156" xr:uid="{AE9CAA73-9B36-4CC2-AB78-43B38DD200D1}"/>
    <cellStyle name="_PLPT MOCOCA-2009_PLANILHA_CÁLCULO_DÉFICIT_RESOLUÇÃO_294_2007_V3_IRT_Planilha Básica_março2009_teste ampla_IRT EEB 2010" xfId="3157" xr:uid="{A572EE8E-5049-4EE1-ABB0-189C447D1F04}"/>
    <cellStyle name="_PLPT MOCOCA-2009_PLANILHA_CÁLCULO_DÉFICIT_RESOLUÇÃO_294_2007_V3_IRT-cálculo" xfId="3158" xr:uid="{8ED7DB4D-5227-41A2-87A5-922F7B25ED30}"/>
    <cellStyle name="_PLPT MOCOCA-2009_PLANILHA_CÁLCULO_DÉFICIT_RESOLUÇÃO_294_2007_V3_IRT-cálculo CAPA NEUTRALIDADE" xfId="3159" xr:uid="{7ACEF72B-13A7-4942-9D4A-66CAA6B1B8E5}"/>
    <cellStyle name="_PLPT MOCOCA-2009_PLANILHA_CÁLCULO_DÉFICIT_RESOLUÇÃO_294_2007_V3_Resultados_DEA_RND_QUAL_PERDAS" xfId="42544" xr:uid="{0FC5D25E-31E5-452B-9584-47DBEEB7276E}"/>
    <cellStyle name="_PLPT MOCOCA-2009_PLANILHA_CÁLCULO_DÉFICIT_RESOLUÇÃO_294_2007_V3_Subsídios para análise da SRE" xfId="400" xr:uid="{3222F6BE-AADD-46F2-B895-372F3A03DEE6}"/>
    <cellStyle name="_PLPT MOCOCA-2009_PLANILHA_CÁLCULO_DÉFICIT_RESOLUÇÃO_294_2007_V3_Subsídios para análise da SRE 2" xfId="1351" xr:uid="{496D9A2A-6AAE-4066-8BAA-449680D052DD}"/>
    <cellStyle name="_PLPT MOCOCA-2009_PLANILHA_CÁLCULO_DÉFICIT_RESOLUÇÃO_294_2007_V3_Subsídios para análise da SRE_02 IRT Bandeirante 2009" xfId="3160" xr:uid="{76478FBA-EA3F-4613-9E88-470BE74BBC38}"/>
    <cellStyle name="_PLPT MOCOCA-2009_PLANILHA_CÁLCULO_DÉFICIT_RESOLUÇÃO_294_2007_V3_Subsídios para análise da SRE_1" xfId="3161" xr:uid="{0C4D3F7B-5C43-4E28-B612-FA6C8693B60D}"/>
    <cellStyle name="_PLPT MOCOCA-2009_PLANILHA_CÁLCULO_DÉFICIT_RESOLUÇÃO_294_2007_V3_Subsídios para análise da SRE_Balanço" xfId="401" xr:uid="{9B0239D0-D4A7-4B11-AB8E-AA6969F840AC}"/>
    <cellStyle name="_PLPT MOCOCA-2009_PLANILHA_CÁLCULO_DÉFICIT_RESOLUÇÃO_294_2007_V3_Subsídios para análise da SRE_Balanço 2" xfId="1352" xr:uid="{3F483750-4A0C-401C-AEE7-B0C164C58BD1}"/>
    <cellStyle name="_PLPT MOCOCA-2009_PLANILHA_CÁLCULO_DÉFICIT_RESOLUÇÃO_294_2007_V3_Subsídios para análise da SRE_casulo 15" xfId="402" xr:uid="{D131491C-B3E2-4F4A-95E1-1CD38CEA3A47}"/>
    <cellStyle name="_PLPT MOCOCA-2009_PLANILHA_CÁLCULO_DÉFICIT_RESOLUÇÃO_294_2007_V3_Subsídios para análise da SRE_casulo 5" xfId="403" xr:uid="{29B842A7-A04D-4746-949E-788F6DBD662F}"/>
    <cellStyle name="_PLPT MOCOCA-2009_PLANILHA_CÁLCULO_DÉFICIT_RESOLUÇÃO_294_2007_V3_Subsídios para análise da SRE_casulo 5 2" xfId="1353" xr:uid="{176B2681-50A5-4717-A3BB-98A2DEAFF69E}"/>
    <cellStyle name="_PLPT MOCOCA-2009_PLANILHA_CÁLCULO_DÉFICIT_RESOLUÇÃO_294_2007_V3_Subsídios para análise da SRE_casulo 5_Balanço" xfId="404" xr:uid="{541FC67E-F31A-437C-866D-E40EDAB8439B}"/>
    <cellStyle name="_PLPT MOCOCA-2009_PLANILHA_CÁLCULO_DÉFICIT_RESOLUÇÃO_294_2007_V3_Subsídios para análise da SRE_casulo 5_casulo 15" xfId="405" xr:uid="{4C3FD2BB-A0D8-4D02-BE0D-652FB7164449}"/>
    <cellStyle name="_PLPT MOCOCA-2009_PLANILHA_CÁLCULO_DÉFICIT_RESOLUÇÃO_294_2007_V3_Subsídios para análise da SRE_casulo 5_IRT EEB 2010" xfId="3162" xr:uid="{EAD45B93-8DFD-44B6-94BB-0B300DA51AEE}"/>
    <cellStyle name="_PLPT MOCOCA-2009_PLANILHA_CÁLCULO_DÉFICIT_RESOLUÇÃO_294_2007_V3_Subsídios para análise da SRE_IRT EEB 2010" xfId="3163" xr:uid="{82EDADB4-DA5D-40DE-9349-57366618A5B5}"/>
    <cellStyle name="_PLPT MOCOCA-2009_PLANILHA_CÁLCULO_DÉFICIT_RESOLUÇÃO_294_2007_V3_Subsídios para análise da SRE_IRT Piratininga 2009" xfId="406" xr:uid="{528836FB-8A43-4027-951C-292C0EEBAB56}"/>
    <cellStyle name="_PLPT MOCOCA-2009_PLANILHA_CÁLCULO_DÉFICIT_RESOLUÇÃO_294_2007_V3_Subsídios para análise da SRE_IRT Piratininga 2009 2" xfId="1354" xr:uid="{F882A559-14AF-44C1-ACD6-F17C1177D551}"/>
    <cellStyle name="_PLPT MOCOCA-2009_PLANILHA_CÁLCULO_DÉFICIT_RESOLUÇÃO_294_2007_V3_Subsídios para análise da SRE_IRT Piratininga 2009_Balanço" xfId="407" xr:uid="{A0ED6958-C016-4BD4-A683-76A495B0E9E7}"/>
    <cellStyle name="_PLPT MOCOCA-2009_PLANILHA_CÁLCULO_DÉFICIT_RESOLUÇÃO_294_2007_V3_Subsídios para análise da SRE_IRT Piratininga 2009_casulo 15" xfId="408" xr:uid="{05AED533-6F6B-47CA-AFD1-916BA507FB48}"/>
    <cellStyle name="_PLPT MOCOCA-2009_PLANILHA_CÁLCULO_DÉFICIT_RESOLUÇÃO_294_2007_V3_Subsídios para análise da SRE_IRT Piratininga 2009_IRT EEB 2010" xfId="3164" xr:uid="{F16E643B-CE1C-4E63-ABD2-39DED8E4009C}"/>
    <cellStyle name="_PLPT MOCOCA-2009_PLANILHA_CÁLCULO_DÉFICIT_RESOLUÇÃO_294_2007_V3_Subsídios para análise da SRE_IRT_EBB_mai2010d" xfId="3165" xr:uid="{620F7F56-ACBD-4A22-A6FA-D71BA158CF8C}"/>
    <cellStyle name="_PLPT MOCOCA-2009_PLANILHA_CÁLCULO_DÉFICIT_RESOLUÇÃO_294_2007_V3_Subsídios para análise da SRE_IRT_Planilha Básica_ CETRIL" xfId="409" xr:uid="{D5B3F5C0-8B2F-4F7E-B37D-00A46CC50176}"/>
    <cellStyle name="_PLPT MOCOCA-2009_PLANILHA_CÁLCULO_DÉFICIT_RESOLUÇÃO_294_2007_V3_Subsídios para análise da SRE_IRT_Planilha Básica_ CETRIL 2" xfId="1355" xr:uid="{2A5B85B8-D465-4B2A-82AD-9FBA04D1163C}"/>
    <cellStyle name="_PLPT MOCOCA-2009_PLANILHA_CÁLCULO_DÉFICIT_RESOLUÇÃO_294_2007_V3_Subsídios para análise da SRE_IRT_Planilha Básica_ CETRIL_Balanço" xfId="410" xr:uid="{4C28937B-A93E-431C-AD0A-EF278E0CF546}"/>
    <cellStyle name="_PLPT MOCOCA-2009_PLANILHA_CÁLCULO_DÉFICIT_RESOLUÇÃO_294_2007_V3_Subsídios para análise da SRE_IRT_Planilha Básica_ CETRIL_casulo 15" xfId="411" xr:uid="{7E884DD9-EC9D-4490-9AD1-06F7F47BD41C}"/>
    <cellStyle name="_PLPT MOCOCA-2009_PLANILHA_CÁLCULO_DÉFICIT_RESOLUÇÃO_294_2007_V3_Subsídios para análise da SRE_IRT_Planilha Básica_ CETRIL_IRT EEB 2010" xfId="3166" xr:uid="{0A27EEF7-F4A2-4EE3-AFBD-2BEAE0D985C7}"/>
    <cellStyle name="_PLPT MOCOCA-2009_PLANILHA_CÁLCULO_DÉFICIT_RESOLUÇÃO_294_2007_V3_Subsídios para análise da SRE_IRT_Planilha Básica_DIRETORIA" xfId="3167" xr:uid="{E9C42A78-0A57-483B-8BC8-C210972AC969}"/>
    <cellStyle name="_PLPT MOCOCA-2009_PLANILHA_CÁLCULO_DÉFICIT_RESOLUÇÃO_294_2007_V3_Subsídios para análise da SRE_IRT_Planilha Básica_fev2010" xfId="3168" xr:uid="{A721CDA9-5DC4-4F6B-A526-0940C5A87412}"/>
    <cellStyle name="_PLPT MOCOCA-2009_PLANILHA_CÁLCULO_DÉFICIT_RESOLUÇÃO_294_2007_V3_Subsídios para análise da SRE_IRT_Planilha Básica_fev2010a" xfId="412" xr:uid="{072F62D7-D519-44E8-93F6-2833C399C418}"/>
    <cellStyle name="_PLPT MOCOCA-2009_PLANILHA_CÁLCULO_DÉFICIT_RESOLUÇÃO_294_2007_V3_Subsídios para análise da SRE_IRT_Planilha Básica_fev2010a 2" xfId="1356" xr:uid="{0508C3BF-38EB-414B-89A6-1397E8B2B299}"/>
    <cellStyle name="_PLPT MOCOCA-2009_PLANILHA_CÁLCULO_DÉFICIT_RESOLUÇÃO_294_2007_V3_Subsídios para análise da SRE_IRT_Planilha Básica_fev2010a_Balanço" xfId="413" xr:uid="{28CADA3A-9386-4C67-9A0C-5C32D7EC7A5E}"/>
    <cellStyle name="_PLPT MOCOCA-2009_PLANILHA_CÁLCULO_DÉFICIT_RESOLUÇÃO_294_2007_V3_Subsídios para análise da SRE_IRT_Planilha Básica_fev2010a_Balanço 2" xfId="1357" xr:uid="{413EEAF1-5AC9-456C-81A6-C187E6C66B6D}"/>
    <cellStyle name="_PLPT MOCOCA-2009_PLANILHA_CÁLCULO_DÉFICIT_RESOLUÇÃO_294_2007_V3_Subsídios para análise da SRE_IRT_Planilha Básica_fev2010a_casulo 15" xfId="414" xr:uid="{6F0C00C9-9F13-4E15-9C03-ABF80673AB14}"/>
    <cellStyle name="_PLPT MOCOCA-2009_PLANILHA_CÁLCULO_DÉFICIT_RESOLUÇÃO_294_2007_V3_Subsídios para análise da SRE_IRT_Planilha Básica_fev2010a_casulo 5" xfId="415" xr:uid="{2DDC1BF6-27B0-4375-930E-EF97FFFAEBE1}"/>
    <cellStyle name="_PLPT MOCOCA-2009_PLANILHA_CÁLCULO_DÉFICIT_RESOLUÇÃO_294_2007_V3_Subsídios para análise da SRE_IRT_Planilha Básica_fev2010a_casulo 5 2" xfId="1358" xr:uid="{7EB484DC-C726-4D53-8443-BC5322D94D97}"/>
    <cellStyle name="_PLPT MOCOCA-2009_PLANILHA_CÁLCULO_DÉFICIT_RESOLUÇÃO_294_2007_V3_Subsídios para análise da SRE_IRT_Planilha Básica_fev2010a_casulo 5_Balanço" xfId="416" xr:uid="{A0EACA70-D5CF-4F84-AFB4-ECAAF97675E4}"/>
    <cellStyle name="_PLPT MOCOCA-2009_PLANILHA_CÁLCULO_DÉFICIT_RESOLUÇÃO_294_2007_V3_Subsídios para análise da SRE_IRT_Planilha Básica_fev2010a_casulo 5_casulo 15" xfId="417" xr:uid="{68158576-3458-4DAD-874B-31DDF1054967}"/>
    <cellStyle name="_PLPT MOCOCA-2009_PLANILHA_CÁLCULO_DÉFICIT_RESOLUÇÃO_294_2007_V3_Subsídios para análise da SRE_IRT_Planilha Básica_fev2010a_casulo 5_IRT EEB 2010" xfId="3169" xr:uid="{7EA68E34-73D3-4151-8600-B9E571BEBEAA}"/>
    <cellStyle name="_PLPT MOCOCA-2009_PLANILHA_CÁLCULO_DÉFICIT_RESOLUÇÃO_294_2007_V3_Subsídios para análise da SRE_IRT_Planilha Básica_fev2010a_IRT EEB 2010" xfId="3170" xr:uid="{EE0792ED-5E7D-40DB-921C-33FD500D35BE}"/>
    <cellStyle name="_PLPT MOCOCA-2009_PLANILHA_CÁLCULO_DÉFICIT_RESOLUÇÃO_294_2007_V3_Subsídios para análise da SRE_IRT_Planilha Básica_jan2010" xfId="3171" xr:uid="{3837315A-7DF5-475A-AF0A-DEBAEFFD1741}"/>
    <cellStyle name="_PLPT MOCOCA-2009_PLANILHA_CÁLCULO_DÉFICIT_RESOLUÇÃO_294_2007_V3_Subsídios para análise da SRE_IRT_Planilha Básica_mar2010b" xfId="3172" xr:uid="{041C2B69-00ED-4593-8696-8F9CE8820AEC}"/>
    <cellStyle name="_PLPT MOCOCA-2009_PLANILHA_CÁLCULO_DÉFICIT_RESOLUÇÃO_294_2007_V3_Subsídios para análise da SRE_IRT_Planilha Básica_mar2010d" xfId="418" xr:uid="{4BF21E35-4C35-457E-8F66-8D4D57FEE64D}"/>
    <cellStyle name="_PLPT MOCOCA-2009_PLANILHA_CÁLCULO_DÉFICIT_RESOLUÇÃO_294_2007_V3_Subsídios para análise da SRE_IRT_Planilha Básica_mar2010d 2" xfId="1359" xr:uid="{B1322E22-BD5A-4C80-A3B7-47E16B6296EB}"/>
    <cellStyle name="_PLPT MOCOCA-2009_PLANILHA_CÁLCULO_DÉFICIT_RESOLUÇÃO_294_2007_V3_Subsídios para análise da SRE_IRT_Planilha Básica_NOVA METODOLOGIA" xfId="3173" xr:uid="{DDBE9CDE-DE8E-49EF-AEA8-44FBC5928E53}"/>
    <cellStyle name="_PLPT MOCOCA-2009_PLANILHA_CÁLCULO_DÉFICIT_RESOLUÇÃO_294_2007_V3_Subsídios para análise da SRE_IRT_Santa 2010" xfId="3174" xr:uid="{ED794CCA-EA85-4E58-9C95-8882950F2ACC}"/>
    <cellStyle name="_PLPT MOCOCA-2009_PLANILHA_CÁLCULO_DÉFICIT_RESOLUÇÃO_294_2007_V3_Subsídios para análise da SRE_IRT-cálculo" xfId="3175" xr:uid="{5D9516FB-214B-438B-B454-0A2A0E5A267B}"/>
    <cellStyle name="_PLPT MOCOCA-2009_PLANILHA_CÁLCULO_DÉFICIT_RESOLUÇÃO_294_2007_V3_Subsídios para análise da SRE_IRT-cálculo CAPA NEUTRALIDADE" xfId="3176" xr:uid="{5A706D0F-4E85-411E-9E8F-33902F7EE802}"/>
    <cellStyle name="_PLPT MOCOCA-2009_PLANILHA_CÁLCULO_DÉFICIT_RESOLUÇÃO_294_2007_V3_Subsídios para análise da SRE_Resultados_DEA_RND_QUAL_PERDAS" xfId="42545" xr:uid="{CAD0AD47-AE68-4767-983A-096D0937CF02}"/>
    <cellStyle name="_PLPT MOCOCA-2009_PLANILHA_CÁLCULO_DÉFICIT_RESOLUÇÃO_294_2007_V3_Subsídios para análise da SRE_teste ampla" xfId="419" xr:uid="{FFE0C07E-04DB-481B-85CB-360C8DB46A40}"/>
    <cellStyle name="_PLPT MOCOCA-2009_PLANILHA_CÁLCULO_DÉFICIT_RESOLUÇÃO_294_2007_V3_Subsídios para análise da SRE_teste ampla 2" xfId="1360" xr:uid="{63795734-8C14-4AA4-8DCB-DE2870036889}"/>
    <cellStyle name="_PLPT MOCOCA-2009_PLANILHA_CÁLCULO_DÉFICIT_RESOLUÇÃO_294_2007_V3_Subsídios para análise da SRE_teste ampla_Balanço" xfId="420" xr:uid="{80392C6B-6199-4C97-8B28-4A8C302E8270}"/>
    <cellStyle name="_PLPT MOCOCA-2009_PLANILHA_CÁLCULO_DÉFICIT_RESOLUÇÃO_294_2007_V3_Subsídios para análise da SRE_teste ampla_Balanço 2" xfId="1361" xr:uid="{FEDD6566-DBEB-4F76-A9C7-733879D2E12A}"/>
    <cellStyle name="_PLPT MOCOCA-2009_PLANILHA_CÁLCULO_DÉFICIT_RESOLUÇÃO_294_2007_V3_Subsídios para análise da SRE_teste ampla_casulo 15" xfId="421" xr:uid="{9FF66789-2752-4987-A87A-7214F7E6869E}"/>
    <cellStyle name="_PLPT MOCOCA-2009_PLANILHA_CÁLCULO_DÉFICIT_RESOLUÇÃO_294_2007_V3_Subsídios para análise da SRE_teste ampla_casulo 5" xfId="422" xr:uid="{96546956-6143-459C-8F47-06C8B073B3AA}"/>
    <cellStyle name="_PLPT MOCOCA-2009_PLANILHA_CÁLCULO_DÉFICIT_RESOLUÇÃO_294_2007_V3_Subsídios para análise da SRE_teste ampla_casulo 5 2" xfId="1362" xr:uid="{54B8B5A0-D802-407E-8FFA-5D3F4E184699}"/>
    <cellStyle name="_PLPT MOCOCA-2009_PLANILHA_CÁLCULO_DÉFICIT_RESOLUÇÃO_294_2007_V3_Subsídios para análise da SRE_teste ampla_casulo 5_Balanço" xfId="423" xr:uid="{C579E4F9-9781-43A6-BD3D-FDBF98169325}"/>
    <cellStyle name="_PLPT MOCOCA-2009_PLANILHA_CÁLCULO_DÉFICIT_RESOLUÇÃO_294_2007_V3_Subsídios para análise da SRE_teste ampla_casulo 5_casulo 15" xfId="424" xr:uid="{00F2338B-DB9A-4F82-918D-223A068A2643}"/>
    <cellStyle name="_PLPT MOCOCA-2009_PLANILHA_CÁLCULO_DÉFICIT_RESOLUÇÃO_294_2007_V3_Subsídios para análise da SRE_teste ampla_casulo 5_IRT EEB 2010" xfId="3177" xr:uid="{CE3EE04F-16FB-4063-93F1-2CEC111B9CBE}"/>
    <cellStyle name="_PLPT MOCOCA-2009_PLANILHA_CÁLCULO_DÉFICIT_RESOLUÇÃO_294_2007_V3_Subsídios para análise da SRE_teste ampla_IRT EEB 2010" xfId="3178" xr:uid="{E348EB29-A5D1-4A86-8FC9-034EDEE7BB19}"/>
    <cellStyle name="_PLPT MOCOCA-2009_PLANILHA_CÁLCULO_DÉFICIT_RESOLUÇÃO_294_2007_V3_SubsídiosAnáliseSRE_COSERN_IRT-2010" xfId="1632" xr:uid="{399D4188-79E2-458B-AEF4-96C38C07DD1E}"/>
    <cellStyle name="_PLPT_EPB_2010 " xfId="3179" xr:uid="{6BEEE7D5-10D5-4689-9676-69C5BEC9FDAC}"/>
    <cellStyle name="_PLPT_PLANILHA_ANEEL" xfId="3180" xr:uid="{3D565F6F-8A8F-40D7-A757-21311B05E57C}"/>
    <cellStyle name="_PLPT_PLANILHA_ANEEL_FINAL_12_07" xfId="3181" xr:uid="{604C1537-E838-42D5-9DCA-922085A351A9}"/>
    <cellStyle name="_PLPT_PLANILHA_ANEEL_mbl" xfId="3182" xr:uid="{43C466B8-E921-47CB-8AF0-AF933DFC148C}"/>
    <cellStyle name="_PLPT_PLANILHA_CÁLCULO_DÉFICIT até revisão2007" xfId="3183" xr:uid="{AA9099D8-CD3F-467D-B00E-60DF0605FC3E}"/>
    <cellStyle name="_PLPT_PLANILHA_CÁLCULO_DÉFICIT até revisão2007_atualização serviços taxados" xfId="43205" xr:uid="{B89C4D51-14CB-4892-B8F4-140E9721153A}"/>
    <cellStyle name="_PLPT_PLANILHA_CÁLCULO_DÉFICIT até revisão2007_Financeiro Desconto na TUSD Consumidores Livres Reajuste 2010 - 03_03_2010" xfId="43206" xr:uid="{7CBBB46B-60EC-4057-AA1B-F13C020CBF66}"/>
    <cellStyle name="_PLPT_PLANILHA_CÁLCULO_DÉFICIT até revisão2007_Financeiro Desconto na TUSD Geradores Reajuste 2010 - 03_03_2010" xfId="43207" xr:uid="{EF2853F2-C923-41C6-BF6A-D40C97CD156E}"/>
    <cellStyle name="_PLPT_PLANILHA_CÁLCULO_DÉFICIT até revisão2007_Financeiro Subsídio Baixa Renda Reajuste 2010 - 03_03_2010" xfId="43208" xr:uid="{A4A31825-4377-4AD4-8033-9F872B1682B4}"/>
    <cellStyle name="_PLPT_PLANILHA_CÁLCULO_DÉFICIT até revisão2007_Financeiro Subsídio Rural Irrigante e Aquicultor Reajuste 2010 - 03_03_2010" xfId="43209" xr:uid="{AFE4589D-E46D-4801-BA7D-C29C7B3CB063}"/>
    <cellStyle name="_PLPT_PLANILHA_CÁLCULO_DÉFICIT_RESOLUÇÃO_294_2007" xfId="3184" xr:uid="{96BFEC22-8597-41E4-AE61-6BBF756D3443}"/>
    <cellStyle name="_PLPT_PLANILHA_CÁLCULO_DÉFICIT_RESOLUÇÃO_294_2007_antes Da Revisão" xfId="3185" xr:uid="{0E992026-B6D8-4B07-8C6B-C55698B01DC3}"/>
    <cellStyle name="_PLPT_PLANILHA_CÁLCULO_DÉFICIT_RESOLUÇÃO_294_2007_CELG 2008" xfId="3186" xr:uid="{9A09844F-51CD-43B5-83B9-67354A19A569}"/>
    <cellStyle name="_PLPT_PLANILHA_CÁLCULO_DÉFICIT_RESOLUÇÃO_294_2007_COELCE_Sem_Gov_Estado_pos_Rev2007" xfId="425" xr:uid="{3B4D38C8-BA58-4427-8AB4-7CC12370BF16}"/>
    <cellStyle name="_PLPT_PLANILHA_CÁLCULO_DÉFICIT_RESOLUÇÃO_294_2007_COELCE_Sem_Gov_Estado_pos_Rev2007 2" xfId="1363" xr:uid="{E72BBD29-33F1-4C24-81CD-8F433E147CCF}"/>
    <cellStyle name="_PLPT_PLANILHA_CÁLCULO_DÉFICIT_RESOLUÇÃO_294_2007_COELCE_Sem_Gov_Estado_pos_Rev2007 3" xfId="3187" xr:uid="{ED501B68-EAF6-4A41-AAE1-901ED29C7DE5}"/>
    <cellStyle name="_PLPT_PLANILHA_CÁLCULO_DÉFICIT_RESOLUÇÃO_294_2007_COELCE_Sem_Gov_Estado_pos_Rev2007_02 IRT COSERN 2009" xfId="1633" xr:uid="{7250D932-004E-4B1B-AD6C-5CD4CA8B713F}"/>
    <cellStyle name="_PLPT_PLANILHA_CÁLCULO_DÉFICIT_RESOLUÇÃO_294_2007_COELCE_Sem_Gov_Estado_pos_Rev2007_2008.08.07 CELPA IRT2008 Homologado" xfId="3188" xr:uid="{3249632E-8CB4-4FCE-8282-84D36EDA760C}"/>
    <cellStyle name="_PLPT_PLANILHA_CÁLCULO_DÉFICIT_RESOLUÇÃO_294_2007_COELCE_Sem_Gov_Estado_pos_Rev2007_Ajustes REAJUSTE 2008 ELETROPAULO" xfId="3189" xr:uid="{4F8A61E7-A9BF-4D53-AE6E-C072E1610D75}"/>
    <cellStyle name="_PLPT_PLANILHA_CÁLCULO_DÉFICIT_RESOLUÇÃO_294_2007_COELCE_Sem_Gov_Estado_pos_Rev2007_Ajustes REAJUSTE 2008 ELETROPAULO_IRT-cálculo" xfId="3190" xr:uid="{4A46CF78-DF7D-42BF-A505-D7BB0A6CF308}"/>
    <cellStyle name="_PLPT_PLANILHA_CÁLCULO_DÉFICIT_RESOLUÇÃO_294_2007_COELCE_Sem_Gov_Estado_pos_Rev2007_Ajustes REAJUSTE 2008 ELETROPAULO_IRT-cálculo CAPA NEUTRALIDADE" xfId="3191" xr:uid="{0004D030-D424-42D4-A46F-2C31EF4DF6A9}"/>
    <cellStyle name="_PLPT_PLANILHA_CÁLCULO_DÉFICIT_RESOLUÇÃO_294_2007_COELCE_Sem_Gov_Estado_pos_Rev2007_Ajustes REVISÃO 2007 ELETROPAULO" xfId="3192" xr:uid="{62AF2C8B-2AE3-4E4D-93CD-0F366D5FB639}"/>
    <cellStyle name="_PLPT_PLANILHA_CÁLCULO_DÉFICIT_RESOLUÇÃO_294_2007_COELCE_Sem_Gov_Estado_pos_Rev2007_Ajustes REVISÃO 2007 ELETROPAULO_IRT-cálculo" xfId="3193" xr:uid="{C76DB943-58AA-4370-B0D1-1BF9830034D9}"/>
    <cellStyle name="_PLPT_PLANILHA_CÁLCULO_DÉFICIT_RESOLUÇÃO_294_2007_COELCE_Sem_Gov_Estado_pos_Rev2007_Ajustes REVISÃO 2007 ELETROPAULO_IRT-cálculo CAPA NEUTRALIDADE" xfId="3194" xr:uid="{3446A07D-9558-44EE-9A34-D1CE46D85689}"/>
    <cellStyle name="_PLPT_PLANILHA_CÁLCULO_DÉFICIT_RESOLUÇÃO_294_2007_COELCE_Sem_Gov_Estado_pos_Rev2007_atualização serviços taxados" xfId="43210" xr:uid="{54BA4681-4A5E-4B01-AC28-B1A3F412E1D7}"/>
    <cellStyle name="_PLPT_PLANILHA_CÁLCULO_DÉFICIT_RESOLUÇÃO_294_2007_COELCE_Sem_Gov_Estado_pos_Rev2007_Balanço" xfId="426" xr:uid="{0A39325E-AB00-46BF-84BD-D709BC8B2EE3}"/>
    <cellStyle name="_PLPT_PLANILHA_CÁLCULO_DÉFICIT_RESOLUÇÃO_294_2007_COELCE_Sem_Gov_Estado_pos_Rev2007_Balanço 2" xfId="1364" xr:uid="{4E6A99F8-D127-4C0F-9282-F4E235F5B2B5}"/>
    <cellStyle name="_PLPT_PLANILHA_CÁLCULO_DÉFICIT_RESOLUÇÃO_294_2007_COELCE_Sem_Gov_Estado_pos_Rev2007_Calculo_Subsidio_ELFSM_26_06_08_Modelo_ANEEL" xfId="3195" xr:uid="{B219DA6D-5987-4BFB-BFEE-32D3D24187F9}"/>
    <cellStyle name="_PLPT_PLANILHA_CÁLCULO_DÉFICIT_RESOLUÇÃO_294_2007_COELCE_Sem_Gov_Estado_pos_Rev2007_Calculo_Subsidio_ELFSM_26_06_08_Modelo_ANEEL_IRT-cálculo" xfId="3196" xr:uid="{C26B66D6-6909-4600-96B5-A342B4EDABB5}"/>
    <cellStyle name="_PLPT_PLANILHA_CÁLCULO_DÉFICIT_RESOLUÇÃO_294_2007_COELCE_Sem_Gov_Estado_pos_Rev2007_Calculo_Subsidio_ELFSM_26_06_08_Modelo_ANEEL_IRT-cálculo CAPA NEUTRALIDADE" xfId="3197" xr:uid="{DDCDBF3C-9AB5-4A74-B8C0-11EF6C3DB9C1}"/>
    <cellStyle name="_PLPT_PLANILHA_CÁLCULO_DÉFICIT_RESOLUÇÃO_294_2007_COELCE_Sem_Gov_Estado_pos_Rev2007_casulo 15" xfId="427" xr:uid="{2ACA896D-9E37-44BF-8952-1D80E228594A}"/>
    <cellStyle name="_PLPT_PLANILHA_CÁLCULO_DÉFICIT_RESOLUÇÃO_294_2007_COELCE_Sem_Gov_Estado_pos_Rev2007_casulo 5" xfId="428" xr:uid="{440752FC-4D27-4597-B6BB-B3DEBD6A7B41}"/>
    <cellStyle name="_PLPT_PLANILHA_CÁLCULO_DÉFICIT_RESOLUÇÃO_294_2007_COELCE_Sem_Gov_Estado_pos_Rev2007_casulo 5 2" xfId="1365" xr:uid="{8AD4324C-FCBA-4F6B-B0AE-32B5B66B3727}"/>
    <cellStyle name="_PLPT_PLANILHA_CÁLCULO_DÉFICIT_RESOLUÇÃO_294_2007_COELCE_Sem_Gov_Estado_pos_Rev2007_casulo 5_Balanço" xfId="429" xr:uid="{43B30F1F-E48C-4F8D-AE1A-3B3A57E99D44}"/>
    <cellStyle name="_PLPT_PLANILHA_CÁLCULO_DÉFICIT_RESOLUÇÃO_294_2007_COELCE_Sem_Gov_Estado_pos_Rev2007_casulo 5_casulo 15" xfId="430" xr:uid="{D46E3D7F-BC26-4803-A020-C7FD1D8CFBE0}"/>
    <cellStyle name="_PLPT_PLANILHA_CÁLCULO_DÉFICIT_RESOLUÇÃO_294_2007_COELCE_Sem_Gov_Estado_pos_Rev2007_casulo 5_IRT EEB 2010" xfId="3198" xr:uid="{D4A7F9C1-1830-4C9E-9635-7F3C23E4AC7B}"/>
    <cellStyle name="_PLPT_PLANILHA_CÁLCULO_DÉFICIT_RESOLUÇÃO_294_2007_COELCE_Sem_Gov_Estado_pos_Rev2007_COELCE - Balanço de Energia - Reajuste 2009 - 02 02 2009" xfId="43211" xr:uid="{90530480-61AF-4325-823E-897CA826ADFE}"/>
    <cellStyle name="_PLPT_PLANILHA_CÁLCULO_DÉFICIT_RESOLUÇÃO_294_2007_COELCE_Sem_Gov_Estado_pos_Rev2007_COELCE - Compensação CVA Ano Anterior" xfId="43212" xr:uid="{642C222F-8410-43C5-A3F8-73AD8BB514B4}"/>
    <cellStyle name="_PLPT_PLANILHA_CÁLCULO_DÉFICIT_RESOLUÇÃO_294_2007_COELCE_Sem_Gov_Estado_pos_Rev2007_Compensação CVA Ano Anterior" xfId="43213" xr:uid="{67AC50AB-9A26-46F7-93B7-5C111DA2C0CF}"/>
    <cellStyle name="_PLPT_PLANILHA_CÁLCULO_DÉFICIT_RESOLUÇÃO_294_2007_COELCE_Sem_Gov_Estado_pos_Rev2007_Cópia de IRT_CPFL_LESTE_PAULISTA(CPEE)_fev2009-COM_PREVISÃO_BR_da_Diretoria_pos_IGPM" xfId="431" xr:uid="{D44FE4E2-B830-49D1-9B8A-036A7DF3389A}"/>
    <cellStyle name="_PLPT_PLANILHA_CÁLCULO_DÉFICIT_RESOLUÇÃO_294_2007_COELCE_Sem_Gov_Estado_pos_Rev2007_Cópia de IRT_CPFL_LESTE_PAULISTA(CPEE)_fev2009-COM_PREVISÃO_BR_da_Diretoria_pos_IGPM 2" xfId="1366" xr:uid="{37C10751-BFD2-485B-8ADD-BD0778C2B6CF}"/>
    <cellStyle name="_PLPT_PLANILHA_CÁLCULO_DÉFICIT_RESOLUÇÃO_294_2007_COELCE_Sem_Gov_Estado_pos_Rev2007_Cópia de IRT_CPFL_LESTE_PAULISTA(CPEE)_fev2009-COM_PREVISÃO_BR_da_Diretoria_pos_IGPM_Balanço" xfId="432" xr:uid="{84DCBCF6-299F-494E-BB33-A8D49A21E73C}"/>
    <cellStyle name="_PLPT_PLANILHA_CÁLCULO_DÉFICIT_RESOLUÇÃO_294_2007_COELCE_Sem_Gov_Estado_pos_Rev2007_Cópia de IRT_CPFL_LESTE_PAULISTA(CPEE)_fev2009-COM_PREVISÃO_BR_da_Diretoria_pos_IGPM_Balanço 2" xfId="1367" xr:uid="{F99CF3E6-9A86-4905-AB48-1CD6FCB57487}"/>
    <cellStyle name="_PLPT_PLANILHA_CÁLCULO_DÉFICIT_RESOLUÇÃO_294_2007_COELCE_Sem_Gov_Estado_pos_Rev2007_Cópia de IRT_CPFL_LESTE_PAULISTA(CPEE)_fev2009-COM_PREVISÃO_BR_da_Diretoria_pos_IGPM_casulo 15" xfId="433" xr:uid="{38CB7592-DC24-4E0E-90CC-695832E8D0D4}"/>
    <cellStyle name="_PLPT_PLANILHA_CÁLCULO_DÉFICIT_RESOLUÇÃO_294_2007_COELCE_Sem_Gov_Estado_pos_Rev2007_Cópia de IRT_CPFL_LESTE_PAULISTA(CPEE)_fev2009-COM_PREVISÃO_BR_da_Diretoria_pos_IGPM_casulo 5" xfId="434" xr:uid="{2622A782-078F-4B66-AB44-34773AD60E44}"/>
    <cellStyle name="_PLPT_PLANILHA_CÁLCULO_DÉFICIT_RESOLUÇÃO_294_2007_COELCE_Sem_Gov_Estado_pos_Rev2007_Cópia de IRT_CPFL_LESTE_PAULISTA(CPEE)_fev2009-COM_PREVISÃO_BR_da_Diretoria_pos_IGPM_casulo 5 2" xfId="1368" xr:uid="{2D480130-E8D9-427F-9141-8FD9C7BBC233}"/>
    <cellStyle name="_PLPT_PLANILHA_CÁLCULO_DÉFICIT_RESOLUÇÃO_294_2007_COELCE_Sem_Gov_Estado_pos_Rev2007_Cópia de IRT_CPFL_LESTE_PAULISTA(CPEE)_fev2009-COM_PREVISÃO_BR_da_Diretoria_pos_IGPM_casulo 5_Balanço" xfId="435" xr:uid="{E3E01207-2A5A-480B-9FEF-076992EE7005}"/>
    <cellStyle name="_PLPT_PLANILHA_CÁLCULO_DÉFICIT_RESOLUÇÃO_294_2007_COELCE_Sem_Gov_Estado_pos_Rev2007_Cópia de IRT_CPFL_LESTE_PAULISTA(CPEE)_fev2009-COM_PREVISÃO_BR_da_Diretoria_pos_IGPM_casulo 5_casulo 15" xfId="436" xr:uid="{072E7405-8397-490C-A128-79BDEF6AA6B8}"/>
    <cellStyle name="_PLPT_PLANILHA_CÁLCULO_DÉFICIT_RESOLUÇÃO_294_2007_COELCE_Sem_Gov_Estado_pos_Rev2007_Cópia de IRT_CPFL_LESTE_PAULISTA(CPEE)_fev2009-COM_PREVISÃO_BR_da_Diretoria_pos_IGPM_casulo 5_IRT EEB 2010" xfId="3199" xr:uid="{47532504-B762-4937-A5F0-0BB18553272A}"/>
    <cellStyle name="_PLPT_PLANILHA_CÁLCULO_DÉFICIT_RESOLUÇÃO_294_2007_COELCE_Sem_Gov_Estado_pos_Rev2007_Cópia de IRT_CPFL_LESTE_PAULISTA(CPEE)_fev2009-COM_PREVISÃO_BR_da_Diretoria_pos_IGPM_IRT EEB 2010" xfId="3200" xr:uid="{AFBA1E4C-E088-4B5E-86A2-53ED9D01D723}"/>
    <cellStyle name="_PLPT_PLANILHA_CÁLCULO_DÉFICIT_RESOLUÇÃO_294_2007_COELCE_Sem_Gov_Estado_pos_Rev2007_Exposição" xfId="3201" xr:uid="{9896DC82-067D-4B42-BCD6-85D6F262866A}"/>
    <cellStyle name="_PLPT_PLANILHA_CÁLCULO_DÉFICIT_RESOLUÇÃO_294_2007_COELCE_Sem_Gov_Estado_pos_Rev2007_Exposição 2008" xfId="3202" xr:uid="{7F0E93B3-D968-4D65-AE3E-6555ECC82867}"/>
    <cellStyle name="_PLPT_PLANILHA_CÁLCULO_DÉFICIT_RESOLUÇÃO_294_2007_COELCE_Sem_Gov_Estado_pos_Rev2007_Exposição_Agosto 1" xfId="3203" xr:uid="{8E4A07F6-224C-46F8-A290-D9221033E2DC}"/>
    <cellStyle name="_PLPT_PLANILHA_CÁLCULO_DÉFICIT_RESOLUÇÃO_294_2007_COELCE_Sem_Gov_Estado_pos_Rev2007_Financeiro Desconto na TUSD Consumidores Livres Reajuste 2010 - 03_03_2010" xfId="43214" xr:uid="{7E6B62CD-3090-4F3E-BA5A-6AAD56F01DD8}"/>
    <cellStyle name="_PLPT_PLANILHA_CÁLCULO_DÉFICIT_RESOLUÇÃO_294_2007_COELCE_Sem_Gov_Estado_pos_Rev2007_Financeiro Desconto na TUSD Geradores Reajuste 2010 - 03_03_2010" xfId="43215" xr:uid="{C1DB1629-31F1-46CF-AF87-CED4646F26F3}"/>
    <cellStyle name="_PLPT_PLANILHA_CÁLCULO_DÉFICIT_RESOLUÇÃO_294_2007_COELCE_Sem_Gov_Estado_pos_Rev2007_Financeiro Subsídio Baixa Renda Reajuste 2010 - 03_03_2010" xfId="43216" xr:uid="{CF8F6E2A-0F18-49F7-A9F1-A8EE3BFEE97F}"/>
    <cellStyle name="_PLPT_PLANILHA_CÁLCULO_DÉFICIT_RESOLUÇÃO_294_2007_COELCE_Sem_Gov_Estado_pos_Rev2007_Financeiro Subsídio Rural Irrigante e Aquicultor Reajuste 2010 - 03_03_2010" xfId="43217" xr:uid="{ACFA8348-4B14-4AFF-995E-63F68FEA45E1}"/>
    <cellStyle name="_PLPT_PLANILHA_CÁLCULO_DÉFICIT_RESOLUÇÃO_294_2007_COELCE_Sem_Gov_Estado_pos_Rev2007_IRT" xfId="3204" xr:uid="{CDCB888D-AA39-4F40-925B-D34C186ACCB6}"/>
    <cellStyle name="_PLPT_PLANILHA_CÁLCULO_DÉFICIT_RESOLUÇÃO_294_2007_COELCE_Sem_Gov_Estado_pos_Rev2007_IRT EEB 2010" xfId="3205" xr:uid="{5A955004-C148-4008-9FD2-81912C7B693D}"/>
    <cellStyle name="_PLPT_PLANILHA_CÁLCULO_DÉFICIT_RESOLUÇÃO_294_2007_COELCE_Sem_Gov_Estado_pos_Rev2007_IRT Piratininga 2009" xfId="437" xr:uid="{8B849674-AF30-49BB-A87D-A33480CCA104}"/>
    <cellStyle name="_PLPT_PLANILHA_CÁLCULO_DÉFICIT_RESOLUÇÃO_294_2007_COELCE_Sem_Gov_Estado_pos_Rev2007_IRT Piratininga 2009 2" xfId="1369" xr:uid="{BB5391E2-0F44-4232-8EA5-8732FDEB4C07}"/>
    <cellStyle name="_PLPT_PLANILHA_CÁLCULO_DÉFICIT_RESOLUÇÃO_294_2007_COELCE_Sem_Gov_Estado_pos_Rev2007_IRT Piratininga 2009_Balanço" xfId="438" xr:uid="{B4CC40A9-B14C-4F10-A7FE-19066205D33D}"/>
    <cellStyle name="_PLPT_PLANILHA_CÁLCULO_DÉFICIT_RESOLUÇÃO_294_2007_COELCE_Sem_Gov_Estado_pos_Rev2007_IRT Piratininga 2009_casulo 15" xfId="439" xr:uid="{4E1C99D9-AE2B-42B8-8A75-7621E81ADB49}"/>
    <cellStyle name="_PLPT_PLANILHA_CÁLCULO_DÉFICIT_RESOLUÇÃO_294_2007_COELCE_Sem_Gov_Estado_pos_Rev2007_IRT Piratininga 2009_IRT EEB 2010" xfId="3206" xr:uid="{AD5F73FB-4944-46D0-AF8D-47BDBBAAFBFC}"/>
    <cellStyle name="_PLPT_PLANILHA_CÁLCULO_DÉFICIT_RESOLUÇÃO_294_2007_COELCE_Sem_Gov_Estado_pos_Rev2007_IRT Reloaded" xfId="440" xr:uid="{32C8C98A-4006-44EC-A70F-B0CDE0067672}"/>
    <cellStyle name="_PLPT_PLANILHA_CÁLCULO_DÉFICIT_RESOLUÇÃO_294_2007_COELCE_Sem_Gov_Estado_pos_Rev2007_IRT Reloaded 2" xfId="1370" xr:uid="{C2703591-3826-4381-9ABC-D41835FD250F}"/>
    <cellStyle name="_PLPT_PLANILHA_CÁLCULO_DÉFICIT_RESOLUÇÃO_294_2007_COELCE_Sem_Gov_Estado_pos_Rev2007_IRT Reloaded_Balanço" xfId="441" xr:uid="{63818527-6B99-46A4-B8E1-6AD30528C068}"/>
    <cellStyle name="_PLPT_PLANILHA_CÁLCULO_DÉFICIT_RESOLUÇÃO_294_2007_COELCE_Sem_Gov_Estado_pos_Rev2007_IRT Reloaded_Balanço 2" xfId="1371" xr:uid="{A792F87B-657F-4F91-8C67-B01CA29133E8}"/>
    <cellStyle name="_PLPT_PLANILHA_CÁLCULO_DÉFICIT_RESOLUÇÃO_294_2007_COELCE_Sem_Gov_Estado_pos_Rev2007_IRT Reloaded_casulo 15" xfId="442" xr:uid="{4A2060D5-7C5B-4AA6-97C1-75E6DD1118D4}"/>
    <cellStyle name="_PLPT_PLANILHA_CÁLCULO_DÉFICIT_RESOLUÇÃO_294_2007_COELCE_Sem_Gov_Estado_pos_Rev2007_IRT Reloaded_casulo 5" xfId="443" xr:uid="{96D8801B-72C8-426F-A0AA-1436E5E12B1A}"/>
    <cellStyle name="_PLPT_PLANILHA_CÁLCULO_DÉFICIT_RESOLUÇÃO_294_2007_COELCE_Sem_Gov_Estado_pos_Rev2007_IRT Reloaded_casulo 5 2" xfId="1372" xr:uid="{2CA53A98-AB44-46B4-9661-298729CB66F9}"/>
    <cellStyle name="_PLPT_PLANILHA_CÁLCULO_DÉFICIT_RESOLUÇÃO_294_2007_COELCE_Sem_Gov_Estado_pos_Rev2007_IRT Reloaded_casulo 5_Balanço" xfId="444" xr:uid="{98575B68-571A-451F-A5EE-A42FC5A0FAF0}"/>
    <cellStyle name="_PLPT_PLANILHA_CÁLCULO_DÉFICIT_RESOLUÇÃO_294_2007_COELCE_Sem_Gov_Estado_pos_Rev2007_IRT Reloaded_casulo 5_casulo 15" xfId="445" xr:uid="{18D0E24C-9B7D-4E1C-9CB0-1AAE7F3EEFCE}"/>
    <cellStyle name="_PLPT_PLANILHA_CÁLCULO_DÉFICIT_RESOLUÇÃO_294_2007_COELCE_Sem_Gov_Estado_pos_Rev2007_IRT Reloaded_casulo 5_IRT EEB 2010" xfId="3207" xr:uid="{5A3B929B-276F-40AF-9981-97BC2142CA1E}"/>
    <cellStyle name="_PLPT_PLANILHA_CÁLCULO_DÉFICIT_RESOLUÇÃO_294_2007_COELCE_Sem_Gov_Estado_pos_Rev2007_IRT Reloaded_IRT EEB 2010" xfId="3208" xr:uid="{B8B6DD2D-4AB0-4BAE-8AD3-E3F3E7436170}"/>
    <cellStyle name="_PLPT_PLANILHA_CÁLCULO_DÉFICIT_RESOLUÇÃO_294_2007_COELCE_Sem_Gov_Estado_pos_Rev2007_IRT_1" xfId="1634" xr:uid="{8F5F5A5A-9069-4DC8-AC0C-7DA84A3C7B4C}"/>
    <cellStyle name="_PLPT_PLANILHA_CÁLCULO_DÉFICIT_RESOLUÇÃO_294_2007_COELCE_Sem_Gov_Estado_pos_Rev2007_IRT_1 2" xfId="3209" xr:uid="{50241E51-DB64-49AE-A2D6-76206D259DF7}"/>
    <cellStyle name="_PLPT_PLANILHA_CÁLCULO_DÉFICIT_RESOLUÇÃO_294_2007_COELCE_Sem_Gov_Estado_pos_Rev2007_IRT_1_atualização serviços taxados" xfId="43218" xr:uid="{1F12AEC6-FBC9-4510-8929-1E0CCA3BB503}"/>
    <cellStyle name="_PLPT_PLANILHA_CÁLCULO_DÉFICIT_RESOLUÇÃO_294_2007_COELCE_Sem_Gov_Estado_pos_Rev2007_IRT_1_Financeiro Desconto na TUSD Consumidores Livres Reajuste 2010 - 03_03_2010" xfId="43219" xr:uid="{0196E24F-6D60-4C30-9401-E3E394AD79D0}"/>
    <cellStyle name="_PLPT_PLANILHA_CÁLCULO_DÉFICIT_RESOLUÇÃO_294_2007_COELCE_Sem_Gov_Estado_pos_Rev2007_IRT_1_Financeiro Desconto na TUSD Geradores Reajuste 2010 - 03_03_2010" xfId="43220" xr:uid="{FFAA3263-83C7-4494-9EC7-133DD7A573C5}"/>
    <cellStyle name="_PLPT_PLANILHA_CÁLCULO_DÉFICIT_RESOLUÇÃO_294_2007_COELCE_Sem_Gov_Estado_pos_Rev2007_IRT_1_Financeiro Subsídio Baixa Renda Reajuste 2010 - 03_03_2010" xfId="43221" xr:uid="{6D5E7E0B-183C-44A1-B3B0-7943177BC6FB}"/>
    <cellStyle name="_PLPT_PLANILHA_CÁLCULO_DÉFICIT_RESOLUÇÃO_294_2007_COELCE_Sem_Gov_Estado_pos_Rev2007_IRT_1_Financeiro Subsídio Rural Irrigante e Aquicultor Reajuste 2010 - 03_03_2010" xfId="43222" xr:uid="{65897C9B-454C-4F1A-B64B-4F9E4995A1D8}"/>
    <cellStyle name="_PLPT_PLANILHA_CÁLCULO_DÉFICIT_RESOLUÇÃO_294_2007_COELCE_Sem_Gov_Estado_pos_Rev2007_IRT_1_IRT-cálculo" xfId="3210" xr:uid="{06B6405A-1D0D-4B40-9FDA-2308A3D9C6E5}"/>
    <cellStyle name="_PLPT_PLANILHA_CÁLCULO_DÉFICIT_RESOLUÇÃO_294_2007_COELCE_Sem_Gov_Estado_pos_Rev2007_IRT_1_IRT-cálculo CAPA NEUTRALIDADE" xfId="3211" xr:uid="{336E0E71-94F8-4E67-9247-4BA7BD42B6F2}"/>
    <cellStyle name="_PLPT_PLANILHA_CÁLCULO_DÉFICIT_RESOLUÇÃO_294_2007_COELCE_Sem_Gov_Estado_pos_Rev2007_IRT_1_SOBRECONTRATAÇÃO E CVA" xfId="3212" xr:uid="{19BB72E7-7FBD-47E4-84F0-73FAB9139597}"/>
    <cellStyle name="_PLPT_PLANILHA_CÁLCULO_DÉFICIT_RESOLUÇÃO_294_2007_COELCE_Sem_Gov_Estado_pos_Rev2007_IRT_Bragantina_maio_2009" xfId="3213" xr:uid="{EE50EEF4-2308-4043-AE49-295B485DFA81}"/>
    <cellStyle name="_PLPT_PLANILHA_CÁLCULO_DÉFICIT_RESOLUÇÃO_294_2007_COELCE_Sem_Gov_Estado_pos_Rev2007_IRT_CEMAT_2009" xfId="3214" xr:uid="{61EDF8D4-3610-43A3-BFB5-A8C4F405926C}"/>
    <cellStyle name="_PLPT_PLANILHA_CÁLCULO_DÉFICIT_RESOLUÇÃO_294_2007_COELCE_Sem_Gov_Estado_pos_Rev2007_IRT_COELCE_abr2008" xfId="1635" xr:uid="{95012F27-5D40-45A7-AC0A-C1AFA291AD74}"/>
    <cellStyle name="_PLPT_PLANILHA_CÁLCULO_DÉFICIT_RESOLUÇÃO_294_2007_COELCE_Sem_Gov_Estado_pos_Rev2007_IRT_COELCE_abr2008 2" xfId="3215" xr:uid="{3C72150D-A4A7-4C43-B3BD-6732C1D48808}"/>
    <cellStyle name="_PLPT_PLANILHA_CÁLCULO_DÉFICIT_RESOLUÇÃO_294_2007_COELCE_Sem_Gov_Estado_pos_Rev2007_IRT_COELCE_abr2008_atualização serviços taxados" xfId="43223" xr:uid="{49CEF2D8-508F-406C-A401-682894C03297}"/>
    <cellStyle name="_PLPT_PLANILHA_CÁLCULO_DÉFICIT_RESOLUÇÃO_294_2007_COELCE_Sem_Gov_Estado_pos_Rev2007_IRT_COELCE_abr2008_COELCE - RTO 2011 - PLPT_PLANILHA_CÁLCULO_DÉFICIT" xfId="3216" xr:uid="{19B51D65-FCCC-4DF2-BD2B-24D420D22BAC}"/>
    <cellStyle name="_PLPT_PLANILHA_CÁLCULO_DÉFICIT_RESOLUÇÃO_294_2007_COELCE_Sem_Gov_Estado_pos_Rev2007_IRT_COELCE_abr2008_Financeiro Desconto na TUSD Consumidores Livres Reajuste 2010 - 03_03_2010" xfId="43224" xr:uid="{CD78659E-BB06-4D25-9D03-7D3C4C2EE381}"/>
    <cellStyle name="_PLPT_PLANILHA_CÁLCULO_DÉFICIT_RESOLUÇÃO_294_2007_COELCE_Sem_Gov_Estado_pos_Rev2007_IRT_COELCE_abr2008_Financeiro Desconto na TUSD Geradores Reajuste 2010 - 03_03_2010" xfId="43225" xr:uid="{0A7A9980-6027-454F-BE5D-49F47FE1E3C3}"/>
    <cellStyle name="_PLPT_PLANILHA_CÁLCULO_DÉFICIT_RESOLUÇÃO_294_2007_COELCE_Sem_Gov_Estado_pos_Rev2007_IRT_COELCE_abr2008_Financeiro Subsídio Baixa Renda Reajuste 2010 - 03_03_2010" xfId="43226" xr:uid="{F745A814-1105-49A7-9B02-D8B630957953}"/>
    <cellStyle name="_PLPT_PLANILHA_CÁLCULO_DÉFICIT_RESOLUÇÃO_294_2007_COELCE_Sem_Gov_Estado_pos_Rev2007_IRT_COELCE_abr2008_Financeiro Subsídio Rural Irrigante e Aquicultor Reajuste 2010 - 03_03_2010" xfId="43227" xr:uid="{EE9B29A4-F25F-4782-8E7F-86DA90436068}"/>
    <cellStyle name="_PLPT_PLANILHA_CÁLCULO_DÉFICIT_RESOLUÇÃO_294_2007_COELCE_Sem_Gov_Estado_pos_Rev2007_IRT_EBB_mai2010d" xfId="3217" xr:uid="{9628453C-0E8C-4101-B445-3F7B870F0750}"/>
    <cellStyle name="_PLPT_PLANILHA_CÁLCULO_DÉFICIT_RESOLUÇÃO_294_2007_COELCE_Sem_Gov_Estado_pos_Rev2007_IRT_ENERGISA_SE_abr2009" xfId="3218" xr:uid="{1BA36274-73E3-4ED4-A7C6-B87E78089FD9}"/>
    <cellStyle name="_PLPT_PLANILHA_CÁLCULO_DÉFICIT_RESOLUÇÃO_294_2007_COELCE_Sem_Gov_Estado_pos_Rev2007_IRT_ENF" xfId="3219" xr:uid="{DD3C5A75-7E5C-4218-95D4-328BDAB1DF6C}"/>
    <cellStyle name="_PLPT_PLANILHA_CÁLCULO_DÉFICIT_RESOLUÇÃO_294_2007_COELCE_Sem_Gov_Estado_pos_Rev2007_IRT_Escelsa" xfId="3220" xr:uid="{4180E127-E789-4BC8-8CDA-8610F0DFF5E5}"/>
    <cellStyle name="_PLPT_PLANILHA_CÁLCULO_DÉFICIT_RESOLUÇÃO_294_2007_COELCE_Sem_Gov_Estado_pos_Rev2007_IRT_Planilha Básica_ CETRIL" xfId="446" xr:uid="{68518714-8075-4293-9AA5-381C12E0E8E5}"/>
    <cellStyle name="_PLPT_PLANILHA_CÁLCULO_DÉFICIT_RESOLUÇÃO_294_2007_COELCE_Sem_Gov_Estado_pos_Rev2007_IRT_Planilha Básica_ CETRIL 2" xfId="1373" xr:uid="{D381E614-CB12-42B5-A9D9-643073F09B48}"/>
    <cellStyle name="_PLPT_PLANILHA_CÁLCULO_DÉFICIT_RESOLUÇÃO_294_2007_COELCE_Sem_Gov_Estado_pos_Rev2007_IRT_Planilha Básica_ CETRIL_Balanço" xfId="447" xr:uid="{EDAEF5D6-22C5-41AB-8FEB-110D7B63CB54}"/>
    <cellStyle name="_PLPT_PLANILHA_CÁLCULO_DÉFICIT_RESOLUÇÃO_294_2007_COELCE_Sem_Gov_Estado_pos_Rev2007_IRT_Planilha Básica_ CETRIL_casulo 15" xfId="448" xr:uid="{E9EA35FE-31BB-432D-8C14-A6EA8059B27B}"/>
    <cellStyle name="_PLPT_PLANILHA_CÁLCULO_DÉFICIT_RESOLUÇÃO_294_2007_COELCE_Sem_Gov_Estado_pos_Rev2007_IRT_Planilha Básica_ CETRIL_IRT EEB 2010" xfId="3221" xr:uid="{B130B2D0-4C91-4A8B-9C0D-E498C710FA0A}"/>
    <cellStyle name="_PLPT_PLANILHA_CÁLCULO_DÉFICIT_RESOLUÇÃO_294_2007_COELCE_Sem_Gov_Estado_pos_Rev2007_IRT_Planilha Básica_30jun2009" xfId="3222" xr:uid="{BBBAAF06-0911-4D60-A08C-E4ED2EE68FA1}"/>
    <cellStyle name="_PLPT_PLANILHA_CÁLCULO_DÉFICIT_RESOLUÇÃO_294_2007_COELCE_Sem_Gov_Estado_pos_Rev2007_IRT_Planilha Básica_DIRETORIA" xfId="3223" xr:uid="{DC827F4A-B1B3-4D37-BE4F-875277BB3494}"/>
    <cellStyle name="_PLPT_PLANILHA_CÁLCULO_DÉFICIT_RESOLUÇÃO_294_2007_COELCE_Sem_Gov_Estado_pos_Rev2007_IRT_Planilha Básica_fev2010" xfId="3224" xr:uid="{0347467E-BEE7-4726-842A-B1752E470EE4}"/>
    <cellStyle name="_PLPT_PLANILHA_CÁLCULO_DÉFICIT_RESOLUÇÃO_294_2007_COELCE_Sem_Gov_Estado_pos_Rev2007_IRT_Planilha Básica_fev2010a" xfId="449" xr:uid="{60FE1DFD-6D46-43E0-826E-B3D62EBA3FE8}"/>
    <cellStyle name="_PLPT_PLANILHA_CÁLCULO_DÉFICIT_RESOLUÇÃO_294_2007_COELCE_Sem_Gov_Estado_pos_Rev2007_IRT_Planilha Básica_fev2010a 2" xfId="1374" xr:uid="{F363FBD4-4D45-4C5C-A5EB-4576E2CE3F72}"/>
    <cellStyle name="_PLPT_PLANILHA_CÁLCULO_DÉFICIT_RESOLUÇÃO_294_2007_COELCE_Sem_Gov_Estado_pos_Rev2007_IRT_Planilha Básica_fev2010a_Balanço" xfId="450" xr:uid="{0B076889-E19A-4902-9102-9161A41EBC6B}"/>
    <cellStyle name="_PLPT_PLANILHA_CÁLCULO_DÉFICIT_RESOLUÇÃO_294_2007_COELCE_Sem_Gov_Estado_pos_Rev2007_IRT_Planilha Básica_fev2010a_Balanço 2" xfId="1375" xr:uid="{685CA747-BB47-4742-A11B-347912A98E5E}"/>
    <cellStyle name="_PLPT_PLANILHA_CÁLCULO_DÉFICIT_RESOLUÇÃO_294_2007_COELCE_Sem_Gov_Estado_pos_Rev2007_IRT_Planilha Básica_fev2010a_casulo 15" xfId="451" xr:uid="{756D3316-9A2A-4938-8804-4393D704FA2E}"/>
    <cellStyle name="_PLPT_PLANILHA_CÁLCULO_DÉFICIT_RESOLUÇÃO_294_2007_COELCE_Sem_Gov_Estado_pos_Rev2007_IRT_Planilha Básica_fev2010a_casulo 5" xfId="452" xr:uid="{ABC2FF47-211E-4EAF-A9CE-77B1799F226B}"/>
    <cellStyle name="_PLPT_PLANILHA_CÁLCULO_DÉFICIT_RESOLUÇÃO_294_2007_COELCE_Sem_Gov_Estado_pos_Rev2007_IRT_Planilha Básica_fev2010a_casulo 5 2" xfId="1376" xr:uid="{B16C26DE-7A5B-4EA6-93BE-984A59628827}"/>
    <cellStyle name="_PLPT_PLANILHA_CÁLCULO_DÉFICIT_RESOLUÇÃO_294_2007_COELCE_Sem_Gov_Estado_pos_Rev2007_IRT_Planilha Básica_fev2010a_casulo 5_Balanço" xfId="453" xr:uid="{C4F92EFE-4173-408B-9B87-272BFBC2B03F}"/>
    <cellStyle name="_PLPT_PLANILHA_CÁLCULO_DÉFICIT_RESOLUÇÃO_294_2007_COELCE_Sem_Gov_Estado_pos_Rev2007_IRT_Planilha Básica_fev2010a_casulo 5_casulo 15" xfId="454" xr:uid="{8632F883-941E-4C75-8FAF-75D7F6A5D3EF}"/>
    <cellStyle name="_PLPT_PLANILHA_CÁLCULO_DÉFICIT_RESOLUÇÃO_294_2007_COELCE_Sem_Gov_Estado_pos_Rev2007_IRT_Planilha Básica_fev2010a_casulo 5_IRT EEB 2010" xfId="3225" xr:uid="{2C3B065D-195D-4E9A-BB42-2ABA63F6EB85}"/>
    <cellStyle name="_PLPT_PLANILHA_CÁLCULO_DÉFICIT_RESOLUÇÃO_294_2007_COELCE_Sem_Gov_Estado_pos_Rev2007_IRT_Planilha Básica_fev2010a_IRT EEB 2010" xfId="3226" xr:uid="{CC7BE644-A0B0-405B-9B6F-FDAE5EB1FFBE}"/>
    <cellStyle name="_PLPT_PLANILHA_CÁLCULO_DÉFICIT_RESOLUÇÃO_294_2007_COELCE_Sem_Gov_Estado_pos_Rev2007_IRT_Planilha Básica_jun2009" xfId="3227" xr:uid="{4C4F6970-647C-4E9B-AD98-4FFEE9F62398}"/>
    <cellStyle name="_PLPT_PLANILHA_CÁLCULO_DÉFICIT_RESOLUÇÃO_294_2007_COELCE_Sem_Gov_Estado_pos_Rev2007_IRT_Planilha Básica_mar2010b" xfId="3228" xr:uid="{69FC7F9D-D361-456A-AFA2-8CAD7F8E52A4}"/>
    <cellStyle name="_PLPT_PLANILHA_CÁLCULO_DÉFICIT_RESOLUÇÃO_294_2007_COELCE_Sem_Gov_Estado_pos_Rev2007_IRT_Planilha Básica_mar2010d" xfId="455" xr:uid="{AC63A4E4-E466-4501-8065-BDF4CE871DB4}"/>
    <cellStyle name="_PLPT_PLANILHA_CÁLCULO_DÉFICIT_RESOLUÇÃO_294_2007_COELCE_Sem_Gov_Estado_pos_Rev2007_IRT_Planilha Básica_mar2010d 2" xfId="1377" xr:uid="{9F294C18-91EE-4823-9EB4-ABAA495978B3}"/>
    <cellStyle name="_PLPT_PLANILHA_CÁLCULO_DÉFICIT_RESOLUÇÃO_294_2007_COELCE_Sem_Gov_Estado_pos_Rev2007_IRT_Planilha Básica_março2009" xfId="456" xr:uid="{130A33A6-5E14-4FA5-86DB-F13BA15D4B72}"/>
    <cellStyle name="_PLPT_PLANILHA_CÁLCULO_DÉFICIT_RESOLUÇÃO_294_2007_COELCE_Sem_Gov_Estado_pos_Rev2007_IRT_Planilha Básica_março2009 2" xfId="1378" xr:uid="{13D307CB-4749-4A71-B208-5A631128E625}"/>
    <cellStyle name="_PLPT_PLANILHA_CÁLCULO_DÉFICIT_RESOLUÇÃO_294_2007_COELCE_Sem_Gov_Estado_pos_Rev2007_IRT_Planilha Básica_março2009_02 IRT Bandeirante 2009" xfId="3229" xr:uid="{E4C1F39C-ADF7-464E-AC2E-AE11E498874A}"/>
    <cellStyle name="_PLPT_PLANILHA_CÁLCULO_DÉFICIT_RESOLUÇÃO_294_2007_COELCE_Sem_Gov_Estado_pos_Rev2007_IRT_Planilha Básica_março2009_Balanço" xfId="457" xr:uid="{D372ECC2-EBA6-4B7A-A0A0-FF384CB3D6CC}"/>
    <cellStyle name="_PLPT_PLANILHA_CÁLCULO_DÉFICIT_RESOLUÇÃO_294_2007_COELCE_Sem_Gov_Estado_pos_Rev2007_IRT_Planilha Básica_março2009_Balanço 2" xfId="1379" xr:uid="{924B7EBC-4887-48E7-B6A2-7EF01587E203}"/>
    <cellStyle name="_PLPT_PLANILHA_CÁLCULO_DÉFICIT_RESOLUÇÃO_294_2007_COELCE_Sem_Gov_Estado_pos_Rev2007_IRT_Planilha Básica_março2009_casulo 15" xfId="458" xr:uid="{B43A985B-E75F-4C89-9C8C-4717846EE54E}"/>
    <cellStyle name="_PLPT_PLANILHA_CÁLCULO_DÉFICIT_RESOLUÇÃO_294_2007_COELCE_Sem_Gov_Estado_pos_Rev2007_IRT_Planilha Básica_março2009_casulo 5" xfId="459" xr:uid="{3ED2525B-1082-4855-9D60-06E70556C53E}"/>
    <cellStyle name="_PLPT_PLANILHA_CÁLCULO_DÉFICIT_RESOLUÇÃO_294_2007_COELCE_Sem_Gov_Estado_pos_Rev2007_IRT_Planilha Básica_março2009_casulo 5 2" xfId="1380" xr:uid="{5F98A9DF-B2F9-47A1-9837-8ADC296E268A}"/>
    <cellStyle name="_PLPT_PLANILHA_CÁLCULO_DÉFICIT_RESOLUÇÃO_294_2007_COELCE_Sem_Gov_Estado_pos_Rev2007_IRT_Planilha Básica_março2009_casulo 5_Balanço" xfId="460" xr:uid="{4FE98E53-A8D5-4F2F-A40C-739095E53A03}"/>
    <cellStyle name="_PLPT_PLANILHA_CÁLCULO_DÉFICIT_RESOLUÇÃO_294_2007_COELCE_Sem_Gov_Estado_pos_Rev2007_IRT_Planilha Básica_março2009_casulo 5_casulo 15" xfId="461" xr:uid="{01DE96A9-F40B-498B-8C00-6722AAE3B15A}"/>
    <cellStyle name="_PLPT_PLANILHA_CÁLCULO_DÉFICIT_RESOLUÇÃO_294_2007_COELCE_Sem_Gov_Estado_pos_Rev2007_IRT_Planilha Básica_março2009_casulo 5_IRT EEB 2010" xfId="3230" xr:uid="{D468F3D1-0072-4AB5-8F78-6731AFB71050}"/>
    <cellStyle name="_PLPT_PLANILHA_CÁLCULO_DÉFICIT_RESOLUÇÃO_294_2007_COELCE_Sem_Gov_Estado_pos_Rev2007_IRT_Planilha Básica_março2009_COELCE  ICMS Não Compensado RTO 2012 281211" xfId="3231" xr:uid="{FC2EEE39-1557-43E3-864A-2757796D22AF}"/>
    <cellStyle name="_PLPT_PLANILHA_CÁLCULO_DÉFICIT_RESOLUÇÃO_294_2007_COELCE_Sem_Gov_Estado_pos_Rev2007_IRT_Planilha Básica_março2009_COELCE - RTO 2011 - PLPT_PLANILHA_CÁLCULO_DÉFICIT" xfId="3232" xr:uid="{1FA96610-5AF0-4D90-8E37-C0F7B3924A2F}"/>
    <cellStyle name="_PLPT_PLANILHA_CÁLCULO_DÉFICIT_RESOLUÇÃO_294_2007_COELCE_Sem_Gov_Estado_pos_Rev2007_IRT_Planilha Básica_março2009_IRT EEB 2010" xfId="3233" xr:uid="{6EA1E337-F4D7-40D5-94F3-1D12461DEE10}"/>
    <cellStyle name="_PLPT_PLANILHA_CÁLCULO_DÉFICIT_RESOLUÇÃO_294_2007_COELCE_Sem_Gov_Estado_pos_Rev2007_IRT_Planilha Básica_março2009_IRT Piratininga 2009" xfId="462" xr:uid="{AB3F51D6-E99A-4237-9B9E-8B2344F2BD98}"/>
    <cellStyle name="_PLPT_PLANILHA_CÁLCULO_DÉFICIT_RESOLUÇÃO_294_2007_COELCE_Sem_Gov_Estado_pos_Rev2007_IRT_Planilha Básica_março2009_IRT Piratininga 2009 2" xfId="1381" xr:uid="{F6A4CBA4-93C5-44E6-8037-70258876D4AD}"/>
    <cellStyle name="_PLPT_PLANILHA_CÁLCULO_DÉFICIT_RESOLUÇÃO_294_2007_COELCE_Sem_Gov_Estado_pos_Rev2007_IRT_Planilha Básica_março2009_IRT Piratininga 2009_Balanço" xfId="463" xr:uid="{844710F9-601A-4F61-8E9C-1D0B7AFD798A}"/>
    <cellStyle name="_PLPT_PLANILHA_CÁLCULO_DÉFICIT_RESOLUÇÃO_294_2007_COELCE_Sem_Gov_Estado_pos_Rev2007_IRT_Planilha Básica_março2009_IRT Piratininga 2009_casulo 15" xfId="464" xr:uid="{D1D0D253-99C0-4F8D-8776-05B0F4F2A1DF}"/>
    <cellStyle name="_PLPT_PLANILHA_CÁLCULO_DÉFICIT_RESOLUÇÃO_294_2007_COELCE_Sem_Gov_Estado_pos_Rev2007_IRT_Planilha Básica_março2009_IRT Piratininga 2009_IRT EEB 2010" xfId="3234" xr:uid="{269A7343-79EA-4F58-B58C-2F69B2F62703}"/>
    <cellStyle name="_PLPT_PLANILHA_CÁLCULO_DÉFICIT_RESOLUÇÃO_294_2007_COELCE_Sem_Gov_Estado_pos_Rev2007_IRT_Planilha Básica_março2009_IRT_EBB_mai2010d" xfId="3235" xr:uid="{6ADA0199-159B-4693-BB68-F7E2D146EB5F}"/>
    <cellStyle name="_PLPT_PLANILHA_CÁLCULO_DÉFICIT_RESOLUÇÃO_294_2007_COELCE_Sem_Gov_Estado_pos_Rev2007_IRT_Planilha Básica_março2009_IRT_Planilha Básica_ CETRIL" xfId="465" xr:uid="{FE2C4A2B-A191-4E81-A46C-59F07F9AD7D1}"/>
    <cellStyle name="_PLPT_PLANILHA_CÁLCULO_DÉFICIT_RESOLUÇÃO_294_2007_COELCE_Sem_Gov_Estado_pos_Rev2007_IRT_Planilha Básica_março2009_IRT_Planilha Básica_ CETRIL 2" xfId="1382" xr:uid="{657AFA68-8206-4051-8B12-024A73C6F175}"/>
    <cellStyle name="_PLPT_PLANILHA_CÁLCULO_DÉFICIT_RESOLUÇÃO_294_2007_COELCE_Sem_Gov_Estado_pos_Rev2007_IRT_Planilha Básica_março2009_IRT_Planilha Básica_ CETRIL_Balanço" xfId="466" xr:uid="{7FE3FF4C-D491-4688-A194-BE0E8C3785B6}"/>
    <cellStyle name="_PLPT_PLANILHA_CÁLCULO_DÉFICIT_RESOLUÇÃO_294_2007_COELCE_Sem_Gov_Estado_pos_Rev2007_IRT_Planilha Básica_março2009_IRT_Planilha Básica_ CETRIL_casulo 15" xfId="467" xr:uid="{513C8DD8-DD62-43F8-8D9D-D3D88096E3E3}"/>
    <cellStyle name="_PLPT_PLANILHA_CÁLCULO_DÉFICIT_RESOLUÇÃO_294_2007_COELCE_Sem_Gov_Estado_pos_Rev2007_IRT_Planilha Básica_março2009_IRT_Planilha Básica_ CETRIL_IRT EEB 2010" xfId="3236" xr:uid="{515437F2-B528-455D-84DC-5940C2B59242}"/>
    <cellStyle name="_PLPT_PLANILHA_CÁLCULO_DÉFICIT_RESOLUÇÃO_294_2007_COELCE_Sem_Gov_Estado_pos_Rev2007_IRT_Planilha Básica_março2009_IRT_Planilha Básica_DIRETORIA" xfId="3237" xr:uid="{6EEBC218-7358-4C44-BE63-58BB6614302B}"/>
    <cellStyle name="_PLPT_PLANILHA_CÁLCULO_DÉFICIT_RESOLUÇÃO_294_2007_COELCE_Sem_Gov_Estado_pos_Rev2007_IRT_Planilha Básica_março2009_IRT_Planilha Básica_fev2010" xfId="3238" xr:uid="{3EE7FF59-F35E-4A06-AB96-421B5DAB39BA}"/>
    <cellStyle name="_PLPT_PLANILHA_CÁLCULO_DÉFICIT_RESOLUÇÃO_294_2007_COELCE_Sem_Gov_Estado_pos_Rev2007_IRT_Planilha Básica_março2009_IRT_Planilha Básica_fev2010a" xfId="468" xr:uid="{1B41F563-F34C-42D1-8CAC-87F1D0DE7E79}"/>
    <cellStyle name="_PLPT_PLANILHA_CÁLCULO_DÉFICIT_RESOLUÇÃO_294_2007_COELCE_Sem_Gov_Estado_pos_Rev2007_IRT_Planilha Básica_março2009_IRT_Planilha Básica_fev2010a 2" xfId="1383" xr:uid="{750042DD-C3A1-42F0-84A4-BCF9F92D11E1}"/>
    <cellStyle name="_PLPT_PLANILHA_CÁLCULO_DÉFICIT_RESOLUÇÃO_294_2007_COELCE_Sem_Gov_Estado_pos_Rev2007_IRT_Planilha Básica_março2009_IRT_Planilha Básica_fev2010a_Balanço" xfId="469" xr:uid="{80E2BF1D-1A84-4DC2-A7BA-37F313B0CE30}"/>
    <cellStyle name="_PLPT_PLANILHA_CÁLCULO_DÉFICIT_RESOLUÇÃO_294_2007_COELCE_Sem_Gov_Estado_pos_Rev2007_IRT_Planilha Básica_março2009_IRT_Planilha Básica_fev2010a_Balanço 2" xfId="1384" xr:uid="{4FB79370-36F4-4180-AB35-EA9E1DE2A1F0}"/>
    <cellStyle name="_PLPT_PLANILHA_CÁLCULO_DÉFICIT_RESOLUÇÃO_294_2007_COELCE_Sem_Gov_Estado_pos_Rev2007_IRT_Planilha Básica_março2009_IRT_Planilha Básica_fev2010a_casulo 15" xfId="470" xr:uid="{D7AF0DA6-23A4-4DC3-8EA7-13E7C262B425}"/>
    <cellStyle name="_PLPT_PLANILHA_CÁLCULO_DÉFICIT_RESOLUÇÃO_294_2007_COELCE_Sem_Gov_Estado_pos_Rev2007_IRT_Planilha Básica_março2009_IRT_Planilha Básica_fev2010a_casulo 5" xfId="471" xr:uid="{2AB44143-0930-4D91-AAFA-CC670C3DD8D8}"/>
    <cellStyle name="_PLPT_PLANILHA_CÁLCULO_DÉFICIT_RESOLUÇÃO_294_2007_COELCE_Sem_Gov_Estado_pos_Rev2007_IRT_Planilha Básica_março2009_IRT_Planilha Básica_fev2010a_casulo 5 2" xfId="1385" xr:uid="{748D7061-DFB2-45E2-B158-FF75C7BA5828}"/>
    <cellStyle name="_PLPT_PLANILHA_CÁLCULO_DÉFICIT_RESOLUÇÃO_294_2007_COELCE_Sem_Gov_Estado_pos_Rev2007_IRT_Planilha Básica_março2009_IRT_Planilha Básica_fev2010a_casulo 5_Balanço" xfId="472" xr:uid="{5030725C-420D-41F4-8C29-76DCCCE64CE3}"/>
    <cellStyle name="_PLPT_PLANILHA_CÁLCULO_DÉFICIT_RESOLUÇÃO_294_2007_COELCE_Sem_Gov_Estado_pos_Rev2007_IRT_Planilha Básica_março2009_IRT_Planilha Básica_fev2010a_casulo 5_casulo 15" xfId="473" xr:uid="{E2F6CE97-E099-477B-A931-D25BE7D610BC}"/>
    <cellStyle name="_PLPT_PLANILHA_CÁLCULO_DÉFICIT_RESOLUÇÃO_294_2007_COELCE_Sem_Gov_Estado_pos_Rev2007_IRT_Planilha Básica_março2009_IRT_Planilha Básica_fev2010a_casulo 5_IRT EEB 2010" xfId="3239" xr:uid="{1CAF3816-E648-4BD0-9FCC-CDF21AA5F0BB}"/>
    <cellStyle name="_PLPT_PLANILHA_CÁLCULO_DÉFICIT_RESOLUÇÃO_294_2007_COELCE_Sem_Gov_Estado_pos_Rev2007_IRT_Planilha Básica_março2009_IRT_Planilha Básica_fev2010a_IRT EEB 2010" xfId="3240" xr:uid="{63B52FA9-3843-4B80-92F9-875E59C7CDB8}"/>
    <cellStyle name="_PLPT_PLANILHA_CÁLCULO_DÉFICIT_RESOLUÇÃO_294_2007_COELCE_Sem_Gov_Estado_pos_Rev2007_IRT_Planilha Básica_março2009_IRT_Planilha Básica_jan2010" xfId="3241" xr:uid="{1C8445C6-68AB-4EC1-BE73-A49994F8E49B}"/>
    <cellStyle name="_PLPT_PLANILHA_CÁLCULO_DÉFICIT_RESOLUÇÃO_294_2007_COELCE_Sem_Gov_Estado_pos_Rev2007_IRT_Planilha Básica_março2009_IRT_Planilha Básica_mar2010d" xfId="474" xr:uid="{8A8028BE-6FB1-4E94-9E15-65A7FABD9E79}"/>
    <cellStyle name="_PLPT_PLANILHA_CÁLCULO_DÉFICIT_RESOLUÇÃO_294_2007_COELCE_Sem_Gov_Estado_pos_Rev2007_IRT_Planilha Básica_março2009_IRT_Planilha Básica_mar2010d 2" xfId="1386" xr:uid="{BFEC71BB-6B4B-470F-A79C-3CEFB048B85E}"/>
    <cellStyle name="_PLPT_PLANILHA_CÁLCULO_DÉFICIT_RESOLUÇÃO_294_2007_COELCE_Sem_Gov_Estado_pos_Rev2007_IRT_Planilha Básica_março2009_IRT_Planilha Básica_NOVA METODOLOGIA" xfId="3242" xr:uid="{2BFC6A9F-AB0E-44DC-8D62-F7B3D6E5DFB4}"/>
    <cellStyle name="_PLPT_PLANILHA_CÁLCULO_DÉFICIT_RESOLUÇÃO_294_2007_COELCE_Sem_Gov_Estado_pos_Rev2007_IRT_Planilha Básica_março2009_IRT_Santa 2010" xfId="3243" xr:uid="{EA01A692-6A7F-4AA6-8261-879DCA9C4317}"/>
    <cellStyle name="_PLPT_PLANILHA_CÁLCULO_DÉFICIT_RESOLUÇÃO_294_2007_COELCE_Sem_Gov_Estado_pos_Rev2007_IRT_Planilha Básica_março2009_IRT-cálculo" xfId="43228" xr:uid="{662DD9CA-19A7-43B0-8132-88D40EC3D343}"/>
    <cellStyle name="_PLPT_PLANILHA_CÁLCULO_DÉFICIT_RESOLUÇÃO_294_2007_COELCE_Sem_Gov_Estado_pos_Rev2007_IRT_Planilha Básica_março2009_Resultados_DEA_RND_QUAL_PERDAS" xfId="42546" xr:uid="{EF054998-5EF5-4796-BEEF-62694CEE8CE0}"/>
    <cellStyle name="_PLPT_PLANILHA_CÁLCULO_DÉFICIT_RESOLUÇÃO_294_2007_COELCE_Sem_Gov_Estado_pos_Rev2007_IRT_Planilha Básica_março2009_Simulação congelamento COELCE 2011 - Propostas 3ª Fase AP040 (20.12.2011)" xfId="3244" xr:uid="{874F469D-C980-4F96-8AD3-8B3288B2C918}"/>
    <cellStyle name="_PLPT_PLANILHA_CÁLCULO_DÉFICIT_RESOLUÇÃO_294_2007_COELCE_Sem_Gov_Estado_pos_Rev2007_IRT_Planilha Básica_março2009_teste ampla" xfId="475" xr:uid="{4768292D-D600-4730-8BB2-49FA3BF7C53B}"/>
    <cellStyle name="_PLPT_PLANILHA_CÁLCULO_DÉFICIT_RESOLUÇÃO_294_2007_COELCE_Sem_Gov_Estado_pos_Rev2007_IRT_Planilha Básica_março2009_teste ampla 2" xfId="1387" xr:uid="{9B223436-799A-4361-93E9-643586485FDD}"/>
    <cellStyle name="_PLPT_PLANILHA_CÁLCULO_DÉFICIT_RESOLUÇÃO_294_2007_COELCE_Sem_Gov_Estado_pos_Rev2007_IRT_Planilha Básica_março2009_teste ampla_Balanço" xfId="476" xr:uid="{AECDE024-9619-406F-BC80-10F83BD0D811}"/>
    <cellStyle name="_PLPT_PLANILHA_CÁLCULO_DÉFICIT_RESOLUÇÃO_294_2007_COELCE_Sem_Gov_Estado_pos_Rev2007_IRT_Planilha Básica_março2009_teste ampla_Balanço 2" xfId="1388" xr:uid="{DF0422BD-0EEB-4DD7-8D0D-1C3A01B0DA55}"/>
    <cellStyle name="_PLPT_PLANILHA_CÁLCULO_DÉFICIT_RESOLUÇÃO_294_2007_COELCE_Sem_Gov_Estado_pos_Rev2007_IRT_Planilha Básica_março2009_teste ampla_casulo 15" xfId="477" xr:uid="{34B7367F-FBA3-427F-82C7-C9D5D19349CF}"/>
    <cellStyle name="_PLPT_PLANILHA_CÁLCULO_DÉFICIT_RESOLUÇÃO_294_2007_COELCE_Sem_Gov_Estado_pos_Rev2007_IRT_Planilha Básica_março2009_teste ampla_casulo 5" xfId="478" xr:uid="{82BCEF7D-820E-4D2F-B8AD-7C3D6FEE1E10}"/>
    <cellStyle name="_PLPT_PLANILHA_CÁLCULO_DÉFICIT_RESOLUÇÃO_294_2007_COELCE_Sem_Gov_Estado_pos_Rev2007_IRT_Planilha Básica_março2009_teste ampla_casulo 5 2" xfId="1389" xr:uid="{FDF295BB-994E-4334-A762-89AA7619BDB5}"/>
    <cellStyle name="_PLPT_PLANILHA_CÁLCULO_DÉFICIT_RESOLUÇÃO_294_2007_COELCE_Sem_Gov_Estado_pos_Rev2007_IRT_Planilha Básica_março2009_teste ampla_casulo 5_Balanço" xfId="479" xr:uid="{239D597A-A9AF-4337-904E-0A47D5F34A91}"/>
    <cellStyle name="_PLPT_PLANILHA_CÁLCULO_DÉFICIT_RESOLUÇÃO_294_2007_COELCE_Sem_Gov_Estado_pos_Rev2007_IRT_Planilha Básica_março2009_teste ampla_casulo 5_casulo 15" xfId="480" xr:uid="{FB0C44DC-759B-4D27-AD4A-76B06B02A628}"/>
    <cellStyle name="_PLPT_PLANILHA_CÁLCULO_DÉFICIT_RESOLUÇÃO_294_2007_COELCE_Sem_Gov_Estado_pos_Rev2007_IRT_Planilha Básica_março2009_teste ampla_casulo 5_IRT EEB 2010" xfId="3245" xr:uid="{C82B221B-FD2C-4E17-A63D-91875758C965}"/>
    <cellStyle name="_PLPT_PLANILHA_CÁLCULO_DÉFICIT_RESOLUÇÃO_294_2007_COELCE_Sem_Gov_Estado_pos_Rev2007_IRT_Planilha Básica_março2009_teste ampla_IRT EEB 2010" xfId="3246" xr:uid="{B169707E-BD03-4F62-BB10-28E2DA351E34}"/>
    <cellStyle name="_PLPT_PLANILHA_CÁLCULO_DÉFICIT_RESOLUÇÃO_294_2007_COELCE_Sem_Gov_Estado_pos_Rev2007_IRT_Planilha Básica_NOVA METODOLOGIA" xfId="3247" xr:uid="{FD877A06-775D-43C4-9CAD-2D3066A0E663}"/>
    <cellStyle name="_PLPT_PLANILHA_CÁLCULO_DÉFICIT_RESOLUÇÃO_294_2007_COELCE_Sem_Gov_Estado_pos_Rev2007_IRT_Planilha Básica_out2009" xfId="481" xr:uid="{8507565C-917D-47FA-8819-6AFA2DA954BB}"/>
    <cellStyle name="_PLPT_PLANILHA_CÁLCULO_DÉFICIT_RESOLUÇÃO_294_2007_COELCE_Sem_Gov_Estado_pos_Rev2007_IRT_Planilha Básica_out2009 2" xfId="1390" xr:uid="{B26A5B4B-9B2B-4E52-AFB1-2F44F973E192}"/>
    <cellStyle name="_PLPT_PLANILHA_CÁLCULO_DÉFICIT_RESOLUÇÃO_294_2007_COELCE_Sem_Gov_Estado_pos_Rev2007_IRT_Planilha Básica_out2009_Balanço" xfId="482" xr:uid="{D52C0EDE-51EA-4F33-BB4E-8EFDFD2F5E4C}"/>
    <cellStyle name="_PLPT_PLANILHA_CÁLCULO_DÉFICIT_RESOLUÇÃO_294_2007_COELCE_Sem_Gov_Estado_pos_Rev2007_IRT_Planilha Básica_out2009_Balanço 2" xfId="1391" xr:uid="{96FB1CBB-BC5B-48D6-8363-AF82B3A35F81}"/>
    <cellStyle name="_PLPT_PLANILHA_CÁLCULO_DÉFICIT_RESOLUÇÃO_294_2007_COELCE_Sem_Gov_Estado_pos_Rev2007_IRT_Planilha Básica_out2009_casulo 15" xfId="483" xr:uid="{F5ED1005-C980-4EF7-B55A-5F826683B2B4}"/>
    <cellStyle name="_PLPT_PLANILHA_CÁLCULO_DÉFICIT_RESOLUÇÃO_294_2007_COELCE_Sem_Gov_Estado_pos_Rev2007_IRT_Planilha Básica_out2009_casulo 5" xfId="484" xr:uid="{EE974E03-F9F5-4B03-9E59-A37CCEA89F9F}"/>
    <cellStyle name="_PLPT_PLANILHA_CÁLCULO_DÉFICIT_RESOLUÇÃO_294_2007_COELCE_Sem_Gov_Estado_pos_Rev2007_IRT_Planilha Básica_out2009_casulo 5 2" xfId="1392" xr:uid="{0D2A7D4F-A49B-41D3-A536-4EB83292B1A5}"/>
    <cellStyle name="_PLPT_PLANILHA_CÁLCULO_DÉFICIT_RESOLUÇÃO_294_2007_COELCE_Sem_Gov_Estado_pos_Rev2007_IRT_Planilha Básica_out2009_casulo 5_Balanço" xfId="485" xr:uid="{5358C4A2-2D54-4EB4-A1F5-5B1C3753BA4F}"/>
    <cellStyle name="_PLPT_PLANILHA_CÁLCULO_DÉFICIT_RESOLUÇÃO_294_2007_COELCE_Sem_Gov_Estado_pos_Rev2007_IRT_Planilha Básica_out2009_casulo 5_casulo 15" xfId="486" xr:uid="{D94949CD-A3E6-496D-885B-262B179C26DA}"/>
    <cellStyle name="_PLPT_PLANILHA_CÁLCULO_DÉFICIT_RESOLUÇÃO_294_2007_COELCE_Sem_Gov_Estado_pos_Rev2007_IRT_Planilha Básica_out2009_casulo 5_IRT EEB 2010" xfId="3248" xr:uid="{B3DA066E-9B36-45BE-B306-2E75B03F57C8}"/>
    <cellStyle name="_PLPT_PLANILHA_CÁLCULO_DÉFICIT_RESOLUÇÃO_294_2007_COELCE_Sem_Gov_Estado_pos_Rev2007_IRT_Planilha Básica_out2009_IRT EEB 2010" xfId="3249" xr:uid="{B3A8CBFA-F3E9-474C-8DC6-9A6F2FCF8B58}"/>
    <cellStyle name="_PLPT_PLANILHA_CÁLCULO_DÉFICIT_RESOLUÇÃO_294_2007_COELCE_Sem_Gov_Estado_pos_Rev2007_IRT_Pleito" xfId="3250" xr:uid="{C36D6BA6-10CC-4891-BC4F-4AB2E7E1C46D}"/>
    <cellStyle name="_PLPT_PLANILHA_CÁLCULO_DÉFICIT_RESOLUÇÃO_294_2007_COELCE_Sem_Gov_Estado_pos_Rev2007_IRT_Pleito_IRT-cálculo" xfId="3251" xr:uid="{D6696311-394A-4E52-8738-03980D75DF52}"/>
    <cellStyle name="_PLPT_PLANILHA_CÁLCULO_DÉFICIT_RESOLUÇÃO_294_2007_COELCE_Sem_Gov_Estado_pos_Rev2007_IRT_Pleito_IRT-cálculo CAPA NEUTRALIDADE" xfId="3252" xr:uid="{FAF951A3-A5DD-41DA-8DB2-C12C895E6353}"/>
    <cellStyle name="_PLPT_PLANILHA_CÁLCULO_DÉFICIT_RESOLUÇÃO_294_2007_COELCE_Sem_Gov_Estado_pos_Rev2007_IRT_Revisão A-1" xfId="3253" xr:uid="{BABD4166-A774-4AC3-BB02-328DB5FA1FDE}"/>
    <cellStyle name="_PLPT_PLANILHA_CÁLCULO_DÉFICIT_RESOLUÇÃO_294_2007_COELCE_Sem_Gov_Estado_pos_Rev2007_IRT_Revisão A-1_IRT-cálculo" xfId="3254" xr:uid="{95DC321A-EC4C-4ED1-8DEB-DA6EBA6E5016}"/>
    <cellStyle name="_PLPT_PLANILHA_CÁLCULO_DÉFICIT_RESOLUÇÃO_294_2007_COELCE_Sem_Gov_Estado_pos_Rev2007_IRT_Revisão A-1_IRT-cálculo CAPA NEUTRALIDADE" xfId="3255" xr:uid="{B988CA88-F8A2-4DED-9F91-5BD34E71907D}"/>
    <cellStyle name="_PLPT_PLANILHA_CÁLCULO_DÉFICIT_RESOLUÇÃO_294_2007_COELCE_Sem_Gov_Estado_pos_Rev2007_IRT_SantaCruzpós IGPM" xfId="3256" xr:uid="{1D9EBC5A-7373-4390-90A7-2447B59F800C}"/>
    <cellStyle name="_PLPT_PLANILHA_CÁLCULO_DÉFICIT_RESOLUÇÃO_294_2007_COELCE_Sem_Gov_Estado_pos_Rev2007_IRT1" xfId="3257" xr:uid="{C4375AE6-CF48-48FE-A88F-3A1DF6B438D4}"/>
    <cellStyle name="_PLPT_PLANILHA_CÁLCULO_DÉFICIT_RESOLUÇÃO_294_2007_COELCE_Sem_Gov_Estado_pos_Rev2007_IRT1_IRT-cálculo" xfId="3258" xr:uid="{D086C8DF-D0C3-4CCF-B04D-1066199CD8A1}"/>
    <cellStyle name="_PLPT_PLANILHA_CÁLCULO_DÉFICIT_RESOLUÇÃO_294_2007_COELCE_Sem_Gov_Estado_pos_Rev2007_IRT1_IRT-cálculo CAPA NEUTRALIDADE" xfId="3259" xr:uid="{FCA55603-E771-4F26-B121-0B98994007E5}"/>
    <cellStyle name="_PLPT_PLANILHA_CÁLCULO_DÉFICIT_RESOLUÇÃO_294_2007_COELCE_Sem_Gov_Estado_pos_Rev2007_IRT-2010_COPEL_SOBRECONTRATAÇÃOeCVAenergia" xfId="1636" xr:uid="{0D8EAA85-8D2C-4FE8-A590-6773037AD23B}"/>
    <cellStyle name="_PLPT_PLANILHA_CÁLCULO_DÉFICIT_RESOLUÇÃO_294_2007_COELCE_Sem_Gov_Estado_pos_Rev2007_IRT-cálculo" xfId="3260" xr:uid="{4165ACE9-A600-4681-BF91-3C1A2D92BE21}"/>
    <cellStyle name="_PLPT_PLANILHA_CÁLCULO_DÉFICIT_RESOLUÇÃO_294_2007_COELCE_Sem_Gov_Estado_pos_Rev2007_IRT-cálculo CAPA NEUTRALIDADE" xfId="3261" xr:uid="{978FBD4C-2B39-4E4A-A63F-D54498D33AEA}"/>
    <cellStyle name="_PLPT_PLANILHA_CÁLCULO_DÉFICIT_RESOLUÇÃO_294_2007_COELCE_Sem_Gov_Estado_pos_Rev2007_Modelo IRT ANEELl_2010" xfId="43229" xr:uid="{8D28C877-DE09-4E4D-9916-568F222B7DE1}"/>
    <cellStyle name="_PLPT_PLANILHA_CÁLCULO_DÉFICIT_RESOLUÇÃO_294_2007_COELCE_Sem_Gov_Estado_pos_Rev2007_Pasta1" xfId="1637" xr:uid="{9D15CCEE-C884-4A7C-B07A-53955EF1A086}"/>
    <cellStyle name="_PLPT_PLANILHA_CÁLCULO_DÉFICIT_RESOLUÇÃO_294_2007_COELCE_Sem_Gov_Estado_pos_Rev2007_Pasta1 2" xfId="3262" xr:uid="{2052E050-70C2-4E90-9211-8469C905EF4F}"/>
    <cellStyle name="_PLPT_PLANILHA_CÁLCULO_DÉFICIT_RESOLUÇÃO_294_2007_COELCE_Sem_Gov_Estado_pos_Rev2007_Pasta1_atualização serviços taxados" xfId="43230" xr:uid="{E7E11855-D893-40FB-A208-C569398F7CFE}"/>
    <cellStyle name="_PLPT_PLANILHA_CÁLCULO_DÉFICIT_RESOLUÇÃO_294_2007_COELCE_Sem_Gov_Estado_pos_Rev2007_Pasta1_Financeiro Desconto na TUSD Consumidores Livres Reajuste 2010 - 03_03_2010" xfId="43231" xr:uid="{17BE43C9-F2A8-4108-BB05-53BC867A303D}"/>
    <cellStyle name="_PLPT_PLANILHA_CÁLCULO_DÉFICIT_RESOLUÇÃO_294_2007_COELCE_Sem_Gov_Estado_pos_Rev2007_Pasta1_Financeiro Desconto na TUSD Geradores Reajuste 2010 - 03_03_2010" xfId="43232" xr:uid="{3AA8891D-8E91-4EB2-AA3E-FE5538408F8A}"/>
    <cellStyle name="_PLPT_PLANILHA_CÁLCULO_DÉFICIT_RESOLUÇÃO_294_2007_COELCE_Sem_Gov_Estado_pos_Rev2007_Pasta1_Financeiro Subsídio Baixa Renda Reajuste 2010 - 03_03_2010" xfId="43233" xr:uid="{8D064E9B-E84A-4B8F-9343-5CA4E2ABC065}"/>
    <cellStyle name="_PLPT_PLANILHA_CÁLCULO_DÉFICIT_RESOLUÇÃO_294_2007_COELCE_Sem_Gov_Estado_pos_Rev2007_Pasta1_Financeiro Subsídio Rural Irrigante e Aquicultor Reajuste 2010 - 03_03_2010" xfId="43234" xr:uid="{3E836EA2-7E5F-4241-BF38-F7E72BAB046C}"/>
    <cellStyle name="_PLPT_PLANILHA_CÁLCULO_DÉFICIT_RESOLUÇÃO_294_2007_COELCE_Sem_Gov_Estado_pos_Rev2007_Pasta1_IRT-cálculo" xfId="3263" xr:uid="{598BECC3-E87F-4665-A827-626AD43F1314}"/>
    <cellStyle name="_PLPT_PLANILHA_CÁLCULO_DÉFICIT_RESOLUÇÃO_294_2007_COELCE_Sem_Gov_Estado_pos_Rev2007_Pasta1_IRT-cálculo CAPA NEUTRALIDADE" xfId="3264" xr:uid="{E56C1A7D-1DC1-4A96-A6A0-A57A4649E828}"/>
    <cellStyle name="_PLPT_PLANILHA_CÁLCULO_DÉFICIT_RESOLUÇÃO_294_2007_COELCE_Sem_Gov_Estado_pos_Rev2007_Pasta1_SOBRECONTRATAÇÃO E CVA" xfId="3265" xr:uid="{95064571-AB39-4293-9A92-9E2D748A30FD}"/>
    <cellStyle name="_PLPT_PLANILHA_CÁLCULO_DÉFICIT_RESOLUÇÃO_294_2007_COELCE_Sem_Gov_Estado_pos_Rev2007_Pasta2" xfId="487" xr:uid="{7F5C4FB5-E06D-4A91-9DFC-501BF8BE95FC}"/>
    <cellStyle name="_PLPT_PLANILHA_CÁLCULO_DÉFICIT_RESOLUÇÃO_294_2007_COELCE_Sem_Gov_Estado_pos_Rev2007_Pasta2 2" xfId="1393" xr:uid="{64F6309B-B3D6-4754-9030-08BFDC9F0588}"/>
    <cellStyle name="_PLPT_PLANILHA_CÁLCULO_DÉFICIT_RESOLUÇÃO_294_2007_COELCE_Sem_Gov_Estado_pos_Rev2007_Pasta2_02 IRT Bandeirante 2009" xfId="3266" xr:uid="{B6270A1C-A8AE-44F5-9D32-F46E417529F6}"/>
    <cellStyle name="_PLPT_PLANILHA_CÁLCULO_DÉFICIT_RESOLUÇÃO_294_2007_COELCE_Sem_Gov_Estado_pos_Rev2007_Pasta2_Balanço" xfId="488" xr:uid="{184A61B4-E803-46DA-8FA1-2AB60CD9E3BB}"/>
    <cellStyle name="_PLPT_PLANILHA_CÁLCULO_DÉFICIT_RESOLUÇÃO_294_2007_COELCE_Sem_Gov_Estado_pos_Rev2007_Pasta2_Balanço 2" xfId="1394" xr:uid="{943F8298-04B8-4858-8742-BA98CDBB8C9E}"/>
    <cellStyle name="_PLPT_PLANILHA_CÁLCULO_DÉFICIT_RESOLUÇÃO_294_2007_COELCE_Sem_Gov_Estado_pos_Rev2007_Pasta2_casulo 15" xfId="489" xr:uid="{6E10F8F5-1759-498D-80DE-B21BCE6DC375}"/>
    <cellStyle name="_PLPT_PLANILHA_CÁLCULO_DÉFICIT_RESOLUÇÃO_294_2007_COELCE_Sem_Gov_Estado_pos_Rev2007_Pasta2_casulo 5" xfId="490" xr:uid="{23037114-46B9-4873-8487-F1594248B7A8}"/>
    <cellStyle name="_PLPT_PLANILHA_CÁLCULO_DÉFICIT_RESOLUÇÃO_294_2007_COELCE_Sem_Gov_Estado_pos_Rev2007_Pasta2_casulo 5 2" xfId="1395" xr:uid="{177777DC-0735-49F5-88F2-C51006BF0AB9}"/>
    <cellStyle name="_PLPT_PLANILHA_CÁLCULO_DÉFICIT_RESOLUÇÃO_294_2007_COELCE_Sem_Gov_Estado_pos_Rev2007_Pasta2_casulo 5_Balanço" xfId="491" xr:uid="{561B56FF-02A8-4C47-B18F-6E1D99CE8119}"/>
    <cellStyle name="_PLPT_PLANILHA_CÁLCULO_DÉFICIT_RESOLUÇÃO_294_2007_COELCE_Sem_Gov_Estado_pos_Rev2007_Pasta2_casulo 5_casulo 15" xfId="492" xr:uid="{C3B3D1F0-DD67-4CDA-A0AD-770186C96A1E}"/>
    <cellStyle name="_PLPT_PLANILHA_CÁLCULO_DÉFICIT_RESOLUÇÃO_294_2007_COELCE_Sem_Gov_Estado_pos_Rev2007_Pasta2_casulo 5_IRT EEB 2010" xfId="3267" xr:uid="{DFC9D46E-4A48-4A37-8A4E-B51610AB97A5}"/>
    <cellStyle name="_PLPT_PLANILHA_CÁLCULO_DÉFICIT_RESOLUÇÃO_294_2007_COELCE_Sem_Gov_Estado_pos_Rev2007_Pasta2_IRT EEB 2010" xfId="3268" xr:uid="{53242DF9-7640-4837-8A26-F5B837D3D320}"/>
    <cellStyle name="_PLPT_PLANILHA_CÁLCULO_DÉFICIT_RESOLUÇÃO_294_2007_COELCE_Sem_Gov_Estado_pos_Rev2007_Pasta2_IRT Piratininga 2009" xfId="493" xr:uid="{937C190A-934F-4B09-90F2-F0828074D1B5}"/>
    <cellStyle name="_PLPT_PLANILHA_CÁLCULO_DÉFICIT_RESOLUÇÃO_294_2007_COELCE_Sem_Gov_Estado_pos_Rev2007_Pasta2_IRT Piratininga 2009 2" xfId="1396" xr:uid="{19FAAB21-F9C5-46AA-AA64-A7EA89D09380}"/>
    <cellStyle name="_PLPT_PLANILHA_CÁLCULO_DÉFICIT_RESOLUÇÃO_294_2007_COELCE_Sem_Gov_Estado_pos_Rev2007_Pasta2_IRT Piratininga 2009_Balanço" xfId="494" xr:uid="{2B180CDF-F7B9-43A9-A35F-80F30010DA19}"/>
    <cellStyle name="_PLPT_PLANILHA_CÁLCULO_DÉFICIT_RESOLUÇÃO_294_2007_COELCE_Sem_Gov_Estado_pos_Rev2007_Pasta2_IRT Piratininga 2009_casulo 15" xfId="495" xr:uid="{C741048B-B552-4832-8D6A-F15A54D0347A}"/>
    <cellStyle name="_PLPT_PLANILHA_CÁLCULO_DÉFICIT_RESOLUÇÃO_294_2007_COELCE_Sem_Gov_Estado_pos_Rev2007_Pasta2_IRT Piratininga 2009_IRT EEB 2010" xfId="3269" xr:uid="{CBD13134-FACE-4A42-9C00-550580F93669}"/>
    <cellStyle name="_PLPT_PLANILHA_CÁLCULO_DÉFICIT_RESOLUÇÃO_294_2007_COELCE_Sem_Gov_Estado_pos_Rev2007_Pasta2_IRT_EBB_mai2010d" xfId="3270" xr:uid="{9AE5A0FE-65D4-4FD1-9398-C5CE8E24FFC0}"/>
    <cellStyle name="_PLPT_PLANILHA_CÁLCULO_DÉFICIT_RESOLUÇÃO_294_2007_COELCE_Sem_Gov_Estado_pos_Rev2007_Pasta2_IRT_Planilha Básica_ CETRIL" xfId="496" xr:uid="{3FB93E40-5361-4860-BAF6-3B24CDE177DA}"/>
    <cellStyle name="_PLPT_PLANILHA_CÁLCULO_DÉFICIT_RESOLUÇÃO_294_2007_COELCE_Sem_Gov_Estado_pos_Rev2007_Pasta2_IRT_Planilha Básica_ CETRIL 2" xfId="1397" xr:uid="{54066875-29AF-497A-BD89-C479C65726D0}"/>
    <cellStyle name="_PLPT_PLANILHA_CÁLCULO_DÉFICIT_RESOLUÇÃO_294_2007_COELCE_Sem_Gov_Estado_pos_Rev2007_Pasta2_IRT_Planilha Básica_ CETRIL_Balanço" xfId="497" xr:uid="{34699C9A-E16C-45F6-A73C-3AE5EC00FE8C}"/>
    <cellStyle name="_PLPT_PLANILHA_CÁLCULO_DÉFICIT_RESOLUÇÃO_294_2007_COELCE_Sem_Gov_Estado_pos_Rev2007_Pasta2_IRT_Planilha Básica_ CETRIL_casulo 15" xfId="498" xr:uid="{7FEAA423-3891-47CE-AAED-44B0FE677F82}"/>
    <cellStyle name="_PLPT_PLANILHA_CÁLCULO_DÉFICIT_RESOLUÇÃO_294_2007_COELCE_Sem_Gov_Estado_pos_Rev2007_Pasta2_IRT_Planilha Básica_ CETRIL_IRT EEB 2010" xfId="3271" xr:uid="{32604FAD-0B66-4F93-B984-C80609C065B1}"/>
    <cellStyle name="_PLPT_PLANILHA_CÁLCULO_DÉFICIT_RESOLUÇÃO_294_2007_COELCE_Sem_Gov_Estado_pos_Rev2007_Pasta2_IRT_Planilha Básica_DIRETORIA" xfId="3272" xr:uid="{DA40E2FB-FA18-40C2-95DB-40E4496F0491}"/>
    <cellStyle name="_PLPT_PLANILHA_CÁLCULO_DÉFICIT_RESOLUÇÃO_294_2007_COELCE_Sem_Gov_Estado_pos_Rev2007_Pasta2_IRT_Planilha Básica_fev2010" xfId="3273" xr:uid="{A66AEEF3-8CE5-46DF-B764-F34EFD5A1C7C}"/>
    <cellStyle name="_PLPT_PLANILHA_CÁLCULO_DÉFICIT_RESOLUÇÃO_294_2007_COELCE_Sem_Gov_Estado_pos_Rev2007_Pasta2_IRT_Planilha Básica_fev2010a" xfId="499" xr:uid="{C120FABF-6326-4B69-AD8A-4D481A6DEA3B}"/>
    <cellStyle name="_PLPT_PLANILHA_CÁLCULO_DÉFICIT_RESOLUÇÃO_294_2007_COELCE_Sem_Gov_Estado_pos_Rev2007_Pasta2_IRT_Planilha Básica_fev2010a 2" xfId="1398" xr:uid="{A242512B-19CA-4F1C-BC9E-004D98BB00FC}"/>
    <cellStyle name="_PLPT_PLANILHA_CÁLCULO_DÉFICIT_RESOLUÇÃO_294_2007_COELCE_Sem_Gov_Estado_pos_Rev2007_Pasta2_IRT_Planilha Básica_fev2010a_Balanço" xfId="500" xr:uid="{DF1A99AF-0711-4080-AF4E-D283E12EBFFF}"/>
    <cellStyle name="_PLPT_PLANILHA_CÁLCULO_DÉFICIT_RESOLUÇÃO_294_2007_COELCE_Sem_Gov_Estado_pos_Rev2007_Pasta2_IRT_Planilha Básica_fev2010a_Balanço 2" xfId="1399" xr:uid="{50E9692D-C7DF-40AA-A20F-9BAB18F2C3BA}"/>
    <cellStyle name="_PLPT_PLANILHA_CÁLCULO_DÉFICIT_RESOLUÇÃO_294_2007_COELCE_Sem_Gov_Estado_pos_Rev2007_Pasta2_IRT_Planilha Básica_fev2010a_casulo 15" xfId="501" xr:uid="{61EC8193-D8FC-4946-BB2D-649F1B90082D}"/>
    <cellStyle name="_PLPT_PLANILHA_CÁLCULO_DÉFICIT_RESOLUÇÃO_294_2007_COELCE_Sem_Gov_Estado_pos_Rev2007_Pasta2_IRT_Planilha Básica_fev2010a_casulo 5" xfId="502" xr:uid="{5B3883FA-CEE9-4FEC-8BF6-049E02ACBB3E}"/>
    <cellStyle name="_PLPT_PLANILHA_CÁLCULO_DÉFICIT_RESOLUÇÃO_294_2007_COELCE_Sem_Gov_Estado_pos_Rev2007_Pasta2_IRT_Planilha Básica_fev2010a_casulo 5 2" xfId="1400" xr:uid="{29FE6947-CEFC-498A-B6C0-617364B4BAFA}"/>
    <cellStyle name="_PLPT_PLANILHA_CÁLCULO_DÉFICIT_RESOLUÇÃO_294_2007_COELCE_Sem_Gov_Estado_pos_Rev2007_Pasta2_IRT_Planilha Básica_fev2010a_casulo 5_Balanço" xfId="503" xr:uid="{27A80F6E-555D-4C61-80C1-306222DBFC0E}"/>
    <cellStyle name="_PLPT_PLANILHA_CÁLCULO_DÉFICIT_RESOLUÇÃO_294_2007_COELCE_Sem_Gov_Estado_pos_Rev2007_Pasta2_IRT_Planilha Básica_fev2010a_casulo 5_casulo 15" xfId="504" xr:uid="{BAB16646-7C73-4F55-953C-C9290C688E3E}"/>
    <cellStyle name="_PLPT_PLANILHA_CÁLCULO_DÉFICIT_RESOLUÇÃO_294_2007_COELCE_Sem_Gov_Estado_pos_Rev2007_Pasta2_IRT_Planilha Básica_fev2010a_casulo 5_IRT EEB 2010" xfId="3274" xr:uid="{FF0C2525-4D9D-44AE-80FC-F0198CE73E5F}"/>
    <cellStyle name="_PLPT_PLANILHA_CÁLCULO_DÉFICIT_RESOLUÇÃO_294_2007_COELCE_Sem_Gov_Estado_pos_Rev2007_Pasta2_IRT_Planilha Básica_fev2010a_IRT EEB 2010" xfId="3275" xr:uid="{4A05652E-6469-4A55-A39D-E2B416FEDDFC}"/>
    <cellStyle name="_PLPT_PLANILHA_CÁLCULO_DÉFICIT_RESOLUÇÃO_294_2007_COELCE_Sem_Gov_Estado_pos_Rev2007_Pasta2_IRT_Planilha Básica_jan2010" xfId="3276" xr:uid="{8C7B8CE0-1341-4E0F-AC98-37FA0803398D}"/>
    <cellStyle name="_PLPT_PLANILHA_CÁLCULO_DÉFICIT_RESOLUÇÃO_294_2007_COELCE_Sem_Gov_Estado_pos_Rev2007_Pasta2_IRT_Planilha Básica_mar2010b" xfId="3277" xr:uid="{33C7338F-4854-4CF4-AA8B-4BE551F14FC5}"/>
    <cellStyle name="_PLPT_PLANILHA_CÁLCULO_DÉFICIT_RESOLUÇÃO_294_2007_COELCE_Sem_Gov_Estado_pos_Rev2007_Pasta2_IRT_Planilha Básica_mar2010d" xfId="505" xr:uid="{EA90021E-F58E-447E-B3DE-553A35A17B92}"/>
    <cellStyle name="_PLPT_PLANILHA_CÁLCULO_DÉFICIT_RESOLUÇÃO_294_2007_COELCE_Sem_Gov_Estado_pos_Rev2007_Pasta2_IRT_Planilha Básica_mar2010d 2" xfId="1401" xr:uid="{4F0DCF5B-1292-4A9A-A6BA-29C7EFF2DC2A}"/>
    <cellStyle name="_PLPT_PLANILHA_CÁLCULO_DÉFICIT_RESOLUÇÃO_294_2007_COELCE_Sem_Gov_Estado_pos_Rev2007_Pasta2_IRT_Planilha Básica_NOVA METODOLOGIA" xfId="3278" xr:uid="{52B0D494-D36F-4611-9C44-B771C445A8CC}"/>
    <cellStyle name="_PLPT_PLANILHA_CÁLCULO_DÉFICIT_RESOLUÇÃO_294_2007_COELCE_Sem_Gov_Estado_pos_Rev2007_Pasta2_IRT_Santa 2010" xfId="3279" xr:uid="{305F9093-D617-432A-9F55-9A55124370B4}"/>
    <cellStyle name="_PLPT_PLANILHA_CÁLCULO_DÉFICIT_RESOLUÇÃO_294_2007_COELCE_Sem_Gov_Estado_pos_Rev2007_Pasta2_IRT-cálculo" xfId="3280" xr:uid="{2E713C52-9BA2-49EA-BCD7-CF6658DA0D13}"/>
    <cellStyle name="_PLPT_PLANILHA_CÁLCULO_DÉFICIT_RESOLUÇÃO_294_2007_COELCE_Sem_Gov_Estado_pos_Rev2007_Pasta2_IRT-cálculo CAPA NEUTRALIDADE" xfId="3281" xr:uid="{24CC33B8-F258-46B6-B274-B02C4A998B30}"/>
    <cellStyle name="_PLPT_PLANILHA_CÁLCULO_DÉFICIT_RESOLUÇÃO_294_2007_COELCE_Sem_Gov_Estado_pos_Rev2007_Pasta2_Resultados_DEA_RND_QUAL_PERDAS" xfId="42547" xr:uid="{E308831E-DF90-401A-A1CC-8133F447884B}"/>
    <cellStyle name="_PLPT_PLANILHA_CÁLCULO_DÉFICIT_RESOLUÇÃO_294_2007_COELCE_Sem_Gov_Estado_pos_Rev2007_Pasta2_teste ampla" xfId="506" xr:uid="{5CD3AFCA-3801-4906-8E71-D56D9D3BD189}"/>
    <cellStyle name="_PLPT_PLANILHA_CÁLCULO_DÉFICIT_RESOLUÇÃO_294_2007_COELCE_Sem_Gov_Estado_pos_Rev2007_Pasta2_teste ampla 2" xfId="1402" xr:uid="{7AECF98D-0192-415B-B947-408AD6BAE178}"/>
    <cellStyle name="_PLPT_PLANILHA_CÁLCULO_DÉFICIT_RESOLUÇÃO_294_2007_COELCE_Sem_Gov_Estado_pos_Rev2007_Pasta2_teste ampla_Balanço" xfId="507" xr:uid="{8A38972C-7AEF-4FE5-A169-DD1F8FCEEBE6}"/>
    <cellStyle name="_PLPT_PLANILHA_CÁLCULO_DÉFICIT_RESOLUÇÃO_294_2007_COELCE_Sem_Gov_Estado_pos_Rev2007_Pasta2_teste ampla_Balanço 2" xfId="1403" xr:uid="{09FAD33B-096A-489E-92C7-AB3406300527}"/>
    <cellStyle name="_PLPT_PLANILHA_CÁLCULO_DÉFICIT_RESOLUÇÃO_294_2007_COELCE_Sem_Gov_Estado_pos_Rev2007_Pasta2_teste ampla_casulo 15" xfId="508" xr:uid="{F7288432-0F66-4922-AC8A-21ED0F699549}"/>
    <cellStyle name="_PLPT_PLANILHA_CÁLCULO_DÉFICIT_RESOLUÇÃO_294_2007_COELCE_Sem_Gov_Estado_pos_Rev2007_Pasta2_teste ampla_casulo 5" xfId="509" xr:uid="{24041AD0-818C-42E7-9F96-8A98BF344A1D}"/>
    <cellStyle name="_PLPT_PLANILHA_CÁLCULO_DÉFICIT_RESOLUÇÃO_294_2007_COELCE_Sem_Gov_Estado_pos_Rev2007_Pasta2_teste ampla_casulo 5 2" xfId="1404" xr:uid="{F8401528-6FA6-46CC-9EBB-19CB16C8050D}"/>
    <cellStyle name="_PLPT_PLANILHA_CÁLCULO_DÉFICIT_RESOLUÇÃO_294_2007_COELCE_Sem_Gov_Estado_pos_Rev2007_Pasta2_teste ampla_casulo 5_Balanço" xfId="510" xr:uid="{26E0838F-56AD-441A-9D84-1321CE84DEDF}"/>
    <cellStyle name="_PLPT_PLANILHA_CÁLCULO_DÉFICIT_RESOLUÇÃO_294_2007_COELCE_Sem_Gov_Estado_pos_Rev2007_Pasta2_teste ampla_casulo 5_casulo 15" xfId="511" xr:uid="{8310D7B0-53AE-42C8-BB92-2ACC5472A7BE}"/>
    <cellStyle name="_PLPT_PLANILHA_CÁLCULO_DÉFICIT_RESOLUÇÃO_294_2007_COELCE_Sem_Gov_Estado_pos_Rev2007_Pasta2_teste ampla_casulo 5_IRT EEB 2010" xfId="3282" xr:uid="{70864F09-9CB0-4A9D-9B9E-BAB8E7F054A5}"/>
    <cellStyle name="_PLPT_PLANILHA_CÁLCULO_DÉFICIT_RESOLUÇÃO_294_2007_COELCE_Sem_Gov_Estado_pos_Rev2007_Pasta2_teste ampla_IRT EEB 2010" xfId="3283" xr:uid="{5CD37212-E0B1-4AD3-8185-805FBD55472B}"/>
    <cellStyle name="_PLPT_PLANILHA_CÁLCULO_DÉFICIT_RESOLUÇÃO_294_2007_COELCE_Sem_Gov_Estado_pos_Rev2007_Pleito_IRT_ESE_2010_Envio_ANEEL_Final_atualizado_05_04" xfId="3284" xr:uid="{EAA5744A-AE91-4B71-BD86-A455AB4C31C0}"/>
    <cellStyle name="_PLPT_PLANILHA_CÁLCULO_DÉFICIT_RESOLUÇÃO_294_2007_COELCE_Sem_Gov_Estado_pos_Rev2007_Resultados_DEA_RND_QUAL_PERDAS" xfId="42548" xr:uid="{F1FC149C-D4C1-4A04-871D-A531224B9A99}"/>
    <cellStyle name="_PLPT_PLANILHA_CÁLCULO_DÉFICIT_RESOLUÇÃO_294_2007_COELCE_Sem_Gov_Estado_pos_Rev2007_sobrecontratação 2009 v2" xfId="43235" xr:uid="{FCF9D5C9-3DCA-4FE7-A332-52E4617D2B1E}"/>
    <cellStyle name="_PLPT_PLANILHA_CÁLCULO_DÉFICIT_RESOLUÇÃO_294_2007_COELCE_Sem_Gov_Estado_pos_Rev2007_SOBRECONTRATAÇÃO E CVA Energisa Paraíba" xfId="3285" xr:uid="{4732DD43-65ED-4388-B87F-180734F5CBE2}"/>
    <cellStyle name="_PLPT_PLANILHA_CÁLCULO_DÉFICIT_RESOLUÇÃO_294_2007_COELCE_Sem_Gov_Estado_pos_Rev2007_SOBRECONTRATAÇÃO EPB 2010" xfId="3286" xr:uid="{6752D252-AD68-4968-9695-56D95FD16772}"/>
    <cellStyle name="_PLPT_PLANILHA_CÁLCULO_DÉFICIT_RESOLUÇÃO_294_2007_COELCE_Sem_Gov_Estado_pos_Rev2007_Sobrecontratação_e_CVA_Energia" xfId="3287" xr:uid="{57840549-DFD1-4775-B883-891B33155E2F}"/>
    <cellStyle name="_PLPT_PLANILHA_CÁLCULO_DÉFICIT_RESOLUÇÃO_294_2007_COELCE_Sem_Gov_Estado_pos_Rev2007_Sobrecontratação-CVAenergia_COSERN_IRT-2010_nova" xfId="1638" xr:uid="{31340E15-AC25-4DEB-8F1A-C8900C617DBD}"/>
    <cellStyle name="_PLPT_PLANILHA_CÁLCULO_DÉFICIT_RESOLUÇÃO_294_2007_COELCE_Sem_Gov_Estado_pos_Rev2007_Subsídios para análise da SRE" xfId="512" xr:uid="{7AF2D0D5-3A8D-4625-B801-DE4CA3EDD5FA}"/>
    <cellStyle name="_PLPT_PLANILHA_CÁLCULO_DÉFICIT_RESOLUÇÃO_294_2007_COELCE_Sem_Gov_Estado_pos_Rev2007_Subsídios para análise da SRE 2" xfId="1405" xr:uid="{110C5044-2D03-4506-9AA4-D985F237EB3C}"/>
    <cellStyle name="_PLPT_PLANILHA_CÁLCULO_DÉFICIT_RESOLUÇÃO_294_2007_COELCE_Sem_Gov_Estado_pos_Rev2007_Subsídios para análise da SRE_02 IRT Bandeirante 2009" xfId="3288" xr:uid="{3D44D3EB-3DAB-4298-B3C4-A379FBA1EB7C}"/>
    <cellStyle name="_PLPT_PLANILHA_CÁLCULO_DÉFICIT_RESOLUÇÃO_294_2007_COELCE_Sem_Gov_Estado_pos_Rev2007_Subsídios para análise da SRE_1" xfId="3289" xr:uid="{36436FF5-544E-4AE5-A4FF-E6F4C070B1D5}"/>
    <cellStyle name="_PLPT_PLANILHA_CÁLCULO_DÉFICIT_RESOLUÇÃO_294_2007_COELCE_Sem_Gov_Estado_pos_Rev2007_Subsídios para análise da SRE_Balanço" xfId="513" xr:uid="{B5B54750-518E-4A05-8CDB-0DDF52526301}"/>
    <cellStyle name="_PLPT_PLANILHA_CÁLCULO_DÉFICIT_RESOLUÇÃO_294_2007_COELCE_Sem_Gov_Estado_pos_Rev2007_Subsídios para análise da SRE_Balanço 2" xfId="1406" xr:uid="{FB63975E-9BCB-42AA-A4AD-5E1EC208BCA2}"/>
    <cellStyle name="_PLPT_PLANILHA_CÁLCULO_DÉFICIT_RESOLUÇÃO_294_2007_COELCE_Sem_Gov_Estado_pos_Rev2007_Subsídios para análise da SRE_casulo 15" xfId="514" xr:uid="{29DF4C12-9290-4CE0-B932-A484B484E57E}"/>
    <cellStyle name="_PLPT_PLANILHA_CÁLCULO_DÉFICIT_RESOLUÇÃO_294_2007_COELCE_Sem_Gov_Estado_pos_Rev2007_Subsídios para análise da SRE_casulo 5" xfId="515" xr:uid="{3E1355F3-7AE7-4A72-9C1E-46FAE7294AC8}"/>
    <cellStyle name="_PLPT_PLANILHA_CÁLCULO_DÉFICIT_RESOLUÇÃO_294_2007_COELCE_Sem_Gov_Estado_pos_Rev2007_Subsídios para análise da SRE_casulo 5 2" xfId="1407" xr:uid="{9B940E2B-1BA6-4236-946E-FBD12FD7FD3F}"/>
    <cellStyle name="_PLPT_PLANILHA_CÁLCULO_DÉFICIT_RESOLUÇÃO_294_2007_COELCE_Sem_Gov_Estado_pos_Rev2007_Subsídios para análise da SRE_casulo 5_Balanço" xfId="516" xr:uid="{5598773E-91B0-4580-887D-3E9CA31B45CE}"/>
    <cellStyle name="_PLPT_PLANILHA_CÁLCULO_DÉFICIT_RESOLUÇÃO_294_2007_COELCE_Sem_Gov_Estado_pos_Rev2007_Subsídios para análise da SRE_casulo 5_casulo 15" xfId="517" xr:uid="{97470A64-453E-4158-A4B1-6CC010A582FD}"/>
    <cellStyle name="_PLPT_PLANILHA_CÁLCULO_DÉFICIT_RESOLUÇÃO_294_2007_COELCE_Sem_Gov_Estado_pos_Rev2007_Subsídios para análise da SRE_casulo 5_IRT EEB 2010" xfId="3290" xr:uid="{6E1E23EE-3649-42C9-BB69-210E9720EA84}"/>
    <cellStyle name="_PLPT_PLANILHA_CÁLCULO_DÉFICIT_RESOLUÇÃO_294_2007_COELCE_Sem_Gov_Estado_pos_Rev2007_Subsídios para análise da SRE_IRT EEB 2010" xfId="3291" xr:uid="{915E719E-7706-42F3-BE15-ABF20C3CC2FD}"/>
    <cellStyle name="_PLPT_PLANILHA_CÁLCULO_DÉFICIT_RESOLUÇÃO_294_2007_COELCE_Sem_Gov_Estado_pos_Rev2007_Subsídios para análise da SRE_IRT Piratininga 2009" xfId="518" xr:uid="{48E45F75-0434-4E2E-A5B6-70505C1E70AF}"/>
    <cellStyle name="_PLPT_PLANILHA_CÁLCULO_DÉFICIT_RESOLUÇÃO_294_2007_COELCE_Sem_Gov_Estado_pos_Rev2007_Subsídios para análise da SRE_IRT Piratininga 2009 2" xfId="1408" xr:uid="{1147E3D2-6C26-4319-B0EF-A13CBF6557FE}"/>
    <cellStyle name="_PLPT_PLANILHA_CÁLCULO_DÉFICIT_RESOLUÇÃO_294_2007_COELCE_Sem_Gov_Estado_pos_Rev2007_Subsídios para análise da SRE_IRT Piratininga 2009_Balanço" xfId="519" xr:uid="{6EE9D034-0D7B-4B96-ACAC-D6B6DDEDCB98}"/>
    <cellStyle name="_PLPT_PLANILHA_CÁLCULO_DÉFICIT_RESOLUÇÃO_294_2007_COELCE_Sem_Gov_Estado_pos_Rev2007_Subsídios para análise da SRE_IRT Piratininga 2009_casulo 15" xfId="520" xr:uid="{FD0E5A31-A702-4956-B875-6D514BBE153F}"/>
    <cellStyle name="_PLPT_PLANILHA_CÁLCULO_DÉFICIT_RESOLUÇÃO_294_2007_COELCE_Sem_Gov_Estado_pos_Rev2007_Subsídios para análise da SRE_IRT Piratininga 2009_IRT EEB 2010" xfId="3292" xr:uid="{D38FAEFE-0E5E-494D-8447-FF9F12C77700}"/>
    <cellStyle name="_PLPT_PLANILHA_CÁLCULO_DÉFICIT_RESOLUÇÃO_294_2007_COELCE_Sem_Gov_Estado_pos_Rev2007_Subsídios para análise da SRE_IRT_EBB_mai2010d" xfId="3293" xr:uid="{3D7CFC12-C475-4D21-8A91-26717A9B4D5C}"/>
    <cellStyle name="_PLPT_PLANILHA_CÁLCULO_DÉFICIT_RESOLUÇÃO_294_2007_COELCE_Sem_Gov_Estado_pos_Rev2007_Subsídios para análise da SRE_IRT_Planilha Básica_ CETRIL" xfId="521" xr:uid="{F56389B1-7A87-4269-BDE0-D259C4725FA1}"/>
    <cellStyle name="_PLPT_PLANILHA_CÁLCULO_DÉFICIT_RESOLUÇÃO_294_2007_COELCE_Sem_Gov_Estado_pos_Rev2007_Subsídios para análise da SRE_IRT_Planilha Básica_ CETRIL 2" xfId="1409" xr:uid="{DB69A0C9-5A95-4277-B7F7-F49DD2DE698B}"/>
    <cellStyle name="_PLPT_PLANILHA_CÁLCULO_DÉFICIT_RESOLUÇÃO_294_2007_COELCE_Sem_Gov_Estado_pos_Rev2007_Subsídios para análise da SRE_IRT_Planilha Básica_ CETRIL_Balanço" xfId="522" xr:uid="{7D8373B5-1B5E-4384-9C04-78F1CD406A60}"/>
    <cellStyle name="_PLPT_PLANILHA_CÁLCULO_DÉFICIT_RESOLUÇÃO_294_2007_COELCE_Sem_Gov_Estado_pos_Rev2007_Subsídios para análise da SRE_IRT_Planilha Básica_ CETRIL_casulo 15" xfId="523" xr:uid="{93586388-777F-4129-8CD3-DD1155B343B0}"/>
    <cellStyle name="_PLPT_PLANILHA_CÁLCULO_DÉFICIT_RESOLUÇÃO_294_2007_COELCE_Sem_Gov_Estado_pos_Rev2007_Subsídios para análise da SRE_IRT_Planilha Básica_ CETRIL_IRT EEB 2010" xfId="3294" xr:uid="{C0E21BD7-9B8F-4D94-B7B1-E38427A4D45E}"/>
    <cellStyle name="_PLPT_PLANILHA_CÁLCULO_DÉFICIT_RESOLUÇÃO_294_2007_COELCE_Sem_Gov_Estado_pos_Rev2007_Subsídios para análise da SRE_IRT_Planilha Básica_DIRETORIA" xfId="3295" xr:uid="{47C257D7-1056-4F9F-BEF2-090BC093C0B3}"/>
    <cellStyle name="_PLPT_PLANILHA_CÁLCULO_DÉFICIT_RESOLUÇÃO_294_2007_COELCE_Sem_Gov_Estado_pos_Rev2007_Subsídios para análise da SRE_IRT_Planilha Básica_fev2010" xfId="3296" xr:uid="{45C5F409-863B-4113-9709-7FFF345D2E0D}"/>
    <cellStyle name="_PLPT_PLANILHA_CÁLCULO_DÉFICIT_RESOLUÇÃO_294_2007_COELCE_Sem_Gov_Estado_pos_Rev2007_Subsídios para análise da SRE_IRT_Planilha Básica_fev2010a" xfId="524" xr:uid="{A401561A-EE7C-4C2A-9F4F-BD26FD0B0F47}"/>
    <cellStyle name="_PLPT_PLANILHA_CÁLCULO_DÉFICIT_RESOLUÇÃO_294_2007_COELCE_Sem_Gov_Estado_pos_Rev2007_Subsídios para análise da SRE_IRT_Planilha Básica_fev2010a 2" xfId="1410" xr:uid="{CE801BFC-9E11-4790-B0F8-1966B5B0D2A8}"/>
    <cellStyle name="_PLPT_PLANILHA_CÁLCULO_DÉFICIT_RESOLUÇÃO_294_2007_COELCE_Sem_Gov_Estado_pos_Rev2007_Subsídios para análise da SRE_IRT_Planilha Básica_fev2010a_Balanço" xfId="525" xr:uid="{C7419017-9FFA-4A9F-A2A7-13B9EBC9B16F}"/>
    <cellStyle name="_PLPT_PLANILHA_CÁLCULO_DÉFICIT_RESOLUÇÃO_294_2007_COELCE_Sem_Gov_Estado_pos_Rev2007_Subsídios para análise da SRE_IRT_Planilha Básica_fev2010a_Balanço 2" xfId="1411" xr:uid="{7444E97F-B17E-4087-A2E5-78F923CF1C18}"/>
    <cellStyle name="_PLPT_PLANILHA_CÁLCULO_DÉFICIT_RESOLUÇÃO_294_2007_COELCE_Sem_Gov_Estado_pos_Rev2007_Subsídios para análise da SRE_IRT_Planilha Básica_fev2010a_casulo 15" xfId="526" xr:uid="{A017B8DB-A5F5-4424-B1DE-6F0B349F3587}"/>
    <cellStyle name="_PLPT_PLANILHA_CÁLCULO_DÉFICIT_RESOLUÇÃO_294_2007_COELCE_Sem_Gov_Estado_pos_Rev2007_Subsídios para análise da SRE_IRT_Planilha Básica_fev2010a_casulo 5" xfId="527" xr:uid="{52927953-B2C0-4516-A185-F632CA774FC8}"/>
    <cellStyle name="_PLPT_PLANILHA_CÁLCULO_DÉFICIT_RESOLUÇÃO_294_2007_COELCE_Sem_Gov_Estado_pos_Rev2007_Subsídios para análise da SRE_IRT_Planilha Básica_fev2010a_casulo 5 2" xfId="1412" xr:uid="{34951526-3A73-46C2-A728-E700A39F7663}"/>
    <cellStyle name="_PLPT_PLANILHA_CÁLCULO_DÉFICIT_RESOLUÇÃO_294_2007_COELCE_Sem_Gov_Estado_pos_Rev2007_Subsídios para análise da SRE_IRT_Planilha Básica_fev2010a_casulo 5_Balanço" xfId="528" xr:uid="{A16E4822-5E64-409D-8753-567EC24D8F3B}"/>
    <cellStyle name="_PLPT_PLANILHA_CÁLCULO_DÉFICIT_RESOLUÇÃO_294_2007_COELCE_Sem_Gov_Estado_pos_Rev2007_Subsídios para análise da SRE_IRT_Planilha Básica_fev2010a_casulo 5_casulo 15" xfId="529" xr:uid="{39B86663-11BA-4950-8742-8014435FFD53}"/>
    <cellStyle name="_PLPT_PLANILHA_CÁLCULO_DÉFICIT_RESOLUÇÃO_294_2007_COELCE_Sem_Gov_Estado_pos_Rev2007_Subsídios para análise da SRE_IRT_Planilha Básica_fev2010a_casulo 5_IRT EEB 2010" xfId="3297" xr:uid="{EC5D0EDC-25E8-428A-B4A3-08279DFE10E5}"/>
    <cellStyle name="_PLPT_PLANILHA_CÁLCULO_DÉFICIT_RESOLUÇÃO_294_2007_COELCE_Sem_Gov_Estado_pos_Rev2007_Subsídios para análise da SRE_IRT_Planilha Básica_fev2010a_IRT EEB 2010" xfId="3298" xr:uid="{8B436CDB-0A91-4C4A-A1B5-E2AF3994785E}"/>
    <cellStyle name="_PLPT_PLANILHA_CÁLCULO_DÉFICIT_RESOLUÇÃO_294_2007_COELCE_Sem_Gov_Estado_pos_Rev2007_Subsídios para análise da SRE_IRT_Planilha Básica_jan2010" xfId="3299" xr:uid="{025CD7D3-E0D9-49FD-A8C4-33920C6EBDD0}"/>
    <cellStyle name="_PLPT_PLANILHA_CÁLCULO_DÉFICIT_RESOLUÇÃO_294_2007_COELCE_Sem_Gov_Estado_pos_Rev2007_Subsídios para análise da SRE_IRT_Planilha Básica_mar2010b" xfId="3300" xr:uid="{88B4159B-174B-4DAD-8155-F1DCF046225A}"/>
    <cellStyle name="_PLPT_PLANILHA_CÁLCULO_DÉFICIT_RESOLUÇÃO_294_2007_COELCE_Sem_Gov_Estado_pos_Rev2007_Subsídios para análise da SRE_IRT_Planilha Básica_mar2010d" xfId="530" xr:uid="{0DDF3344-594D-480F-A7E4-3445AF02F83D}"/>
    <cellStyle name="_PLPT_PLANILHA_CÁLCULO_DÉFICIT_RESOLUÇÃO_294_2007_COELCE_Sem_Gov_Estado_pos_Rev2007_Subsídios para análise da SRE_IRT_Planilha Básica_mar2010d 2" xfId="1413" xr:uid="{4B381FE4-339F-489B-8CBE-445515C39731}"/>
    <cellStyle name="_PLPT_PLANILHA_CÁLCULO_DÉFICIT_RESOLUÇÃO_294_2007_COELCE_Sem_Gov_Estado_pos_Rev2007_Subsídios para análise da SRE_IRT_Planilha Básica_NOVA METODOLOGIA" xfId="3301" xr:uid="{4E748111-5C3A-49B0-9297-B8504181F3A5}"/>
    <cellStyle name="_PLPT_PLANILHA_CÁLCULO_DÉFICIT_RESOLUÇÃO_294_2007_COELCE_Sem_Gov_Estado_pos_Rev2007_Subsídios para análise da SRE_IRT_Santa 2010" xfId="3302" xr:uid="{C53F453F-9B20-451F-993E-FB90B685887F}"/>
    <cellStyle name="_PLPT_PLANILHA_CÁLCULO_DÉFICIT_RESOLUÇÃO_294_2007_COELCE_Sem_Gov_Estado_pos_Rev2007_Subsídios para análise da SRE_IRT-cálculo" xfId="3303" xr:uid="{A5BC12AD-96D5-4F07-8E5E-BFABFFAB99C0}"/>
    <cellStyle name="_PLPT_PLANILHA_CÁLCULO_DÉFICIT_RESOLUÇÃO_294_2007_COELCE_Sem_Gov_Estado_pos_Rev2007_Subsídios para análise da SRE_IRT-cálculo CAPA NEUTRALIDADE" xfId="3304" xr:uid="{868169F2-8237-4EE3-ADBE-908EB257FF09}"/>
    <cellStyle name="_PLPT_PLANILHA_CÁLCULO_DÉFICIT_RESOLUÇÃO_294_2007_COELCE_Sem_Gov_Estado_pos_Rev2007_Subsídios para análise da SRE_Resultados_DEA_RND_QUAL_PERDAS" xfId="42549" xr:uid="{1A5FD2CD-6586-457E-87F5-CCB95AF52483}"/>
    <cellStyle name="_PLPT_PLANILHA_CÁLCULO_DÉFICIT_RESOLUÇÃO_294_2007_COELCE_Sem_Gov_Estado_pos_Rev2007_Subsídios para análise da SRE_teste ampla" xfId="531" xr:uid="{C8651D23-B2BC-4496-9533-034D2455E259}"/>
    <cellStyle name="_PLPT_PLANILHA_CÁLCULO_DÉFICIT_RESOLUÇÃO_294_2007_COELCE_Sem_Gov_Estado_pos_Rev2007_Subsídios para análise da SRE_teste ampla 2" xfId="1414" xr:uid="{BBD215EE-1E34-44AC-B2C0-3C2CAEBF6D43}"/>
    <cellStyle name="_PLPT_PLANILHA_CÁLCULO_DÉFICIT_RESOLUÇÃO_294_2007_COELCE_Sem_Gov_Estado_pos_Rev2007_Subsídios para análise da SRE_teste ampla_Balanço" xfId="532" xr:uid="{6D60A027-B203-45EE-91B5-0400A51DA647}"/>
    <cellStyle name="_PLPT_PLANILHA_CÁLCULO_DÉFICIT_RESOLUÇÃO_294_2007_COELCE_Sem_Gov_Estado_pos_Rev2007_Subsídios para análise da SRE_teste ampla_Balanço 2" xfId="1415" xr:uid="{25168308-2017-4028-9FB1-F7F736827023}"/>
    <cellStyle name="_PLPT_PLANILHA_CÁLCULO_DÉFICIT_RESOLUÇÃO_294_2007_COELCE_Sem_Gov_Estado_pos_Rev2007_Subsídios para análise da SRE_teste ampla_casulo 15" xfId="533" xr:uid="{20D5FBEB-E572-4887-8C6E-0DB1EF26D603}"/>
    <cellStyle name="_PLPT_PLANILHA_CÁLCULO_DÉFICIT_RESOLUÇÃO_294_2007_COELCE_Sem_Gov_Estado_pos_Rev2007_Subsídios para análise da SRE_teste ampla_casulo 5" xfId="534" xr:uid="{FC431DA6-64CD-4CD2-B38A-EA88079012CD}"/>
    <cellStyle name="_PLPT_PLANILHA_CÁLCULO_DÉFICIT_RESOLUÇÃO_294_2007_COELCE_Sem_Gov_Estado_pos_Rev2007_Subsídios para análise da SRE_teste ampla_casulo 5 2" xfId="1416" xr:uid="{52B57662-4F0E-4213-8D59-4D1DA2FC6CF5}"/>
    <cellStyle name="_PLPT_PLANILHA_CÁLCULO_DÉFICIT_RESOLUÇÃO_294_2007_COELCE_Sem_Gov_Estado_pos_Rev2007_Subsídios para análise da SRE_teste ampla_casulo 5_Balanço" xfId="535" xr:uid="{5851E064-7F18-4A62-904C-431165F8E706}"/>
    <cellStyle name="_PLPT_PLANILHA_CÁLCULO_DÉFICIT_RESOLUÇÃO_294_2007_COELCE_Sem_Gov_Estado_pos_Rev2007_Subsídios para análise da SRE_teste ampla_casulo 5_casulo 15" xfId="536" xr:uid="{87C8BF3D-2095-42F3-8321-C426D24FCEE3}"/>
    <cellStyle name="_PLPT_PLANILHA_CÁLCULO_DÉFICIT_RESOLUÇÃO_294_2007_COELCE_Sem_Gov_Estado_pos_Rev2007_Subsídios para análise da SRE_teste ampla_casulo 5_IRT EEB 2010" xfId="3305" xr:uid="{5C0A8246-3DFB-481E-B478-ED42CCB4251A}"/>
    <cellStyle name="_PLPT_PLANILHA_CÁLCULO_DÉFICIT_RESOLUÇÃO_294_2007_COELCE_Sem_Gov_Estado_pos_Rev2007_Subsídios para análise da SRE_teste ampla_IRT EEB 2010" xfId="3306" xr:uid="{9737B85F-534A-4A07-8572-E8771F155E8E}"/>
    <cellStyle name="_PLPT_PLANILHA_CÁLCULO_DÉFICIT_RESOLUÇÃO_294_2007_COELCE_Sem_Gov_Estado_pos_Rev2007_SubsídiosAnáliseSRE_COSERN_IRT-2010" xfId="1639" xr:uid="{2820CC57-7FC0-42CC-A713-EF3A525F7727}"/>
    <cellStyle name="_PLPT_PLANILHA_CÁLCULO_DÉFICIT_RESOLUÇÃO_294_2007_COELCE_Sem_Gov_Estado_pos_Rev2007_teste ampla" xfId="537" xr:uid="{4B00E094-FA7A-428E-B2E0-03FE726AC8DE}"/>
    <cellStyle name="_PLPT_PLANILHA_CÁLCULO_DÉFICIT_RESOLUÇÃO_294_2007_COELCE_Sem_Gov_Estado_pos_Rev2007_teste ampla 2" xfId="1417" xr:uid="{1214FBFB-986F-4128-BDB7-7C4692CB907F}"/>
    <cellStyle name="_PLPT_PLANILHA_CÁLCULO_DÉFICIT_RESOLUÇÃO_294_2007_COELCE_Sem_Gov_Estado_pos_Rev2007_teste ampla_Balanço" xfId="538" xr:uid="{21095F52-8086-4074-A5A1-C25DD2BD333E}"/>
    <cellStyle name="_PLPT_PLANILHA_CÁLCULO_DÉFICIT_RESOLUÇÃO_294_2007_COELCE_Sem_Gov_Estado_pos_Rev2007_teste ampla_Balanço 2" xfId="1418" xr:uid="{BF755182-C40A-41A1-B0C7-4F6EAA04F2B8}"/>
    <cellStyle name="_PLPT_PLANILHA_CÁLCULO_DÉFICIT_RESOLUÇÃO_294_2007_COELCE_Sem_Gov_Estado_pos_Rev2007_teste ampla_casulo 15" xfId="539" xr:uid="{8E6C38F1-8B67-456F-9373-3030B1602808}"/>
    <cellStyle name="_PLPT_PLANILHA_CÁLCULO_DÉFICIT_RESOLUÇÃO_294_2007_COELCE_Sem_Gov_Estado_pos_Rev2007_teste ampla_casulo 5" xfId="540" xr:uid="{8191861A-20E5-4FA7-9498-7CE7523BF9E0}"/>
    <cellStyle name="_PLPT_PLANILHA_CÁLCULO_DÉFICIT_RESOLUÇÃO_294_2007_COELCE_Sem_Gov_Estado_pos_Rev2007_teste ampla_casulo 5 2" xfId="1419" xr:uid="{77E8F139-4DA0-417D-8153-DCF5436F174D}"/>
    <cellStyle name="_PLPT_PLANILHA_CÁLCULO_DÉFICIT_RESOLUÇÃO_294_2007_COELCE_Sem_Gov_Estado_pos_Rev2007_teste ampla_casulo 5_Balanço" xfId="541" xr:uid="{AA4E3F74-F1E5-44B7-A13F-64658C7AA7E2}"/>
    <cellStyle name="_PLPT_PLANILHA_CÁLCULO_DÉFICIT_RESOLUÇÃO_294_2007_COELCE_Sem_Gov_Estado_pos_Rev2007_teste ampla_casulo 5_casulo 15" xfId="542" xr:uid="{57368789-2F2B-48DE-992F-AF682E888153}"/>
    <cellStyle name="_PLPT_PLANILHA_CÁLCULO_DÉFICIT_RESOLUÇÃO_294_2007_COELCE_Sem_Gov_Estado_pos_Rev2007_teste ampla_casulo 5_IRT EEB 2010" xfId="3307" xr:uid="{18CF291A-D942-48F8-B833-44CC830E1ED8}"/>
    <cellStyle name="_PLPT_PLANILHA_CÁLCULO_DÉFICIT_RESOLUÇÃO_294_2007_COELCE_Sem_Gov_Estado_pos_Rev2007_teste ampla_IRT EEB 2010" xfId="3308" xr:uid="{B441D0D4-255A-4A06-A97C-2E9338BB24E5}"/>
    <cellStyle name="_PLPT_PLANILHA_CÁLCULO_DÉFICIT_RESOLUÇÃO_294_2007_COELCE_Sem_Gov_Estado-Ate_Rev2007" xfId="543" xr:uid="{5971B952-E502-41FD-8000-6BAA0BAC1E32}"/>
    <cellStyle name="_PLPT_PLANILHA_CÁLCULO_DÉFICIT_RESOLUÇÃO_294_2007_COELCE_Sem_Gov_Estado-Ate_Rev2007 2" xfId="1420" xr:uid="{7F90FFBF-C0C4-4A02-893F-A9FAE0AD41E5}"/>
    <cellStyle name="_PLPT_PLANILHA_CÁLCULO_DÉFICIT_RESOLUÇÃO_294_2007_COELCE_Sem_Gov_Estado-Ate_Rev2007 3" xfId="3309" xr:uid="{EB89F42F-CC56-4922-8CAA-43A09FBD7724}"/>
    <cellStyle name="_PLPT_PLANILHA_CÁLCULO_DÉFICIT_RESOLUÇÃO_294_2007_COELCE_Sem_Gov_Estado-Ate_Rev2007_02 IRT COSERN 2009" xfId="1640" xr:uid="{2EF67A82-7426-4119-A9D9-8F87048A0087}"/>
    <cellStyle name="_PLPT_PLANILHA_CÁLCULO_DÉFICIT_RESOLUÇÃO_294_2007_COELCE_Sem_Gov_Estado-Ate_Rev2007_2008.08.07 CELPA IRT2008 Homologado" xfId="3310" xr:uid="{CEC1399D-6E14-4A7F-B521-12FE76A7B56B}"/>
    <cellStyle name="_PLPT_PLANILHA_CÁLCULO_DÉFICIT_RESOLUÇÃO_294_2007_COELCE_Sem_Gov_Estado-Ate_Rev2007_Ajustes REAJUSTE 2008 ELETROPAULO" xfId="3311" xr:uid="{66889E90-4562-4527-B5E8-91E7CFE478DF}"/>
    <cellStyle name="_PLPT_PLANILHA_CÁLCULO_DÉFICIT_RESOLUÇÃO_294_2007_COELCE_Sem_Gov_Estado-Ate_Rev2007_Ajustes REAJUSTE 2008 ELETROPAULO_IRT-cálculo" xfId="3312" xr:uid="{FF48E357-749D-4930-B310-4F05DFFAB205}"/>
    <cellStyle name="_PLPT_PLANILHA_CÁLCULO_DÉFICIT_RESOLUÇÃO_294_2007_COELCE_Sem_Gov_Estado-Ate_Rev2007_Ajustes REAJUSTE 2008 ELETROPAULO_IRT-cálculo CAPA NEUTRALIDADE" xfId="3313" xr:uid="{50281B2B-1291-4171-97D2-8FEF28E83282}"/>
    <cellStyle name="_PLPT_PLANILHA_CÁLCULO_DÉFICIT_RESOLUÇÃO_294_2007_COELCE_Sem_Gov_Estado-Ate_Rev2007_Ajustes REVISÃO 2007 ELETROPAULO" xfId="3314" xr:uid="{580A694A-6F2F-4E41-8DC7-82136E1F580F}"/>
    <cellStyle name="_PLPT_PLANILHA_CÁLCULO_DÉFICIT_RESOLUÇÃO_294_2007_COELCE_Sem_Gov_Estado-Ate_Rev2007_Ajustes REVISÃO 2007 ELETROPAULO_IRT-cálculo" xfId="3315" xr:uid="{8361B79D-F517-4E69-808D-77914F3B0D47}"/>
    <cellStyle name="_PLPT_PLANILHA_CÁLCULO_DÉFICIT_RESOLUÇÃO_294_2007_COELCE_Sem_Gov_Estado-Ate_Rev2007_Ajustes REVISÃO 2007 ELETROPAULO_IRT-cálculo CAPA NEUTRALIDADE" xfId="3316" xr:uid="{DC8A989D-1011-4E56-BA1E-37014AC88DF8}"/>
    <cellStyle name="_PLPT_PLANILHA_CÁLCULO_DÉFICIT_RESOLUÇÃO_294_2007_COELCE_Sem_Gov_Estado-Ate_Rev2007_atualização serviços taxados" xfId="43236" xr:uid="{01B32888-8E21-4A5A-B273-0C0734CE8409}"/>
    <cellStyle name="_PLPT_PLANILHA_CÁLCULO_DÉFICIT_RESOLUÇÃO_294_2007_COELCE_Sem_Gov_Estado-Ate_Rev2007_Balanço" xfId="544" xr:uid="{096205A6-9F78-4A31-8117-12D7E183C15D}"/>
    <cellStyle name="_PLPT_PLANILHA_CÁLCULO_DÉFICIT_RESOLUÇÃO_294_2007_COELCE_Sem_Gov_Estado-Ate_Rev2007_Balanço 2" xfId="1421" xr:uid="{012B8648-829D-4CB1-A602-09FC312B2142}"/>
    <cellStyle name="_PLPT_PLANILHA_CÁLCULO_DÉFICIT_RESOLUÇÃO_294_2007_COELCE_Sem_Gov_Estado-Ate_Rev2007_Calculo_Subsidio_ELFSM_26_06_08_Modelo_ANEEL" xfId="3317" xr:uid="{DEB996F5-5559-4CC4-8D9A-AC31F86095EC}"/>
    <cellStyle name="_PLPT_PLANILHA_CÁLCULO_DÉFICIT_RESOLUÇÃO_294_2007_COELCE_Sem_Gov_Estado-Ate_Rev2007_Calculo_Subsidio_ELFSM_26_06_08_Modelo_ANEEL_IRT-cálculo" xfId="3318" xr:uid="{ACB36890-E5BA-45FD-996C-BB8E2CAF897A}"/>
    <cellStyle name="_PLPT_PLANILHA_CÁLCULO_DÉFICIT_RESOLUÇÃO_294_2007_COELCE_Sem_Gov_Estado-Ate_Rev2007_Calculo_Subsidio_ELFSM_26_06_08_Modelo_ANEEL_IRT-cálculo CAPA NEUTRALIDADE" xfId="3319" xr:uid="{7F648A42-A42C-40D8-850A-F8EBEEF8A221}"/>
    <cellStyle name="_PLPT_PLANILHA_CÁLCULO_DÉFICIT_RESOLUÇÃO_294_2007_COELCE_Sem_Gov_Estado-Ate_Rev2007_casulo 15" xfId="545" xr:uid="{06F9F1E9-6594-44F3-B9FF-7B1A7EFBE4D3}"/>
    <cellStyle name="_PLPT_PLANILHA_CÁLCULO_DÉFICIT_RESOLUÇÃO_294_2007_COELCE_Sem_Gov_Estado-Ate_Rev2007_casulo 5" xfId="546" xr:uid="{E8A0EFC0-A6B1-4689-B0CE-1D7BC3DF5CD0}"/>
    <cellStyle name="_PLPT_PLANILHA_CÁLCULO_DÉFICIT_RESOLUÇÃO_294_2007_COELCE_Sem_Gov_Estado-Ate_Rev2007_casulo 5 2" xfId="1422" xr:uid="{FB92F8B9-83C4-4974-9827-64EA54172AC9}"/>
    <cellStyle name="_PLPT_PLANILHA_CÁLCULO_DÉFICIT_RESOLUÇÃO_294_2007_COELCE_Sem_Gov_Estado-Ate_Rev2007_casulo 5_Balanço" xfId="547" xr:uid="{CEA5589F-868D-491B-99EF-A69D5F33B2CC}"/>
    <cellStyle name="_PLPT_PLANILHA_CÁLCULO_DÉFICIT_RESOLUÇÃO_294_2007_COELCE_Sem_Gov_Estado-Ate_Rev2007_casulo 5_casulo 15" xfId="548" xr:uid="{792F6190-B5D2-404B-B70D-5B7556C568B8}"/>
    <cellStyle name="_PLPT_PLANILHA_CÁLCULO_DÉFICIT_RESOLUÇÃO_294_2007_COELCE_Sem_Gov_Estado-Ate_Rev2007_casulo 5_IRT EEB 2010" xfId="3320" xr:uid="{2B562645-FDB8-4B60-8A11-E5EE0880C0DD}"/>
    <cellStyle name="_PLPT_PLANILHA_CÁLCULO_DÉFICIT_RESOLUÇÃO_294_2007_COELCE_Sem_Gov_Estado-Ate_Rev2007_COELCE - Balanço de Energia - Reajuste 2009 - 02 02 2009" xfId="43237" xr:uid="{5E804FE2-93DD-43D5-9348-B23C2C0164E6}"/>
    <cellStyle name="_PLPT_PLANILHA_CÁLCULO_DÉFICIT_RESOLUÇÃO_294_2007_COELCE_Sem_Gov_Estado-Ate_Rev2007_COELCE - Compensação CVA Ano Anterior" xfId="43238" xr:uid="{CA5AA639-C580-4E0A-9941-6ED359813261}"/>
    <cellStyle name="_PLPT_PLANILHA_CÁLCULO_DÉFICIT_RESOLUÇÃO_294_2007_COELCE_Sem_Gov_Estado-Ate_Rev2007_Compensação CVA Ano Anterior" xfId="43239" xr:uid="{1CBB7B2B-54DB-4EC6-8D8D-0EFA41BDABA3}"/>
    <cellStyle name="_PLPT_PLANILHA_CÁLCULO_DÉFICIT_RESOLUÇÃO_294_2007_COELCE_Sem_Gov_Estado-Ate_Rev2007_Cópia de IRT_CPFL_LESTE_PAULISTA(CPEE)_fev2009-COM_PREVISÃO_BR_da_Diretoria_pos_IGPM" xfId="549" xr:uid="{F81D846A-B802-482C-93A5-6D8012E6B4BA}"/>
    <cellStyle name="_PLPT_PLANILHA_CÁLCULO_DÉFICIT_RESOLUÇÃO_294_2007_COELCE_Sem_Gov_Estado-Ate_Rev2007_Cópia de IRT_CPFL_LESTE_PAULISTA(CPEE)_fev2009-COM_PREVISÃO_BR_da_Diretoria_pos_IGPM 2" xfId="1423" xr:uid="{E051BC6F-F814-4E29-9B74-CD802B7051F2}"/>
    <cellStyle name="_PLPT_PLANILHA_CÁLCULO_DÉFICIT_RESOLUÇÃO_294_2007_COELCE_Sem_Gov_Estado-Ate_Rev2007_Cópia de IRT_CPFL_LESTE_PAULISTA(CPEE)_fev2009-COM_PREVISÃO_BR_da_Diretoria_pos_IGPM_Balanço" xfId="550" xr:uid="{8397F0D2-00E7-4258-973D-00D205C44BAC}"/>
    <cellStyle name="_PLPT_PLANILHA_CÁLCULO_DÉFICIT_RESOLUÇÃO_294_2007_COELCE_Sem_Gov_Estado-Ate_Rev2007_Cópia de IRT_CPFL_LESTE_PAULISTA(CPEE)_fev2009-COM_PREVISÃO_BR_da_Diretoria_pos_IGPM_Balanço 2" xfId="1424" xr:uid="{628E1BE1-7EB8-4B68-9A6F-AF0E4401F19C}"/>
    <cellStyle name="_PLPT_PLANILHA_CÁLCULO_DÉFICIT_RESOLUÇÃO_294_2007_COELCE_Sem_Gov_Estado-Ate_Rev2007_Cópia de IRT_CPFL_LESTE_PAULISTA(CPEE)_fev2009-COM_PREVISÃO_BR_da_Diretoria_pos_IGPM_casulo 15" xfId="551" xr:uid="{D973F0C1-5EEB-4D28-9DE9-7B84652E1513}"/>
    <cellStyle name="_PLPT_PLANILHA_CÁLCULO_DÉFICIT_RESOLUÇÃO_294_2007_COELCE_Sem_Gov_Estado-Ate_Rev2007_Cópia de IRT_CPFL_LESTE_PAULISTA(CPEE)_fev2009-COM_PREVISÃO_BR_da_Diretoria_pos_IGPM_casulo 5" xfId="552" xr:uid="{2C9236EA-4876-4C92-B34B-4C25D1A52375}"/>
    <cellStyle name="_PLPT_PLANILHA_CÁLCULO_DÉFICIT_RESOLUÇÃO_294_2007_COELCE_Sem_Gov_Estado-Ate_Rev2007_Cópia de IRT_CPFL_LESTE_PAULISTA(CPEE)_fev2009-COM_PREVISÃO_BR_da_Diretoria_pos_IGPM_casulo 5 2" xfId="1425" xr:uid="{FB69CEF4-6BAB-4860-9FCB-2549549B310F}"/>
    <cellStyle name="_PLPT_PLANILHA_CÁLCULO_DÉFICIT_RESOLUÇÃO_294_2007_COELCE_Sem_Gov_Estado-Ate_Rev2007_Cópia de IRT_CPFL_LESTE_PAULISTA(CPEE)_fev2009-COM_PREVISÃO_BR_da_Diretoria_pos_IGPM_casulo 5_Balanço" xfId="553" xr:uid="{33FCD2FA-37BB-4344-81FB-0D23EA4357F9}"/>
    <cellStyle name="_PLPT_PLANILHA_CÁLCULO_DÉFICIT_RESOLUÇÃO_294_2007_COELCE_Sem_Gov_Estado-Ate_Rev2007_Cópia de IRT_CPFL_LESTE_PAULISTA(CPEE)_fev2009-COM_PREVISÃO_BR_da_Diretoria_pos_IGPM_casulo 5_casulo 15" xfId="554" xr:uid="{D0C92C53-CF22-4CE5-BDF9-442921CE9195}"/>
    <cellStyle name="_PLPT_PLANILHA_CÁLCULO_DÉFICIT_RESOLUÇÃO_294_2007_COELCE_Sem_Gov_Estado-Ate_Rev2007_Cópia de IRT_CPFL_LESTE_PAULISTA(CPEE)_fev2009-COM_PREVISÃO_BR_da_Diretoria_pos_IGPM_casulo 5_IRT EEB 2010" xfId="3321" xr:uid="{33248591-EDFC-4B3B-AE47-6D2B1D7134E3}"/>
    <cellStyle name="_PLPT_PLANILHA_CÁLCULO_DÉFICIT_RESOLUÇÃO_294_2007_COELCE_Sem_Gov_Estado-Ate_Rev2007_Cópia de IRT_CPFL_LESTE_PAULISTA(CPEE)_fev2009-COM_PREVISÃO_BR_da_Diretoria_pos_IGPM_IRT EEB 2010" xfId="3322" xr:uid="{10EF02D3-3118-49F0-A15C-781B3B53B8D6}"/>
    <cellStyle name="_PLPT_PLANILHA_CÁLCULO_DÉFICIT_RESOLUÇÃO_294_2007_COELCE_Sem_Gov_Estado-Ate_Rev2007_Exposição" xfId="3323" xr:uid="{A746DFD5-D4C9-46A7-A140-E63CDE94C370}"/>
    <cellStyle name="_PLPT_PLANILHA_CÁLCULO_DÉFICIT_RESOLUÇÃO_294_2007_COELCE_Sem_Gov_Estado-Ate_Rev2007_Exposição 2008" xfId="3324" xr:uid="{7D7B77A0-8CE2-43A7-85AE-C372BAD2178E}"/>
    <cellStyle name="_PLPT_PLANILHA_CÁLCULO_DÉFICIT_RESOLUÇÃO_294_2007_COELCE_Sem_Gov_Estado-Ate_Rev2007_Exposição_Agosto 1" xfId="3325" xr:uid="{CD4CD260-6058-4570-8C75-9C15482CAB23}"/>
    <cellStyle name="_PLPT_PLANILHA_CÁLCULO_DÉFICIT_RESOLUÇÃO_294_2007_COELCE_Sem_Gov_Estado-Ate_Rev2007_Financeiro Desconto na TUSD Consumidores Livres Reajuste 2010 - 03_03_2010" xfId="43240" xr:uid="{E64EB9E2-C8EC-477A-A442-DFE4BB3D5734}"/>
    <cellStyle name="_PLPT_PLANILHA_CÁLCULO_DÉFICIT_RESOLUÇÃO_294_2007_COELCE_Sem_Gov_Estado-Ate_Rev2007_Financeiro Desconto na TUSD Geradores Reajuste 2010 - 03_03_2010" xfId="43241" xr:uid="{A56E310B-2AF3-421A-9792-95C336B59C40}"/>
    <cellStyle name="_PLPT_PLANILHA_CÁLCULO_DÉFICIT_RESOLUÇÃO_294_2007_COELCE_Sem_Gov_Estado-Ate_Rev2007_Financeiro Subsídio Baixa Renda Reajuste 2010 - 03_03_2010" xfId="43242" xr:uid="{CABF843A-75C4-45C6-8A6E-1BDA250B53F0}"/>
    <cellStyle name="_PLPT_PLANILHA_CÁLCULO_DÉFICIT_RESOLUÇÃO_294_2007_COELCE_Sem_Gov_Estado-Ate_Rev2007_Financeiro Subsídio Rural Irrigante e Aquicultor Reajuste 2010 - 03_03_2010" xfId="43243" xr:uid="{F942C392-A854-489F-8023-81A77EDCDDBF}"/>
    <cellStyle name="_PLPT_PLANILHA_CÁLCULO_DÉFICIT_RESOLUÇÃO_294_2007_COELCE_Sem_Gov_Estado-Ate_Rev2007_IRT" xfId="3326" xr:uid="{F7E65A4F-92CB-48B8-9CE0-3F58468B28D3}"/>
    <cellStyle name="_PLPT_PLANILHA_CÁLCULO_DÉFICIT_RESOLUÇÃO_294_2007_COELCE_Sem_Gov_Estado-Ate_Rev2007_IRT EEB 2010" xfId="3327" xr:uid="{7AEF44DA-A4B4-4A76-B204-0221A9EAA2BF}"/>
    <cellStyle name="_PLPT_PLANILHA_CÁLCULO_DÉFICIT_RESOLUÇÃO_294_2007_COELCE_Sem_Gov_Estado-Ate_Rev2007_IRT Piratininga 2009" xfId="555" xr:uid="{A6AF91EC-1E8B-404F-BAA3-7B9608DE75B6}"/>
    <cellStyle name="_PLPT_PLANILHA_CÁLCULO_DÉFICIT_RESOLUÇÃO_294_2007_COELCE_Sem_Gov_Estado-Ate_Rev2007_IRT Piratininga 2009 2" xfId="1426" xr:uid="{16A74D17-9136-4197-86E2-05AE1D10DBCC}"/>
    <cellStyle name="_PLPT_PLANILHA_CÁLCULO_DÉFICIT_RESOLUÇÃO_294_2007_COELCE_Sem_Gov_Estado-Ate_Rev2007_IRT Piratininga 2009_Balanço" xfId="556" xr:uid="{3D3B569A-C3C9-4164-8B46-BC0BCCE1B6E8}"/>
    <cellStyle name="_PLPT_PLANILHA_CÁLCULO_DÉFICIT_RESOLUÇÃO_294_2007_COELCE_Sem_Gov_Estado-Ate_Rev2007_IRT Piratininga 2009_casulo 15" xfId="557" xr:uid="{E14CB90E-BB5B-4A97-BFEF-9E614BDEE08B}"/>
    <cellStyle name="_PLPT_PLANILHA_CÁLCULO_DÉFICIT_RESOLUÇÃO_294_2007_COELCE_Sem_Gov_Estado-Ate_Rev2007_IRT Piratininga 2009_IRT EEB 2010" xfId="3328" xr:uid="{EF8FAA09-C158-4026-81E0-4B79B2EC1F20}"/>
    <cellStyle name="_PLPT_PLANILHA_CÁLCULO_DÉFICIT_RESOLUÇÃO_294_2007_COELCE_Sem_Gov_Estado-Ate_Rev2007_IRT Reloaded" xfId="558" xr:uid="{AD0236DC-F92C-41D5-A55C-A9B0FA81700E}"/>
    <cellStyle name="_PLPT_PLANILHA_CÁLCULO_DÉFICIT_RESOLUÇÃO_294_2007_COELCE_Sem_Gov_Estado-Ate_Rev2007_IRT Reloaded 2" xfId="1427" xr:uid="{1B36B657-04F0-4DE6-9046-68B1B88681E7}"/>
    <cellStyle name="_PLPT_PLANILHA_CÁLCULO_DÉFICIT_RESOLUÇÃO_294_2007_COELCE_Sem_Gov_Estado-Ate_Rev2007_IRT Reloaded_Balanço" xfId="559" xr:uid="{441F2B27-8ADB-483B-AD61-AF59EB4B7226}"/>
    <cellStyle name="_PLPT_PLANILHA_CÁLCULO_DÉFICIT_RESOLUÇÃO_294_2007_COELCE_Sem_Gov_Estado-Ate_Rev2007_IRT Reloaded_Balanço 2" xfId="1428" xr:uid="{5DE80ABF-6041-45D1-BC08-F8607E48D734}"/>
    <cellStyle name="_PLPT_PLANILHA_CÁLCULO_DÉFICIT_RESOLUÇÃO_294_2007_COELCE_Sem_Gov_Estado-Ate_Rev2007_IRT Reloaded_casulo 15" xfId="560" xr:uid="{130FF701-CCF9-4192-99A7-C6EEF6F29EF9}"/>
    <cellStyle name="_PLPT_PLANILHA_CÁLCULO_DÉFICIT_RESOLUÇÃO_294_2007_COELCE_Sem_Gov_Estado-Ate_Rev2007_IRT Reloaded_casulo 5" xfId="561" xr:uid="{7B8EADF4-0127-40B4-9029-310A516F443B}"/>
    <cellStyle name="_PLPT_PLANILHA_CÁLCULO_DÉFICIT_RESOLUÇÃO_294_2007_COELCE_Sem_Gov_Estado-Ate_Rev2007_IRT Reloaded_casulo 5 2" xfId="1429" xr:uid="{B8623AB0-2485-42FA-A5E5-FF3CD3AD987E}"/>
    <cellStyle name="_PLPT_PLANILHA_CÁLCULO_DÉFICIT_RESOLUÇÃO_294_2007_COELCE_Sem_Gov_Estado-Ate_Rev2007_IRT Reloaded_casulo 5_Balanço" xfId="562" xr:uid="{F0A517AC-4C6F-4307-9634-DAEA0AE9A16B}"/>
    <cellStyle name="_PLPT_PLANILHA_CÁLCULO_DÉFICIT_RESOLUÇÃO_294_2007_COELCE_Sem_Gov_Estado-Ate_Rev2007_IRT Reloaded_casulo 5_casulo 15" xfId="563" xr:uid="{5196259B-73CF-4C81-A5BB-7407F87FF475}"/>
    <cellStyle name="_PLPT_PLANILHA_CÁLCULO_DÉFICIT_RESOLUÇÃO_294_2007_COELCE_Sem_Gov_Estado-Ate_Rev2007_IRT Reloaded_casulo 5_IRT EEB 2010" xfId="3329" xr:uid="{67D86589-3268-47B0-A1E4-079AEA03FC45}"/>
    <cellStyle name="_PLPT_PLANILHA_CÁLCULO_DÉFICIT_RESOLUÇÃO_294_2007_COELCE_Sem_Gov_Estado-Ate_Rev2007_IRT Reloaded_IRT EEB 2010" xfId="3330" xr:uid="{0BD765C1-DC01-4F4D-9D0A-247CE812A75D}"/>
    <cellStyle name="_PLPT_PLANILHA_CÁLCULO_DÉFICIT_RESOLUÇÃO_294_2007_COELCE_Sem_Gov_Estado-Ate_Rev2007_IRT_1" xfId="1641" xr:uid="{BCBEDB71-9966-4CA7-B870-62FCCD43F86A}"/>
    <cellStyle name="_PLPT_PLANILHA_CÁLCULO_DÉFICIT_RESOLUÇÃO_294_2007_COELCE_Sem_Gov_Estado-Ate_Rev2007_IRT_1 2" xfId="3331" xr:uid="{B04FF1A9-A09D-4A8D-9F7D-69BC6E1899F7}"/>
    <cellStyle name="_PLPT_PLANILHA_CÁLCULO_DÉFICIT_RESOLUÇÃO_294_2007_COELCE_Sem_Gov_Estado-Ate_Rev2007_IRT_1_atualização serviços taxados" xfId="43244" xr:uid="{08DB1F5D-2182-441B-BF84-BD695D11DC50}"/>
    <cellStyle name="_PLPT_PLANILHA_CÁLCULO_DÉFICIT_RESOLUÇÃO_294_2007_COELCE_Sem_Gov_Estado-Ate_Rev2007_IRT_1_Financeiro Desconto na TUSD Consumidores Livres Reajuste 2010 - 03_03_2010" xfId="43245" xr:uid="{52ECA0A8-BDEA-4CFF-BF6E-564EB9289116}"/>
    <cellStyle name="_PLPT_PLANILHA_CÁLCULO_DÉFICIT_RESOLUÇÃO_294_2007_COELCE_Sem_Gov_Estado-Ate_Rev2007_IRT_1_Financeiro Desconto na TUSD Geradores Reajuste 2010 - 03_03_2010" xfId="43246" xr:uid="{8A50F96A-B091-43D9-8C84-F8A1F7B45BD6}"/>
    <cellStyle name="_PLPT_PLANILHA_CÁLCULO_DÉFICIT_RESOLUÇÃO_294_2007_COELCE_Sem_Gov_Estado-Ate_Rev2007_IRT_1_Financeiro Subsídio Baixa Renda Reajuste 2010 - 03_03_2010" xfId="43247" xr:uid="{984153D8-E4C1-4D4F-AF41-F2242D028168}"/>
    <cellStyle name="_PLPT_PLANILHA_CÁLCULO_DÉFICIT_RESOLUÇÃO_294_2007_COELCE_Sem_Gov_Estado-Ate_Rev2007_IRT_1_Financeiro Subsídio Rural Irrigante e Aquicultor Reajuste 2010 - 03_03_2010" xfId="43248" xr:uid="{19A4D64E-982F-4714-A7B6-D3ACBAC7CEED}"/>
    <cellStyle name="_PLPT_PLANILHA_CÁLCULO_DÉFICIT_RESOLUÇÃO_294_2007_COELCE_Sem_Gov_Estado-Ate_Rev2007_IRT_1_IRT-cálculo" xfId="3332" xr:uid="{DE6371E0-7EEF-4082-B980-E85924C9E199}"/>
    <cellStyle name="_PLPT_PLANILHA_CÁLCULO_DÉFICIT_RESOLUÇÃO_294_2007_COELCE_Sem_Gov_Estado-Ate_Rev2007_IRT_1_IRT-cálculo CAPA NEUTRALIDADE" xfId="3333" xr:uid="{DEE41C83-EC6D-4559-8E1F-B350FDD8DC2A}"/>
    <cellStyle name="_PLPT_PLANILHA_CÁLCULO_DÉFICIT_RESOLUÇÃO_294_2007_COELCE_Sem_Gov_Estado-Ate_Rev2007_IRT_1_SOBRECONTRATAÇÃO E CVA" xfId="3334" xr:uid="{37EBA0C3-72DC-44B7-BF11-97CEACFAEA8E}"/>
    <cellStyle name="_PLPT_PLANILHA_CÁLCULO_DÉFICIT_RESOLUÇÃO_294_2007_COELCE_Sem_Gov_Estado-Ate_Rev2007_IRT_Bragantina_maio_2009" xfId="3335" xr:uid="{670E4E4C-2055-4535-A3EE-9C34FE56DA78}"/>
    <cellStyle name="_PLPT_PLANILHA_CÁLCULO_DÉFICIT_RESOLUÇÃO_294_2007_COELCE_Sem_Gov_Estado-Ate_Rev2007_IRT_CEMAT_2009" xfId="3336" xr:uid="{6460D544-7D44-47D5-8A5D-9641E4D84D8F}"/>
    <cellStyle name="_PLPT_PLANILHA_CÁLCULO_DÉFICIT_RESOLUÇÃO_294_2007_COELCE_Sem_Gov_Estado-Ate_Rev2007_IRT_COELCE_abr2008" xfId="1642" xr:uid="{55B97D96-225B-4B11-9688-6F0AFD44FF37}"/>
    <cellStyle name="_PLPT_PLANILHA_CÁLCULO_DÉFICIT_RESOLUÇÃO_294_2007_COELCE_Sem_Gov_Estado-Ate_Rev2007_IRT_COELCE_abr2008 2" xfId="3337" xr:uid="{DBA31F51-727E-4066-B83C-BA2D272443F3}"/>
    <cellStyle name="_PLPT_PLANILHA_CÁLCULO_DÉFICIT_RESOLUÇÃO_294_2007_COELCE_Sem_Gov_Estado-Ate_Rev2007_IRT_COELCE_abr2008_atualização serviços taxados" xfId="43249" xr:uid="{DFFB94EF-4DE7-444C-AD32-989A6DDACDDB}"/>
    <cellStyle name="_PLPT_PLANILHA_CÁLCULO_DÉFICIT_RESOLUÇÃO_294_2007_COELCE_Sem_Gov_Estado-Ate_Rev2007_IRT_COELCE_abr2008_COELCE - RTO 2011 - PLPT_PLANILHA_CÁLCULO_DÉFICIT" xfId="3338" xr:uid="{86027619-1BCC-4716-8C6F-ADCB649A0981}"/>
    <cellStyle name="_PLPT_PLANILHA_CÁLCULO_DÉFICIT_RESOLUÇÃO_294_2007_COELCE_Sem_Gov_Estado-Ate_Rev2007_IRT_COELCE_abr2008_Financeiro Desconto na TUSD Consumidores Livres Reajuste 2010 - 03_03_2010" xfId="43250" xr:uid="{197FF29D-337E-4662-9BF9-CF3FAB64C1A7}"/>
    <cellStyle name="_PLPT_PLANILHA_CÁLCULO_DÉFICIT_RESOLUÇÃO_294_2007_COELCE_Sem_Gov_Estado-Ate_Rev2007_IRT_COELCE_abr2008_Financeiro Desconto na TUSD Geradores Reajuste 2010 - 03_03_2010" xfId="43251" xr:uid="{C22BC979-5329-4536-B0FA-806E46FBA7E1}"/>
    <cellStyle name="_PLPT_PLANILHA_CÁLCULO_DÉFICIT_RESOLUÇÃO_294_2007_COELCE_Sem_Gov_Estado-Ate_Rev2007_IRT_COELCE_abr2008_Financeiro Subsídio Baixa Renda Reajuste 2010 - 03_03_2010" xfId="43252" xr:uid="{040A7E8D-3B63-400F-ABF3-B6859465F15F}"/>
    <cellStyle name="_PLPT_PLANILHA_CÁLCULO_DÉFICIT_RESOLUÇÃO_294_2007_COELCE_Sem_Gov_Estado-Ate_Rev2007_IRT_COELCE_abr2008_Financeiro Subsídio Rural Irrigante e Aquicultor Reajuste 2010 - 03_03_2010" xfId="43253" xr:uid="{74779CC4-9FE0-4375-A365-88077682D807}"/>
    <cellStyle name="_PLPT_PLANILHA_CÁLCULO_DÉFICIT_RESOLUÇÃO_294_2007_COELCE_Sem_Gov_Estado-Ate_Rev2007_IRT_EBB_mai2010d" xfId="3339" xr:uid="{36020DAB-BB84-44A0-890F-7A3989F092E5}"/>
    <cellStyle name="_PLPT_PLANILHA_CÁLCULO_DÉFICIT_RESOLUÇÃO_294_2007_COELCE_Sem_Gov_Estado-Ate_Rev2007_IRT_ENERGISA_SE_abr2009" xfId="3340" xr:uid="{AD00DB5B-703B-4EAE-9268-D4439282B7FB}"/>
    <cellStyle name="_PLPT_PLANILHA_CÁLCULO_DÉFICIT_RESOLUÇÃO_294_2007_COELCE_Sem_Gov_Estado-Ate_Rev2007_IRT_ENF" xfId="3341" xr:uid="{043C2F9D-2E48-440C-893C-E888AFF399F9}"/>
    <cellStyle name="_PLPT_PLANILHA_CÁLCULO_DÉFICIT_RESOLUÇÃO_294_2007_COELCE_Sem_Gov_Estado-Ate_Rev2007_IRT_Escelsa" xfId="3342" xr:uid="{3166B0C8-DBE0-42F1-8CC6-2DC0F418B149}"/>
    <cellStyle name="_PLPT_PLANILHA_CÁLCULO_DÉFICIT_RESOLUÇÃO_294_2007_COELCE_Sem_Gov_Estado-Ate_Rev2007_IRT_Planilha Básica_ CETRIL" xfId="564" xr:uid="{451181E0-07F0-49F7-86C2-998B955C377F}"/>
    <cellStyle name="_PLPT_PLANILHA_CÁLCULO_DÉFICIT_RESOLUÇÃO_294_2007_COELCE_Sem_Gov_Estado-Ate_Rev2007_IRT_Planilha Básica_ CETRIL 2" xfId="1430" xr:uid="{E0E36550-298B-4827-829A-B665E6AAE4CB}"/>
    <cellStyle name="_PLPT_PLANILHA_CÁLCULO_DÉFICIT_RESOLUÇÃO_294_2007_COELCE_Sem_Gov_Estado-Ate_Rev2007_IRT_Planilha Básica_ CETRIL_Balanço" xfId="565" xr:uid="{4C47021D-C6CE-4E81-927C-106B4329D05D}"/>
    <cellStyle name="_PLPT_PLANILHA_CÁLCULO_DÉFICIT_RESOLUÇÃO_294_2007_COELCE_Sem_Gov_Estado-Ate_Rev2007_IRT_Planilha Básica_ CETRIL_casulo 15" xfId="566" xr:uid="{29054950-4568-4CE4-AF59-4556618F713B}"/>
    <cellStyle name="_PLPT_PLANILHA_CÁLCULO_DÉFICIT_RESOLUÇÃO_294_2007_COELCE_Sem_Gov_Estado-Ate_Rev2007_IRT_Planilha Básica_ CETRIL_IRT EEB 2010" xfId="3343" xr:uid="{A2D69E87-EB1A-4131-93CF-A8A7333FD1CD}"/>
    <cellStyle name="_PLPT_PLANILHA_CÁLCULO_DÉFICIT_RESOLUÇÃO_294_2007_COELCE_Sem_Gov_Estado-Ate_Rev2007_IRT_Planilha Básica_30jun2009" xfId="3344" xr:uid="{5212B005-FC25-48AD-BB84-CEAD1A69B3EC}"/>
    <cellStyle name="_PLPT_PLANILHA_CÁLCULO_DÉFICIT_RESOLUÇÃO_294_2007_COELCE_Sem_Gov_Estado-Ate_Rev2007_IRT_Planilha Básica_DIRETORIA" xfId="3345" xr:uid="{673F4A98-1DCB-4A3B-ABBC-88E7AEDE96A1}"/>
    <cellStyle name="_PLPT_PLANILHA_CÁLCULO_DÉFICIT_RESOLUÇÃO_294_2007_COELCE_Sem_Gov_Estado-Ate_Rev2007_IRT_Planilha Básica_fev2010" xfId="3346" xr:uid="{403FFC59-34A3-472C-B606-FED571AE0F2F}"/>
    <cellStyle name="_PLPT_PLANILHA_CÁLCULO_DÉFICIT_RESOLUÇÃO_294_2007_COELCE_Sem_Gov_Estado-Ate_Rev2007_IRT_Planilha Básica_fev2010a" xfId="567" xr:uid="{5F08676A-5128-44D0-A66A-784A7F7B41BD}"/>
    <cellStyle name="_PLPT_PLANILHA_CÁLCULO_DÉFICIT_RESOLUÇÃO_294_2007_COELCE_Sem_Gov_Estado-Ate_Rev2007_IRT_Planilha Básica_fev2010a 2" xfId="1431" xr:uid="{F91B41B5-9601-4B8C-8853-AECBDECD2D8E}"/>
    <cellStyle name="_PLPT_PLANILHA_CÁLCULO_DÉFICIT_RESOLUÇÃO_294_2007_COELCE_Sem_Gov_Estado-Ate_Rev2007_IRT_Planilha Básica_fev2010a_Balanço" xfId="568" xr:uid="{23FF8A2D-588D-46A2-9FF0-B1E2626B6837}"/>
    <cellStyle name="_PLPT_PLANILHA_CÁLCULO_DÉFICIT_RESOLUÇÃO_294_2007_COELCE_Sem_Gov_Estado-Ate_Rev2007_IRT_Planilha Básica_fev2010a_Balanço 2" xfId="1432" xr:uid="{FD2CFEB1-7058-4F9E-851F-623D792F8D6D}"/>
    <cellStyle name="_PLPT_PLANILHA_CÁLCULO_DÉFICIT_RESOLUÇÃO_294_2007_COELCE_Sem_Gov_Estado-Ate_Rev2007_IRT_Planilha Básica_fev2010a_casulo 15" xfId="569" xr:uid="{EB005EB9-3138-4BD0-94C4-4D99255AB1DD}"/>
    <cellStyle name="_PLPT_PLANILHA_CÁLCULO_DÉFICIT_RESOLUÇÃO_294_2007_COELCE_Sem_Gov_Estado-Ate_Rev2007_IRT_Planilha Básica_fev2010a_casulo 5" xfId="570" xr:uid="{D620AA85-0F05-4B9F-A720-DBF688880F5B}"/>
    <cellStyle name="_PLPT_PLANILHA_CÁLCULO_DÉFICIT_RESOLUÇÃO_294_2007_COELCE_Sem_Gov_Estado-Ate_Rev2007_IRT_Planilha Básica_fev2010a_casulo 5 2" xfId="1433" xr:uid="{B50B9353-2F82-42BF-8359-CD7F21C4AB62}"/>
    <cellStyle name="_PLPT_PLANILHA_CÁLCULO_DÉFICIT_RESOLUÇÃO_294_2007_COELCE_Sem_Gov_Estado-Ate_Rev2007_IRT_Planilha Básica_fev2010a_casulo 5_Balanço" xfId="571" xr:uid="{116A4845-1B64-4685-96B0-8B50FDDFE32F}"/>
    <cellStyle name="_PLPT_PLANILHA_CÁLCULO_DÉFICIT_RESOLUÇÃO_294_2007_COELCE_Sem_Gov_Estado-Ate_Rev2007_IRT_Planilha Básica_fev2010a_casulo 5_casulo 15" xfId="572" xr:uid="{B154DF17-5E8E-439F-BDCE-EDB5B6931A64}"/>
    <cellStyle name="_PLPT_PLANILHA_CÁLCULO_DÉFICIT_RESOLUÇÃO_294_2007_COELCE_Sem_Gov_Estado-Ate_Rev2007_IRT_Planilha Básica_fev2010a_casulo 5_IRT EEB 2010" xfId="3347" xr:uid="{E5C5C44B-8397-43F3-A206-CC680A99B2C1}"/>
    <cellStyle name="_PLPT_PLANILHA_CÁLCULO_DÉFICIT_RESOLUÇÃO_294_2007_COELCE_Sem_Gov_Estado-Ate_Rev2007_IRT_Planilha Básica_fev2010a_IRT EEB 2010" xfId="3348" xr:uid="{0A2BDBC7-E4E2-49F6-B1E6-C2FB478793F1}"/>
    <cellStyle name="_PLPT_PLANILHA_CÁLCULO_DÉFICIT_RESOLUÇÃO_294_2007_COELCE_Sem_Gov_Estado-Ate_Rev2007_IRT_Planilha Básica_jun2009" xfId="3349" xr:uid="{99C918C2-6A73-4E43-8AB3-48D9A8E8CDCA}"/>
    <cellStyle name="_PLPT_PLANILHA_CÁLCULO_DÉFICIT_RESOLUÇÃO_294_2007_COELCE_Sem_Gov_Estado-Ate_Rev2007_IRT_Planilha Básica_mar2010b" xfId="3350" xr:uid="{4BB7B446-0E5F-41E6-88EA-DD934D53B58A}"/>
    <cellStyle name="_PLPT_PLANILHA_CÁLCULO_DÉFICIT_RESOLUÇÃO_294_2007_COELCE_Sem_Gov_Estado-Ate_Rev2007_IRT_Planilha Básica_mar2010d" xfId="573" xr:uid="{17577B64-5ECA-4416-A6F0-DA3C8ED64A50}"/>
    <cellStyle name="_PLPT_PLANILHA_CÁLCULO_DÉFICIT_RESOLUÇÃO_294_2007_COELCE_Sem_Gov_Estado-Ate_Rev2007_IRT_Planilha Básica_mar2010d 2" xfId="1434" xr:uid="{94729D88-701E-4F3D-8FE8-36A1DCE00C3D}"/>
    <cellStyle name="_PLPT_PLANILHA_CÁLCULO_DÉFICIT_RESOLUÇÃO_294_2007_COELCE_Sem_Gov_Estado-Ate_Rev2007_IRT_Planilha Básica_março2009" xfId="574" xr:uid="{741D0BE8-9904-4E38-8144-722D0A8D82BF}"/>
    <cellStyle name="_PLPT_PLANILHA_CÁLCULO_DÉFICIT_RESOLUÇÃO_294_2007_COELCE_Sem_Gov_Estado-Ate_Rev2007_IRT_Planilha Básica_março2009 2" xfId="1435" xr:uid="{0EF4D016-9619-4626-BB30-E9FF8F45C2C6}"/>
    <cellStyle name="_PLPT_PLANILHA_CÁLCULO_DÉFICIT_RESOLUÇÃO_294_2007_COELCE_Sem_Gov_Estado-Ate_Rev2007_IRT_Planilha Básica_março2009_02 IRT Bandeirante 2009" xfId="3351" xr:uid="{F74A0175-00CD-4E6A-A368-0EA9B0E89C25}"/>
    <cellStyle name="_PLPT_PLANILHA_CÁLCULO_DÉFICIT_RESOLUÇÃO_294_2007_COELCE_Sem_Gov_Estado-Ate_Rev2007_IRT_Planilha Básica_março2009_Balanço" xfId="575" xr:uid="{0B0822FD-2073-4C2B-AD3D-D1F966D0BC98}"/>
    <cellStyle name="_PLPT_PLANILHA_CÁLCULO_DÉFICIT_RESOLUÇÃO_294_2007_COELCE_Sem_Gov_Estado-Ate_Rev2007_IRT_Planilha Básica_março2009_Balanço 2" xfId="1436" xr:uid="{302D6F24-58C0-4DA2-871F-30C775E79915}"/>
    <cellStyle name="_PLPT_PLANILHA_CÁLCULO_DÉFICIT_RESOLUÇÃO_294_2007_COELCE_Sem_Gov_Estado-Ate_Rev2007_IRT_Planilha Básica_março2009_casulo 15" xfId="576" xr:uid="{74CF5DC5-9A86-4D6D-A26A-E7CF63C1225E}"/>
    <cellStyle name="_PLPT_PLANILHA_CÁLCULO_DÉFICIT_RESOLUÇÃO_294_2007_COELCE_Sem_Gov_Estado-Ate_Rev2007_IRT_Planilha Básica_março2009_casulo 5" xfId="577" xr:uid="{DFC7D057-1F55-4EFC-8F9A-46807B818A39}"/>
    <cellStyle name="_PLPT_PLANILHA_CÁLCULO_DÉFICIT_RESOLUÇÃO_294_2007_COELCE_Sem_Gov_Estado-Ate_Rev2007_IRT_Planilha Básica_março2009_casulo 5 2" xfId="1437" xr:uid="{75B5098B-9216-4A64-8F66-224BD22AB5E8}"/>
    <cellStyle name="_PLPT_PLANILHA_CÁLCULO_DÉFICIT_RESOLUÇÃO_294_2007_COELCE_Sem_Gov_Estado-Ate_Rev2007_IRT_Planilha Básica_março2009_casulo 5_Balanço" xfId="578" xr:uid="{3E01707E-72A3-46DC-A875-777CAF1FBDC2}"/>
    <cellStyle name="_PLPT_PLANILHA_CÁLCULO_DÉFICIT_RESOLUÇÃO_294_2007_COELCE_Sem_Gov_Estado-Ate_Rev2007_IRT_Planilha Básica_março2009_casulo 5_casulo 15" xfId="579" xr:uid="{6EBE9721-AC30-48F8-8031-025D4CA8161B}"/>
    <cellStyle name="_PLPT_PLANILHA_CÁLCULO_DÉFICIT_RESOLUÇÃO_294_2007_COELCE_Sem_Gov_Estado-Ate_Rev2007_IRT_Planilha Básica_março2009_casulo 5_IRT EEB 2010" xfId="3352" xr:uid="{EB9FAF0D-DCA1-4D32-9052-C4B98B58296A}"/>
    <cellStyle name="_PLPT_PLANILHA_CÁLCULO_DÉFICIT_RESOLUÇÃO_294_2007_COELCE_Sem_Gov_Estado-Ate_Rev2007_IRT_Planilha Básica_março2009_COELCE  ICMS Não Compensado RTO 2012 281211" xfId="3353" xr:uid="{429DE0A7-1C4A-4DD3-B35E-3B6F53B40F2D}"/>
    <cellStyle name="_PLPT_PLANILHA_CÁLCULO_DÉFICIT_RESOLUÇÃO_294_2007_COELCE_Sem_Gov_Estado-Ate_Rev2007_IRT_Planilha Básica_março2009_COELCE - RTO 2011 - PLPT_PLANILHA_CÁLCULO_DÉFICIT" xfId="3354" xr:uid="{053BEFF0-0A0E-4298-A54C-D6560A7A7E7F}"/>
    <cellStyle name="_PLPT_PLANILHA_CÁLCULO_DÉFICIT_RESOLUÇÃO_294_2007_COELCE_Sem_Gov_Estado-Ate_Rev2007_IRT_Planilha Básica_março2009_IRT EEB 2010" xfId="3355" xr:uid="{5400DF11-B72F-4F8E-BAC5-977574246A7F}"/>
    <cellStyle name="_PLPT_PLANILHA_CÁLCULO_DÉFICIT_RESOLUÇÃO_294_2007_COELCE_Sem_Gov_Estado-Ate_Rev2007_IRT_Planilha Básica_março2009_IRT Piratininga 2009" xfId="580" xr:uid="{A6424DEF-C7ED-4F57-B8D3-61D8D6EA9788}"/>
    <cellStyle name="_PLPT_PLANILHA_CÁLCULO_DÉFICIT_RESOLUÇÃO_294_2007_COELCE_Sem_Gov_Estado-Ate_Rev2007_IRT_Planilha Básica_março2009_IRT Piratininga 2009 2" xfId="1438" xr:uid="{BC79A99D-F5AB-4BB7-B4A8-78CEE3E1C1BB}"/>
    <cellStyle name="_PLPT_PLANILHA_CÁLCULO_DÉFICIT_RESOLUÇÃO_294_2007_COELCE_Sem_Gov_Estado-Ate_Rev2007_IRT_Planilha Básica_março2009_IRT Piratininga 2009_Balanço" xfId="581" xr:uid="{F31D8D92-B4A5-490E-9AC1-26C61F7320BD}"/>
    <cellStyle name="_PLPT_PLANILHA_CÁLCULO_DÉFICIT_RESOLUÇÃO_294_2007_COELCE_Sem_Gov_Estado-Ate_Rev2007_IRT_Planilha Básica_março2009_IRT Piratininga 2009_casulo 15" xfId="582" xr:uid="{B0FBB489-4E31-4798-B75F-12F473349AE2}"/>
    <cellStyle name="_PLPT_PLANILHA_CÁLCULO_DÉFICIT_RESOLUÇÃO_294_2007_COELCE_Sem_Gov_Estado-Ate_Rev2007_IRT_Planilha Básica_março2009_IRT Piratininga 2009_IRT EEB 2010" xfId="3356" xr:uid="{F1818ED6-8699-4A6C-822F-544B9ED89B46}"/>
    <cellStyle name="_PLPT_PLANILHA_CÁLCULO_DÉFICIT_RESOLUÇÃO_294_2007_COELCE_Sem_Gov_Estado-Ate_Rev2007_IRT_Planilha Básica_março2009_IRT_EBB_mai2010d" xfId="3357" xr:uid="{E6007F95-3667-44ED-9B68-78CBBD14F242}"/>
    <cellStyle name="_PLPT_PLANILHA_CÁLCULO_DÉFICIT_RESOLUÇÃO_294_2007_COELCE_Sem_Gov_Estado-Ate_Rev2007_IRT_Planilha Básica_março2009_IRT_Planilha Básica_ CETRIL" xfId="583" xr:uid="{4A808564-A4EB-4392-AC54-5164782F9979}"/>
    <cellStyle name="_PLPT_PLANILHA_CÁLCULO_DÉFICIT_RESOLUÇÃO_294_2007_COELCE_Sem_Gov_Estado-Ate_Rev2007_IRT_Planilha Básica_março2009_IRT_Planilha Básica_ CETRIL 2" xfId="1439" xr:uid="{04D599EA-CA2A-4BD1-A3EC-C1D1BDBEE977}"/>
    <cellStyle name="_PLPT_PLANILHA_CÁLCULO_DÉFICIT_RESOLUÇÃO_294_2007_COELCE_Sem_Gov_Estado-Ate_Rev2007_IRT_Planilha Básica_março2009_IRT_Planilha Básica_ CETRIL_Balanço" xfId="584" xr:uid="{B0FA4063-565B-45BA-B7F9-C5ED604B2D15}"/>
    <cellStyle name="_PLPT_PLANILHA_CÁLCULO_DÉFICIT_RESOLUÇÃO_294_2007_COELCE_Sem_Gov_Estado-Ate_Rev2007_IRT_Planilha Básica_março2009_IRT_Planilha Básica_ CETRIL_casulo 15" xfId="585" xr:uid="{0AA27724-A105-46EF-87B1-06E2B6A8B1CC}"/>
    <cellStyle name="_PLPT_PLANILHA_CÁLCULO_DÉFICIT_RESOLUÇÃO_294_2007_COELCE_Sem_Gov_Estado-Ate_Rev2007_IRT_Planilha Básica_março2009_IRT_Planilha Básica_ CETRIL_IRT EEB 2010" xfId="3358" xr:uid="{8BEE2586-FB92-4F39-93B6-BA3E32E76998}"/>
    <cellStyle name="_PLPT_PLANILHA_CÁLCULO_DÉFICIT_RESOLUÇÃO_294_2007_COELCE_Sem_Gov_Estado-Ate_Rev2007_IRT_Planilha Básica_março2009_IRT_Planilha Básica_DIRETORIA" xfId="3359" xr:uid="{E6BAEC61-3CA3-46D4-A1E3-E925D1F36CEB}"/>
    <cellStyle name="_PLPT_PLANILHA_CÁLCULO_DÉFICIT_RESOLUÇÃO_294_2007_COELCE_Sem_Gov_Estado-Ate_Rev2007_IRT_Planilha Básica_março2009_IRT_Planilha Básica_fev2010" xfId="3360" xr:uid="{A108A8C2-5DFD-4F65-A133-BF3EBE7F4A59}"/>
    <cellStyle name="_PLPT_PLANILHA_CÁLCULO_DÉFICIT_RESOLUÇÃO_294_2007_COELCE_Sem_Gov_Estado-Ate_Rev2007_IRT_Planilha Básica_março2009_IRT_Planilha Básica_fev2010a" xfId="586" xr:uid="{0C19BF1F-E532-46B3-8211-9BA7396ECB66}"/>
    <cellStyle name="_PLPT_PLANILHA_CÁLCULO_DÉFICIT_RESOLUÇÃO_294_2007_COELCE_Sem_Gov_Estado-Ate_Rev2007_IRT_Planilha Básica_março2009_IRT_Planilha Básica_fev2010a 2" xfId="1440" xr:uid="{F557C17B-DD42-4802-AC3B-67B142B77B4D}"/>
    <cellStyle name="_PLPT_PLANILHA_CÁLCULO_DÉFICIT_RESOLUÇÃO_294_2007_COELCE_Sem_Gov_Estado-Ate_Rev2007_IRT_Planilha Básica_março2009_IRT_Planilha Básica_fev2010a_Balanço" xfId="587" xr:uid="{57E0744A-B337-4CC0-9662-564F1AA58984}"/>
    <cellStyle name="_PLPT_PLANILHA_CÁLCULO_DÉFICIT_RESOLUÇÃO_294_2007_COELCE_Sem_Gov_Estado-Ate_Rev2007_IRT_Planilha Básica_março2009_IRT_Planilha Básica_fev2010a_Balanço 2" xfId="1441" xr:uid="{37F9D827-FD83-4725-A08F-4031D7DEF884}"/>
    <cellStyle name="_PLPT_PLANILHA_CÁLCULO_DÉFICIT_RESOLUÇÃO_294_2007_COELCE_Sem_Gov_Estado-Ate_Rev2007_IRT_Planilha Básica_março2009_IRT_Planilha Básica_fev2010a_casulo 15" xfId="588" xr:uid="{00161AA9-EBFC-41D0-9D24-8A8D47A58DD9}"/>
    <cellStyle name="_PLPT_PLANILHA_CÁLCULO_DÉFICIT_RESOLUÇÃO_294_2007_COELCE_Sem_Gov_Estado-Ate_Rev2007_IRT_Planilha Básica_março2009_IRT_Planilha Básica_fev2010a_casulo 5" xfId="589" xr:uid="{26478138-C36D-4DDB-9D8E-2AD0E6564CFB}"/>
    <cellStyle name="_PLPT_PLANILHA_CÁLCULO_DÉFICIT_RESOLUÇÃO_294_2007_COELCE_Sem_Gov_Estado-Ate_Rev2007_IRT_Planilha Básica_março2009_IRT_Planilha Básica_fev2010a_casulo 5 2" xfId="1442" xr:uid="{21D95150-6141-48FC-B48F-862AB572CCEA}"/>
    <cellStyle name="_PLPT_PLANILHA_CÁLCULO_DÉFICIT_RESOLUÇÃO_294_2007_COELCE_Sem_Gov_Estado-Ate_Rev2007_IRT_Planilha Básica_março2009_IRT_Planilha Básica_fev2010a_casulo 5_Balanço" xfId="590" xr:uid="{7D33B28A-A98A-43D9-9822-837156757F68}"/>
    <cellStyle name="_PLPT_PLANILHA_CÁLCULO_DÉFICIT_RESOLUÇÃO_294_2007_COELCE_Sem_Gov_Estado-Ate_Rev2007_IRT_Planilha Básica_março2009_IRT_Planilha Básica_fev2010a_casulo 5_casulo 15" xfId="591" xr:uid="{E300C163-49F1-443E-B236-7C8B60FE503E}"/>
    <cellStyle name="_PLPT_PLANILHA_CÁLCULO_DÉFICIT_RESOLUÇÃO_294_2007_COELCE_Sem_Gov_Estado-Ate_Rev2007_IRT_Planilha Básica_março2009_IRT_Planilha Básica_fev2010a_casulo 5_IRT EEB 2010" xfId="3361" xr:uid="{DD34DCAC-77D8-456F-A692-9FBC2ECED738}"/>
    <cellStyle name="_PLPT_PLANILHA_CÁLCULO_DÉFICIT_RESOLUÇÃO_294_2007_COELCE_Sem_Gov_Estado-Ate_Rev2007_IRT_Planilha Básica_março2009_IRT_Planilha Básica_fev2010a_IRT EEB 2010" xfId="3362" xr:uid="{828C9A23-77DA-454A-BFD5-C8F32C3FFDBE}"/>
    <cellStyle name="_PLPT_PLANILHA_CÁLCULO_DÉFICIT_RESOLUÇÃO_294_2007_COELCE_Sem_Gov_Estado-Ate_Rev2007_IRT_Planilha Básica_março2009_IRT_Planilha Básica_jan2010" xfId="3363" xr:uid="{E990E3DA-C48D-49F2-A06E-993AF7173383}"/>
    <cellStyle name="_PLPT_PLANILHA_CÁLCULO_DÉFICIT_RESOLUÇÃO_294_2007_COELCE_Sem_Gov_Estado-Ate_Rev2007_IRT_Planilha Básica_março2009_IRT_Planilha Básica_mar2010d" xfId="592" xr:uid="{806CDC14-D857-482E-8451-D603313935E2}"/>
    <cellStyle name="_PLPT_PLANILHA_CÁLCULO_DÉFICIT_RESOLUÇÃO_294_2007_COELCE_Sem_Gov_Estado-Ate_Rev2007_IRT_Planilha Básica_março2009_IRT_Planilha Básica_mar2010d 2" xfId="1443" xr:uid="{A4F87E61-521F-4B35-939B-6DF15F73BFC9}"/>
    <cellStyle name="_PLPT_PLANILHA_CÁLCULO_DÉFICIT_RESOLUÇÃO_294_2007_COELCE_Sem_Gov_Estado-Ate_Rev2007_IRT_Planilha Básica_março2009_IRT_Planilha Básica_NOVA METODOLOGIA" xfId="3364" xr:uid="{52007156-2EC3-4482-8C9A-9B0BA6D21F90}"/>
    <cellStyle name="_PLPT_PLANILHA_CÁLCULO_DÉFICIT_RESOLUÇÃO_294_2007_COELCE_Sem_Gov_Estado-Ate_Rev2007_IRT_Planilha Básica_março2009_IRT_Santa 2010" xfId="3365" xr:uid="{965CE0E8-47A2-4245-BB73-C59DD2535C59}"/>
    <cellStyle name="_PLPT_PLANILHA_CÁLCULO_DÉFICIT_RESOLUÇÃO_294_2007_COELCE_Sem_Gov_Estado-Ate_Rev2007_IRT_Planilha Básica_março2009_IRT-cálculo" xfId="43254" xr:uid="{C403BBC1-5001-402C-B5A7-CB0E23827FED}"/>
    <cellStyle name="_PLPT_PLANILHA_CÁLCULO_DÉFICIT_RESOLUÇÃO_294_2007_COELCE_Sem_Gov_Estado-Ate_Rev2007_IRT_Planilha Básica_março2009_Resultados_DEA_RND_QUAL_PERDAS" xfId="42550" xr:uid="{F3C1BC91-A1CD-44B1-A20D-7AF442A17C43}"/>
    <cellStyle name="_PLPT_PLANILHA_CÁLCULO_DÉFICIT_RESOLUÇÃO_294_2007_COELCE_Sem_Gov_Estado-Ate_Rev2007_IRT_Planilha Básica_março2009_Simulação congelamento COELCE 2011 - Propostas 3ª Fase AP040 (20.12.2011)" xfId="3366" xr:uid="{B6CC790E-7B9C-4C03-B317-6C648C2307F8}"/>
    <cellStyle name="_PLPT_PLANILHA_CÁLCULO_DÉFICIT_RESOLUÇÃO_294_2007_COELCE_Sem_Gov_Estado-Ate_Rev2007_IRT_Planilha Básica_março2009_teste ampla" xfId="593" xr:uid="{8FC4F10E-38AE-4D00-8749-0621398299CE}"/>
    <cellStyle name="_PLPT_PLANILHA_CÁLCULO_DÉFICIT_RESOLUÇÃO_294_2007_COELCE_Sem_Gov_Estado-Ate_Rev2007_IRT_Planilha Básica_março2009_teste ampla 2" xfId="1444" xr:uid="{B3CFEC72-4D49-4664-B3F5-15724B609C3B}"/>
    <cellStyle name="_PLPT_PLANILHA_CÁLCULO_DÉFICIT_RESOLUÇÃO_294_2007_COELCE_Sem_Gov_Estado-Ate_Rev2007_IRT_Planilha Básica_março2009_teste ampla_Balanço" xfId="594" xr:uid="{C9725303-B419-4153-91FA-8559BBEA50A1}"/>
    <cellStyle name="_PLPT_PLANILHA_CÁLCULO_DÉFICIT_RESOLUÇÃO_294_2007_COELCE_Sem_Gov_Estado-Ate_Rev2007_IRT_Planilha Básica_março2009_teste ampla_Balanço 2" xfId="1445" xr:uid="{D1A98A60-62EE-4AAF-B16A-93CDD8E0DC13}"/>
    <cellStyle name="_PLPT_PLANILHA_CÁLCULO_DÉFICIT_RESOLUÇÃO_294_2007_COELCE_Sem_Gov_Estado-Ate_Rev2007_IRT_Planilha Básica_março2009_teste ampla_casulo 15" xfId="595" xr:uid="{6C5ED07B-6774-4661-896E-409DC3F8BBB8}"/>
    <cellStyle name="_PLPT_PLANILHA_CÁLCULO_DÉFICIT_RESOLUÇÃO_294_2007_COELCE_Sem_Gov_Estado-Ate_Rev2007_IRT_Planilha Básica_março2009_teste ampla_casulo 5" xfId="596" xr:uid="{C633B4FA-13BD-46E4-8AE4-4A64B49F9702}"/>
    <cellStyle name="_PLPT_PLANILHA_CÁLCULO_DÉFICIT_RESOLUÇÃO_294_2007_COELCE_Sem_Gov_Estado-Ate_Rev2007_IRT_Planilha Básica_março2009_teste ampla_casulo 5 2" xfId="1446" xr:uid="{DB0204F4-EBD5-4DDE-86BE-BDE8FD99D333}"/>
    <cellStyle name="_PLPT_PLANILHA_CÁLCULO_DÉFICIT_RESOLUÇÃO_294_2007_COELCE_Sem_Gov_Estado-Ate_Rev2007_IRT_Planilha Básica_março2009_teste ampla_casulo 5_Balanço" xfId="597" xr:uid="{9BBC2B24-C721-4AA3-99CE-98098669BE0D}"/>
    <cellStyle name="_PLPT_PLANILHA_CÁLCULO_DÉFICIT_RESOLUÇÃO_294_2007_COELCE_Sem_Gov_Estado-Ate_Rev2007_IRT_Planilha Básica_março2009_teste ampla_casulo 5_casulo 15" xfId="598" xr:uid="{CC8A6425-C577-45A7-9D67-7C039A4AB0C3}"/>
    <cellStyle name="_PLPT_PLANILHA_CÁLCULO_DÉFICIT_RESOLUÇÃO_294_2007_COELCE_Sem_Gov_Estado-Ate_Rev2007_IRT_Planilha Básica_março2009_teste ampla_casulo 5_IRT EEB 2010" xfId="3367" xr:uid="{35B756AE-844E-454F-9B6A-48F15CE10042}"/>
    <cellStyle name="_PLPT_PLANILHA_CÁLCULO_DÉFICIT_RESOLUÇÃO_294_2007_COELCE_Sem_Gov_Estado-Ate_Rev2007_IRT_Planilha Básica_março2009_teste ampla_IRT EEB 2010" xfId="3368" xr:uid="{65046AF8-5BD6-4B74-BA09-8FADF7DBAD38}"/>
    <cellStyle name="_PLPT_PLANILHA_CÁLCULO_DÉFICIT_RESOLUÇÃO_294_2007_COELCE_Sem_Gov_Estado-Ate_Rev2007_IRT_Planilha Básica_NOVA METODOLOGIA" xfId="3369" xr:uid="{DC31D0C2-44AA-49D9-8058-30A3D239E2A1}"/>
    <cellStyle name="_PLPT_PLANILHA_CÁLCULO_DÉFICIT_RESOLUÇÃO_294_2007_COELCE_Sem_Gov_Estado-Ate_Rev2007_IRT_Planilha Básica_out2009" xfId="599" xr:uid="{29243AD5-C85D-4925-AA1C-2E0F4BAC2DBD}"/>
    <cellStyle name="_PLPT_PLANILHA_CÁLCULO_DÉFICIT_RESOLUÇÃO_294_2007_COELCE_Sem_Gov_Estado-Ate_Rev2007_IRT_Planilha Básica_out2009 2" xfId="1447" xr:uid="{0EE83E1A-F34B-49A5-9AC5-F1544D261675}"/>
    <cellStyle name="_PLPT_PLANILHA_CÁLCULO_DÉFICIT_RESOLUÇÃO_294_2007_COELCE_Sem_Gov_Estado-Ate_Rev2007_IRT_Planilha Básica_out2009_Balanço" xfId="600" xr:uid="{046DCCE4-52BD-4214-96BA-43081BE14BF7}"/>
    <cellStyle name="_PLPT_PLANILHA_CÁLCULO_DÉFICIT_RESOLUÇÃO_294_2007_COELCE_Sem_Gov_Estado-Ate_Rev2007_IRT_Planilha Básica_out2009_Balanço 2" xfId="1448" xr:uid="{F1974F9E-8E9C-430C-AEA9-086D909ABE65}"/>
    <cellStyle name="_PLPT_PLANILHA_CÁLCULO_DÉFICIT_RESOLUÇÃO_294_2007_COELCE_Sem_Gov_Estado-Ate_Rev2007_IRT_Planilha Básica_out2009_casulo 15" xfId="601" xr:uid="{C2FCD7CB-9D8A-48B2-B4DC-825BC141D27E}"/>
    <cellStyle name="_PLPT_PLANILHA_CÁLCULO_DÉFICIT_RESOLUÇÃO_294_2007_COELCE_Sem_Gov_Estado-Ate_Rev2007_IRT_Planilha Básica_out2009_casulo 5" xfId="602" xr:uid="{DBEABB73-F24A-4677-AC9A-A25687812FDC}"/>
    <cellStyle name="_PLPT_PLANILHA_CÁLCULO_DÉFICIT_RESOLUÇÃO_294_2007_COELCE_Sem_Gov_Estado-Ate_Rev2007_IRT_Planilha Básica_out2009_casulo 5 2" xfId="1449" xr:uid="{17891605-B501-466C-A023-61E678C28917}"/>
    <cellStyle name="_PLPT_PLANILHA_CÁLCULO_DÉFICIT_RESOLUÇÃO_294_2007_COELCE_Sem_Gov_Estado-Ate_Rev2007_IRT_Planilha Básica_out2009_casulo 5_Balanço" xfId="603" xr:uid="{9184DD2A-169E-4044-B745-BA99E585C731}"/>
    <cellStyle name="_PLPT_PLANILHA_CÁLCULO_DÉFICIT_RESOLUÇÃO_294_2007_COELCE_Sem_Gov_Estado-Ate_Rev2007_IRT_Planilha Básica_out2009_casulo 5_casulo 15" xfId="604" xr:uid="{B2E4486A-DCAD-4699-BAB7-ACB7DD61CC71}"/>
    <cellStyle name="_PLPT_PLANILHA_CÁLCULO_DÉFICIT_RESOLUÇÃO_294_2007_COELCE_Sem_Gov_Estado-Ate_Rev2007_IRT_Planilha Básica_out2009_casulo 5_IRT EEB 2010" xfId="3370" xr:uid="{47BFCDBE-786E-42F8-A198-F8275DC469F0}"/>
    <cellStyle name="_PLPT_PLANILHA_CÁLCULO_DÉFICIT_RESOLUÇÃO_294_2007_COELCE_Sem_Gov_Estado-Ate_Rev2007_IRT_Planilha Básica_out2009_IRT EEB 2010" xfId="3371" xr:uid="{8CD56857-29C4-4EF3-ABB3-C4DC32E56B03}"/>
    <cellStyle name="_PLPT_PLANILHA_CÁLCULO_DÉFICIT_RESOLUÇÃO_294_2007_COELCE_Sem_Gov_Estado-Ate_Rev2007_IRT_Pleito" xfId="3372" xr:uid="{8DF51CEB-89C8-4E06-8601-D867F909DB57}"/>
    <cellStyle name="_PLPT_PLANILHA_CÁLCULO_DÉFICIT_RESOLUÇÃO_294_2007_COELCE_Sem_Gov_Estado-Ate_Rev2007_IRT_Pleito_IRT-cálculo" xfId="3373" xr:uid="{090CDB7C-CCEB-4ACE-AD96-BD41223935F7}"/>
    <cellStyle name="_PLPT_PLANILHA_CÁLCULO_DÉFICIT_RESOLUÇÃO_294_2007_COELCE_Sem_Gov_Estado-Ate_Rev2007_IRT_Pleito_IRT-cálculo CAPA NEUTRALIDADE" xfId="3374" xr:uid="{BEEDE95A-3645-4D56-BEDC-E335730FAD9D}"/>
    <cellStyle name="_PLPT_PLANILHA_CÁLCULO_DÉFICIT_RESOLUÇÃO_294_2007_COELCE_Sem_Gov_Estado-Ate_Rev2007_IRT_Revisão A-1" xfId="3375" xr:uid="{F11C8382-21F1-4EB8-AF15-4E63540F8347}"/>
    <cellStyle name="_PLPT_PLANILHA_CÁLCULO_DÉFICIT_RESOLUÇÃO_294_2007_COELCE_Sem_Gov_Estado-Ate_Rev2007_IRT_Revisão A-1_IRT-cálculo" xfId="3376" xr:uid="{A23D0DED-7635-47D2-82B9-2D4AF6C415CE}"/>
    <cellStyle name="_PLPT_PLANILHA_CÁLCULO_DÉFICIT_RESOLUÇÃO_294_2007_COELCE_Sem_Gov_Estado-Ate_Rev2007_IRT_Revisão A-1_IRT-cálculo CAPA NEUTRALIDADE" xfId="3377" xr:uid="{B13BEA65-A5F5-412E-A0B8-FFCD9C6D28A4}"/>
    <cellStyle name="_PLPT_PLANILHA_CÁLCULO_DÉFICIT_RESOLUÇÃO_294_2007_COELCE_Sem_Gov_Estado-Ate_Rev2007_IRT_SantaCruzpós IGPM" xfId="3378" xr:uid="{C9AF6F7B-6604-45DA-A9A8-35373A9A4896}"/>
    <cellStyle name="_PLPT_PLANILHA_CÁLCULO_DÉFICIT_RESOLUÇÃO_294_2007_COELCE_Sem_Gov_Estado-Ate_Rev2007_IRT1" xfId="3379" xr:uid="{AEDADAFB-E0DD-4082-9325-DE41E3978097}"/>
    <cellStyle name="_PLPT_PLANILHA_CÁLCULO_DÉFICIT_RESOLUÇÃO_294_2007_COELCE_Sem_Gov_Estado-Ate_Rev2007_IRT1_IRT-cálculo" xfId="3380" xr:uid="{295AAA06-D7E4-471A-8AC7-44F823CD102C}"/>
    <cellStyle name="_PLPT_PLANILHA_CÁLCULO_DÉFICIT_RESOLUÇÃO_294_2007_COELCE_Sem_Gov_Estado-Ate_Rev2007_IRT1_IRT-cálculo CAPA NEUTRALIDADE" xfId="3381" xr:uid="{D5BB3546-9E5A-4C40-9EAE-8F894965D961}"/>
    <cellStyle name="_PLPT_PLANILHA_CÁLCULO_DÉFICIT_RESOLUÇÃO_294_2007_COELCE_Sem_Gov_Estado-Ate_Rev2007_IRT-2010_COPEL_SOBRECONTRATAÇÃOeCVAenergia" xfId="1643" xr:uid="{EDFDC493-1B02-451C-BCF4-40F2B1E3552B}"/>
    <cellStyle name="_PLPT_PLANILHA_CÁLCULO_DÉFICIT_RESOLUÇÃO_294_2007_COELCE_Sem_Gov_Estado-Ate_Rev2007_IRT-cálculo" xfId="3382" xr:uid="{F77A9772-FE99-404A-81D7-BF81469B52A3}"/>
    <cellStyle name="_PLPT_PLANILHA_CÁLCULO_DÉFICIT_RESOLUÇÃO_294_2007_COELCE_Sem_Gov_Estado-Ate_Rev2007_IRT-cálculo CAPA NEUTRALIDADE" xfId="3383" xr:uid="{14C0F212-8155-48C2-BB5C-EC0B4722B7CE}"/>
    <cellStyle name="_PLPT_PLANILHA_CÁLCULO_DÉFICIT_RESOLUÇÃO_294_2007_COELCE_Sem_Gov_Estado-Ate_Rev2007_Modelo IRT ANEELl_2010" xfId="43255" xr:uid="{C3C9AB40-DE69-4D25-9330-B130913DC4E9}"/>
    <cellStyle name="_PLPT_PLANILHA_CÁLCULO_DÉFICIT_RESOLUÇÃO_294_2007_COELCE_Sem_Gov_Estado-Ate_Rev2007_Pasta1" xfId="1644" xr:uid="{2692CC31-C0FA-407D-8FC1-F2C4E71E449D}"/>
    <cellStyle name="_PLPT_PLANILHA_CÁLCULO_DÉFICIT_RESOLUÇÃO_294_2007_COELCE_Sem_Gov_Estado-Ate_Rev2007_Pasta1 2" xfId="3384" xr:uid="{95FE14F3-80E6-42BA-9FC8-480BEEE200F6}"/>
    <cellStyle name="_PLPT_PLANILHA_CÁLCULO_DÉFICIT_RESOLUÇÃO_294_2007_COELCE_Sem_Gov_Estado-Ate_Rev2007_Pasta1_atualização serviços taxados" xfId="43256" xr:uid="{2FDB6105-2F5A-43C7-B925-0C02DCFB6047}"/>
    <cellStyle name="_PLPT_PLANILHA_CÁLCULO_DÉFICIT_RESOLUÇÃO_294_2007_COELCE_Sem_Gov_Estado-Ate_Rev2007_Pasta1_Financeiro Desconto na TUSD Consumidores Livres Reajuste 2010 - 03_03_2010" xfId="43257" xr:uid="{6A3A5620-123F-48A3-96BE-1FC1154E8232}"/>
    <cellStyle name="_PLPT_PLANILHA_CÁLCULO_DÉFICIT_RESOLUÇÃO_294_2007_COELCE_Sem_Gov_Estado-Ate_Rev2007_Pasta1_Financeiro Desconto na TUSD Geradores Reajuste 2010 - 03_03_2010" xfId="43258" xr:uid="{839AC2F2-5CB2-4E35-A8CC-43D742E29C0C}"/>
    <cellStyle name="_PLPT_PLANILHA_CÁLCULO_DÉFICIT_RESOLUÇÃO_294_2007_COELCE_Sem_Gov_Estado-Ate_Rev2007_Pasta1_Financeiro Subsídio Baixa Renda Reajuste 2010 - 03_03_2010" xfId="43259" xr:uid="{6E150226-293B-43BD-81C9-58CC4A3329A5}"/>
    <cellStyle name="_PLPT_PLANILHA_CÁLCULO_DÉFICIT_RESOLUÇÃO_294_2007_COELCE_Sem_Gov_Estado-Ate_Rev2007_Pasta1_Financeiro Subsídio Rural Irrigante e Aquicultor Reajuste 2010 - 03_03_2010" xfId="43260" xr:uid="{ED4A64EC-1EED-44E9-ADD4-AA85C8B0EFAD}"/>
    <cellStyle name="_PLPT_PLANILHA_CÁLCULO_DÉFICIT_RESOLUÇÃO_294_2007_COELCE_Sem_Gov_Estado-Ate_Rev2007_Pasta1_IRT-cálculo" xfId="3385" xr:uid="{3E087341-3307-4CCE-840C-31E11CAB545C}"/>
    <cellStyle name="_PLPT_PLANILHA_CÁLCULO_DÉFICIT_RESOLUÇÃO_294_2007_COELCE_Sem_Gov_Estado-Ate_Rev2007_Pasta1_IRT-cálculo CAPA NEUTRALIDADE" xfId="3386" xr:uid="{05E909B1-BF7E-44AF-87EE-74810AD4908D}"/>
    <cellStyle name="_PLPT_PLANILHA_CÁLCULO_DÉFICIT_RESOLUÇÃO_294_2007_COELCE_Sem_Gov_Estado-Ate_Rev2007_Pasta1_SOBRECONTRATAÇÃO E CVA" xfId="3387" xr:uid="{501A3956-5E43-4413-8474-4A528D225767}"/>
    <cellStyle name="_PLPT_PLANILHA_CÁLCULO_DÉFICIT_RESOLUÇÃO_294_2007_COELCE_Sem_Gov_Estado-Ate_Rev2007_Pasta2" xfId="605" xr:uid="{25A9FF32-A265-4E7A-A2E5-52701D325CBD}"/>
    <cellStyle name="_PLPT_PLANILHA_CÁLCULO_DÉFICIT_RESOLUÇÃO_294_2007_COELCE_Sem_Gov_Estado-Ate_Rev2007_Pasta2 2" xfId="1450" xr:uid="{30BC2F62-3982-4235-9402-E8F6D4E88E0E}"/>
    <cellStyle name="_PLPT_PLANILHA_CÁLCULO_DÉFICIT_RESOLUÇÃO_294_2007_COELCE_Sem_Gov_Estado-Ate_Rev2007_Pasta2_02 IRT Bandeirante 2009" xfId="3388" xr:uid="{05D02DB8-A3F3-41EB-A623-89421062ED8A}"/>
    <cellStyle name="_PLPT_PLANILHA_CÁLCULO_DÉFICIT_RESOLUÇÃO_294_2007_COELCE_Sem_Gov_Estado-Ate_Rev2007_Pasta2_Balanço" xfId="606" xr:uid="{815E6840-A415-4AD1-8228-0051B1C9FD26}"/>
    <cellStyle name="_PLPT_PLANILHA_CÁLCULO_DÉFICIT_RESOLUÇÃO_294_2007_COELCE_Sem_Gov_Estado-Ate_Rev2007_Pasta2_Balanço 2" xfId="1451" xr:uid="{EBD4975C-5217-4ACE-A5FA-22479EAFA347}"/>
    <cellStyle name="_PLPT_PLANILHA_CÁLCULO_DÉFICIT_RESOLUÇÃO_294_2007_COELCE_Sem_Gov_Estado-Ate_Rev2007_Pasta2_casulo 15" xfId="607" xr:uid="{CEA3CCFA-6004-4C77-A646-DDFEA9E35AB5}"/>
    <cellStyle name="_PLPT_PLANILHA_CÁLCULO_DÉFICIT_RESOLUÇÃO_294_2007_COELCE_Sem_Gov_Estado-Ate_Rev2007_Pasta2_casulo 5" xfId="608" xr:uid="{92EB2D1D-E816-458E-A6A2-E7728E1F0CDF}"/>
    <cellStyle name="_PLPT_PLANILHA_CÁLCULO_DÉFICIT_RESOLUÇÃO_294_2007_COELCE_Sem_Gov_Estado-Ate_Rev2007_Pasta2_casulo 5 2" xfId="1452" xr:uid="{134CA4DD-B2DB-4265-8E04-9C142C17FEC0}"/>
    <cellStyle name="_PLPT_PLANILHA_CÁLCULO_DÉFICIT_RESOLUÇÃO_294_2007_COELCE_Sem_Gov_Estado-Ate_Rev2007_Pasta2_casulo 5_Balanço" xfId="609" xr:uid="{CB083E5B-EF78-44DC-9C73-9B2A2D37B9E5}"/>
    <cellStyle name="_PLPT_PLANILHA_CÁLCULO_DÉFICIT_RESOLUÇÃO_294_2007_COELCE_Sem_Gov_Estado-Ate_Rev2007_Pasta2_casulo 5_casulo 15" xfId="610" xr:uid="{F96636F2-45F1-44DD-B83B-38735C94536B}"/>
    <cellStyle name="_PLPT_PLANILHA_CÁLCULO_DÉFICIT_RESOLUÇÃO_294_2007_COELCE_Sem_Gov_Estado-Ate_Rev2007_Pasta2_casulo 5_IRT EEB 2010" xfId="3389" xr:uid="{26DBDC39-D09B-49C0-B1EB-5D93BC246215}"/>
    <cellStyle name="_PLPT_PLANILHA_CÁLCULO_DÉFICIT_RESOLUÇÃO_294_2007_COELCE_Sem_Gov_Estado-Ate_Rev2007_Pasta2_IRT EEB 2010" xfId="3390" xr:uid="{1830291F-C083-47D9-BCAE-7BA60FCC87B7}"/>
    <cellStyle name="_PLPT_PLANILHA_CÁLCULO_DÉFICIT_RESOLUÇÃO_294_2007_COELCE_Sem_Gov_Estado-Ate_Rev2007_Pasta2_IRT Piratininga 2009" xfId="611" xr:uid="{04EF01DC-A2B5-4513-B317-212C8860F599}"/>
    <cellStyle name="_PLPT_PLANILHA_CÁLCULO_DÉFICIT_RESOLUÇÃO_294_2007_COELCE_Sem_Gov_Estado-Ate_Rev2007_Pasta2_IRT Piratininga 2009 2" xfId="1453" xr:uid="{F4A05711-CCDF-466C-BA6D-E455CC18A68F}"/>
    <cellStyle name="_PLPT_PLANILHA_CÁLCULO_DÉFICIT_RESOLUÇÃO_294_2007_COELCE_Sem_Gov_Estado-Ate_Rev2007_Pasta2_IRT Piratininga 2009_Balanço" xfId="612" xr:uid="{165909DF-083A-4525-A1A3-A82066525D0A}"/>
    <cellStyle name="_PLPT_PLANILHA_CÁLCULO_DÉFICIT_RESOLUÇÃO_294_2007_COELCE_Sem_Gov_Estado-Ate_Rev2007_Pasta2_IRT Piratininga 2009_casulo 15" xfId="613" xr:uid="{5EF13B1A-8EA0-4905-95AF-D457A572269F}"/>
    <cellStyle name="_PLPT_PLANILHA_CÁLCULO_DÉFICIT_RESOLUÇÃO_294_2007_COELCE_Sem_Gov_Estado-Ate_Rev2007_Pasta2_IRT Piratininga 2009_IRT EEB 2010" xfId="3391" xr:uid="{1EE7F010-BDE1-43CF-BD7C-0BA5019F9AFE}"/>
    <cellStyle name="_PLPT_PLANILHA_CÁLCULO_DÉFICIT_RESOLUÇÃO_294_2007_COELCE_Sem_Gov_Estado-Ate_Rev2007_Pasta2_IRT_EBB_mai2010d" xfId="3392" xr:uid="{0DC68740-B33F-4D08-8E7F-BF4CEE270237}"/>
    <cellStyle name="_PLPT_PLANILHA_CÁLCULO_DÉFICIT_RESOLUÇÃO_294_2007_COELCE_Sem_Gov_Estado-Ate_Rev2007_Pasta2_IRT_Planilha Básica_ CETRIL" xfId="614" xr:uid="{19C22D44-A857-4EF9-AE60-AE8FFA8362D1}"/>
    <cellStyle name="_PLPT_PLANILHA_CÁLCULO_DÉFICIT_RESOLUÇÃO_294_2007_COELCE_Sem_Gov_Estado-Ate_Rev2007_Pasta2_IRT_Planilha Básica_ CETRIL 2" xfId="1454" xr:uid="{0BAD9131-AA92-42B6-B761-87E4CCF8FC0B}"/>
    <cellStyle name="_PLPT_PLANILHA_CÁLCULO_DÉFICIT_RESOLUÇÃO_294_2007_COELCE_Sem_Gov_Estado-Ate_Rev2007_Pasta2_IRT_Planilha Básica_ CETRIL_Balanço" xfId="615" xr:uid="{AFED3623-1DC6-4C66-808B-960742F04FA0}"/>
    <cellStyle name="_PLPT_PLANILHA_CÁLCULO_DÉFICIT_RESOLUÇÃO_294_2007_COELCE_Sem_Gov_Estado-Ate_Rev2007_Pasta2_IRT_Planilha Básica_ CETRIL_casulo 15" xfId="616" xr:uid="{A9F94AB2-05CF-4423-A67B-DBA9CB1EE72E}"/>
    <cellStyle name="_PLPT_PLANILHA_CÁLCULO_DÉFICIT_RESOLUÇÃO_294_2007_COELCE_Sem_Gov_Estado-Ate_Rev2007_Pasta2_IRT_Planilha Básica_ CETRIL_IRT EEB 2010" xfId="3393" xr:uid="{1D39EAA4-B2DB-4654-A75E-0596D7484807}"/>
    <cellStyle name="_PLPT_PLANILHA_CÁLCULO_DÉFICIT_RESOLUÇÃO_294_2007_COELCE_Sem_Gov_Estado-Ate_Rev2007_Pasta2_IRT_Planilha Básica_DIRETORIA" xfId="3394" xr:uid="{722373DC-BEB9-4112-B0D8-0E30D9C8865A}"/>
    <cellStyle name="_PLPT_PLANILHA_CÁLCULO_DÉFICIT_RESOLUÇÃO_294_2007_COELCE_Sem_Gov_Estado-Ate_Rev2007_Pasta2_IRT_Planilha Básica_fev2010" xfId="3395" xr:uid="{FDA61373-1F09-45FD-A7BC-F198E3811EE2}"/>
    <cellStyle name="_PLPT_PLANILHA_CÁLCULO_DÉFICIT_RESOLUÇÃO_294_2007_COELCE_Sem_Gov_Estado-Ate_Rev2007_Pasta2_IRT_Planilha Básica_fev2010a" xfId="617" xr:uid="{ABEE35B5-5B61-4EBA-8028-7E621AB05244}"/>
    <cellStyle name="_PLPT_PLANILHA_CÁLCULO_DÉFICIT_RESOLUÇÃO_294_2007_COELCE_Sem_Gov_Estado-Ate_Rev2007_Pasta2_IRT_Planilha Básica_fev2010a 2" xfId="1455" xr:uid="{B4F81997-60ED-4D74-8C5C-DC595A8437C0}"/>
    <cellStyle name="_PLPT_PLANILHA_CÁLCULO_DÉFICIT_RESOLUÇÃO_294_2007_COELCE_Sem_Gov_Estado-Ate_Rev2007_Pasta2_IRT_Planilha Básica_fev2010a_Balanço" xfId="618" xr:uid="{E13318D0-7D7E-430A-B6FE-7251546DBDDF}"/>
    <cellStyle name="_PLPT_PLANILHA_CÁLCULO_DÉFICIT_RESOLUÇÃO_294_2007_COELCE_Sem_Gov_Estado-Ate_Rev2007_Pasta2_IRT_Planilha Básica_fev2010a_Balanço 2" xfId="1456" xr:uid="{D46FA825-E5CB-4428-AEF8-1E73587237D2}"/>
    <cellStyle name="_PLPT_PLANILHA_CÁLCULO_DÉFICIT_RESOLUÇÃO_294_2007_COELCE_Sem_Gov_Estado-Ate_Rev2007_Pasta2_IRT_Planilha Básica_fev2010a_casulo 15" xfId="619" xr:uid="{DCD803C5-F51B-4E4F-9D4C-CCD44A60B391}"/>
    <cellStyle name="_PLPT_PLANILHA_CÁLCULO_DÉFICIT_RESOLUÇÃO_294_2007_COELCE_Sem_Gov_Estado-Ate_Rev2007_Pasta2_IRT_Planilha Básica_fev2010a_casulo 5" xfId="620" xr:uid="{7ADC7DD2-218E-4965-A9D4-45F50A604C31}"/>
    <cellStyle name="_PLPT_PLANILHA_CÁLCULO_DÉFICIT_RESOLUÇÃO_294_2007_COELCE_Sem_Gov_Estado-Ate_Rev2007_Pasta2_IRT_Planilha Básica_fev2010a_casulo 5 2" xfId="1457" xr:uid="{2BDCFE34-B7D1-49D8-A8D5-51B0EF0EF145}"/>
    <cellStyle name="_PLPT_PLANILHA_CÁLCULO_DÉFICIT_RESOLUÇÃO_294_2007_COELCE_Sem_Gov_Estado-Ate_Rev2007_Pasta2_IRT_Planilha Básica_fev2010a_casulo 5_Balanço" xfId="621" xr:uid="{86CEF071-66C8-486D-AEE5-35BFAF1077DB}"/>
    <cellStyle name="_PLPT_PLANILHA_CÁLCULO_DÉFICIT_RESOLUÇÃO_294_2007_COELCE_Sem_Gov_Estado-Ate_Rev2007_Pasta2_IRT_Planilha Básica_fev2010a_casulo 5_casulo 15" xfId="622" xr:uid="{B4268B6D-AC83-4DA3-974C-66A2A2E83B7E}"/>
    <cellStyle name="_PLPT_PLANILHA_CÁLCULO_DÉFICIT_RESOLUÇÃO_294_2007_COELCE_Sem_Gov_Estado-Ate_Rev2007_Pasta2_IRT_Planilha Básica_fev2010a_casulo 5_IRT EEB 2010" xfId="3396" xr:uid="{BA0D054E-C370-49F5-B1BE-5B366A0346D1}"/>
    <cellStyle name="_PLPT_PLANILHA_CÁLCULO_DÉFICIT_RESOLUÇÃO_294_2007_COELCE_Sem_Gov_Estado-Ate_Rev2007_Pasta2_IRT_Planilha Básica_fev2010a_IRT EEB 2010" xfId="3397" xr:uid="{F60C7469-E836-441A-B21C-E2E03F54E83F}"/>
    <cellStyle name="_PLPT_PLANILHA_CÁLCULO_DÉFICIT_RESOLUÇÃO_294_2007_COELCE_Sem_Gov_Estado-Ate_Rev2007_Pasta2_IRT_Planilha Básica_jan2010" xfId="3398" xr:uid="{CA25AC45-B91A-4221-B0AE-855DC343F59C}"/>
    <cellStyle name="_PLPT_PLANILHA_CÁLCULO_DÉFICIT_RESOLUÇÃO_294_2007_COELCE_Sem_Gov_Estado-Ate_Rev2007_Pasta2_IRT_Planilha Básica_mar2010b" xfId="3399" xr:uid="{7C993E9A-18E5-4617-89B3-DE2AA67A076E}"/>
    <cellStyle name="_PLPT_PLANILHA_CÁLCULO_DÉFICIT_RESOLUÇÃO_294_2007_COELCE_Sem_Gov_Estado-Ate_Rev2007_Pasta2_IRT_Planilha Básica_mar2010d" xfId="623" xr:uid="{04603009-59C2-4615-B4A1-824E3E321352}"/>
    <cellStyle name="_PLPT_PLANILHA_CÁLCULO_DÉFICIT_RESOLUÇÃO_294_2007_COELCE_Sem_Gov_Estado-Ate_Rev2007_Pasta2_IRT_Planilha Básica_mar2010d 2" xfId="1458" xr:uid="{E0587891-F300-4872-92ED-22DED151DCB4}"/>
    <cellStyle name="_PLPT_PLANILHA_CÁLCULO_DÉFICIT_RESOLUÇÃO_294_2007_COELCE_Sem_Gov_Estado-Ate_Rev2007_Pasta2_IRT_Planilha Básica_NOVA METODOLOGIA" xfId="3400" xr:uid="{D3EBAE31-A96F-4AE3-880A-B64087C54504}"/>
    <cellStyle name="_PLPT_PLANILHA_CÁLCULO_DÉFICIT_RESOLUÇÃO_294_2007_COELCE_Sem_Gov_Estado-Ate_Rev2007_Pasta2_IRT_Santa 2010" xfId="3401" xr:uid="{FDBA39B1-6385-4958-90C9-BF5E045C448E}"/>
    <cellStyle name="_PLPT_PLANILHA_CÁLCULO_DÉFICIT_RESOLUÇÃO_294_2007_COELCE_Sem_Gov_Estado-Ate_Rev2007_Pasta2_IRT-cálculo" xfId="3402" xr:uid="{F3193CA4-D108-42C9-8B16-138F794C2530}"/>
    <cellStyle name="_PLPT_PLANILHA_CÁLCULO_DÉFICIT_RESOLUÇÃO_294_2007_COELCE_Sem_Gov_Estado-Ate_Rev2007_Pasta2_IRT-cálculo CAPA NEUTRALIDADE" xfId="3403" xr:uid="{1D541B5A-9AAA-4766-969A-CDABB79616CF}"/>
    <cellStyle name="_PLPT_PLANILHA_CÁLCULO_DÉFICIT_RESOLUÇÃO_294_2007_COELCE_Sem_Gov_Estado-Ate_Rev2007_Pasta2_Resultados_DEA_RND_QUAL_PERDAS" xfId="42551" xr:uid="{682C1DE9-DDC4-46A5-8999-F7FD4DF51BC3}"/>
    <cellStyle name="_PLPT_PLANILHA_CÁLCULO_DÉFICIT_RESOLUÇÃO_294_2007_COELCE_Sem_Gov_Estado-Ate_Rev2007_Pasta2_teste ampla" xfId="624" xr:uid="{98513966-93C1-4CEF-8D2F-D2CAAC320CF4}"/>
    <cellStyle name="_PLPT_PLANILHA_CÁLCULO_DÉFICIT_RESOLUÇÃO_294_2007_COELCE_Sem_Gov_Estado-Ate_Rev2007_Pasta2_teste ampla 2" xfId="1459" xr:uid="{08995E42-D0DC-42E4-B927-D579A0E6522D}"/>
    <cellStyle name="_PLPT_PLANILHA_CÁLCULO_DÉFICIT_RESOLUÇÃO_294_2007_COELCE_Sem_Gov_Estado-Ate_Rev2007_Pasta2_teste ampla_Balanço" xfId="625" xr:uid="{BC524E48-CDE8-48BC-972F-0B601A750F47}"/>
    <cellStyle name="_PLPT_PLANILHA_CÁLCULO_DÉFICIT_RESOLUÇÃO_294_2007_COELCE_Sem_Gov_Estado-Ate_Rev2007_Pasta2_teste ampla_Balanço 2" xfId="1460" xr:uid="{DA31DA7A-9E4E-4E3C-9607-12A6578A8A3F}"/>
    <cellStyle name="_PLPT_PLANILHA_CÁLCULO_DÉFICIT_RESOLUÇÃO_294_2007_COELCE_Sem_Gov_Estado-Ate_Rev2007_Pasta2_teste ampla_casulo 15" xfId="626" xr:uid="{A72CE0D4-CF4E-4496-9626-AAF5C90F5802}"/>
    <cellStyle name="_PLPT_PLANILHA_CÁLCULO_DÉFICIT_RESOLUÇÃO_294_2007_COELCE_Sem_Gov_Estado-Ate_Rev2007_Pasta2_teste ampla_casulo 5" xfId="627" xr:uid="{EB3382EC-32D2-4EEA-AF08-EF25DCCCA4F3}"/>
    <cellStyle name="_PLPT_PLANILHA_CÁLCULO_DÉFICIT_RESOLUÇÃO_294_2007_COELCE_Sem_Gov_Estado-Ate_Rev2007_Pasta2_teste ampla_casulo 5 2" xfId="1461" xr:uid="{0883A965-67EF-4141-BB68-7A242065B2CC}"/>
    <cellStyle name="_PLPT_PLANILHA_CÁLCULO_DÉFICIT_RESOLUÇÃO_294_2007_COELCE_Sem_Gov_Estado-Ate_Rev2007_Pasta2_teste ampla_casulo 5_Balanço" xfId="628" xr:uid="{DB71B688-ECD6-4EF7-8D88-4202BC5F5D14}"/>
    <cellStyle name="_PLPT_PLANILHA_CÁLCULO_DÉFICIT_RESOLUÇÃO_294_2007_COELCE_Sem_Gov_Estado-Ate_Rev2007_Pasta2_teste ampla_casulo 5_casulo 15" xfId="629" xr:uid="{18998E54-F69E-4F96-8259-600A9F4D2968}"/>
    <cellStyle name="_PLPT_PLANILHA_CÁLCULO_DÉFICIT_RESOLUÇÃO_294_2007_COELCE_Sem_Gov_Estado-Ate_Rev2007_Pasta2_teste ampla_casulo 5_IRT EEB 2010" xfId="3404" xr:uid="{3FF1A8A8-F22A-4C1D-B7FC-BB6060248283}"/>
    <cellStyle name="_PLPT_PLANILHA_CÁLCULO_DÉFICIT_RESOLUÇÃO_294_2007_COELCE_Sem_Gov_Estado-Ate_Rev2007_Pasta2_teste ampla_IRT EEB 2010" xfId="3405" xr:uid="{0A0278C0-35A7-4482-825F-7CDE078FF22C}"/>
    <cellStyle name="_PLPT_PLANILHA_CÁLCULO_DÉFICIT_RESOLUÇÃO_294_2007_COELCE_Sem_Gov_Estado-Ate_Rev2007_Pleito_IRT_ESE_2010_Envio_ANEEL_Final_atualizado_05_04" xfId="3406" xr:uid="{B37D77B2-4BCE-4696-988B-069513D5CB23}"/>
    <cellStyle name="_PLPT_PLANILHA_CÁLCULO_DÉFICIT_RESOLUÇÃO_294_2007_COELCE_Sem_Gov_Estado-Ate_Rev2007_Resultados_DEA_RND_QUAL_PERDAS" xfId="42552" xr:uid="{BC600D84-A638-4BA1-85B3-011F3439FD40}"/>
    <cellStyle name="_PLPT_PLANILHA_CÁLCULO_DÉFICIT_RESOLUÇÃO_294_2007_COELCE_Sem_Gov_Estado-Ate_Rev2007_sobrecontratação 2009 v2" xfId="43261" xr:uid="{14314F4D-3A20-4FF3-8A19-DB4650ED66EB}"/>
    <cellStyle name="_PLPT_PLANILHA_CÁLCULO_DÉFICIT_RESOLUÇÃO_294_2007_COELCE_Sem_Gov_Estado-Ate_Rev2007_SOBRECONTRATAÇÃO E CVA Energisa Paraíba" xfId="3407" xr:uid="{C455DA24-E186-4389-80DF-8AA1B90E8727}"/>
    <cellStyle name="_PLPT_PLANILHA_CÁLCULO_DÉFICIT_RESOLUÇÃO_294_2007_COELCE_Sem_Gov_Estado-Ate_Rev2007_SOBRECONTRATAÇÃO EPB 2010" xfId="3408" xr:uid="{A41D4CE2-4FFF-4896-A50D-B5FF68E10BAA}"/>
    <cellStyle name="_PLPT_PLANILHA_CÁLCULO_DÉFICIT_RESOLUÇÃO_294_2007_COELCE_Sem_Gov_Estado-Ate_Rev2007_Sobrecontratação_e_CVA_Energia" xfId="3409" xr:uid="{68425192-7854-4416-B7AB-BD70BF95D5CD}"/>
    <cellStyle name="_PLPT_PLANILHA_CÁLCULO_DÉFICIT_RESOLUÇÃO_294_2007_COELCE_Sem_Gov_Estado-Ate_Rev2007_Sobrecontratação-CVAenergia_COSERN_IRT-2010_nova" xfId="1645" xr:uid="{6637843C-F03E-414F-B0A2-62C078282559}"/>
    <cellStyle name="_PLPT_PLANILHA_CÁLCULO_DÉFICIT_RESOLUÇÃO_294_2007_COELCE_Sem_Gov_Estado-Ate_Rev2007_Subsídios para análise da SRE" xfId="630" xr:uid="{2D51E37B-0F9C-4759-80D3-FEE257BB2A5A}"/>
    <cellStyle name="_PLPT_PLANILHA_CÁLCULO_DÉFICIT_RESOLUÇÃO_294_2007_COELCE_Sem_Gov_Estado-Ate_Rev2007_Subsídios para análise da SRE 2" xfId="1462" xr:uid="{D0B564CD-552F-49C8-8BDA-23C4B226A7A3}"/>
    <cellStyle name="_PLPT_PLANILHA_CÁLCULO_DÉFICIT_RESOLUÇÃO_294_2007_COELCE_Sem_Gov_Estado-Ate_Rev2007_Subsídios para análise da SRE_02 IRT Bandeirante 2009" xfId="3410" xr:uid="{3DDF4870-EEF0-4991-A6FB-60EC74685FF1}"/>
    <cellStyle name="_PLPT_PLANILHA_CÁLCULO_DÉFICIT_RESOLUÇÃO_294_2007_COELCE_Sem_Gov_Estado-Ate_Rev2007_Subsídios para análise da SRE_1" xfId="3411" xr:uid="{A1207786-74D4-4449-A2E2-F674420885F8}"/>
    <cellStyle name="_PLPT_PLANILHA_CÁLCULO_DÉFICIT_RESOLUÇÃO_294_2007_COELCE_Sem_Gov_Estado-Ate_Rev2007_Subsídios para análise da SRE_Balanço" xfId="631" xr:uid="{6BB37373-1A35-4A7B-AE32-F7A522CB6BE6}"/>
    <cellStyle name="_PLPT_PLANILHA_CÁLCULO_DÉFICIT_RESOLUÇÃO_294_2007_COELCE_Sem_Gov_Estado-Ate_Rev2007_Subsídios para análise da SRE_Balanço 2" xfId="1463" xr:uid="{615BB811-0340-40CF-91D2-1A22B1CB1D2E}"/>
    <cellStyle name="_PLPT_PLANILHA_CÁLCULO_DÉFICIT_RESOLUÇÃO_294_2007_COELCE_Sem_Gov_Estado-Ate_Rev2007_Subsídios para análise da SRE_casulo 15" xfId="632" xr:uid="{07AC3F36-E6E5-474D-BB5F-3B366D1D5FCB}"/>
    <cellStyle name="_PLPT_PLANILHA_CÁLCULO_DÉFICIT_RESOLUÇÃO_294_2007_COELCE_Sem_Gov_Estado-Ate_Rev2007_Subsídios para análise da SRE_casulo 5" xfId="633" xr:uid="{AAAEFFA2-C8CC-4AB0-A26A-739DDFB6CE67}"/>
    <cellStyle name="_PLPT_PLANILHA_CÁLCULO_DÉFICIT_RESOLUÇÃO_294_2007_COELCE_Sem_Gov_Estado-Ate_Rev2007_Subsídios para análise da SRE_casulo 5 2" xfId="1464" xr:uid="{128B461A-CBF9-4B9F-9361-5E77272EB1CB}"/>
    <cellStyle name="_PLPT_PLANILHA_CÁLCULO_DÉFICIT_RESOLUÇÃO_294_2007_COELCE_Sem_Gov_Estado-Ate_Rev2007_Subsídios para análise da SRE_casulo 5_Balanço" xfId="634" xr:uid="{854F8F06-AC43-4847-B47B-8E18C0EA86E9}"/>
    <cellStyle name="_PLPT_PLANILHA_CÁLCULO_DÉFICIT_RESOLUÇÃO_294_2007_COELCE_Sem_Gov_Estado-Ate_Rev2007_Subsídios para análise da SRE_casulo 5_casulo 15" xfId="635" xr:uid="{43BEC669-8980-4C89-8FE9-5F26C92F38A3}"/>
    <cellStyle name="_PLPT_PLANILHA_CÁLCULO_DÉFICIT_RESOLUÇÃO_294_2007_COELCE_Sem_Gov_Estado-Ate_Rev2007_Subsídios para análise da SRE_casulo 5_IRT EEB 2010" xfId="3412" xr:uid="{86466E4C-62EA-4B66-AB9F-8F9AC4014CDA}"/>
    <cellStyle name="_PLPT_PLANILHA_CÁLCULO_DÉFICIT_RESOLUÇÃO_294_2007_COELCE_Sem_Gov_Estado-Ate_Rev2007_Subsídios para análise da SRE_IRT EEB 2010" xfId="3413" xr:uid="{B0C7E721-3EBF-4306-8C14-8D54ABA8B453}"/>
    <cellStyle name="_PLPT_PLANILHA_CÁLCULO_DÉFICIT_RESOLUÇÃO_294_2007_COELCE_Sem_Gov_Estado-Ate_Rev2007_Subsídios para análise da SRE_IRT Piratininga 2009" xfId="636" xr:uid="{F48FAD97-E849-44C3-AD00-4FD57E19275C}"/>
    <cellStyle name="_PLPT_PLANILHA_CÁLCULO_DÉFICIT_RESOLUÇÃO_294_2007_COELCE_Sem_Gov_Estado-Ate_Rev2007_Subsídios para análise da SRE_IRT Piratininga 2009 2" xfId="1465" xr:uid="{E1FC56E2-845D-4A9B-A30D-0D1FFBB10CEC}"/>
    <cellStyle name="_PLPT_PLANILHA_CÁLCULO_DÉFICIT_RESOLUÇÃO_294_2007_COELCE_Sem_Gov_Estado-Ate_Rev2007_Subsídios para análise da SRE_IRT Piratininga 2009_Balanço" xfId="637" xr:uid="{D79D0A18-B386-4376-876B-A940B463C43D}"/>
    <cellStyle name="_PLPT_PLANILHA_CÁLCULO_DÉFICIT_RESOLUÇÃO_294_2007_COELCE_Sem_Gov_Estado-Ate_Rev2007_Subsídios para análise da SRE_IRT Piratininga 2009_casulo 15" xfId="638" xr:uid="{30203A45-7909-42BC-937C-C152AFF36F89}"/>
    <cellStyle name="_PLPT_PLANILHA_CÁLCULO_DÉFICIT_RESOLUÇÃO_294_2007_COELCE_Sem_Gov_Estado-Ate_Rev2007_Subsídios para análise da SRE_IRT Piratininga 2009_IRT EEB 2010" xfId="3414" xr:uid="{17D44050-564E-481B-BC8E-3BB238C7C868}"/>
    <cellStyle name="_PLPT_PLANILHA_CÁLCULO_DÉFICIT_RESOLUÇÃO_294_2007_COELCE_Sem_Gov_Estado-Ate_Rev2007_Subsídios para análise da SRE_IRT_EBB_mai2010d" xfId="3415" xr:uid="{705AEFA7-7296-4277-9A84-6B4020BE7B7F}"/>
    <cellStyle name="_PLPT_PLANILHA_CÁLCULO_DÉFICIT_RESOLUÇÃO_294_2007_COELCE_Sem_Gov_Estado-Ate_Rev2007_Subsídios para análise da SRE_IRT_Planilha Básica_ CETRIL" xfId="639" xr:uid="{28659D4D-7DFE-44E9-B483-56937503C3F9}"/>
    <cellStyle name="_PLPT_PLANILHA_CÁLCULO_DÉFICIT_RESOLUÇÃO_294_2007_COELCE_Sem_Gov_Estado-Ate_Rev2007_Subsídios para análise da SRE_IRT_Planilha Básica_ CETRIL 2" xfId="1466" xr:uid="{882C9138-E3BB-4F1E-96D5-0B35B87F3C5E}"/>
    <cellStyle name="_PLPT_PLANILHA_CÁLCULO_DÉFICIT_RESOLUÇÃO_294_2007_COELCE_Sem_Gov_Estado-Ate_Rev2007_Subsídios para análise da SRE_IRT_Planilha Básica_ CETRIL_Balanço" xfId="640" xr:uid="{05F00410-3E3D-450F-9FE8-A265E38F7D2E}"/>
    <cellStyle name="_PLPT_PLANILHA_CÁLCULO_DÉFICIT_RESOLUÇÃO_294_2007_COELCE_Sem_Gov_Estado-Ate_Rev2007_Subsídios para análise da SRE_IRT_Planilha Básica_ CETRIL_casulo 15" xfId="641" xr:uid="{717E58D1-F125-445A-854E-04901DF9EC51}"/>
    <cellStyle name="_PLPT_PLANILHA_CÁLCULO_DÉFICIT_RESOLUÇÃO_294_2007_COELCE_Sem_Gov_Estado-Ate_Rev2007_Subsídios para análise da SRE_IRT_Planilha Básica_ CETRIL_IRT EEB 2010" xfId="3416" xr:uid="{9F9A9504-3378-4AC7-9C1D-AEB264D89667}"/>
    <cellStyle name="_PLPT_PLANILHA_CÁLCULO_DÉFICIT_RESOLUÇÃO_294_2007_COELCE_Sem_Gov_Estado-Ate_Rev2007_Subsídios para análise da SRE_IRT_Planilha Básica_DIRETORIA" xfId="3417" xr:uid="{51A67070-BFED-48AF-903D-E9586CF0CF32}"/>
    <cellStyle name="_PLPT_PLANILHA_CÁLCULO_DÉFICIT_RESOLUÇÃO_294_2007_COELCE_Sem_Gov_Estado-Ate_Rev2007_Subsídios para análise da SRE_IRT_Planilha Básica_fev2010" xfId="3418" xr:uid="{E85EAF37-7069-4083-A86C-31A10856BB5C}"/>
    <cellStyle name="_PLPT_PLANILHA_CÁLCULO_DÉFICIT_RESOLUÇÃO_294_2007_COELCE_Sem_Gov_Estado-Ate_Rev2007_Subsídios para análise da SRE_IRT_Planilha Básica_fev2010a" xfId="642" xr:uid="{48958770-AB73-42D5-8D68-CAE63003B589}"/>
    <cellStyle name="_PLPT_PLANILHA_CÁLCULO_DÉFICIT_RESOLUÇÃO_294_2007_COELCE_Sem_Gov_Estado-Ate_Rev2007_Subsídios para análise da SRE_IRT_Planilha Básica_fev2010a 2" xfId="1467" xr:uid="{0139BC8C-2AFF-4C73-A8A7-70169BC045A4}"/>
    <cellStyle name="_PLPT_PLANILHA_CÁLCULO_DÉFICIT_RESOLUÇÃO_294_2007_COELCE_Sem_Gov_Estado-Ate_Rev2007_Subsídios para análise da SRE_IRT_Planilha Básica_fev2010a_Balanço" xfId="643" xr:uid="{8789A610-91E8-48C3-9F71-F61AA3BF3EF9}"/>
    <cellStyle name="_PLPT_PLANILHA_CÁLCULO_DÉFICIT_RESOLUÇÃO_294_2007_COELCE_Sem_Gov_Estado-Ate_Rev2007_Subsídios para análise da SRE_IRT_Planilha Básica_fev2010a_Balanço 2" xfId="1468" xr:uid="{D4B3D106-2F2A-4C7B-833C-8F53EBF09205}"/>
    <cellStyle name="_PLPT_PLANILHA_CÁLCULO_DÉFICIT_RESOLUÇÃO_294_2007_COELCE_Sem_Gov_Estado-Ate_Rev2007_Subsídios para análise da SRE_IRT_Planilha Básica_fev2010a_casulo 15" xfId="644" xr:uid="{45B49388-B3FC-415F-9B10-3046C432AE62}"/>
    <cellStyle name="_PLPT_PLANILHA_CÁLCULO_DÉFICIT_RESOLUÇÃO_294_2007_COELCE_Sem_Gov_Estado-Ate_Rev2007_Subsídios para análise da SRE_IRT_Planilha Básica_fev2010a_casulo 5" xfId="645" xr:uid="{1A04BFAC-E698-4731-83A9-366F3D28901E}"/>
    <cellStyle name="_PLPT_PLANILHA_CÁLCULO_DÉFICIT_RESOLUÇÃO_294_2007_COELCE_Sem_Gov_Estado-Ate_Rev2007_Subsídios para análise da SRE_IRT_Planilha Básica_fev2010a_casulo 5 2" xfId="1469" xr:uid="{13B9A861-5CEF-4135-8F30-DEE4EB064077}"/>
    <cellStyle name="_PLPT_PLANILHA_CÁLCULO_DÉFICIT_RESOLUÇÃO_294_2007_COELCE_Sem_Gov_Estado-Ate_Rev2007_Subsídios para análise da SRE_IRT_Planilha Básica_fev2010a_casulo 5_Balanço" xfId="646" xr:uid="{2A0ADDAA-39AE-4AD7-AE40-4F4C3B8AF55A}"/>
    <cellStyle name="_PLPT_PLANILHA_CÁLCULO_DÉFICIT_RESOLUÇÃO_294_2007_COELCE_Sem_Gov_Estado-Ate_Rev2007_Subsídios para análise da SRE_IRT_Planilha Básica_fev2010a_casulo 5_casulo 15" xfId="647" xr:uid="{CB86890B-49A0-42F7-807D-5180CC6AF5A3}"/>
    <cellStyle name="_PLPT_PLANILHA_CÁLCULO_DÉFICIT_RESOLUÇÃO_294_2007_COELCE_Sem_Gov_Estado-Ate_Rev2007_Subsídios para análise da SRE_IRT_Planilha Básica_fev2010a_casulo 5_IRT EEB 2010" xfId="3419" xr:uid="{4E207A89-8D88-4B9F-80AF-2B271ACAD54C}"/>
    <cellStyle name="_PLPT_PLANILHA_CÁLCULO_DÉFICIT_RESOLUÇÃO_294_2007_COELCE_Sem_Gov_Estado-Ate_Rev2007_Subsídios para análise da SRE_IRT_Planilha Básica_fev2010a_IRT EEB 2010" xfId="3420" xr:uid="{024E7C22-A340-46CB-AC46-F068E3AFD808}"/>
    <cellStyle name="_PLPT_PLANILHA_CÁLCULO_DÉFICIT_RESOLUÇÃO_294_2007_COELCE_Sem_Gov_Estado-Ate_Rev2007_Subsídios para análise da SRE_IRT_Planilha Básica_jan2010" xfId="3421" xr:uid="{42A76701-FC2C-4FB4-9435-90B6DB452FBC}"/>
    <cellStyle name="_PLPT_PLANILHA_CÁLCULO_DÉFICIT_RESOLUÇÃO_294_2007_COELCE_Sem_Gov_Estado-Ate_Rev2007_Subsídios para análise da SRE_IRT_Planilha Básica_mar2010b" xfId="3422" xr:uid="{D8F6BC7B-8548-400B-83EA-74CD72665B4E}"/>
    <cellStyle name="_PLPT_PLANILHA_CÁLCULO_DÉFICIT_RESOLUÇÃO_294_2007_COELCE_Sem_Gov_Estado-Ate_Rev2007_Subsídios para análise da SRE_IRT_Planilha Básica_mar2010d" xfId="648" xr:uid="{94F8C166-736F-452A-9EBD-8447B12E28A3}"/>
    <cellStyle name="_PLPT_PLANILHA_CÁLCULO_DÉFICIT_RESOLUÇÃO_294_2007_COELCE_Sem_Gov_Estado-Ate_Rev2007_Subsídios para análise da SRE_IRT_Planilha Básica_mar2010d 2" xfId="1470" xr:uid="{209F05BA-3472-4AA1-A72D-904B6829892C}"/>
    <cellStyle name="_PLPT_PLANILHA_CÁLCULO_DÉFICIT_RESOLUÇÃO_294_2007_COELCE_Sem_Gov_Estado-Ate_Rev2007_Subsídios para análise da SRE_IRT_Planilha Básica_NOVA METODOLOGIA" xfId="3423" xr:uid="{01370C74-BCC9-4B86-B667-4D626FBADF2B}"/>
    <cellStyle name="_PLPT_PLANILHA_CÁLCULO_DÉFICIT_RESOLUÇÃO_294_2007_COELCE_Sem_Gov_Estado-Ate_Rev2007_Subsídios para análise da SRE_IRT_Santa 2010" xfId="3424" xr:uid="{74EB1417-1A31-4ABF-B596-12AD9711DF45}"/>
    <cellStyle name="_PLPT_PLANILHA_CÁLCULO_DÉFICIT_RESOLUÇÃO_294_2007_COELCE_Sem_Gov_Estado-Ate_Rev2007_Subsídios para análise da SRE_IRT-cálculo" xfId="3425" xr:uid="{76EEA240-D97D-4716-BBB2-D6D8E1D4D4D3}"/>
    <cellStyle name="_PLPT_PLANILHA_CÁLCULO_DÉFICIT_RESOLUÇÃO_294_2007_COELCE_Sem_Gov_Estado-Ate_Rev2007_Subsídios para análise da SRE_IRT-cálculo CAPA NEUTRALIDADE" xfId="3426" xr:uid="{3C68C66F-F19E-464A-B6B3-28BBCB6D6876}"/>
    <cellStyle name="_PLPT_PLANILHA_CÁLCULO_DÉFICIT_RESOLUÇÃO_294_2007_COELCE_Sem_Gov_Estado-Ate_Rev2007_Subsídios para análise da SRE_Resultados_DEA_RND_QUAL_PERDAS" xfId="42553" xr:uid="{2B7831B4-DE6E-48D5-8597-86F33715B7B8}"/>
    <cellStyle name="_PLPT_PLANILHA_CÁLCULO_DÉFICIT_RESOLUÇÃO_294_2007_COELCE_Sem_Gov_Estado-Ate_Rev2007_Subsídios para análise da SRE_teste ampla" xfId="649" xr:uid="{CC810426-4937-431D-A72F-20A983E1F636}"/>
    <cellStyle name="_PLPT_PLANILHA_CÁLCULO_DÉFICIT_RESOLUÇÃO_294_2007_COELCE_Sem_Gov_Estado-Ate_Rev2007_Subsídios para análise da SRE_teste ampla 2" xfId="1471" xr:uid="{C3C9966C-DB31-499B-BF0B-B775CF00A1F7}"/>
    <cellStyle name="_PLPT_PLANILHA_CÁLCULO_DÉFICIT_RESOLUÇÃO_294_2007_COELCE_Sem_Gov_Estado-Ate_Rev2007_Subsídios para análise da SRE_teste ampla_Balanço" xfId="650" xr:uid="{34B6D841-999B-462D-B537-56470DF289B0}"/>
    <cellStyle name="_PLPT_PLANILHA_CÁLCULO_DÉFICIT_RESOLUÇÃO_294_2007_COELCE_Sem_Gov_Estado-Ate_Rev2007_Subsídios para análise da SRE_teste ampla_Balanço 2" xfId="1472" xr:uid="{2388D81E-3D4A-448C-8DC0-C1690EE6244D}"/>
    <cellStyle name="_PLPT_PLANILHA_CÁLCULO_DÉFICIT_RESOLUÇÃO_294_2007_COELCE_Sem_Gov_Estado-Ate_Rev2007_Subsídios para análise da SRE_teste ampla_casulo 15" xfId="651" xr:uid="{593A9388-0EC2-4AA8-93F3-3C8124F9D530}"/>
    <cellStyle name="_PLPT_PLANILHA_CÁLCULO_DÉFICIT_RESOLUÇÃO_294_2007_COELCE_Sem_Gov_Estado-Ate_Rev2007_Subsídios para análise da SRE_teste ampla_casulo 5" xfId="652" xr:uid="{50A9D672-0F1B-4922-9C35-1DA04E02AFDA}"/>
    <cellStyle name="_PLPT_PLANILHA_CÁLCULO_DÉFICIT_RESOLUÇÃO_294_2007_COELCE_Sem_Gov_Estado-Ate_Rev2007_Subsídios para análise da SRE_teste ampla_casulo 5 2" xfId="1473" xr:uid="{6A27A3F1-01A9-4BC3-8425-58FCA21999E2}"/>
    <cellStyle name="_PLPT_PLANILHA_CÁLCULO_DÉFICIT_RESOLUÇÃO_294_2007_COELCE_Sem_Gov_Estado-Ate_Rev2007_Subsídios para análise da SRE_teste ampla_casulo 5_Balanço" xfId="653" xr:uid="{1D50F642-D29B-4D2E-9ED0-1A850D74E6D7}"/>
    <cellStyle name="_PLPT_PLANILHA_CÁLCULO_DÉFICIT_RESOLUÇÃO_294_2007_COELCE_Sem_Gov_Estado-Ate_Rev2007_Subsídios para análise da SRE_teste ampla_casulo 5_casulo 15" xfId="654" xr:uid="{00284C42-AFF3-405E-9BB4-447F0EBB5635}"/>
    <cellStyle name="_PLPT_PLANILHA_CÁLCULO_DÉFICIT_RESOLUÇÃO_294_2007_COELCE_Sem_Gov_Estado-Ate_Rev2007_Subsídios para análise da SRE_teste ampla_casulo 5_IRT EEB 2010" xfId="3427" xr:uid="{C73D2E11-AA20-45B8-8D54-33BC52DF0FAC}"/>
    <cellStyle name="_PLPT_PLANILHA_CÁLCULO_DÉFICIT_RESOLUÇÃO_294_2007_COELCE_Sem_Gov_Estado-Ate_Rev2007_Subsídios para análise da SRE_teste ampla_IRT EEB 2010" xfId="3428" xr:uid="{37666635-B1DA-4204-8E3E-23B1B1B394D9}"/>
    <cellStyle name="_PLPT_PLANILHA_CÁLCULO_DÉFICIT_RESOLUÇÃO_294_2007_COELCE_Sem_Gov_Estado-Ate_Rev2007_SubsídiosAnáliseSRE_COSERN_IRT-2010" xfId="1646" xr:uid="{2E8FFB35-7B01-4DBB-BCFC-5684EF8A41E3}"/>
    <cellStyle name="_PLPT_PLANILHA_CÁLCULO_DÉFICIT_RESOLUÇÃO_294_2007_COELCE_Sem_Gov_Estado-Ate_Rev2007_teste ampla" xfId="655" xr:uid="{31F540DB-0117-4E09-AAF4-94322DF9C963}"/>
    <cellStyle name="_PLPT_PLANILHA_CÁLCULO_DÉFICIT_RESOLUÇÃO_294_2007_COELCE_Sem_Gov_Estado-Ate_Rev2007_teste ampla 2" xfId="1474" xr:uid="{EEBB5D48-AAB1-45DF-AE79-774F4488E696}"/>
    <cellStyle name="_PLPT_PLANILHA_CÁLCULO_DÉFICIT_RESOLUÇÃO_294_2007_COELCE_Sem_Gov_Estado-Ate_Rev2007_teste ampla_Balanço" xfId="656" xr:uid="{4DF8A676-6E98-4438-8E00-AD5F8D6618A1}"/>
    <cellStyle name="_PLPT_PLANILHA_CÁLCULO_DÉFICIT_RESOLUÇÃO_294_2007_COELCE_Sem_Gov_Estado-Ate_Rev2007_teste ampla_Balanço 2" xfId="1475" xr:uid="{E844F95D-8C06-471D-BFDF-DF0633D1F0AB}"/>
    <cellStyle name="_PLPT_PLANILHA_CÁLCULO_DÉFICIT_RESOLUÇÃO_294_2007_COELCE_Sem_Gov_Estado-Ate_Rev2007_teste ampla_casulo 15" xfId="657" xr:uid="{4DAC590B-3FAC-412B-8506-741D9D3FD41A}"/>
    <cellStyle name="_PLPT_PLANILHA_CÁLCULO_DÉFICIT_RESOLUÇÃO_294_2007_COELCE_Sem_Gov_Estado-Ate_Rev2007_teste ampla_casulo 5" xfId="658" xr:uid="{18CCA092-839C-4A83-BBE2-EEFB8DD9D805}"/>
    <cellStyle name="_PLPT_PLANILHA_CÁLCULO_DÉFICIT_RESOLUÇÃO_294_2007_COELCE_Sem_Gov_Estado-Ate_Rev2007_teste ampla_casulo 5 2" xfId="1476" xr:uid="{1D16E571-C911-4C8D-80D4-083B47165F6E}"/>
    <cellStyle name="_PLPT_PLANILHA_CÁLCULO_DÉFICIT_RESOLUÇÃO_294_2007_COELCE_Sem_Gov_Estado-Ate_Rev2007_teste ampla_casulo 5_Balanço" xfId="659" xr:uid="{54ACB4F9-643E-4410-BE33-BCCBF61875A2}"/>
    <cellStyle name="_PLPT_PLANILHA_CÁLCULO_DÉFICIT_RESOLUÇÃO_294_2007_COELCE_Sem_Gov_Estado-Ate_Rev2007_teste ampla_casulo 5_casulo 15" xfId="660" xr:uid="{DD2E17B1-D0EB-46EB-BF8A-66688DB2E94C}"/>
    <cellStyle name="_PLPT_PLANILHA_CÁLCULO_DÉFICIT_RESOLUÇÃO_294_2007_COELCE_Sem_Gov_Estado-Ate_Rev2007_teste ampla_casulo 5_IRT EEB 2010" xfId="3429" xr:uid="{1F22F492-D64A-40D3-A919-EE9771570586}"/>
    <cellStyle name="_PLPT_PLANILHA_CÁLCULO_DÉFICIT_RESOLUÇÃO_294_2007_COELCE_Sem_Gov_Estado-Ate_Rev2007_teste ampla_IRT EEB 2010" xfId="3430" xr:uid="{C3983EA6-E8E3-4939-8AAF-B62E58B08F4C}"/>
    <cellStyle name="_PLPT_PLANILHA_CÁLCULO_DÉFICIT_RESOLUÇÃO_294_2007_V2" xfId="3431" xr:uid="{05412B6E-2094-4D4B-A55C-B205E378ADD9}"/>
    <cellStyle name="_PLPT_PLANILHA_CÁLCULO_DÉFICIT_RESOLUÇÃO_294_2007_V2_atualização serviços taxados" xfId="43262" xr:uid="{8683C717-67BC-4A37-BB1D-0F7BACB4DE34}"/>
    <cellStyle name="_PLPT_PLANILHA_CÁLCULO_DÉFICIT_RESOLUÇÃO_294_2007_V2_Financeiro Desconto na TUSD Consumidores Livres Reajuste 2010 - 03_03_2010" xfId="43263" xr:uid="{60560CF1-2F2E-4667-BBF8-9FADE169C255}"/>
    <cellStyle name="_PLPT_PLANILHA_CÁLCULO_DÉFICIT_RESOLUÇÃO_294_2007_V2_Financeiro Desconto na TUSD Geradores Reajuste 2010 - 03_03_2010" xfId="43264" xr:uid="{B72FF600-14E5-4D5B-BBFA-0A938C6B592A}"/>
    <cellStyle name="_PLPT_PLANILHA_CÁLCULO_DÉFICIT_RESOLUÇÃO_294_2007_V2_Financeiro Subsídio Baixa Renda Reajuste 2010 - 03_03_2010" xfId="43265" xr:uid="{92BDE9B1-1950-4BE2-B135-D0F1668141B8}"/>
    <cellStyle name="_PLPT_PLANILHA_CÁLCULO_DÉFICIT_RESOLUÇÃO_294_2007_V2_Financeiro Subsídio Rural Irrigante e Aquicultor Reajuste 2010 - 03_03_2010" xfId="43266" xr:uid="{E6C0BAD3-24ED-43ED-9E1C-2BD3FE563859}"/>
    <cellStyle name="_PLPT_PLANILHA_CÁLCULO_DÉFICIT_RESOLUÇÃO_294_2007_V3" xfId="3432" xr:uid="{D78F4173-C253-4BA3-8ED6-025B05A0FAFE}"/>
    <cellStyle name="_PLPT_PLANILHA_CÁLCULO_DÉFICIT_RESOLUÇÃO_294_2007_V3_atualização serviços taxados" xfId="43267" xr:uid="{60B83D01-B7CD-4229-A16A-ED075371220C}"/>
    <cellStyle name="_PLPT_PLANILHA_CÁLCULO_DÉFICIT_RESOLUÇÃO_294_2007_V3_Financeiro Desconto na TUSD Consumidores Livres Reajuste 2010 - 03_03_2010" xfId="43268" xr:uid="{3A6A34C6-3D90-4DED-A9D9-9E9953F28ECE}"/>
    <cellStyle name="_PLPT_PLANILHA_CÁLCULO_DÉFICIT_RESOLUÇÃO_294_2007_V3_Financeiro Desconto na TUSD Geradores Reajuste 2010 - 03_03_2010" xfId="43269" xr:uid="{D74482BB-DD88-4386-9855-F131226AA411}"/>
    <cellStyle name="_PLPT_PLANILHA_CÁLCULO_DÉFICIT_RESOLUÇÃO_294_2007_V3_Financeiro Subsídio Baixa Renda Reajuste 2010 - 03_03_2010" xfId="43270" xr:uid="{AD6645E7-130B-40F9-B291-3A3D7A5E2FA9}"/>
    <cellStyle name="_PLPT_PLANILHA_CÁLCULO_DÉFICIT_RESOLUÇÃO_294_2007_V3_Financeiro Subsídio Rural Irrigante e Aquicultor Reajuste 2010 - 03_03_2010" xfId="43271" xr:uid="{11822CCB-D2F0-470B-8E7A-14DD9C3BF86C}"/>
    <cellStyle name="_PLPT_PLANILHA_CÁLCULO_DÉFICIT_RESOLUÇÃO_294_2007_V3_IRT CEEE 2009" xfId="3433" xr:uid="{7568DB9D-0812-4E6C-A282-AEECEAC132F0}"/>
    <cellStyle name="_PLPT_Res294_v3_COSERN_IRT-2010" xfId="1647" xr:uid="{7D58744F-C6DF-4D55-951A-BA3D0EB38E23}"/>
    <cellStyle name="_PLPT_RES294_V4_IRT2010_ELEKTRO" xfId="1648" xr:uid="{865C57F1-A5E0-4270-908C-B350ED432168}"/>
    <cellStyle name="_Projeção Refrescos Guararapes" xfId="3434" xr:uid="{0BF7852B-02C5-4A80-9F0E-0B1D6F3F70BF}"/>
    <cellStyle name="_PRTP Copel - Tabelas Auxiliares" xfId="43272" xr:uid="{E39B5BF3-BDA1-4A68-9C2E-3BBBECD7EBCB}"/>
    <cellStyle name="_PRTP_ EBO vFINAL" xfId="3435" xr:uid="{1EA92072-07D1-4603-BB99-903850D30F3B}"/>
    <cellStyle name="_PRTP_EEVP_2007" xfId="43273" xr:uid="{6EB21035-5084-435B-8667-5A96ADB2509B}"/>
    <cellStyle name="_PRTP_Santa Cruz-AP2" xfId="3436" xr:uid="{D4759594-0F60-4316-9F0F-55A5D6D0F081}"/>
    <cellStyle name="_PRTP_Santa Cruz-Final" xfId="3437" xr:uid="{D8AAF9D7-702D-4293-B987-27B48C8E323A}"/>
    <cellStyle name="_PRTP_v5-COELCE-HOM" xfId="3438" xr:uid="{B2AEB79D-78AF-419C-AFA6-6A2B9C905CC6}"/>
    <cellStyle name="_PRTP_v5-COELCE-HOM_Abertura Tarifária CEB RTP 2008" xfId="3439" xr:uid="{BF5BD5F8-B15B-423C-A0AF-3E6D3B24503D}"/>
    <cellStyle name="_PRTP_v5-COELCE-HOM_Cópia de Cópia de SIMULAÇÃO ESTRUTURAv103 - REAJUSTE - teste ELETROPAULO 2008-C51" xfId="3440" xr:uid="{7ED4DDFB-7F4D-4B68-9F14-AE7D6AE8F585}"/>
    <cellStyle name="_PRTP_v5-COELCE-HOM_IRT-cálculo" xfId="3441" xr:uid="{B72A6F13-15CB-46B3-BB76-36CBF123E5AB}"/>
    <cellStyle name="_PRTP_v5-COELCE-HOM_IRT-cálculo CAPA NEUTRALIDADE" xfId="3442" xr:uid="{73B22888-E86A-4531-9A98-AE1A97664818}"/>
    <cellStyle name="_PRTP_v5-COELCE-HOM_NOVA PLANIILHA - REAJUSTE-5" xfId="3443" xr:uid="{904AE51F-4513-447A-821B-5A12904AC507}"/>
    <cellStyle name="_PRTP_v5-COELCE-HOM_NOVA PLANIILHA - REVISÃO 3" xfId="3444" xr:uid="{3595934E-489C-4648-AD65-9F293796EE7B}"/>
    <cellStyle name="_PRTP_v5-COELCE-HOM_NOVA PLANIILHA - REVISÃO 4" xfId="3445" xr:uid="{6B33F5F7-5453-4F00-990B-9D18137F5C2E}"/>
    <cellStyle name="_PRTP_v5-COELCE-HOM_NOVA PLANILHA REVISÃO 1" xfId="3446" xr:uid="{3614317B-DA3F-4F9E-85FA-2295E68C0AC0}"/>
    <cellStyle name="_PRTP_v5-COELCE-HOM_SIMULAÇÃO ESTRUTURAv103 - REAJUSTE - teste ELETROPAULO 2008-C33" xfId="3447" xr:uid="{2727AE25-E5C5-4173-81BE-84C43C08DAB8}"/>
    <cellStyle name="_PRTP_v6-xxxxx" xfId="3448" xr:uid="{67735AA7-2C6E-474C-9D33-36E125C53AA1}"/>
    <cellStyle name="_PRTP_vPUBLICAÇÃO_FINAL_-_CEMAT" xfId="3449" xr:uid="{358F0DCF-B8C4-4C4A-A816-C17F9BAB0304}"/>
    <cellStyle name="_QUADRO I -Desconto irrigantes 2007" xfId="3450" xr:uid="{9735DA30-7598-4282-949F-BB59739886FB}"/>
    <cellStyle name="_QUADRO I -Desconto irrigantes 2007_atualização serviços taxados" xfId="43274" xr:uid="{C28B2131-D05A-439A-BB70-F260D0B93FBA}"/>
    <cellStyle name="_QUADRO I -Desconto irrigantes 2007_Financeiro Desconto na TUSD Consumidores Livres Reajuste 2010 - 03_03_2010" xfId="43275" xr:uid="{FDFD3968-E900-4B8B-AED4-AABC61EAB470}"/>
    <cellStyle name="_QUADRO I -Desconto irrigantes 2007_Financeiro Desconto na TUSD Geradores Reajuste 2010 - 03_03_2010" xfId="43276" xr:uid="{2F8E1F4F-3878-4CA7-B88E-72D85A544F9A}"/>
    <cellStyle name="_QUADRO I -Desconto irrigantes 2007_Financeiro Subsídio Baixa Renda Reajuste 2010 - 03_03_2010" xfId="43277" xr:uid="{A3C6DF0D-7EDB-4526-9D01-D62758F69997}"/>
    <cellStyle name="_QUADRO I -Desconto irrigantes 2007_Financeiro Subsídio Rural Irrigante e Aquicultor Reajuste 2010 - 03_03_2010" xfId="43278" xr:uid="{0A495B9A-91D1-4712-B71B-EA41DB5C2BA8}"/>
    <cellStyle name="_QUADRO I -Desconto irrigantes 2007_IF - Autoprodutores 2" xfId="3451" xr:uid="{9E2F9D91-323D-4B43-A1A4-A773921077B1}"/>
    <cellStyle name="_QUADRO I -Desconto irrigantes 2007_IF_Consumidores livres e geradoras_2010" xfId="3452" xr:uid="{0709A018-0A22-4E4F-A887-02CBA92F1B1F}"/>
    <cellStyle name="_QUADRO I -Desconto irrigantes 2007_Sheet1" xfId="3453" xr:uid="{E562A63E-40E3-4522-B524-A6EF0BA47353}"/>
    <cellStyle name="_QUADRO II - CUSD's concatenação_elektro" xfId="3454" xr:uid="{1864C655-5229-4B67-A1F5-CEF4DE26A7C8}"/>
    <cellStyle name="_QUADRO II - CUSD's concatenação_elektro_atualização serviços taxados" xfId="43279" xr:uid="{D96DD17A-94D0-4558-8EBA-BAB6FE26C274}"/>
    <cellStyle name="_QUADRO II - CUSD's concatenação_elektro_Financeiro Desconto na TUSD Consumidores Livres Reajuste 2010 - 03_03_2010" xfId="43280" xr:uid="{5D650657-88A1-4CAB-B7C5-8B1FFEF4C1FC}"/>
    <cellStyle name="_QUADRO II - CUSD's concatenação_elektro_Financeiro Desconto na TUSD Geradores Reajuste 2010 - 03_03_2010" xfId="43281" xr:uid="{17777190-0BC3-4C83-97BE-EFEEDD0A28C0}"/>
    <cellStyle name="_QUADRO II - CUSD's concatenação_elektro_Financeiro Subsídio Baixa Renda Reajuste 2010 - 03_03_2010" xfId="43282" xr:uid="{8A4049F6-DB9A-418C-994D-647BB1DC3A01}"/>
    <cellStyle name="_QUADRO II - CUSD's concatenação_elektro_Financeiro Subsídio Rural Irrigante e Aquicultor Reajuste 2010 - 03_03_2010" xfId="43283" xr:uid="{7907E2CD-DE48-4B68-BD7B-2F8815BD9E37}"/>
    <cellStyle name="_QUADRO II - CUSD's concatenação_elektro_IF - Autoprodutores 2" xfId="3455" xr:uid="{84BE9EF2-5313-42AA-ACC1-21463E3A7B4F}"/>
    <cellStyle name="_QUADRO II - CUSD's concatenação_elektro_IF_Consumidores livres e geradoras_2010" xfId="3456" xr:uid="{8AFBAD78-7436-448D-B8A3-A9729C1EE308}"/>
    <cellStyle name="_QUADRO II - CUSD's concatenação_elektro_Sheet1" xfId="3457" xr:uid="{F2CA352B-DA7D-4D62-AE73-3EDD7C4A3CEE}"/>
    <cellStyle name="_QUADRO X - Baixa Renda" xfId="3458" xr:uid="{FBC6518A-1153-4851-BB7E-2B822150F6D2}"/>
    <cellStyle name="_QUADRO X - Baixa Renda_atualização serviços taxados" xfId="43284" xr:uid="{BF05040F-4B4C-4C5B-9B5F-B4652791F4E1}"/>
    <cellStyle name="_QUADRO X - Baixa Renda_Financeiro Desconto na TUSD Consumidores Livres Reajuste 2010 - 03_03_2010" xfId="43285" xr:uid="{59B67BC4-9B8D-49D8-9150-29CB94B84D58}"/>
    <cellStyle name="_QUADRO X - Baixa Renda_Financeiro Desconto na TUSD Geradores Reajuste 2010 - 03_03_2010" xfId="43286" xr:uid="{CDDB45F4-3EAD-471B-A357-5C1DF4AFDABF}"/>
    <cellStyle name="_QUADRO X - Baixa Renda_Financeiro Subsídio Baixa Renda Reajuste 2010 - 03_03_2010" xfId="43287" xr:uid="{4FFE082F-B2B0-4B39-973F-DCA636B494A5}"/>
    <cellStyle name="_QUADRO X - Baixa Renda_Financeiro Subsídio Rural Irrigante e Aquicultor Reajuste 2010 - 03_03_2010" xfId="43288" xr:uid="{CAED64AE-F007-4CDE-8164-DEA5690BE8EC}"/>
    <cellStyle name="_QUADRO X - Baixa Renda_IF - Autoprodutores 2" xfId="3459" xr:uid="{ABCD7EB8-17F7-458F-AB54-D82D543131EB}"/>
    <cellStyle name="_QUADRO X - Baixa Renda_IF_Consumidores livres e geradoras_2010" xfId="3460" xr:uid="{F6671BFA-9A46-4623-92E5-EBBA5C0B7E80}"/>
    <cellStyle name="_QUADRO X - Baixa Renda_Sheet1" xfId="3461" xr:uid="{7443B3C9-7EFB-4C42-88FA-309F138F4470}"/>
    <cellStyle name="_REDE BÁSICA" xfId="3462" xr:uid="{7020828F-2826-4665-B22C-0B66CB14E4C7}"/>
    <cellStyle name="_Resultados_DEA_RND_QUAL_PERDAS" xfId="42554" xr:uid="{A06E626E-2CAE-414F-AD70-4DA6DA761FE0}"/>
    <cellStyle name="_RGE - Repasse sobrecontratação" xfId="661" xr:uid="{D87A97E1-60EB-4C76-9F86-DA143DDA1660}"/>
    <cellStyle name="_RGE - Repasse sobrecontratação 2" xfId="1477" xr:uid="{CE9C4474-9EAD-449E-8AD5-01DB1F9B4174}"/>
    <cellStyle name="_RGE - Repasse sobrecontratação 3" xfId="3463" xr:uid="{2E9ED695-1CF0-4687-82DA-F61EDB18DDD2}"/>
    <cellStyle name="_RGE - Repasse sobrecontratação_Exposição_Agosto 2" xfId="3464" xr:uid="{1E87AF5F-F6B8-49F5-B4AD-A921F3C088BF}"/>
    <cellStyle name="_RGE - Repasse sobrecontratação_IRT_Revisão A-2" xfId="3465" xr:uid="{5D4E629A-B718-4BD3-8273-FB192BBFFAAE}"/>
    <cellStyle name="_RTP_EMG" xfId="3466" xr:uid="{6C0285B7-8A57-48D0-B32A-78FD2D2EFE1E}"/>
    <cellStyle name="_RTP_ESCELSA_Subsidio_077_fiscalizada_sff" xfId="662" xr:uid="{BA774144-BE3A-4B2B-9275-DF42FE782245}"/>
    <cellStyle name="_RTP_ESCELSA_Subsidio_077_fiscalizada_sff_atualização serviços taxados" xfId="43289" xr:uid="{B6C78EF3-C0A5-4695-8D93-39588BCC820A}"/>
    <cellStyle name="_RTP_ESCELSA_Subsidio_077_fiscalizada_sff_Cálculo do Financeiro do Baixa Renda" xfId="3467" xr:uid="{3F195FE4-8253-4442-B320-01E35C9C69B7}"/>
    <cellStyle name="_RTP_ESCELSA_Subsidio_077_fiscalizada_sff_Cálculo do Financeiro do Baixa Renda_IRT-cálculo" xfId="3468" xr:uid="{BDB2F6E7-CC2E-4064-BB61-86D5FAAE335A}"/>
    <cellStyle name="_RTP_ESCELSA_Subsidio_077_fiscalizada_sff_Cálculo do Financeiro do Baixa Renda_IRT-cálculo CAPA NEUTRALIDADE" xfId="3469" xr:uid="{8F052C85-F030-4145-A57B-9B3A52A86E19}"/>
    <cellStyle name="_RTP_ESCELSA_Subsidio_077_fiscalizada_sff_Calculo_Subsidio_ELFSM_26_06_08_Modelo_ANEEL" xfId="3470" xr:uid="{79376CE8-621E-4AAD-9A39-0DFCAA6F3F23}"/>
    <cellStyle name="_RTP_ESCELSA_Subsidio_077_fiscalizada_sff_Calculo_Subsidio_ELFSM_26_06_08_Modelo_ANEEL_IRT-cálculo" xfId="3471" xr:uid="{B9A5CBAB-CCD5-4748-9671-FED334B4004E}"/>
    <cellStyle name="_RTP_ESCELSA_Subsidio_077_fiscalizada_sff_Calculo_Subsidio_ELFSM_26_06_08_Modelo_ANEEL_IRT-cálculo CAPA NEUTRALIDADE" xfId="3472" xr:uid="{A6BB1567-E10A-4D0D-ADC0-84A5F98012BC}"/>
    <cellStyle name="_RTP_ESCELSA_Subsidio_077_fiscalizada_sff_Custo com Avaliação de Ativos para Base de Remuneração" xfId="3473" xr:uid="{7E0A4E38-2E82-480E-939A-ECCAF4F73382}"/>
    <cellStyle name="_RTP_ESCELSA_Subsidio_077_fiscalizada_sff_Custo com Avaliação de Ativos para Base de Remuneração_IRT-cálculo" xfId="3474" xr:uid="{3EA5F1EF-B009-4840-AC1B-357DA4B2914D}"/>
    <cellStyle name="_RTP_ESCELSA_Subsidio_077_fiscalizada_sff_Custo com Avaliação de Ativos para Base de Remuneração_IRT-cálculo CAPA NEUTRALIDADE" xfId="3475" xr:uid="{66BAA858-F023-45F8-B722-3199615E35ED}"/>
    <cellStyle name="_RTP_ESCELSA_Subsidio_077_fiscalizada_sff_Energia Comprada" xfId="3476" xr:uid="{4BCDB2C0-8C3E-4A8A-B101-6132993EA3D3}"/>
    <cellStyle name="_RTP_ESCELSA_Subsidio_077_fiscalizada_sff_Energia Comprada_IRT-cálculo" xfId="3477" xr:uid="{1A82ABE6-6D83-4443-9013-7BC22982AB26}"/>
    <cellStyle name="_RTP_ESCELSA_Subsidio_077_fiscalizada_sff_Energia Comprada_IRT-cálculo CAPA NEUTRALIDADE" xfId="3478" xr:uid="{6DCCBFDB-DA2B-4142-B15F-6413A0E02269}"/>
    <cellStyle name="_RTP_ESCELSA_Subsidio_077_fiscalizada_sff_Fator X" xfId="1649" xr:uid="{C03AD16C-5F0D-4A5C-A036-07C67B3A2D70}"/>
    <cellStyle name="_RTP_ESCELSA_Subsidio_077_fiscalizada_sff_Fator X_atualização serviços taxados" xfId="43290" xr:uid="{0D8CBBC3-7268-4A47-B5B8-28AED0A3CB7E}"/>
    <cellStyle name="_RTP_ESCELSA_Subsidio_077_fiscalizada_sff_Fator X_Financeiro Desconto na TUSD Consumidores Livres Reajuste 2010 - 03_03_2010" xfId="43291" xr:uid="{8EA6D498-9EB3-470A-8620-1908D9276CAB}"/>
    <cellStyle name="_RTP_ESCELSA_Subsidio_077_fiscalizada_sff_Fator X_Financeiro Desconto na TUSD Geradores Reajuste 2010 - 03_03_2010" xfId="43292" xr:uid="{F740AC61-DF96-4BFF-A259-E019F4FC26A3}"/>
    <cellStyle name="_RTP_ESCELSA_Subsidio_077_fiscalizada_sff_Fator X_Financeiro Subsídio Baixa Renda Reajuste 2010 - 03_03_2010" xfId="43293" xr:uid="{EE93CED9-CF5A-43AD-A125-65A0C0CE9B28}"/>
    <cellStyle name="_RTP_ESCELSA_Subsidio_077_fiscalizada_sff_Fator X_Financeiro Subsídio Rural Irrigante e Aquicultor Reajuste 2010 - 03_03_2010" xfId="43294" xr:uid="{2CDF73AA-5059-4492-B35C-61E5CD124EB6}"/>
    <cellStyle name="_RTP_ESCELSA_Subsidio_077_fiscalizada_sff_Fator X_IRT-cálculo" xfId="3479" xr:uid="{A1B83779-D269-4B71-B2AB-1B115F7BE234}"/>
    <cellStyle name="_RTP_ESCELSA_Subsidio_077_fiscalizada_sff_Fator X_IRT-cálculo CAPA NEUTRALIDADE" xfId="3480" xr:uid="{D23CA524-79FE-4CE9-81AE-5645A91A72FD}"/>
    <cellStyle name="_RTP_ESCELSA_Subsidio_077_fiscalizada_sff_Fator X_SOBRECONTRATAÇÃO E CVA" xfId="3481" xr:uid="{E138892F-79DA-4B23-BDB3-7C4667DF2B7F}"/>
    <cellStyle name="_RTP_ESCELSA_Subsidio_077_fiscalizada_sff_Financeiro Desconto na TUSD Consumidores Livres Reajuste 2010 - 03_03_2010" xfId="43295" xr:uid="{E652D20C-D3DD-49E9-A630-828BA65C5418}"/>
    <cellStyle name="_RTP_ESCELSA_Subsidio_077_fiscalizada_sff_Financeiro Desconto na TUSD Geradores Reajuste 2010 - 03_03_2010" xfId="43296" xr:uid="{72077DD3-62D7-4262-90B8-6C2F0B2FEA4C}"/>
    <cellStyle name="_RTP_ESCELSA_Subsidio_077_fiscalizada_sff_Financeiro Subsídio Baixa Renda Reajuste 2010 - 03_03_2010" xfId="43297" xr:uid="{CF5F0B62-07F6-42B4-9591-59CE75C2C972}"/>
    <cellStyle name="_RTP_ESCELSA_Subsidio_077_fiscalizada_sff_Financeiro Subsídio Rural Irrigante e Aquicultor Reajuste 2010 - 03_03_2010" xfId="43298" xr:uid="{91636703-38D7-4E87-8074-DAAD5E10C1F5}"/>
    <cellStyle name="_RTP_ESCELSA_Subsidio_077_fiscalizada_sff_IF - Autoprodutores 2" xfId="3482" xr:uid="{411664BB-B74C-45AC-9874-6BC67F345C07}"/>
    <cellStyle name="_RTP_ESCELSA_Subsidio_077_fiscalizada_sff_IF_Consumidores livres e geradoras_2010" xfId="3483" xr:uid="{932A1D4D-B374-4046-8B29-F60A04DB8235}"/>
    <cellStyle name="_RTP_ESCELSA_Subsidio_077_fiscalizada_sff_IRT (2)" xfId="1650" xr:uid="{0DB300C2-E66F-4AC0-B611-853A1E314426}"/>
    <cellStyle name="_RTP_ESCELSA_Subsidio_077_fiscalizada_sff_IRT (2) 2" xfId="3484" xr:uid="{7652B0F6-655A-4D4C-95AC-763901455D06}"/>
    <cellStyle name="_RTP_ESCELSA_Subsidio_077_fiscalizada_sff_IRT_1" xfId="1651" xr:uid="{17CEEA08-A58A-4C42-9A0A-B269FD57EAFF}"/>
    <cellStyle name="_RTP_ESCELSA_Subsidio_077_fiscalizada_sff_IRT_1_atualização serviços taxados" xfId="43299" xr:uid="{FA979C1C-EA63-4ACC-B3BD-AB1C45A835E6}"/>
    <cellStyle name="_RTP_ESCELSA_Subsidio_077_fiscalizada_sff_IRT_1_Financeiro Desconto na TUSD Consumidores Livres Reajuste 2010 - 03_03_2010" xfId="43300" xr:uid="{016E92E6-B83B-46A9-AEBA-F5D35AD8DD0C}"/>
    <cellStyle name="_RTP_ESCELSA_Subsidio_077_fiscalizada_sff_IRT_1_Financeiro Desconto na TUSD Geradores Reajuste 2010 - 03_03_2010" xfId="43301" xr:uid="{F154B78D-6186-47B9-ABEA-9589C6FF33EA}"/>
    <cellStyle name="_RTP_ESCELSA_Subsidio_077_fiscalizada_sff_IRT_1_Financeiro Subsídio Baixa Renda Reajuste 2010 - 03_03_2010" xfId="43302" xr:uid="{9396E68E-BB43-4AF9-9654-58F7CF77FB54}"/>
    <cellStyle name="_RTP_ESCELSA_Subsidio_077_fiscalizada_sff_IRT_1_Financeiro Subsídio Rural Irrigante e Aquicultor Reajuste 2010 - 03_03_2010" xfId="43303" xr:uid="{4C32806D-8681-474C-8E93-A2CA0F3E2BCC}"/>
    <cellStyle name="_RTP_ESCELSA_Subsidio_077_fiscalizada_sff_IRT_1_IRT-cálculo" xfId="3485" xr:uid="{92351F0E-39E9-4B8A-9441-8DFF199CE9A9}"/>
    <cellStyle name="_RTP_ESCELSA_Subsidio_077_fiscalizada_sff_IRT_1_IRT-cálculo CAPA NEUTRALIDADE" xfId="3486" xr:uid="{EFE6D1AC-01D1-445F-A531-2A861F2A5D27}"/>
    <cellStyle name="_RTP_ESCELSA_Subsidio_077_fiscalizada_sff_IRT_1_SOBRECONTRATAÇÃO E CVA" xfId="3487" xr:uid="{BA38B59D-7D1D-40A9-90EA-F5396FA7CBBD}"/>
    <cellStyle name="_RTP_ESCELSA_Subsidio_077_fiscalizada_sff_IRT_Pleito" xfId="3488" xr:uid="{4CB1B7C9-82D4-4D46-B5F9-AE6C5171252B}"/>
    <cellStyle name="_RTP_ESCELSA_Subsidio_077_fiscalizada_sff_IRT_Pleito_IRT-cálculo" xfId="3489" xr:uid="{A5ABE8EB-337D-4213-A2A3-54B14CCCFB46}"/>
    <cellStyle name="_RTP_ESCELSA_Subsidio_077_fiscalizada_sff_IRT_Pleito_IRT-cálculo CAPA NEUTRALIDADE" xfId="3490" xr:uid="{06EFD016-36D8-4AB4-B24F-4D6FC9BE895D}"/>
    <cellStyle name="_RTP_ESCELSA_Subsidio_077_fiscalizada_sff_IRT_Revisão A-1" xfId="3491" xr:uid="{71A205E1-9522-4B37-B154-A9C6FD9E2F7A}"/>
    <cellStyle name="_RTP_ESCELSA_Subsidio_077_fiscalizada_sff_IRT-cálculo" xfId="3492" xr:uid="{9E9F582A-994F-4C48-A195-DDC25D1CCE71}"/>
    <cellStyle name="_RTP_ESCELSA_Subsidio_077_fiscalizada_sff_IRT-cálculo CAPA NEUTRALIDADE" xfId="3493" xr:uid="{1D307972-4756-4F1E-9D14-A88AC0BBBAE3}"/>
    <cellStyle name="_RTP_ESCELSA_Subsidio_077_fiscalizada_sff_Pasta1" xfId="1652" xr:uid="{49E884B2-F378-46C9-A074-76FCB646FF7B}"/>
    <cellStyle name="_RTP_ESCELSA_Subsidio_077_fiscalizada_sff_Pasta1_atualização serviços taxados" xfId="43304" xr:uid="{D055A5B5-E91B-448D-9772-E46E4AC7C3BD}"/>
    <cellStyle name="_RTP_ESCELSA_Subsidio_077_fiscalizada_sff_Pasta1_Financeiro Desconto na TUSD Consumidores Livres Reajuste 2010 - 03_03_2010" xfId="43305" xr:uid="{50D42A5E-AF53-4715-B7EA-58D6C10A5CB3}"/>
    <cellStyle name="_RTP_ESCELSA_Subsidio_077_fiscalizada_sff_Pasta1_Financeiro Desconto na TUSD Geradores Reajuste 2010 - 03_03_2010" xfId="43306" xr:uid="{B92737C1-5738-4EAD-82C6-C992BB5CF7FA}"/>
    <cellStyle name="_RTP_ESCELSA_Subsidio_077_fiscalizada_sff_Pasta1_Financeiro Subsídio Baixa Renda Reajuste 2010 - 03_03_2010" xfId="43307" xr:uid="{0744B65C-2593-413B-9495-C9A16E590283}"/>
    <cellStyle name="_RTP_ESCELSA_Subsidio_077_fiscalizada_sff_Pasta1_Financeiro Subsídio Rural Irrigante e Aquicultor Reajuste 2010 - 03_03_2010" xfId="43308" xr:uid="{5B669074-B1E0-4B9B-B4EE-34D3B512655F}"/>
    <cellStyle name="_RTP_ESCELSA_Subsidio_077_fiscalizada_sff_Pasta1_IRT-cálculo" xfId="3494" xr:uid="{605B1945-19DB-4018-B162-950F2AA6618B}"/>
    <cellStyle name="_RTP_ESCELSA_Subsidio_077_fiscalizada_sff_Pasta1_IRT-cálculo CAPA NEUTRALIDADE" xfId="3495" xr:uid="{242E5C65-FD62-4C2A-AE69-959CF3B29485}"/>
    <cellStyle name="_RTP_ESCELSA_Subsidio_077_fiscalizada_sff_Pasta1_SOBRECONTRATAÇÃO E CVA" xfId="3496" xr:uid="{473A674F-4383-49C2-A73E-D61BD84B4F33}"/>
    <cellStyle name="_RTP_ESCELSA_Subsidio_077_fiscalizada_sff_Sheet1" xfId="3497" xr:uid="{1CD1D1A9-45C4-4D95-ABDC-9D6F1FA3A973}"/>
    <cellStyle name="_RTP_ESCELSA_Subsidio_077_fiscalizada_sff_Sheet2" xfId="3498" xr:uid="{67EEFF8F-9AC2-4699-ADB3-2482017629F1}"/>
    <cellStyle name="_RTP_ESCELSA_Subsidio_077_fiscalizada_sff_SOBRECONTRATAÇÃO E CVA" xfId="3499" xr:uid="{55B435F7-F265-47DB-AB04-B2E5CD6D544F}"/>
    <cellStyle name="_Santa Cruz Cliente por área 27062007" xfId="3500" xr:uid="{81EBAE8E-5972-468F-A363-7632C698563D}"/>
    <cellStyle name="_SANTA CRUZ_2_CICLO_DADOS_INICIAIS" xfId="3501" xr:uid="{804DCCD6-D408-4C97-8F61-6E9B6024FCDF}"/>
    <cellStyle name="_SANTA CRUZ_2_CICLO_DADOS_INICIAIS (v 26-06)" xfId="3502" xr:uid="{01F5308C-93B5-41AB-9015-2C0D6901D976}"/>
    <cellStyle name="_SANTA CRUZ_2_CICLO_DADOS_INICIAIS (Vx)" xfId="3503" xr:uid="{CDBD5173-3127-4508-A032-629E78A42F62}"/>
    <cellStyle name="_SANTA CRUZ_2_CICLO_DADOS_INICIAIS(v4)" xfId="3504" xr:uid="{8CEAEA18-F532-49EA-A649-A23DCFC03C04}"/>
    <cellStyle name="_SANTA CRUZ_2_CICLO_DADOS_INICIAIS_E3" xfId="3505" xr:uid="{C2B64C03-7E63-4320-BC8E-7C0898CACD94}"/>
    <cellStyle name="_SANTA CRUZ_2_CICLO_DADOS_INICIAIS-28jun - EV" xfId="3506" xr:uid="{C4B7553E-ACEE-4428-BCBB-94676C92BF1A}"/>
    <cellStyle name="_SANTA CRUZ_2_CICLO_DADOS_MERCADO_E1 (14jun)" xfId="3507" xr:uid="{94385D4E-B9E4-4046-8F58-7DD8060870D4}"/>
    <cellStyle name="_SANTA CRUZ_2_CICLO_DADOS_MERCADO_E1 (15jun)" xfId="3508" xr:uid="{7B5504B8-051B-4241-B234-56404EBB4529}"/>
    <cellStyle name="_Santa Maria - Cons por municipio" xfId="3509" xr:uid="{A3298E88-1954-4C12-BA6F-BB58644FDCE8}"/>
    <cellStyle name="_Simulação AES SUL 03_04_07" xfId="663" xr:uid="{A23A12C7-354C-4E9E-9E2D-9B33AA1AB244}"/>
    <cellStyle name="_Simulação AES SUL 03_04_07 2" xfId="1478" xr:uid="{8E31D619-42A0-4BBF-B702-9DEB683E9A46}"/>
    <cellStyle name="_Simulação AES SUL 03_04_07_Balanço" xfId="664" xr:uid="{1B816512-C1CD-4D24-976A-F84EA1082DCF}"/>
    <cellStyle name="_Simulação AES SUL 03_04_07_casulo 15" xfId="665" xr:uid="{3D310DF6-C173-4798-96EC-4455D3CF7FB2}"/>
    <cellStyle name="_Simulação AES SUL 03_04_07_IRT EEB 2010" xfId="3510" xr:uid="{CB654D1E-F5C5-4A66-B3DD-7A4FFD7E9B75}"/>
    <cellStyle name="_Simulação CAIUA - ANEEL" xfId="3511" xr:uid="{4410EC84-18A9-40DF-B5C0-89F914676737}"/>
    <cellStyle name="_Simulação CAIUA - ANEEL_2009.04.09 EEB IRT2009 Conexao CEMIG C Financeiro" xfId="3512" xr:uid="{E0054EFC-2FD2-4C04-81CA-3F881BB4428D}"/>
    <cellStyle name="_Simulação CAIUA - ANEEL_atualização serviços taxados" xfId="43309" xr:uid="{08461F4C-5BD9-4DF9-A7B0-6D518D61F1AB}"/>
    <cellStyle name="_Simulação CAIUA - ANEEL_CVA Borborema 2010 - Fiscalizada Final" xfId="3513" xr:uid="{780D57CC-9655-486F-A8AE-C1BFB34E8EFF}"/>
    <cellStyle name="_Simulação CAIUA - ANEEL_Financeiro Desconto na TUSD Consumidores Livres Reajuste 2010 - 03_03_2010" xfId="43310" xr:uid="{1270E181-49C5-43E6-8D1C-FC60EFF07E16}"/>
    <cellStyle name="_Simulação CAIUA - ANEEL_Financeiro Desconto na TUSD Geradores Reajuste 2010 - 03_03_2010" xfId="43311" xr:uid="{393131FF-301F-4A50-9518-919F32AEF6E1}"/>
    <cellStyle name="_Simulação CAIUA - ANEEL_Financeiro Subsídio Baixa Renda Reajuste 2010 - 03_03_2010" xfId="43312" xr:uid="{3919B3D0-D317-4D25-BB60-A933ED13C13A}"/>
    <cellStyle name="_Simulação CAIUA - ANEEL_Financeiro Subsídio Rural Irrigante e Aquicultor Reajuste 2010 - 03_03_2010" xfId="43313" xr:uid="{DEE184E8-8C1C-4B68-9B0A-9719EA58196E}"/>
    <cellStyle name="_Simulação CAIUA - ANEEL_IF - Autoprodutores 2" xfId="3514" xr:uid="{99AA1EBF-379E-4DF0-974C-44A7A3C67957}"/>
    <cellStyle name="_Simulação CAIUA - ANEEL_IF_Consumidores livres e geradoras_2010" xfId="3515" xr:uid="{C475D7E2-5E8F-492B-8F2F-1F6A3D5A4563}"/>
    <cellStyle name="_Simulação CAIUA - ANEEL_Sheet1" xfId="3516" xr:uid="{1C67A567-E930-4004-892D-40B1A597105B}"/>
    <cellStyle name="_Simulação CENF - ANEEL sobrecontratação" xfId="3517" xr:uid="{60975D2D-45BD-4C86-9EA8-4A679535B81B}"/>
    <cellStyle name="_Simulação CENF - ANEEL sobrecontratação_CVA Borborema 2010 - Fiscalizada Final" xfId="3518" xr:uid="{38151B84-F8C1-4A93-A761-C3FA53900DE6}"/>
    <cellStyle name="_Simulação congelamento COELCE 2011 - Propostas 3ª Fase AP040 (20.12.2011)" xfId="3519" xr:uid="{61C9B838-BF43-4DD8-A221-72186ED6FACB}"/>
    <cellStyle name="_Simulação Nova Carga Coteminas RT EBO" xfId="3520" xr:uid="{7D47ED58-755C-46AB-96A6-2A0E0E6C644B}"/>
    <cellStyle name="_Simulacao_4ª_RTP_ESCELSA_1" xfId="666" xr:uid="{BCAF18B9-1FEE-417F-9CD2-7EB33F6F31EA}"/>
    <cellStyle name="_Simulacao_4ª_RTP_ESCELSA_1_IF - Autoprodutores 2" xfId="3521" xr:uid="{B6A9BBA6-35CC-4D10-8CF8-4047C32D3C61}"/>
    <cellStyle name="_Simulacao_4ª_RTP_ESCELSA_1_IF_Consumidores livres e geradoras_2010" xfId="3522" xr:uid="{4F64C401-AACC-4BC1-A7C0-9DAC2F8705D6}"/>
    <cellStyle name="_Simulacao_4ª_RTP_ESCELSA_1_IRT-cálculo" xfId="3523" xr:uid="{E2907A78-1A13-414A-9C5F-08F4FD239241}"/>
    <cellStyle name="_Simulacao_4ª_RTP_ESCELSA_1_Sheet1" xfId="3524" xr:uid="{7F2D026A-EEEF-4179-B4E1-5ADBCD91183A}"/>
    <cellStyle name="_Simulador Ampla - Proposta Preliminar" xfId="3525" xr:uid="{005DB133-DBE5-42F3-AAEC-E088E9AC0C9F}"/>
    <cellStyle name="_Simulador Ampla_AP" xfId="3526" xr:uid="{0D59A846-93BD-4BEA-8B27-9A7D9BD206B1}"/>
    <cellStyle name="_Simulador CELPE_2009" xfId="43314" xr:uid="{54EFCC1A-CEBC-442E-8797-67209F5FB7EA}"/>
    <cellStyle name="_Simulador COSERN-final" xfId="3527" xr:uid="{6E13E8D0-87F1-4BD9-85FE-AAEA9A4F952C}"/>
    <cellStyle name="_Simulador COSERN-final_IF - Autoprodutores 2" xfId="3528" xr:uid="{C2C2D8B1-62E9-4836-85C1-5460AF6D7885}"/>
    <cellStyle name="_Simulador COSERN-final_IF_Consumidores livres e geradoras_2010" xfId="3529" xr:uid="{E90296A1-B99B-4B99-8737-2621B3E80E7F}"/>
    <cellStyle name="_Simulador COSERN-final_Sheet1" xfId="3530" xr:uid="{52ED523C-8B78-4B6C-A13A-C7897CD92E70}"/>
    <cellStyle name="_Simulador modelo" xfId="3531" xr:uid="{9CD27CD5-45F1-42E9-B1E2-C8ED7DEE6E54}"/>
    <cellStyle name="_Síntese Capex EBO encaminhado para Aneel" xfId="3532" xr:uid="{96E54049-3EA5-4EA8-B2A7-6EC14B6ECC21}"/>
    <cellStyle name="_Síntese Executiva" xfId="3533" xr:uid="{259AB607-3E2B-44B0-AE2C-C9267AB1AECA}"/>
    <cellStyle name="_Sobrecontr - Plan Cabral_CEAL" xfId="3534" xr:uid="{B518DA15-F645-4A58-85B0-35DFCDF7ED21}"/>
    <cellStyle name="_Sobrecontr - Plan Cabral_CEAL (!)" xfId="3535" xr:uid="{52F9DF76-AFF6-4FA3-ACBD-B9356F1181E6}"/>
    <cellStyle name="_Sobrecontr_CELPA - Plan.Cabral" xfId="3536" xr:uid="{5526430B-37BF-4594-BB21-09D6BD5E8DB0}"/>
    <cellStyle name="_Sobrecontr_ELEKTRO - Plan Cabral_2007" xfId="3537" xr:uid="{6B687026-DDF4-4110-8C0E-F0694E511C04}"/>
    <cellStyle name="_Sobrecontratação - Dados - Estimativa - Celpa CCEE" xfId="1653" xr:uid="{FF8F47A6-685E-4EC5-A1CE-01B7AD1A80B1}"/>
    <cellStyle name="_Sobrecontratação - Dados - Estimativa - Celpa CCEE 2" xfId="3538" xr:uid="{E7DE2D0C-8C85-479C-AC0B-B09EDFE349AC}"/>
    <cellStyle name="_Sobrecontratação - Dados - Estimativa - Celpa CCEE_atualização serviços taxados" xfId="43315" xr:uid="{C1257241-94D2-4DDB-A28A-8FCBDBDEAEDF}"/>
    <cellStyle name="_Sobrecontratação - Dados - Estimativa - Celpa CCEE_COELCE - RTO 2011 - PLPT_PLANILHA_CÁLCULO_DÉFICIT" xfId="3539" xr:uid="{EF70997F-F2A5-4914-B5B9-37C87C82EB6B}"/>
    <cellStyle name="_Sobrecontratação - Dados - Estimativa - Celpa CCEE_Financeiro Desconto na TUSD Consumidores Livres Reajuste 2010 - 03_03_2010" xfId="43316" xr:uid="{0E24C44E-9A4A-43A5-A269-59ECC37EEFBE}"/>
    <cellStyle name="_Sobrecontratação - Dados - Estimativa - Celpa CCEE_Financeiro Desconto na TUSD Geradores Reajuste 2010 - 03_03_2010" xfId="43317" xr:uid="{E1186079-41EF-4A30-BAD1-B4FCB1D904D6}"/>
    <cellStyle name="_Sobrecontratação - Dados - Estimativa - Celpa CCEE_Financeiro Subsídio Baixa Renda Reajuste 2010 - 03_03_2010" xfId="43318" xr:uid="{A9F9F3FF-8790-4FB0-BCCF-3049E628D6D3}"/>
    <cellStyle name="_Sobrecontratação - Dados - Estimativa - Celpa CCEE_Financeiro Subsídio Rural Irrigante e Aquicultor Reajuste 2010 - 03_03_2010" xfId="43319" xr:uid="{7A5FA2FF-653A-40BC-8F3B-E30F2D064E26}"/>
    <cellStyle name="_SOBRECONTRATAÇÃO - RES  255-2007 AES (2)" xfId="667" xr:uid="{4A7AF608-1C35-44B9-8B6B-0C922B859574}"/>
    <cellStyle name="_SOBRECONTRATAÇÃO - RES  255-2007 AES (2) 2" xfId="1479" xr:uid="{8BB65705-58E2-4A55-BF50-16326BD1A9DB}"/>
    <cellStyle name="_SOBRECONTRATAÇÃO - RES  255-2007 AES (2)_Balanço" xfId="668" xr:uid="{77167A44-F89F-4CED-83EC-CCAE5478FE81}"/>
    <cellStyle name="_SOBRECONTRATAÇÃO - RES  255-2007 AES (2)_casulo 15" xfId="669" xr:uid="{E268E347-F5E0-4194-9CA7-E3D41F91EB0A}"/>
    <cellStyle name="_SOBRECONTRATAÇÃO - RES  255-2007 AES (2)_IRT EEB 2010" xfId="3540" xr:uid="{E1CA87B3-240B-4EC1-B683-F6C6B99D1730}"/>
    <cellStyle name="_SOBRECONTRATAÇÃO - RES  255-2007 AES (3)" xfId="670" xr:uid="{3719C39B-121C-4187-ABD4-8FB713692500}"/>
    <cellStyle name="_SOBRECONTRATAÇÃO - RES  255-2007 AES (3) 2" xfId="1480" xr:uid="{3ED55F42-9F0D-4DA5-B623-E248CEAFEE17}"/>
    <cellStyle name="_SOBRECONTRATAÇÃO - RES  255-2007 AES (3)_Balanço" xfId="671" xr:uid="{917CF537-1D15-4AFF-81B2-FFF77423004B}"/>
    <cellStyle name="_SOBRECONTRATAÇÃO - RES  255-2007 AES (3)_casulo 15" xfId="672" xr:uid="{0CB0202F-FE0B-410A-A6CF-4AF494B3C197}"/>
    <cellStyle name="_SOBRECONTRATAÇÃO - RES  255-2007 AES (3)_IRT EEB 2010" xfId="3541" xr:uid="{9CF2D8C5-DDF0-4C68-AD31-EE40F54D77F1}"/>
    <cellStyle name="_SOBRECONTRATAÇÃO - RES  255-2007-ELEKTRO-Rec.PROINFA" xfId="3542" xr:uid="{5698982C-6B40-46BA-9DDF-5F866E2BD2A3}"/>
    <cellStyle name="_SOBRECONTRATAÇÃO - RES  255-2007-ELEKTRO-Rec.PROINFA_atualização serviços taxados" xfId="43320" xr:uid="{77914475-70A5-4BE1-9117-44E645B2223A}"/>
    <cellStyle name="_SOBRECONTRATAÇÃO - RES  255-2007-ELEKTRO-Rec.PROINFA_Financeiro Desconto na TUSD Consumidores Livres Reajuste 2010 - 03_03_2010" xfId="43321" xr:uid="{0597887F-E7AE-4709-8F9F-A2739BB09193}"/>
    <cellStyle name="_SOBRECONTRATAÇÃO - RES  255-2007-ELEKTRO-Rec.PROINFA_Financeiro Desconto na TUSD Geradores Reajuste 2010 - 03_03_2010" xfId="43322" xr:uid="{077573F2-EB6D-48A0-964B-532BDB8C4D48}"/>
    <cellStyle name="_SOBRECONTRATAÇÃO - RES  255-2007-ELEKTRO-Rec.PROINFA_Financeiro Subsídio Baixa Renda Reajuste 2010 - 03_03_2010" xfId="43323" xr:uid="{94579BBF-3AA0-4B07-A339-99CDF6461CC1}"/>
    <cellStyle name="_SOBRECONTRATAÇÃO - RES  255-2007-ELEKTRO-Rec.PROINFA_Financeiro Subsídio Rural Irrigante e Aquicultor Reajuste 2010 - 03_03_2010" xfId="43324" xr:uid="{197F868E-5079-4E85-867E-33D9815C10C2}"/>
    <cellStyle name="_SOBRECONTRATAÇÃO - RES. 255-2007, AES" xfId="673" xr:uid="{FA2A774F-E000-41CA-98F3-46F87B8457B2}"/>
    <cellStyle name="_SOBRECONTRATAÇÃO - RES. 255-2007, AES 2" xfId="1481" xr:uid="{7DAE0545-AC95-4EEB-AA57-048BDC0B1670}"/>
    <cellStyle name="_SOBRECONTRATAÇÃO - RES. 255-2007, AES_Balanço" xfId="674" xr:uid="{DDCFD949-806E-42FF-876E-7A4721BA2EEE}"/>
    <cellStyle name="_SOBRECONTRATAÇÃO - RES. 255-2007, AES_casulo 15" xfId="675" xr:uid="{66B1457E-C51E-4EBE-806C-0B894B88BA2B}"/>
    <cellStyle name="_SOBRECONTRATAÇÃO - RES. 255-2007, AES_IRT EEB 2010" xfId="3543" xr:uid="{E5C12414-AAD2-4024-9D9A-DF2130F8B2F8}"/>
    <cellStyle name="_SOBRECONTRATAÇÃO - SAELPA 2007" xfId="3544" xr:uid="{8369DB6A-F035-4B91-90C4-32E76FEC69B7}"/>
    <cellStyle name="_Sobrecontratação AES (2)" xfId="676" xr:uid="{765EC95F-A8A5-49B7-91D8-4D8BB5268E9F}"/>
    <cellStyle name="_Sobrecontratação AES (2) 2" xfId="1482" xr:uid="{2B2D1D3E-DD84-4BC8-B0A6-7B705BE76530}"/>
    <cellStyle name="_Sobrecontratação AES (2)_Balanço" xfId="677" xr:uid="{F59CE583-AD35-4D82-9D41-B4DDD6C5CED3}"/>
    <cellStyle name="_Sobrecontratação AES (2)_casulo 15" xfId="678" xr:uid="{74D11B04-897A-4DDD-91AD-A7B43F2983F8}"/>
    <cellStyle name="_Sobrecontratação AES (2)_IRT EEB 2010" xfId="3545" xr:uid="{091058C6-B7B9-4EA1-89DD-885152D42E32}"/>
    <cellStyle name="_SOBRECONTRATAÇÃO ANO CIVIL 2005 - CVA - APROVADO" xfId="3546" xr:uid="{32DCD121-CCFE-4907-9F6D-CAB16F345E44}"/>
    <cellStyle name="_SOBRECONTRATAÇÃO ANO CIVIL 2005 - CVA - APROVADO_atualização serviços taxados" xfId="43325" xr:uid="{570AA711-22FF-4F29-87C6-0E126F7AA231}"/>
    <cellStyle name="_SOBRECONTRATAÇÃO ANO CIVIL 2005 - CVA - APROVADO_Financeiro Desconto na TUSD Consumidores Livres Reajuste 2010 - 03_03_2010" xfId="43326" xr:uid="{569BD6FF-5270-4C0F-A1EE-7907D07E3E3A}"/>
    <cellStyle name="_SOBRECONTRATAÇÃO ANO CIVIL 2005 - CVA - APROVADO_Financeiro Desconto na TUSD Geradores Reajuste 2010 - 03_03_2010" xfId="43327" xr:uid="{E589DC25-6906-4807-A9C2-9D66960342C8}"/>
    <cellStyle name="_SOBRECONTRATAÇÃO ANO CIVIL 2005 - CVA - APROVADO_Financeiro Subsídio Baixa Renda Reajuste 2010 - 03_03_2010" xfId="43328" xr:uid="{FB583681-0AA2-4729-9D64-73B30CACBA48}"/>
    <cellStyle name="_SOBRECONTRATAÇÃO ANO CIVIL 2005 - CVA - APROVADO_Financeiro Subsídio Rural Irrigante e Aquicultor Reajuste 2010 - 03_03_2010" xfId="43329" xr:uid="{08958A42-EA98-4A4A-A0CE-037AE490A67D}"/>
    <cellStyle name="_SOBRECONTRATAÇÃO E CVA" xfId="3547" xr:uid="{8758CAD6-F5B9-4AE4-ABF2-7FB6F6653A5E}"/>
    <cellStyle name="_SOBRECONTRATAÇÃO E CVA A-1" xfId="3548" xr:uid="{A0FDA9DD-513D-469A-9C3F-8639EBA7FABE}"/>
    <cellStyle name="_SOBRECONTRATAÇÃO E CVA A-1_IRT-cálculo" xfId="3549" xr:uid="{1F020ACA-6EA6-4E33-B353-AC98F16B8867}"/>
    <cellStyle name="_SOBRECONTRATAÇÃO E CVA A-1_IRT-cálculo CAPA NEUTRALIDADE" xfId="3550" xr:uid="{1318C861-62B7-4B43-A3F7-9CD626DACB0A}"/>
    <cellStyle name="_SOBRECONTRATAÇÃO E CVA Energisa Paraíba" xfId="3551" xr:uid="{9097D24F-FB07-4A59-87A0-E7DB0E0B809C}"/>
    <cellStyle name="_SOBRECONTRATAÇÃO E CVAlinhas_EMG_08" xfId="3552" xr:uid="{FD3A9BA2-1092-463F-BEC7-B1DF5552A973}"/>
    <cellStyle name="_Sobrecontratação e exposição_CCEE_SRE" xfId="1654" xr:uid="{6FA21041-2014-4AD7-93BA-B2A884DB1BAA}"/>
    <cellStyle name="_Sobrecontratação e exposição_CCEE_SRE 2" xfId="3553" xr:uid="{224B0599-21A0-403C-96E4-08DFEB40B1E6}"/>
    <cellStyle name="_Sobrecontratação e exposição_CCEE_SRE_atualização serviços taxados" xfId="43330" xr:uid="{0D9672BA-711F-4B30-8D58-4298A927FFDF}"/>
    <cellStyle name="_Sobrecontratação e exposição_CCEE_SRE_Energia Comprada" xfId="3554" xr:uid="{E3F69A78-B8DD-42EF-A113-1D408E1D7B29}"/>
    <cellStyle name="_Sobrecontratação e exposição_CCEE_SRE_Energia Comprada_IRT-cálculo" xfId="3555" xr:uid="{A9444457-3749-451C-8D18-F83D297509DD}"/>
    <cellStyle name="_Sobrecontratação e exposição_CCEE_SRE_Energia Comprada_IRT-cálculo CAPA NEUTRALIDADE" xfId="3556" xr:uid="{98EA2FA0-0F0B-498C-828D-7CD9BED463BB}"/>
    <cellStyle name="_Sobrecontratação e exposição_CCEE_SRE_Fator X" xfId="1655" xr:uid="{32360B39-886D-4D2E-873F-51F7C37D72F9}"/>
    <cellStyle name="_Sobrecontratação e exposição_CCEE_SRE_Fator X 2" xfId="3557" xr:uid="{103049CC-A82D-48DF-8D7C-1EBBC8A25797}"/>
    <cellStyle name="_Sobrecontratação e exposição_CCEE_SRE_Fator X_atualização serviços taxados" xfId="43331" xr:uid="{8BE22B37-116D-492E-9B3F-0FE923E1CB9A}"/>
    <cellStyle name="_Sobrecontratação e exposição_CCEE_SRE_Fator X_Financeiro Desconto na TUSD Consumidores Livres Reajuste 2010 - 03_03_2010" xfId="43332" xr:uid="{FD8EA3A2-45D1-454C-B14A-572910B54087}"/>
    <cellStyle name="_Sobrecontratação e exposição_CCEE_SRE_Fator X_Financeiro Desconto na TUSD Geradores Reajuste 2010 - 03_03_2010" xfId="43333" xr:uid="{05BAC12E-9B76-4C47-8263-9404F1DAFC34}"/>
    <cellStyle name="_Sobrecontratação e exposição_CCEE_SRE_Fator X_Financeiro Subsídio Baixa Renda Reajuste 2010 - 03_03_2010" xfId="43334" xr:uid="{FBA56C75-2CB3-456E-A9A0-A6B67830063C}"/>
    <cellStyle name="_Sobrecontratação e exposição_CCEE_SRE_Fator X_Financeiro Subsídio Rural Irrigante e Aquicultor Reajuste 2010 - 03_03_2010" xfId="43335" xr:uid="{529E80C2-F091-473D-9508-64BB4BF5B681}"/>
    <cellStyle name="_Sobrecontratação e exposição_CCEE_SRE_Fator X_IRT-cálculo" xfId="3558" xr:uid="{CDB0E88B-F65E-40DD-8950-B2687179E3B0}"/>
    <cellStyle name="_Sobrecontratação e exposição_CCEE_SRE_Fator X_IRT-cálculo CAPA NEUTRALIDADE" xfId="3559" xr:uid="{F7BF4A8E-0732-4B24-846D-FA5F6CDFCABE}"/>
    <cellStyle name="_Sobrecontratação e exposição_CCEE_SRE_Fator X_SOBRECONTRATAÇÃO E CVA" xfId="3560" xr:uid="{24E887F2-CE2F-432C-8724-62352D54360E}"/>
    <cellStyle name="_Sobrecontratação e exposição_CCEE_SRE_Financeiro Desconto na TUSD Consumidores Livres Reajuste 2010 - 03_03_2010" xfId="43336" xr:uid="{8AA41515-31C3-42CC-8163-579E8FE70B20}"/>
    <cellStyle name="_Sobrecontratação e exposição_CCEE_SRE_Financeiro Desconto na TUSD Geradores Reajuste 2010 - 03_03_2010" xfId="43337" xr:uid="{5125297D-7501-4506-98AA-3F2B51B62637}"/>
    <cellStyle name="_Sobrecontratação e exposição_CCEE_SRE_Financeiro Subsídio Baixa Renda Reajuste 2010 - 03_03_2010" xfId="43338" xr:uid="{CA918820-021E-41DB-B343-FC525DD58D6B}"/>
    <cellStyle name="_Sobrecontratação e exposição_CCEE_SRE_Financeiro Subsídio Rural Irrigante e Aquicultor Reajuste 2010 - 03_03_2010" xfId="43339" xr:uid="{398DB4B0-7917-4055-BDF4-487168001DA2}"/>
    <cellStyle name="_Sobrecontratação e exposição_CCEE_SRE_IRT (2)" xfId="1656" xr:uid="{17242991-C986-4610-825B-850F3D8AA86C}"/>
    <cellStyle name="_Sobrecontratação e exposição_CCEE_SRE_IRT_1" xfId="1657" xr:uid="{6965AD12-3106-4038-9591-1862BE1A5245}"/>
    <cellStyle name="_Sobrecontratação e exposição_CCEE_SRE_IRT_1 2" xfId="3561" xr:uid="{E19FFB78-C367-400E-8DD9-056B86477626}"/>
    <cellStyle name="_Sobrecontratação e exposição_CCEE_SRE_IRT_1_atualização serviços taxados" xfId="43340" xr:uid="{11B2DD15-CE80-48CF-90FD-99C61EFA7C1A}"/>
    <cellStyle name="_Sobrecontratação e exposição_CCEE_SRE_IRT_1_Financeiro Desconto na TUSD Consumidores Livres Reajuste 2010 - 03_03_2010" xfId="43341" xr:uid="{98C33BF2-6694-40B9-9EC0-F382CBC2FE2A}"/>
    <cellStyle name="_Sobrecontratação e exposição_CCEE_SRE_IRT_1_Financeiro Desconto na TUSD Geradores Reajuste 2010 - 03_03_2010" xfId="43342" xr:uid="{C95DA191-A5AC-4A70-9938-F6EEBAC6B272}"/>
    <cellStyle name="_Sobrecontratação e exposição_CCEE_SRE_IRT_1_Financeiro Subsídio Baixa Renda Reajuste 2010 - 03_03_2010" xfId="43343" xr:uid="{3C111E8E-1701-4F5D-9387-DBF26E8AA80A}"/>
    <cellStyle name="_Sobrecontratação e exposição_CCEE_SRE_IRT_1_Financeiro Subsídio Rural Irrigante e Aquicultor Reajuste 2010 - 03_03_2010" xfId="43344" xr:uid="{B1A736BD-B575-4B9F-B728-A21259D097F3}"/>
    <cellStyle name="_Sobrecontratação e exposição_CCEE_SRE_IRT_1_IRT-cálculo" xfId="3562" xr:uid="{8BEA86D2-1FEA-4B2F-A842-0D0D7B0765F5}"/>
    <cellStyle name="_Sobrecontratação e exposição_CCEE_SRE_IRT_1_IRT-cálculo CAPA NEUTRALIDADE" xfId="3563" xr:uid="{E1EF7388-5B06-4043-A283-2458F57EAAD7}"/>
    <cellStyle name="_Sobrecontratação e exposição_CCEE_SRE_IRT_1_SOBRECONTRATAÇÃO E CVA" xfId="3564" xr:uid="{18DD0F5F-BCE2-449F-9CE1-8D4DBE91C780}"/>
    <cellStyle name="_Sobrecontratação e exposição_CCEE_SRE_IRT-cálculo" xfId="3565" xr:uid="{876D1FF0-9A94-43CB-BF35-7E327C91364B}"/>
    <cellStyle name="_Sobrecontratação e exposição_CCEE_SRE_IRT-cálculo CAPA NEUTRALIDADE" xfId="3566" xr:uid="{FCD6EEA3-C709-4A4D-BB55-68DAD8403D17}"/>
    <cellStyle name="_Sobrecontratação e exposição_CCEE_SRE_Pasta1" xfId="1658" xr:uid="{2FC8170A-C2AB-4847-AE94-B2495A39D410}"/>
    <cellStyle name="_Sobrecontratação e exposição_CCEE_SRE_Pasta1 2" xfId="3567" xr:uid="{53AEFB4A-21E1-4A0E-8D06-1AB7FF29D1FC}"/>
    <cellStyle name="_Sobrecontratação e exposição_CCEE_SRE_Pasta1_atualização serviços taxados" xfId="43345" xr:uid="{F9F46392-A290-4CD8-85BC-4223B74F8B64}"/>
    <cellStyle name="_Sobrecontratação e exposição_CCEE_SRE_Pasta1_Financeiro Desconto na TUSD Consumidores Livres Reajuste 2010 - 03_03_2010" xfId="43346" xr:uid="{4A77A32C-C59B-47B5-9538-2A439F54F2E6}"/>
    <cellStyle name="_Sobrecontratação e exposição_CCEE_SRE_Pasta1_Financeiro Desconto na TUSD Geradores Reajuste 2010 - 03_03_2010" xfId="43347" xr:uid="{6BFA95C8-FAC6-4F2A-83B6-CF5715476EDE}"/>
    <cellStyle name="_Sobrecontratação e exposição_CCEE_SRE_Pasta1_Financeiro Subsídio Baixa Renda Reajuste 2010 - 03_03_2010" xfId="43348" xr:uid="{087345E3-A206-4F35-8337-C355A7D25091}"/>
    <cellStyle name="_Sobrecontratação e exposição_CCEE_SRE_Pasta1_Financeiro Subsídio Rural Irrigante e Aquicultor Reajuste 2010 - 03_03_2010" xfId="43349" xr:uid="{B77B8148-0197-4FE5-B70F-9908D008414D}"/>
    <cellStyle name="_Sobrecontratação e exposição_CCEE_SRE_Pasta1_IRT-cálculo" xfId="3568" xr:uid="{E4309D6D-BA26-4BD2-B248-F365CAD9E51E}"/>
    <cellStyle name="_Sobrecontratação e exposição_CCEE_SRE_Pasta1_IRT-cálculo CAPA NEUTRALIDADE" xfId="3569" xr:uid="{B9D8615B-8CAC-4E0D-88D3-51F412239805}"/>
    <cellStyle name="_Sobrecontratação e exposição_CCEE_SRE_Pasta1_SOBRECONTRATAÇÃO E CVA" xfId="3570" xr:uid="{B337AFB8-97DA-443E-A5A2-DCF8A7ADCDC2}"/>
    <cellStyle name="_Sobrecontratação e exposição_CCEE_SRE_SOBRECONTRATAÇÃO E CVA" xfId="3571" xr:uid="{5F6F0DDE-7339-4813-8B3F-9FA00C5B14C2}"/>
    <cellStyle name="_SOBRECONTRATAÇÃO EPB 2010" xfId="3572" xr:uid="{E5107C8F-F228-4C82-AC75-304A052293CC}"/>
    <cellStyle name="_Sobrecontratação_e_CVA_Energia" xfId="3573" xr:uid="{1D51DDD1-A71E-4A1A-9AAF-831D9D54977F}"/>
    <cellStyle name="_Sobrecontratacao_ESE_IRT_2009" xfId="3574" xr:uid="{31B781EE-DF70-4C8A-B626-717554C1B5EC}"/>
    <cellStyle name="_SOBRECONTRATAÇÃO-2008" xfId="3575" xr:uid="{087E7B0A-9BA5-41E5-B390-29C70486B39E}"/>
    <cellStyle name="_Subsídios para análise da SRE" xfId="679" xr:uid="{17F67D88-3EE1-4355-9AE1-F87AC91D2E6E}"/>
    <cellStyle name="_Subsídios para análise da SRE_IRT Piratininga 2009" xfId="680" xr:uid="{C83D5A16-94EE-4DE8-A32D-469429901AB8}"/>
    <cellStyle name="_Subsídios para análise da SRE_IRT Piratininga 2009 2" xfId="1483" xr:uid="{E0BC2D51-C578-43E5-A571-7E42D5172019}"/>
    <cellStyle name="_Subsídios para análise da SRE_IRT_Planilha Básica_ CETRIL" xfId="681" xr:uid="{F15467C8-C468-4E47-8A3A-5BA739B87904}"/>
    <cellStyle name="_Subsídios para análise da SRE_IRT_Planilha Básica_ CETRIL 2" xfId="1484" xr:uid="{82406B9E-440E-44EA-A109-6624AC6AC95B}"/>
    <cellStyle name="_Subsídios para análise da SRE_IRT_Planilha Básica_mar2010b" xfId="3576" xr:uid="{DBB0B6A9-D040-40B0-9934-422A474E6679}"/>
    <cellStyle name="_Subsídios para análise da SRE_IRT-cálculo" xfId="3577" xr:uid="{368A9435-24EC-4908-B0F7-4C2F4866E5C7}"/>
    <cellStyle name="_SubsídiosAnáliseSRE_COSERN_IRT-2010" xfId="1659" xr:uid="{38180A21-343B-449E-A7DA-3687494E4C8B}"/>
    <cellStyle name="_Tabelas de apoio NT CELPE" xfId="43350" xr:uid="{9671DE19-1C58-42EC-99A9-DEC5DCFD5696}"/>
    <cellStyle name="_TARIFAS 2008 modelo" xfId="3578" xr:uid="{2E8F0163-B4E1-46B1-8189-BB977685DD72}"/>
    <cellStyle name="_Tarifas de Suprimento_Final" xfId="682" xr:uid="{C96FE968-2C94-4D35-B14B-3504C1C15B72}"/>
    <cellStyle name="_Tarifas de Suprimento_Final 2" xfId="1485" xr:uid="{9503E54A-95AF-437E-936F-56851CEA7656}"/>
    <cellStyle name="_Tarifas de Suprimento_Final 3" xfId="3579" xr:uid="{9447076E-629B-479B-9C8E-90A5A0748331}"/>
    <cellStyle name="_Tarifas de Suprimento_Final_COELCE  ICMS Não Compensado RTO 2012 281211" xfId="3580" xr:uid="{D26E8A43-0CDF-4A5A-9CEF-9DBF05F387C2}"/>
    <cellStyle name="_Tarifas de Suprimento_Final_COELCE - RTO 2011 - PLPT_PLANILHA_CÁLCULO_DÉFICIT" xfId="3581" xr:uid="{35B44C20-45AE-4B78-942E-83DCE4D9F621}"/>
    <cellStyle name="_Tarifas de Suprimento_Final_Exposição_Agosto 2" xfId="3582" xr:uid="{67D0A657-0A91-41E0-940E-7C2EAB053C23}"/>
    <cellStyle name="_Tarifas de Suprimento_Final_IRT_Revisão A-2" xfId="3583" xr:uid="{F7952CB3-CE59-4BE5-914B-57CE8D09084A}"/>
    <cellStyle name="_Tarifas de Suprimento_Final_IRT-cálculo" xfId="3584" xr:uid="{CF262931-C902-44C9-AD1A-2DDDE41720AC}"/>
    <cellStyle name="_Tarifas de Suprimento_Final_Simulação AES SUL 03_04_07" xfId="683" xr:uid="{3F3B6A18-900B-45A4-A609-EFF43A970B5A}"/>
    <cellStyle name="_Tarifas de Suprimento_Final_Simulação AES SUL 03_04_07 2" xfId="1486" xr:uid="{8EC6D25C-FB73-4E8A-A3D7-0CB843D3CB9A}"/>
    <cellStyle name="_Tarifas de Suprimento_Final_Simulação AES SUL 03_04_07 3" xfId="3585" xr:uid="{C3B34735-6771-49D6-930E-07BB7D9999E8}"/>
    <cellStyle name="_Tarifas de Suprimento_Final_Simulação congelamento COELCE 2011 - Propostas 3ª Fase AP040 (20.12.2011)" xfId="3586" xr:uid="{EDA5B77A-7320-46C4-8C59-48BA9AE8E81F}"/>
    <cellStyle name="_Tarifas de Suprimento_Final_Sobrecontratação AES (2)" xfId="684" xr:uid="{A7651AB2-0CBB-49C2-9B94-DAAAF86490C5}"/>
    <cellStyle name="_Tarifas de Suprimento_Final_Sobrecontratação AES (2) 2" xfId="1487" xr:uid="{54B93A5D-1F06-403D-BBE5-F09CF9067FA3}"/>
    <cellStyle name="_Tarifas de Suprimento_Final_Sobrecontratação AES (2) 3" xfId="3587" xr:uid="{18DEC458-7346-42C8-85F4-96191308CD24}"/>
    <cellStyle name="_Tarifas de Suprimento_Final_SOBRECONTRATAÇÃO E CVA" xfId="3588" xr:uid="{A2CC130E-360D-4F44-9BF4-16E97092B718}"/>
    <cellStyle name="_Tarifas suprimento_TUSD DMEPC" xfId="685" xr:uid="{42E490E6-E9C8-4F0C-8AED-E5B198C91CB2}"/>
    <cellStyle name="_Tarifas suprimento_TUSD DMEPC_IRT Piratininga 2009" xfId="686" xr:uid="{118160CE-7862-40B1-98F5-51FB4379B987}"/>
    <cellStyle name="_Tarifas suprimento_TUSD DMEPC_IRT Piratininga 2009 2" xfId="1488" xr:uid="{55B5A235-2173-4120-A876-BDC6A4FCD36A}"/>
    <cellStyle name="_Tarifas suprimento_TUSD DMEPC_IRT_Planilha Básica_ CETRIL" xfId="687" xr:uid="{8DB2E9B8-AE25-41F6-B23D-83BAB85E8602}"/>
    <cellStyle name="_Tarifas suprimento_TUSD DMEPC_IRT_Planilha Básica_ CETRIL 2" xfId="1489" xr:uid="{C22ECAD6-32EE-47DE-9B19-6E5759203B39}"/>
    <cellStyle name="_Tarifas suprimento_TUSD DMEPC_IRT_Planilha Básica_mar2010b" xfId="3589" xr:uid="{26EE355E-9844-4C6B-8D70-3EE1016B0C3D}"/>
    <cellStyle name="_Tarifas suprimento_TUSD DMEPC_IRT-cálculo" xfId="3590" xr:uid="{83B70DF7-6338-41D2-A859-5249EA3C76CE}"/>
    <cellStyle name="_teste ampla" xfId="688" xr:uid="{BBEE22C2-73A2-4545-A596-C1049C7834B0}"/>
    <cellStyle name="_teste ampla 2" xfId="1490" xr:uid="{0E8BCB27-17D4-4356-B00D-A5A58F2D2AED}"/>
    <cellStyle name="_teste ampla_Balanço" xfId="689" xr:uid="{75162F10-1328-41B8-A733-FD73AF623037}"/>
    <cellStyle name="_teste ampla_casulo 15" xfId="690" xr:uid="{4712DF2C-0180-4829-A4DA-387C50F556D0}"/>
    <cellStyle name="_teste ampla_IRT EEB 2010" xfId="3591" xr:uid="{E58296B5-7B96-4BB2-8034-D80370944549}"/>
    <cellStyle name="_Tracking Account Coteminas EBO - FINAL" xfId="3592" xr:uid="{48A8A070-A8D0-4CF1-A809-BE67DC2BE5BF}"/>
    <cellStyle name="_Tracking Account Coteminas EBO - FINAL 2010" xfId="3593" xr:uid="{FE75A429-BD27-481C-84FF-37FCA33739E7}"/>
    <cellStyle name="_TUSD AP PIE - ESE 2010" xfId="3594" xr:uid="{EB528F6A-AF6F-49F4-B81B-C9CE4BC84C05}"/>
    <cellStyle name="_TUSD FIO-B - ESE 2010" xfId="3595" xr:uid="{7AFFCC56-580F-4057-A316-2EFC071F4F48}"/>
    <cellStyle name="_TUSD G - ESE 2010" xfId="3596" xr:uid="{C93F22F3-5E10-4A86-859B-479BD0820DD7}"/>
    <cellStyle name="_VERSAO 800" xfId="3597" xr:uid="{D159E65B-8BF4-42BB-828A-27114F2508D0}"/>
    <cellStyle name="£ BP" xfId="3598" xr:uid="{BE23A660-87B9-413B-803B-FB104D40E47B}"/>
    <cellStyle name="¥ JY" xfId="3599" xr:uid="{1E6E540B-2D82-4BB3-B5A9-3CEC3E89DB37}"/>
    <cellStyle name="=C:\WINDOWS\SYSTEM32\COMMAND.COM" xfId="3600" xr:uid="{0A3D2AB7-34A0-4DA5-8E7B-79370267837F}"/>
    <cellStyle name="=C:\WINDOWS\SYSTEM32\COMMAND.COM 2" xfId="3601" xr:uid="{AE1B3FAA-8194-49FA-9163-DC3E095C16B8}"/>
    <cellStyle name="=C:\WINDOWS\SYSTEM32\COMMAND.COM 3" xfId="3602" xr:uid="{8B4273B2-192F-404F-8D90-503BCA7C0382}"/>
    <cellStyle name="=C:\WINDOWS\SYSTEM32\COMMAND.COM_IF - Autoprodutores" xfId="3603" xr:uid="{5BBF814E-130A-4E3B-B624-CE8D5D40382B}"/>
    <cellStyle name="=C:\WINNT\SYSTEM32\COMMAND.COM" xfId="3604" xr:uid="{F90A2130-6FA5-43FF-8B7E-F90DBEF5ED11}"/>
    <cellStyle name="‡" xfId="3605" xr:uid="{807D2A7F-7C07-4B27-9D72-056FD6365659}"/>
    <cellStyle name="‡_IRT-cálculo" xfId="3606" xr:uid="{7A96D67C-FD9F-4534-8639-82C119EA182F}"/>
    <cellStyle name="‡_IRT-cálculo CAPA NEUTRALIDADE" xfId="3607" xr:uid="{51C4D308-934F-4F62-A061-C8F87AFF7240}"/>
    <cellStyle name="•W_laroux" xfId="3608" xr:uid="{7CF6CF8D-7FB9-41E2-AB7B-62D8A5D865A0}"/>
    <cellStyle name="0%" xfId="1660" xr:uid="{0B3BEC6C-95EA-4D58-86CB-BB4F6CD124AA}"/>
    <cellStyle name="0% 2" xfId="3609" xr:uid="{49488922-598E-4ADE-9F42-366BA9D582FE}"/>
    <cellStyle name="0,0%" xfId="1661" xr:uid="{80B7EE86-AEA6-4611-9B68-80D74EF79138}"/>
    <cellStyle name="0.0%" xfId="1662" xr:uid="{8C1B8030-7FD7-4998-AEFB-238941B99B85}"/>
    <cellStyle name="0.00%" xfId="1663" xr:uid="{A842A16E-2819-4223-94EA-22B4E2D3F720}"/>
    <cellStyle name="0.00% 2" xfId="3610" xr:uid="{819DAF33-71F7-4611-BA16-30F26515BCE6}"/>
    <cellStyle name="0000" xfId="3611" xr:uid="{1AAEED68-C5F8-4D38-B422-6EE1410AB0CB}"/>
    <cellStyle name="0000 2" xfId="3612" xr:uid="{73B7935C-991B-4E6D-9FB4-836F4ADDDE00}"/>
    <cellStyle name="0000 3" xfId="3613" xr:uid="{C28AA997-F76E-4658-A903-4B12792D5DA3}"/>
    <cellStyle name="0000_IF - Autoprodutores" xfId="3614" xr:uid="{CFD060AF-2C65-4EAD-8A81-AF6B4C42819A}"/>
    <cellStyle name="000000" xfId="3615" xr:uid="{306A8CE6-342B-441E-9989-A3C8B0B882C0}"/>
    <cellStyle name="1o.nível" xfId="691" xr:uid="{C92322E9-055B-4C52-B5DC-AE67953B04F1}"/>
    <cellStyle name="1o.nível 2" xfId="3616" xr:uid="{EF2CF6A2-E3E9-4517-8545-F6F5F4D231CC}"/>
    <cellStyle name="1o.nível 3" xfId="3617" xr:uid="{269B55F0-5D28-4906-B124-030F49C6C778}"/>
    <cellStyle name="20% - Accent1" xfId="692" xr:uid="{95F244B1-0C5C-407B-AE27-02D59AB56DE8}"/>
    <cellStyle name="20% - Accent1 2" xfId="3618" xr:uid="{51C6D92C-62FD-41CF-81DF-74CAD6D792E2}"/>
    <cellStyle name="20% - Accent2" xfId="693" xr:uid="{4DDC2F1E-9075-44B4-BDCC-396F86B09E89}"/>
    <cellStyle name="20% - Accent2 2" xfId="3619" xr:uid="{AB8A6126-EDCC-4BD8-993F-7E6F118D418A}"/>
    <cellStyle name="20% - Accent3" xfId="694" xr:uid="{1BA482F5-CFC1-4934-A649-6163E2753E3D}"/>
    <cellStyle name="20% - Accent3 2" xfId="3620" xr:uid="{B6A6037E-BCA1-4F62-83EE-0189E19FC2A9}"/>
    <cellStyle name="20% - Accent4" xfId="695" xr:uid="{1C2DE8F6-9309-4D22-A312-0565C3E75472}"/>
    <cellStyle name="20% - Accent4 2" xfId="3621" xr:uid="{DA29F589-FB7A-441A-9665-6F825FFF4BCC}"/>
    <cellStyle name="20% - Accent5" xfId="696" xr:uid="{315D47DD-98E4-451B-9ABA-B51AA1891102}"/>
    <cellStyle name="20% - Accent5 2" xfId="3622" xr:uid="{023B84D1-BB55-45AF-A12F-D110225F60A6}"/>
    <cellStyle name="20% - Accent6" xfId="697" xr:uid="{8F218E48-E5AE-4163-940E-715D3473B01A}"/>
    <cellStyle name="20% - Accent6 2" xfId="3623" xr:uid="{688E489A-A17D-4D95-9F6E-7AE0BEE6C655}"/>
    <cellStyle name="20% - Ênfase1 10" xfId="3624" xr:uid="{BCF88BC5-0F39-4E89-B552-9580B9BDEDF5}"/>
    <cellStyle name="20% - Ênfase1 11" xfId="43351" xr:uid="{E94F389E-CFAF-4870-87B1-6560928CB5D3}"/>
    <cellStyle name="20% - Ênfase1 12" xfId="698" xr:uid="{AC36164A-950E-4BC2-9B1C-07AEC31DD5AA}"/>
    <cellStyle name="20% - Ênfase1 2" xfId="936" xr:uid="{E3F9D060-0509-4DFB-BC65-70E6AE9D6EF8}"/>
    <cellStyle name="20% - Ênfase1 2 2" xfId="3625" xr:uid="{251D7515-BBC1-488D-884F-E61B1D4BE8BC}"/>
    <cellStyle name="20% - Ênfase1 3" xfId="1739" xr:uid="{F9579F87-CCAA-4F91-A9AC-290CE11080A1}"/>
    <cellStyle name="20% - Ênfase1 3 2" xfId="3626" xr:uid="{F311758E-0834-4A18-B27B-92938C52E271}"/>
    <cellStyle name="20% - Ênfase1 4" xfId="3627" xr:uid="{5DED6512-28E6-44F5-836F-6C3CABDF2BAE}"/>
    <cellStyle name="20% - Ênfase1 4 2" xfId="3628" xr:uid="{3017CD43-4971-4BCC-9A78-1FB5E718A94A}"/>
    <cellStyle name="20% - Ênfase1 5" xfId="3629" xr:uid="{5087EE8C-017C-45EC-8D7B-749CDCD3B63C}"/>
    <cellStyle name="20% - Ênfase1 6" xfId="3630" xr:uid="{315AD4E3-7746-4008-B284-9F9F40771784}"/>
    <cellStyle name="20% - Ênfase1 7" xfId="3631" xr:uid="{3E9E5FA3-1DA8-416A-B83E-8E237A4EEE4B}"/>
    <cellStyle name="20% - Ênfase1 8" xfId="3632" xr:uid="{3C1417E2-595F-4E3F-BBCF-40CAD41DD375}"/>
    <cellStyle name="20% - Ênfase1 9" xfId="3633" xr:uid="{52AA9302-B5F9-4C07-A4AB-12060A710223}"/>
    <cellStyle name="20% - Ênfase2 10" xfId="3634" xr:uid="{0C359DD1-51B7-4F1F-B4FD-32C53124D5A0}"/>
    <cellStyle name="20% - Ênfase2 11" xfId="43352" xr:uid="{9A459141-EC73-41D5-8000-4178F3223FB8}"/>
    <cellStyle name="20% - Ênfase2 12" xfId="699" xr:uid="{B528EB73-E690-4433-B415-D3734D8D63B8}"/>
    <cellStyle name="20% - Ênfase2 2" xfId="937" xr:uid="{3832204B-BF30-4822-BAE4-57C6F7E6FB8D}"/>
    <cellStyle name="20% - Ênfase2 2 2" xfId="3635" xr:uid="{B5DF5A9B-C364-4D55-ACE9-97C5305C7355}"/>
    <cellStyle name="20% - Ênfase2 3" xfId="1740" xr:uid="{4CF5099C-6A51-40E6-804C-BC4F66BDCC1E}"/>
    <cellStyle name="20% - Ênfase2 3 2" xfId="3636" xr:uid="{52FCB721-95CE-44AA-AA44-83FE4DD34A60}"/>
    <cellStyle name="20% - Ênfase2 4" xfId="3637" xr:uid="{3CB628C8-6127-46D2-9AB2-782696603882}"/>
    <cellStyle name="20% - Ênfase2 4 2" xfId="3638" xr:uid="{3B09994E-F457-4B9C-88E9-57AFD7ACBB1E}"/>
    <cellStyle name="20% - Ênfase2 5" xfId="3639" xr:uid="{307A7BCA-C1DE-4D54-9FD4-F11CB898673E}"/>
    <cellStyle name="20% - Ênfase2 6" xfId="3640" xr:uid="{096E25C7-E7AF-4074-B564-9D2DA33504C4}"/>
    <cellStyle name="20% - Ênfase2 7" xfId="3641" xr:uid="{0481CAB5-5305-4334-A7D0-009F3D105826}"/>
    <cellStyle name="20% - Ênfase2 8" xfId="3642" xr:uid="{C60BB264-BD08-4782-87D7-A2E0CFF6F1D6}"/>
    <cellStyle name="20% - Ênfase2 9" xfId="3643" xr:uid="{D82D2895-883E-4E34-A434-77E2674108BF}"/>
    <cellStyle name="20% - Ênfase3 10" xfId="3644" xr:uid="{E3F35084-66E2-4961-894A-D78E539E5B4B}"/>
    <cellStyle name="20% - Ênfase3 11" xfId="43353" xr:uid="{194663E3-8172-4C62-A518-5C4F46255CE3}"/>
    <cellStyle name="20% - Ênfase3 12" xfId="700" xr:uid="{94B0D53F-7F2B-4FE4-A8E7-B7A932DEBA02}"/>
    <cellStyle name="20% - Ênfase3 2" xfId="938" xr:uid="{474ED185-B7EB-4F61-A8A8-D85F6E01F889}"/>
    <cellStyle name="20% - Ênfase3 2 2" xfId="3645" xr:uid="{F857C597-0F07-47B1-BF22-35EADCDA96DB}"/>
    <cellStyle name="20% - Ênfase3 3" xfId="1741" xr:uid="{A1CC064B-904B-4DBE-B49B-FC0722572790}"/>
    <cellStyle name="20% - Ênfase3 3 2" xfId="3646" xr:uid="{CF364FAF-93DE-4C87-BA47-F20B8827E693}"/>
    <cellStyle name="20% - Ênfase3 4" xfId="3647" xr:uid="{33F36930-ED4E-4D74-8FBE-78DB1ED6B4A1}"/>
    <cellStyle name="20% - Ênfase3 4 2" xfId="3648" xr:uid="{8E113C4E-B5DC-4938-8CA2-AD20E0E5FD49}"/>
    <cellStyle name="20% - Ênfase3 5" xfId="3649" xr:uid="{19776B98-823C-4365-9F27-826F55F733BA}"/>
    <cellStyle name="20% - Ênfase3 6" xfId="3650" xr:uid="{3E7BF06C-8DD1-41E5-A4F2-73511D092983}"/>
    <cellStyle name="20% - Ênfase3 7" xfId="3651" xr:uid="{A46DA9F2-7235-4F96-92A0-3B431C0FE471}"/>
    <cellStyle name="20% - Ênfase3 8" xfId="3652" xr:uid="{DD954086-59C6-4B27-A2A2-171D9E46E799}"/>
    <cellStyle name="20% - Ênfase3 9" xfId="3653" xr:uid="{3730B3F1-4912-410E-83E7-0828E452C948}"/>
    <cellStyle name="20% - Ênfase4 10" xfId="3654" xr:uid="{ACCA407D-F867-464C-BAED-F12DF362CB81}"/>
    <cellStyle name="20% - Ênfase4 11" xfId="43354" xr:uid="{529C52FB-AD5A-43B5-829D-ADD744D8EC60}"/>
    <cellStyle name="20% - Ênfase4 12" xfId="701" xr:uid="{64A78042-47EF-4172-ABA3-4CC1798DC204}"/>
    <cellStyle name="20% - Ênfase4 2" xfId="939" xr:uid="{545A910D-E791-45DD-B5AC-A2C5902D6213}"/>
    <cellStyle name="20% - Ênfase4 2 2" xfId="3655" xr:uid="{6A493410-395B-4115-BDCC-A2ACC2C7F830}"/>
    <cellStyle name="20% - Ênfase4 3" xfId="1742" xr:uid="{E17646E9-13E4-4D32-8736-0960975B2A62}"/>
    <cellStyle name="20% - Ênfase4 3 2" xfId="3656" xr:uid="{B9390CC3-378C-436A-AC86-3140C0F8D877}"/>
    <cellStyle name="20% - Ênfase4 4" xfId="3657" xr:uid="{F41E1629-682A-4403-BE08-A2A0A71C6B17}"/>
    <cellStyle name="20% - Ênfase4 4 2" xfId="3658" xr:uid="{C94CBE78-EE29-491E-997C-FAB20920D44D}"/>
    <cellStyle name="20% - Ênfase4 5" xfId="3659" xr:uid="{841A250A-78C6-47DC-AFA7-A1E7666CAEEE}"/>
    <cellStyle name="20% - Ênfase4 6" xfId="3660" xr:uid="{214FFD29-879D-4F3B-888B-AE7C529E8103}"/>
    <cellStyle name="20% - Ênfase4 7" xfId="3661" xr:uid="{479064F6-22A6-4440-A1F0-FD9A71E68428}"/>
    <cellStyle name="20% - Ênfase4 8" xfId="3662" xr:uid="{3920CEC2-8582-46D0-B367-440576FD7774}"/>
    <cellStyle name="20% - Ênfase4 9" xfId="3663" xr:uid="{872DFAE9-AB95-4DC8-A9C8-4CA184120507}"/>
    <cellStyle name="20% - Ênfase5 10" xfId="3664" xr:uid="{110A287A-85BC-4051-B772-0A0F17481872}"/>
    <cellStyle name="20% - Ênfase5 11" xfId="43355" xr:uid="{34A01F09-07BC-467B-AA42-DD2EE101D4CC}"/>
    <cellStyle name="20% - Ênfase5 12" xfId="702" xr:uid="{F78F4CB3-2095-49B9-AB64-1514EB6175BF}"/>
    <cellStyle name="20% - Ênfase5 2" xfId="940" xr:uid="{FF541B41-7FB3-42E6-B49F-2A822213DC76}"/>
    <cellStyle name="20% - Ênfase5 2 2" xfId="3665" xr:uid="{AAD70996-832B-4AD4-88CD-17BE67088238}"/>
    <cellStyle name="20% - Ênfase5 3" xfId="1743" xr:uid="{4A277650-2223-47F7-ACCB-0B1A94BF1C7F}"/>
    <cellStyle name="20% - Ênfase5 3 2" xfId="3666" xr:uid="{DE85414E-6432-4B8F-8ECD-0BFA1A5758C0}"/>
    <cellStyle name="20% - Ênfase5 4" xfId="3667" xr:uid="{D8B0444B-5FED-4BFA-9E2B-6012D48E9790}"/>
    <cellStyle name="20% - Ênfase5 4 2" xfId="3668" xr:uid="{576A5DA2-1D9D-4D20-8B4F-70D750E061B9}"/>
    <cellStyle name="20% - Ênfase5 5" xfId="3669" xr:uid="{9FE6CFF4-0F32-4F92-8C81-6849CD94AAD4}"/>
    <cellStyle name="20% - Ênfase5 6" xfId="3670" xr:uid="{F698A8EF-B1C3-456C-9FA3-35737D7B15EB}"/>
    <cellStyle name="20% - Ênfase5 7" xfId="3671" xr:uid="{0DCFD891-1B0E-40CE-9912-E23B682BE69C}"/>
    <cellStyle name="20% - Ênfase5 8" xfId="3672" xr:uid="{8272EE99-2ACB-4AC3-AE36-9C735ED0A9B0}"/>
    <cellStyle name="20% - Ênfase5 9" xfId="3673" xr:uid="{DF27A707-237A-4362-976A-C00E11A63255}"/>
    <cellStyle name="20% - Ênfase6 10" xfId="3674" xr:uid="{98601F73-D7DC-4961-9B27-355A26075BA4}"/>
    <cellStyle name="20% - Ênfase6 11" xfId="43356" xr:uid="{EDCE8A83-42C2-40C8-A71A-AF6AC17C1DC5}"/>
    <cellStyle name="20% - Ênfase6 12" xfId="703" xr:uid="{23AA8A15-6A40-494A-97BE-5E0CD55D1634}"/>
    <cellStyle name="20% - Ênfase6 2" xfId="941" xr:uid="{EA1C564B-6940-4AEB-9440-C4E2AA0E9791}"/>
    <cellStyle name="20% - Ênfase6 2 2" xfId="3675" xr:uid="{0474998E-A2B3-4AE1-852E-77E225C1B883}"/>
    <cellStyle name="20% - Ênfase6 3" xfId="1744" xr:uid="{ACA15CF7-5928-46CB-A6B6-C803AF689C9F}"/>
    <cellStyle name="20% - Ênfase6 3 2" xfId="3676" xr:uid="{85194C59-CD8F-4D95-969F-77B3FFE5109B}"/>
    <cellStyle name="20% - Ênfase6 4" xfId="3677" xr:uid="{92B710F1-D309-4729-965E-3444D277017C}"/>
    <cellStyle name="20% - Ênfase6 4 2" xfId="3678" xr:uid="{5B81F9B6-AF63-469C-9258-FABA2D422034}"/>
    <cellStyle name="20% - Ênfase6 5" xfId="3679" xr:uid="{823DB2DB-DC49-459A-884E-36ACE25ED466}"/>
    <cellStyle name="20% - Ênfase6 6" xfId="3680" xr:uid="{828FCFEF-AD5D-4A33-9E7B-B00F1CFB2F6F}"/>
    <cellStyle name="20% - Ênfase6 7" xfId="3681" xr:uid="{AE5F88C6-BDDF-4F8D-A352-2EE4CD626745}"/>
    <cellStyle name="20% - Ênfase6 8" xfId="3682" xr:uid="{73EED735-F3A9-4423-8466-051C38DC7D3C}"/>
    <cellStyle name="20% - Ênfase6 9" xfId="3683" xr:uid="{48764637-3F8F-42FB-80D3-DF82F04335F6}"/>
    <cellStyle name="20% - Énfasis1" xfId="942" xr:uid="{D2F70077-C390-43E8-94B2-F4BF27D9F46C}"/>
    <cellStyle name="20% - Énfasis1 10" xfId="3684" xr:uid="{6B8B76A4-2B5D-4AA3-9A7A-D6FA29E9A073}"/>
    <cellStyle name="20% - Énfasis1 11" xfId="3685" xr:uid="{0B29BF17-813E-471E-92D6-21F94E0227C1}"/>
    <cellStyle name="20% - Énfasis1 12" xfId="3686" xr:uid="{11665833-9BA1-425E-8260-6993163E7ED9}"/>
    <cellStyle name="20% - Énfasis1 13" xfId="3687" xr:uid="{BE924344-6207-49F3-9C43-D3B6F47A23BB}"/>
    <cellStyle name="20% - Énfasis1 14" xfId="3688" xr:uid="{67D9A78C-F359-4331-BA62-8C171A3EF995}"/>
    <cellStyle name="20% - Énfasis1 15" xfId="3689" xr:uid="{908E0C9E-61BB-46EE-AA3F-94308D9F4CBE}"/>
    <cellStyle name="20% - Énfasis1 16" xfId="3690" xr:uid="{71446A19-B02A-4164-BF0E-2663A2820F1F}"/>
    <cellStyle name="20% - Énfasis1 17" xfId="3691" xr:uid="{9D818B1D-C0E7-4C00-9E84-8788AF355B0F}"/>
    <cellStyle name="20% - Énfasis1 18" xfId="3692" xr:uid="{A5EBD87A-8898-4F14-BD46-ACD8D08A30CE}"/>
    <cellStyle name="20% - Énfasis1 19" xfId="3693" xr:uid="{72DA1C1F-41A0-4E0C-85CF-D4CD72612F26}"/>
    <cellStyle name="20% - Énfasis1 2" xfId="3694" xr:uid="{5B630579-57BF-43AF-BD94-97336A9ABDE6}"/>
    <cellStyle name="20% - Énfasis1 2 2" xfId="3695" xr:uid="{B9C9EB6F-9557-4F37-AE0B-132D3ECA780E}"/>
    <cellStyle name="20% - Énfasis1 20" xfId="3696" xr:uid="{5E6DE62E-DF44-4607-AA1E-F0AE705B7F5A}"/>
    <cellStyle name="20% - Énfasis1 21" xfId="3697" xr:uid="{20DDDC48-840D-47A1-8E34-5C7F9A648E1C}"/>
    <cellStyle name="20% - Énfasis1 22" xfId="3698" xr:uid="{18C5C5B0-7913-4BAD-96C3-4F791CB4B3F9}"/>
    <cellStyle name="20% - Énfasis1 23" xfId="3699" xr:uid="{DE1CFABB-75C2-49E8-9A98-D5E031AB2E33}"/>
    <cellStyle name="20% - Énfasis1 24" xfId="3700" xr:uid="{CC7DC429-9E1F-4312-9BD2-6CC4DBAD1F2D}"/>
    <cellStyle name="20% - Énfasis1 25" xfId="3701" xr:uid="{1F82B010-FC45-4EBC-AC95-7579B0959EA1}"/>
    <cellStyle name="20% - Énfasis1 3" xfId="3702" xr:uid="{1D080392-02BF-446E-AC5A-60B68F73473F}"/>
    <cellStyle name="20% - Énfasis1 3 2" xfId="3703" xr:uid="{FFC82E19-8B73-4D5E-87F9-C9B248ACFC35}"/>
    <cellStyle name="20% - Énfasis1 4" xfId="3704" xr:uid="{E2F953D7-5A6E-42C0-B91D-3D9CE6D6C1FA}"/>
    <cellStyle name="20% - Énfasis1 5" xfId="3705" xr:uid="{6B6EBFF9-6142-469B-89FC-F6DA039B3F86}"/>
    <cellStyle name="20% - Énfasis1 6" xfId="3706" xr:uid="{3F4D6160-B1E2-44D3-8D13-ABA62919D9B2}"/>
    <cellStyle name="20% - Énfasis1 7" xfId="3707" xr:uid="{3AA73790-55AE-4682-8815-A9DCB5A24988}"/>
    <cellStyle name="20% - Énfasis1 8" xfId="3708" xr:uid="{3569252F-0579-4394-A403-429F0A96CC5E}"/>
    <cellStyle name="20% - Énfasis1 9" xfId="3709" xr:uid="{8FE3EFB2-937E-43AF-A20D-735F5E270596}"/>
    <cellStyle name="20% - Énfasis2" xfId="943" xr:uid="{4F9579AC-0C4C-4B7F-B061-B6721E221AE2}"/>
    <cellStyle name="20% - Énfasis2 10" xfId="3710" xr:uid="{B384BF33-2B24-425F-9A96-762A76A6D369}"/>
    <cellStyle name="20% - Énfasis2 11" xfId="3711" xr:uid="{E106F7B9-0C0E-49A9-A631-22788196BAAA}"/>
    <cellStyle name="20% - Énfasis2 12" xfId="3712" xr:uid="{5D24FC5B-55B7-46B3-AD65-344291C104D1}"/>
    <cellStyle name="20% - Énfasis2 13" xfId="3713" xr:uid="{6C389C4B-AF65-42F6-80F6-203720310544}"/>
    <cellStyle name="20% - Énfasis2 14" xfId="3714" xr:uid="{6F8B013B-EC2B-40F9-9EF4-DC3A68CCB80A}"/>
    <cellStyle name="20% - Énfasis2 15" xfId="3715" xr:uid="{B12EF322-21B4-4DCD-AF07-0FF794E1DB48}"/>
    <cellStyle name="20% - Énfasis2 16" xfId="3716" xr:uid="{65962340-920C-4476-8F70-46FCF252F4F5}"/>
    <cellStyle name="20% - Énfasis2 17" xfId="3717" xr:uid="{60E25082-BBE5-4726-849D-8528E695239E}"/>
    <cellStyle name="20% - Énfasis2 18" xfId="3718" xr:uid="{E705C976-C60C-4F0C-90AD-FBD8ADF15270}"/>
    <cellStyle name="20% - Énfasis2 19" xfId="3719" xr:uid="{1B5EE92C-9444-45F0-86F3-B3ABC9DE4F85}"/>
    <cellStyle name="20% - Énfasis2 2" xfId="3720" xr:uid="{24856BA8-CB37-4524-ACDE-29FE3F2DD6AC}"/>
    <cellStyle name="20% - Énfasis2 2 2" xfId="3721" xr:uid="{93257B9C-3A6F-441C-9539-F053B228ACD3}"/>
    <cellStyle name="20% - Énfasis2 20" xfId="3722" xr:uid="{F789C000-95D6-4B73-8748-68A9DC897FD2}"/>
    <cellStyle name="20% - Énfasis2 21" xfId="3723" xr:uid="{EAEC00AA-3BB6-49DF-BBAC-D3D677B35C4E}"/>
    <cellStyle name="20% - Énfasis2 22" xfId="3724" xr:uid="{B3A73032-C4E0-409A-B2FD-6AB4970E0187}"/>
    <cellStyle name="20% - Énfasis2 23" xfId="3725" xr:uid="{52560B9E-389A-4405-A3BE-5896D82DE60E}"/>
    <cellStyle name="20% - Énfasis2 24" xfId="3726" xr:uid="{B1499F9D-6C56-4178-99F2-9A28205CBCDE}"/>
    <cellStyle name="20% - Énfasis2 25" xfId="3727" xr:uid="{89096FC8-5945-4701-8F42-6152E1AA54AD}"/>
    <cellStyle name="20% - Énfasis2 3" xfId="3728" xr:uid="{9780F466-77FF-45FD-996A-863BF55D93AE}"/>
    <cellStyle name="20% - Énfasis2 3 2" xfId="3729" xr:uid="{99C60C1C-60C8-4E99-8C3B-9B7B755F38B0}"/>
    <cellStyle name="20% - Énfasis2 4" xfId="3730" xr:uid="{7D83092A-5F20-478C-8304-31380DEC70D8}"/>
    <cellStyle name="20% - Énfasis2 5" xfId="3731" xr:uid="{86D43628-3623-4318-97BB-5FB63F226BBE}"/>
    <cellStyle name="20% - Énfasis2 6" xfId="3732" xr:uid="{8AF4ED72-2436-4981-83A1-FF71A81BE2CA}"/>
    <cellStyle name="20% - Énfasis2 7" xfId="3733" xr:uid="{80EBC521-4FCC-45B7-BEE4-F3338BF7AA2F}"/>
    <cellStyle name="20% - Énfasis2 8" xfId="3734" xr:uid="{97CDBE06-7603-4F64-9462-276FCB7BE556}"/>
    <cellStyle name="20% - Énfasis2 9" xfId="3735" xr:uid="{5B265DF0-F063-438B-A13B-2DE2035BA200}"/>
    <cellStyle name="20% - Énfasis3" xfId="944" xr:uid="{B8F9ACE8-1F39-4098-AE89-91428442E03D}"/>
    <cellStyle name="20% - Énfasis3 10" xfId="3736" xr:uid="{5E006486-4158-4F93-AF00-F8FADED05D4C}"/>
    <cellStyle name="20% - Énfasis3 11" xfId="3737" xr:uid="{0B598113-AF59-4DAF-97A0-FCFFFE815454}"/>
    <cellStyle name="20% - Énfasis3 12" xfId="3738" xr:uid="{E23DC69D-D03C-46E0-B962-D69243E12826}"/>
    <cellStyle name="20% - Énfasis3 13" xfId="3739" xr:uid="{FBA90A54-B2D8-4F34-8CF3-0DE11AE34AE1}"/>
    <cellStyle name="20% - Énfasis3 14" xfId="3740" xr:uid="{167B7919-66FA-43A5-B960-D5FD9FE0681C}"/>
    <cellStyle name="20% - Énfasis3 15" xfId="3741" xr:uid="{ABB2BE4C-3E3C-4030-B853-6DDEA0461595}"/>
    <cellStyle name="20% - Énfasis3 16" xfId="3742" xr:uid="{A0B75103-5EFC-4000-91A4-D4325A948E50}"/>
    <cellStyle name="20% - Énfasis3 17" xfId="3743" xr:uid="{DD12AE66-1354-4F01-9949-59D22011C5CA}"/>
    <cellStyle name="20% - Énfasis3 18" xfId="3744" xr:uid="{70B32511-04E2-4604-82DB-BBBD1A0054A2}"/>
    <cellStyle name="20% - Énfasis3 19" xfId="3745" xr:uid="{36A0A6F2-9EDE-431A-BF7A-688BBF84879E}"/>
    <cellStyle name="20% - Énfasis3 2" xfId="3746" xr:uid="{1880E482-0918-4882-BDB3-0B0EC4CF4C60}"/>
    <cellStyle name="20% - Énfasis3 2 2" xfId="3747" xr:uid="{77E8F367-4E33-4B36-BD40-DB72A195BC4D}"/>
    <cellStyle name="20% - Énfasis3 20" xfId="3748" xr:uid="{C55A24E7-5729-4683-8CCB-3F0475825F67}"/>
    <cellStyle name="20% - Énfasis3 21" xfId="3749" xr:uid="{0C603F18-7927-4B79-82CD-2A39C2CA95A0}"/>
    <cellStyle name="20% - Énfasis3 22" xfId="3750" xr:uid="{3346C9E3-B162-4A9E-B6DC-E43F6B4FA0FE}"/>
    <cellStyle name="20% - Énfasis3 23" xfId="3751" xr:uid="{B93A21AD-9C8E-496B-AC8D-2D894F8B7C95}"/>
    <cellStyle name="20% - Énfasis3 24" xfId="3752" xr:uid="{E98978EB-DD28-45E4-9192-6C755BA5B1EE}"/>
    <cellStyle name="20% - Énfasis3 25" xfId="3753" xr:uid="{4083328B-4FC8-497A-86A5-A84DC9E53363}"/>
    <cellStyle name="20% - Énfasis3 3" xfId="3754" xr:uid="{330C771E-66C3-4E28-8E43-93C8E0D17F0F}"/>
    <cellStyle name="20% - Énfasis3 3 2" xfId="3755" xr:uid="{BA5D8D17-1EAA-489D-8C23-0380BDDB0A9A}"/>
    <cellStyle name="20% - Énfasis3 4" xfId="3756" xr:uid="{264B6A7E-2D85-40B7-9785-DE1EA9652A11}"/>
    <cellStyle name="20% - Énfasis3 5" xfId="3757" xr:uid="{203F4844-F4F8-48B1-B861-3F62EF0D4E81}"/>
    <cellStyle name="20% - Énfasis3 6" xfId="3758" xr:uid="{95E091DA-3820-4C94-B2CE-A81442777D83}"/>
    <cellStyle name="20% - Énfasis3 7" xfId="3759" xr:uid="{CD5B0379-89DC-45FA-A0B5-F1F66869D475}"/>
    <cellStyle name="20% - Énfasis3 8" xfId="3760" xr:uid="{4CC0D089-05F6-494E-AFDD-02E8FA1BCE66}"/>
    <cellStyle name="20% - Énfasis3 9" xfId="3761" xr:uid="{5EE8A412-678B-4D1E-BCC5-465DB682C079}"/>
    <cellStyle name="20% - Énfasis4" xfId="945" xr:uid="{74538441-0EA8-42B7-89C2-EC10BFDEB993}"/>
    <cellStyle name="20% - Énfasis4 10" xfId="3762" xr:uid="{E821185C-503B-4B34-9C04-23CE92D14C3C}"/>
    <cellStyle name="20% - Énfasis4 11" xfId="3763" xr:uid="{9EE88BA2-65F4-4FEB-9AE6-F33A16714F7B}"/>
    <cellStyle name="20% - Énfasis4 12" xfId="3764" xr:uid="{E71BFC59-3C11-4DA5-B465-09AE8B186E82}"/>
    <cellStyle name="20% - Énfasis4 13" xfId="3765" xr:uid="{CF199134-1084-4AC5-884C-7EA08DD0BABF}"/>
    <cellStyle name="20% - Énfasis4 14" xfId="3766" xr:uid="{B0E604FD-9E89-42E8-B010-0B6B955423B6}"/>
    <cellStyle name="20% - Énfasis4 15" xfId="3767" xr:uid="{C2B2B03D-BC5F-44EE-AACD-E2937D0DD692}"/>
    <cellStyle name="20% - Énfasis4 16" xfId="3768" xr:uid="{66FA0CEA-CC32-4ECD-9BAF-874C4AEDBB08}"/>
    <cellStyle name="20% - Énfasis4 17" xfId="3769" xr:uid="{C50C7F0B-2AF9-4488-AB7B-9D8AE34C97E2}"/>
    <cellStyle name="20% - Énfasis4 18" xfId="3770" xr:uid="{8EE46FAB-4A16-4B8A-83E9-09D1FF8A1A3B}"/>
    <cellStyle name="20% - Énfasis4 19" xfId="3771" xr:uid="{FE033CBF-3784-42BA-B46D-5DEA06D99622}"/>
    <cellStyle name="20% - Énfasis4 2" xfId="3772" xr:uid="{B4CE647F-D997-4ECD-AD63-C2E4E91A5F6C}"/>
    <cellStyle name="20% - Énfasis4 2 2" xfId="3773" xr:uid="{9E77E16C-6334-4C1F-9F54-350512678AE0}"/>
    <cellStyle name="20% - Énfasis4 20" xfId="3774" xr:uid="{B86D0D91-8798-4881-B942-0DE9BC6B2CA0}"/>
    <cellStyle name="20% - Énfasis4 21" xfId="3775" xr:uid="{83CFE6C5-DF6E-4BE0-A4CB-4B3769F25778}"/>
    <cellStyle name="20% - Énfasis4 22" xfId="3776" xr:uid="{E2013F29-E77C-4425-9026-9C4D0A658F9A}"/>
    <cellStyle name="20% - Énfasis4 23" xfId="3777" xr:uid="{1CE2C895-B83F-431E-B1EB-9D272B219019}"/>
    <cellStyle name="20% - Énfasis4 24" xfId="3778" xr:uid="{733E9271-755D-4A9C-9428-986BFC0DFEBD}"/>
    <cellStyle name="20% - Énfasis4 25" xfId="3779" xr:uid="{EF3AAF68-CC85-449F-9587-EB7C485C2B3D}"/>
    <cellStyle name="20% - Énfasis4 3" xfId="3780" xr:uid="{4B87D899-9B32-4325-98F1-DB918936B9DA}"/>
    <cellStyle name="20% - Énfasis4 3 2" xfId="3781" xr:uid="{F468CD47-DAF5-43B3-8707-2EA6A9DCCD5A}"/>
    <cellStyle name="20% - Énfasis4 4" xfId="3782" xr:uid="{2125601F-678C-4920-BFC1-84B86E85E3BF}"/>
    <cellStyle name="20% - Énfasis4 5" xfId="3783" xr:uid="{09A7E68E-C213-411A-AA4C-DF800047ACA0}"/>
    <cellStyle name="20% - Énfasis4 6" xfId="3784" xr:uid="{B0F3C93C-D858-482F-BF74-A2E97E88FF9F}"/>
    <cellStyle name="20% - Énfasis4 7" xfId="3785" xr:uid="{6BD5DCA1-F727-41ED-8583-405B724B8786}"/>
    <cellStyle name="20% - Énfasis4 8" xfId="3786" xr:uid="{90073282-698C-4684-8009-AFD92FF9C9F4}"/>
    <cellStyle name="20% - Énfasis4 9" xfId="3787" xr:uid="{731FA0CB-2737-4A19-A424-271CC02D3B97}"/>
    <cellStyle name="20% - Énfasis5" xfId="946" xr:uid="{17E83E8C-3E16-4AE1-AD52-074184B190F8}"/>
    <cellStyle name="20% - Énfasis5 10" xfId="3788" xr:uid="{8C8C68DA-4B98-4226-AB20-7CC3C369654A}"/>
    <cellStyle name="20% - Énfasis5 11" xfId="3789" xr:uid="{BB292EAC-4997-427B-B00F-77D49DCF634C}"/>
    <cellStyle name="20% - Énfasis5 12" xfId="3790" xr:uid="{8C5CE4DD-2DA2-4F17-9663-DD8911CB30E0}"/>
    <cellStyle name="20% - Énfasis5 13" xfId="3791" xr:uid="{DCC75C56-0547-4DFE-A427-1BFC6F0C3EB7}"/>
    <cellStyle name="20% - Énfasis5 14" xfId="3792" xr:uid="{0D01324E-F2BE-48DB-966E-0046D31EAA1A}"/>
    <cellStyle name="20% - Énfasis5 15" xfId="3793" xr:uid="{45B7CAB7-E0C4-4330-B4D2-93B1D9678B3B}"/>
    <cellStyle name="20% - Énfasis5 16" xfId="3794" xr:uid="{1E86A0E9-7334-4CD1-BEBA-22F371F23C53}"/>
    <cellStyle name="20% - Énfasis5 17" xfId="3795" xr:uid="{1503C062-310C-4E24-8B4A-B6863D6B0C86}"/>
    <cellStyle name="20% - Énfasis5 18" xfId="3796" xr:uid="{F4385A75-2015-4D43-B754-C67FA5E3A546}"/>
    <cellStyle name="20% - Énfasis5 19" xfId="3797" xr:uid="{35B8EEB3-6921-4A10-A7E5-A921926F4D79}"/>
    <cellStyle name="20% - Énfasis5 2" xfId="3798" xr:uid="{660E76E2-6E69-4A53-B2A1-6A1666A06AEB}"/>
    <cellStyle name="20% - Énfasis5 2 2" xfId="3799" xr:uid="{BCD1CAC9-FF86-4403-9801-4E8351E38BA5}"/>
    <cellStyle name="20% - Énfasis5 20" xfId="3800" xr:uid="{533CDDD6-2B6B-428E-AA14-BF04BF2D14A6}"/>
    <cellStyle name="20% - Énfasis5 21" xfId="3801" xr:uid="{74DE637F-E1D0-4059-998E-11FA949C444E}"/>
    <cellStyle name="20% - Énfasis5 22" xfId="3802" xr:uid="{77E37BCD-9518-4D50-A83B-8147F193830B}"/>
    <cellStyle name="20% - Énfasis5 23" xfId="3803" xr:uid="{99153A0A-F47D-4B9B-BD15-04407A77805C}"/>
    <cellStyle name="20% - Énfasis5 24" xfId="3804" xr:uid="{C5244243-F43A-462B-B1D4-F199987B1C06}"/>
    <cellStyle name="20% - Énfasis5 25" xfId="3805" xr:uid="{A15C0DDB-BBAD-446C-A6FF-B77D9E97BD54}"/>
    <cellStyle name="20% - Énfasis5 3" xfId="3806" xr:uid="{F911F6EB-9939-4434-B1A3-34F20E9667F8}"/>
    <cellStyle name="20% - Énfasis5 3 2" xfId="3807" xr:uid="{0D418A8B-A9A0-4231-AF91-2CCED2EE6FEE}"/>
    <cellStyle name="20% - Énfasis5 4" xfId="3808" xr:uid="{C62E0608-D0B0-4C90-A9D6-888C9CBA4F01}"/>
    <cellStyle name="20% - Énfasis5 5" xfId="3809" xr:uid="{F99F3B22-E8D4-455C-8F03-894F7431B6C0}"/>
    <cellStyle name="20% - Énfasis5 6" xfId="3810" xr:uid="{E872C3CE-13E2-4EB6-B902-25CA968D8233}"/>
    <cellStyle name="20% - Énfasis5 7" xfId="3811" xr:uid="{4AB84540-9EB9-4E74-A75C-7CE79762F5E1}"/>
    <cellStyle name="20% - Énfasis5 8" xfId="3812" xr:uid="{37B2C358-19E9-4208-880E-C60F4F1B496D}"/>
    <cellStyle name="20% - Énfasis5 9" xfId="3813" xr:uid="{00266B9C-DC30-4190-A80A-314C8E8CFA24}"/>
    <cellStyle name="20% - Énfasis6" xfId="947" xr:uid="{548F8792-B416-444D-BAE7-214C2C8732FE}"/>
    <cellStyle name="20% - Énfasis6 10" xfId="3814" xr:uid="{C92FB186-AE6A-4FE4-89A1-63817EA914B6}"/>
    <cellStyle name="20% - Énfasis6 11" xfId="3815" xr:uid="{C1247314-B4DD-47A5-ACDE-3C4672ED55BF}"/>
    <cellStyle name="20% - Énfasis6 12" xfId="3816" xr:uid="{2651B5C3-55A5-4712-8A2C-121F5DD1A7A7}"/>
    <cellStyle name="20% - Énfasis6 13" xfId="3817" xr:uid="{83F2A36E-2C5C-44A4-935E-FD152258A846}"/>
    <cellStyle name="20% - Énfasis6 14" xfId="3818" xr:uid="{3F2DB7B3-624B-4D67-BDF1-CE266F50A057}"/>
    <cellStyle name="20% - Énfasis6 15" xfId="3819" xr:uid="{E5ED75AF-B17E-44DF-A375-69A4A1E4E44E}"/>
    <cellStyle name="20% - Énfasis6 16" xfId="3820" xr:uid="{F34037C3-93B4-404C-A586-E30C311F7BD9}"/>
    <cellStyle name="20% - Énfasis6 17" xfId="3821" xr:uid="{6395F064-283E-4937-A423-01C70AB17558}"/>
    <cellStyle name="20% - Énfasis6 18" xfId="3822" xr:uid="{A3261E65-443A-4725-8BD7-EF82A065B5A1}"/>
    <cellStyle name="20% - Énfasis6 19" xfId="3823" xr:uid="{A79BB673-6184-4D26-A9B1-4CD717DD1930}"/>
    <cellStyle name="20% - Énfasis6 2" xfId="3824" xr:uid="{8DA25788-84B5-442F-9FFE-0F4F43141629}"/>
    <cellStyle name="20% - Énfasis6 2 2" xfId="3825" xr:uid="{336D78AB-42D0-4472-9972-161A90CD200D}"/>
    <cellStyle name="20% - Énfasis6 20" xfId="3826" xr:uid="{317778A0-EA19-4539-8DDD-E51A9489F8C9}"/>
    <cellStyle name="20% - Énfasis6 21" xfId="3827" xr:uid="{56058B17-C3C0-480B-8E63-2CB929E0B558}"/>
    <cellStyle name="20% - Énfasis6 22" xfId="3828" xr:uid="{C7D43816-83A9-4011-94A9-757F970ED68B}"/>
    <cellStyle name="20% - Énfasis6 23" xfId="3829" xr:uid="{AD950439-BE96-46E2-8A14-175BBE7E2B20}"/>
    <cellStyle name="20% - Énfasis6 24" xfId="3830" xr:uid="{4959C5E7-630E-43AD-9151-E4054BA7AB0A}"/>
    <cellStyle name="20% - Énfasis6 25" xfId="3831" xr:uid="{329BBF07-36BF-4AED-90F0-73BE9D06AA2E}"/>
    <cellStyle name="20% - Énfasis6 3" xfId="3832" xr:uid="{C9F7ECA7-10ED-4D89-AD40-0AD425AB5027}"/>
    <cellStyle name="20% - Énfasis6 3 2" xfId="3833" xr:uid="{79231AEC-2194-4D0D-965A-0DBF2B882AE5}"/>
    <cellStyle name="20% - Énfasis6 4" xfId="3834" xr:uid="{17B9C1D9-9537-450D-883E-4BA3B09D13F1}"/>
    <cellStyle name="20% - Énfasis6 5" xfId="3835" xr:uid="{D023633D-35C8-4403-A865-3FF946CCB03B}"/>
    <cellStyle name="20% - Énfasis6 6" xfId="3836" xr:uid="{5730721A-3FA9-41F5-A12E-00744CEAAD76}"/>
    <cellStyle name="20% - Énfasis6 7" xfId="3837" xr:uid="{43B31778-43AD-404C-B798-D66D8AADC426}"/>
    <cellStyle name="20% - Énfasis6 8" xfId="3838" xr:uid="{8D3D3689-6E81-4DC0-B09A-228832E347FA}"/>
    <cellStyle name="20% - Énfasis6 9" xfId="3839" xr:uid="{6D57B1EC-F182-4072-AAFA-2F10ACC51313}"/>
    <cellStyle name="2o.nível" xfId="704" xr:uid="{0207EF03-9D91-4512-9618-B5567B6F59B3}"/>
    <cellStyle name="40% - Accent1" xfId="705" xr:uid="{5A74801D-D52F-4B40-9B85-A6A4AFDC76F4}"/>
    <cellStyle name="40% - Accent1 2" xfId="3840" xr:uid="{B7366AEB-591C-4998-99AD-232950F2FE36}"/>
    <cellStyle name="40% - Accent2" xfId="706" xr:uid="{D6D0CBFA-C5FB-4C24-A8B2-E746C3DCA505}"/>
    <cellStyle name="40% - Accent2 2" xfId="3841" xr:uid="{5ADCEFE6-60D2-4594-B028-F271D208C3A5}"/>
    <cellStyle name="40% - Accent3" xfId="707" xr:uid="{F1CF44E0-AB69-46ED-A469-95A3629E81E7}"/>
    <cellStyle name="40% - Accent3 2" xfId="3842" xr:uid="{74BD65FF-B1FE-496C-A050-FA73623219D8}"/>
    <cellStyle name="40% - Accent4" xfId="708" xr:uid="{7442158B-ECE6-42EE-BA4D-33DF5F6255BA}"/>
    <cellStyle name="40% - Accent4 2" xfId="3843" xr:uid="{1CFD6193-850B-4A86-9F78-DDBB2AD2B1D5}"/>
    <cellStyle name="40% - Accent5" xfId="709" xr:uid="{F6F42BF0-27B0-41B3-9CD5-B9760976294D}"/>
    <cellStyle name="40% - Accent5 2" xfId="3844" xr:uid="{EE926F82-EFBE-44BC-A757-82EBEC903BEE}"/>
    <cellStyle name="40% - Accent6" xfId="710" xr:uid="{2E17D53A-A2A7-44A0-BCC1-D5A00D8DE749}"/>
    <cellStyle name="40% - Accent6 2" xfId="3845" xr:uid="{A782AEDE-5695-40BA-835F-F98915AF4A29}"/>
    <cellStyle name="40% - Ênfase1 10" xfId="3846" xr:uid="{BE0F9102-2179-4F23-9B5A-5723CC0A7C5C}"/>
    <cellStyle name="40% - Ênfase1 11" xfId="43357" xr:uid="{F798E609-8B2E-4F7E-9FEB-6F2E7603B0F0}"/>
    <cellStyle name="40% - Ênfase1 12" xfId="711" xr:uid="{849DAEB0-C05B-4869-A1EF-A9F358889EDD}"/>
    <cellStyle name="40% - Ênfase1 2" xfId="948" xr:uid="{DE2EB593-14F2-4251-A38C-424DFF399C94}"/>
    <cellStyle name="40% - Ênfase1 2 2" xfId="3847" xr:uid="{C220004A-B870-4856-B35D-079009AC1718}"/>
    <cellStyle name="40% - Ênfase1 3" xfId="1745" xr:uid="{F05B93D5-B70E-4E10-9786-98205325006F}"/>
    <cellStyle name="40% - Ênfase1 3 2" xfId="3848" xr:uid="{69A22AA0-EC69-49B5-87F6-05A51340437D}"/>
    <cellStyle name="40% - Ênfase1 4" xfId="3849" xr:uid="{FF1581DD-CA1F-46FF-85C5-7B43937BB831}"/>
    <cellStyle name="40% - Ênfase1 4 2" xfId="3850" xr:uid="{4100E9DC-C3EC-4E94-936C-0DB6B7E18BB2}"/>
    <cellStyle name="40% - Ênfase1 5" xfId="3851" xr:uid="{D2CED6E5-D684-484C-ABD8-FAB01B337CFD}"/>
    <cellStyle name="40% - Ênfase1 6" xfId="3852" xr:uid="{6DA0D889-30AC-4F1D-B9EA-38E73D740B4F}"/>
    <cellStyle name="40% - Ênfase1 7" xfId="3853" xr:uid="{9D9D11E5-CBA8-4B55-9DDF-19B0C853DF1E}"/>
    <cellStyle name="40% - Ênfase1 8" xfId="3854" xr:uid="{1FC53B58-6BE6-4F8F-A8B1-8BE7BE873C97}"/>
    <cellStyle name="40% - Ênfase1 9" xfId="3855" xr:uid="{E91C3373-953F-4126-B4D6-FC62B2B28FD0}"/>
    <cellStyle name="40% - Ênfase2 10" xfId="3856" xr:uid="{DFA880DE-B01F-40EC-B382-F6B29F1E66D3}"/>
    <cellStyle name="40% - Ênfase2 11" xfId="43358" xr:uid="{E3736E81-7FE4-42DC-8ADD-9D5B1D255A9E}"/>
    <cellStyle name="40% - Ênfase2 12" xfId="712" xr:uid="{31B4E493-49DA-4898-8E4D-55442219CE60}"/>
    <cellStyle name="40% - Ênfase2 2" xfId="949" xr:uid="{011EB3E3-1BE5-4722-BFAB-A4A0E6EF7C7E}"/>
    <cellStyle name="40% - Ênfase2 2 2" xfId="3857" xr:uid="{46CA3D5F-BF0D-4F88-A126-F7363764FADC}"/>
    <cellStyle name="40% - Ênfase2 3" xfId="1746" xr:uid="{3E9E5EAE-73BF-49BE-9640-F305A7208C05}"/>
    <cellStyle name="40% - Ênfase2 3 2" xfId="3858" xr:uid="{8F2FE395-5421-45B8-9500-A043656CECA5}"/>
    <cellStyle name="40% - Ênfase2 4" xfId="3859" xr:uid="{2FCDC579-DEFC-4134-AAC5-4BAC4E5E4093}"/>
    <cellStyle name="40% - Ênfase2 4 2" xfId="3860" xr:uid="{172752D7-49C8-41BB-9BC3-7E349CEC94BE}"/>
    <cellStyle name="40% - Ênfase2 5" xfId="3861" xr:uid="{F3CE5647-08F7-4EC2-A923-EC8724083EB9}"/>
    <cellStyle name="40% - Ênfase2 6" xfId="3862" xr:uid="{1C176817-60CA-41EE-91FB-CFC275C0DCE1}"/>
    <cellStyle name="40% - Ênfase2 7" xfId="3863" xr:uid="{5171A85F-BDA3-4876-AB01-6B7A97FA94F7}"/>
    <cellStyle name="40% - Ênfase2 8" xfId="3864" xr:uid="{5DE5C9D1-4AB9-46AC-A4A4-16923E93BDD3}"/>
    <cellStyle name="40% - Ênfase2 9" xfId="3865" xr:uid="{AFA132C6-C422-40DA-B905-3F1612AA77D5}"/>
    <cellStyle name="40% - Ênfase3 10" xfId="3866" xr:uid="{A795BA3A-92A5-4516-9EAC-48121591F011}"/>
    <cellStyle name="40% - Ênfase3 11" xfId="43359" xr:uid="{353D5439-34FD-49F5-BC1E-4E87689CA40E}"/>
    <cellStyle name="40% - Ênfase3 12" xfId="713" xr:uid="{2CAE6ACE-699D-42A0-A142-DE173A6B3E7B}"/>
    <cellStyle name="40% - Ênfase3 2" xfId="950" xr:uid="{F298FB28-C815-4CDB-BB8E-7043D0DFE27E}"/>
    <cellStyle name="40% - Ênfase3 2 2" xfId="3867" xr:uid="{1AF16EF3-2E49-413D-8077-AF53240009EE}"/>
    <cellStyle name="40% - Ênfase3 3" xfId="1747" xr:uid="{5D5F2280-3ECE-4C11-8C6C-AEF8C18D69FF}"/>
    <cellStyle name="40% - Ênfase3 3 2" xfId="3868" xr:uid="{8436945B-5F43-42DF-AF3A-33407028610E}"/>
    <cellStyle name="40% - Ênfase3 4" xfId="3869" xr:uid="{57BAFF40-D96D-48C6-AD53-8C98B825962F}"/>
    <cellStyle name="40% - Ênfase3 4 2" xfId="3870" xr:uid="{CE42E3AE-59D0-47F8-947A-E50A9EDDE0E6}"/>
    <cellStyle name="40% - Ênfase3 5" xfId="3871" xr:uid="{51A12743-598A-4D1C-89A6-BB35C2E7B776}"/>
    <cellStyle name="40% - Ênfase3 6" xfId="3872" xr:uid="{4F62845D-4EC6-4969-8F10-BD7173898154}"/>
    <cellStyle name="40% - Ênfase3 7" xfId="3873" xr:uid="{4DF88CD9-5BA4-4FE5-94AC-91D7C462C45B}"/>
    <cellStyle name="40% - Ênfase3 8" xfId="3874" xr:uid="{7B62B502-7AF4-4772-A6F4-7F03AFD9A686}"/>
    <cellStyle name="40% - Ênfase3 9" xfId="3875" xr:uid="{003057AD-0C7B-41F3-82FA-81C26F445965}"/>
    <cellStyle name="40% - Ênfase4 10" xfId="3876" xr:uid="{6F811D06-9DB7-407D-AC4C-C0C3C625C7C6}"/>
    <cellStyle name="40% - Ênfase4 11" xfId="43360" xr:uid="{7A4E2175-C5CE-4486-9CE4-331E69A3BC1B}"/>
    <cellStyle name="40% - Ênfase4 12" xfId="714" xr:uid="{081CDF8D-F5D1-4557-A9F8-6C9E6FFFCEF7}"/>
    <cellStyle name="40% - Ênfase4 2" xfId="951" xr:uid="{43980816-B90A-4C44-AA62-A5DB28A5497B}"/>
    <cellStyle name="40% - Ênfase4 2 2" xfId="3877" xr:uid="{40B95744-3159-41CF-B19B-33ABCAB11DD0}"/>
    <cellStyle name="40% - Ênfase4 3" xfId="1748" xr:uid="{FAF90477-4358-4AF7-A5D0-9B5729A57B20}"/>
    <cellStyle name="40% - Ênfase4 3 2" xfId="3878" xr:uid="{26EE0C0D-5645-4A64-A1CC-40A5A70AF624}"/>
    <cellStyle name="40% - Ênfase4 4" xfId="3879" xr:uid="{4914D55D-55CF-476F-8C52-B95D6F75AA7C}"/>
    <cellStyle name="40% - Ênfase4 4 2" xfId="3880" xr:uid="{5811EA91-A1FA-421B-B240-61E58D9FF2FD}"/>
    <cellStyle name="40% - Ênfase4 5" xfId="3881" xr:uid="{815CDCC0-E56B-4AB0-9A1B-1FDACD9B06F1}"/>
    <cellStyle name="40% - Ênfase4 6" xfId="3882" xr:uid="{45D26DD0-C603-4C32-935F-5DE49E003B3F}"/>
    <cellStyle name="40% - Ênfase4 7" xfId="3883" xr:uid="{6C55029E-E78F-4FEC-BF5E-4F037087E963}"/>
    <cellStyle name="40% - Ênfase4 8" xfId="3884" xr:uid="{D11D08CC-EE51-44D4-B16A-599C8BFA7FE3}"/>
    <cellStyle name="40% - Ênfase4 9" xfId="3885" xr:uid="{662E6922-0760-45D7-8860-1320D5E9A503}"/>
    <cellStyle name="40% - Ênfase5 10" xfId="3886" xr:uid="{F5B8CFDF-DB9F-4A5F-9E88-154252712228}"/>
    <cellStyle name="40% - Ênfase5 11" xfId="43361" xr:uid="{983086B4-824E-4331-9D79-E49B7FC0F5C7}"/>
    <cellStyle name="40% - Ênfase5 12" xfId="715" xr:uid="{310B6585-D923-4F2E-8BC7-339095CCC3D0}"/>
    <cellStyle name="40% - Ênfase5 2" xfId="952" xr:uid="{826F55CE-FDCA-4592-AFC9-C8FCF389C14F}"/>
    <cellStyle name="40% - Ênfase5 2 2" xfId="3887" xr:uid="{02FC1FED-B4D1-4659-A00D-E687A3482D6B}"/>
    <cellStyle name="40% - Ênfase5 3" xfId="1749" xr:uid="{FDC35911-CCB3-462B-B9DD-008AAF91DD8A}"/>
    <cellStyle name="40% - Ênfase5 3 2" xfId="3888" xr:uid="{5A2E5624-EF7C-40BD-BAA2-37510F721813}"/>
    <cellStyle name="40% - Ênfase5 4" xfId="3889" xr:uid="{E52951DF-4DA8-4223-BBAA-F09CD1D05E44}"/>
    <cellStyle name="40% - Ênfase5 4 2" xfId="3890" xr:uid="{2C7CD744-A36A-49FA-8A3E-920252A78B30}"/>
    <cellStyle name="40% - Ênfase5 5" xfId="3891" xr:uid="{CF841B08-18A0-4120-AA0E-D9C95F4786C7}"/>
    <cellStyle name="40% - Ênfase5 6" xfId="3892" xr:uid="{EF36A6BA-708D-4A26-8344-83B448A49772}"/>
    <cellStyle name="40% - Ênfase5 7" xfId="3893" xr:uid="{B0962F32-6A0D-46B8-8F9E-BACD18074DB3}"/>
    <cellStyle name="40% - Ênfase5 8" xfId="3894" xr:uid="{DDC99767-264B-4182-998A-81371D63D063}"/>
    <cellStyle name="40% - Ênfase5 9" xfId="3895" xr:uid="{6891D678-A029-4F35-A2AF-B000D3218A9C}"/>
    <cellStyle name="40% - Ênfase6 10" xfId="3896" xr:uid="{CF3F4A01-5360-449E-9D99-95AF1D0411CB}"/>
    <cellStyle name="40% - Ênfase6 11" xfId="43362" xr:uid="{E212CCF9-C1AB-4CBF-901D-4BB9FB2444ED}"/>
    <cellStyle name="40% - Ênfase6 12" xfId="716" xr:uid="{F04C9E93-D30E-464A-B902-D40902EAC482}"/>
    <cellStyle name="40% - Ênfase6 2" xfId="953" xr:uid="{2D5DB5A7-20C8-43F7-958E-5AAFFC5C8753}"/>
    <cellStyle name="40% - Ênfase6 2 2" xfId="3897" xr:uid="{62E0FA19-E709-4D0B-A2E5-3EAFB2B2909C}"/>
    <cellStyle name="40% - Ênfase6 3" xfId="1750" xr:uid="{D281687D-F281-4051-8B94-D40783369BCA}"/>
    <cellStyle name="40% - Ênfase6 3 2" xfId="3898" xr:uid="{BCA0F90D-BFB4-42F4-83AE-B740431EBC77}"/>
    <cellStyle name="40% - Ênfase6 4" xfId="3899" xr:uid="{9EE7A9FA-D437-40B8-A853-07F23B03210A}"/>
    <cellStyle name="40% - Ênfase6 4 2" xfId="3900" xr:uid="{7D2D8DFE-77F4-47A5-9A5B-CF793EAC6874}"/>
    <cellStyle name="40% - Ênfase6 5" xfId="3901" xr:uid="{855D5DE8-95FC-422F-B6A0-CEDD595F7B85}"/>
    <cellStyle name="40% - Ênfase6 6" xfId="3902" xr:uid="{52834514-4624-471C-AAA8-D012CB52512C}"/>
    <cellStyle name="40% - Ênfase6 7" xfId="3903" xr:uid="{BA15F216-0FF0-4A9C-A7F1-447FA8B0AD64}"/>
    <cellStyle name="40% - Ênfase6 8" xfId="3904" xr:uid="{BA03300A-FCD7-460E-A536-D291FD77D34C}"/>
    <cellStyle name="40% - Ênfase6 9" xfId="3905" xr:uid="{679F2948-8A95-440D-B745-7AE7769C5381}"/>
    <cellStyle name="40% - Énfasis1" xfId="954" xr:uid="{3048BDC7-2466-4BAA-BCAC-131EF98E98ED}"/>
    <cellStyle name="40% - Énfasis1 10" xfId="3906" xr:uid="{63BCB905-A882-4A8D-A545-F78FEB5C3C1B}"/>
    <cellStyle name="40% - Énfasis1 11" xfId="3907" xr:uid="{D7D83C25-7B1D-4E15-99C5-83A17AC02388}"/>
    <cellStyle name="40% - Énfasis1 12" xfId="3908" xr:uid="{61B71BA9-0516-4E5E-9A3C-73DCAE14D32C}"/>
    <cellStyle name="40% - Énfasis1 13" xfId="3909" xr:uid="{4AB1A186-FE7D-4642-BC99-3EC107C115E0}"/>
    <cellStyle name="40% - Énfasis1 14" xfId="3910" xr:uid="{47773567-5615-436E-8108-1FE99EB1AAAB}"/>
    <cellStyle name="40% - Énfasis1 15" xfId="3911" xr:uid="{F6BC2428-F8A7-4F56-804D-D52B7403EF81}"/>
    <cellStyle name="40% - Énfasis1 16" xfId="3912" xr:uid="{6B5F35DA-427F-4FE2-9072-65C81FF61064}"/>
    <cellStyle name="40% - Énfasis1 17" xfId="3913" xr:uid="{B673DEAA-A469-4905-B852-EE233B0D404D}"/>
    <cellStyle name="40% - Énfasis1 18" xfId="3914" xr:uid="{C5B2F8ED-4BC4-4721-857A-C74C031206EE}"/>
    <cellStyle name="40% - Énfasis1 19" xfId="3915" xr:uid="{8C271E32-72D6-4712-9497-C6C4CA643420}"/>
    <cellStyle name="40% - Énfasis1 2" xfId="3916" xr:uid="{6F05DC96-D6DF-4E23-A12F-B6600703564B}"/>
    <cellStyle name="40% - Énfasis1 2 2" xfId="3917" xr:uid="{3C5E7B86-E5D0-4659-A4AF-9C5C6E6654BA}"/>
    <cellStyle name="40% - Énfasis1 20" xfId="3918" xr:uid="{AF0F1386-90B1-4F9A-AEDB-61E57D3039AB}"/>
    <cellStyle name="40% - Énfasis1 21" xfId="3919" xr:uid="{BBE9BDBE-AC57-4848-A54B-535DFFAF4487}"/>
    <cellStyle name="40% - Énfasis1 22" xfId="3920" xr:uid="{F536F442-B714-4C46-87AF-8D8D111BFA85}"/>
    <cellStyle name="40% - Énfasis1 23" xfId="3921" xr:uid="{B62B6136-2B7D-44B2-BC6B-BC3F3AB5F02F}"/>
    <cellStyle name="40% - Énfasis1 24" xfId="3922" xr:uid="{D434E072-8CA2-4E6E-BE49-98D4C5F7BE65}"/>
    <cellStyle name="40% - Énfasis1 25" xfId="3923" xr:uid="{2223D557-1DD5-4FB0-B195-71985C8A852C}"/>
    <cellStyle name="40% - Énfasis1 3" xfId="3924" xr:uid="{819CBCD0-C972-4FB0-8F2E-7580625554E4}"/>
    <cellStyle name="40% - Énfasis1 3 2" xfId="3925" xr:uid="{942E1FEF-F1D8-486E-A254-5EA05DA590A6}"/>
    <cellStyle name="40% - Énfasis1 4" xfId="3926" xr:uid="{3104353A-1475-4907-B159-DCCD54FD0790}"/>
    <cellStyle name="40% - Énfasis1 5" xfId="3927" xr:uid="{A0F5D63A-8083-45FB-998F-3F512726F0DD}"/>
    <cellStyle name="40% - Énfasis1 6" xfId="3928" xr:uid="{0C4D18E0-6F84-42FF-A727-EB031374D55E}"/>
    <cellStyle name="40% - Énfasis1 7" xfId="3929" xr:uid="{48E4C39D-8B9F-499F-A027-B3F6E1D5AA32}"/>
    <cellStyle name="40% - Énfasis1 8" xfId="3930" xr:uid="{01B2513A-096B-41E1-8289-D271D59B9EBA}"/>
    <cellStyle name="40% - Énfasis1 9" xfId="3931" xr:uid="{28B123D1-3644-4146-B463-9B9907196047}"/>
    <cellStyle name="40% - Énfasis2" xfId="955" xr:uid="{3ED3128B-1815-499F-A8FE-99405F15EF9E}"/>
    <cellStyle name="40% - Énfasis2 10" xfId="3932" xr:uid="{E38D113B-7306-4BF4-8F1C-4A10441C49E4}"/>
    <cellStyle name="40% - Énfasis2 11" xfId="3933" xr:uid="{8BF105A0-2A82-4761-8D7B-018F90169691}"/>
    <cellStyle name="40% - Énfasis2 12" xfId="3934" xr:uid="{B2CB00C1-007E-4C0A-A94E-4E650EB54850}"/>
    <cellStyle name="40% - Énfasis2 13" xfId="3935" xr:uid="{D58B4967-5887-4FCF-996B-478B697BD7D6}"/>
    <cellStyle name="40% - Énfasis2 14" xfId="3936" xr:uid="{04902C10-3ABD-411A-A559-7816C862DDBA}"/>
    <cellStyle name="40% - Énfasis2 15" xfId="3937" xr:uid="{78AB05AF-39E9-4879-9387-942983CF324F}"/>
    <cellStyle name="40% - Énfasis2 16" xfId="3938" xr:uid="{463A68AA-A683-4FF8-9216-54DA83A9F308}"/>
    <cellStyle name="40% - Énfasis2 17" xfId="3939" xr:uid="{B0F2CD39-390E-42E6-8305-41A32E88A00A}"/>
    <cellStyle name="40% - Énfasis2 18" xfId="3940" xr:uid="{69F7B02A-28AE-40D0-B263-75D67C685F0D}"/>
    <cellStyle name="40% - Énfasis2 19" xfId="3941" xr:uid="{6E23A43A-320A-4674-9E32-7D18958D5E08}"/>
    <cellStyle name="40% - Énfasis2 2" xfId="3942" xr:uid="{DD8ACAC8-0DA3-4B8B-B816-593C88248775}"/>
    <cellStyle name="40% - Énfasis2 2 2" xfId="3943" xr:uid="{1215755F-4D5D-4731-9D58-78E5F95DDFBC}"/>
    <cellStyle name="40% - Énfasis2 20" xfId="3944" xr:uid="{7D3FCCCA-9968-4491-B3A9-E8DA1CA2EFB9}"/>
    <cellStyle name="40% - Énfasis2 21" xfId="3945" xr:uid="{59FC720E-1D54-42A8-B4A9-23891D4480BD}"/>
    <cellStyle name="40% - Énfasis2 22" xfId="3946" xr:uid="{61E2670F-2C5F-4B1A-849E-313E17A7329D}"/>
    <cellStyle name="40% - Énfasis2 23" xfId="3947" xr:uid="{497C28F5-7DD7-4F2D-855F-6573EA200815}"/>
    <cellStyle name="40% - Énfasis2 24" xfId="3948" xr:uid="{0A2F33B0-DB56-4FFD-9766-77E91C0AF7F4}"/>
    <cellStyle name="40% - Énfasis2 25" xfId="3949" xr:uid="{DDD285EE-DE32-4877-B534-3D40F2151F31}"/>
    <cellStyle name="40% - Énfasis2 3" xfId="3950" xr:uid="{BF09C1E1-4A7D-4DB9-9234-F14E9B896A7E}"/>
    <cellStyle name="40% - Énfasis2 3 2" xfId="3951" xr:uid="{7CCFB506-7F8E-4A48-A7E9-7E9BEC27A398}"/>
    <cellStyle name="40% - Énfasis2 4" xfId="3952" xr:uid="{843D67A3-37B1-4F6C-92AC-AF9768B14CDE}"/>
    <cellStyle name="40% - Énfasis2 5" xfId="3953" xr:uid="{0766339F-CB23-43C5-B141-D75C7E40E4B0}"/>
    <cellStyle name="40% - Énfasis2 6" xfId="3954" xr:uid="{004E3800-C430-4424-B690-93FEDFB25F4F}"/>
    <cellStyle name="40% - Énfasis2 7" xfId="3955" xr:uid="{004842F9-E1A2-4934-9496-54F53B833C04}"/>
    <cellStyle name="40% - Énfasis2 8" xfId="3956" xr:uid="{32ACB952-385A-47C3-95B7-40766EA484B5}"/>
    <cellStyle name="40% - Énfasis2 9" xfId="3957" xr:uid="{86F9B88E-BCA0-4BC3-9ACA-3DA92CDCB3C7}"/>
    <cellStyle name="40% - Énfasis3" xfId="956" xr:uid="{49FADD58-34AE-4481-A80D-32DB12E9DC63}"/>
    <cellStyle name="40% - Énfasis3 10" xfId="3958" xr:uid="{F0F50385-E551-4362-BD83-186BBEE3B281}"/>
    <cellStyle name="40% - Énfasis3 11" xfId="3959" xr:uid="{2EFD276B-8032-4C1C-9EC9-B48AD1239FB0}"/>
    <cellStyle name="40% - Énfasis3 12" xfId="3960" xr:uid="{0C0E4384-AB81-4CA8-9714-CC5111045BB7}"/>
    <cellStyle name="40% - Énfasis3 13" xfId="3961" xr:uid="{8D42EA77-ACAF-4281-925A-A94AF88F77B5}"/>
    <cellStyle name="40% - Énfasis3 14" xfId="3962" xr:uid="{A2765AA6-676F-4EB2-B57F-AB907BABDC4D}"/>
    <cellStyle name="40% - Énfasis3 15" xfId="3963" xr:uid="{3738F1D6-DBFD-44A6-9C3B-CB0C5974CA74}"/>
    <cellStyle name="40% - Énfasis3 16" xfId="3964" xr:uid="{C6D647DF-A924-4172-992B-10642E72E6B3}"/>
    <cellStyle name="40% - Énfasis3 17" xfId="3965" xr:uid="{EE5240A2-C099-4C46-86F4-FF8BFC76F25D}"/>
    <cellStyle name="40% - Énfasis3 18" xfId="3966" xr:uid="{044DABAD-471C-4AA7-835B-537FB4B5CD24}"/>
    <cellStyle name="40% - Énfasis3 19" xfId="3967" xr:uid="{A6BC5171-C18A-4C67-B06E-86AA733449AC}"/>
    <cellStyle name="40% - Énfasis3 2" xfId="3968" xr:uid="{BE14DAB2-1104-4D3B-8533-51DE8AC39E79}"/>
    <cellStyle name="40% - Énfasis3 2 2" xfId="3969" xr:uid="{E7A6210E-D734-4417-8ACB-4B7449F4BDA8}"/>
    <cellStyle name="40% - Énfasis3 20" xfId="3970" xr:uid="{BB19DBCA-AAC1-496B-88C4-C4D59056A580}"/>
    <cellStyle name="40% - Énfasis3 21" xfId="3971" xr:uid="{B9043792-48D8-485D-B4C3-385A6F353C1C}"/>
    <cellStyle name="40% - Énfasis3 22" xfId="3972" xr:uid="{89ADAE1A-0C20-416A-B0B0-C61EAEA37F97}"/>
    <cellStyle name="40% - Énfasis3 23" xfId="3973" xr:uid="{3793B157-10EC-4AEA-BE3A-3E4B48343678}"/>
    <cellStyle name="40% - Énfasis3 24" xfId="3974" xr:uid="{8884E548-DFC9-4B8A-AE1C-2E56BDDE2323}"/>
    <cellStyle name="40% - Énfasis3 25" xfId="3975" xr:uid="{056A9A16-AEFD-4D45-9AEB-55E597E801F5}"/>
    <cellStyle name="40% - Énfasis3 3" xfId="3976" xr:uid="{E7B77658-F614-4A54-8E66-F9A02C9237FC}"/>
    <cellStyle name="40% - Énfasis3 3 2" xfId="3977" xr:uid="{F1A845DE-2B78-4E53-88C1-D8388C02C14F}"/>
    <cellStyle name="40% - Énfasis3 4" xfId="3978" xr:uid="{674B56A8-73D1-424A-98D9-3BA81C3855BE}"/>
    <cellStyle name="40% - Énfasis3 5" xfId="3979" xr:uid="{69D92315-6DF9-4AD8-A8CD-83FC9302105A}"/>
    <cellStyle name="40% - Énfasis3 6" xfId="3980" xr:uid="{FE288CB1-477F-4A36-8514-989F41B68212}"/>
    <cellStyle name="40% - Énfasis3 7" xfId="3981" xr:uid="{BA4B3820-518C-400E-AD8B-EE25D522F391}"/>
    <cellStyle name="40% - Énfasis3 8" xfId="3982" xr:uid="{8554C501-4630-4E3F-891B-43AF7804DA88}"/>
    <cellStyle name="40% - Énfasis3 9" xfId="3983" xr:uid="{FE61ECC9-87CB-4430-918D-F471BFB912A0}"/>
    <cellStyle name="40% - Énfasis4" xfId="957" xr:uid="{D8DD45E3-023D-4D65-8F92-3C0599D18ECE}"/>
    <cellStyle name="40% - Énfasis4 10" xfId="3984" xr:uid="{86C846FD-33BE-4622-B226-3BEE2A76B2FC}"/>
    <cellStyle name="40% - Énfasis4 11" xfId="3985" xr:uid="{1001CA66-8808-4D08-9662-A00101DFBB42}"/>
    <cellStyle name="40% - Énfasis4 12" xfId="3986" xr:uid="{30972DD6-60C2-4273-B8D3-8FABACD2E8CE}"/>
    <cellStyle name="40% - Énfasis4 13" xfId="3987" xr:uid="{E926B498-E7F3-4E14-8A20-5AD7486B05F3}"/>
    <cellStyle name="40% - Énfasis4 14" xfId="3988" xr:uid="{9A53AB60-F48C-4113-91C0-71EE16F7F509}"/>
    <cellStyle name="40% - Énfasis4 15" xfId="3989" xr:uid="{F67CBE2E-9F17-4532-8DED-C6CA831F5093}"/>
    <cellStyle name="40% - Énfasis4 16" xfId="3990" xr:uid="{67B3270A-A7EE-4CD8-BDF3-4EEC896BA092}"/>
    <cellStyle name="40% - Énfasis4 17" xfId="3991" xr:uid="{1E87149A-0A3C-484E-A944-58BA649CF9CA}"/>
    <cellStyle name="40% - Énfasis4 18" xfId="3992" xr:uid="{7216AA7F-779B-4518-9DE0-41407932B682}"/>
    <cellStyle name="40% - Énfasis4 19" xfId="3993" xr:uid="{964A822E-5E54-4250-B919-7B9A14171121}"/>
    <cellStyle name="40% - Énfasis4 2" xfId="3994" xr:uid="{F994B802-08AB-475C-9750-0D06F131A5CC}"/>
    <cellStyle name="40% - Énfasis4 2 2" xfId="3995" xr:uid="{BC7093F4-B8DB-45AE-A529-619683D49165}"/>
    <cellStyle name="40% - Énfasis4 20" xfId="3996" xr:uid="{E1068BE8-D7F5-4C1C-B98B-8F443C11D160}"/>
    <cellStyle name="40% - Énfasis4 21" xfId="3997" xr:uid="{22A438D9-3D55-4F45-B00C-404C599DF909}"/>
    <cellStyle name="40% - Énfasis4 22" xfId="3998" xr:uid="{6309BE8F-0405-4D33-8E87-F00D60A7F262}"/>
    <cellStyle name="40% - Énfasis4 23" xfId="3999" xr:uid="{98B3E419-E8D8-4F22-A937-637E006FB939}"/>
    <cellStyle name="40% - Énfasis4 24" xfId="4000" xr:uid="{70EC8C2A-4715-4F3D-8BC2-CF396BB56172}"/>
    <cellStyle name="40% - Énfasis4 25" xfId="4001" xr:uid="{307ACEBC-1877-4AE0-83DD-D4469E6CEFCC}"/>
    <cellStyle name="40% - Énfasis4 3" xfId="4002" xr:uid="{CCD571A9-95A2-4F3C-9726-283112C6BB36}"/>
    <cellStyle name="40% - Énfasis4 3 2" xfId="4003" xr:uid="{B222AE34-2D8A-4154-B817-FD851CC431EC}"/>
    <cellStyle name="40% - Énfasis4 4" xfId="4004" xr:uid="{57991B20-48CF-414C-B93D-8C09929B8D4E}"/>
    <cellStyle name="40% - Énfasis4 5" xfId="4005" xr:uid="{4BE9306C-49BE-4C03-9E80-49EC50245127}"/>
    <cellStyle name="40% - Énfasis4 6" xfId="4006" xr:uid="{3375E4C0-2B30-49EF-ACEA-08F2C393461D}"/>
    <cellStyle name="40% - Énfasis4 7" xfId="4007" xr:uid="{49A47C92-93F0-43B3-A73C-1266903F83DD}"/>
    <cellStyle name="40% - Énfasis4 8" xfId="4008" xr:uid="{A7CA9050-89E1-4793-B3B4-27552C903B0D}"/>
    <cellStyle name="40% - Énfasis4 9" xfId="4009" xr:uid="{AAE4598A-8CFB-4C7B-82A5-EAFE337FC28F}"/>
    <cellStyle name="40% - Énfasis5" xfId="958" xr:uid="{510AE9C0-BF90-46E6-ABFF-E7FA4623A01F}"/>
    <cellStyle name="40% - Énfasis5 10" xfId="4010" xr:uid="{819A2C4D-92D8-4F0E-8E01-DC1DE10FA97B}"/>
    <cellStyle name="40% - Énfasis5 11" xfId="4011" xr:uid="{108BF838-6B1C-4290-8932-4B887A2901B8}"/>
    <cellStyle name="40% - Énfasis5 12" xfId="4012" xr:uid="{D05AFB49-D4B2-4F51-8AE2-37C460AFF28B}"/>
    <cellStyle name="40% - Énfasis5 13" xfId="4013" xr:uid="{F424432B-7094-41DC-A17F-D14FBB4BE640}"/>
    <cellStyle name="40% - Énfasis5 14" xfId="4014" xr:uid="{DF7B90DB-43B6-4C0C-930D-30FA82262970}"/>
    <cellStyle name="40% - Énfasis5 15" xfId="4015" xr:uid="{FBA84FFC-3D88-4EA5-B9CE-55AEDAAE858A}"/>
    <cellStyle name="40% - Énfasis5 16" xfId="4016" xr:uid="{56B1C335-FC2F-4BE3-B040-9DE4915ECA35}"/>
    <cellStyle name="40% - Énfasis5 17" xfId="4017" xr:uid="{518C562B-16A7-4339-BD05-F9F0C97E2FEC}"/>
    <cellStyle name="40% - Énfasis5 18" xfId="4018" xr:uid="{1FC08A9A-2E00-4A80-9188-D74484B52CDD}"/>
    <cellStyle name="40% - Énfasis5 19" xfId="4019" xr:uid="{D39DF090-44FE-4143-9747-0EC2C7B1FCA9}"/>
    <cellStyle name="40% - Énfasis5 2" xfId="4020" xr:uid="{13F5E2AF-C492-41AE-9681-C34AF9A266E8}"/>
    <cellStyle name="40% - Énfasis5 2 2" xfId="4021" xr:uid="{9BA9C817-78B2-4AFB-9BE4-F25B533F527D}"/>
    <cellStyle name="40% - Énfasis5 20" xfId="4022" xr:uid="{9BA399A2-02F5-4963-A22A-BAEDB8D11BBD}"/>
    <cellStyle name="40% - Énfasis5 21" xfId="4023" xr:uid="{85A47846-4A55-4334-91BA-70A991387911}"/>
    <cellStyle name="40% - Énfasis5 22" xfId="4024" xr:uid="{0EED300F-E78D-4251-AAF6-5A848BB5BB6D}"/>
    <cellStyle name="40% - Énfasis5 23" xfId="4025" xr:uid="{EE602BD2-7331-4705-9235-91CC1598580B}"/>
    <cellStyle name="40% - Énfasis5 24" xfId="4026" xr:uid="{CAB10C15-F9F6-4CB8-A491-4841A1AD2C6E}"/>
    <cellStyle name="40% - Énfasis5 25" xfId="4027" xr:uid="{E039D58B-9DD7-4C15-9FC1-14CEF4F9AD22}"/>
    <cellStyle name="40% - Énfasis5 3" xfId="4028" xr:uid="{68C1D6D4-E44B-42AE-9765-2073412564D3}"/>
    <cellStyle name="40% - Énfasis5 3 2" xfId="4029" xr:uid="{52463F09-7492-4380-BB52-865F28307530}"/>
    <cellStyle name="40% - Énfasis5 4" xfId="4030" xr:uid="{9E2CC17D-2BEE-40CE-91D6-E43BEBD50CBB}"/>
    <cellStyle name="40% - Énfasis5 5" xfId="4031" xr:uid="{9911ED06-1423-4759-915D-B9C77BD87DC1}"/>
    <cellStyle name="40% - Énfasis5 6" xfId="4032" xr:uid="{3DA8EF27-C5DD-48BB-A515-E280D779CC07}"/>
    <cellStyle name="40% - Énfasis5 7" xfId="4033" xr:uid="{8451C026-3D69-4544-A47E-B332659F1E75}"/>
    <cellStyle name="40% - Énfasis5 8" xfId="4034" xr:uid="{7C092276-4287-4827-B458-CA4F70F62C7E}"/>
    <cellStyle name="40% - Énfasis5 9" xfId="4035" xr:uid="{E18510E2-6B9F-42B6-9900-F0E17572DF10}"/>
    <cellStyle name="40% - Énfasis6" xfId="959" xr:uid="{0EE60740-5E99-4EA4-A451-80D45FAB881B}"/>
    <cellStyle name="40% - Énfasis6 10" xfId="4036" xr:uid="{7D3FF864-E7FC-4569-B813-82E4B4B747A5}"/>
    <cellStyle name="40% - Énfasis6 11" xfId="4037" xr:uid="{EEE1A1B2-C547-45AA-9E67-D9A9D009C2D7}"/>
    <cellStyle name="40% - Énfasis6 12" xfId="4038" xr:uid="{CD4EC556-07EC-4366-AC1D-E16D8D56F2E1}"/>
    <cellStyle name="40% - Énfasis6 13" xfId="4039" xr:uid="{6B85F4FF-D9C6-4764-BC08-A3B74194DE14}"/>
    <cellStyle name="40% - Énfasis6 14" xfId="4040" xr:uid="{776A6F11-9A11-477A-B311-52C7C929307E}"/>
    <cellStyle name="40% - Énfasis6 15" xfId="4041" xr:uid="{1B2D22F2-1ACD-4BB1-8708-08E249EFF27F}"/>
    <cellStyle name="40% - Énfasis6 16" xfId="4042" xr:uid="{C648332C-53C4-4B2B-B84F-0CD27CD0AE00}"/>
    <cellStyle name="40% - Énfasis6 17" xfId="4043" xr:uid="{C3BA8FF7-704E-4294-8427-4349A6633D06}"/>
    <cellStyle name="40% - Énfasis6 18" xfId="4044" xr:uid="{87B93D41-D41F-4560-9CF5-358AE5710880}"/>
    <cellStyle name="40% - Énfasis6 19" xfId="4045" xr:uid="{27F9CF61-A33F-4AE1-9336-E6F43A421697}"/>
    <cellStyle name="40% - Énfasis6 2" xfId="4046" xr:uid="{87B15F54-142C-4E8F-A465-C90745945640}"/>
    <cellStyle name="40% - Énfasis6 2 2" xfId="4047" xr:uid="{BBAA7141-F1B4-4710-A8B5-5E4933117003}"/>
    <cellStyle name="40% - Énfasis6 20" xfId="4048" xr:uid="{0AF7C579-DF66-4A01-8630-77FAB6400A4E}"/>
    <cellStyle name="40% - Énfasis6 21" xfId="4049" xr:uid="{E6F4D59E-E4E9-411D-A340-4E30D32D2140}"/>
    <cellStyle name="40% - Énfasis6 22" xfId="4050" xr:uid="{3ABEAC71-39AA-459C-A5BB-CF73FB896408}"/>
    <cellStyle name="40% - Énfasis6 23" xfId="4051" xr:uid="{2D1C94C7-2EA2-4022-81C6-58A50E86FB00}"/>
    <cellStyle name="40% - Énfasis6 24" xfId="4052" xr:uid="{A0594C91-C369-4E51-A0B4-1D8F3C86C41B}"/>
    <cellStyle name="40% - Énfasis6 25" xfId="4053" xr:uid="{34A62752-D72D-4F59-8C24-8E02F21065F0}"/>
    <cellStyle name="40% - Énfasis6 3" xfId="4054" xr:uid="{FF24F122-3871-4642-9512-0ED403A18AAF}"/>
    <cellStyle name="40% - Énfasis6 3 2" xfId="4055" xr:uid="{2F2AF36F-8827-4D87-AF4E-89F037D3D170}"/>
    <cellStyle name="40% - Énfasis6 4" xfId="4056" xr:uid="{CFA3858D-420B-48E2-9677-52C59BB470D1}"/>
    <cellStyle name="40% - Énfasis6 5" xfId="4057" xr:uid="{5A04F074-DD6A-40C6-AB64-2CA52B53741C}"/>
    <cellStyle name="40% - Énfasis6 6" xfId="4058" xr:uid="{7B0BF80B-1166-4C9F-A69F-AC7C790790A1}"/>
    <cellStyle name="40% - Énfasis6 7" xfId="4059" xr:uid="{3A813DEE-B1A4-4AC1-94B6-5D08BB5DB9D7}"/>
    <cellStyle name="40% - Énfasis6 8" xfId="4060" xr:uid="{25AB48D9-1CB0-43A9-8088-B31193A6098D}"/>
    <cellStyle name="40% - Énfasis6 9" xfId="4061" xr:uid="{BCBAA9E2-7B37-4CE0-B32D-F14601486228}"/>
    <cellStyle name="60% - Accent1" xfId="717" xr:uid="{A0610FDE-E676-408E-894D-20A65B038E1A}"/>
    <cellStyle name="60% - Accent1 2" xfId="4062" xr:uid="{3C678639-8BA1-4993-AD8C-810FC743AFF4}"/>
    <cellStyle name="60% - Accent2" xfId="718" xr:uid="{90D3F3F3-82D4-427F-8275-083BF927DB53}"/>
    <cellStyle name="60% - Accent2 2" xfId="4063" xr:uid="{CB800BD5-4970-4300-A685-3F875AD79A0B}"/>
    <cellStyle name="60% - Accent3" xfId="719" xr:uid="{0CC0DE06-214C-426A-BD4F-F044F414A898}"/>
    <cellStyle name="60% - Accent3 2" xfId="4064" xr:uid="{C2F5A8B7-3B52-4F26-A2DC-4FF326F34548}"/>
    <cellStyle name="60% - Accent4" xfId="720" xr:uid="{28882774-3773-4421-99CE-5B510E87BD10}"/>
    <cellStyle name="60% - Accent4 2" xfId="4065" xr:uid="{AA270323-E545-45B5-AE1B-2739E711E3AB}"/>
    <cellStyle name="60% - Accent5" xfId="721" xr:uid="{05DD2772-BD78-41A7-87DD-0895AC6058FF}"/>
    <cellStyle name="60% - Accent5 2" xfId="4066" xr:uid="{790E0873-9F25-447A-855E-4DAC68A0E8D5}"/>
    <cellStyle name="60% - Accent6" xfId="722" xr:uid="{4D2499D9-B840-45B3-B8E9-F45CA27DDB6E}"/>
    <cellStyle name="60% - Accent6 2" xfId="4067" xr:uid="{24BCA6B0-C6F3-46F8-90E0-F8696E39EDDF}"/>
    <cellStyle name="60% - Ênfase1 10" xfId="4068" xr:uid="{344AA485-E261-410C-87C5-25F07C8AD375}"/>
    <cellStyle name="60% - Ênfase1 11" xfId="43363" xr:uid="{5355F59B-0D3E-4B07-879A-E7085FDB47B2}"/>
    <cellStyle name="60% - Ênfase1 12" xfId="723" xr:uid="{44FCE085-8B60-4797-95DA-F2B6A971F046}"/>
    <cellStyle name="60% - Ênfase1 2" xfId="960" xr:uid="{5F08F164-5C71-4E3B-A7DC-DB140C9917AF}"/>
    <cellStyle name="60% - Ênfase1 2 2" xfId="4069" xr:uid="{0F997D0F-6134-42F9-A63B-587FFFCC0D95}"/>
    <cellStyle name="60% - Ênfase1 3" xfId="1751" xr:uid="{034A25A3-C8EA-41C0-B085-36058CCB47A5}"/>
    <cellStyle name="60% - Ênfase1 3 2" xfId="4070" xr:uid="{336848A8-445D-4A39-87DD-3DD44D56D2B6}"/>
    <cellStyle name="60% - Ênfase1 4" xfId="4071" xr:uid="{DA6E05C3-D000-4B4A-A4D8-7B50F3F4EF09}"/>
    <cellStyle name="60% - Ênfase1 4 2" xfId="4072" xr:uid="{02610F5C-6C40-4D59-A04F-6BE6EB9AFF2F}"/>
    <cellStyle name="60% - Ênfase1 5" xfId="4073" xr:uid="{5032DDB8-5B66-46D7-BCA0-398C8EBF854A}"/>
    <cellStyle name="60% - Ênfase1 6" xfId="4074" xr:uid="{BD5D41E1-CBA9-4220-A2C6-99B18B147E7E}"/>
    <cellStyle name="60% - Ênfase1 7" xfId="4075" xr:uid="{5A64F2D1-47B5-475D-8F93-FE46695DFF35}"/>
    <cellStyle name="60% - Ênfase1 8" xfId="4076" xr:uid="{45EC25D2-8CFC-43EA-9791-916D86470447}"/>
    <cellStyle name="60% - Ênfase1 9" xfId="4077" xr:uid="{0377F039-80E4-4630-88D9-CD891148B99C}"/>
    <cellStyle name="60% - Ênfase2 10" xfId="4078" xr:uid="{8E1BF04A-E7E7-4F64-905C-EB28C5E724D1}"/>
    <cellStyle name="60% - Ênfase2 11" xfId="43364" xr:uid="{5E921721-2B85-4270-AED3-E4C27D75C66F}"/>
    <cellStyle name="60% - Ênfase2 12" xfId="724" xr:uid="{56516ABA-988D-46CC-8C27-56FEE4D4B2DF}"/>
    <cellStyle name="60% - Ênfase2 2" xfId="961" xr:uid="{A0779D40-7E07-49E3-9088-364F49BA71DF}"/>
    <cellStyle name="60% - Ênfase2 2 2" xfId="4079" xr:uid="{F527A1A1-3566-4D66-86E7-DDE1DEE91871}"/>
    <cellStyle name="60% - Ênfase2 3" xfId="1752" xr:uid="{AA59FBEA-FC86-44FA-B695-0AC8499584E3}"/>
    <cellStyle name="60% - Ênfase2 3 2" xfId="4080" xr:uid="{AA651C1C-4BD0-4974-B72D-DDEA975AEA8B}"/>
    <cellStyle name="60% - Ênfase2 4" xfId="4081" xr:uid="{14A52285-C57F-4086-AE0B-C23D3B41593C}"/>
    <cellStyle name="60% - Ênfase2 4 2" xfId="4082" xr:uid="{6F8C296D-A4F6-4157-9C6E-21A162F7BFC6}"/>
    <cellStyle name="60% - Ênfase2 5" xfId="4083" xr:uid="{E757D2DA-6688-4EAD-A300-7A006725B959}"/>
    <cellStyle name="60% - Ênfase2 6" xfId="4084" xr:uid="{58599E07-BEF8-4B95-9AE0-E0791207A257}"/>
    <cellStyle name="60% - Ênfase2 7" xfId="4085" xr:uid="{41FDE155-C308-4847-A8D5-B87D629A1A18}"/>
    <cellStyle name="60% - Ênfase2 8" xfId="4086" xr:uid="{D6FE3C50-BC22-42F3-80EE-0A9F05B9EA2F}"/>
    <cellStyle name="60% - Ênfase2 9" xfId="4087" xr:uid="{D989DBFA-6896-45E7-9752-A47B873BF74A}"/>
    <cellStyle name="60% - Ênfase3 10" xfId="4088" xr:uid="{F5BE99FA-5060-4864-BAF7-BAA335A8932A}"/>
    <cellStyle name="60% - Ênfase3 11" xfId="43365" xr:uid="{02C1FADB-23CA-4070-8ED7-9EAE4013E7EB}"/>
    <cellStyle name="60% - Ênfase3 12" xfId="725" xr:uid="{AB1721B4-37B9-4E1C-9EB9-82311914BA37}"/>
    <cellStyle name="60% - Ênfase3 2" xfId="962" xr:uid="{EAB611A3-59C5-4883-B8B6-BEE6D4C70B06}"/>
    <cellStyle name="60% - Ênfase3 2 2" xfId="4089" xr:uid="{A4C97545-6195-4823-965C-7AAFD4999F7A}"/>
    <cellStyle name="60% - Ênfase3 3" xfId="1753" xr:uid="{AA2A46F9-3784-4AE9-A95B-F70C3E28ECEA}"/>
    <cellStyle name="60% - Ênfase3 3 2" xfId="4090" xr:uid="{E8C315D6-CA93-431D-9AF2-95442A61A6C5}"/>
    <cellStyle name="60% - Ênfase3 4" xfId="4091" xr:uid="{F10B4F8D-9532-4829-9727-3485B13E4A88}"/>
    <cellStyle name="60% - Ênfase3 4 2" xfId="4092" xr:uid="{4037605F-8602-4223-8A53-B3C84DB945CA}"/>
    <cellStyle name="60% - Ênfase3 5" xfId="4093" xr:uid="{F2A3901E-DDD0-4B4B-9552-685D8B60AB4B}"/>
    <cellStyle name="60% - Ênfase3 6" xfId="4094" xr:uid="{5743876F-E01D-4BF0-BAC6-5E8F32D38FC1}"/>
    <cellStyle name="60% - Ênfase3 7" xfId="4095" xr:uid="{AADA1FFC-09C3-4082-87DE-7F9B654E5512}"/>
    <cellStyle name="60% - Ênfase3 8" xfId="4096" xr:uid="{109B0D05-34E5-45FC-B348-F799FFE81FA4}"/>
    <cellStyle name="60% - Ênfase3 9" xfId="4097" xr:uid="{E5698DA3-8DDE-4E54-B8E5-5CB92375616B}"/>
    <cellStyle name="60% - Ênfase4 10" xfId="4098" xr:uid="{2BDF67EC-898D-4D4D-9630-29BBC2AEBF33}"/>
    <cellStyle name="60% - Ênfase4 11" xfId="43366" xr:uid="{E2BD3EEF-CC86-475D-9664-AEA951355CC7}"/>
    <cellStyle name="60% - Ênfase4 12" xfId="726" xr:uid="{63013C05-2B86-4DC0-A54B-CBD376596D2F}"/>
    <cellStyle name="60% - Ênfase4 2" xfId="963" xr:uid="{903D93BD-2B0B-4DAF-960D-BE5DC4190A9C}"/>
    <cellStyle name="60% - Ênfase4 2 2" xfId="4099" xr:uid="{F3F04A22-DA01-46F6-9E43-C776F5492192}"/>
    <cellStyle name="60% - Ênfase4 3" xfId="1754" xr:uid="{82A712A1-F1B1-4E71-BCB4-1896E1AA3D43}"/>
    <cellStyle name="60% - Ênfase4 3 2" xfId="4100" xr:uid="{EF5C9F6D-AD97-4FDE-8DE3-4229EB9EB5AC}"/>
    <cellStyle name="60% - Ênfase4 4" xfId="4101" xr:uid="{6D9DE4FA-9817-45E3-9AAC-1E2B6A6315C8}"/>
    <cellStyle name="60% - Ênfase4 4 2" xfId="4102" xr:uid="{90903E40-5215-41FB-9288-C18A2AA0A0C5}"/>
    <cellStyle name="60% - Ênfase4 5" xfId="4103" xr:uid="{BFCCFAAF-6089-4F41-BB8A-A2C844DDEF6E}"/>
    <cellStyle name="60% - Ênfase4 6" xfId="4104" xr:uid="{BAC9842E-6B42-4B7B-8483-4439B5EFA026}"/>
    <cellStyle name="60% - Ênfase4 7" xfId="4105" xr:uid="{49FFCC16-BBCF-47E7-8199-679FA31FFB5D}"/>
    <cellStyle name="60% - Ênfase4 8" xfId="4106" xr:uid="{F266233A-2148-4738-9D95-39BFB56904B9}"/>
    <cellStyle name="60% - Ênfase4 9" xfId="4107" xr:uid="{E807161A-DCC6-44CA-9BB8-0CB1F7B1B342}"/>
    <cellStyle name="60% - Ênfase5 10" xfId="4108" xr:uid="{679424C1-0A59-4F58-8767-72742D6B92E1}"/>
    <cellStyle name="60% - Ênfase5 11" xfId="43367" xr:uid="{455A819B-C336-4FA8-9FE1-2E04BB3CFBB3}"/>
    <cellStyle name="60% - Ênfase5 12" xfId="727" xr:uid="{E3E31989-08D9-4CFD-8F18-F02D43C84CAC}"/>
    <cellStyle name="60% - Ênfase5 2" xfId="964" xr:uid="{85161C21-BA49-476E-836C-E7BCFCFFBF05}"/>
    <cellStyle name="60% - Ênfase5 2 2" xfId="4109" xr:uid="{3EE0AFCA-E519-4B1A-A223-0C971274FEA0}"/>
    <cellStyle name="60% - Ênfase5 3" xfId="1755" xr:uid="{F3341373-513C-430F-80B9-3ED783BCA2DE}"/>
    <cellStyle name="60% - Ênfase5 3 2" xfId="4110" xr:uid="{E57CF650-C467-44C0-B8C3-BC21041F0486}"/>
    <cellStyle name="60% - Ênfase5 4" xfId="4111" xr:uid="{F7D182E8-CE57-4881-A35A-AA07C93AFBCD}"/>
    <cellStyle name="60% - Ênfase5 4 2" xfId="4112" xr:uid="{A1817706-BD2A-4FB7-951B-F18D987585BC}"/>
    <cellStyle name="60% - Ênfase5 5" xfId="4113" xr:uid="{8517BC4A-66AB-423D-A048-E39783FC7114}"/>
    <cellStyle name="60% - Ênfase5 6" xfId="4114" xr:uid="{C1C1F43C-F159-43B9-8482-40E46C974BDC}"/>
    <cellStyle name="60% - Ênfase5 7" xfId="4115" xr:uid="{4C597C08-D68C-4C75-A521-8E734BD183F4}"/>
    <cellStyle name="60% - Ênfase5 8" xfId="4116" xr:uid="{2F516C80-FB31-42E1-885F-7BF77D162F28}"/>
    <cellStyle name="60% - Ênfase5 9" xfId="4117" xr:uid="{C0719F86-7565-4724-BDA9-4C7D70EC71E8}"/>
    <cellStyle name="60% - Ênfase6 10" xfId="4118" xr:uid="{00BCD022-027B-41F5-B525-64ACED17A064}"/>
    <cellStyle name="60% - Ênfase6 11" xfId="43368" xr:uid="{7BAB1144-012B-4B36-894D-00D2D621169A}"/>
    <cellStyle name="60% - Ênfase6 12" xfId="728" xr:uid="{72F521B8-FD56-4B7B-AF8F-65D6C2E7D920}"/>
    <cellStyle name="60% - Ênfase6 2" xfId="965" xr:uid="{F08C92AE-E233-417E-99A9-36CEED04CF04}"/>
    <cellStyle name="60% - Ênfase6 2 2" xfId="4119" xr:uid="{0BA9BCA9-9759-44EC-A229-091199808065}"/>
    <cellStyle name="60% - Ênfase6 3" xfId="1756" xr:uid="{5A2312FF-B490-4B9A-AEF2-D9D5A6119DE4}"/>
    <cellStyle name="60% - Ênfase6 3 2" xfId="4120" xr:uid="{E9FDD231-9676-46EA-9121-D4418BF874EC}"/>
    <cellStyle name="60% - Ênfase6 4" xfId="4121" xr:uid="{1D0C2702-EF8F-4726-85B9-FE8F2F56B743}"/>
    <cellStyle name="60% - Ênfase6 4 2" xfId="4122" xr:uid="{8EBAC33A-190E-4261-9588-B52FF15D7BBC}"/>
    <cellStyle name="60% - Ênfase6 5" xfId="4123" xr:uid="{D0CA1D51-4F7A-42CB-9239-1A3878DEE668}"/>
    <cellStyle name="60% - Ênfase6 6" xfId="4124" xr:uid="{326351E6-FE24-4AB4-B999-EB83F9F7C527}"/>
    <cellStyle name="60% - Ênfase6 7" xfId="4125" xr:uid="{994025EE-FC3E-47A5-9341-368EF5EFB85E}"/>
    <cellStyle name="60% - Ênfase6 8" xfId="4126" xr:uid="{F01B62CF-D568-4F15-93FD-2BA494B1859C}"/>
    <cellStyle name="60% - Ênfase6 9" xfId="4127" xr:uid="{3A9EB333-EE31-47D4-BBE5-3EC9CC3649C8}"/>
    <cellStyle name="60% - Énfasis1" xfId="966" xr:uid="{471B5B2E-D9DD-4A49-A94D-D3E6E7B30F77}"/>
    <cellStyle name="60% - Énfasis1 2" xfId="4128" xr:uid="{0F4713F9-C7AB-40FF-85F9-84A649B9F519}"/>
    <cellStyle name="60% - Énfasis2" xfId="967" xr:uid="{EDCBF647-DA9F-4141-9593-F6D7C104A85F}"/>
    <cellStyle name="60% - Énfasis2 2" xfId="4129" xr:uid="{9E781D3B-7E19-4E4E-8E87-CD93059F357C}"/>
    <cellStyle name="60% - Énfasis3" xfId="968" xr:uid="{7780A5D5-2049-46EF-ABB4-97EBB9BC5B69}"/>
    <cellStyle name="60% - Énfasis3 2" xfId="4130" xr:uid="{54F82E59-E1D7-4DE5-B051-75A861363CEF}"/>
    <cellStyle name="60% - Énfasis4" xfId="969" xr:uid="{17B1F80A-B163-460D-8735-A000A0F42516}"/>
    <cellStyle name="60% - Énfasis4 2" xfId="4131" xr:uid="{8AF41418-EF36-4718-B956-93B4B3687622}"/>
    <cellStyle name="60% - Énfasis5" xfId="970" xr:uid="{7A7EB38A-D9DE-4972-A91F-8AE16120368B}"/>
    <cellStyle name="60% - Énfasis5 2" xfId="4132" xr:uid="{F7238356-7691-4EBD-BBCF-664E4017C007}"/>
    <cellStyle name="60% - Énfasis6" xfId="971" xr:uid="{454CFB0D-FC80-4B86-902A-720ED64054FF}"/>
    <cellStyle name="60% - Énfasis6 2" xfId="4133" xr:uid="{B5A11E38-E20C-4B41-8A44-A654A5EFFE7F}"/>
    <cellStyle name="8" xfId="729" xr:uid="{31FE3196-DBE1-4E93-A8DF-437AA303846A}"/>
    <cellStyle name="8_atualização serviços taxados" xfId="43369" xr:uid="{01D52DF3-85D9-4DCF-A2F2-38C90EEC2005}"/>
    <cellStyle name="8_Cálculo do Financeiro do Baixa Renda" xfId="4134" xr:uid="{81556470-2D15-4F39-A676-FD057A740F99}"/>
    <cellStyle name="8_Cálculo do Financeiro do Baixa Renda_IRT-cálculo" xfId="4135" xr:uid="{4E9C4F1A-BAA8-4A1F-8C6C-3470A1C20F4F}"/>
    <cellStyle name="8_Cálculo do Financeiro do Baixa Renda_IRT-cálculo CAPA NEUTRALIDADE" xfId="4136" xr:uid="{FCFB89F9-8B1C-497A-A0C8-3DAE081421FE}"/>
    <cellStyle name="8_Calculo_Subsidio_ELFSM_26_06_08_Modelo_ANEEL" xfId="4137" xr:uid="{8C411367-CECF-41BB-8607-1F0D8A6D10B0}"/>
    <cellStyle name="8_Calculo_Subsidio_ELFSM_26_06_08_Modelo_ANEEL_IRT-cálculo" xfId="4138" xr:uid="{8AD17735-B567-492E-BB90-4F8CA0579E85}"/>
    <cellStyle name="8_Calculo_Subsidio_ELFSM_26_06_08_Modelo_ANEEL_IRT-cálculo CAPA NEUTRALIDADE" xfId="4139" xr:uid="{F32BD6FD-3A14-4B33-818B-8FF318017A28}"/>
    <cellStyle name="8_CELPE - Cálculo do RA0 para o IRT 2010" xfId="43370" xr:uid="{A791FFE8-E0AE-49FA-BA28-51099A836C4F}"/>
    <cellStyle name="8_CELPE REAJUSTE 2008 ver 6c (17mar08) (IRT revisado - reversão - bolhas)(corr Uso)" xfId="43371" xr:uid="{1F2814EE-CE46-4383-A5D9-230C084FAB4A}"/>
    <cellStyle name="8_CELPE REAJUSTE 2008 ver final (enviada 17mar08)" xfId="43372" xr:uid="{73DDED1B-2945-43CF-8AA6-1A709AE3E946}"/>
    <cellStyle name="8_COELBA_05_DIFERENÇAS_FINANCEIRAS_EM_RECUPERAÇÃO_Jan09" xfId="43373" xr:uid="{474751BE-BCFC-4838-B817-55FB3420E68A}"/>
    <cellStyle name="8_COELBA_05_DIFERENÇAS_FINANCEIRAS_EM_RECUPERAÇÃO_Jan09_COELBA_IRT 2010_Simulador_21_08_09" xfId="43374" xr:uid="{9907C901-5D23-40B6-ADA1-131DD44F5C9C}"/>
    <cellStyle name="8_COELBA_06_DIFERENÇAS_FINANCEIRAS_EM_CONSTITUIÇÃO_Jan09" xfId="43375" xr:uid="{BFB7F59C-9387-41F4-B4EA-553119A7E8D9}"/>
    <cellStyle name="8_COELBA_06_DIFERENÇAS_FINANCEIRAS_EM_CONSTITUIÇÃO_Jan09_COELBA_IRT 2010_Simulador_21_08_09" xfId="43376" xr:uid="{9EAAC160-0A7D-4CF7-AD7C-00DBB0085D8C}"/>
    <cellStyle name="8_COELBA_90 - Apuração da Receita e Reversão_IRT 2010" xfId="43377" xr:uid="{B93D59AD-0BF1-4C86-A8EC-7094089CB465}"/>
    <cellStyle name="8_COELBA_90 - Apuração da Receita e Reversão_IRT 2010_Jan_10" xfId="43378" xr:uid="{C504A1D8-163C-40CA-A554-C0158E046CC6}"/>
    <cellStyle name="8_COELCE - Balanço de Energia - Reajuste 2009 - 02 02 2009" xfId="43379" xr:uid="{EE2BDE0D-16B5-481C-91E5-E88F86139A59}"/>
    <cellStyle name="8_COELCE - Compensação CVA Ano Anterior" xfId="43380" xr:uid="{CF339742-0738-4615-B651-4700FC34C43F}"/>
    <cellStyle name="8_Compensação CVA Ano Anterior" xfId="43381" xr:uid="{6D4C5EE0-6770-4F84-A147-825C12439E0A}"/>
    <cellStyle name="8_Cópia de COELBA_06_DIFERENÃAS_FINANCEIRAS_EM_CONSTITUIÃ+O_Jul08" xfId="4140" xr:uid="{9FB20C98-FCF3-4218-9F3F-53484EDA13C8}"/>
    <cellStyle name="8_Custo com Avaliação de Ativos para Base de Remuneração" xfId="4141" xr:uid="{1F3604AF-2108-413D-B0CD-BC81A138B339}"/>
    <cellStyle name="8_Custo com Avaliação de Ativos para Base de Remuneração_IRT-cálculo" xfId="4142" xr:uid="{33341598-D29C-4CFD-AD1F-5E17FA17776D}"/>
    <cellStyle name="8_Custo com Avaliação de Ativos para Base de Remuneração_IRT-cálculo CAPA NEUTRALIDADE" xfId="4143" xr:uid="{66A56784-6608-445B-B737-C8613693E6EC}"/>
    <cellStyle name="8_CVA_Projetada até dez-2008_Setembro" xfId="4144" xr:uid="{CA838AC1-3D9D-4FE6-BD90-C8B5F25130D9}"/>
    <cellStyle name="8_CVA_Projetada até dez-2008_Setembro_CVA Outros Componentes PROVISÃO" xfId="4145" xr:uid="{40DFE12B-6C3C-4A9A-AE25-89CC0D5A353C}"/>
    <cellStyle name="8_CVA_Projetada até dez-2008_Setembro_PROVISÃO" xfId="4146" xr:uid="{F1FBADFB-DC2E-4969-A6BB-9A707E6DCE87}"/>
    <cellStyle name="8_Energia Comprada" xfId="4147" xr:uid="{60A5075C-CA63-4603-A164-0F5EE49F182F}"/>
    <cellStyle name="8_Energia Comprada_IRT-cálculo" xfId="4148" xr:uid="{B223ED68-7C2C-4D37-963E-7DAEBA5F9422}"/>
    <cellStyle name="8_Energia Comprada_IRT-cálculo CAPA NEUTRALIDADE" xfId="4149" xr:uid="{441B1EAC-9714-4BBA-A5B9-49C450E9E10F}"/>
    <cellStyle name="8_Fator X" xfId="1664" xr:uid="{2AABB6BD-EE45-4979-BCC8-0773C66DEA3F}"/>
    <cellStyle name="8_Fator X_atualização serviços taxados" xfId="43382" xr:uid="{5325C3C7-0D2B-4E17-9A26-5C7AA2BEF784}"/>
    <cellStyle name="8_Fator X_Financeiro Desconto na TUSD Consumidores Livres Reajuste 2010 - 03_03_2010" xfId="43383" xr:uid="{307478C6-6B64-425D-9E87-6C3AF245D06B}"/>
    <cellStyle name="8_Fator X_Financeiro Desconto na TUSD Geradores Reajuste 2010 - 03_03_2010" xfId="43384" xr:uid="{8885F3E3-EDD0-46B0-AF4C-540086C8739C}"/>
    <cellStyle name="8_Fator X_Financeiro Subsídio Baixa Renda Reajuste 2010 - 03_03_2010" xfId="43385" xr:uid="{6B350284-44C1-4F56-855E-D44056770C2B}"/>
    <cellStyle name="8_Fator X_Financeiro Subsídio Rural Irrigante e Aquicultor Reajuste 2010 - 03_03_2010" xfId="43386" xr:uid="{2D291FAA-3E01-428C-9641-A026E3F186C1}"/>
    <cellStyle name="8_Fator X_IRT-cálculo" xfId="4150" xr:uid="{C89F9AD2-806B-4EB5-A2D0-F77571E681D2}"/>
    <cellStyle name="8_Fator X_IRT-cálculo CAPA NEUTRALIDADE" xfId="4151" xr:uid="{70FE3B23-0853-4409-9DA6-DE0E588757AE}"/>
    <cellStyle name="8_Fator X_SOBRECONTRATAÇÃO E CVA" xfId="4152" xr:uid="{DF09CF4D-776A-461B-BC1B-F6080D4D0AA1}"/>
    <cellStyle name="8_Financeiro Desconto na TUSD Consumidores Livres Reajuste 2010 - 03_03_2010" xfId="43387" xr:uid="{393F7662-9B6F-4D89-87B4-6A8A3B87A162}"/>
    <cellStyle name="8_Financeiro Desconto na TUSD Geradores Reajuste 2010 - 03_03_2010" xfId="43388" xr:uid="{380BA504-8EEC-4439-8B06-0618576AE5E6}"/>
    <cellStyle name="8_Financeiro Subsídio Baixa Renda Reajuste 2010 - 03_03_2010" xfId="43389" xr:uid="{77DD3420-5592-4F85-9220-7BB93F6081B5}"/>
    <cellStyle name="8_Financeiro Subsídio Rural Irrigante e Aquicultor Reajuste 2010 - 03_03_2010" xfId="43390" xr:uid="{A9119C11-F633-4AF4-A401-9BE56C666771}"/>
    <cellStyle name="8_IF - Autoprodutores 2" xfId="4153" xr:uid="{254F95ED-0AC9-4781-9EC6-63293EA6AABA}"/>
    <cellStyle name="8_IF_Consumidores livres e geradoras_2010" xfId="4154" xr:uid="{995943C7-F19A-42DE-BFA3-E3F139E490E9}"/>
    <cellStyle name="8_IRT (2)" xfId="1665" xr:uid="{20D5CE1F-FC8D-46B4-9A01-E2DAB6AC2C3E}"/>
    <cellStyle name="8_IRT (2) 2" xfId="4155" xr:uid="{EC01AA21-1239-45AB-A97B-03D2B3DD27E3}"/>
    <cellStyle name="8_IRT Piratininga 2009" xfId="730" xr:uid="{522625B9-FF75-4D62-8D25-3977F097EB07}"/>
    <cellStyle name="8_IRT Piratininga 2009 2" xfId="1491" xr:uid="{6707261A-070B-4224-9834-302847240E61}"/>
    <cellStyle name="8_IRT_1" xfId="1666" xr:uid="{9B490FFC-A9C5-47BC-B673-673DD651D0E6}"/>
    <cellStyle name="8_IRT_1_atualização serviços taxados" xfId="43391" xr:uid="{1FDA0C7A-8934-4FD5-82BD-6A58359B73DD}"/>
    <cellStyle name="8_IRT_1_Financeiro Desconto na TUSD Consumidores Livres Reajuste 2010 - 03_03_2010" xfId="43392" xr:uid="{241EFC22-C2F6-4E38-A14B-F86ABD554154}"/>
    <cellStyle name="8_IRT_1_Financeiro Desconto na TUSD Geradores Reajuste 2010 - 03_03_2010" xfId="43393" xr:uid="{075F9DF7-1C41-4125-B327-E6E575975698}"/>
    <cellStyle name="8_IRT_1_Financeiro Subsídio Baixa Renda Reajuste 2010 - 03_03_2010" xfId="43394" xr:uid="{52B6A9B6-B8A4-4DB4-9B5D-B0C60C1C5BEB}"/>
    <cellStyle name="8_IRT_1_Financeiro Subsídio Rural Irrigante e Aquicultor Reajuste 2010 - 03_03_2010" xfId="43395" xr:uid="{55051F01-2B10-44C0-9957-BDA0EFCD7C45}"/>
    <cellStyle name="8_IRT_1_IRT-cálculo" xfId="4156" xr:uid="{5C77020F-5C7A-4396-A8A6-E1D2C6D66A5E}"/>
    <cellStyle name="8_IRT_1_IRT-cálculo CAPA NEUTRALIDADE" xfId="4157" xr:uid="{5D804EB5-213D-498E-8A6E-9C2D32B61F5E}"/>
    <cellStyle name="8_IRT_1_SOBRECONTRATAÇÃO E CVA" xfId="4158" xr:uid="{4760F4B5-C326-439C-85A9-4AA72140CF73}"/>
    <cellStyle name="8_IRT_LIGHT_nov2007" xfId="1667" xr:uid="{990D63AF-ADDC-4AF2-A93A-87326A544A85}"/>
    <cellStyle name="8_IRT_LIGHT_nov2007_atualização serviços taxados" xfId="43396" xr:uid="{18EC75C7-6F47-4843-A6B4-F13542073844}"/>
    <cellStyle name="8_IRT_LIGHT_nov2007_Financeiro Desconto na TUSD Consumidores Livres Reajuste 2010 - 03_03_2010" xfId="43397" xr:uid="{3920090A-966A-4711-B771-7709F8015E8D}"/>
    <cellStyle name="8_IRT_LIGHT_nov2007_Financeiro Desconto na TUSD Geradores Reajuste 2010 - 03_03_2010" xfId="43398" xr:uid="{827C5E20-1EF5-446E-8E5C-DD09F46C41EA}"/>
    <cellStyle name="8_IRT_LIGHT_nov2007_Financeiro Subsídio Baixa Renda Reajuste 2010 - 03_03_2010" xfId="43399" xr:uid="{AF03B629-26A5-44C9-823B-3173923E966E}"/>
    <cellStyle name="8_IRT_LIGHT_nov2007_Financeiro Subsídio Rural Irrigante e Aquicultor Reajuste 2010 - 03_03_2010" xfId="43400" xr:uid="{6D02E541-6CA8-43B5-9C06-22494A0359B2}"/>
    <cellStyle name="8_IRT_LIGHT_nov2007_IRT-cálculo" xfId="4159" xr:uid="{1E55311F-7920-4873-8507-92DD2A94917B}"/>
    <cellStyle name="8_IRT_LIGHT_nov2007_IRT-cálculo CAPA NEUTRALIDADE" xfId="4160" xr:uid="{43E154FD-FA31-427B-A763-3FF5CF4E7288}"/>
    <cellStyle name="8_IRT_LIGHT_nov2007_SOBRECONTRATAÇÃO E CVA" xfId="4161" xr:uid="{83A9ED10-5ED1-4CAA-949D-57EEE5AEE2CA}"/>
    <cellStyle name="8_IRT_Planilha Básica_ CETRIL" xfId="731" xr:uid="{B2657E3B-5887-4867-86E4-6D79C9D797D4}"/>
    <cellStyle name="8_IRT_Planilha Básica_ CETRIL 2" xfId="1492" xr:uid="{D9835804-F20C-4C5E-B1CC-E7E0DDDD16DF}"/>
    <cellStyle name="8_IRT_Planilha Básica_mar2010b" xfId="4162" xr:uid="{EB778ED4-B6CB-4E6C-AB51-AD99CE8D357F}"/>
    <cellStyle name="8_IRT_Pleito" xfId="4163" xr:uid="{268BF7D2-E1A9-4BF9-B2B0-49966C35FE35}"/>
    <cellStyle name="8_IRT_Pleito_IRT-cálculo" xfId="4164" xr:uid="{FF477860-FC52-4780-AB64-73C65CD78D80}"/>
    <cellStyle name="8_IRT_Pleito_IRT-cálculo CAPA NEUTRALIDADE" xfId="4165" xr:uid="{0167820B-7C7A-4FB9-8CF7-70822E6672F3}"/>
    <cellStyle name="8_IRT1" xfId="4166" xr:uid="{F38CB6F9-B282-4FB7-9A69-A6127CB1816E}"/>
    <cellStyle name="8_IRT1_IRT-cálculo" xfId="4167" xr:uid="{FF8AB784-9D09-4EEE-AEF3-03CE1C6B8CBB}"/>
    <cellStyle name="8_IRT1_IRT-cálculo CAPA NEUTRALIDADE" xfId="4168" xr:uid="{9CDE2788-9404-4F8B-8EF3-8F49735FB89A}"/>
    <cellStyle name="8_IRT-cálculo" xfId="4169" xr:uid="{39EA5627-FCAA-4292-B78E-8BA86A041D8B}"/>
    <cellStyle name="8_Modelo IRT ANEELl_2010" xfId="43401" xr:uid="{D64FB0A1-A65A-43F8-8ECF-40FCFB525117}"/>
    <cellStyle name="8_Pasta1" xfId="1668" xr:uid="{F3D41E2F-2DCD-43D3-AEF0-E58B2E37CA83}"/>
    <cellStyle name="8_Pasta1_atualização serviços taxados" xfId="43402" xr:uid="{24CDEC76-00BC-4F0B-8FA7-F25D2180B365}"/>
    <cellStyle name="8_Pasta1_Financeiro Desconto na TUSD Consumidores Livres Reajuste 2010 - 03_03_2010" xfId="43403" xr:uid="{5DCAF6A2-D90E-4BAE-B9CA-4BB184C1E3B8}"/>
    <cellStyle name="8_Pasta1_Financeiro Desconto na TUSD Geradores Reajuste 2010 - 03_03_2010" xfId="43404" xr:uid="{1B3594E6-EEB8-4600-8852-B1CD350A2768}"/>
    <cellStyle name="8_Pasta1_Financeiro Subsídio Baixa Renda Reajuste 2010 - 03_03_2010" xfId="43405" xr:uid="{8892700B-4B1D-4CC5-B644-A6E31D0DEFCD}"/>
    <cellStyle name="8_Pasta1_Financeiro Subsídio Rural Irrigante e Aquicultor Reajuste 2010 - 03_03_2010" xfId="43406" xr:uid="{487CE27B-9041-4BD3-A1A1-109B9DBE1A97}"/>
    <cellStyle name="8_Pasta1_IRT-cálculo" xfId="4170" xr:uid="{68080C8E-D0D1-4064-9C09-82E2AB826D04}"/>
    <cellStyle name="8_Pasta1_IRT-cálculo CAPA NEUTRALIDADE" xfId="4171" xr:uid="{786F4C55-358B-4B09-8D3A-F0375E939591}"/>
    <cellStyle name="8_Pasta1_SOBRECONTRATAÇÃO E CVA" xfId="4172" xr:uid="{220FD3D3-8AAD-4047-8CE9-21CAD82E30FE}"/>
    <cellStyle name="8_Receita de Venda Leilão Nova Térmico" xfId="4173" xr:uid="{F64F9C27-65BC-4536-A7F5-6891324A6245}"/>
    <cellStyle name="8_Receita de Venda Leilão Nova Térmico_IRT-cálculo" xfId="4174" xr:uid="{963CCBEA-2569-4653-B6E3-E0422831036D}"/>
    <cellStyle name="8_Receita de Venda Leilão Nova Térmico_IRT-cálculo CAPA NEUTRALIDADE" xfId="4175" xr:uid="{6990489F-356E-43D4-945B-65F2DEA1D223}"/>
    <cellStyle name="8_Recurso Administrativo IRT 2006 - Erro Receita Verificada" xfId="4176" xr:uid="{F21C33C1-699E-497F-8772-8B26CBA7EB2A}"/>
    <cellStyle name="8_Recurso Administrativo IRT 2006 - Erro Receita Verificada_IRT-cálculo" xfId="4177" xr:uid="{DF078608-C538-44AA-A2CA-524FFF042309}"/>
    <cellStyle name="8_Recurso Administrativo IRT 2006 - Erro Receita Verificada_IRT-cálculo CAPA NEUTRALIDADE" xfId="4178" xr:uid="{897E954A-82CD-4C75-AD64-83BC2006DA82}"/>
    <cellStyle name="8_Sheet1" xfId="4179" xr:uid="{7388E852-2E84-4528-ABA2-0144739DCA32}"/>
    <cellStyle name="8_Sheet2" xfId="4180" xr:uid="{5E7F2BD9-BF76-40C6-9ACB-42A3F4C7324A}"/>
    <cellStyle name="8_Simulação CEPISA XX_08_07" xfId="1669" xr:uid="{D18D0D81-70EA-4AAF-A9A5-03773EFB4906}"/>
    <cellStyle name="8_Simulação CEPISA XX_08_07 2" xfId="4181" xr:uid="{960F49F8-4004-4483-9DBE-E546CD827E69}"/>
    <cellStyle name="8_sobrecontratação 2009 v2" xfId="43407" xr:uid="{EEE60719-BF3C-4576-B205-CC0EC54BB327}"/>
    <cellStyle name="8_SOBRECONTRATAÇÃO E CVA" xfId="4182" xr:uid="{1A4E1201-4B64-4F3C-A68B-19F1A3CFC57D}"/>
    <cellStyle name="8_SOBRECONTRATAÇÃO E CVA A-1" xfId="4183" xr:uid="{62CF7288-A1EC-4633-AA01-23C4ABFE76C1}"/>
    <cellStyle name="8_SOBRECONTRATAÇÃO E CVA A-1_IRT-cálculo" xfId="4184" xr:uid="{9CFE7C70-2399-4015-B50F-06D62CBE95C5}"/>
    <cellStyle name="8_SOBRECONTRATAÇÃO E CVA A-1_IRT-cálculo CAPA NEUTRALIDADE" xfId="4185" xr:uid="{9E63A2C4-65D5-4639-A697-C6EC30054486}"/>
    <cellStyle name="8_Tabelas de apoio NT CELPE" xfId="43408" xr:uid="{F9768864-23CB-49D7-87E8-FDE73B48B4D1}"/>
    <cellStyle name="8_TUSD e TE 243_2006" xfId="4186" xr:uid="{F04CE8F3-5BA0-4473-B044-10A4BA5C4986}"/>
    <cellStyle name="A3 297 x 420 mm" xfId="732" xr:uid="{68C451DE-2ADB-41A8-8639-6FFDCDF85916}"/>
    <cellStyle name="A3 297 x 420 mm 2" xfId="4187" xr:uid="{50C7823A-4A40-41C0-8850-BAA911A81BAE}"/>
    <cellStyle name="A3 297 x 420 mm 3" xfId="43409" xr:uid="{29799E7F-F6BB-4B35-9B45-CC1116238018}"/>
    <cellStyle name="A3 297 x 420 mm 4" xfId="43410" xr:uid="{FE453061-EC8C-4125-B4D8-E197EDA9B481}"/>
    <cellStyle name="ac" xfId="733" xr:uid="{81CB697E-E3ED-4492-9F64-0681538DB504}"/>
    <cellStyle name="ac 2" xfId="972" xr:uid="{FF586F19-4876-431A-89C3-A8FC15F9C120}"/>
    <cellStyle name="Accent1" xfId="734" xr:uid="{3148BEF3-46CC-499B-A9D5-DF42A041642C}"/>
    <cellStyle name="Accent1 - 20%" xfId="4188" xr:uid="{9E28B7EB-F793-4043-B75B-CA9C4A7F13B5}"/>
    <cellStyle name="Accent1 - 40%" xfId="4189" xr:uid="{FD37D578-89F7-4781-87A6-9D0215D0240E}"/>
    <cellStyle name="Accent1 - 60%" xfId="4190" xr:uid="{AF006E01-8AAB-4B0F-823E-6106667C6DA3}"/>
    <cellStyle name="Accent1 2" xfId="4191" xr:uid="{2A212C5D-E812-4F7B-94E3-247F47BF169C}"/>
    <cellStyle name="Accent1_Escelsa_2008_Versao regulatorio_Dyogenes" xfId="4192" xr:uid="{C5600259-4DF4-48A5-9BC4-F487DDF467D5}"/>
    <cellStyle name="Accent2" xfId="735" xr:uid="{DF4F0550-B67E-47F4-85E1-312181B97D74}"/>
    <cellStyle name="Accent2 - 20%" xfId="4193" xr:uid="{507A6DCE-3535-43C7-A104-73E2870D0371}"/>
    <cellStyle name="Accent2 - 40%" xfId="4194" xr:uid="{D8E55106-B166-481C-B27B-C73DFA5B16A0}"/>
    <cellStyle name="Accent2 - 60%" xfId="4195" xr:uid="{D0E08A1F-1329-4812-A334-F7FA6CA70FFA}"/>
    <cellStyle name="Accent2 2" xfId="4196" xr:uid="{03D9EFC7-B99F-40E8-9827-424C36700B16}"/>
    <cellStyle name="Accent2 3" xfId="4197" xr:uid="{231E0B9E-44F8-4AE2-BA4E-271CC49503A1}"/>
    <cellStyle name="Accent2_Escelsa_2008_Versao regulatorio_Dyogenes" xfId="4198" xr:uid="{D68D61A6-5C9A-4027-94F3-1012708BC09D}"/>
    <cellStyle name="Accent3" xfId="736" xr:uid="{92A89BCD-FBA5-4428-8776-57677ABAC445}"/>
    <cellStyle name="Accent3 - 20%" xfId="4199" xr:uid="{8452126B-5ACF-4482-85E2-116099C4A5CA}"/>
    <cellStyle name="Accent3 - 40%" xfId="4200" xr:uid="{90AA90A4-940C-4073-ABE6-FFD8F5BB652A}"/>
    <cellStyle name="Accent3 - 60%" xfId="4201" xr:uid="{3E8AC441-88E4-42E0-903E-3BF1CB09E232}"/>
    <cellStyle name="Accent3 2" xfId="4202" xr:uid="{D1A2D48D-DD91-4F27-8D3C-586873261627}"/>
    <cellStyle name="Accent3 3" xfId="4203" xr:uid="{7B1E4E67-07E8-41E0-A700-C6A40D4ADFEC}"/>
    <cellStyle name="Accent3_Escelsa_2008_Versao regulatorio_Dyogenes" xfId="4204" xr:uid="{83DAFF8E-26DC-46B8-AEA0-931415918D6B}"/>
    <cellStyle name="Accent4" xfId="737" xr:uid="{56981957-E8F0-4D4B-BC02-8E765C751AD4}"/>
    <cellStyle name="Accent4 - 20%" xfId="4205" xr:uid="{AC79DE03-CD5F-4068-A7C9-A3B86B3085ED}"/>
    <cellStyle name="Accent4 - 40%" xfId="4206" xr:uid="{3E916027-47D5-4786-9A36-66465FD72CF5}"/>
    <cellStyle name="Accent4 - 60%" xfId="4207" xr:uid="{EBD11067-DF4B-4C63-A8D6-37F4DBCA2EF4}"/>
    <cellStyle name="Accent4 2" xfId="4208" xr:uid="{2A57E887-9445-4D41-93F0-AB843FF027E1}"/>
    <cellStyle name="Accent4_Escelsa_2008_Versao regulatorio_Dyogenes" xfId="4209" xr:uid="{CCF7B8C7-D9B9-40C7-9F4C-2534AE6B5799}"/>
    <cellStyle name="Accent5" xfId="738" xr:uid="{87CC5C3B-EB62-424D-8654-15317B0BBEDB}"/>
    <cellStyle name="Accent5 - 20%" xfId="4210" xr:uid="{DBE40D63-FC4D-4213-AB20-8F4CA67EAF75}"/>
    <cellStyle name="Accent5 - 40%" xfId="4211" xr:uid="{7556AA12-B42A-4C16-A079-9A3541BA86BB}"/>
    <cellStyle name="Accent5 - 60%" xfId="4212" xr:uid="{E9ABBBCD-27FC-4DE5-B59B-1D968371DEB2}"/>
    <cellStyle name="Accent5 2" xfId="4213" xr:uid="{2982009E-4FA9-4193-9F18-E84EB4E65C1B}"/>
    <cellStyle name="Accent5_Escelsa_2008_Versao regulatorio_Dyogenes" xfId="4214" xr:uid="{566E34F2-272C-4B7A-950A-A0586CECC000}"/>
    <cellStyle name="Accent6" xfId="739" xr:uid="{59F7D281-31E7-4D91-96C0-003BFAE4A518}"/>
    <cellStyle name="Accent6 - 20%" xfId="4215" xr:uid="{81C34707-7906-46AA-974E-659044996573}"/>
    <cellStyle name="Accent6 - 40%" xfId="4216" xr:uid="{BC0248D0-78E3-4715-9939-42844F4C5CE4}"/>
    <cellStyle name="Accent6 - 60%" xfId="4217" xr:uid="{DB454A30-1405-45E6-B784-A56F4F0686AD}"/>
    <cellStyle name="Accent6 2" xfId="4218" xr:uid="{EFFF84BC-379C-4BDF-AE20-7E0FC10414BE}"/>
    <cellStyle name="Accent6_Escelsa_2008_Versao regulatorio_Dyogenes" xfId="4219" xr:uid="{98AD67F8-BF83-42E3-9C73-F6F34DEAC6BD}"/>
    <cellStyle name="Actual Date" xfId="740" xr:uid="{461820F0-3048-452D-B689-B378C0A3C762}"/>
    <cellStyle name="Actual Date 2" xfId="973" xr:uid="{890DF847-DDEB-41BF-9679-256F2FD3A55A}"/>
    <cellStyle name="Actual Date 3" xfId="974" xr:uid="{77F5D8C5-A380-44D3-9D33-9C3682EB8BC3}"/>
    <cellStyle name="Actual Date 4" xfId="975" xr:uid="{50C1C065-AFCF-41AC-ABA7-025DADC043AE}"/>
    <cellStyle name="Actual Date 5" xfId="976" xr:uid="{AD8F8379-33AE-4D95-B9CC-A088D1C4CEF5}"/>
    <cellStyle name="Actual Date_COELCE CVA SRE (4)" xfId="4220" xr:uid="{937C4EEF-7E95-43B1-8EA2-CD0D8487DDC2}"/>
    <cellStyle name="AFE" xfId="741" xr:uid="{821FA373-EA36-4DF8-A002-B0B6DDCF4278}"/>
    <cellStyle name="AFE 10" xfId="43411" xr:uid="{5160050B-4372-4523-ABE6-7FEEC039CE81}"/>
    <cellStyle name="AFE 10 10" xfId="43412" xr:uid="{689FD7DA-C8A5-4647-86D3-224B0CA827BC}"/>
    <cellStyle name="AFE 10 11" xfId="43413" xr:uid="{6EE6293E-D3BD-4004-87C0-C51DB8B0756D}"/>
    <cellStyle name="AFE 10 12" xfId="43414" xr:uid="{CD753E16-FEFF-49A2-9163-D1A44757DF7F}"/>
    <cellStyle name="AFE 10 13" xfId="43415" xr:uid="{837D1AED-887F-4BB7-96A7-61D0F5D2F7D2}"/>
    <cellStyle name="AFE 10 14" xfId="43416" xr:uid="{708276FD-19F1-41CE-B6FC-8AC00FF8D2BB}"/>
    <cellStyle name="AFE 10 15" xfId="43417" xr:uid="{FADED88E-D9F7-4E71-8CAC-176709347813}"/>
    <cellStyle name="AFE 10 16" xfId="43418" xr:uid="{A90658A8-1E1D-4E8B-899E-F5D32238B1B2}"/>
    <cellStyle name="AFE 10 17" xfId="43419" xr:uid="{2851D9F1-6076-4458-833B-ED9466696869}"/>
    <cellStyle name="AFE 10 18" xfId="43420" xr:uid="{C0FF3E52-FC02-4694-8BCE-871DF6E90C9C}"/>
    <cellStyle name="AFE 10 19" xfId="43421" xr:uid="{46DE2BCA-6976-4486-BC48-88B5A14B1EDD}"/>
    <cellStyle name="AFE 10 2" xfId="43422" xr:uid="{A226ED06-0114-4E2E-AF1B-8484B43E3658}"/>
    <cellStyle name="AFE 10 20" xfId="43423" xr:uid="{91C2F30A-93BE-4E64-AB12-20D879783D50}"/>
    <cellStyle name="AFE 10 21" xfId="43424" xr:uid="{D82C98A9-ADCF-490D-A25C-44BA401C2BD9}"/>
    <cellStyle name="AFE 10 22" xfId="43425" xr:uid="{E789DBB9-EF59-44E6-902D-3A87078CCF8C}"/>
    <cellStyle name="AFE 10 23" xfId="43426" xr:uid="{EDEE0F85-3E9A-41DB-98C3-DC378368C45D}"/>
    <cellStyle name="AFE 10 24" xfId="43427" xr:uid="{195A8043-DC3E-4438-9EB7-91AB8EA7FB8C}"/>
    <cellStyle name="AFE 10 25" xfId="43428" xr:uid="{A89281B9-55AB-4161-AA32-4F23224EB6DF}"/>
    <cellStyle name="AFE 10 26" xfId="43429" xr:uid="{BD1DD2B6-76DF-4F1D-990D-874C09087BC9}"/>
    <cellStyle name="AFE 10 27" xfId="43430" xr:uid="{41409236-6E24-41E0-A51B-6E713C666FCF}"/>
    <cellStyle name="AFE 10 28" xfId="43431" xr:uid="{67673463-4195-4C06-B297-55D190B25CA7}"/>
    <cellStyle name="AFE 10 3" xfId="43432" xr:uid="{CA3C4FFD-3204-47B5-BDE8-DC4B1F980605}"/>
    <cellStyle name="AFE 10 4" xfId="43433" xr:uid="{BF5AA034-D236-4703-B7EC-AA227514E346}"/>
    <cellStyle name="AFE 10 5" xfId="43434" xr:uid="{6F5A850A-23CD-4A32-8EE8-6CD06324DB79}"/>
    <cellStyle name="AFE 10 6" xfId="43435" xr:uid="{68205218-95E9-4122-A259-A1604B7B2CB3}"/>
    <cellStyle name="AFE 10 7" xfId="43436" xr:uid="{17348440-9C29-466F-A04F-70025E0FD259}"/>
    <cellStyle name="AFE 10 8" xfId="43437" xr:uid="{26B396AD-EFAE-4F2A-8958-B1ECDAD69A88}"/>
    <cellStyle name="AFE 10 9" xfId="43438" xr:uid="{A7F1AE09-D4B4-41C1-8481-45D2AC140042}"/>
    <cellStyle name="AFE 11" xfId="43439" xr:uid="{522AE1D7-7E4B-40E9-8001-6149B5B71B72}"/>
    <cellStyle name="AFE 12" xfId="43440" xr:uid="{B1807DF5-EEEF-443E-BF7E-459DCC87EC37}"/>
    <cellStyle name="AFE 13" xfId="43441" xr:uid="{292B36BA-A52E-4C2B-997A-FE060FD79910}"/>
    <cellStyle name="AFE 14" xfId="43442" xr:uid="{3D77FC97-A79B-40F8-AA81-F7FFA862E4ED}"/>
    <cellStyle name="AFE 15" xfId="43443" xr:uid="{6C4BBBBD-D65B-4849-B0E3-CEAE94EAD1CC}"/>
    <cellStyle name="AFE 16" xfId="43444" xr:uid="{9CAF9181-0DCD-4218-A994-DA3F56E1B8CC}"/>
    <cellStyle name="AFE 17" xfId="43445" xr:uid="{05BE2967-6475-457B-892C-579EE10D40F9}"/>
    <cellStyle name="AFE 18" xfId="43446" xr:uid="{6F30C2F4-2409-4CA9-A445-298CEA65BFF4}"/>
    <cellStyle name="AFE 19" xfId="43447" xr:uid="{8E0E6F3C-56AD-4BAC-AEED-A11FD7864D52}"/>
    <cellStyle name="AFE 2" xfId="928" xr:uid="{CBA926C3-2A3D-4263-9BEC-BE7BFAC08D7C}"/>
    <cellStyle name="AFE 2 2" xfId="4221" xr:uid="{7145C2B1-6777-43D1-88B7-8E5384B16130}"/>
    <cellStyle name="AFE 2 2 2" xfId="4222" xr:uid="{8564FA1F-E2E3-4957-B2C3-192B04D77DFF}"/>
    <cellStyle name="AFE 2 3" xfId="4223" xr:uid="{BDB990E2-96F3-4DAE-97E1-6A2CF46C65EC}"/>
    <cellStyle name="AFE 2 4" xfId="4224" xr:uid="{FE33276D-C667-462B-AD93-B716B15F928D}"/>
    <cellStyle name="AFE 2 4 2" xfId="4225" xr:uid="{02F2F768-E4CC-4B79-A919-58F12AA94131}"/>
    <cellStyle name="AFE 2 5" xfId="43448" xr:uid="{A80194CE-733D-4379-AA11-7267606E8B5B}"/>
    <cellStyle name="AFE 20" xfId="43449" xr:uid="{F2BA2707-3146-4BC0-9BFD-12F54CA9F12E}"/>
    <cellStyle name="AFE 21" xfId="43450" xr:uid="{DBF39B6F-DB03-49DF-BC98-13AB553D9DA9}"/>
    <cellStyle name="AFE 22" xfId="43451" xr:uid="{0BDBA22F-E7C9-411D-BEDF-31E3BB24D870}"/>
    <cellStyle name="AFE 23" xfId="43452" xr:uid="{531A3705-448A-4ED8-A278-85FD20FAE29D}"/>
    <cellStyle name="AFE 24" xfId="43453" xr:uid="{48956DFE-4D8A-4EAB-AE60-53F18678BA1E}"/>
    <cellStyle name="AFE 25" xfId="43454" xr:uid="{6751D477-A917-464F-9CA1-FD6332C1ECC5}"/>
    <cellStyle name="AFE 26" xfId="43455" xr:uid="{E1E088A3-4820-401A-8711-B1162AA859EE}"/>
    <cellStyle name="AFE 27" xfId="43456" xr:uid="{ACFDBEAD-1D2C-4DC3-998C-5917F06ACBC8}"/>
    <cellStyle name="AFE 28" xfId="43457" xr:uid="{295C42ED-9219-4CD8-9C86-07342FFEC7CF}"/>
    <cellStyle name="AFE 29" xfId="43458" xr:uid="{4D6402CE-1B4E-4BB2-A33B-D7E75E3EECF9}"/>
    <cellStyle name="AFE 3" xfId="977" xr:uid="{D794E758-802C-4960-8D27-09F75D5D278F}"/>
    <cellStyle name="AFE 3 2" xfId="4226" xr:uid="{040933E5-7A1A-4A98-A43A-300D08522352}"/>
    <cellStyle name="AFE 30" xfId="43459" xr:uid="{F344FC68-59D6-4A3B-B22F-7D00B4EEAB39}"/>
    <cellStyle name="AFE 31" xfId="43460" xr:uid="{844827E1-A3DA-4B37-83DC-D4A677FF600E}"/>
    <cellStyle name="AFE 32" xfId="43461" xr:uid="{B2645E6E-C6FE-4BA5-9E68-47C85DB09571}"/>
    <cellStyle name="AFE 33" xfId="43462" xr:uid="{9A871FFD-26D1-4E31-8C44-2D6755A3E775}"/>
    <cellStyle name="AFE 34" xfId="43463" xr:uid="{F389FA02-8691-42E9-94A2-B8F074972698}"/>
    <cellStyle name="AFE 35" xfId="43464" xr:uid="{23A8421C-4D49-4874-9B49-E7CEFA6C4203}"/>
    <cellStyle name="AFE 36" xfId="43465" xr:uid="{EFD097F2-EDA0-4678-A243-69A8568C8340}"/>
    <cellStyle name="AFE 37" xfId="43466" xr:uid="{1214AE21-DA64-47B1-B8B1-E7E8876B8288}"/>
    <cellStyle name="AFE 4" xfId="1670" xr:uid="{E9630841-83EC-4B80-AC4C-D76D519B55A1}"/>
    <cellStyle name="AFE 4 2" xfId="4227" xr:uid="{5FDF5905-F626-44E8-8C31-4A691E4B343D}"/>
    <cellStyle name="AFE 5" xfId="4228" xr:uid="{5F69AA1D-6F87-43B1-915A-FD392DFE795A}"/>
    <cellStyle name="AFE 5 2" xfId="4229" xr:uid="{688B50EF-B580-42D7-A45D-06D2A50CDD28}"/>
    <cellStyle name="AFE 6" xfId="43467" xr:uid="{763F9A8B-62D9-4563-9E1C-86E6474F0AE5}"/>
    <cellStyle name="AFE 7" xfId="43468" xr:uid="{D1058A6D-8F9D-494A-9B81-353FEABE8F21}"/>
    <cellStyle name="AFE 8" xfId="4230" xr:uid="{5D8E20D5-68EB-4D46-8423-A1FC0F271BBD}"/>
    <cellStyle name="AFE 8 10" xfId="43469" xr:uid="{55A5BFF7-4390-4326-9A83-F7013B9C8C44}"/>
    <cellStyle name="AFE 8 11" xfId="43470" xr:uid="{40FE746F-09E9-4ACF-96B2-B40B16E5068F}"/>
    <cellStyle name="AFE 8 12" xfId="43471" xr:uid="{4CCE92AF-46DA-4311-A777-4046EED5A8ED}"/>
    <cellStyle name="AFE 8 13" xfId="43472" xr:uid="{1CF4E99B-D9D6-4C13-9DE2-DD26051209BC}"/>
    <cellStyle name="AFE 8 14" xfId="43473" xr:uid="{AC2CBF50-1CAA-4608-A901-FBF8ED167C22}"/>
    <cellStyle name="AFE 8 15" xfId="43474" xr:uid="{4AACD6E9-1A74-4C4A-A02D-A3DF0A21FE4B}"/>
    <cellStyle name="AFE 8 16" xfId="43475" xr:uid="{0053F272-B352-4D72-8627-038D323FB12D}"/>
    <cellStyle name="AFE 8 17" xfId="43476" xr:uid="{F830C9C6-9162-45C4-807D-2AAF1F6DAC11}"/>
    <cellStyle name="AFE 8 18" xfId="43477" xr:uid="{31F91447-4047-48FC-9CE3-181538A13C80}"/>
    <cellStyle name="AFE 8 19" xfId="43478" xr:uid="{D0E234BC-7B89-4EC1-A499-51A11516325A}"/>
    <cellStyle name="AFE 8 2" xfId="4231" xr:uid="{0B7C9A9E-8475-44CA-9755-D7984773B7FD}"/>
    <cellStyle name="AFE 8 20" xfId="43479" xr:uid="{B0477570-FABD-4479-8537-FF71D812879C}"/>
    <cellStyle name="AFE 8 21" xfId="43480" xr:uid="{5141AE1F-C7F7-47E4-8150-A1DC873F11E6}"/>
    <cellStyle name="AFE 8 22" xfId="43481" xr:uid="{FCBB657F-76ED-468C-9361-B7E2B3815E7C}"/>
    <cellStyle name="AFE 8 23" xfId="43482" xr:uid="{C69B392F-EA50-4A27-90BC-552EC8BED5EE}"/>
    <cellStyle name="AFE 8 24" xfId="43483" xr:uid="{B7625070-4111-4FFC-8181-5DC8AE4484FE}"/>
    <cellStyle name="AFE 8 25" xfId="43484" xr:uid="{BE4CAE59-1896-4131-9D6A-29B9A4E11F3A}"/>
    <cellStyle name="AFE 8 26" xfId="43485" xr:uid="{6831F5D1-B4A6-4A55-AFD1-0D59E3DE83F0}"/>
    <cellStyle name="AFE 8 27" xfId="43486" xr:uid="{FBEA0C0F-B9C5-47FD-9AB7-A36C0B2B7B54}"/>
    <cellStyle name="AFE 8 28" xfId="43487" xr:uid="{05F11905-FE3E-4B04-8491-AFE4135D0640}"/>
    <cellStyle name="AFE 8 29" xfId="43488" xr:uid="{26D2E699-1115-42AC-97BF-DBFBD5065A59}"/>
    <cellStyle name="AFE 8 3" xfId="43489" xr:uid="{F4B1B59D-45CE-4F15-BFBA-BDDCE9A2FA3D}"/>
    <cellStyle name="AFE 8 4" xfId="43490" xr:uid="{9090CAFE-16BD-484B-8837-A4CBE0052A2D}"/>
    <cellStyle name="AFE 8 5" xfId="43491" xr:uid="{2592E271-061A-4D57-8B5F-A425B9A32133}"/>
    <cellStyle name="AFE 8 6" xfId="43492" xr:uid="{89891555-CF43-4B00-93AA-90443C7D0A7E}"/>
    <cellStyle name="AFE 8 7" xfId="43493" xr:uid="{C31A0CC1-7121-466A-A661-ABBB78035DD2}"/>
    <cellStyle name="AFE 8 8" xfId="43494" xr:uid="{444C78B8-89A6-4564-AA4B-4742824AAAA6}"/>
    <cellStyle name="AFE 8 9" xfId="43495" xr:uid="{DCF52855-25D8-461B-B3E6-E0FCD8CA7EF6}"/>
    <cellStyle name="AFE 9" xfId="43496" xr:uid="{16A8045F-7DB9-40C6-B053-E925D0FE561B}"/>
    <cellStyle name="AFE_Ajuste SALDO CVA ANO ANTERIOR PÓS-REVISÃOx" xfId="4232" xr:uid="{6E63933B-E11C-4BFB-841D-8C2896EEBA6C}"/>
    <cellStyle name="Amarelo%" xfId="742" xr:uid="{4394EB70-C7FF-4B50-860E-E58B520F33D5}"/>
    <cellStyle name="Amarelo% 2" xfId="4233" xr:uid="{1B6B0A4A-E66A-4284-ADBD-F80EA7DACB36}"/>
    <cellStyle name="Amarelo% 3" xfId="4234" xr:uid="{AF50BEE0-CB02-4866-B186-764EF058BC70}"/>
    <cellStyle name="Amarelo% 3 2" xfId="4235" xr:uid="{92383D16-E485-4874-BC13-3D3B992BAF65}"/>
    <cellStyle name="Amarelocot" xfId="743" xr:uid="{6F24C170-DBD4-49E5-9AF9-C1A0B1DBC786}"/>
    <cellStyle name="Amarelocot 2" xfId="4236" xr:uid="{681BF9C5-7EED-4528-9AF8-9979CB91BC0D}"/>
    <cellStyle name="Amarelocot 3" xfId="4237" xr:uid="{91061224-F385-4F5A-B951-1562BEEB6AB5}"/>
    <cellStyle name="Amarelocot 3 2" xfId="4238" xr:uid="{976B605E-AB42-430C-924B-A3F914A1B1A8}"/>
    <cellStyle name="Amarelocot_IF - Autoprodutores 2" xfId="4239" xr:uid="{A5AFDC2B-6BAC-4F7C-96CB-2526AC79BD3A}"/>
    <cellStyle name="apolo" xfId="4240" xr:uid="{CF4951E8-F934-4B86-90F6-337DE970D7D7}"/>
    <cellStyle name="apolo 2" xfId="4241" xr:uid="{0AE1608C-852C-4F87-8CE3-08E34F6B03B5}"/>
    <cellStyle name="apolo 3" xfId="4242" xr:uid="{EB418CE5-44EC-4EC1-80F3-08715642A0CF}"/>
    <cellStyle name="arial12" xfId="744" xr:uid="{914A55F3-AE4A-4E17-8B05-BDF5DA866C77}"/>
    <cellStyle name="arial12 2" xfId="978" xr:uid="{8D4C7618-7136-4C55-A9C9-548839EB0966}"/>
    <cellStyle name="arial12 3" xfId="4243" xr:uid="{2E1EC642-08C8-4D6C-B18A-14DF25FFE4A2}"/>
    <cellStyle name="arial12_IRT_Planilha Básica_ v2010_CERRP" xfId="1757" xr:uid="{CE16D2AE-3CE5-4337-AB7B-21E139A8BA21}"/>
    <cellStyle name="arial14" xfId="745" xr:uid="{8242E44E-41F9-4AA4-8C61-E4DE5BC9DFEC}"/>
    <cellStyle name="Array" xfId="4244" xr:uid="{789EBF23-643C-44EF-BBC0-5A5B2D6DB804}"/>
    <cellStyle name="Array Enter" xfId="4245" xr:uid="{1D49551D-9750-408E-A789-B1FF7FF0FC1E}"/>
    <cellStyle name="Array_IF - Autoprodutores" xfId="4246" xr:uid="{563C0CA8-AEDA-4BCE-AE79-814E9FCBA864}"/>
    <cellStyle name="axlcolour" xfId="4247" xr:uid="{91E16C25-CD34-414B-A50C-B37E2EBFAD9E}"/>
    <cellStyle name="Bad" xfId="746" xr:uid="{DE23B4EF-B48B-4D01-8B2C-18CA9EAA91DB}"/>
    <cellStyle name="Bad 2" xfId="4248" xr:uid="{B480A81A-581F-4FF4-B3F0-392DEA71D141}"/>
    <cellStyle name="blank" xfId="4249" xr:uid="{7EAD728D-4D95-4CA5-897D-F4674B5C32F1}"/>
    <cellStyle name="Body" xfId="747" xr:uid="{4DE1AE8E-B765-44E6-88C8-39C7F058C713}"/>
    <cellStyle name="Bold 11" xfId="748" xr:uid="{5D2DA6FE-3DD3-4F76-9CA8-CE717B054775}"/>
    <cellStyle name="Bold 11 2" xfId="4250" xr:uid="{705D5332-257A-4F3D-BBA7-8A8D9BEBC43C}"/>
    <cellStyle name="Bold 11 3" xfId="4251" xr:uid="{4A0F108B-7D3E-48EB-A366-1977F93602E2}"/>
    <cellStyle name="Bold 11 3 2" xfId="4252" xr:uid="{CF14ED9E-C9CA-4F2E-AD15-12B6D64325E0}"/>
    <cellStyle name="Bold 11_IF - Autoprodutores 2" xfId="4253" xr:uid="{CD130A79-67BF-4AC3-AA9B-72A16F3F252E}"/>
    <cellStyle name="Bold/Border" xfId="4254" xr:uid="{DE8B9A39-65C7-43D6-8772-764277B5F49C}"/>
    <cellStyle name="Bol-Data" xfId="749" xr:uid="{987E37EA-A98A-47FC-A36D-3987CB3C0AB0}"/>
    <cellStyle name="bolet" xfId="750" xr:uid="{D0FD221F-BC78-487A-A965-7270AEAAD65F}"/>
    <cellStyle name="bolet 2" xfId="4255" xr:uid="{0C6A2EA3-0C06-4A1B-8B9A-11106F6DBDED}"/>
    <cellStyle name="Bom 10" xfId="4256" xr:uid="{1DB300DB-7A90-4264-B188-FE416BC5FBBB}"/>
    <cellStyle name="Bom 11" xfId="43497" xr:uid="{BFF519E0-ED88-436B-9504-4F6BE97460F9}"/>
    <cellStyle name="Bom 12" xfId="751" xr:uid="{C8D3E6F9-B235-44CA-BC40-7EDA87F0D503}"/>
    <cellStyle name="Bom 2" xfId="979" xr:uid="{3CF77FDD-40E2-4390-BF59-35900CCE2356}"/>
    <cellStyle name="Bom 2 2" xfId="4257" xr:uid="{4E6A11EA-5311-4D48-973B-D1080BBCD940}"/>
    <cellStyle name="Bom 3" xfId="1758" xr:uid="{15AA5727-6C4A-4FFC-B6B4-BDE20366C4BB}"/>
    <cellStyle name="Bom 3 2" xfId="4258" xr:uid="{4CBD5279-E0E4-444C-B96B-24CAFD2D373C}"/>
    <cellStyle name="Bom 4" xfId="4259" xr:uid="{F6AFBF03-2437-419A-9B78-30BD63780E2B}"/>
    <cellStyle name="Bom 4 2" xfId="4260" xr:uid="{C31162D6-9B4D-4296-AD1F-DA8F4FEFCDBD}"/>
    <cellStyle name="Bom 5" xfId="4261" xr:uid="{9D260A61-783F-4063-8102-65E9A817360C}"/>
    <cellStyle name="Bom 6" xfId="4262" xr:uid="{4C5CA546-DD6D-4CFA-96C9-2BF9A67BAC8D}"/>
    <cellStyle name="Bom 7" xfId="4263" xr:uid="{43E79511-AD0D-412D-8689-1CF23671BE53}"/>
    <cellStyle name="Bom 8" xfId="4264" xr:uid="{10C857D0-A72A-47D2-9A9D-F64962769953}"/>
    <cellStyle name="Bom 9" xfId="4265" xr:uid="{8FB4C925-C2E5-4390-92D9-72EAAA700430}"/>
    <cellStyle name="Border" xfId="4266" xr:uid="{957D2119-FD99-46AF-B0F4-178085EF0FA5}"/>
    <cellStyle name="Buena" xfId="980" xr:uid="{32CE2A82-395F-4D5D-995A-310B2ED0018C}"/>
    <cellStyle name="Buena 2" xfId="4267" xr:uid="{30062B51-952A-43C6-8279-37C5D5264B88}"/>
    <cellStyle name="Bullet" xfId="4268" xr:uid="{50EBA6CE-1E7D-493E-A369-F4BF4DAFF511}"/>
    <cellStyle name="Cabe‡alho 1" xfId="752" xr:uid="{2A5F3D0A-B963-44E7-A04F-7F392F3D62CE}"/>
    <cellStyle name="Cabe‡alho 1 2" xfId="4269" xr:uid="{B256D7C8-7608-431D-9C28-F093CD9EF52B}"/>
    <cellStyle name="Cabe‡alho 1 3" xfId="4270" xr:uid="{52C7F1E1-451D-48F7-A986-5630373657E6}"/>
    <cellStyle name="Cabe‡alho 2" xfId="753" xr:uid="{F26AAAF7-E0BA-4540-8F0A-17671E58E0A6}"/>
    <cellStyle name="Cabe‡alho 2 2" xfId="4271" xr:uid="{CD1DA48E-BBE2-4578-AC73-A4EF3658E4B7}"/>
    <cellStyle name="Cabe‡alho 2 3" xfId="4272" xr:uid="{5004F5F6-EF02-43B0-B33B-7F9F0A20AD2C}"/>
    <cellStyle name="CABEÇALHO" xfId="754" xr:uid="{37AD1B94-06A9-442D-A02A-F544E0D8D34D}"/>
    <cellStyle name="Cabeçalho 1" xfId="4273" xr:uid="{06C555EB-4016-4BF1-BFB7-34824E10CD8D}"/>
    <cellStyle name="Cabeçalho 2" xfId="4274" xr:uid="{1679531C-D82A-404A-A30A-6CB2CDB8D757}"/>
    <cellStyle name="CABEÇALHO2" xfId="755" xr:uid="{E6C02C3B-E8D1-48FF-821E-B66BDEBDB6CD}"/>
    <cellStyle name="Calc Currency (0)" xfId="756" xr:uid="{6B6617D5-BF4C-43FE-813F-E4D5072B4274}"/>
    <cellStyle name="Calc Currency (0) 2" xfId="981" xr:uid="{EDF6DD88-9B24-40B1-B85C-BD0D94254E6E}"/>
    <cellStyle name="Calc Currency (0) 3" xfId="4275" xr:uid="{26185F01-69A3-4D26-A2DD-0B7779D49AAE}"/>
    <cellStyle name="Calc Currency (0)_IRT_Planilha Básica_ v2010_CERRP" xfId="1759" xr:uid="{70C661E8-9BC8-40CA-8BE0-0D862C53039D}"/>
    <cellStyle name="Calc Currency (2)" xfId="757" xr:uid="{15EEC2AA-6FC1-4DD5-ABA9-5B1C2191669F}"/>
    <cellStyle name="Calc Percent (0)" xfId="758" xr:uid="{D9D9267C-FCB8-4777-AA37-E77BEE922BCC}"/>
    <cellStyle name="Calc Percent (1)" xfId="759" xr:uid="{D8B4015C-E843-4F21-B8E8-15E9A904FF67}"/>
    <cellStyle name="Calc Percent (1) 2" xfId="982" xr:uid="{0333D096-2152-47F4-BC61-F3F14C768F16}"/>
    <cellStyle name="Calc Percent (1) 3" xfId="4276" xr:uid="{EBE0E47D-4218-4882-8E9D-941C6AEEBC6E}"/>
    <cellStyle name="Calc Percent (1)_IRT_Planilha Básica_ v2010_CERRP" xfId="1760" xr:uid="{94DD7099-7A6B-48A9-BA10-044808612868}"/>
    <cellStyle name="Calc Percent (2)" xfId="760" xr:uid="{38F10D7F-AFB3-4D2F-9481-264A7C9335DC}"/>
    <cellStyle name="Calc Percent (2) 2" xfId="4277" xr:uid="{E04C6F6A-454A-484F-B43E-C49AA6C20B90}"/>
    <cellStyle name="Calc Percent (2) 3" xfId="4278" xr:uid="{B6D1D0E8-4D53-4162-8C6F-B2981C9814C6}"/>
    <cellStyle name="Calc Percent (2) 3 2" xfId="4279" xr:uid="{0DD0F742-8D52-4C0E-BB09-89D6785FC958}"/>
    <cellStyle name="Calc Percent (2)_IF - Autoprodutores 2" xfId="4280" xr:uid="{CD9C2A98-D36F-4C26-B783-93CDB45F7947}"/>
    <cellStyle name="Calc Units (0)" xfId="761" xr:uid="{32F043B7-23D6-4B3F-97D7-D517019A8784}"/>
    <cellStyle name="Calc Units (0) 2" xfId="983" xr:uid="{B966C045-0865-4667-9C07-068A1B1C9D4C}"/>
    <cellStyle name="Calc Units (0) 3" xfId="4281" xr:uid="{89585E69-45F3-4453-9DB6-EDF41C428805}"/>
    <cellStyle name="Calc Units (0)_IRT_Planilha Básica_ v2010_CERRP" xfId="1761" xr:uid="{1BAEB7FE-305C-464B-B665-8327CB07546B}"/>
    <cellStyle name="Calc Units (1)" xfId="762" xr:uid="{F99E4C42-2537-4354-9BBF-B0937A7E2491}"/>
    <cellStyle name="Calc Units (1) 2" xfId="984" xr:uid="{776A7511-FDBC-4E27-96E3-52544B4A4623}"/>
    <cellStyle name="Calc Units (1) 3" xfId="4282" xr:uid="{ECC5B8C2-2303-4AA3-BBFC-366D195D2339}"/>
    <cellStyle name="Calc Units (1)_IRT_Planilha Básica_ v2010_CERRP" xfId="1762" xr:uid="{55C2ED2B-0BB3-4E09-B002-6A49D01F05A6}"/>
    <cellStyle name="Calc Units (2)" xfId="763" xr:uid="{9F1E1C60-63EF-4CFB-BB57-DFD2164AFD7D}"/>
    <cellStyle name="Calculation" xfId="764" xr:uid="{F296D9A2-F0FA-4C51-B587-90D6CEA60A87}"/>
    <cellStyle name="Calculation 2" xfId="4283" xr:uid="{9438C5DC-4450-48C1-A1C4-6BFBDDAA9FC7}"/>
    <cellStyle name="Calculation 3" xfId="4284" xr:uid="{7B84CC23-A694-45D9-88B4-2FBB9FF3474B}"/>
    <cellStyle name="Calculation 4" xfId="4285" xr:uid="{6B69D210-D9B6-4A81-951C-4D7B39EDB2E4}"/>
    <cellStyle name="Cálculo 10" xfId="4286" xr:uid="{06E9E012-5B4A-4134-B5CE-7C8AE1730DE8}"/>
    <cellStyle name="Cálculo 11" xfId="43498" xr:uid="{379ECAAE-4BA4-4DC0-8E92-13CB289D3B17}"/>
    <cellStyle name="Cálculo 12" xfId="765" xr:uid="{74E3E17D-2CF0-4322-B622-C6275881DEC0}"/>
    <cellStyle name="Cálculo 2" xfId="985" xr:uid="{F2FD35AA-3753-4289-8457-DE3534E43FC8}"/>
    <cellStyle name="Cálculo 2 2" xfId="4287" xr:uid="{001055C0-4A7C-4A8D-AE4C-CEE39C6DBB42}"/>
    <cellStyle name="Cálculo 2 3" xfId="4288" xr:uid="{DB28FA56-2282-4C31-873E-18B3FE5E0106}"/>
    <cellStyle name="Cálculo 2 4" xfId="4289" xr:uid="{67705193-5BDF-4F5B-9E04-AE2D3362BE41}"/>
    <cellStyle name="Cálculo 3" xfId="1763" xr:uid="{2DE0B76F-FC97-4703-9621-09908BE9139E}"/>
    <cellStyle name="Cálculo 3 2" xfId="4290" xr:uid="{2CDF8AF6-7E4A-40F7-BAF7-82883840F831}"/>
    <cellStyle name="Cálculo 4" xfId="4291" xr:uid="{1220B048-518C-4E56-9879-DD929276A729}"/>
    <cellStyle name="Cálculo 4 2" xfId="4292" xr:uid="{048C6BCC-0FB9-450A-93BD-8B5F02733B79}"/>
    <cellStyle name="Cálculo 5" xfId="4293" xr:uid="{1F0637AE-FCB8-4A46-8B68-F15B4E0361E3}"/>
    <cellStyle name="Cálculo 6" xfId="4294" xr:uid="{B0D8CDE8-F577-4EC0-B4A3-7B55743D2868}"/>
    <cellStyle name="Cálculo 7" xfId="4295" xr:uid="{97E8979E-1677-4CF5-9BF4-B8A506CAC6D0}"/>
    <cellStyle name="Cálculo 8" xfId="4296" xr:uid="{B6310C3D-C03C-47B1-8C1E-91C4CE223E9F}"/>
    <cellStyle name="Cálculo 9" xfId="4297" xr:uid="{81B62C19-0E53-4862-A50C-B1CE91CD6789}"/>
    <cellStyle name="CALDAS" xfId="766" xr:uid="{9759A9E5-D0C4-4DA7-98E2-E954F06546E4}"/>
    <cellStyle name="CALDAS 2" xfId="4298" xr:uid="{04DC9643-189E-4951-AEE6-976749BB9D72}"/>
    <cellStyle name="CALDAS 3" xfId="4299" xr:uid="{A67C41F5-53BD-4140-9262-61D43884055B}"/>
    <cellStyle name="CALDAS 4" xfId="4300" xr:uid="{815D2D4C-D233-46FE-BC20-1213C772180C}"/>
    <cellStyle name="čárky [0]_Business Plan MCE" xfId="4301" xr:uid="{5BFB3EAA-1694-44D6-B0C2-17EE0A82F1E8}"/>
    <cellStyle name="čárky_Business Plan MCE" xfId="4302" xr:uid="{34703799-84CC-4949-9EA0-C50C039EBE7E}"/>
    <cellStyle name="Celda de comprobación" xfId="986" xr:uid="{A89E1B2E-69FA-4CD7-A9CD-ED5CC4147289}"/>
    <cellStyle name="Celda vinculada" xfId="987" xr:uid="{62470A8D-112B-4902-8B88-46DFBF694873}"/>
    <cellStyle name="Célula de Verificação 2" xfId="988" xr:uid="{55B772F5-1137-4CC7-AA54-60B19D08D265}"/>
    <cellStyle name="Célula de Verificação 2 2" xfId="4303" xr:uid="{C99F912A-FF10-4335-A854-3363A51DFE93}"/>
    <cellStyle name="Célula de Verificação 3" xfId="1764" xr:uid="{715E2C7E-8845-4E11-A458-1631D87C65C9}"/>
    <cellStyle name="Célula de Verificação 4" xfId="4304" xr:uid="{9A245E69-5F53-4BDF-9D0D-DEDE316A30A6}"/>
    <cellStyle name="Célula de Verificação 5" xfId="43499" xr:uid="{92BA42CA-7545-44B9-B7CD-651F7FA5A69D}"/>
    <cellStyle name="Célula de Verificação 6" xfId="43500" xr:uid="{9CA1ED7A-CE9B-4896-85EE-A8F32A74540F}"/>
    <cellStyle name="Célula de Verificação 7" xfId="43501" xr:uid="{2E45691B-2C6F-46FE-8DD8-CAC9A44BBC03}"/>
    <cellStyle name="Célula de Verificação 8" xfId="43502" xr:uid="{62E23277-7DAB-456B-B12D-23FF1760B13A}"/>
    <cellStyle name="Célula de Verificação 9" xfId="767" xr:uid="{1C6DD672-E9AD-4E44-A763-46CC13DC5F30}"/>
    <cellStyle name="Célula Vinculada 2" xfId="989" xr:uid="{CF4C1F9E-67A9-4325-A7CB-B3B716080461}"/>
    <cellStyle name="Célula Vinculada 2 2" xfId="4305" xr:uid="{A23B1D8D-ABB0-4677-AABA-539197A639CF}"/>
    <cellStyle name="Célula Vinculada 3" xfId="1765" xr:uid="{A1666ADB-1669-4624-A2C8-639DA003C4A9}"/>
    <cellStyle name="Célula Vinculada 4" xfId="4306" xr:uid="{2E99831D-EDEB-45FF-B7D9-DDD8ADA52834}"/>
    <cellStyle name="Célula Vinculada 5" xfId="43503" xr:uid="{36964988-4049-4DA1-8132-48DF9FF0CEF7}"/>
    <cellStyle name="Célula Vinculada 6" xfId="43504" xr:uid="{0EAE9464-5BDF-4D21-9E7B-CB6B60798C81}"/>
    <cellStyle name="Célula Vinculada 7" xfId="43505" xr:uid="{E970BFEA-B97C-46B0-8947-FBB0571611AE}"/>
    <cellStyle name="Célula Vinculada 8" xfId="43506" xr:uid="{F3C9123F-E910-4208-9E5E-4699F1F6DEA4}"/>
    <cellStyle name="Célula Vinculada 9" xfId="768" xr:uid="{2F93A43F-0203-43D1-BD99-05D29A4AF7E8}"/>
    <cellStyle name="Changed no." xfId="4307" xr:uid="{F7AB7BD7-99A7-4FDB-830B-F29B89AAE7D9}"/>
    <cellStyle name="Check Cell" xfId="769" xr:uid="{584B52DF-4396-4B68-ADDE-AF9331E718E4}"/>
    <cellStyle name="Check Cell 2" xfId="4308" xr:uid="{529F7409-FC31-4575-90EB-B2174EE67E28}"/>
    <cellStyle name="Check Cell 3" xfId="4309" xr:uid="{B51061EF-E0E5-4182-B82B-A387A1E67DC5}"/>
    <cellStyle name="Check Cell_Escelsa_2008_Versao regulatorio_Dyogenes" xfId="4310" xr:uid="{46CED816-82C2-429A-888C-F7FC303A035D}"/>
    <cellStyle name="Code" xfId="770" xr:uid="{20835BBF-A453-4B0B-A219-814CB89BF2B3}"/>
    <cellStyle name="Code 2" xfId="4311" xr:uid="{3B11D1CC-83CD-444E-BB18-12AAE6536D73}"/>
    <cellStyle name="Code Section" xfId="771" xr:uid="{3D1900D5-48D2-4CFB-869F-DCA4C27C4318}"/>
    <cellStyle name="Code Section 2" xfId="4312" xr:uid="{7E436E2C-634D-4E99-88FD-DA0D7A439BB5}"/>
    <cellStyle name="Code Section 3" xfId="4313" xr:uid="{F3ED5F48-D4E2-4FF0-8B77-9B9BAE6B4901}"/>
    <cellStyle name="Code Section_IF - Autoprodutores 2" xfId="4314" xr:uid="{D7BA2754-46DD-4D24-A533-D9C29DD0C36A}"/>
    <cellStyle name="Collegamento ipertestuale" xfId="4315" xr:uid="{0B826E99-7946-4286-9D0D-AC9313FCFFFA}"/>
    <cellStyle name="Comma  - Style1" xfId="772" xr:uid="{0FE93955-DF77-42D8-8ED6-DE6C495143E4}"/>
    <cellStyle name="Comma  - Style2" xfId="4316" xr:uid="{63AF327D-CAE3-4E4E-B741-98BE4AA62042}"/>
    <cellStyle name="Comma  - Style3" xfId="4317" xr:uid="{5C6DEC17-7C87-44BC-8E24-68C3288C046A}"/>
    <cellStyle name="Comma  - Style4" xfId="4318" xr:uid="{67D1587A-77D8-482F-B9DE-B9007F2642FB}"/>
    <cellStyle name="Comma  - Style5" xfId="4319" xr:uid="{70990509-A72B-4A6F-B13C-413E10EF623F}"/>
    <cellStyle name="Comma  - Style6" xfId="4320" xr:uid="{AD6825D0-942C-43CE-84D9-98985219BF42}"/>
    <cellStyle name="Comma  - Style7" xfId="4321" xr:uid="{E7FD0B63-3A02-4AEF-89F5-839A62F90B18}"/>
    <cellStyle name="Comma  - Style8" xfId="4322" xr:uid="{FD1EF1DC-1666-4865-AAD4-AEC2A09F66ED}"/>
    <cellStyle name="Comma (0.0)" xfId="4323" xr:uid="{ECC86B1E-2FF5-42B7-8B61-05B70C685C2E}"/>
    <cellStyle name="Comma (0.00)" xfId="4324" xr:uid="{380D82E0-CADB-4E86-A728-54AD7EA5BBE8}"/>
    <cellStyle name="Comma (hidden)" xfId="4325" xr:uid="{C6CDD91E-25F2-454D-86EA-25620F94D0FB}"/>
    <cellStyle name="Comma (index)" xfId="4326" xr:uid="{DEC73F32-2794-4BBA-B5FE-D0953DA08176}"/>
    <cellStyle name="Comma [0]_12matrix" xfId="773" xr:uid="{03776C6F-6997-4B06-858E-3EBA498C8F41}"/>
    <cellStyle name="Comma [00]" xfId="774" xr:uid="{EC178A69-6458-4F43-BDEA-E3907888A309}"/>
    <cellStyle name="Comma [00] 2" xfId="990" xr:uid="{309A0958-55A6-41F1-949B-88E66AFC1D16}"/>
    <cellStyle name="Comma [00] 3" xfId="4327" xr:uid="{71C3BD4A-09AD-4240-BA32-06A4144B6FC9}"/>
    <cellStyle name="Comma 0" xfId="4328" xr:uid="{D50A13DB-25C0-406B-9AC7-AD3FE4A36850}"/>
    <cellStyle name="Comma 10" xfId="4329" xr:uid="{806709F9-F3C8-479D-AE35-6D8EB3CB3D0F}"/>
    <cellStyle name="Comma 13" xfId="1671" xr:uid="{D95518A6-4B4E-4AB7-8667-E5B11E5CA977}"/>
    <cellStyle name="Comma 2" xfId="775" xr:uid="{6BBE657A-0082-49E3-9250-93A6D30975B7}"/>
    <cellStyle name="Comma 2 2" xfId="991" xr:uid="{4A209612-6E38-402F-899E-B8E15B3D31F1}"/>
    <cellStyle name="Comma 2 2 2" xfId="4330" xr:uid="{CC27249F-435C-4D39-B603-ABD5A6324335}"/>
    <cellStyle name="Comma 2 2 3" xfId="4331" xr:uid="{22E4E18D-007B-48E5-984D-C63BDFEBE267}"/>
    <cellStyle name="Comma 2 2 4" xfId="4332" xr:uid="{27828C63-7BC4-4B54-92DA-44833083676E}"/>
    <cellStyle name="Comma 2 2 5" xfId="4333" xr:uid="{E0632B72-28D8-47BA-BD53-E5F8025AEFA3}"/>
    <cellStyle name="Comma 2 3" xfId="992" xr:uid="{DA54C8BF-0CA2-4BA0-AA83-1A3CAEACD95D}"/>
    <cellStyle name="Comma 2 4" xfId="4334" xr:uid="{854C5659-7C9C-492B-8DFC-7A7952010626}"/>
    <cellStyle name="Comma 2 5" xfId="42557" xr:uid="{85478262-7BD8-4FCF-9357-C6188162B84E}"/>
    <cellStyle name="Comma 3" xfId="993" xr:uid="{A2254379-DA33-49B1-AB09-9C1DC36D1391}"/>
    <cellStyle name="Comma 3 2" xfId="4335" xr:uid="{D3021A35-B092-4E84-9978-02EC6317D5D6}"/>
    <cellStyle name="Comma 3 4" xfId="13" xr:uid="{00000000-0005-0000-0000-000000000000}"/>
    <cellStyle name="Comma 4" xfId="994" xr:uid="{105F614A-A430-4E2D-BA48-7950EAED098E}"/>
    <cellStyle name="Comma 4 2" xfId="4336" xr:uid="{A3B10849-74B7-4E33-94FA-95C8F4BA7458}"/>
    <cellStyle name="Comma 5" xfId="4337" xr:uid="{A8F148A7-FB71-4211-B0CA-01351C2B0AD4}"/>
    <cellStyle name="Comma 6" xfId="4338" xr:uid="{BB83450C-25D7-4876-967C-CCCE719C175B}"/>
    <cellStyle name="Comma 6 2" xfId="4339" xr:uid="{A1DF6BA2-F816-4FB6-8FF5-A3A27E9A9124}"/>
    <cellStyle name="Comma 63" xfId="4340" xr:uid="{E7E0A5F0-DBE7-4AB0-BEE8-9A204693822C}"/>
    <cellStyle name="Comma 7" xfId="4341" xr:uid="{629871BE-8350-4FA1-A1F2-3259E023A041}"/>
    <cellStyle name="Comma Black [0]" xfId="4342" xr:uid="{7D96C788-9AD9-4A17-8DE5-700223D2B184}"/>
    <cellStyle name="Comma Black [1]" xfId="4343" xr:uid="{513C69E1-09FE-4D93-9434-A32E130F08DF}"/>
    <cellStyle name="Comma Black [2]" xfId="4344" xr:uid="{61679F5C-B889-4B40-B66A-B238552A3028}"/>
    <cellStyle name="Comma Blue [0]" xfId="4345" xr:uid="{5E327033-3A11-4E7A-ADFD-654C9BC31D06}"/>
    <cellStyle name="Comma Blue [1]" xfId="4346" xr:uid="{A9EC4589-8590-4DB3-B9F0-17B2D559D8C0}"/>
    <cellStyle name="Comma Blue [2]" xfId="4347" xr:uid="{13602619-C1A4-42FF-9E5F-FFE322102842}"/>
    <cellStyle name="Comma_12matrix" xfId="776" xr:uid="{0DE16681-1BD9-4247-B03D-204F2BFF0675}"/>
    <cellStyle name="Comma0" xfId="777" xr:uid="{D2597058-AF98-48AD-98EC-7347B5541E5C}"/>
    <cellStyle name="Comma0 - Estilo2" xfId="4348" xr:uid="{75033317-8AA3-4426-BB67-1FAA37417ABE}"/>
    <cellStyle name="Comma0 - Estilo3" xfId="4349" xr:uid="{D098B631-0FC5-4FE2-BDB5-675A563603F0}"/>
    <cellStyle name="Comma0 - Modelo1" xfId="4350" xr:uid="{ECA13F27-1373-4117-B118-76241A924C63}"/>
    <cellStyle name="Comma0 - Style1" xfId="4351" xr:uid="{C93170FD-9AA0-4421-8D89-CC5FA5807F76}"/>
    <cellStyle name="Comma0 2" xfId="4352" xr:uid="{5846296A-6A92-4E82-8520-392645D66C35}"/>
    <cellStyle name="Comma0 3" xfId="4353" xr:uid="{B9115E19-82FD-46C8-B83E-0DE507A7E367}"/>
    <cellStyle name="Comma1 - Estilo1" xfId="4354" xr:uid="{5CDB7780-EB20-42F4-A85D-CA014C90B9D0}"/>
    <cellStyle name="Comma1 - Modelo2" xfId="4355" xr:uid="{1AA17149-54F9-4103-80D8-22E2AC51A56E}"/>
    <cellStyle name="Comma1 - Style2" xfId="4356" xr:uid="{2FB37E47-C093-4950-A96B-3BED8FF0F157}"/>
    <cellStyle name="Conferência" xfId="778" xr:uid="{05387362-B6EC-4D6F-BBD7-4858A6A51610}"/>
    <cellStyle name="Conferência 2" xfId="4357" xr:uid="{9FD3F765-F9A7-413A-A919-AE3AC1814668}"/>
    <cellStyle name="Conferência 3" xfId="4358" xr:uid="{96CF0C1B-66FE-4F1D-83D3-0954E65F1C1E}"/>
    <cellStyle name="Conferência 3 2" xfId="4359" xr:uid="{799EDDFD-CE26-4C81-AF8F-7242A105A389}"/>
    <cellStyle name="Curren - Style2" xfId="779" xr:uid="{84BD14F4-7BD7-4196-BD0A-2B33741BBEB9}"/>
    <cellStyle name="Currency (0)" xfId="780" xr:uid="{B2DA6EE8-D948-4240-A09B-7C7BA74FA4FF}"/>
    <cellStyle name="Currency (0) 2" xfId="4360" xr:uid="{30A2AA66-5844-4A54-AE6A-E3E5174FBC81}"/>
    <cellStyle name="Currency (2)" xfId="781" xr:uid="{04C8A667-794C-4F11-B535-E3D0D90F25CC}"/>
    <cellStyle name="Currency (2) 2" xfId="4361" xr:uid="{E628492A-0D62-4986-B1AB-AE436DA829C4}"/>
    <cellStyle name="Currency (hidden)" xfId="4362" xr:uid="{7AA16610-FD69-4F3B-A3D0-0DE39526BEE4}"/>
    <cellStyle name="Currency [0]_12matrix" xfId="782" xr:uid="{86B4198C-D8AA-4FA2-9C64-5BA2A0EE0C25}"/>
    <cellStyle name="Currency [00]" xfId="783" xr:uid="{4DA99559-0749-400A-BA13-6FF154712E80}"/>
    <cellStyle name="Currency 0" xfId="4363" xr:uid="{D6FAAD10-4E30-4659-B473-A960C2879994}"/>
    <cellStyle name="Currency 2" xfId="4364" xr:uid="{92A914FB-E454-4AF7-AA7D-67A7D359A68D}"/>
    <cellStyle name="Currency_12matrix" xfId="784" xr:uid="{A3055FB3-6E8D-4412-8096-388136E1D933}"/>
    <cellStyle name="Currency0" xfId="785" xr:uid="{17BC7BB8-3EF6-4787-B439-C9CB9DA9D3F4}"/>
    <cellStyle name="Currency0 2" xfId="4365" xr:uid="{44615013-4A28-4911-A99E-0B5E84F74251}"/>
    <cellStyle name="Currency0 3" xfId="4366" xr:uid="{C935154D-1AA2-49CD-BEFB-734AA5D97264}"/>
    <cellStyle name="Dash" xfId="4367" xr:uid="{1E6D2A0F-05F2-4405-8B0F-9C5347D714E0}"/>
    <cellStyle name="Data" xfId="786" xr:uid="{53A50C80-951C-4703-90FA-5DBE6132D962}"/>
    <cellStyle name="Data 2" xfId="4368" xr:uid="{6372C4AD-7E83-4AF9-B300-95EAF803C0ED}"/>
    <cellStyle name="Data 3" xfId="4369" xr:uid="{60610DBF-6174-4A72-8FA3-DD30108352B6}"/>
    <cellStyle name="Date" xfId="787" xr:uid="{5306B3CC-0755-438A-A3A2-4145F11B96BD}"/>
    <cellStyle name="Date [mmm-yy]" xfId="1672" xr:uid="{50EDD512-5404-47DC-8277-48F0E40DE04C}"/>
    <cellStyle name="Date Aligned" xfId="4370" xr:uid="{BDC21D3A-B938-4BED-9FE3-97E01DAAC2C4}"/>
    <cellStyle name="Date Short" xfId="788" xr:uid="{3E325BA2-60D0-4DD4-B844-F7EA19C4C709}"/>
    <cellStyle name="Date Short 2" xfId="995" xr:uid="{F205FF15-B323-496C-A8C1-89E89C1B7A25}"/>
    <cellStyle name="Date Short 3" xfId="4371" xr:uid="{45C2AB9A-DF5C-4E79-9D30-ECD9325425D0}"/>
    <cellStyle name="Date Short_IRT_Planilha Básica_ v2010_CERRP" xfId="1766" xr:uid="{22D66A12-9859-44A6-BF6E-E4596D2D51D6}"/>
    <cellStyle name="Date_02 IRT COSERN 2009" xfId="1673" xr:uid="{42776B53-22DB-4242-9FF9-2A2ADCE2D996}"/>
    <cellStyle name="Date-Time" xfId="789" xr:uid="{55D72128-E874-4234-84DD-FC7359F249DF}"/>
    <cellStyle name="Date-Time 2" xfId="4372" xr:uid="{1B33C501-9A97-436B-A7AD-7398AC0E1BB9}"/>
    <cellStyle name="Date-Time 3" xfId="4373" xr:uid="{EEF7EB8F-2FDD-4485-BED9-0564E8E83F02}"/>
    <cellStyle name="Date-Time 3 2" xfId="4374" xr:uid="{3E08425D-9C50-46F6-A4CC-0B2ACA66E1DB}"/>
    <cellStyle name="Dato" xfId="1674" xr:uid="{B0F1B193-B605-40C6-955C-782CB3B888AF}"/>
    <cellStyle name="Decimal 1" xfId="790" xr:uid="{402336FB-448D-4815-8D1D-B27151565345}"/>
    <cellStyle name="Decimal 1 2" xfId="4375" xr:uid="{EADF2585-6474-4C71-AC77-A2F602F7C1EE}"/>
    <cellStyle name="Decimal 1 3" xfId="4376" xr:uid="{F582DBE6-9C12-48D5-9A2A-84EE304871D9}"/>
    <cellStyle name="Decimal 1 3 2" xfId="4377" xr:uid="{956D1C1E-BADA-4E4B-B91D-C5DF9603261A}"/>
    <cellStyle name="Decimal 2" xfId="791" xr:uid="{E564ABCB-83C4-4F21-A9A3-87CD196D21C7}"/>
    <cellStyle name="Decimal 3" xfId="792" xr:uid="{B8EBD98B-377C-430E-ACA4-8B920267DD82}"/>
    <cellStyle name="Decimal 3 2" xfId="4378" xr:uid="{21D33AA5-370B-4EA2-AA14-56291896725A}"/>
    <cellStyle name="DELTA" xfId="793" xr:uid="{A59BBB3D-0FB4-45A3-9463-92B6EB602920}"/>
    <cellStyle name="DELTA 2" xfId="996" xr:uid="{4E830719-8BDC-4183-995C-28D8142EFB52}"/>
    <cellStyle name="DELTA 3" xfId="4379" xr:uid="{2B755C29-4C11-4BF5-AFA4-AC2E8C4131EC}"/>
    <cellStyle name="DELTA_IRT_Planilha Básica_ v2010_CERRP" xfId="1767" xr:uid="{B646DC36-6686-486E-AE13-8E7CA6D484A4}"/>
    <cellStyle name="DESCRIÇÃO" xfId="4380" xr:uid="{C0D4C43B-849E-4BD2-8111-86E1DE701B0D}"/>
    <cellStyle name="Design" xfId="4381" xr:uid="{4D749A51-0903-49FB-B627-CE065FED60AE}"/>
    <cellStyle name="Design 2" xfId="4382" xr:uid="{285B3CFA-20F7-4AEA-966D-084A1D1461FC}"/>
    <cellStyle name="Design 3" xfId="4383" xr:uid="{E9CE4DE1-DE23-4B87-BD48-EF81DDC307F5}"/>
    <cellStyle name="Design_IF - Autoprodutores" xfId="4384" xr:uid="{F9E1526A-7E25-4B65-994A-D2BD897AA1CA}"/>
    <cellStyle name="Dia" xfId="4385" xr:uid="{3349F81A-CAC0-4D84-9834-3F1D529A69C7}"/>
    <cellStyle name="Dotted Line" xfId="4386" xr:uid="{2243AF06-2336-4F8D-9A3D-A6E2A89E1B6C}"/>
    <cellStyle name="E&amp;Y House" xfId="4387" xr:uid="{F9CFF777-656B-4F1B-96E7-FD8A9BB9D666}"/>
    <cellStyle name="Emphasis 1" xfId="4388" xr:uid="{6B70A61F-BDDE-4827-A16D-68E92293DE72}"/>
    <cellStyle name="Emphasis 2" xfId="4389" xr:uid="{AA4D144D-33E0-46F3-BABA-523145A7C89B}"/>
    <cellStyle name="Emphasis 3" xfId="4390" xr:uid="{AC0C96B7-2395-4D47-972A-CA62C58F344E}"/>
    <cellStyle name="Encabez1" xfId="4391" xr:uid="{013E89B5-1E37-4457-85DD-77F16DD858CC}"/>
    <cellStyle name="Encabez2" xfId="4392" xr:uid="{C9EA2B0A-9DC9-4A19-9086-0E1FAA2AEB51}"/>
    <cellStyle name="Encabezado 4" xfId="997" xr:uid="{76F58106-968F-46BE-BD08-E99B6144C498}"/>
    <cellStyle name="Ênfase1 10" xfId="4393" xr:uid="{97E9193A-48A7-4CB3-9A95-EDC9FFB9F801}"/>
    <cellStyle name="Ênfase1 11" xfId="43507" xr:uid="{82313DA8-2B3D-467C-B1B3-F9AF330A7D28}"/>
    <cellStyle name="Ênfase1 12" xfId="794" xr:uid="{7AFAE6C3-9360-42D6-956A-5E268CECB584}"/>
    <cellStyle name="Ênfase1 2" xfId="998" xr:uid="{89F78239-8B69-4906-A1AA-2CAF5BD603FD}"/>
    <cellStyle name="Ênfase1 2 2" xfId="4394" xr:uid="{F295678D-D529-4C47-A79A-8E0CC25CECD3}"/>
    <cellStyle name="Ênfase1 3" xfId="1768" xr:uid="{04900221-0138-487B-B8F3-79C0836AF1B5}"/>
    <cellStyle name="Ênfase1 3 2" xfId="4395" xr:uid="{3F4242AA-A5A8-4011-AD93-D676DFC6F93A}"/>
    <cellStyle name="Ênfase1 4" xfId="4396" xr:uid="{348B9693-25F7-420B-97CF-FD4B536F4726}"/>
    <cellStyle name="Ênfase1 4 2" xfId="4397" xr:uid="{596909F3-2B66-4BAE-8F6A-56D46D9B3B11}"/>
    <cellStyle name="Ênfase1 5" xfId="4398" xr:uid="{B758836E-9861-45E1-8106-1F0D15CFB612}"/>
    <cellStyle name="Ênfase1 6" xfId="4399" xr:uid="{5073256E-3FA5-41B4-BE6A-206AC0A32AAB}"/>
    <cellStyle name="Ênfase1 7" xfId="4400" xr:uid="{D343D7E3-543E-4B3E-A676-F885199501AA}"/>
    <cellStyle name="Ênfase1 8" xfId="4401" xr:uid="{AA6D0309-C3E6-45EC-974C-2C8BA455538C}"/>
    <cellStyle name="Ênfase1 9" xfId="4402" xr:uid="{B8345769-8BE7-42D9-AE91-D2C6DBFA3F32}"/>
    <cellStyle name="Ênfase2 10" xfId="4403" xr:uid="{E5E652DD-70A2-4777-B539-59080266218A}"/>
    <cellStyle name="Ênfase2 11" xfId="43508" xr:uid="{11A448A0-1E31-411C-82DC-FA0C1FF3713A}"/>
    <cellStyle name="Ênfase2 12" xfId="795" xr:uid="{C2DF1C51-3062-4AEE-948F-E33FB699454B}"/>
    <cellStyle name="Ênfase2 2" xfId="999" xr:uid="{E7557F55-5CFF-4D2A-8F16-34D1E992DEED}"/>
    <cellStyle name="Ênfase2 2 2" xfId="4404" xr:uid="{FCD2807B-94AA-4595-AC9E-AD26385AC8FD}"/>
    <cellStyle name="Ênfase2 3" xfId="1769" xr:uid="{670342B7-AE07-4784-B6EF-F7A462747DEF}"/>
    <cellStyle name="Ênfase2 3 2" xfId="4405" xr:uid="{CCBAC5AA-0E6C-4766-BE63-8D6903EC4E29}"/>
    <cellStyle name="Ênfase2 4" xfId="4406" xr:uid="{6E83B84A-D953-4EE0-8669-1372B3CC0FCF}"/>
    <cellStyle name="Ênfase2 4 2" xfId="4407" xr:uid="{C15C9C7F-88AD-40AE-866E-E0CD5C41D3A9}"/>
    <cellStyle name="Ênfase2 5" xfId="4408" xr:uid="{B2EB9E55-992B-4EC5-A426-349C71837E04}"/>
    <cellStyle name="Ênfase2 6" xfId="4409" xr:uid="{B60BC842-AEAB-4D10-9376-BB6ECDD0592E}"/>
    <cellStyle name="Ênfase2 7" xfId="4410" xr:uid="{3F09FB32-18BD-4C69-87F8-2EF8ED7DA51F}"/>
    <cellStyle name="Ênfase2 8" xfId="4411" xr:uid="{4B94CC6C-B73C-4F8F-9DFD-A7C019DF2E7E}"/>
    <cellStyle name="Ênfase2 9" xfId="4412" xr:uid="{57B732BE-6A7D-4695-B4FC-748BD524376D}"/>
    <cellStyle name="Ênfase3 10" xfId="4413" xr:uid="{7E0142FC-B32D-4E9A-A946-ED1D2B1F8B03}"/>
    <cellStyle name="Ênfase3 11" xfId="43509" xr:uid="{BE6B5F02-5CF2-4FD9-B76E-06C54186049B}"/>
    <cellStyle name="Ênfase3 12" xfId="796" xr:uid="{0BA631E0-F9D7-44A8-B233-1EFC99ADB7D5}"/>
    <cellStyle name="Ênfase3 2" xfId="1000" xr:uid="{4B64C2BA-9948-43AD-B47E-FA8A93730306}"/>
    <cellStyle name="Ênfase3 2 2" xfId="4414" xr:uid="{2E7EC71F-9FB8-47AD-8A31-36BE2CD9C425}"/>
    <cellStyle name="Ênfase3 3" xfId="1770" xr:uid="{156309CD-3365-45EE-99AC-4D10745EFC7C}"/>
    <cellStyle name="Ênfase3 3 2" xfId="4415" xr:uid="{6FCC9BFC-4FB2-4C64-ADE1-F97B68FFEFBA}"/>
    <cellStyle name="Ênfase3 4" xfId="4416" xr:uid="{C63E9FD5-0C04-4631-B12B-2A3B2E534895}"/>
    <cellStyle name="Ênfase3 4 2" xfId="4417" xr:uid="{3DBAA323-0311-49E6-8DC5-F864A8319CE8}"/>
    <cellStyle name="Ênfase3 5" xfId="4418" xr:uid="{023491DF-7A56-4FC0-A47E-A8DC2D2BBEDC}"/>
    <cellStyle name="Ênfase3 6" xfId="4419" xr:uid="{21BF5F7E-1BE9-42DF-B5E6-42142A6F1D89}"/>
    <cellStyle name="Ênfase3 7" xfId="4420" xr:uid="{D03AB42F-EE76-49A6-B9EA-749BFA4BA103}"/>
    <cellStyle name="Ênfase3 8" xfId="4421" xr:uid="{F507676A-6164-4F76-847A-59FD0F2F017D}"/>
    <cellStyle name="Ênfase3 9" xfId="4422" xr:uid="{5ECA0A41-7475-4299-BC39-16E2381EBA03}"/>
    <cellStyle name="Ênfase4 10" xfId="4423" xr:uid="{6B679387-6370-43E6-9385-B9D4ACB16319}"/>
    <cellStyle name="Ênfase4 11" xfId="43510" xr:uid="{7C046D4A-A193-489E-B6AB-FDFA849BCE68}"/>
    <cellStyle name="Ênfase4 12" xfId="797" xr:uid="{6EDD5406-2F03-41BE-A4FD-9AC27F967A62}"/>
    <cellStyle name="Ênfase4 2" xfId="1001" xr:uid="{D5B954BA-18C1-44CB-A34E-E907B46C93D6}"/>
    <cellStyle name="Ênfase4 2 2" xfId="4424" xr:uid="{BE6D38F3-8CE4-48F8-853E-9B0F77BDAC01}"/>
    <cellStyle name="Ênfase4 3" xfId="1771" xr:uid="{7F177900-6952-4254-BF1F-9683F08F8DB7}"/>
    <cellStyle name="Ênfase4 3 2" xfId="4425" xr:uid="{72AD0E42-618F-472B-BF0E-54169E38AE54}"/>
    <cellStyle name="Ênfase4 4" xfId="4426" xr:uid="{F9147979-6A90-4D0B-A2CC-953FAC2916F4}"/>
    <cellStyle name="Ênfase4 4 2" xfId="4427" xr:uid="{2DFB03F4-866E-4B1F-8267-96346EE5947F}"/>
    <cellStyle name="Ênfase4 5" xfId="4428" xr:uid="{540E31E4-74BE-4861-BCDF-58C40F0EB768}"/>
    <cellStyle name="Ênfase4 6" xfId="4429" xr:uid="{4C44B5A6-4121-4A1A-B48B-AF10CAD9E596}"/>
    <cellStyle name="Ênfase4 7" xfId="4430" xr:uid="{F4AE2243-5B3E-432B-8276-EB642DB6EA46}"/>
    <cellStyle name="Ênfase4 8" xfId="4431" xr:uid="{467505E4-9429-41AE-8174-B69F0A354399}"/>
    <cellStyle name="Ênfase4 9" xfId="4432" xr:uid="{807C9E4A-22A6-42A8-8526-078167B45798}"/>
    <cellStyle name="Ênfase5 10" xfId="4433" xr:uid="{44EC13CF-5578-4C95-96BD-968B2173DBF7}"/>
    <cellStyle name="Ênfase5 11" xfId="43511" xr:uid="{E0220BD0-FD19-4D94-A97B-4199D2676704}"/>
    <cellStyle name="Ênfase5 12" xfId="798" xr:uid="{05DE4259-EB02-4392-BC48-507BD73D19DE}"/>
    <cellStyle name="Ênfase5 2" xfId="1002" xr:uid="{127CE4B4-02ED-4443-AA83-E0300A3C1329}"/>
    <cellStyle name="Ênfase5 2 2" xfId="4434" xr:uid="{1171B70B-D5DF-42F7-8886-BA3FC3EA7A9B}"/>
    <cellStyle name="Ênfase5 3" xfId="1772" xr:uid="{B12B682F-2032-43DB-86EE-F4E09306D53A}"/>
    <cellStyle name="Ênfase5 3 2" xfId="4435" xr:uid="{98675F1A-EAC8-452C-BAFD-526A8E090DA3}"/>
    <cellStyle name="Ênfase5 4" xfId="4436" xr:uid="{880CD285-A2CF-48D5-B870-FAEA9992E3E6}"/>
    <cellStyle name="Ênfase5 4 2" xfId="4437" xr:uid="{AB609B38-C38F-4DD4-8C7F-35C9ADC2C1D2}"/>
    <cellStyle name="Ênfase5 5" xfId="4438" xr:uid="{F0BF1B5B-6EED-4419-84B0-D40CF6872924}"/>
    <cellStyle name="Ênfase5 6" xfId="4439" xr:uid="{51AED4C0-195F-45B1-9FD1-BF64E3F8A6BF}"/>
    <cellStyle name="Ênfase5 7" xfId="4440" xr:uid="{4D05726D-FDF7-4EBC-9569-75E6F46B86FF}"/>
    <cellStyle name="Ênfase5 8" xfId="4441" xr:uid="{2FAAA346-2A42-4760-B0D7-7C82B2A62EF4}"/>
    <cellStyle name="Ênfase5 9" xfId="4442" xr:uid="{6404E9F1-A98C-4F95-8870-36E5A9BE75E1}"/>
    <cellStyle name="Ênfase6 10" xfId="4443" xr:uid="{78826819-BC74-453F-8DA7-6B988AD44A3C}"/>
    <cellStyle name="Ênfase6 11" xfId="43512" xr:uid="{1D572432-1D72-444F-8A82-0C25F201167B}"/>
    <cellStyle name="Ênfase6 12" xfId="799" xr:uid="{CC52C451-70CB-4957-AB97-DDD51B07CCE2}"/>
    <cellStyle name="Ênfase6 2" xfId="1003" xr:uid="{37F6AB3F-8466-4B5A-89C0-840011AC711C}"/>
    <cellStyle name="Ênfase6 2 2" xfId="4444" xr:uid="{751F19E6-C809-4A17-8339-AB30314091EC}"/>
    <cellStyle name="Ênfase6 3" xfId="1773" xr:uid="{11153212-0736-41AB-B66D-9E32B9BE72C8}"/>
    <cellStyle name="Ênfase6 3 2" xfId="4445" xr:uid="{974D31EE-D749-453F-8FEC-12B4A3C3453E}"/>
    <cellStyle name="Ênfase6 4" xfId="4446" xr:uid="{748D7423-DEE9-4108-8B6C-3472C7C95571}"/>
    <cellStyle name="Ênfase6 4 2" xfId="4447" xr:uid="{0499E292-F702-4B4D-8050-727C9B9F32E9}"/>
    <cellStyle name="Ênfase6 5" xfId="4448" xr:uid="{E94C65D5-AAE6-4DFE-945A-EB684CE536E6}"/>
    <cellStyle name="Ênfase6 6" xfId="4449" xr:uid="{6CC69C30-0714-445C-A374-AC2DC060A4FE}"/>
    <cellStyle name="Ênfase6 7" xfId="4450" xr:uid="{FDB5D76F-7972-4422-8E08-0213C45CB84F}"/>
    <cellStyle name="Ênfase6 8" xfId="4451" xr:uid="{6E47A772-A9AF-4E2F-A894-1A03F1591FEF}"/>
    <cellStyle name="Ênfase6 9" xfId="4452" xr:uid="{0AA899FB-2741-4CCE-B402-3685EDECBF32}"/>
    <cellStyle name="Énfasis1" xfId="1004" xr:uid="{1C328740-2322-4FC4-A5C1-34014919F2FD}"/>
    <cellStyle name="Énfasis1 2" xfId="4453" xr:uid="{AD8C543B-5532-4B21-9772-0E6740BBAF9C}"/>
    <cellStyle name="Énfasis2" xfId="1005" xr:uid="{E4708463-727E-4054-B61B-C6982450621B}"/>
    <cellStyle name="Énfasis2 2" xfId="4454" xr:uid="{23DB6014-745E-4A24-A052-2FE0DD62EB98}"/>
    <cellStyle name="Énfasis3" xfId="1006" xr:uid="{5C2279B9-0C1C-49A9-ACA1-902EEA89AF8F}"/>
    <cellStyle name="Énfasis3 2" xfId="4455" xr:uid="{732496C1-080D-494E-BF87-366266B9B4B2}"/>
    <cellStyle name="Énfasis4" xfId="1007" xr:uid="{273E0FAF-5665-4D3F-B99E-8ED247218CAC}"/>
    <cellStyle name="Énfasis4 2" xfId="4456" xr:uid="{A9129BC7-7D75-45E1-9F17-B861ABAA8AA8}"/>
    <cellStyle name="Énfasis5" xfId="1008" xr:uid="{0501470A-7A37-477F-AFE7-AC2EAA936E07}"/>
    <cellStyle name="Énfasis5 2" xfId="4457" xr:uid="{9A91F7D7-D753-4E38-83AF-CD76675E49DB}"/>
    <cellStyle name="Énfasis6" xfId="1009" xr:uid="{74AF16ED-956A-4CD4-8B38-50D54E749ECE}"/>
    <cellStyle name="Énfasis6 2" xfId="4458" xr:uid="{A6A54615-FD00-49E8-8092-3163643BBF75}"/>
    <cellStyle name="Enter Currency (0)" xfId="800" xr:uid="{47239E11-69FB-4D76-834F-EDBB0CD95D7E}"/>
    <cellStyle name="Enter Currency (0) 2" xfId="1010" xr:uid="{CA4FC011-FA59-4109-9F19-654FD39EEF38}"/>
    <cellStyle name="Enter Currency (0) 3" xfId="4459" xr:uid="{72902A56-8FF4-4DC6-90AD-53B3E6AB3C0C}"/>
    <cellStyle name="Enter Currency (0)_IRT_Planilha Básica_ v2010_CERRP" xfId="1774" xr:uid="{9BAAA737-01C4-4F63-A128-73A6CE385076}"/>
    <cellStyle name="Enter Currency (2)" xfId="801" xr:uid="{E2B68B56-7A16-441A-BF13-351E104A4CF8}"/>
    <cellStyle name="Enter Units (0)" xfId="802" xr:uid="{8013C361-4A48-4E7C-B703-FDD08088FB4E}"/>
    <cellStyle name="Enter Units (0) 2" xfId="1011" xr:uid="{68FF72AB-EBFD-4B2E-81C1-E36CB8C53A33}"/>
    <cellStyle name="Enter Units (0) 3" xfId="4460" xr:uid="{BFA94482-3F91-442E-B0D3-0CBD74E2306C}"/>
    <cellStyle name="Enter Units (0)_IRT_Planilha Básica_ v2010_CERRP" xfId="1775" xr:uid="{B57A995A-6C18-461C-BE8C-FA98BB9E36C3}"/>
    <cellStyle name="Enter Units (1)" xfId="803" xr:uid="{F6CD5199-38E1-43B2-9316-3D8DC7921292}"/>
    <cellStyle name="Enter Units (1) 2" xfId="1012" xr:uid="{9B0C5B06-5A6D-44BF-BE4E-54294549C5F3}"/>
    <cellStyle name="Enter Units (1) 3" xfId="4461" xr:uid="{CFE50D89-CDAB-4B8B-8406-ABDB21728527}"/>
    <cellStyle name="Enter Units (1)_IRT_Planilha Básica_ v2010_CERRP" xfId="1776" xr:uid="{F1D5624F-9FAC-4712-A59B-E266B89B42E1}"/>
    <cellStyle name="Enter Units (2)" xfId="804" xr:uid="{662AA9B1-4195-4B61-BF5F-830053490D39}"/>
    <cellStyle name="En-tête 1" xfId="4462" xr:uid="{6AA94C38-947D-42A1-B24F-1506668595F5}"/>
    <cellStyle name="En-tête 2" xfId="4463" xr:uid="{D370880D-DBDB-4BE0-A5B6-D477F973749C}"/>
    <cellStyle name="Entrada 10" xfId="4464" xr:uid="{3C30CCFA-45B6-4D49-9B08-1889D20F0103}"/>
    <cellStyle name="Entrada 11" xfId="43513" xr:uid="{7DA6C6CB-9D80-4054-BC37-1401D9A48E26}"/>
    <cellStyle name="Entrada 12" xfId="805" xr:uid="{2C17994B-BDD6-47D1-A392-F8DAEDA33ECB}"/>
    <cellStyle name="Entrada 2" xfId="1013" xr:uid="{376E3B77-0259-46C1-945F-44C12C2C6D7D}"/>
    <cellStyle name="Entrada 2 2" xfId="4465" xr:uid="{8BC621C0-4AF0-49F7-81A2-B56259D09611}"/>
    <cellStyle name="Entrada 2 3" xfId="4466" xr:uid="{1051106A-30C6-4CE5-8EC5-5C4FC77D5D54}"/>
    <cellStyle name="Entrada 2 4" xfId="4467" xr:uid="{DC53CBCA-0708-410D-8361-F37803399F98}"/>
    <cellStyle name="Entrada 3" xfId="1777" xr:uid="{F5B706BA-90D4-4585-90FA-966B9D902E37}"/>
    <cellStyle name="Entrada 3 2" xfId="4468" xr:uid="{2DCCA66A-A9A4-4B77-AF4B-5216FFAA4863}"/>
    <cellStyle name="Entrada 4" xfId="1778" xr:uid="{968C38EB-8C54-4045-8611-3EEE3BDB796F}"/>
    <cellStyle name="Entrada 4 2" xfId="4469" xr:uid="{63E362C2-2917-43E8-B45B-0CC8BB863510}"/>
    <cellStyle name="Entrada 5" xfId="4470" xr:uid="{5885C3D6-B2AA-4E91-B27A-4617B01D61E0}"/>
    <cellStyle name="Entrada 6" xfId="4471" xr:uid="{DE228529-818D-4B9C-9006-DE7102A64201}"/>
    <cellStyle name="Entrada 7" xfId="4472" xr:uid="{60330A50-D1B7-423D-A3CF-80E80A38988D}"/>
    <cellStyle name="Entrada 8" xfId="4473" xr:uid="{65AF81D6-DD22-4160-BC5F-AD7BC46CADAA}"/>
    <cellStyle name="Entrada 9" xfId="4474" xr:uid="{BD9B4494-76C7-490A-8A01-304865B6AABD}"/>
    <cellStyle name="Estilo 1" xfId="806" xr:uid="{F771A656-7BDE-4EA7-B1FD-89335C70610E}"/>
    <cellStyle name="Estilo 1 2" xfId="927" xr:uid="{F29CC87E-C802-479C-977D-3134865152E6}"/>
    <cellStyle name="Estilo 1 2 2" xfId="1779" xr:uid="{3B86C5C8-C7E6-4757-95D3-DF784B065CF5}"/>
    <cellStyle name="Estilo 1 2 2 2" xfId="4475" xr:uid="{A3C84788-9E01-4CA9-A1EC-A4C4FE1557B7}"/>
    <cellStyle name="Estilo 1 2 3" xfId="4476" xr:uid="{4680F0AB-E4AC-4C35-B38F-0AEE8CF271FC}"/>
    <cellStyle name="Estilo 1 3" xfId="1675" xr:uid="{114F0535-36C4-4B2A-BE24-D44C5EB2E770}"/>
    <cellStyle name="Estilo 1 3 2" xfId="4477" xr:uid="{E327320E-1603-41F7-B188-6FCDF088A63E}"/>
    <cellStyle name="Estilo 1 4" xfId="1676" xr:uid="{8693C52D-F1ED-4E12-A5F0-583678DFF376}"/>
    <cellStyle name="Estilo 1 4 2" xfId="4478" xr:uid="{983BAECC-EC2F-449E-9DAF-E41F2095D5FB}"/>
    <cellStyle name="Estilo 1 5" xfId="1677" xr:uid="{32E24DA5-1D6E-4949-AFE9-33F9D965DDD4}"/>
    <cellStyle name="Estilo 1 5 2" xfId="4479" xr:uid="{09812019-1405-42B9-A0A3-DD6213850301}"/>
    <cellStyle name="Estilo 1 6" xfId="4480" xr:uid="{BE370FE1-C06B-4CB3-ADA3-2DA1AD8148DE}"/>
    <cellStyle name="Estilo 1_2008.08.07 CELPA IRT2008 Homologado" xfId="4481" xr:uid="{6B09F06E-CF02-4385-AFE8-F920C7F35057}"/>
    <cellStyle name="Euro" xfId="807" xr:uid="{1F7E5BC8-4FE9-444E-8093-1F4B26218795}"/>
    <cellStyle name="Euro 2" xfId="4482" xr:uid="{34266950-B99E-46D5-9ACF-02425ECA5DDC}"/>
    <cellStyle name="Euro 2 2" xfId="4483" xr:uid="{1271BA98-6C43-4044-8712-166396D142BC}"/>
    <cellStyle name="Euro 3" xfId="4484" xr:uid="{41CB9035-9AD9-4464-B472-44D9E45F4CD3}"/>
    <cellStyle name="Euro 4" xfId="4485" xr:uid="{51B4DED1-B0D8-4ED2-BA49-7F727A7BB510}"/>
    <cellStyle name="Euro 4 2" xfId="4486" xr:uid="{311A666E-317A-4D11-837E-2DE923CCED7F}"/>
    <cellStyle name="Ex_MISTO" xfId="808" xr:uid="{8196B0B5-99BC-432C-82AB-6FF66CFD7681}"/>
    <cellStyle name="Excel_BuiltIn_Comma 1" xfId="4487" xr:uid="{E6B81603-65EB-4C67-8470-54617AB41DCA}"/>
    <cellStyle name="Explanatory Text" xfId="809" xr:uid="{2A116D99-EB9F-4C83-A758-6E3F7C361389}"/>
    <cellStyle name="Explanatory Text 2" xfId="4488" xr:uid="{EB8B124C-24BF-416D-B9E2-239961E24695}"/>
    <cellStyle name="EY House" xfId="4489" xr:uid="{6FD2EFCC-4E94-41AE-999A-613912A8B0D1}"/>
    <cellStyle name="EY House 2" xfId="4490" xr:uid="{349ACA30-24FE-4FB9-9F3B-E85DDCC85A38}"/>
    <cellStyle name="EY House 3" xfId="4491" xr:uid="{0556428F-E407-4276-BCBA-871EAD8C4562}"/>
    <cellStyle name="F2" xfId="4492" xr:uid="{D71C397C-0F8D-4762-884C-F8AFF76E2111}"/>
    <cellStyle name="F3" xfId="4493" xr:uid="{F5617EBF-8505-4684-BE51-69234408170F}"/>
    <cellStyle name="F4" xfId="4494" xr:uid="{10836B9C-B293-481F-8F32-5A82E49A0875}"/>
    <cellStyle name="F5" xfId="4495" xr:uid="{930543E2-E418-4722-905B-2C34597149F1}"/>
    <cellStyle name="F6" xfId="4496" xr:uid="{A35A6C57-0895-4E5E-90B7-F79A64AA3758}"/>
    <cellStyle name="F7" xfId="4497" xr:uid="{EE9DC90B-2E99-469E-8BB8-4E7ABB22711B}"/>
    <cellStyle name="F8" xfId="4498" xr:uid="{B7106438-5B2A-4B29-A7DA-B49290831860}"/>
    <cellStyle name="Feature" xfId="4499" xr:uid="{B98CA084-081E-4673-AB92-5EBA4E579202}"/>
    <cellStyle name="Feature 2" xfId="4500" xr:uid="{18F49C03-ABCB-42E5-8D9B-7020241873D5}"/>
    <cellStyle name="Feature 3" xfId="4501" xr:uid="{17C5D331-9CE0-40FB-AFD7-5A745A7B48B2}"/>
    <cellStyle name="FIELD" xfId="810" xr:uid="{6FA83424-5794-4B80-B027-3D152D9F1AC7}"/>
    <cellStyle name="FIELD 2" xfId="4502" xr:uid="{BD7DA1F0-35D4-487A-8725-2035C62B729C}"/>
    <cellStyle name="FIELD 3" xfId="4503" xr:uid="{39E37B69-42E8-4783-A520-266DB52E1D2B}"/>
    <cellStyle name="Fijo" xfId="4504" xr:uid="{728993F8-418A-4C6A-9BA9-79588F940B0F}"/>
    <cellStyle name="Financier0" xfId="4505" xr:uid="{10CE5908-143C-4610-A5D6-6F6A964D3657}"/>
    <cellStyle name="Financiero" xfId="4506" xr:uid="{FF32126F-8BC1-49B5-A5B6-6BA3409F286D}"/>
    <cellStyle name="Fixed" xfId="811" xr:uid="{F4BED08D-08E2-4DC1-9238-7588E49DCB62}"/>
    <cellStyle name="Fixed 2" xfId="1014" xr:uid="{23F3642F-3C5E-452D-9692-5BA43788937F}"/>
    <cellStyle name="Fixed 2 2" xfId="4507" xr:uid="{B032F7AB-FF41-41F2-8CC5-7024D1183442}"/>
    <cellStyle name="Fixed 3" xfId="1015" xr:uid="{5439CD84-0990-4992-943E-D647B5D92040}"/>
    <cellStyle name="Fixed 4" xfId="1016" xr:uid="{C1806337-D9E2-48E8-BF5C-F713B1B20DB1}"/>
    <cellStyle name="Fixed 4 2" xfId="4508" xr:uid="{66F01622-F1F0-4092-A0D4-BC69CEC6C477}"/>
    <cellStyle name="Fixed_IF - Autoprodutores 2" xfId="4509" xr:uid="{6B943880-7FE9-4069-9C91-AE2D5576881A}"/>
    <cellStyle name="Fixo" xfId="812" xr:uid="{147555F1-1F6C-4E59-923D-C8A44D814B36}"/>
    <cellStyle name="Fixo 2" xfId="4510" xr:uid="{4FD0353A-E4E3-4949-9B89-51830C8302F8}"/>
    <cellStyle name="Fixo 3" xfId="4511" xr:uid="{456FFEC4-6605-4CF3-915D-2410A22A7D03}"/>
    <cellStyle name="Followed Hyperlink" xfId="813" xr:uid="{2D0EC6E9-743E-416B-9CC8-8CB945AD995C}"/>
    <cellStyle name="Footnote" xfId="4512" xr:uid="{7CE00131-E92C-4C4C-A09C-8FB52067A066}"/>
    <cellStyle name="forms" xfId="4513" xr:uid="{EB63A6F8-5102-4FC2-985B-CB71A88AA734}"/>
    <cellStyle name="FORMULAS" xfId="4514" xr:uid="{0C39F7B1-E936-46DC-92BE-FEB0036A7AE0}"/>
    <cellStyle name="fundoamarelo" xfId="814" xr:uid="{BB4673C9-E5E6-43B4-B131-BF35651D8569}"/>
    <cellStyle name="fundoazul" xfId="815" xr:uid="{76F43E02-673B-4D00-A396-F2D7FBB01E39}"/>
    <cellStyle name="fundocinza" xfId="816" xr:uid="{82D2C486-A445-4DDA-923A-3280EA2369EE}"/>
    <cellStyle name="fundodeentrada" xfId="817" xr:uid="{0D17AF9B-21FA-41A0-B22A-0795F126B46C}"/>
    <cellStyle name="fundodeentrada 10" xfId="4515" xr:uid="{C2BEA010-8183-4A09-8134-1D84DB38C0EE}"/>
    <cellStyle name="fundodeentrada 10 2" xfId="43514" xr:uid="{495B83FA-F5E8-4BCF-8932-27628C657DD4}"/>
    <cellStyle name="fundodeentrada 11" xfId="43515" xr:uid="{AA28FA29-BB95-4144-A050-866EA8FCEECE}"/>
    <cellStyle name="fundodeentrada 11 2" xfId="43516" xr:uid="{390BF93C-49EC-4E6B-ACE0-110BE606985A}"/>
    <cellStyle name="fundodeentrada 12" xfId="43517" xr:uid="{9599768F-8D40-4081-B860-4E31A373464E}"/>
    <cellStyle name="fundodeentrada 12 2" xfId="43518" xr:uid="{32D6774F-E6E1-4551-846F-1411F8D93334}"/>
    <cellStyle name="fundodeentrada 13" xfId="43519" xr:uid="{08FF05C8-6D8A-433F-AC42-8F27C070D5CD}"/>
    <cellStyle name="fundodeentrada 13 2" xfId="43520" xr:uid="{79D8CC99-74EB-4038-9B69-6BE5EDCCF1E6}"/>
    <cellStyle name="fundodeentrada 14" xfId="43521" xr:uid="{32C47669-9647-44D0-8AAB-CED3A583EF8A}"/>
    <cellStyle name="fundodeentrada 14 2" xfId="43522" xr:uid="{85632C44-21B5-46D3-BE9F-76063C75E368}"/>
    <cellStyle name="fundodeentrada 15" xfId="43523" xr:uid="{6F37C7A2-06D8-49B8-AB2F-736490339CC5}"/>
    <cellStyle name="fundodeentrada 15 2" xfId="43524" xr:uid="{CBB50E28-B612-4A56-B28D-CA8E9FC469D3}"/>
    <cellStyle name="fundodeentrada 16" xfId="43525" xr:uid="{6CB2172B-E273-4CA9-A811-E86898FD3545}"/>
    <cellStyle name="fundodeentrada 16 2" xfId="43526" xr:uid="{95F88805-751C-436F-B99D-F517F6954306}"/>
    <cellStyle name="fundodeentrada 17" xfId="43527" xr:uid="{E734495A-3D34-45C1-B9AD-2456E88A4ED2}"/>
    <cellStyle name="fundodeentrada 17 2" xfId="43528" xr:uid="{011B8022-063C-4544-8B01-71D34CE59565}"/>
    <cellStyle name="fundodeentrada 18" xfId="43529" xr:uid="{8072D0D2-4381-476E-A1C3-5EBFCDBC796F}"/>
    <cellStyle name="fundodeentrada 18 2" xfId="43530" xr:uid="{4B47F5E3-E0FC-464D-9229-CD3C92D90AD0}"/>
    <cellStyle name="fundodeentrada 19" xfId="43531" xr:uid="{6F047B90-665E-409D-A998-F0ED7C64715E}"/>
    <cellStyle name="fundodeentrada 19 2" xfId="43532" xr:uid="{747B2BF9-CEED-4E9A-AED2-387EE2A1DC8C}"/>
    <cellStyle name="fundodeentrada 2" xfId="1017" xr:uid="{A852C47D-1631-4AB1-86EC-24248815BC0E}"/>
    <cellStyle name="fundodeentrada 2 2" xfId="4516" xr:uid="{706627B6-6FE0-41CE-BF4E-D3F46741E019}"/>
    <cellStyle name="fundodeentrada 2 3" xfId="4517" xr:uid="{9E2BBC91-E7B0-49D9-BCEB-46ABB1B0C204}"/>
    <cellStyle name="fundodeentrada 2 4" xfId="4518" xr:uid="{9D494223-4FE7-4129-ABCE-94451692F83A}"/>
    <cellStyle name="fundodeentrada 20" xfId="43533" xr:uid="{76BF4D4F-0A1E-4A32-B8BD-976F5212D266}"/>
    <cellStyle name="fundodeentrada 20 2" xfId="43534" xr:uid="{D20D2F23-EB52-4C82-86C4-E803DFA4EEE1}"/>
    <cellStyle name="fundodeentrada 21" xfId="43535" xr:uid="{3A6A32CB-0CE1-4FCB-B64C-7BABA2129438}"/>
    <cellStyle name="fundodeentrada 21 2" xfId="43536" xr:uid="{50CBD6A1-F9E0-4BEA-A8AC-5AE35856093A}"/>
    <cellStyle name="fundodeentrada 22" xfId="43537" xr:uid="{CF1A11F3-210C-442B-AF8E-1D879E3162D9}"/>
    <cellStyle name="fundodeentrada 22 2" xfId="43538" xr:uid="{C27B3DB9-B0D7-48A0-B560-7572F026E8F8}"/>
    <cellStyle name="fundodeentrada 23" xfId="43539" xr:uid="{FEFE7A98-2559-4A7A-B1D3-8C2A6A4AC2D0}"/>
    <cellStyle name="fundodeentrada 23 2" xfId="43540" xr:uid="{12ADEDE8-8D30-4437-9E64-B154332EC15C}"/>
    <cellStyle name="fundodeentrada 24" xfId="43541" xr:uid="{6C63A190-76BF-48A0-AFDA-A8762D379EB5}"/>
    <cellStyle name="fundodeentrada 24 2" xfId="43542" xr:uid="{E3059C63-EFAB-41BD-80D5-A6DA0E9BE215}"/>
    <cellStyle name="fundodeentrada 25" xfId="43543" xr:uid="{30AA1329-A1DF-4591-836E-146CA59C09F4}"/>
    <cellStyle name="fundodeentrada 25 2" xfId="43544" xr:uid="{098D34C8-71B5-4D52-B22D-B6352364D242}"/>
    <cellStyle name="fundodeentrada 26" xfId="43545" xr:uid="{500E4B6F-2466-4C7C-8444-7739125A34F1}"/>
    <cellStyle name="fundodeentrada 26 2" xfId="43546" xr:uid="{31E1FB0A-98A3-4FAA-A340-26103C48E1C1}"/>
    <cellStyle name="fundodeentrada 27" xfId="43547" xr:uid="{379947EF-6659-4B63-93E4-052BC212E9B5}"/>
    <cellStyle name="fundodeentrada 27 2" xfId="43548" xr:uid="{99C8E141-A03F-47AA-B9F0-C9BCFBDF7FC5}"/>
    <cellStyle name="fundodeentrada 28" xfId="43549" xr:uid="{4002ECEC-AF95-490D-8BAC-504E2DF410E4}"/>
    <cellStyle name="fundodeentrada 28 2" xfId="43550" xr:uid="{3BA3919A-BACD-4E88-B8AD-F7BB532FD953}"/>
    <cellStyle name="fundodeentrada 29" xfId="43551" xr:uid="{E5439FD7-59BE-463D-BF83-1F89036F2A97}"/>
    <cellStyle name="fundodeentrada 3" xfId="4519" xr:uid="{D8842EAE-F4F1-47BD-9BBC-8C57D451A4C6}"/>
    <cellStyle name="fundodeentrada 3 2" xfId="43552" xr:uid="{B215CD57-8EBA-4E1A-81A3-F81F3985391A}"/>
    <cellStyle name="fundodeentrada 4" xfId="4520" xr:uid="{6E4DCC27-81A3-4431-BB91-19728DC5C1BB}"/>
    <cellStyle name="fundodeentrada 4 2" xfId="43553" xr:uid="{26D78D6D-4877-4B7A-BB4A-2D2F1CA267C4}"/>
    <cellStyle name="fundodeentrada 5" xfId="4521" xr:uid="{C5AB89D5-5258-471A-B5F1-83E44941346A}"/>
    <cellStyle name="fundodeentrada 5 2" xfId="43554" xr:uid="{5D2EB2AA-5D1F-4A98-B09E-874641F4710C}"/>
    <cellStyle name="fundodeentrada 6" xfId="4522" xr:uid="{CB7B1830-8C44-4CFC-86B6-E6DF344DCFF9}"/>
    <cellStyle name="fundodeentrada 6 2" xfId="43555" xr:uid="{9D9BB99C-4E42-4FE9-BE36-E18AD785FB05}"/>
    <cellStyle name="fundodeentrada 7" xfId="4523" xr:uid="{99367DF9-E869-4F62-B0E6-D19E943A7B87}"/>
    <cellStyle name="fundodeentrada 7 2" xfId="43556" xr:uid="{6A71423F-C669-4545-A3AB-1081C98E9124}"/>
    <cellStyle name="fundodeentrada 8" xfId="4524" xr:uid="{FE1111C5-1917-4593-9D6F-DB5674546A81}"/>
    <cellStyle name="fundodeentrada 8 2" xfId="43557" xr:uid="{52C95A54-121C-4511-9893-9EC3C05B169D}"/>
    <cellStyle name="fundodeentrada 9" xfId="4525" xr:uid="{F9050CE9-805F-4DEE-A5CB-40D82E8C6771}"/>
    <cellStyle name="fundodeentrada 9 2" xfId="43558" xr:uid="{0657FAFD-F348-400E-92A6-8C6F9AC12D4E}"/>
    <cellStyle name="fundoentrada" xfId="818" xr:uid="{BDE52EC5-03CE-447C-BF2D-EAE57895F28B}"/>
    <cellStyle name="fundoentrada 2" xfId="4526" xr:uid="{B50ABF12-1A71-4EBC-8038-F732BFA7D701}"/>
    <cellStyle name="fundoentrada 3" xfId="4527" xr:uid="{F0BB8061-318A-40DE-B24D-0C7583352C68}"/>
    <cellStyle name="fundoentrada 3 2" xfId="4528" xr:uid="{8ECE3EF7-522A-49AA-8855-9F1046E327EC}"/>
    <cellStyle name="Geral" xfId="4529" xr:uid="{CEC2AA6B-AF17-4C37-A694-8398810BAA8C}"/>
    <cellStyle name="Geral 2" xfId="4530" xr:uid="{D0C2FFC9-01CB-466F-8D13-AEF5B51021D8}"/>
    <cellStyle name="Geral 3" xfId="4531" xr:uid="{59E8AAF8-69B7-4EA8-A8D9-548B1394486D}"/>
    <cellStyle name="Geral_IF - Autoprodutores" xfId="4532" xr:uid="{B43D0C26-4388-4353-B0CF-8F69294E7453}"/>
    <cellStyle name="Good" xfId="819" xr:uid="{E7CA07D8-E208-4BE3-B356-C93D139D0F18}"/>
    <cellStyle name="Good 2" xfId="4533" xr:uid="{7E2246A3-F7CA-43CE-9CB5-A59D21B6284B}"/>
    <cellStyle name="Grey" xfId="820" xr:uid="{6EA4E35E-84AF-47AE-BD42-C137D17E8C37}"/>
    <cellStyle name="Grey 2" xfId="1018" xr:uid="{FBA94721-BF7C-4B7F-91DE-7903F3781EAC}"/>
    <cellStyle name="Grey 3" xfId="1019" xr:uid="{D0BDE4DD-44B6-429C-AC40-46B8B778D8A8}"/>
    <cellStyle name="Grey 4" xfId="1020" xr:uid="{17C80453-1CCC-453E-A3F6-138BB68A7504}"/>
    <cellStyle name="Grey 5" xfId="1021" xr:uid="{262830F7-A484-4B1F-A722-E5DD761409FC}"/>
    <cellStyle name="Grey 6" xfId="4534" xr:uid="{946F05BB-FFFB-49F1-AD8D-CAC29699B311}"/>
    <cellStyle name="Grey 7" xfId="4535" xr:uid="{3C6CC768-5C89-49CD-A1EC-F2E268920F8F}"/>
    <cellStyle name="Grey 8" xfId="4536" xr:uid="{E1AA0100-BCE7-4118-9AD3-C5C3985C1276}"/>
    <cellStyle name="Grey 9" xfId="4537" xr:uid="{4D0A01D1-D232-4680-823B-863A0E30C436}"/>
    <cellStyle name="Grey_COELCE CVA SRE (4)" xfId="4538" xr:uid="{A4B2C902-422F-4545-857D-C3DAA634E2C0}"/>
    <cellStyle name="Hard Percent" xfId="4539" xr:uid="{7C90A1D6-4CFB-4F94-BDE3-05606054031A}"/>
    <cellStyle name="HEADER" xfId="821" xr:uid="{5D2E74C0-9EA0-447F-9B37-AE12DB2D68AA}"/>
    <cellStyle name="Header1" xfId="822" xr:uid="{C4947B18-FBBF-4367-B460-0207BF1C7F76}"/>
    <cellStyle name="Header1 2" xfId="4540" xr:uid="{6BC428C5-DC3B-47E2-9C7A-F415BE521003}"/>
    <cellStyle name="Header1 3" xfId="4541" xr:uid="{4394F551-6965-4E05-82D6-FC5F727979C3}"/>
    <cellStyle name="Header1 4" xfId="4542" xr:uid="{D7F27E2C-C48F-4DF3-879B-D4423ABAA1D4}"/>
    <cellStyle name="Header1 5" xfId="4543" xr:uid="{5FF90092-1407-4946-89E8-196745393510}"/>
    <cellStyle name="Header1 6" xfId="4544" xr:uid="{FE6FE107-F573-498C-A598-7DA1927BB56B}"/>
    <cellStyle name="Header2" xfId="823" xr:uid="{47151A41-A635-45F4-93E7-7FC9F25CB9D9}"/>
    <cellStyle name="Header2 2" xfId="4545" xr:uid="{D6483C81-B24F-4B98-A425-402961D5C2A6}"/>
    <cellStyle name="Header2 3" xfId="4546" xr:uid="{0ED7B2E3-AF65-4962-AC7B-4864D0CCE9D9}"/>
    <cellStyle name="Header2 4" xfId="4547" xr:uid="{2A11DF90-F7B6-464E-B394-AC90B38FB6D3}"/>
    <cellStyle name="Heading 1" xfId="824" xr:uid="{0F7CA829-0E63-41F9-8610-D83C2C779F1B}"/>
    <cellStyle name="Heading 1 2" xfId="1022" xr:uid="{B6C7F2EC-1784-42E0-8A4A-9C84930066C6}"/>
    <cellStyle name="Heading 1 3" xfId="4548" xr:uid="{920A54DD-0A14-44A6-8C5D-16A3012B0D3F}"/>
    <cellStyle name="Heading 1_SOBRECONTRATAÇÃO E CVA" xfId="4549" xr:uid="{77071C57-9B51-459D-B8DD-ADF8D9B59705}"/>
    <cellStyle name="Heading 2" xfId="825" xr:uid="{3FC66F8C-4403-42FF-8B62-B83A57C314C8}"/>
    <cellStyle name="Heading 2 2" xfId="1023" xr:uid="{EA7BE79E-3175-4542-91C1-8110B86F0CFD}"/>
    <cellStyle name="Heading 2 3" xfId="4550" xr:uid="{942BBFCF-F6BC-4CC7-AC15-A68CF57C52F8}"/>
    <cellStyle name="Heading 2_SOBRECONTRATAÇÃO E CVA" xfId="4551" xr:uid="{9BD5D98B-8CFF-431A-A5F5-F9C43CD2424E}"/>
    <cellStyle name="Heading 3" xfId="826" xr:uid="{FAEE70C5-2654-4498-81A4-16DE12DDA6DC}"/>
    <cellStyle name="Heading 3 2" xfId="4552" xr:uid="{35162CF8-F1FD-46FE-AF02-18F5D2EFD0BE}"/>
    <cellStyle name="Heading 4" xfId="827" xr:uid="{E7E9A298-F2B3-4B4A-90D2-968305080B06}"/>
    <cellStyle name="Heading 4 2" xfId="4553" xr:uid="{4DDFBFA6-090C-4E37-AC07-A44539FBEB21}"/>
    <cellStyle name="Heading1" xfId="828" xr:uid="{1F8CCFEB-0310-4985-A2CF-F52F3D847EB4}"/>
    <cellStyle name="Heading1 2" xfId="1024" xr:uid="{C6195936-5786-46E5-BE2F-5E35A22AA8CC}"/>
    <cellStyle name="Heading1 2 2" xfId="4554" xr:uid="{AED9B1B4-0177-4FBA-BFB5-02F0F308661B}"/>
    <cellStyle name="Heading1 3" xfId="1025" xr:uid="{264E9683-CA47-4DAB-93C2-65E1607F3D8F}"/>
    <cellStyle name="Heading1 4" xfId="1026" xr:uid="{E456DC59-0C20-4F1B-ACF0-02343DD5CB45}"/>
    <cellStyle name="Heading1 4 2" xfId="4555" xr:uid="{E894B5D5-B083-4670-B791-8654098B0AF3}"/>
    <cellStyle name="Heading1 5" xfId="1027" xr:uid="{DFF8830F-9506-4995-A590-8E912D8B3FBB}"/>
    <cellStyle name="Heading1_IF - Autoprodutores 2" xfId="4556" xr:uid="{8E85B0FA-A0EF-49CF-BC55-D82FBB5EE84D}"/>
    <cellStyle name="Heading2" xfId="829" xr:uid="{ECE8B855-2AC9-402B-A212-F8AFDAE943A3}"/>
    <cellStyle name="Heading2 2" xfId="1028" xr:uid="{969A93FC-340E-429E-81DF-0714DEACF172}"/>
    <cellStyle name="Heading2 2 2" xfId="4557" xr:uid="{8EE86D30-6231-4513-BC47-D0553C97F851}"/>
    <cellStyle name="Heading2 3" xfId="1029" xr:uid="{49F031EA-D53C-4CA2-A0A1-D2EE6ACDBB31}"/>
    <cellStyle name="Heading2 4" xfId="1030" xr:uid="{1D55386F-8D3E-4D2A-B7FC-4AC135E42D0E}"/>
    <cellStyle name="Heading2 4 2" xfId="4558" xr:uid="{A6EA5F4D-890A-4F1F-B023-DC0CE4B67E76}"/>
    <cellStyle name="Heading2 5" xfId="1031" xr:uid="{F6E94C74-3C99-44F7-9491-CE3620A5EF05}"/>
    <cellStyle name="Heading2_IF - Autoprodutores 2" xfId="4559" xr:uid="{3DBDC304-081A-4899-8E50-EC93E7B7DD43}"/>
    <cellStyle name="Hidden" xfId="4560" xr:uid="{3BD0403B-6BDA-4E92-AD25-E0243C5BCA5D}"/>
    <cellStyle name="HIGHLIGHT" xfId="830" xr:uid="{D510566D-2C6E-46D3-8267-D6D99527CE8E}"/>
    <cellStyle name="HIGHLIGHT 2" xfId="4561" xr:uid="{B3FCC013-2677-4581-9D24-106974CA0F19}"/>
    <cellStyle name="HIGHLIGHT_COELCE CVA SRE (4)" xfId="4562" xr:uid="{B972DC4F-82C5-4F83-A0E0-FF6C077E8FDC}"/>
    <cellStyle name="Hiperlink 2" xfId="2" xr:uid="{00000000-0005-0000-0000-000001000000}"/>
    <cellStyle name="Hiperlink 3" xfId="831" xr:uid="{BD70ECEA-63A0-4E08-AEEA-2DD743DF3CB2}"/>
    <cellStyle name="Hipervínculo visitado_ESSAL" xfId="1678" xr:uid="{DFC9D13B-65CC-4675-83BB-DBBA71F878E8}"/>
    <cellStyle name="Hipervínculo_ESSAL" xfId="1679" xr:uid="{E53676D8-3C44-4C5C-B651-5156F55642E1}"/>
    <cellStyle name="Hyperlink 2" xfId="4563" xr:uid="{E3F8296D-68FD-454E-9F31-A30AC9656D9D}"/>
    <cellStyle name="Hyperlink 2 2" xfId="43559" xr:uid="{88918999-0F42-4D1E-97A8-87EA7E63C38A}"/>
    <cellStyle name="Hyperlink 3" xfId="4564" xr:uid="{2AE6E13F-5341-4213-A182-3C93BD2661D9}"/>
    <cellStyle name="Hyperlink 4" xfId="4565" xr:uid="{54CAF1EC-56DF-4BB0-82FC-E6CA0452CA05}"/>
    <cellStyle name="Hyperlink 5" xfId="43560" xr:uid="{D128733B-20B2-48BC-9147-769E5BC8E96E}"/>
    <cellStyle name="Hyperlink_casulo 5" xfId="832" xr:uid="{815BB489-3DEF-43BB-9415-E672C6849E13}"/>
    <cellStyle name="Incorrecto" xfId="1032" xr:uid="{84E06FFB-1D7B-4DBA-B4A0-6CE4B00C5479}"/>
    <cellStyle name="Incorreto" xfId="833" xr:uid="{559F52B5-80A6-42DF-8A98-7CC46C6379DC}"/>
    <cellStyle name="Incorreto 2" xfId="1033" xr:uid="{287F7007-13F6-45E6-9C0A-701924A1F208}"/>
    <cellStyle name="Incorreto 2 2" xfId="4566" xr:uid="{B3CB75F9-3907-4C50-8FD1-40ADA22F38EE}"/>
    <cellStyle name="Incorreto 3" xfId="1780" xr:uid="{A22CEEAC-E551-47B3-8324-DB3087712EA5}"/>
    <cellStyle name="Incorreto 4" xfId="4567" xr:uid="{7B5E7754-1C12-4A74-8959-ED5EB3226304}"/>
    <cellStyle name="Incorreto 5" xfId="43561" xr:uid="{BBD9BA90-F214-4901-9CF4-082E9F1BC7F7}"/>
    <cellStyle name="Incorreto 6" xfId="43562" xr:uid="{E83FEFBE-ACD1-4617-A672-B7E1605F0170}"/>
    <cellStyle name="Incorreto 7" xfId="43563" xr:uid="{4817740C-3942-4274-9D0A-7E94ACF9C919}"/>
    <cellStyle name="Incorreto 8" xfId="43564" xr:uid="{739D2689-B67B-4589-B061-6F6725C3BDC2}"/>
    <cellStyle name="Indefinido" xfId="834" xr:uid="{7307A06D-1824-44DD-A723-6C03D5A71C00}"/>
    <cellStyle name="Indefinido 2" xfId="4568" xr:uid="{6FE9B935-D1FF-4424-AABE-270689A2B59E}"/>
    <cellStyle name="Info Cell" xfId="4569" xr:uid="{949BCD7C-54C4-4E5C-B275-61A9FBBB9D48}"/>
    <cellStyle name="Information" xfId="4570" xr:uid="{7CB37FB1-D224-420D-8D15-55642AF5C3B4}"/>
    <cellStyle name="Input" xfId="835" xr:uid="{D2A00A03-6BD7-4028-ADA7-0B0C9BD46721}"/>
    <cellStyle name="Input %" xfId="836" xr:uid="{1DFAE75C-C0E7-4F46-83BF-6A267DB3B05C}"/>
    <cellStyle name="Input % 2" xfId="4571" xr:uid="{D6C6CAAF-6AAA-4E3E-A25B-A9DE1E21CA8D}"/>
    <cellStyle name="Input % 3" xfId="4572" xr:uid="{EA9A686D-EACC-433E-9792-7B11A29BA0AC}"/>
    <cellStyle name="Input % 4" xfId="4573" xr:uid="{D8C01471-5097-4E45-A0CC-B576FFB3AEA5}"/>
    <cellStyle name="Input (%)" xfId="4574" xr:uid="{FC3BB28E-D269-4845-BCC5-B9B45595D51B}"/>
    <cellStyle name="Input (%) 2" xfId="4575" xr:uid="{AE69FC64-0BD8-4C58-B42E-6C76CBB7E193}"/>
    <cellStyle name="Input (%) 3" xfId="4576" xr:uid="{FB2C4301-DB00-4003-A47B-A7EB7E070424}"/>
    <cellStyle name="Input (£m)" xfId="4577" xr:uid="{066FC86E-0CB7-42F5-9BDC-856E477BBF15}"/>
    <cellStyle name="Input (£m) 2" xfId="4578" xr:uid="{C3D193C3-F048-43E5-BA45-1CD96F1E5EE1}"/>
    <cellStyle name="Input (£m) 3" xfId="4579" xr:uid="{4CB9C0FB-96C8-4629-B180-532EA219E11E}"/>
    <cellStyle name="Input (No)" xfId="4580" xr:uid="{57C02E0D-2839-4CB6-9902-6D7A760CEE07}"/>
    <cellStyle name="Input (No) 2" xfId="4581" xr:uid="{F79615F3-4BEF-4943-8BB8-38857AB46905}"/>
    <cellStyle name="Input (No) 3" xfId="4582" xr:uid="{40CC9EFB-7960-45F5-B712-DDA2523B5590}"/>
    <cellStyle name="Input [yellow]" xfId="837" xr:uid="{603451C2-DFAE-42B4-9A1C-139BA93B311E}"/>
    <cellStyle name="Input [yellow] 2" xfId="1034" xr:uid="{732AE45F-F774-43E5-86C5-1A0684C65F02}"/>
    <cellStyle name="Input [yellow] 2 2" xfId="4583" xr:uid="{B9396BF0-CBD1-42C3-8EF4-16E38325A93A}"/>
    <cellStyle name="Input [yellow] 2 3" xfId="4584" xr:uid="{6B9D9732-CBC8-4370-9EB6-61D66C5D91E5}"/>
    <cellStyle name="Input [yellow] 2 4" xfId="4585" xr:uid="{72353AE8-52AB-41D8-90B0-5B96C602EC1B}"/>
    <cellStyle name="Input [yellow] 3" xfId="1035" xr:uid="{1A0D6CF2-185E-43E9-984D-45D752DCBECC}"/>
    <cellStyle name="Input [yellow] 4" xfId="1036" xr:uid="{C9A722F4-3236-44AF-A84D-8296FB02388D}"/>
    <cellStyle name="Input [yellow] 5" xfId="1037" xr:uid="{26CA0977-05FA-4509-853B-EE2D002ADC61}"/>
    <cellStyle name="Input [yellow] 6" xfId="4586" xr:uid="{92D7794B-6619-4D65-9466-9D457D7ADC77}"/>
    <cellStyle name="Input [yellow] 7" xfId="4587" xr:uid="{CDA8DE65-7023-41EA-9623-61FE510ABEF7}"/>
    <cellStyle name="Input [yellow] 8" xfId="4588" xr:uid="{557705F6-B7F5-4514-970A-11DF288E3781}"/>
    <cellStyle name="Input [yellow] 9" xfId="4589" xr:uid="{707E5002-DB95-4828-99A1-A4BE1903DDD6}"/>
    <cellStyle name="Input [yellow]_COELCE CVA SRE (4)" xfId="4590" xr:uid="{136B151C-0A41-4CD5-8B09-5A28FC3DF425}"/>
    <cellStyle name="Input 1" xfId="838" xr:uid="{38E609E6-6186-461C-96D7-BAED811F66FA}"/>
    <cellStyle name="Input 1 2" xfId="4591" xr:uid="{0F0FC548-E00D-44A8-87F0-85B14C413CCF}"/>
    <cellStyle name="Input 1 3" xfId="4592" xr:uid="{A1C6F6E3-4510-45CF-AFA3-44415CB8E86A}"/>
    <cellStyle name="Input 1 3 2" xfId="4593" xr:uid="{BF5224D9-4D81-4244-A39A-698B600D6E80}"/>
    <cellStyle name="Input 1_IF - Autoprodutores 2" xfId="4594" xr:uid="{8D8599D3-D5C6-46EE-94AF-57DB6966E7FC}"/>
    <cellStyle name="Input 10" xfId="1038" xr:uid="{D3F569D3-7643-40AD-87DA-78D28E3DB50B}"/>
    <cellStyle name="Input 11" xfId="1039" xr:uid="{A1D94FA2-65C0-41E3-8E6C-ED0973411719}"/>
    <cellStyle name="Input 12" xfId="1040" xr:uid="{55093D95-0EC6-431B-ACAE-D06C04E688FB}"/>
    <cellStyle name="Input 13" xfId="1041" xr:uid="{8380D1AE-B629-4BD5-B734-ED7738A8AB97}"/>
    <cellStyle name="Input 2" xfId="1042" xr:uid="{641E1A12-6452-4CA5-AE45-E635F52911DF}"/>
    <cellStyle name="Input 3" xfId="839" xr:uid="{4BA28E3A-B80E-4EFD-A02F-143D7C615871}"/>
    <cellStyle name="Input 3 2" xfId="4595" xr:uid="{BC6A103C-B802-4D7B-A6AA-59DCB9E90A44}"/>
    <cellStyle name="Input 4" xfId="1043" xr:uid="{DADB32B1-28CD-4BE3-994A-6383C26B260C}"/>
    <cellStyle name="Input 5" xfId="1044" xr:uid="{FED588EF-E069-4DFD-940F-0D84C0489706}"/>
    <cellStyle name="Input 6" xfId="1045" xr:uid="{1A287F4E-A5D3-47D1-B467-3AB08F848A42}"/>
    <cellStyle name="Input 7" xfId="1046" xr:uid="{4EA46BCD-D6F8-4630-BD4A-615505F6F467}"/>
    <cellStyle name="Input 8" xfId="1047" xr:uid="{86DB79A0-0379-4475-A9D2-4BCCC15D4B19}"/>
    <cellStyle name="Input 9" xfId="1048" xr:uid="{C7182BC8-CBFA-480B-BC6D-4CF6534B1AEE}"/>
    <cellStyle name="input override" xfId="4596" xr:uid="{4A116877-AA0E-4CDE-A9FA-0AA6FC73795F}"/>
    <cellStyle name="Input_Análise CO" xfId="42555" xr:uid="{82256A5C-A414-4205-B85F-B32979A793BE}"/>
    <cellStyle name="Kristopher's model" xfId="4597" xr:uid="{CE0762D5-34A8-4EE9-AF80-61F9DE2D8A6A}"/>
    <cellStyle name="Lien hypertexte" xfId="4598" xr:uid="{F6B247A7-6057-475A-B62B-A23A0A5EEBA8}"/>
    <cellStyle name="Link Currency (0)" xfId="840" xr:uid="{54DE916D-40FD-45EA-88FD-607CAF11EDE4}"/>
    <cellStyle name="Link Currency (0) 2" xfId="1049" xr:uid="{23831285-9C68-446C-B669-257BB6D89820}"/>
    <cellStyle name="Link Currency (0) 3" xfId="4599" xr:uid="{77B2906A-538E-409C-B52C-F0317AC30D16}"/>
    <cellStyle name="Link Currency (0)_IRT_Planilha Básica_ v2010_CERRP" xfId="1781" xr:uid="{D3E992E7-DB9D-4879-B09C-AB69070C8CED}"/>
    <cellStyle name="Link Currency (2)" xfId="841" xr:uid="{AD7D8AF9-21B4-47B8-8B1C-CAE91ED129EA}"/>
    <cellStyle name="Link Units (0)" xfId="842" xr:uid="{A5FE67C5-B161-462E-B5C2-861EEB8B62C0}"/>
    <cellStyle name="Link Units (0) 2" xfId="1050" xr:uid="{E05D8FEB-BAC7-4D63-99BB-3E793C4924A6}"/>
    <cellStyle name="Link Units (0) 3" xfId="4600" xr:uid="{C1C1AA6A-FBD9-4599-A448-C0B3C8A19339}"/>
    <cellStyle name="Link Units (0)_IRT_Planilha Básica_ v2010_CERRP" xfId="1782" xr:uid="{9B48317A-85B9-4A81-803A-D0FC23321B59}"/>
    <cellStyle name="Link Units (1)" xfId="843" xr:uid="{7F607CC6-A09C-439D-9693-7B38278137C3}"/>
    <cellStyle name="Link Units (1) 2" xfId="1051" xr:uid="{C57EE54C-A273-43DC-95AC-C0F5C84669C8}"/>
    <cellStyle name="Link Units (1) 3" xfId="4601" xr:uid="{5E6388FD-E84A-4D77-B972-3B4DD940F16D}"/>
    <cellStyle name="Link Units (1)_IRT_Planilha Básica_ v2010_CERRP" xfId="1783" xr:uid="{178DC790-5ADE-42EE-BBB4-FD7D1674EF69}"/>
    <cellStyle name="Link Units (2)" xfId="844" xr:uid="{01DB1B92-0D65-47F1-BF52-B93D297D105C}"/>
    <cellStyle name="Linked Cell" xfId="845" xr:uid="{FFBEFAE5-6A8F-4ED0-919A-BD6FB2733409}"/>
    <cellStyle name="Linked Cell 2" xfId="4602" xr:uid="{824BDF34-474A-48BA-80E6-82C9E586F2FD}"/>
    <cellStyle name="MacroCode" xfId="4603" xr:uid="{9C488B3C-88CA-43BC-ACEB-D4FC49F7AAAE}"/>
    <cellStyle name="měny_Business Plan MCE" xfId="4604" xr:uid="{337386F4-31FB-40DF-93A2-589DB7578D60}"/>
    <cellStyle name="Migliaia (0)_00_REV" xfId="4605" xr:uid="{30E0FB0D-2195-403F-AAEC-C6498F2106A4}"/>
    <cellStyle name="Migliaia_1320 NX" xfId="4606" xr:uid="{014AA755-0BF8-44B7-AA91-C2AEDB07AF71}"/>
    <cellStyle name="Mike" xfId="4607" xr:uid="{C916CC74-D3A3-4AF2-B35E-5B543CB5084D}"/>
    <cellStyle name="Millares [0]_10 AVERIAS MASIVAS + ANT" xfId="4608" xr:uid="{C1CCC242-CB2E-4B0C-BCE5-ED502ACE9647}"/>
    <cellStyle name="Millares 2" xfId="1052" xr:uid="{B9CC10CA-7DD9-4D9C-89F0-23A779452773}"/>
    <cellStyle name="Millares 2 10" xfId="4609" xr:uid="{D878213A-B652-4031-B711-268277D22F83}"/>
    <cellStyle name="Millares 2 11" xfId="4610" xr:uid="{6EB88DB3-49B1-4EE0-8CD3-95798282603E}"/>
    <cellStyle name="Millares 2 12" xfId="4611" xr:uid="{B760DBF9-F9FF-4489-AA7B-7D54E85AD56E}"/>
    <cellStyle name="Millares 2 13" xfId="4612" xr:uid="{9290CDA3-D48E-455D-B177-0368F39799F1}"/>
    <cellStyle name="Millares 2 14" xfId="4613" xr:uid="{CD658D41-FD95-4E97-A418-22A1D675FE57}"/>
    <cellStyle name="Millares 2 15" xfId="4614" xr:uid="{EA515E57-0400-434F-8C5B-FF14861D99BA}"/>
    <cellStyle name="Millares 2 16" xfId="4615" xr:uid="{AA7B22C9-8305-413C-86C1-BBEBD69A3077}"/>
    <cellStyle name="Millares 2 17" xfId="4616" xr:uid="{21661C1C-8EE2-4E98-A527-8D333BBED34E}"/>
    <cellStyle name="Millares 2 18" xfId="4617" xr:uid="{63CA458B-AC33-4D0B-9014-3C6204C49875}"/>
    <cellStyle name="Millares 2 19" xfId="4618" xr:uid="{9EDF1511-6903-43F4-8AEC-0A96F2967FC4}"/>
    <cellStyle name="Millares 2 2" xfId="4619" xr:uid="{7EE08503-D3DB-41EA-9166-8468D0A32B9D}"/>
    <cellStyle name="Millares 2 20" xfId="4620" xr:uid="{56EAE1FC-E5A2-49A5-ADF1-D802A571562F}"/>
    <cellStyle name="Millares 2 21" xfId="4621" xr:uid="{5B564D0B-205B-44FA-9762-BCC05D9B9A62}"/>
    <cellStyle name="Millares 2 22" xfId="4622" xr:uid="{DE7941C3-AC46-4D48-8918-56CDDE6D7F11}"/>
    <cellStyle name="Millares 2 23" xfId="4623" xr:uid="{5A9D763E-D5DA-4A1A-98AE-4B07900DB18E}"/>
    <cellStyle name="Millares 2 24" xfId="4624" xr:uid="{3957A02B-8689-4F42-92B0-3F2B96135625}"/>
    <cellStyle name="Millares 2 25" xfId="4625" xr:uid="{97E3F47A-FC34-45ED-8C76-8A2695B533DF}"/>
    <cellStyle name="Millares 2 3" xfId="4626" xr:uid="{7F1390B9-A742-4DF9-874A-47BE4706E745}"/>
    <cellStyle name="Millares 2 4" xfId="4627" xr:uid="{F80DC1AE-B01C-42EB-93B8-27999C522896}"/>
    <cellStyle name="Millares 2 5" xfId="4628" xr:uid="{9F17CF72-7709-4C38-8482-818162A67067}"/>
    <cellStyle name="Millares 2 6" xfId="4629" xr:uid="{AE674F41-8931-44A0-B8A7-515C17960BF1}"/>
    <cellStyle name="Millares 2 7" xfId="4630" xr:uid="{9A94DD9F-2A39-499E-A6CA-75B7F1DCBD07}"/>
    <cellStyle name="Millares 2 8" xfId="4631" xr:uid="{B005836D-7E71-41C4-B1A0-4FC657E2DCA9}"/>
    <cellStyle name="Millares 2 9" xfId="4632" xr:uid="{EA14561D-E3BF-42BC-B2ED-2718E132B956}"/>
    <cellStyle name="Millares 3" xfId="1053" xr:uid="{6C5CD623-1DA8-4273-AFFF-4915EA1C0431}"/>
    <cellStyle name="Millares 3 10" xfId="4633" xr:uid="{889BEA16-3CE6-4005-BD4A-26A4B5CB3102}"/>
    <cellStyle name="Millares 3 11" xfId="4634" xr:uid="{4CFB550C-3862-49C1-A6CB-C54A0831A970}"/>
    <cellStyle name="Millares 3 12" xfId="4635" xr:uid="{86DA1BC3-A4A8-40B2-A92D-582653F8A345}"/>
    <cellStyle name="Millares 3 13" xfId="4636" xr:uid="{70187203-1AAF-47AB-B8F3-827F8DC8A8F4}"/>
    <cellStyle name="Millares 3 14" xfId="4637" xr:uid="{AB00A1EE-F1E3-4B9A-BAEF-544DE51B59BD}"/>
    <cellStyle name="Millares 3 15" xfId="4638" xr:uid="{6351A372-4E49-4DC5-B88A-F41BDEAD88B7}"/>
    <cellStyle name="Millares 3 16" xfId="4639" xr:uid="{CF8FB80F-B2F3-49E4-9D7A-0D34FB1B4238}"/>
    <cellStyle name="Millares 3 17" xfId="4640" xr:uid="{D214961B-BFEC-4887-AC46-D429F3FF08DA}"/>
    <cellStyle name="Millares 3 18" xfId="4641" xr:uid="{ABF98FCF-191D-467E-9A70-3C9BCF115E97}"/>
    <cellStyle name="Millares 3 19" xfId="4642" xr:uid="{C84D8C53-0EF1-4485-8392-61707A1C77D3}"/>
    <cellStyle name="Millares 3 2" xfId="4643" xr:uid="{AC539DB9-E8BB-43D9-9351-1B75B6B5D92B}"/>
    <cellStyle name="Millares 3 20" xfId="4644" xr:uid="{572CCCDD-407E-4D50-B628-EB12BD1973D5}"/>
    <cellStyle name="Millares 3 21" xfId="4645" xr:uid="{12B784F3-2980-4893-B5D9-66B9C5616EBF}"/>
    <cellStyle name="Millares 3 22" xfId="4646" xr:uid="{24BCC9FB-AA2C-4B49-B4CE-8A70AB9E9EC5}"/>
    <cellStyle name="Millares 3 23" xfId="4647" xr:uid="{4365A83D-24C4-4FFF-9BA2-C952A69F348C}"/>
    <cellStyle name="Millares 3 24" xfId="4648" xr:uid="{502A9FEC-73FB-414A-8175-7B004CE0B00C}"/>
    <cellStyle name="Millares 3 25" xfId="4649" xr:uid="{190F5646-F6BA-42BF-BDD0-E807870B6C9A}"/>
    <cellStyle name="Millares 3 3" xfId="4650" xr:uid="{9DD91933-06B9-474F-81E7-86EA2A79868B}"/>
    <cellStyle name="Millares 3 4" xfId="4651" xr:uid="{473E97EB-DDF0-4E46-BCCB-5D89FE75A248}"/>
    <cellStyle name="Millares 3 5" xfId="4652" xr:uid="{DF524191-2473-4970-855A-8D846D83844D}"/>
    <cellStyle name="Millares 3 6" xfId="4653" xr:uid="{315DFEFB-A4E8-4BFC-A9BB-4BD068925409}"/>
    <cellStyle name="Millares 3 7" xfId="4654" xr:uid="{FBCE44F5-F06C-400F-A8CF-754DC9A1EC4C}"/>
    <cellStyle name="Millares 3 8" xfId="4655" xr:uid="{2918DFCF-582C-4FB6-9E8C-7D40D425927A}"/>
    <cellStyle name="Millares 3 9" xfId="4656" xr:uid="{FCF31D7F-9F54-4851-B78B-F0A9417EEE12}"/>
    <cellStyle name="Millares 4" xfId="1054" xr:uid="{C8C76544-CDAE-4996-B08A-B09040A9CFF1}"/>
    <cellStyle name="Millares 4 10" xfId="4657" xr:uid="{0CF461B4-ADE5-47E1-A1B6-040B6EE2AFA8}"/>
    <cellStyle name="Millares 4 11" xfId="4658" xr:uid="{A59DAFCC-276B-47E2-B15A-59A5D4E6B008}"/>
    <cellStyle name="Millares 4 12" xfId="4659" xr:uid="{A9704465-84A5-4AC1-A8CA-984A3BE74796}"/>
    <cellStyle name="Millares 4 13" xfId="4660" xr:uid="{6A6686E9-0989-4CE0-8F61-75CE1E3644E6}"/>
    <cellStyle name="Millares 4 14" xfId="4661" xr:uid="{93B2A15E-97B4-472A-AAD4-E63D409FAFC8}"/>
    <cellStyle name="Millares 4 15" xfId="4662" xr:uid="{E6CF3983-B704-426B-A9D2-E63BAD1AEAF1}"/>
    <cellStyle name="Millares 4 16" xfId="4663" xr:uid="{8D5D2347-90A5-419F-86EE-46D572D8AFD2}"/>
    <cellStyle name="Millares 4 17" xfId="4664" xr:uid="{2B56A95E-A9C0-4CEE-8CD1-25A89AFB7D92}"/>
    <cellStyle name="Millares 4 18" xfId="4665" xr:uid="{F1CCA183-EACC-4E13-9F12-DB05928876C1}"/>
    <cellStyle name="Millares 4 19" xfId="4666" xr:uid="{49328CB1-20BB-4933-9F01-E4FF39E1EA84}"/>
    <cellStyle name="Millares 4 2" xfId="4667" xr:uid="{298B8DBA-E54A-4BA5-9D16-B11F100B8C53}"/>
    <cellStyle name="Millares 4 20" xfId="4668" xr:uid="{E6ABE98F-546C-41A7-B917-0477003E1F48}"/>
    <cellStyle name="Millares 4 21" xfId="4669" xr:uid="{4698156F-D950-4BFD-9D02-F3EF6C1AFA8E}"/>
    <cellStyle name="Millares 4 22" xfId="4670" xr:uid="{D892D46F-CFC1-4559-ABBE-AD7D8FF5D95C}"/>
    <cellStyle name="Millares 4 23" xfId="4671" xr:uid="{692ADDF8-AFF6-41D8-B3CD-7BD87A20BD48}"/>
    <cellStyle name="Millares 4 24" xfId="4672" xr:uid="{2FFA4277-D209-46C0-88D7-194C02398C34}"/>
    <cellStyle name="Millares 4 25" xfId="4673" xr:uid="{43CC6F9A-CF33-47EC-87F1-E2E0EBB14348}"/>
    <cellStyle name="Millares 4 3" xfId="4674" xr:uid="{34F6776E-3967-4D11-AFBB-9D58C195AA5F}"/>
    <cellStyle name="Millares 4 4" xfId="4675" xr:uid="{3B5A1C9E-025E-4203-A70A-C760125C6B0D}"/>
    <cellStyle name="Millares 4 5" xfId="4676" xr:uid="{D3664BF6-EBFF-4454-915A-CD31427FC448}"/>
    <cellStyle name="Millares 4 6" xfId="4677" xr:uid="{46F2948E-A482-4673-B167-5A3CDE15EF38}"/>
    <cellStyle name="Millares 4 7" xfId="4678" xr:uid="{08886BFC-5803-448F-B029-23E7C070BF7B}"/>
    <cellStyle name="Millares 4 8" xfId="4679" xr:uid="{B2A9F77A-9939-4346-8600-7DC6DE4459A3}"/>
    <cellStyle name="Millares 4 9" xfId="4680" xr:uid="{6CDBD41A-D617-4ADF-B4BE-0EE7B08EAE1B}"/>
    <cellStyle name="Millares 5" xfId="1055" xr:uid="{3AE875E9-FAFF-4AFF-A63D-E2A104197B2B}"/>
    <cellStyle name="Millares 5 10" xfId="4681" xr:uid="{0F7B9CE9-0FE7-4095-A7F4-48D916E55E50}"/>
    <cellStyle name="Millares 5 11" xfId="4682" xr:uid="{0B128A5B-C4A1-4B77-AF33-65100870CE95}"/>
    <cellStyle name="Millares 5 12" xfId="4683" xr:uid="{673B5BC1-1FEA-4010-BE63-0A4F7EA090C1}"/>
    <cellStyle name="Millares 5 13" xfId="4684" xr:uid="{0BC10393-34F2-47F8-813A-509A6C7CB98E}"/>
    <cellStyle name="Millares 5 14" xfId="4685" xr:uid="{BD521D76-2A79-4293-8E7C-566D60A8DDC8}"/>
    <cellStyle name="Millares 5 15" xfId="4686" xr:uid="{D6DEB697-D77E-4EBA-8DD5-A110F80F55FD}"/>
    <cellStyle name="Millares 5 16" xfId="4687" xr:uid="{EFD29C6F-4726-459A-BB67-C398AC4BCD8E}"/>
    <cellStyle name="Millares 5 17" xfId="4688" xr:uid="{B7CF5612-CAE8-413A-8FF2-95880D4E0001}"/>
    <cellStyle name="Millares 5 18" xfId="4689" xr:uid="{6B4736D5-5293-40D1-B978-0788B1242C8B}"/>
    <cellStyle name="Millares 5 19" xfId="4690" xr:uid="{6AE53FCA-2F08-4F1F-A786-DFF8D81E7EA8}"/>
    <cellStyle name="Millares 5 2" xfId="4691" xr:uid="{4DBA19BB-54EC-424C-8728-8C980B42D113}"/>
    <cellStyle name="Millares 5 20" xfId="4692" xr:uid="{FFF1270D-20F2-495E-8E89-DFE624154DFF}"/>
    <cellStyle name="Millares 5 21" xfId="4693" xr:uid="{55022EF3-0841-4820-9F30-322C46CBDF2E}"/>
    <cellStyle name="Millares 5 22" xfId="4694" xr:uid="{558B3C54-5647-413D-8204-E9E1AD870A7B}"/>
    <cellStyle name="Millares 5 23" xfId="4695" xr:uid="{8441C280-1E7C-4779-BF52-CA5B1738AA7A}"/>
    <cellStyle name="Millares 5 24" xfId="4696" xr:uid="{C3F920F4-C7A3-457D-86A5-248F27646022}"/>
    <cellStyle name="Millares 5 25" xfId="4697" xr:uid="{5843527C-8357-4B46-8C7E-B3579C49BAE1}"/>
    <cellStyle name="Millares 5 3" xfId="4698" xr:uid="{AC028F53-6AAE-4727-9ADD-34603C5261DF}"/>
    <cellStyle name="Millares 5 4" xfId="4699" xr:uid="{39A02E0C-AE7E-41AF-B400-75A1DBD86A9C}"/>
    <cellStyle name="Millares 5 5" xfId="4700" xr:uid="{2198975E-24B7-4DB8-8967-1FAD0552449E}"/>
    <cellStyle name="Millares 5 6" xfId="4701" xr:uid="{A1D2D2FA-4FE2-48C2-81AF-8AE2170691FE}"/>
    <cellStyle name="Millares 5 7" xfId="4702" xr:uid="{29259CAB-D155-437B-ACCE-EA7C59726237}"/>
    <cellStyle name="Millares 5 8" xfId="4703" xr:uid="{EED8C7EF-2043-4E08-A979-22C86CB53830}"/>
    <cellStyle name="Millares 5 9" xfId="4704" xr:uid="{FAB2FB92-8286-42F8-87BE-BA948B45A8A6}"/>
    <cellStyle name="Millares_10 AVERIAS MASIVAS + ANT" xfId="4705" xr:uid="{0D52B4AF-969D-40E8-AEAE-30863A585651}"/>
    <cellStyle name="Milliers [0]_~S9STD" xfId="4706" xr:uid="{4A7D8829-9ED7-40A4-9E78-4553772A0BD2}"/>
    <cellStyle name="Milliers_~S9STD" xfId="4707" xr:uid="{64F7C494-0D45-4C8A-B2F2-9438719F6693}"/>
    <cellStyle name="Misto" xfId="1680" xr:uid="{609B034F-8A39-4992-82B4-561089FF7171}"/>
    <cellStyle name="Moeda 10" xfId="846" xr:uid="{B1DAA961-3D1D-4ADB-924D-73A688E8B94D}"/>
    <cellStyle name="Moeda 2" xfId="25" xr:uid="{00000000-0005-0000-0000-000002000000}"/>
    <cellStyle name="Moeda 2 2" xfId="1056" xr:uid="{7975DA06-C220-4A29-8888-8A35B008459B}"/>
    <cellStyle name="Moeda 2 2 2" xfId="4708" xr:uid="{8C7AD2BC-2C5C-498A-A203-B9465A69E741}"/>
    <cellStyle name="Moeda 2 2 3" xfId="4709" xr:uid="{6AE1F44C-B32D-438F-9B38-D24AECF2DCC8}"/>
    <cellStyle name="Moeda 2 2 4" xfId="4710" xr:uid="{83C803FA-C51A-4F35-9D09-D56D9531A5FF}"/>
    <cellStyle name="Moeda 2 2 5" xfId="4711" xr:uid="{56421BC9-4BE9-442E-99A7-E334D2EA6750}"/>
    <cellStyle name="Moeda 2 3" xfId="1784" xr:uid="{96ECBB98-24A2-48F2-8CBB-1846D1600388}"/>
    <cellStyle name="Moeda 2 3 2" xfId="4712" xr:uid="{6021FF93-3D6B-40BC-A967-8682C62D870A}"/>
    <cellStyle name="Moeda 2 3 3" xfId="4713" xr:uid="{911362AD-53AF-42CC-909A-4A7E5E446419}"/>
    <cellStyle name="Moeda 2 3 4" xfId="4714" xr:uid="{83A2B56C-6BA4-4706-8A53-7E0B8BDFD0E3}"/>
    <cellStyle name="Moeda 2 4" xfId="4715" xr:uid="{CB8CF048-4E04-4914-8A80-52A77DF5192E}"/>
    <cellStyle name="Moeda 2 4 2" xfId="4716" xr:uid="{1877912C-43ED-4A31-80D0-A91673EEF754}"/>
    <cellStyle name="Moeda 2 4 3" xfId="4717" xr:uid="{F9D970A5-ED8E-4EAA-81A7-33EC739793F5}"/>
    <cellStyle name="Moeda 2 4 4" xfId="4718" xr:uid="{3814CE28-67E7-4C12-9238-2A37CFE49E5D}"/>
    <cellStyle name="Moeda 2 5" xfId="4719" xr:uid="{19378714-449E-45AE-87E4-A5BDEC3DF728}"/>
    <cellStyle name="Moeda 2 5 2" xfId="4720" xr:uid="{F1297FFE-9999-4211-A5E2-8749EFE9B506}"/>
    <cellStyle name="Moeda 2 5 3" xfId="4721" xr:uid="{8CF5186D-EC46-4345-9410-63A4CB23CDEB}"/>
    <cellStyle name="Moeda 2 5 4" xfId="4722" xr:uid="{18FD3CE6-2504-4353-BFC9-97E378AB3E8B}"/>
    <cellStyle name="Moeda 2 6" xfId="4723" xr:uid="{558DBA7F-2807-4878-9F8E-8EB0982BD504}"/>
    <cellStyle name="Moeda 2 6 2" xfId="4724" xr:uid="{1ADAD0CE-A6E8-4C0F-9AFE-5DF5DD84C864}"/>
    <cellStyle name="Moeda 2 6 3" xfId="4725" xr:uid="{7CB3FCF0-463C-446D-A739-AA7609C2545C}"/>
    <cellStyle name="Moeda 2 6 4" xfId="4726" xr:uid="{2E53C639-1640-4172-B616-111B3D09A188}"/>
    <cellStyle name="Moeda 2 7" xfId="4727" xr:uid="{290CFA68-67D9-4E41-9E00-61A06CAB2892}"/>
    <cellStyle name="Moeda 2 8" xfId="4728" xr:uid="{4452A9CC-E8F7-40EA-84CF-EA74F80700B9}"/>
    <cellStyle name="Moeda 2 9" xfId="925" xr:uid="{76514B70-3C3B-446D-B230-034C224AF17A}"/>
    <cellStyle name="Moeda 3" xfId="1057" xr:uid="{E4F5EBB3-8161-46E4-B467-5902E30262B4}"/>
    <cellStyle name="Moeda 3 2" xfId="4729" xr:uid="{536AF8C8-2B20-44FE-8BEC-789E49FCE426}"/>
    <cellStyle name="Moeda 30" xfId="43565" xr:uid="{FBDDD5FD-1DBE-4382-B93F-02983E4A946B}"/>
    <cellStyle name="Moeda 4" xfId="1681" xr:uid="{B21CBB4E-8D2F-46D1-8682-F7B3F5F14CF1}"/>
    <cellStyle name="Moeda 4 2" xfId="4730" xr:uid="{EB92A975-E370-4D2C-A51E-97A313159084}"/>
    <cellStyle name="Moeda 4 3" xfId="4731" xr:uid="{CF5D8EC8-B372-4D10-92CA-CD660EE0ACE4}"/>
    <cellStyle name="Moeda 5" xfId="1497" xr:uid="{6C4EB73A-AC21-44B7-A053-8A09EC96B625}"/>
    <cellStyle name="Moeda 5 2" xfId="4732" xr:uid="{CB469505-78CE-48F8-83B9-0C7BF9F62FC9}"/>
    <cellStyle name="Moeda 6" xfId="1785" xr:uid="{5BAFE874-6E0A-4BC0-B7E5-DC689527BD42}"/>
    <cellStyle name="Moeda 6 2" xfId="43566" xr:uid="{9E593929-A882-4970-8521-912DB544A538}"/>
    <cellStyle name="Moeda 7" xfId="4733" xr:uid="{931E2CD5-A00B-4452-8EA0-28606FF874F2}"/>
    <cellStyle name="Moeda 8" xfId="43567" xr:uid="{316EFC8B-3606-400E-ACD3-F7392DA23678}"/>
    <cellStyle name="Moeda 8 2" xfId="43568" xr:uid="{0DC120C1-F323-4ED4-AE0A-AA1F836AEC66}"/>
    <cellStyle name="Moeda 9" xfId="43956" xr:uid="{E1C50054-EBC7-4754-8410-0285D1275C98}"/>
    <cellStyle name="Moeda0" xfId="847" xr:uid="{D857D0BD-F708-44D2-A771-532F2F6863C2}"/>
    <cellStyle name="Moeda0 2" xfId="4734" xr:uid="{D57A231D-1729-4208-BE40-4CE7A311B776}"/>
    <cellStyle name="Moeda0 3" xfId="4735" xr:uid="{D8961F74-DD51-405D-94CF-531810838194}"/>
    <cellStyle name="Moneda [0]_0499EJEG" xfId="4736" xr:uid="{70AF6958-49E6-480B-B00D-8FABBD6EA8E9}"/>
    <cellStyle name="Moneda_0499EJEG" xfId="4737" xr:uid="{C70B3A93-5EDB-48F9-961D-F7FDA89831ED}"/>
    <cellStyle name="Monétaire [0]_~S9STD" xfId="4738" xr:uid="{34FC7C89-80B2-433E-900D-C233E1806EB7}"/>
    <cellStyle name="Monétaire_~S9STD" xfId="4739" xr:uid="{E5FB65E8-DD43-4589-B846-D49B3208E3F2}"/>
    <cellStyle name="Monétaire0" xfId="4740" xr:uid="{0D7A6045-A39C-441C-BA68-C4B87E124A81}"/>
    <cellStyle name="Monetario" xfId="4741" xr:uid="{99BEE591-DC73-4E53-BD1A-69E24786B246}"/>
    <cellStyle name="Month" xfId="848" xr:uid="{FB63288D-EE0B-4499-B469-ADC57A91E387}"/>
    <cellStyle name="Month 2" xfId="4742" xr:uid="{D1828848-FFEC-4CEF-9028-177D5EF23EF6}"/>
    <cellStyle name="Month 3" xfId="4743" xr:uid="{044A6DC9-92AA-4DB7-8F17-83A6FACC9CBC}"/>
    <cellStyle name="Month 3 2" xfId="4744" xr:uid="{1728D442-7AD6-4AB3-8332-8201B650148E}"/>
    <cellStyle name="movimentação" xfId="849" xr:uid="{C0A766CD-DE83-44BF-AF0F-89774C907179}"/>
    <cellStyle name="movimentação 2" xfId="1058" xr:uid="{9F2BCF39-9679-4BFC-A8CF-FDD19A83BD8A}"/>
    <cellStyle name="Multiple" xfId="4745" xr:uid="{71763BD9-4D96-4520-8E71-1F3EF0ABC806}"/>
    <cellStyle name="Multiple Black [0]" xfId="4746" xr:uid="{DA5445C1-BEE0-48E7-A07E-65341A640240}"/>
    <cellStyle name="Multiple Black [1]" xfId="4747" xr:uid="{5AD45988-9032-4178-A45C-0EEAE1918787}"/>
    <cellStyle name="Multiple Black [2]" xfId="4748" xr:uid="{1B5430D9-1A49-4EF1-8C77-8EBF915B3295}"/>
    <cellStyle name="Multiple Blue [0]" xfId="4749" xr:uid="{C2BC4C2A-DF29-46D0-B724-349D789C804E}"/>
    <cellStyle name="Multiple Blue [1]" xfId="4750" xr:uid="{F2C3DC44-7BE1-47E3-A1C3-480CA60151D3}"/>
    <cellStyle name="Multiple Blue [2]" xfId="4751" xr:uid="{7A97DFC7-4AC4-4405-91E6-6274E1021F68}"/>
    <cellStyle name="Neutra" xfId="850" xr:uid="{A9EA280E-3EA8-41C6-8879-3BA017645E1B}"/>
    <cellStyle name="Neutra 10" xfId="4752" xr:uid="{D974C90F-363B-4197-B1BB-E0CC73869804}"/>
    <cellStyle name="Neutra 11" xfId="43569" xr:uid="{40B920C2-9D69-44BD-886E-68BA27AEF0CD}"/>
    <cellStyle name="Neutra 2" xfId="1059" xr:uid="{8B05F255-248A-494A-B3B0-D2A503825978}"/>
    <cellStyle name="Neutra 2 2" xfId="4753" xr:uid="{8257F0AE-2D13-4399-B679-DEB3F772EAF1}"/>
    <cellStyle name="Neutra 3" xfId="1786" xr:uid="{31F0F69E-23D9-4EC4-A9D3-1DD0758F99FA}"/>
    <cellStyle name="Neutra 3 2" xfId="4754" xr:uid="{DBFD5117-C90F-43DB-9395-86A9AF111D82}"/>
    <cellStyle name="Neutra 4" xfId="4755" xr:uid="{AD3A2FF6-00D2-4C54-A1F0-E0D4344522B7}"/>
    <cellStyle name="Neutra 4 2" xfId="4756" xr:uid="{69FDAA46-CBC7-4C73-ACFB-3C452CCD444E}"/>
    <cellStyle name="Neutra 5" xfId="4757" xr:uid="{478643FA-B60E-4D2C-99EA-E8A1E85D180A}"/>
    <cellStyle name="Neutra 6" xfId="4758" xr:uid="{F386D6B5-E13C-42B1-9B6C-FCC6A8AF8223}"/>
    <cellStyle name="Neutra 7" xfId="4759" xr:uid="{527C9A94-53BD-4879-8F2A-66146CAE93CD}"/>
    <cellStyle name="Neutra 8" xfId="4760" xr:uid="{4F8B158C-0530-4FFA-89A4-0977AB1A0E1D}"/>
    <cellStyle name="Neutra 9" xfId="4761" xr:uid="{185D2DC8-1136-4D28-8374-2DE5E96E2025}"/>
    <cellStyle name="Neutral" xfId="851" xr:uid="{BE455FDD-4283-4269-89D2-1495CA82799A}"/>
    <cellStyle name="Neutral 2" xfId="4762" xr:uid="{12A3D198-3FF4-47D7-A34C-A072B8997F51}"/>
    <cellStyle name="NívelLinha_2_1998" xfId="4763" xr:uid="{2C8C55FF-1043-4F82-A5DF-1159FE06979C}"/>
    <cellStyle name="no dec" xfId="852" xr:uid="{EF554541-6B73-49D6-8834-C37DE542E750}"/>
    <cellStyle name="no dec 2" xfId="4764" xr:uid="{27D19291-CAD1-4FD6-9C1E-6D76150E8AAB}"/>
    <cellStyle name="no dec 3" xfId="4765" xr:uid="{E828A694-EEC3-4DC6-ACCD-AEA38DF5E999}"/>
    <cellStyle name="No-definido" xfId="1682" xr:uid="{F59370AC-990C-4EB0-A06D-12A8174B9BFF}"/>
    <cellStyle name="Non_definito" xfId="4766" xr:uid="{C2342CB5-8456-4EDE-B298-CE837CD14D02}"/>
    <cellStyle name="Normal" xfId="0" builtinId="0"/>
    <cellStyle name="Normal - Estilo1" xfId="4767" xr:uid="{C3DD9286-6BBC-4820-BDBD-434AFDF9A881}"/>
    <cellStyle name="Normal - Estilo2" xfId="4768" xr:uid="{3AC8FC38-B21E-4669-B4EC-E3CF2F07B922}"/>
    <cellStyle name="Normal - Estilo3" xfId="4769" xr:uid="{E0236293-CE0C-4176-8143-D3CA1DEC37AB}"/>
    <cellStyle name="Normal - Estilo4" xfId="4770" xr:uid="{C8FB4C6A-2917-4C4F-AF0C-5494CA041006}"/>
    <cellStyle name="Normal - Estilo5" xfId="4771" xr:uid="{01E08F8E-C626-4FAC-A889-5F33C53B8B2F}"/>
    <cellStyle name="Normal - Estilo6" xfId="4772" xr:uid="{D382FAFC-A688-4FC3-8960-70F8A37A142B}"/>
    <cellStyle name="Normal - Estilo7" xfId="4773" xr:uid="{AAA23034-FEF9-4920-AB95-2D13A0F7C102}"/>
    <cellStyle name="Normal - Estilo8" xfId="4774" xr:uid="{8F4AC5A0-8403-4975-889E-D89AC3A83BB2}"/>
    <cellStyle name="Normal - Style1" xfId="853" xr:uid="{1C80F14D-06AA-48C6-A074-016CE0032E1D}"/>
    <cellStyle name="Normal - Style1 10" xfId="4775" xr:uid="{A64AB523-4991-41FC-AD89-CD728BDFFC09}"/>
    <cellStyle name="Normal - Style1 2" xfId="1060" xr:uid="{128A26E3-8731-4108-A563-D167B1E61C55}"/>
    <cellStyle name="Normal - Style1 2 3" xfId="5" xr:uid="{00000000-0005-0000-0000-000004000000}"/>
    <cellStyle name="Normal - Style1 3" xfId="1061" xr:uid="{5A86F47D-31EB-4F86-BA86-95517D609777}"/>
    <cellStyle name="Normal - Style1 4" xfId="1062" xr:uid="{5A3EA256-2BCB-4F04-BCF4-DA468104C443}"/>
    <cellStyle name="Normal - Style1 5" xfId="1063" xr:uid="{ECFB6622-EF1E-4D1F-9F4C-3EB0FAE518C8}"/>
    <cellStyle name="Normal - Style1 6" xfId="4776" xr:uid="{1E673B0C-0400-46B7-B048-C8CF31A1D443}"/>
    <cellStyle name="Normal - Style1 7" xfId="4777" xr:uid="{9B20EB57-2DB4-48DF-89BA-1E0BC6F1F1E1}"/>
    <cellStyle name="Normal - Style1 8" xfId="4778" xr:uid="{A5EE9430-C9D7-4444-9E55-0C70028E07B7}"/>
    <cellStyle name="Normal - Style1 9" xfId="4779" xr:uid="{783BA7B0-09C1-4D73-85A7-D7310E336142}"/>
    <cellStyle name="Normal (%)" xfId="854" xr:uid="{1463005E-A8E8-44B8-A9C8-42040F7CE026}"/>
    <cellStyle name="Normal (%) 2" xfId="1064" xr:uid="{CB7A9D4A-003E-4A81-BB08-6B2234817B41}"/>
    <cellStyle name="Normal (%) 3" xfId="1787" xr:uid="{3E56F411-E2F8-40F5-B7D0-528FAA5E14B5}"/>
    <cellStyle name="Normal (%) 4" xfId="1788" xr:uid="{3F307F87-EE8C-48F4-9730-642CCFA6E01D}"/>
    <cellStyle name="Normal (£m)" xfId="4780" xr:uid="{A040B4F5-DE85-4B95-8F3A-84CE8480C357}"/>
    <cellStyle name="Normal (£m) 2" xfId="4781" xr:uid="{1B5E8734-4A1A-40DE-A82D-9DB4EE464E9A}"/>
    <cellStyle name="Normal (£m) 3" xfId="4782" xr:uid="{BD9826D6-D2A0-4CF1-A3B1-496641B4642E}"/>
    <cellStyle name="Normal (No)" xfId="855" xr:uid="{F8DF47FA-8EC9-4CEB-94E0-A7E01B388C9A}"/>
    <cellStyle name="Normal (No) 2" xfId="1065" xr:uid="{0F01FF38-5C8C-4625-B68F-410D257ADE40}"/>
    <cellStyle name="Normal (No) 3" xfId="1789" xr:uid="{2754F622-9171-47F2-A1A0-288AF990C233}"/>
    <cellStyle name="Normal (No) 4" xfId="1790" xr:uid="{4F69CE94-CE39-4D78-A342-0404A9A7BF76}"/>
    <cellStyle name="Normal (x)" xfId="4783" xr:uid="{7CFE656C-CD6B-45C4-8DA3-50B6B618C660}"/>
    <cellStyle name="Normal (x) 2" xfId="4784" xr:uid="{C133901E-4A18-47CE-B479-B74509C51AC6}"/>
    <cellStyle name="Normal (x) 3" xfId="4785" xr:uid="{D6F2562A-D84F-4674-87AD-E23E6E6DEC3B}"/>
    <cellStyle name="Normal 10" xfId="22" xr:uid="{00000000-0005-0000-0000-000005000000}"/>
    <cellStyle name="Normal 10 10" xfId="4786" xr:uid="{D12D4873-C7C9-458F-8C32-C0F31BA64CA9}"/>
    <cellStyle name="Normal 10 10 10" xfId="4787" xr:uid="{CEDC7EE8-F2D9-4389-A8FD-0A4FBB88A624}"/>
    <cellStyle name="Normal 10 10 11" xfId="4788" xr:uid="{3F0C7C36-D0AB-45CF-8198-22902F22F37A}"/>
    <cellStyle name="Normal 10 10 12" xfId="4789" xr:uid="{4AA25FD8-EAC8-402A-9D4D-FEA62E473BEE}"/>
    <cellStyle name="Normal 10 10 13" xfId="4790" xr:uid="{D0EFAD27-420B-4E60-B916-BAA604B29563}"/>
    <cellStyle name="Normal 10 10 2" xfId="4791" xr:uid="{2D64404D-9EFF-4540-AAE5-D88E850E848D}"/>
    <cellStyle name="Normal 10 10 2 2" xfId="4792" xr:uid="{C549AF61-504E-4A17-8248-96F5D4B4DCB3}"/>
    <cellStyle name="Normal 10 10 2 3" xfId="4793" xr:uid="{20A0C08F-18B8-460D-A6C0-E5C3D261500D}"/>
    <cellStyle name="Normal 10 10 2 4" xfId="4794" xr:uid="{B1483346-9F0B-4107-9C4B-F2D5AE9A2AB1}"/>
    <cellStyle name="Normal 10 10 2 5" xfId="4795" xr:uid="{BBD35CAB-90F5-484B-AEEC-5366B491A682}"/>
    <cellStyle name="Normal 10 10 2 6" xfId="4796" xr:uid="{69DE8321-5710-4837-8B9B-912BC4542DC1}"/>
    <cellStyle name="Normal 10 10 3" xfId="4797" xr:uid="{02C86B9A-F3B6-434D-B1B0-F6FDF81CBDFD}"/>
    <cellStyle name="Normal 10 10 3 2" xfId="4798" xr:uid="{04D791DA-8EDA-4B49-A4DD-96AD0F1D7C47}"/>
    <cellStyle name="Normal 10 10 3 3" xfId="4799" xr:uid="{31CD63FB-D0D1-45FA-9AB8-16CDFB3F4C80}"/>
    <cellStyle name="Normal 10 10 3 4" xfId="4800" xr:uid="{C3E1D1FC-AE0A-4B63-AA47-F85334EF0009}"/>
    <cellStyle name="Normal 10 10 3 5" xfId="4801" xr:uid="{DB28B676-C6C5-47B9-BAA9-DC17C6A329C6}"/>
    <cellStyle name="Normal 10 10 3 6" xfId="4802" xr:uid="{CF0C9EEA-D7D6-49C6-83FF-F152BDDAA813}"/>
    <cellStyle name="Normal 10 10 4" xfId="4803" xr:uid="{46B2B7D5-4AEA-43F2-B0E2-BEE92AB06E44}"/>
    <cellStyle name="Normal 10 10 4 2" xfId="4804" xr:uid="{1551B61E-3A48-4DE2-AC87-9F51521580AD}"/>
    <cellStyle name="Normal 10 10 4 3" xfId="4805" xr:uid="{164ABC58-1C8C-4A26-AB47-A20C4F1258B6}"/>
    <cellStyle name="Normal 10 10 4 4" xfId="4806" xr:uid="{C4318C5D-5DDC-4405-A7F4-F42C32DDCC9D}"/>
    <cellStyle name="Normal 10 10 4 5" xfId="4807" xr:uid="{257EB7A0-1CA2-4362-B8B4-000290FFD853}"/>
    <cellStyle name="Normal 10 10 4 6" xfId="4808" xr:uid="{EE2DDB82-5188-444F-BDBE-FF738655896B}"/>
    <cellStyle name="Normal 10 10 5" xfId="4809" xr:uid="{037F3FD4-AB3D-4C2C-B01E-B906F1C16184}"/>
    <cellStyle name="Normal 10 10 5 2" xfId="4810" xr:uid="{F90C9845-E25D-4167-A66F-0EA7BFFD6E34}"/>
    <cellStyle name="Normal 10 10 5 3" xfId="4811" xr:uid="{15119B62-5629-4F11-B225-857539F95CBE}"/>
    <cellStyle name="Normal 10 10 5 4" xfId="4812" xr:uid="{6D667E18-91AA-4E8A-B476-54379D472FC3}"/>
    <cellStyle name="Normal 10 10 5 5" xfId="4813" xr:uid="{ADC1040C-286A-44C3-BEE1-AA8557EFE544}"/>
    <cellStyle name="Normal 10 10 5 6" xfId="4814" xr:uid="{342C9411-2F81-4B95-8313-212483D60F24}"/>
    <cellStyle name="Normal 10 10 6" xfId="4815" xr:uid="{11C695A5-350A-4871-B7B3-75CF20FA06A5}"/>
    <cellStyle name="Normal 10 10 6 2" xfId="4816" xr:uid="{365EF5F4-B714-429D-8C74-12C482E50F9F}"/>
    <cellStyle name="Normal 10 10 6 3" xfId="4817" xr:uid="{80DC5AC0-AE6D-464E-BCF6-D5B3CA7357E0}"/>
    <cellStyle name="Normal 10 10 6 4" xfId="4818" xr:uid="{ECEA88B4-7D1E-4C2A-8184-57A2DBF175CD}"/>
    <cellStyle name="Normal 10 10 6 5" xfId="4819" xr:uid="{7BB7A128-1EE1-4BD1-A799-B4362BEE9A72}"/>
    <cellStyle name="Normal 10 10 6 6" xfId="4820" xr:uid="{4FFA6486-0656-457D-84F2-360FA2F1EBA8}"/>
    <cellStyle name="Normal 10 10 7" xfId="4821" xr:uid="{911B8FA3-1D51-4295-8F98-F8F8442470CF}"/>
    <cellStyle name="Normal 10 10 7 2" xfId="4822" xr:uid="{1DCC6090-216B-4238-80A6-0B349AB75064}"/>
    <cellStyle name="Normal 10 10 7 3" xfId="4823" xr:uid="{7D334D68-3E65-4483-8104-D4019253237B}"/>
    <cellStyle name="Normal 10 10 7 4" xfId="4824" xr:uid="{92C2A955-6BFF-4CC3-979F-5E41189EA80E}"/>
    <cellStyle name="Normal 10 10 7 5" xfId="4825" xr:uid="{3137CF30-F67D-4B0C-9D19-21B792B0EC72}"/>
    <cellStyle name="Normal 10 10 7 6" xfId="4826" xr:uid="{95258397-4D90-4B0D-9003-9B25BFCE75EA}"/>
    <cellStyle name="Normal 10 10 8" xfId="4827" xr:uid="{6551CB71-CB81-4B25-B96C-F7C58F00B7FD}"/>
    <cellStyle name="Normal 10 10 8 2" xfId="4828" xr:uid="{E6C72DAA-EAAE-4206-BEE7-C3596AC5E0A0}"/>
    <cellStyle name="Normal 10 10 8 3" xfId="4829" xr:uid="{351F0601-6F45-4C8E-9E44-2D8EB0F2DA9A}"/>
    <cellStyle name="Normal 10 10 8 4" xfId="4830" xr:uid="{BA068761-FC51-4A2F-8BD1-CD9D7BE61C7D}"/>
    <cellStyle name="Normal 10 10 8 5" xfId="4831" xr:uid="{F03E222E-CFD7-4B19-A677-15776133CD38}"/>
    <cellStyle name="Normal 10 10 8 6" xfId="4832" xr:uid="{BA41C9B2-F600-41C4-BBAF-184BBB7ABEA4}"/>
    <cellStyle name="Normal 10 10 9" xfId="4833" xr:uid="{5666D0E0-A176-49A2-B307-34B741DE6C2E}"/>
    <cellStyle name="Normal 10 11" xfId="4834" xr:uid="{D2614D42-E33F-4F51-9A36-6C6DDAA91381}"/>
    <cellStyle name="Normal 10 11 10" xfId="4835" xr:uid="{71138D21-A98B-4844-9180-864A9399980A}"/>
    <cellStyle name="Normal 10 11 11" xfId="4836" xr:uid="{3D61E068-5397-4499-A9E1-8CBB156C6EB7}"/>
    <cellStyle name="Normal 10 11 12" xfId="4837" xr:uid="{469CDB67-8933-422F-8C09-2BECC123F974}"/>
    <cellStyle name="Normal 10 11 13" xfId="4838" xr:uid="{AF62CEB2-67E4-4625-9ED6-495B8B098213}"/>
    <cellStyle name="Normal 10 11 2" xfId="4839" xr:uid="{2486B7A7-D037-4D47-AD58-7983B809D338}"/>
    <cellStyle name="Normal 10 11 2 2" xfId="4840" xr:uid="{166E41AA-31F6-46EE-818F-BD29383DECA6}"/>
    <cellStyle name="Normal 10 11 2 3" xfId="4841" xr:uid="{DC47F8F7-0E7C-475F-A17C-36662A9AD1ED}"/>
    <cellStyle name="Normal 10 11 2 4" xfId="4842" xr:uid="{797AC907-2EEB-41C6-A9F6-D64E365E8208}"/>
    <cellStyle name="Normal 10 11 2 5" xfId="4843" xr:uid="{FFB8AA8B-2100-448D-95CA-4B1D6519FE93}"/>
    <cellStyle name="Normal 10 11 2 6" xfId="4844" xr:uid="{C61E6ADB-9440-4F53-A9AB-2BBC5B6B0825}"/>
    <cellStyle name="Normal 10 11 3" xfId="4845" xr:uid="{A721E630-4B34-4F50-A916-19770B621647}"/>
    <cellStyle name="Normal 10 11 3 2" xfId="4846" xr:uid="{E803AB00-CDEE-49ED-BE1D-E3474AEA4000}"/>
    <cellStyle name="Normal 10 11 3 3" xfId="4847" xr:uid="{24C594DC-9F10-4100-925F-9556051D05F1}"/>
    <cellStyle name="Normal 10 11 3 4" xfId="4848" xr:uid="{97E05F94-E0FD-4033-91A8-3F581728A0BE}"/>
    <cellStyle name="Normal 10 11 3 5" xfId="4849" xr:uid="{FF3D1353-84AC-40E4-86A9-3FF6CFC386DA}"/>
    <cellStyle name="Normal 10 11 3 6" xfId="4850" xr:uid="{8F89B6BB-38A1-4202-B279-2B8F502C8BB9}"/>
    <cellStyle name="Normal 10 11 4" xfId="4851" xr:uid="{323E3F36-ED21-4F77-9575-5BA3C18D0459}"/>
    <cellStyle name="Normal 10 11 4 2" xfId="4852" xr:uid="{2A46F21A-14FD-448E-8950-607357DBEA7B}"/>
    <cellStyle name="Normal 10 11 4 3" xfId="4853" xr:uid="{5B6C9D4F-65F4-4A9C-82A5-C683B8B5603E}"/>
    <cellStyle name="Normal 10 11 4 4" xfId="4854" xr:uid="{3FCA7368-31AA-472D-AC84-EC8316C38FF8}"/>
    <cellStyle name="Normal 10 11 4 5" xfId="4855" xr:uid="{D83116BE-F9F0-468D-8660-A875B9A6FAD4}"/>
    <cellStyle name="Normal 10 11 4 6" xfId="4856" xr:uid="{23B7D911-8014-45AC-944B-2C8242DE452A}"/>
    <cellStyle name="Normal 10 11 5" xfId="4857" xr:uid="{AC2A4660-C9B0-436F-B2CE-58361F5C152D}"/>
    <cellStyle name="Normal 10 11 5 2" xfId="4858" xr:uid="{60E15A79-0663-4269-81FB-0378B40198B6}"/>
    <cellStyle name="Normal 10 11 5 3" xfId="4859" xr:uid="{6D338A23-EA92-44DC-9B1E-A70DB34AE751}"/>
    <cellStyle name="Normal 10 11 5 4" xfId="4860" xr:uid="{CD9CF644-C171-46FC-BE1F-0C9E03D3DB5E}"/>
    <cellStyle name="Normal 10 11 5 5" xfId="4861" xr:uid="{B68F0A6B-6036-4D4C-82FF-6BDB7ACF82C8}"/>
    <cellStyle name="Normal 10 11 5 6" xfId="4862" xr:uid="{FD91ACB4-E86F-4897-AC5B-73D696673729}"/>
    <cellStyle name="Normal 10 11 6" xfId="4863" xr:uid="{0010D7B7-53C7-4E59-9E7F-F5D2185A6A37}"/>
    <cellStyle name="Normal 10 11 6 2" xfId="4864" xr:uid="{55ADBAF5-9109-4360-AEF2-876E7BB9EB59}"/>
    <cellStyle name="Normal 10 11 6 3" xfId="4865" xr:uid="{3E9ECB32-1052-4766-B5F1-D98732D6B28A}"/>
    <cellStyle name="Normal 10 11 6 4" xfId="4866" xr:uid="{140B2DA2-16DE-43E4-9091-2D8A6C323138}"/>
    <cellStyle name="Normal 10 11 6 5" xfId="4867" xr:uid="{84E22316-57F3-46EC-87B0-AB0018D134BE}"/>
    <cellStyle name="Normal 10 11 6 6" xfId="4868" xr:uid="{9B0E2271-F492-41DC-AB9B-EF7A830C0330}"/>
    <cellStyle name="Normal 10 11 7" xfId="4869" xr:uid="{FB4E1460-6747-4C2F-B65F-86EFD2495068}"/>
    <cellStyle name="Normal 10 11 7 2" xfId="4870" xr:uid="{FD32804F-226E-4B23-A0B8-D79B1F989C0B}"/>
    <cellStyle name="Normal 10 11 7 3" xfId="4871" xr:uid="{E0A4A6AC-9E19-4C48-8E7C-77F7B4296CD8}"/>
    <cellStyle name="Normal 10 11 7 4" xfId="4872" xr:uid="{82A3754D-94DC-4A52-8924-6EA4AC2987A0}"/>
    <cellStyle name="Normal 10 11 7 5" xfId="4873" xr:uid="{C090A27D-9045-4925-9797-B07B6853782A}"/>
    <cellStyle name="Normal 10 11 7 6" xfId="4874" xr:uid="{979814F3-9954-4FC2-92BF-1476241CF6D3}"/>
    <cellStyle name="Normal 10 11 8" xfId="4875" xr:uid="{1C7538C3-4E3F-4ADA-A1E5-A37414108151}"/>
    <cellStyle name="Normal 10 11 8 2" xfId="4876" xr:uid="{BAC208A4-BFC5-40A7-A1E0-16AD40B217FA}"/>
    <cellStyle name="Normal 10 11 8 3" xfId="4877" xr:uid="{E9ABB41A-AF2F-4235-90D7-25074FB03325}"/>
    <cellStyle name="Normal 10 11 8 4" xfId="4878" xr:uid="{85806421-4B62-432F-A270-59811BBF6AC5}"/>
    <cellStyle name="Normal 10 11 8 5" xfId="4879" xr:uid="{46026DA5-2972-4F9C-A6D8-E020EAA024DF}"/>
    <cellStyle name="Normal 10 11 8 6" xfId="4880" xr:uid="{383721F3-CE48-48C5-B330-75DA0A3C4FE3}"/>
    <cellStyle name="Normal 10 11 9" xfId="4881" xr:uid="{C1E1D15A-4D78-4CDF-BA58-5693EEAD1C9E}"/>
    <cellStyle name="Normal 10 12" xfId="4882" xr:uid="{43DB390A-5799-45EE-8C95-EFAD19E320BA}"/>
    <cellStyle name="Normal 10 12 10" xfId="4883" xr:uid="{2968CE24-6C4D-4316-BEE1-4FA7980EE74B}"/>
    <cellStyle name="Normal 10 12 11" xfId="4884" xr:uid="{4B798B2D-14E5-4FF1-8BB1-B57A0DF25767}"/>
    <cellStyle name="Normal 10 12 12" xfId="4885" xr:uid="{500674D6-9AFC-4AAD-9E2B-CA53A741D199}"/>
    <cellStyle name="Normal 10 12 13" xfId="4886" xr:uid="{387349EE-F45B-4018-A0CE-F798FE532515}"/>
    <cellStyle name="Normal 10 12 2" xfId="4887" xr:uid="{13EF44FA-F8A0-452D-9753-BF398A87485B}"/>
    <cellStyle name="Normal 10 12 2 2" xfId="4888" xr:uid="{8E31CD50-137B-4931-95A4-1838B6705B28}"/>
    <cellStyle name="Normal 10 12 2 3" xfId="4889" xr:uid="{0B4F837D-9A92-4A64-AB41-A13334416798}"/>
    <cellStyle name="Normal 10 12 2 4" xfId="4890" xr:uid="{C5A6792D-E7B7-48CD-BAC7-B0577923D378}"/>
    <cellStyle name="Normal 10 12 2 5" xfId="4891" xr:uid="{7B3CAE59-CD89-4B08-A259-2F8C09B9C1C4}"/>
    <cellStyle name="Normal 10 12 2 6" xfId="4892" xr:uid="{81F09EF2-20A8-4004-BED1-F0E878577F34}"/>
    <cellStyle name="Normal 10 12 3" xfId="4893" xr:uid="{C32040BC-B497-4C21-9CD9-D2606E32CC19}"/>
    <cellStyle name="Normal 10 12 3 2" xfId="4894" xr:uid="{DA7B933D-5B00-41D0-8EAF-DA4B3819192A}"/>
    <cellStyle name="Normal 10 12 3 3" xfId="4895" xr:uid="{119AA99F-6D8F-4A84-9423-A5A0FAAE3F8C}"/>
    <cellStyle name="Normal 10 12 3 4" xfId="4896" xr:uid="{78FB686F-632F-4ACF-8510-3B455A53DB32}"/>
    <cellStyle name="Normal 10 12 3 5" xfId="4897" xr:uid="{F5051B3B-A0F8-41E9-A329-8FE272B2D352}"/>
    <cellStyle name="Normal 10 12 3 6" xfId="4898" xr:uid="{5C992F02-A4DE-4C08-A2E6-3D851D9435C7}"/>
    <cellStyle name="Normal 10 12 4" xfId="4899" xr:uid="{8861FAEC-C5DC-466F-B3A3-9F730B38B4E2}"/>
    <cellStyle name="Normal 10 12 4 2" xfId="4900" xr:uid="{C8E0ABDC-6CCC-45B1-96AE-46F1499E82C4}"/>
    <cellStyle name="Normal 10 12 4 3" xfId="4901" xr:uid="{682971ED-CBAB-429A-9E60-FD82889E816B}"/>
    <cellStyle name="Normal 10 12 4 4" xfId="4902" xr:uid="{185D97DF-3CF0-4E5E-B55B-B6F8EB7FF834}"/>
    <cellStyle name="Normal 10 12 4 5" xfId="4903" xr:uid="{BA2D2EAB-E2F8-4F62-A501-EF8BC24412D8}"/>
    <cellStyle name="Normal 10 12 4 6" xfId="4904" xr:uid="{D7AC2248-0AE8-41BF-A94C-13BE5F9929F1}"/>
    <cellStyle name="Normal 10 12 5" xfId="4905" xr:uid="{C549D238-B43B-4F1D-850F-A72DE497B8A4}"/>
    <cellStyle name="Normal 10 12 5 2" xfId="4906" xr:uid="{EBC59F7D-7C72-4E08-9AAD-A6E2F1F8A18E}"/>
    <cellStyle name="Normal 10 12 5 3" xfId="4907" xr:uid="{7A5FD6E8-A6A5-4997-B232-A6F742E4D79B}"/>
    <cellStyle name="Normal 10 12 5 4" xfId="4908" xr:uid="{F76F8C73-C881-4E3C-B9BF-4438D32C560F}"/>
    <cellStyle name="Normal 10 12 5 5" xfId="4909" xr:uid="{FEACBDD2-3F17-4B1B-B953-8151C317F42F}"/>
    <cellStyle name="Normal 10 12 5 6" xfId="4910" xr:uid="{B64E2E7D-C24B-4824-89E1-9AC64B5B84E4}"/>
    <cellStyle name="Normal 10 12 6" xfId="4911" xr:uid="{88105762-F726-4898-A87E-216AF9114729}"/>
    <cellStyle name="Normal 10 12 6 2" xfId="4912" xr:uid="{01007005-5813-4A8F-8731-12905506F77E}"/>
    <cellStyle name="Normal 10 12 6 3" xfId="4913" xr:uid="{ED09AA48-BA52-47F2-AD98-F226D0E41EB8}"/>
    <cellStyle name="Normal 10 12 6 4" xfId="4914" xr:uid="{9EC25929-C61C-4DE8-9BDB-31AE5C7F2F1D}"/>
    <cellStyle name="Normal 10 12 6 5" xfId="4915" xr:uid="{1C412A20-7920-4812-8C05-ADC0C5C40218}"/>
    <cellStyle name="Normal 10 12 6 6" xfId="4916" xr:uid="{F58BB22F-124A-4E87-A0B1-00BBC2F4F9CC}"/>
    <cellStyle name="Normal 10 12 7" xfId="4917" xr:uid="{A983D78D-91C6-45EC-BB5B-36BEB53EC68A}"/>
    <cellStyle name="Normal 10 12 7 2" xfId="4918" xr:uid="{1219FF61-8420-4C68-AA3D-DB24BFD328A0}"/>
    <cellStyle name="Normal 10 12 7 3" xfId="4919" xr:uid="{622369D4-EB5D-41CC-B6C2-B281D160E3F7}"/>
    <cellStyle name="Normal 10 12 7 4" xfId="4920" xr:uid="{9F09C389-1EDE-451D-9BE3-051CEB3AD3B6}"/>
    <cellStyle name="Normal 10 12 7 5" xfId="4921" xr:uid="{94FAFF7D-1DE8-4FAE-A6E7-031E78DE8771}"/>
    <cellStyle name="Normal 10 12 7 6" xfId="4922" xr:uid="{7C105765-6FFC-4B32-A188-38075B428D68}"/>
    <cellStyle name="Normal 10 12 8" xfId="4923" xr:uid="{3F3F0218-6406-4805-978A-277603C82BA9}"/>
    <cellStyle name="Normal 10 12 8 2" xfId="4924" xr:uid="{6A0D49EA-4EDB-4721-A654-AF0375C4DF3D}"/>
    <cellStyle name="Normal 10 12 8 3" xfId="4925" xr:uid="{8D1C2B92-D6C7-47C0-9271-FD4BBFD12DBE}"/>
    <cellStyle name="Normal 10 12 8 4" xfId="4926" xr:uid="{54CDEBF7-54B6-43D2-8F62-D342B5A1C2A8}"/>
    <cellStyle name="Normal 10 12 8 5" xfId="4927" xr:uid="{10741C8B-4CA1-41B2-8830-AE7348B0CAAA}"/>
    <cellStyle name="Normal 10 12 8 6" xfId="4928" xr:uid="{6490D8C8-F0A3-4E3F-A675-CB9143AD481B}"/>
    <cellStyle name="Normal 10 12 9" xfId="4929" xr:uid="{60B5D557-2B7C-4A8F-926F-CE81BD44D29F}"/>
    <cellStyle name="Normal 10 13" xfId="4930" xr:uid="{32F8238A-4973-4EB6-8259-AB199F0D1B56}"/>
    <cellStyle name="Normal 10 13 10" xfId="4931" xr:uid="{C9ACB911-FC76-4855-9A55-F2BE14F4D0C8}"/>
    <cellStyle name="Normal 10 13 11" xfId="4932" xr:uid="{7D2B2642-A355-4AB2-A4AB-E85EB7EEAFA9}"/>
    <cellStyle name="Normal 10 13 12" xfId="4933" xr:uid="{14AFFFC5-B2D1-4EDB-AC16-59F8DB28C765}"/>
    <cellStyle name="Normal 10 13 13" xfId="4934" xr:uid="{D52D9537-6A5E-4300-BD57-2EA57FFC4F54}"/>
    <cellStyle name="Normal 10 13 2" xfId="4935" xr:uid="{4B787B99-0103-47B4-8503-AC3F9AB62068}"/>
    <cellStyle name="Normal 10 13 2 2" xfId="4936" xr:uid="{39110492-27C6-47C3-92CD-FF02A50F73C6}"/>
    <cellStyle name="Normal 10 13 2 3" xfId="4937" xr:uid="{37AAAB4D-5E56-495B-9E9D-375645233B53}"/>
    <cellStyle name="Normal 10 13 2 4" xfId="4938" xr:uid="{13200D86-04D3-4F09-81E4-2C3CBDFACEE9}"/>
    <cellStyle name="Normal 10 13 2 5" xfId="4939" xr:uid="{CBDD6F7A-5EFA-4178-8F63-015DEFA5F077}"/>
    <cellStyle name="Normal 10 13 2 6" xfId="4940" xr:uid="{45CF55AD-672A-4273-941A-0A4659BDB8F4}"/>
    <cellStyle name="Normal 10 13 3" xfId="4941" xr:uid="{1E878AA5-A4D0-4B15-802C-1440359B7752}"/>
    <cellStyle name="Normal 10 13 3 2" xfId="4942" xr:uid="{8883D184-E1DD-4F7B-BDB3-C3216CFF2D78}"/>
    <cellStyle name="Normal 10 13 3 3" xfId="4943" xr:uid="{3B3353DC-5226-4F02-A191-656679E740C2}"/>
    <cellStyle name="Normal 10 13 3 4" xfId="4944" xr:uid="{337A2F8C-737E-4592-9C17-B96C55492090}"/>
    <cellStyle name="Normal 10 13 3 5" xfId="4945" xr:uid="{5B736496-4565-4761-BDD2-FF1DF5DFFFC4}"/>
    <cellStyle name="Normal 10 13 3 6" xfId="4946" xr:uid="{C90F0035-FD97-4370-BB21-258CB626BEB8}"/>
    <cellStyle name="Normal 10 13 4" xfId="4947" xr:uid="{BD0266D3-FC93-4D52-9314-0707F7A951A3}"/>
    <cellStyle name="Normal 10 13 4 2" xfId="4948" xr:uid="{3AF50B8C-F83B-4ED4-BFA5-A28A153F0FA1}"/>
    <cellStyle name="Normal 10 13 4 3" xfId="4949" xr:uid="{DD0C9156-3403-4783-BC77-625A151BC6EF}"/>
    <cellStyle name="Normal 10 13 4 4" xfId="4950" xr:uid="{A17BAEE3-E3E2-49FB-993C-80EF5450DABC}"/>
    <cellStyle name="Normal 10 13 4 5" xfId="4951" xr:uid="{EC998F0C-B4FB-4A8A-8B60-3EE07466857B}"/>
    <cellStyle name="Normal 10 13 4 6" xfId="4952" xr:uid="{CD55709C-36DA-4BF3-8BE2-53F3FDD1DC47}"/>
    <cellStyle name="Normal 10 13 5" xfId="4953" xr:uid="{160027FA-A043-487E-943F-2997EFEF954A}"/>
    <cellStyle name="Normal 10 13 5 2" xfId="4954" xr:uid="{8F0178FF-0593-4D62-BDDE-1DCCA0549E7F}"/>
    <cellStyle name="Normal 10 13 5 3" xfId="4955" xr:uid="{25918ECF-56E9-4919-A0B5-82136A4996F4}"/>
    <cellStyle name="Normal 10 13 5 4" xfId="4956" xr:uid="{54E45810-6BC4-4482-BD15-F86E34EB9C47}"/>
    <cellStyle name="Normal 10 13 5 5" xfId="4957" xr:uid="{1B0305EA-5299-44D5-B090-39F2359FAC03}"/>
    <cellStyle name="Normal 10 13 5 6" xfId="4958" xr:uid="{4740E255-2801-42BF-A90D-50918B2C3A42}"/>
    <cellStyle name="Normal 10 13 6" xfId="4959" xr:uid="{7A83F53E-8B80-4D69-978C-307C0E6D8F6A}"/>
    <cellStyle name="Normal 10 13 6 2" xfId="4960" xr:uid="{18ADAF7C-E278-4A80-AE92-DA4D8420758B}"/>
    <cellStyle name="Normal 10 13 6 3" xfId="4961" xr:uid="{24D47AD2-E26A-4738-BF6C-A437A045826B}"/>
    <cellStyle name="Normal 10 13 6 4" xfId="4962" xr:uid="{849307FC-85E7-4187-BE3F-2742E5EA5AFA}"/>
    <cellStyle name="Normal 10 13 6 5" xfId="4963" xr:uid="{CC05B129-8CDA-4B46-82DF-9B9E99FD5306}"/>
    <cellStyle name="Normal 10 13 6 6" xfId="4964" xr:uid="{03262840-F361-4D97-A0B7-F15C9F0F41FE}"/>
    <cellStyle name="Normal 10 13 7" xfId="4965" xr:uid="{CE32B5F2-C911-46F8-844C-76E3ED49DD8C}"/>
    <cellStyle name="Normal 10 13 7 2" xfId="4966" xr:uid="{401D16A9-44E2-4737-8346-14A47D345611}"/>
    <cellStyle name="Normal 10 13 7 3" xfId="4967" xr:uid="{1DBDD6ED-E1F2-4CF6-B099-B50E5F9BEDC0}"/>
    <cellStyle name="Normal 10 13 7 4" xfId="4968" xr:uid="{3F551C75-49FA-4409-A159-DCAA57F76204}"/>
    <cellStyle name="Normal 10 13 7 5" xfId="4969" xr:uid="{A9A36A21-1EE7-4699-A04E-0B05AEE516C4}"/>
    <cellStyle name="Normal 10 13 7 6" xfId="4970" xr:uid="{3E6C1D8A-1327-45E5-806B-F4FB2DD14F4A}"/>
    <cellStyle name="Normal 10 13 8" xfId="4971" xr:uid="{1B7738DA-9D47-4CBA-BEAB-4A2ED1D114C4}"/>
    <cellStyle name="Normal 10 13 8 2" xfId="4972" xr:uid="{0EEA61E0-7F45-4DEC-A01E-E4872AA8E720}"/>
    <cellStyle name="Normal 10 13 8 3" xfId="4973" xr:uid="{EEF9124B-1CC5-4559-B7E3-033F429C9FB3}"/>
    <cellStyle name="Normal 10 13 8 4" xfId="4974" xr:uid="{38D6D2F4-1849-424B-B21D-D0BF3ABBB349}"/>
    <cellStyle name="Normal 10 13 8 5" xfId="4975" xr:uid="{C312D548-9E43-47E4-9F45-FC513F140559}"/>
    <cellStyle name="Normal 10 13 8 6" xfId="4976" xr:uid="{97ED0278-D508-4BD3-983A-EDE994B44D03}"/>
    <cellStyle name="Normal 10 13 9" xfId="4977" xr:uid="{784AB96D-AD8A-4230-9B70-556B9947B677}"/>
    <cellStyle name="Normal 10 14" xfId="4978" xr:uid="{A470BBAE-FD84-41C9-BCE1-07E6DD075FF1}"/>
    <cellStyle name="Normal 10 14 10" xfId="4979" xr:uid="{27899988-5264-4B51-B6F2-BA53CEA1C3A6}"/>
    <cellStyle name="Normal 10 14 11" xfId="4980" xr:uid="{75CA3FEE-4D21-4446-86E2-076EE0E9FAB7}"/>
    <cellStyle name="Normal 10 14 12" xfId="4981" xr:uid="{B46EC2F3-A2A5-400A-9ECC-82FB2B3805D7}"/>
    <cellStyle name="Normal 10 14 13" xfId="4982" xr:uid="{F7FA8961-0E3F-4DB7-AE54-BF9501C37030}"/>
    <cellStyle name="Normal 10 14 2" xfId="4983" xr:uid="{436A0343-8182-4F42-A0FA-FBD10A0C69B0}"/>
    <cellStyle name="Normal 10 14 2 2" xfId="4984" xr:uid="{E1ABD0FF-85CF-492E-BE0A-0F6D673194B2}"/>
    <cellStyle name="Normal 10 14 2 3" xfId="4985" xr:uid="{1BBD3198-332B-4B8E-A4B7-00CB14B17A72}"/>
    <cellStyle name="Normal 10 14 2 4" xfId="4986" xr:uid="{122EDC09-B353-43FC-A24E-4B4802F5EF4E}"/>
    <cellStyle name="Normal 10 14 2 5" xfId="4987" xr:uid="{C126CF01-250A-457C-B58E-A1F99E2F2CF8}"/>
    <cellStyle name="Normal 10 14 2 6" xfId="4988" xr:uid="{0C7217AD-8269-4956-A9C5-ED5E67E674C5}"/>
    <cellStyle name="Normal 10 14 3" xfId="4989" xr:uid="{387CD1BF-E424-4412-B0A2-D7D67B1B59D8}"/>
    <cellStyle name="Normal 10 14 3 2" xfId="4990" xr:uid="{A3456109-1A5C-462A-B219-B2C28ED8D3DA}"/>
    <cellStyle name="Normal 10 14 3 3" xfId="4991" xr:uid="{499A4E7B-1FB2-4191-A46C-2884902A1ECF}"/>
    <cellStyle name="Normal 10 14 3 4" xfId="4992" xr:uid="{A0678D66-0B7B-4452-80FC-A2B86F05B487}"/>
    <cellStyle name="Normal 10 14 3 5" xfId="4993" xr:uid="{BDE42CF2-8637-431A-9404-06E2B4B549D3}"/>
    <cellStyle name="Normal 10 14 3 6" xfId="4994" xr:uid="{1A90506A-3199-4A7E-9F00-01B545870512}"/>
    <cellStyle name="Normal 10 14 4" xfId="4995" xr:uid="{ACEC327B-51CC-4570-8849-9BBF639EE77A}"/>
    <cellStyle name="Normal 10 14 4 2" xfId="4996" xr:uid="{A8A44BAF-C7E3-49DD-B2E7-B2BCC3309940}"/>
    <cellStyle name="Normal 10 14 4 3" xfId="4997" xr:uid="{290B0848-0143-41B7-8895-B5B5B6BFAC9C}"/>
    <cellStyle name="Normal 10 14 4 4" xfId="4998" xr:uid="{428E157B-C28F-4C4F-A164-A5E9C2B3ABDE}"/>
    <cellStyle name="Normal 10 14 4 5" xfId="4999" xr:uid="{3BE5D356-3D42-46D2-BA72-0B3BED035783}"/>
    <cellStyle name="Normal 10 14 4 6" xfId="5000" xr:uid="{10BD54D1-CA90-449D-9193-781AB3656951}"/>
    <cellStyle name="Normal 10 14 5" xfId="5001" xr:uid="{84A6ACF7-CE30-4264-BC11-35FCAECF60DF}"/>
    <cellStyle name="Normal 10 14 5 2" xfId="5002" xr:uid="{1E7889A4-DDC2-4F39-A16A-7C73C9B02AE1}"/>
    <cellStyle name="Normal 10 14 5 3" xfId="5003" xr:uid="{52EAC74D-2049-4A8D-9637-E7805ED203A3}"/>
    <cellStyle name="Normal 10 14 5 4" xfId="5004" xr:uid="{096EBDBE-8BB5-4C6B-A73E-3283B0D8DA67}"/>
    <cellStyle name="Normal 10 14 5 5" xfId="5005" xr:uid="{C8DCDD15-DE64-4EEC-8608-9491A719516A}"/>
    <cellStyle name="Normal 10 14 5 6" xfId="5006" xr:uid="{F8C3F2BC-211F-4934-9DE9-2077F0CAA417}"/>
    <cellStyle name="Normal 10 14 6" xfId="5007" xr:uid="{03D88DE8-D75E-4A7B-A823-CA70248E8803}"/>
    <cellStyle name="Normal 10 14 6 2" xfId="5008" xr:uid="{78F6B08A-9969-41FD-839D-5C45C7329FFB}"/>
    <cellStyle name="Normal 10 14 6 3" xfId="5009" xr:uid="{287F36BB-867D-4257-8129-ECB8650159E1}"/>
    <cellStyle name="Normal 10 14 6 4" xfId="5010" xr:uid="{6A28CAD0-80C8-4CAD-A8FF-30116FEA5253}"/>
    <cellStyle name="Normal 10 14 6 5" xfId="5011" xr:uid="{0AC37E5A-137C-4265-9A38-A419FFAE6F16}"/>
    <cellStyle name="Normal 10 14 6 6" xfId="5012" xr:uid="{0B3AA284-AE59-4D80-B133-A28779D6FB7D}"/>
    <cellStyle name="Normal 10 14 7" xfId="5013" xr:uid="{BDF87FCC-61E2-4D11-8A76-0F1CC623E951}"/>
    <cellStyle name="Normal 10 14 7 2" xfId="5014" xr:uid="{BFA8314C-5B45-4B45-97AD-E517E75E3A0F}"/>
    <cellStyle name="Normal 10 14 7 3" xfId="5015" xr:uid="{DA51E6B1-691B-4A9F-8BF5-9215D6FD12D2}"/>
    <cellStyle name="Normal 10 14 7 4" xfId="5016" xr:uid="{17DA3813-C772-4B7F-A541-E6CD1E16B841}"/>
    <cellStyle name="Normal 10 14 7 5" xfId="5017" xr:uid="{6E244B84-6828-4A70-ABB7-131A80F80AC5}"/>
    <cellStyle name="Normal 10 14 7 6" xfId="5018" xr:uid="{456CA0F6-1AA8-440A-925E-8EAAE703C90F}"/>
    <cellStyle name="Normal 10 14 8" xfId="5019" xr:uid="{1AB45942-5884-4746-9073-92D4024A0EEB}"/>
    <cellStyle name="Normal 10 14 8 2" xfId="5020" xr:uid="{01B71969-3E34-43AB-AD13-2C352838021A}"/>
    <cellStyle name="Normal 10 14 8 3" xfId="5021" xr:uid="{0D43F671-06F1-4475-8C66-637F9986613E}"/>
    <cellStyle name="Normal 10 14 8 4" xfId="5022" xr:uid="{08F2A8A7-C2BD-4E3B-9FC6-16AFF8AF86AD}"/>
    <cellStyle name="Normal 10 14 8 5" xfId="5023" xr:uid="{10771C5E-B627-43AC-AFC4-3EBB46FF72A0}"/>
    <cellStyle name="Normal 10 14 8 6" xfId="5024" xr:uid="{44C44F88-3810-4ECF-9115-86951A034F1A}"/>
    <cellStyle name="Normal 10 14 9" xfId="5025" xr:uid="{8099995E-2E3A-4203-B774-152C4FC19182}"/>
    <cellStyle name="Normal 10 15" xfId="5026" xr:uid="{179E06D0-1779-4A9A-87EE-819697C712CA}"/>
    <cellStyle name="Normal 10 15 10" xfId="5027" xr:uid="{CBC51C99-1B17-4277-A9AE-DA9A0C5607A1}"/>
    <cellStyle name="Normal 10 15 11" xfId="5028" xr:uid="{916D336B-0857-4C56-8A47-4A86065875A3}"/>
    <cellStyle name="Normal 10 15 12" xfId="5029" xr:uid="{68EC92C4-A33B-4101-B9DB-718666C09C2C}"/>
    <cellStyle name="Normal 10 15 13" xfId="5030" xr:uid="{BA02BEFE-7683-4275-92E8-3CA5E674AFE9}"/>
    <cellStyle name="Normal 10 15 2" xfId="5031" xr:uid="{85AA5D51-81EB-403C-9094-1B935E2E9A8A}"/>
    <cellStyle name="Normal 10 15 2 2" xfId="5032" xr:uid="{10DFF235-35C3-45CF-80A1-FF946B18D06E}"/>
    <cellStyle name="Normal 10 15 2 3" xfId="5033" xr:uid="{25D6B999-0FF2-4B70-A488-B86ED7E4666A}"/>
    <cellStyle name="Normal 10 15 2 4" xfId="5034" xr:uid="{83074A47-78B7-437A-A421-495565D491BE}"/>
    <cellStyle name="Normal 10 15 2 5" xfId="5035" xr:uid="{A36FA663-544D-4697-8581-88C95FEE863E}"/>
    <cellStyle name="Normal 10 15 2 6" xfId="5036" xr:uid="{45C0D733-74CA-455E-B6AA-59FFFCB9704D}"/>
    <cellStyle name="Normal 10 15 3" xfId="5037" xr:uid="{383A2F34-3E0F-437F-BB3C-68268AEFAB70}"/>
    <cellStyle name="Normal 10 15 3 2" xfId="5038" xr:uid="{CDA5EEB4-01C7-4E98-87CC-D6DA898F4EC5}"/>
    <cellStyle name="Normal 10 15 3 3" xfId="5039" xr:uid="{6039D212-00F7-43DF-BA61-C92D84A087BA}"/>
    <cellStyle name="Normal 10 15 3 4" xfId="5040" xr:uid="{A08A5469-0FC6-45EE-A66B-3928A2B45FFA}"/>
    <cellStyle name="Normal 10 15 3 5" xfId="5041" xr:uid="{855EF1F9-946F-450C-8779-2C2C1820E1DB}"/>
    <cellStyle name="Normal 10 15 3 6" xfId="5042" xr:uid="{DC235630-D7E0-4B76-8F65-35223D9E585D}"/>
    <cellStyle name="Normal 10 15 4" xfId="5043" xr:uid="{8A9AFB89-9C46-40F0-B5F1-900F3D0EBE8A}"/>
    <cellStyle name="Normal 10 15 4 2" xfId="5044" xr:uid="{B81DFA90-82BA-45A4-9F51-B85BA72C99B0}"/>
    <cellStyle name="Normal 10 15 4 3" xfId="5045" xr:uid="{D90B5FAC-F326-4246-89C5-D6E947F29A46}"/>
    <cellStyle name="Normal 10 15 4 4" xfId="5046" xr:uid="{C518D845-A4AB-4E85-851E-EB08E613A368}"/>
    <cellStyle name="Normal 10 15 4 5" xfId="5047" xr:uid="{CFF39BEC-675C-4908-8AAE-46234653D491}"/>
    <cellStyle name="Normal 10 15 4 6" xfId="5048" xr:uid="{0DA0FD90-D0B1-4DB6-8C0C-EED0241539D6}"/>
    <cellStyle name="Normal 10 15 5" xfId="5049" xr:uid="{66F9EB0A-F282-4276-9596-EFFB6E29E37C}"/>
    <cellStyle name="Normal 10 15 5 2" xfId="5050" xr:uid="{ED79685B-E3EB-4A40-B47E-B251A48E09C3}"/>
    <cellStyle name="Normal 10 15 5 3" xfId="5051" xr:uid="{F88E90A7-9199-4560-9B57-616BDA6FF0E1}"/>
    <cellStyle name="Normal 10 15 5 4" xfId="5052" xr:uid="{66A76049-F273-42CA-A821-3FA8C7CF7616}"/>
    <cellStyle name="Normal 10 15 5 5" xfId="5053" xr:uid="{9431C3CA-CD4E-4450-8777-15970DF0996E}"/>
    <cellStyle name="Normal 10 15 5 6" xfId="5054" xr:uid="{224DF236-0CA1-4B71-8F4C-D003510835E4}"/>
    <cellStyle name="Normal 10 15 6" xfId="5055" xr:uid="{82C4CDD2-E3ED-4C3B-8E68-090B90F05E7B}"/>
    <cellStyle name="Normal 10 15 6 2" xfId="5056" xr:uid="{5BCFDFE9-6F5A-49DA-ABCD-1CDB8EC8775F}"/>
    <cellStyle name="Normal 10 15 6 3" xfId="5057" xr:uid="{15A7395D-EB17-4F74-B267-7AC74FFD0920}"/>
    <cellStyle name="Normal 10 15 6 4" xfId="5058" xr:uid="{25554720-9B8B-4596-B033-6DD422494046}"/>
    <cellStyle name="Normal 10 15 6 5" xfId="5059" xr:uid="{BEA0894A-F652-464D-9B42-7D159E601D5F}"/>
    <cellStyle name="Normal 10 15 6 6" xfId="5060" xr:uid="{4DBCD917-66F4-475E-9011-EB0831623C58}"/>
    <cellStyle name="Normal 10 15 7" xfId="5061" xr:uid="{0D929053-53B2-4080-9C3E-9AAD62C71AE4}"/>
    <cellStyle name="Normal 10 15 7 2" xfId="5062" xr:uid="{0C5BB85E-5BDF-423F-931D-A81A5D62AB29}"/>
    <cellStyle name="Normal 10 15 7 3" xfId="5063" xr:uid="{C187C4C0-2FFA-43F3-87E0-95F469806E3D}"/>
    <cellStyle name="Normal 10 15 7 4" xfId="5064" xr:uid="{8EC856B6-B8DB-4E90-83AD-99FC91F17E21}"/>
    <cellStyle name="Normal 10 15 7 5" xfId="5065" xr:uid="{5F55367A-A7A3-4DB8-839C-315B5B5DDB65}"/>
    <cellStyle name="Normal 10 15 7 6" xfId="5066" xr:uid="{A96B7582-6C6D-4E89-ADE7-E6DEF9D9766C}"/>
    <cellStyle name="Normal 10 15 8" xfId="5067" xr:uid="{C0265801-BE93-4CDA-880E-BE8A33DEDD9A}"/>
    <cellStyle name="Normal 10 15 8 2" xfId="5068" xr:uid="{926F80EF-BA46-4D5B-92E5-3D9D7AB6F538}"/>
    <cellStyle name="Normal 10 15 8 3" xfId="5069" xr:uid="{7F7C72C0-29A0-4A1E-A982-7C4352F607E5}"/>
    <cellStyle name="Normal 10 15 8 4" xfId="5070" xr:uid="{3A29E040-B27C-428A-9938-619A53BE402C}"/>
    <cellStyle name="Normal 10 15 8 5" xfId="5071" xr:uid="{3BA413B5-CD06-4652-9EA7-2C26A1CB9601}"/>
    <cellStyle name="Normal 10 15 8 6" xfId="5072" xr:uid="{4534AC0F-3C4C-4BD2-8032-755BC460B9C1}"/>
    <cellStyle name="Normal 10 15 9" xfId="5073" xr:uid="{46D084D6-191A-4BDD-A4B4-AE5F31562D57}"/>
    <cellStyle name="Normal 10 16" xfId="5074" xr:uid="{00AD2682-A5BD-47E1-B5E1-67779CF81BFD}"/>
    <cellStyle name="Normal 10 16 10" xfId="5075" xr:uid="{B3814C11-1940-4DB6-B84F-7C167B4AE497}"/>
    <cellStyle name="Normal 10 16 11" xfId="5076" xr:uid="{7DBD440D-6FBB-4BB6-826A-5A5FAB76C4FE}"/>
    <cellStyle name="Normal 10 16 12" xfId="5077" xr:uid="{578F9B33-675B-435A-9829-6B7A3623324D}"/>
    <cellStyle name="Normal 10 16 13" xfId="5078" xr:uid="{D2569601-2861-4267-B18C-5B2D2EE3CED5}"/>
    <cellStyle name="Normal 10 16 2" xfId="5079" xr:uid="{68D09DF7-4006-4545-9F17-9FED25D952CC}"/>
    <cellStyle name="Normal 10 16 2 2" xfId="5080" xr:uid="{8ED9ABDC-C524-42AB-96D7-4357059D8386}"/>
    <cellStyle name="Normal 10 16 2 3" xfId="5081" xr:uid="{A29DDB3D-0376-428C-A176-AF4D42ED5963}"/>
    <cellStyle name="Normal 10 16 2 4" xfId="5082" xr:uid="{6B99CBE7-DACA-4D3F-AAB1-430DE0E905AD}"/>
    <cellStyle name="Normal 10 16 2 5" xfId="5083" xr:uid="{8EDC939B-72F9-4757-A84D-4CE5CF09D9B5}"/>
    <cellStyle name="Normal 10 16 2 6" xfId="5084" xr:uid="{992B6B09-BCD7-4753-A79E-D683A82A9968}"/>
    <cellStyle name="Normal 10 16 3" xfId="5085" xr:uid="{ACE421A0-3FE4-4521-B82D-597CB95F1A57}"/>
    <cellStyle name="Normal 10 16 3 2" xfId="5086" xr:uid="{44993226-3628-4E70-898B-9999D438F7C7}"/>
    <cellStyle name="Normal 10 16 3 3" xfId="5087" xr:uid="{77F63A48-6D91-47D8-8D62-56D59DCBCC63}"/>
    <cellStyle name="Normal 10 16 3 4" xfId="5088" xr:uid="{E7532E36-F9CF-497E-AB3C-0EAA7D20A82E}"/>
    <cellStyle name="Normal 10 16 3 5" xfId="5089" xr:uid="{F37E1068-F063-4BD0-B42F-6C6F9FF8C060}"/>
    <cellStyle name="Normal 10 16 3 6" xfId="5090" xr:uid="{480FCA51-8995-49CB-BA73-2E64597F1562}"/>
    <cellStyle name="Normal 10 16 4" xfId="5091" xr:uid="{207BA839-E504-49AA-9060-B5A6DAF6F30A}"/>
    <cellStyle name="Normal 10 16 4 2" xfId="5092" xr:uid="{900E952F-0395-441B-9263-FD54016429BB}"/>
    <cellStyle name="Normal 10 16 4 3" xfId="5093" xr:uid="{3FDF76F2-93B2-489D-AA74-4AD063EAC5C5}"/>
    <cellStyle name="Normal 10 16 4 4" xfId="5094" xr:uid="{DA3D8EE4-748F-4F30-95DF-758DEF51AA06}"/>
    <cellStyle name="Normal 10 16 4 5" xfId="5095" xr:uid="{D4DDF8A8-7C9C-4504-A38C-F57C07907D72}"/>
    <cellStyle name="Normal 10 16 4 6" xfId="5096" xr:uid="{E3D64990-71AF-4FCF-8A02-C09C938A6F8D}"/>
    <cellStyle name="Normal 10 16 5" xfId="5097" xr:uid="{A035CC8C-63DF-4B6F-8C0B-0E6398AA6C22}"/>
    <cellStyle name="Normal 10 16 5 2" xfId="5098" xr:uid="{BA9C9980-61A4-4D02-BC5F-33876F0FF026}"/>
    <cellStyle name="Normal 10 16 5 3" xfId="5099" xr:uid="{C5A031AC-B57F-4D12-87A3-67F5B0F0099C}"/>
    <cellStyle name="Normal 10 16 5 4" xfId="5100" xr:uid="{BE4BDE28-64BB-46E9-B8B2-014CB2BE128B}"/>
    <cellStyle name="Normal 10 16 5 5" xfId="5101" xr:uid="{2CCC0CBC-28BD-41A2-8009-E2D0746B6626}"/>
    <cellStyle name="Normal 10 16 5 6" xfId="5102" xr:uid="{12EC3931-F154-4427-ACF3-CA51DBE025A1}"/>
    <cellStyle name="Normal 10 16 6" xfId="5103" xr:uid="{C2AEEB41-3129-4C5E-A896-6ADA71F43D9D}"/>
    <cellStyle name="Normal 10 16 6 2" xfId="5104" xr:uid="{DEBE8432-BBF7-4D26-9EDC-FA615F2B498C}"/>
    <cellStyle name="Normal 10 16 6 3" xfId="5105" xr:uid="{F3F0C389-6BB3-4BCA-8D5B-EEAA1075FE4E}"/>
    <cellStyle name="Normal 10 16 6 4" xfId="5106" xr:uid="{8D1E092E-8099-450D-A599-338DD4BAD7DD}"/>
    <cellStyle name="Normal 10 16 6 5" xfId="5107" xr:uid="{A9471812-C825-43C2-A631-E9E1EB0A8158}"/>
    <cellStyle name="Normal 10 16 6 6" xfId="5108" xr:uid="{2DB3EAE1-3842-42AD-BFFE-EB86CFE66F62}"/>
    <cellStyle name="Normal 10 16 7" xfId="5109" xr:uid="{BC247283-8BF5-4D86-918F-FC7302C7C6F4}"/>
    <cellStyle name="Normal 10 16 7 2" xfId="5110" xr:uid="{8966DE4F-5372-4675-A7AC-03F9D8E94F9D}"/>
    <cellStyle name="Normal 10 16 7 3" xfId="5111" xr:uid="{BE60B36F-410A-446E-9E84-AC2E94D78DBD}"/>
    <cellStyle name="Normal 10 16 7 4" xfId="5112" xr:uid="{32B4480E-19F3-4BE6-9AE1-C90A2607D736}"/>
    <cellStyle name="Normal 10 16 7 5" xfId="5113" xr:uid="{57B061AB-8D99-4EE3-BFE1-72DCA2C6C35F}"/>
    <cellStyle name="Normal 10 16 7 6" xfId="5114" xr:uid="{930DC780-7501-44DC-93B7-A6BAA86B6931}"/>
    <cellStyle name="Normal 10 16 8" xfId="5115" xr:uid="{3C83B45E-2EA1-4BB3-9666-1B35E21DED7F}"/>
    <cellStyle name="Normal 10 16 8 2" xfId="5116" xr:uid="{BC2C9CE3-8B84-4D53-A653-35ED80116FDC}"/>
    <cellStyle name="Normal 10 16 8 3" xfId="5117" xr:uid="{5554B8DA-9869-43A9-9310-57DDBC34D317}"/>
    <cellStyle name="Normal 10 16 8 4" xfId="5118" xr:uid="{DF1F175B-100B-48BB-B1BC-DB2A2D8DA020}"/>
    <cellStyle name="Normal 10 16 8 5" xfId="5119" xr:uid="{97281B6D-B2C5-4AB7-A84E-395F0876CC13}"/>
    <cellStyle name="Normal 10 16 8 6" xfId="5120" xr:uid="{82C781AD-E22E-496E-AC05-1B915111683A}"/>
    <cellStyle name="Normal 10 16 9" xfId="5121" xr:uid="{38AEFEE6-6D70-4AD0-94F3-6F6348F2055B}"/>
    <cellStyle name="Normal 10 17" xfId="5122" xr:uid="{C69C4C8F-4144-45C1-8958-537EC029313A}"/>
    <cellStyle name="Normal 10 17 10" xfId="5123" xr:uid="{3B55C068-0D70-45C4-87F1-EC8D978C033C}"/>
    <cellStyle name="Normal 10 17 11" xfId="5124" xr:uid="{62A362BB-2DE1-4C4A-B4D1-114E867B7DF8}"/>
    <cellStyle name="Normal 10 17 12" xfId="5125" xr:uid="{0D3793B4-968F-468B-8115-1A534274CD96}"/>
    <cellStyle name="Normal 10 17 13" xfId="5126" xr:uid="{E756D1E9-34DC-4A55-848E-5A2D954E9CFE}"/>
    <cellStyle name="Normal 10 17 2" xfId="5127" xr:uid="{1040928A-8089-4362-91BA-FCEC47524F4D}"/>
    <cellStyle name="Normal 10 17 2 2" xfId="5128" xr:uid="{C2057AD5-821C-4D4F-9BA8-A1AFA44FD13D}"/>
    <cellStyle name="Normal 10 17 2 3" xfId="5129" xr:uid="{9E2426E7-E14D-41B3-9CB6-F94FB257D546}"/>
    <cellStyle name="Normal 10 17 2 4" xfId="5130" xr:uid="{31E079D5-A3FC-4B18-8644-A634C98EDCAD}"/>
    <cellStyle name="Normal 10 17 2 5" xfId="5131" xr:uid="{0CC210C7-EADB-4CB1-82AD-FBB734DD1400}"/>
    <cellStyle name="Normal 10 17 2 6" xfId="5132" xr:uid="{27E9B633-D036-40AF-8A67-F223E01C964C}"/>
    <cellStyle name="Normal 10 17 3" xfId="5133" xr:uid="{9F793111-85B3-42EE-A809-F9CA4C951B75}"/>
    <cellStyle name="Normal 10 17 3 2" xfId="5134" xr:uid="{B9C57DD8-F317-4150-B5FF-A986A3D7AD33}"/>
    <cellStyle name="Normal 10 17 3 3" xfId="5135" xr:uid="{CBBF0B70-F6AB-4C4F-90C6-22BD08BBAEF5}"/>
    <cellStyle name="Normal 10 17 3 4" xfId="5136" xr:uid="{56FF3FCC-E908-4806-A413-70F9F2AC490A}"/>
    <cellStyle name="Normal 10 17 3 5" xfId="5137" xr:uid="{A27BACF7-3B50-4F95-A3A0-1DBEAA16CD58}"/>
    <cellStyle name="Normal 10 17 3 6" xfId="5138" xr:uid="{7BAC80EB-E616-4785-9837-1AEA80542B4D}"/>
    <cellStyle name="Normal 10 17 4" xfId="5139" xr:uid="{9EB29284-AC00-4EF8-878A-26064A984079}"/>
    <cellStyle name="Normal 10 17 4 2" xfId="5140" xr:uid="{4D78192E-86F5-40AA-AC80-E67AFA1390DE}"/>
    <cellStyle name="Normal 10 17 4 3" xfId="5141" xr:uid="{7F99D100-E784-49DB-8316-510E20F1FD50}"/>
    <cellStyle name="Normal 10 17 4 4" xfId="5142" xr:uid="{61839A46-C2F2-461B-AB43-607301B3C139}"/>
    <cellStyle name="Normal 10 17 4 5" xfId="5143" xr:uid="{D8FA2572-B22A-4FDE-8049-21E0808B6E06}"/>
    <cellStyle name="Normal 10 17 4 6" xfId="5144" xr:uid="{AB3FFD34-F001-420C-A027-D56F1073AA89}"/>
    <cellStyle name="Normal 10 17 5" xfId="5145" xr:uid="{95783C18-5332-4FEA-A67F-EB109166E9BF}"/>
    <cellStyle name="Normal 10 17 5 2" xfId="5146" xr:uid="{22A30B36-0816-4A72-9A6A-3BEF3758CDA0}"/>
    <cellStyle name="Normal 10 17 5 3" xfId="5147" xr:uid="{72728226-26A6-4F2B-BE68-405399CEE581}"/>
    <cellStyle name="Normal 10 17 5 4" xfId="5148" xr:uid="{532F484C-E6B6-49FD-94F3-658A9C6CAA87}"/>
    <cellStyle name="Normal 10 17 5 5" xfId="5149" xr:uid="{19302ED1-E21C-4C7A-8816-13C34F7C7011}"/>
    <cellStyle name="Normal 10 17 5 6" xfId="5150" xr:uid="{10BA15F2-4016-4E12-BA6C-A2F441E8A683}"/>
    <cellStyle name="Normal 10 17 6" xfId="5151" xr:uid="{8D1C2FEB-7A90-43E9-AA4B-92A1A629E94D}"/>
    <cellStyle name="Normal 10 17 6 2" xfId="5152" xr:uid="{A2733C2E-E742-4C53-8E31-EB2C2814DBC0}"/>
    <cellStyle name="Normal 10 17 6 3" xfId="5153" xr:uid="{A88BBBEB-69DB-4B14-A7D9-9DDA5D0713FB}"/>
    <cellStyle name="Normal 10 17 6 4" xfId="5154" xr:uid="{C42FE13F-D386-42BD-934A-48BF1CCADF91}"/>
    <cellStyle name="Normal 10 17 6 5" xfId="5155" xr:uid="{526DFF95-9811-4A4B-A7A5-2ED55C927775}"/>
    <cellStyle name="Normal 10 17 6 6" xfId="5156" xr:uid="{C27C1D32-0234-4C79-ABB8-4BEE7DE8A42C}"/>
    <cellStyle name="Normal 10 17 7" xfId="5157" xr:uid="{4822A38A-67AD-45EA-82E7-14CE93993D1B}"/>
    <cellStyle name="Normal 10 17 7 2" xfId="5158" xr:uid="{A2287B4F-E0C9-4C82-BF93-B4879EEAA253}"/>
    <cellStyle name="Normal 10 17 7 3" xfId="5159" xr:uid="{45AFD89E-06B0-44BE-B1F8-44059E60DBAC}"/>
    <cellStyle name="Normal 10 17 7 4" xfId="5160" xr:uid="{424F84DE-6092-41EE-88E3-1DD195176FCA}"/>
    <cellStyle name="Normal 10 17 7 5" xfId="5161" xr:uid="{8066E300-BA7F-4F3D-9B70-5434B7B16C20}"/>
    <cellStyle name="Normal 10 17 7 6" xfId="5162" xr:uid="{41845C0D-F73C-4E62-A98E-9A19E0DFCA5B}"/>
    <cellStyle name="Normal 10 17 8" xfId="5163" xr:uid="{6334803C-49B0-4582-BB8E-0686608933F3}"/>
    <cellStyle name="Normal 10 17 8 2" xfId="5164" xr:uid="{7209B50D-DA31-4AEA-B551-C3FB87C9C0BE}"/>
    <cellStyle name="Normal 10 17 8 3" xfId="5165" xr:uid="{409D85F5-C9BB-43FC-8A06-3CC2BC2C3A16}"/>
    <cellStyle name="Normal 10 17 8 4" xfId="5166" xr:uid="{2A4BCB78-1B1B-41CB-9351-8CD76768BFFC}"/>
    <cellStyle name="Normal 10 17 8 5" xfId="5167" xr:uid="{4831C9A9-2CD9-4607-8F63-51DA361DCFCC}"/>
    <cellStyle name="Normal 10 17 8 6" xfId="5168" xr:uid="{7B8C97C6-9F91-45BB-8BCF-6B34714FD29E}"/>
    <cellStyle name="Normal 10 17 9" xfId="5169" xr:uid="{A6F22CDD-4951-4804-BBB6-D18600AC3690}"/>
    <cellStyle name="Normal 10 18" xfId="5170" xr:uid="{E5122447-77AA-42DF-A990-0348B578FA3D}"/>
    <cellStyle name="Normal 10 18 10" xfId="5171" xr:uid="{E033712A-4E20-498B-AD2C-7415FF38704F}"/>
    <cellStyle name="Normal 10 18 11" xfId="5172" xr:uid="{6577CFB2-25C4-4A23-AC2B-19CEED96B677}"/>
    <cellStyle name="Normal 10 18 12" xfId="5173" xr:uid="{8F0988BD-E21D-45BD-8E12-8AD8F643A767}"/>
    <cellStyle name="Normal 10 18 13" xfId="5174" xr:uid="{06421512-4D5F-4128-9C89-FF38A4E37DA9}"/>
    <cellStyle name="Normal 10 18 2" xfId="5175" xr:uid="{9A1C8373-3F43-41D0-B4C3-BDD5EA83E3D1}"/>
    <cellStyle name="Normal 10 18 2 2" xfId="5176" xr:uid="{6BB21E8B-B022-4087-A4DA-DC58CA19B2FB}"/>
    <cellStyle name="Normal 10 18 2 3" xfId="5177" xr:uid="{99E7677B-7991-42B9-A53D-DCCA527FE82C}"/>
    <cellStyle name="Normal 10 18 2 4" xfId="5178" xr:uid="{70BDBF9A-7583-499A-8CF1-CFA704BAB477}"/>
    <cellStyle name="Normal 10 18 2 5" xfId="5179" xr:uid="{993C24B1-E755-4655-AC7A-91AA6B9924D2}"/>
    <cellStyle name="Normal 10 18 2 6" xfId="5180" xr:uid="{D46FAD08-0F71-41D3-9BF0-F8622DF5D214}"/>
    <cellStyle name="Normal 10 18 3" xfId="5181" xr:uid="{14750FD3-DECE-4853-BD79-F226BE136D8B}"/>
    <cellStyle name="Normal 10 18 3 2" xfId="5182" xr:uid="{4D244400-4D5A-4156-945C-6E2DC829881D}"/>
    <cellStyle name="Normal 10 18 3 3" xfId="5183" xr:uid="{4974BFA2-4B5B-4EF3-B2A7-C0B32F8E65F8}"/>
    <cellStyle name="Normal 10 18 3 4" xfId="5184" xr:uid="{F7ECC1C2-A534-4F07-B365-62E03A1BB312}"/>
    <cellStyle name="Normal 10 18 3 5" xfId="5185" xr:uid="{31D6B877-28A8-436C-B7A3-92727BA08829}"/>
    <cellStyle name="Normal 10 18 3 6" xfId="5186" xr:uid="{476D5BDB-9344-477D-B772-831474FBE69C}"/>
    <cellStyle name="Normal 10 18 4" xfId="5187" xr:uid="{B6129D1B-51B3-439E-8E5C-1E5D2385138F}"/>
    <cellStyle name="Normal 10 18 4 2" xfId="5188" xr:uid="{BE537195-CF05-4A9A-8B5D-DB79BFF36BE3}"/>
    <cellStyle name="Normal 10 18 4 3" xfId="5189" xr:uid="{0CABBB45-5B4D-4A1E-B5C4-60531B1DA50C}"/>
    <cellStyle name="Normal 10 18 4 4" xfId="5190" xr:uid="{F61253A4-E57B-49F0-9DF4-2C43AFD789AD}"/>
    <cellStyle name="Normal 10 18 4 5" xfId="5191" xr:uid="{5FD1CABB-1AF7-4CC3-BE96-DBD6258CA140}"/>
    <cellStyle name="Normal 10 18 4 6" xfId="5192" xr:uid="{BAB808C4-02D8-4022-8CAC-28FDF6820F9B}"/>
    <cellStyle name="Normal 10 18 5" xfId="5193" xr:uid="{A0404CB8-F2B0-470B-B397-6FFC638FE953}"/>
    <cellStyle name="Normal 10 18 5 2" xfId="5194" xr:uid="{5E86CBE8-BE8A-4160-885C-553ED0FAB3F8}"/>
    <cellStyle name="Normal 10 18 5 3" xfId="5195" xr:uid="{98D84533-30BC-48F7-BA82-3CF04979FCE1}"/>
    <cellStyle name="Normal 10 18 5 4" xfId="5196" xr:uid="{62A53221-8A8A-43F2-8C65-3791275227E7}"/>
    <cellStyle name="Normal 10 18 5 5" xfId="5197" xr:uid="{107AD719-C7A5-4636-83E9-A1982C76CAEA}"/>
    <cellStyle name="Normal 10 18 5 6" xfId="5198" xr:uid="{FB97853D-67D9-4F74-B40E-FF9CF627CD57}"/>
    <cellStyle name="Normal 10 18 6" xfId="5199" xr:uid="{7F7A5D51-B8F3-4656-8672-5EA5F2363F2D}"/>
    <cellStyle name="Normal 10 18 6 2" xfId="5200" xr:uid="{5BAFC5C6-70C7-48E2-A96C-82B8A0F0518C}"/>
    <cellStyle name="Normal 10 18 6 3" xfId="5201" xr:uid="{F94AAB6D-5D33-4D3F-B6F5-69E7204A41AF}"/>
    <cellStyle name="Normal 10 18 6 4" xfId="5202" xr:uid="{27702E26-F48F-4239-989A-D4DA56B564AF}"/>
    <cellStyle name="Normal 10 18 6 5" xfId="5203" xr:uid="{AF9F96C0-FB60-4A65-B66F-F1FFC86126C5}"/>
    <cellStyle name="Normal 10 18 6 6" xfId="5204" xr:uid="{1BB78BEE-8F98-4FF8-8602-0079BA552892}"/>
    <cellStyle name="Normal 10 18 7" xfId="5205" xr:uid="{0486047C-CC4D-4746-B4D7-94001A48B45E}"/>
    <cellStyle name="Normal 10 18 7 2" xfId="5206" xr:uid="{A6F2A03F-C744-4556-85EA-61618C10573D}"/>
    <cellStyle name="Normal 10 18 7 3" xfId="5207" xr:uid="{A658F7BD-8163-4EB3-9093-48D146336EB1}"/>
    <cellStyle name="Normal 10 18 7 4" xfId="5208" xr:uid="{2A8F321E-956E-42EC-93BE-8A7DA5076486}"/>
    <cellStyle name="Normal 10 18 7 5" xfId="5209" xr:uid="{E0719DE0-00AE-4B11-8627-2108AA36A7B1}"/>
    <cellStyle name="Normal 10 18 7 6" xfId="5210" xr:uid="{26B91B17-815C-4E01-813B-39CEE7E2A1A0}"/>
    <cellStyle name="Normal 10 18 8" xfId="5211" xr:uid="{DF8D87EB-3E32-4615-835C-16CE89B989A3}"/>
    <cellStyle name="Normal 10 18 8 2" xfId="5212" xr:uid="{B5491FD6-DFD5-4E02-AB3F-B96D4B1B47F9}"/>
    <cellStyle name="Normal 10 18 8 3" xfId="5213" xr:uid="{BB8437A7-EE23-4DFF-879D-059927070C80}"/>
    <cellStyle name="Normal 10 18 8 4" xfId="5214" xr:uid="{D5244D02-A8E4-4E0E-A2A3-BC2495FC9A67}"/>
    <cellStyle name="Normal 10 18 8 5" xfId="5215" xr:uid="{68840022-95CB-4760-BF14-DA631C77462A}"/>
    <cellStyle name="Normal 10 18 8 6" xfId="5216" xr:uid="{D6AD1C33-3678-4840-BF99-E1EAE7B290B2}"/>
    <cellStyle name="Normal 10 18 9" xfId="5217" xr:uid="{1694C00B-69B0-410A-AB01-0E96DF5B414D}"/>
    <cellStyle name="Normal 10 19" xfId="5218" xr:uid="{F4A425A4-4467-4F38-B47B-2B4BCC8BF515}"/>
    <cellStyle name="Normal 10 19 10" xfId="5219" xr:uid="{A11E30E4-759D-4CB1-8588-0296FFF43960}"/>
    <cellStyle name="Normal 10 19 11" xfId="5220" xr:uid="{A68EF018-1C52-41C3-89DE-189A2EDDE591}"/>
    <cellStyle name="Normal 10 19 12" xfId="5221" xr:uid="{1CBE68D9-E8AD-4026-A771-E1E2F68F65B8}"/>
    <cellStyle name="Normal 10 19 13" xfId="5222" xr:uid="{4A1198A7-A199-45FB-B806-73504E32BC74}"/>
    <cellStyle name="Normal 10 19 2" xfId="5223" xr:uid="{E1CD3CC4-366D-4B9E-A0D7-4C4650B6E932}"/>
    <cellStyle name="Normal 10 19 2 2" xfId="5224" xr:uid="{D9443F54-CD40-4D96-884B-B483BD68FF3B}"/>
    <cellStyle name="Normal 10 19 2 3" xfId="5225" xr:uid="{2AA0DC2B-86BA-46DD-8006-6146A101740F}"/>
    <cellStyle name="Normal 10 19 2 4" xfId="5226" xr:uid="{4FBF738D-7546-4A0E-9F4E-D3C869939FFE}"/>
    <cellStyle name="Normal 10 19 2 5" xfId="5227" xr:uid="{875C9F9A-7120-4268-A717-67FDAA3B0DF4}"/>
    <cellStyle name="Normal 10 19 2 6" xfId="5228" xr:uid="{161A9E57-5A35-4E72-B865-3CC26A1BEC0A}"/>
    <cellStyle name="Normal 10 19 3" xfId="5229" xr:uid="{23DD8C33-F00F-4840-99F1-D9450AFD4BB4}"/>
    <cellStyle name="Normal 10 19 3 2" xfId="5230" xr:uid="{984D820E-94C1-45AB-8438-370F54AA347B}"/>
    <cellStyle name="Normal 10 19 3 3" xfId="5231" xr:uid="{DE3FDC23-2574-4D4A-B7D3-69C543888820}"/>
    <cellStyle name="Normal 10 19 3 4" xfId="5232" xr:uid="{50CEC23A-76B2-4243-B7A5-B422BB233BCA}"/>
    <cellStyle name="Normal 10 19 3 5" xfId="5233" xr:uid="{E27BEE42-7457-4978-A627-E12574D5CDD4}"/>
    <cellStyle name="Normal 10 19 3 6" xfId="5234" xr:uid="{A302F4CE-376D-414C-AD0E-493C48208357}"/>
    <cellStyle name="Normal 10 19 4" xfId="5235" xr:uid="{E8A47986-34FF-4775-AEE2-6A670D1E4969}"/>
    <cellStyle name="Normal 10 19 4 2" xfId="5236" xr:uid="{82AC2A27-69DF-41C9-81F3-02CDDADA299C}"/>
    <cellStyle name="Normal 10 19 4 3" xfId="5237" xr:uid="{007A3DA3-5F19-4AA2-A313-76312B71F6FD}"/>
    <cellStyle name="Normal 10 19 4 4" xfId="5238" xr:uid="{0C8C4DC1-483C-4197-8AE4-A77B98917991}"/>
    <cellStyle name="Normal 10 19 4 5" xfId="5239" xr:uid="{723881FC-BD75-4335-91BC-025AB7059FEC}"/>
    <cellStyle name="Normal 10 19 4 6" xfId="5240" xr:uid="{D027933F-D04D-4828-8E20-A6A25DD50CE8}"/>
    <cellStyle name="Normal 10 19 5" xfId="5241" xr:uid="{578BD369-5C6C-4AD6-BC3C-4769C688B7C2}"/>
    <cellStyle name="Normal 10 19 5 2" xfId="5242" xr:uid="{B04839D7-2283-44A4-BFED-C2255A8686D8}"/>
    <cellStyle name="Normal 10 19 5 3" xfId="5243" xr:uid="{176E24C6-7473-436E-B0FC-009CD94ABF91}"/>
    <cellStyle name="Normal 10 19 5 4" xfId="5244" xr:uid="{36DC665E-D815-4C13-AB91-2A3E2D1D88BF}"/>
    <cellStyle name="Normal 10 19 5 5" xfId="5245" xr:uid="{10A1A718-50B7-49F5-A61C-8548F6088A72}"/>
    <cellStyle name="Normal 10 19 5 6" xfId="5246" xr:uid="{84B59399-849F-4028-A380-4139D251D7EA}"/>
    <cellStyle name="Normal 10 19 6" xfId="5247" xr:uid="{9C509697-3BCF-42A5-BB91-B90FCFBBA4F2}"/>
    <cellStyle name="Normal 10 19 6 2" xfId="5248" xr:uid="{BBE6C5AD-3531-4930-8079-306F0A09E496}"/>
    <cellStyle name="Normal 10 19 6 3" xfId="5249" xr:uid="{5DCBD8DF-5CCC-409F-BCC5-3F7F755AC2C0}"/>
    <cellStyle name="Normal 10 19 6 4" xfId="5250" xr:uid="{5CD326C0-935A-46D1-A531-862A4F178680}"/>
    <cellStyle name="Normal 10 19 6 5" xfId="5251" xr:uid="{FC841A53-3F3A-4C0F-8AD9-B04ECBA1B542}"/>
    <cellStyle name="Normal 10 19 6 6" xfId="5252" xr:uid="{37D5111A-2E94-4893-95BE-96730C7E711C}"/>
    <cellStyle name="Normal 10 19 7" xfId="5253" xr:uid="{44BB28F0-742C-4302-906C-77B0C214A65F}"/>
    <cellStyle name="Normal 10 19 7 2" xfId="5254" xr:uid="{9387946F-813F-44E3-9617-CD61AA77CE67}"/>
    <cellStyle name="Normal 10 19 7 3" xfId="5255" xr:uid="{51F12661-9D93-4EEE-9189-3A69EEE6ED2D}"/>
    <cellStyle name="Normal 10 19 7 4" xfId="5256" xr:uid="{77D01B73-D0DC-4114-86AE-E48B092F80B3}"/>
    <cellStyle name="Normal 10 19 7 5" xfId="5257" xr:uid="{66BB432D-2F4F-40CD-8F69-49864DA13D5A}"/>
    <cellStyle name="Normal 10 19 7 6" xfId="5258" xr:uid="{ECDEE8DD-E42F-4E1F-9A03-B44E5B45D655}"/>
    <cellStyle name="Normal 10 19 8" xfId="5259" xr:uid="{36F842A6-1CB3-4455-BBCD-89BE20CA6023}"/>
    <cellStyle name="Normal 10 19 8 2" xfId="5260" xr:uid="{85403778-60F6-42DB-ADD1-70EFC0AE35ED}"/>
    <cellStyle name="Normal 10 19 8 3" xfId="5261" xr:uid="{8125CE16-A8FB-4210-AE8C-397B146D90D3}"/>
    <cellStyle name="Normal 10 19 8 4" xfId="5262" xr:uid="{6CDA5F23-C87C-40E0-9A2F-481A7B362DF9}"/>
    <cellStyle name="Normal 10 19 8 5" xfId="5263" xr:uid="{677D051F-FA0C-4EA9-8336-7362F31DCD23}"/>
    <cellStyle name="Normal 10 19 8 6" xfId="5264" xr:uid="{1FA3FB7B-C04F-4AA9-A057-F66F58F8FDFB}"/>
    <cellStyle name="Normal 10 19 9" xfId="5265" xr:uid="{99824348-9EAC-4420-9CDE-5351104BE067}"/>
    <cellStyle name="Normal 10 2" xfId="5266" xr:uid="{7285528E-DB2A-4107-9690-B2A15D02B02D}"/>
    <cellStyle name="Normal 10 2 10" xfId="5267" xr:uid="{20795573-9D05-4244-A1D3-D3CAEA089C47}"/>
    <cellStyle name="Normal 10 2 10 2" xfId="5268" xr:uid="{A288120B-1836-4EC9-AF40-A3A55123637B}"/>
    <cellStyle name="Normal 10 2 10 2 2" xfId="5269" xr:uid="{0F5FA1DE-55B7-4E21-912D-0903D5EDA8FE}"/>
    <cellStyle name="Normal 10 2 10 2 3" xfId="5270" xr:uid="{A1537923-0612-4394-B581-B1762C9D982F}"/>
    <cellStyle name="Normal 10 2 10 2 4" xfId="5271" xr:uid="{239108C9-930B-4D01-B319-FFA37C3F2A79}"/>
    <cellStyle name="Normal 10 2 10 3" xfId="5272" xr:uid="{87A5ECA2-5ED9-47A6-BE6C-2A80C9EAAF05}"/>
    <cellStyle name="Normal 10 2 10 3 2" xfId="5273" xr:uid="{CC32F95F-8F80-4231-9F93-9FB6C92252EA}"/>
    <cellStyle name="Normal 10 2 10 3 3" xfId="5274" xr:uid="{54C8EB7A-174E-4B8D-9D8A-7CCFF303A778}"/>
    <cellStyle name="Normal 10 2 10 3 4" xfId="5275" xr:uid="{B4F805A0-A42C-4D0A-9152-D6600A375161}"/>
    <cellStyle name="Normal 10 2 10 4" xfId="5276" xr:uid="{F0D67DD4-EA8D-43C7-8EE9-FDE444D6C9D3}"/>
    <cellStyle name="Normal 10 2 10 5" xfId="5277" xr:uid="{FF3DEFEF-D124-42A6-AE58-69F5DA63AD41}"/>
    <cellStyle name="Normal 10 2 10 6" xfId="5278" xr:uid="{048EB0E8-D09A-46B3-BBA2-54EA37822021}"/>
    <cellStyle name="Normal 10 2 11" xfId="5279" xr:uid="{EB63EFD9-B418-400F-B8BF-4D820E8E464B}"/>
    <cellStyle name="Normal 10 2 11 2" xfId="5280" xr:uid="{BB941DEA-83EA-4F9D-BA9D-BD96726B5F32}"/>
    <cellStyle name="Normal 10 2 11 2 2" xfId="5281" xr:uid="{E09264FB-E3E1-4DAB-9E5F-1E6ADEDE1E67}"/>
    <cellStyle name="Normal 10 2 11 2 3" xfId="5282" xr:uid="{D2CF8D75-3B6C-4751-A030-CCC4F846732B}"/>
    <cellStyle name="Normal 10 2 11 2 4" xfId="5283" xr:uid="{CCFDEA85-0455-49EA-9B5B-918D72B1C675}"/>
    <cellStyle name="Normal 10 2 11 3" xfId="5284" xr:uid="{B6562C9A-B316-42F9-B934-A43E28C8D67F}"/>
    <cellStyle name="Normal 10 2 11 3 2" xfId="5285" xr:uid="{71BBEE3A-F16F-429E-B08A-978A158823C5}"/>
    <cellStyle name="Normal 10 2 11 3 3" xfId="5286" xr:uid="{B91C5673-008E-4C5A-9DA6-CB0A9E7F1605}"/>
    <cellStyle name="Normal 10 2 11 3 4" xfId="5287" xr:uid="{51F533D8-0FE6-4724-8FF9-51F4B8ADD5D0}"/>
    <cellStyle name="Normal 10 2 11 4" xfId="5288" xr:uid="{57111217-A55E-4142-B8C1-03820429FF79}"/>
    <cellStyle name="Normal 10 2 11 5" xfId="5289" xr:uid="{30485F30-1948-4A65-95FE-458211E27308}"/>
    <cellStyle name="Normal 10 2 11 6" xfId="5290" xr:uid="{D5F52838-36AF-45AD-919A-18C27FEEE32A}"/>
    <cellStyle name="Normal 10 2 12" xfId="5291" xr:uid="{0C9294DF-7998-4833-B082-187F138CC9FF}"/>
    <cellStyle name="Normal 10 2 12 2" xfId="5292" xr:uid="{52F8E8C7-D2BB-4282-BFF9-7B318AAA332B}"/>
    <cellStyle name="Normal 10 2 12 2 2" xfId="5293" xr:uid="{66BED081-0BC4-4913-858E-8E5E90FD1F83}"/>
    <cellStyle name="Normal 10 2 12 2 3" xfId="5294" xr:uid="{0918F4E3-9B60-40AF-9105-8C85926371DD}"/>
    <cellStyle name="Normal 10 2 12 2 4" xfId="5295" xr:uid="{878568B6-9B22-449C-9F90-41887FB706AA}"/>
    <cellStyle name="Normal 10 2 12 3" xfId="5296" xr:uid="{93F5A966-4B80-4FF5-A472-C8F362875275}"/>
    <cellStyle name="Normal 10 2 12 3 2" xfId="5297" xr:uid="{FDB1D155-3308-4E6A-B5C8-F886B476D69B}"/>
    <cellStyle name="Normal 10 2 12 3 3" xfId="5298" xr:uid="{D6783F42-5914-45FB-8040-0F37FF6A262B}"/>
    <cellStyle name="Normal 10 2 12 3 4" xfId="5299" xr:uid="{0EA4559C-C7A4-4E48-B997-B99AFD5132C1}"/>
    <cellStyle name="Normal 10 2 12 4" xfId="5300" xr:uid="{02CD1DB2-84B8-4877-B625-43B80F08B341}"/>
    <cellStyle name="Normal 10 2 12 5" xfId="5301" xr:uid="{B7FF8CA0-0CE8-45D2-90A9-43A5A2161D93}"/>
    <cellStyle name="Normal 10 2 12 6" xfId="5302" xr:uid="{70D0EFA4-8A1B-428F-A24D-A032199EF6B7}"/>
    <cellStyle name="Normal 10 2 13" xfId="5303" xr:uid="{0B282302-9C78-44BE-91F4-48F982E857AD}"/>
    <cellStyle name="Normal 10 2 13 2" xfId="5304" xr:uid="{AC05A6DF-0DD0-4C1A-A1A2-764FD62A0651}"/>
    <cellStyle name="Normal 10 2 13 2 2" xfId="5305" xr:uid="{4E495A90-C961-4830-9423-FD370BF9FA98}"/>
    <cellStyle name="Normal 10 2 13 2 3" xfId="5306" xr:uid="{C395D10C-F991-4261-9222-A37EDB852A65}"/>
    <cellStyle name="Normal 10 2 13 2 4" xfId="5307" xr:uid="{A1FF1B26-08D3-45D6-9361-936382995D92}"/>
    <cellStyle name="Normal 10 2 13 3" xfId="5308" xr:uid="{D5A25D56-AFF6-4058-98C0-33B2C21826AF}"/>
    <cellStyle name="Normal 10 2 13 3 2" xfId="5309" xr:uid="{F7DD67FD-62FD-4000-B71A-EBFFCB02AF9B}"/>
    <cellStyle name="Normal 10 2 13 3 3" xfId="5310" xr:uid="{ECF0C6AF-CD45-42D8-9E9B-9371BA9CAF1B}"/>
    <cellStyle name="Normal 10 2 13 3 4" xfId="5311" xr:uid="{CA141174-5BBA-4AFF-BDD5-6CEAC85372C9}"/>
    <cellStyle name="Normal 10 2 13 4" xfId="5312" xr:uid="{EB684769-748F-4BDD-9A74-D5B62F812DB2}"/>
    <cellStyle name="Normal 10 2 13 5" xfId="5313" xr:uid="{FEAAF8DB-4966-4E42-9822-A3E7DC640DC0}"/>
    <cellStyle name="Normal 10 2 13 6" xfId="5314" xr:uid="{1C2C0BDF-F24C-4887-99FB-940400D71A8E}"/>
    <cellStyle name="Normal 10 2 14" xfId="5315" xr:uid="{EDB5EA97-5F71-4F51-8977-2AF5333DD1A0}"/>
    <cellStyle name="Normal 10 2 14 2" xfId="5316" xr:uid="{2F247407-6FAC-46FF-B31A-0CA29D13F708}"/>
    <cellStyle name="Normal 10 2 14 2 2" xfId="5317" xr:uid="{21FD1326-E763-4CBA-9809-D2D9E7F9650A}"/>
    <cellStyle name="Normal 10 2 14 2 3" xfId="5318" xr:uid="{CC010C27-3241-4130-8F41-3BD7A62FD667}"/>
    <cellStyle name="Normal 10 2 14 2 4" xfId="5319" xr:uid="{33AFE669-09EA-45A6-B4A6-865EE040B3E9}"/>
    <cellStyle name="Normal 10 2 14 3" xfId="5320" xr:uid="{82D401F4-5ED8-49B0-8467-1E13170CC128}"/>
    <cellStyle name="Normal 10 2 14 3 2" xfId="5321" xr:uid="{E23E6CCB-659F-4BE2-9BEB-F4D86C0FFCE7}"/>
    <cellStyle name="Normal 10 2 14 3 3" xfId="5322" xr:uid="{65A9FC3D-34CB-452B-8E8D-D7CD963794D5}"/>
    <cellStyle name="Normal 10 2 14 3 4" xfId="5323" xr:uid="{A38AB688-E5E2-4EB1-ACA9-989D0BC4C001}"/>
    <cellStyle name="Normal 10 2 14 4" xfId="5324" xr:uid="{E0EA94EB-2008-4F59-977B-7EA1023BAF7D}"/>
    <cellStyle name="Normal 10 2 14 5" xfId="5325" xr:uid="{989FFDFE-7EA0-4663-A347-89DC20C9023A}"/>
    <cellStyle name="Normal 10 2 14 6" xfId="5326" xr:uid="{120680C5-6BE1-4394-9BC8-113A9D2F5A40}"/>
    <cellStyle name="Normal 10 2 15" xfId="5327" xr:uid="{660FC67D-2409-4C2D-BABB-650F284C4833}"/>
    <cellStyle name="Normal 10 2 15 2" xfId="5328" xr:uid="{6E47811D-41C5-4B55-A25E-3FB6AB9A7001}"/>
    <cellStyle name="Normal 10 2 15 2 2" xfId="5329" xr:uid="{E39FA914-B477-41E4-9611-8C82068499B8}"/>
    <cellStyle name="Normal 10 2 15 2 3" xfId="5330" xr:uid="{4AD6DB35-FC2F-48D4-8F21-349A8CBB784A}"/>
    <cellStyle name="Normal 10 2 15 2 4" xfId="5331" xr:uid="{48730867-9412-4A21-B06B-6DFA8918FE70}"/>
    <cellStyle name="Normal 10 2 15 3" xfId="5332" xr:uid="{599D19B3-F756-462F-A5AE-4A24E6DA0425}"/>
    <cellStyle name="Normal 10 2 15 3 2" xfId="5333" xr:uid="{553711D9-592E-4EC4-9913-70304CA234FB}"/>
    <cellStyle name="Normal 10 2 15 3 3" xfId="5334" xr:uid="{14593435-D041-4FDF-9124-ECB7E0C31904}"/>
    <cellStyle name="Normal 10 2 15 3 4" xfId="5335" xr:uid="{B86CE14F-F4F5-4552-85DD-C3AA9417365B}"/>
    <cellStyle name="Normal 10 2 15 4" xfId="5336" xr:uid="{7927C0AD-2F3A-4E86-8769-1C6397F41874}"/>
    <cellStyle name="Normal 10 2 15 5" xfId="5337" xr:uid="{5F1AA8AD-47A4-4B0D-A9ED-A0682FDE2AFB}"/>
    <cellStyle name="Normal 10 2 15 6" xfId="5338" xr:uid="{BBC228E5-8ADC-4F23-888D-8FB7D38D6CE3}"/>
    <cellStyle name="Normal 10 2 16" xfId="5339" xr:uid="{01571D15-3390-4AC9-8416-9AEBE757FC10}"/>
    <cellStyle name="Normal 10 2 16 2" xfId="5340" xr:uid="{36C9F8D7-5972-416D-92AA-99EB3157B020}"/>
    <cellStyle name="Normal 10 2 16 2 2" xfId="5341" xr:uid="{3019E7DE-398E-4144-A425-502AA2F1E4CA}"/>
    <cellStyle name="Normal 10 2 16 2 3" xfId="5342" xr:uid="{B7B8AA62-A707-453B-81F2-054B117F71F2}"/>
    <cellStyle name="Normal 10 2 16 2 4" xfId="5343" xr:uid="{988C005D-B546-4F88-9A5E-72C0D7D67651}"/>
    <cellStyle name="Normal 10 2 16 3" xfId="5344" xr:uid="{E0885026-6044-4ACC-9053-8852DBBBA85F}"/>
    <cellStyle name="Normal 10 2 16 3 2" xfId="5345" xr:uid="{B29C1DAD-89C7-493A-9356-B26DF9A768F7}"/>
    <cellStyle name="Normal 10 2 16 3 3" xfId="5346" xr:uid="{85B9EA14-0417-4EA9-8697-F168AFAEBB07}"/>
    <cellStyle name="Normal 10 2 16 3 4" xfId="5347" xr:uid="{3B367B31-6ACE-47BA-9C4D-88899D605D1B}"/>
    <cellStyle name="Normal 10 2 16 4" xfId="5348" xr:uid="{25ADC45A-FAA7-44E3-BA05-8BD3D4A87BFB}"/>
    <cellStyle name="Normal 10 2 16 5" xfId="5349" xr:uid="{917B1EAA-281B-46D1-AEE8-B74D197A9F7C}"/>
    <cellStyle name="Normal 10 2 16 6" xfId="5350" xr:uid="{59A6F340-D298-4A27-8888-9B6772778758}"/>
    <cellStyle name="Normal 10 2 17" xfId="5351" xr:uid="{C44642EC-EF9C-4BC5-91E7-5BC5094692E0}"/>
    <cellStyle name="Normal 10 2 17 2" xfId="5352" xr:uid="{10BF12AA-74B6-4B75-9825-425FF5A63882}"/>
    <cellStyle name="Normal 10 2 17 2 2" xfId="5353" xr:uid="{AF25CD4C-2A5B-43A6-92C1-2E4377D73F87}"/>
    <cellStyle name="Normal 10 2 17 2 3" xfId="5354" xr:uid="{4ABEF299-8264-43CB-A54E-203808A6F293}"/>
    <cellStyle name="Normal 10 2 17 2 4" xfId="5355" xr:uid="{60D1DC0E-9459-4F25-AB73-B4EA4BB37E6C}"/>
    <cellStyle name="Normal 10 2 17 3" xfId="5356" xr:uid="{E0D89569-52DE-4A38-9FC4-36C627EC4262}"/>
    <cellStyle name="Normal 10 2 17 3 2" xfId="5357" xr:uid="{60E89415-B823-483F-9E2B-C61EDD6B5C43}"/>
    <cellStyle name="Normal 10 2 17 3 3" xfId="5358" xr:uid="{DF8AFAF9-713A-4267-B0F7-C961C21AFC9C}"/>
    <cellStyle name="Normal 10 2 17 3 4" xfId="5359" xr:uid="{E465FDE3-C110-4DF1-8C93-017CBB734346}"/>
    <cellStyle name="Normal 10 2 17 4" xfId="5360" xr:uid="{1C2AE0D8-4FB7-4891-A159-119CFE96EF29}"/>
    <cellStyle name="Normal 10 2 17 5" xfId="5361" xr:uid="{9DA232C8-925E-45C8-9823-F86F370691C6}"/>
    <cellStyle name="Normal 10 2 17 6" xfId="5362" xr:uid="{8E6DC355-98A2-4B86-9B1B-6A5CCFCD617C}"/>
    <cellStyle name="Normal 10 2 18" xfId="5363" xr:uid="{F43900A0-E736-4387-B0BB-54A750CD60AC}"/>
    <cellStyle name="Normal 10 2 18 2" xfId="5364" xr:uid="{8E6AC263-CC62-43E9-BBD9-AD7AFE2492AD}"/>
    <cellStyle name="Normal 10 2 18 3" xfId="5365" xr:uid="{A6FCE14B-236A-4658-B242-265428BA6CB0}"/>
    <cellStyle name="Normal 10 2 18 4" xfId="5366" xr:uid="{9577C3D9-B2DC-4E54-8F90-71ABDDC852E2}"/>
    <cellStyle name="Normal 10 2 19" xfId="5367" xr:uid="{6C80247F-22AE-4455-B547-615574A3D683}"/>
    <cellStyle name="Normal 10 2 19 2" xfId="5368" xr:uid="{B721FDE8-4EB2-4E1E-B644-8039AA57F1A2}"/>
    <cellStyle name="Normal 10 2 19 3" xfId="5369" xr:uid="{9983BEC9-50AB-4CAA-BE01-3BD095F4AC33}"/>
    <cellStyle name="Normal 10 2 19 4" xfId="5370" xr:uid="{83BDF6D1-04AA-4DDC-AA22-CD84A68B9858}"/>
    <cellStyle name="Normal 10 2 2" xfId="5371" xr:uid="{F73D661F-30A7-4AEF-A4F0-3A3ECF9EAAC2}"/>
    <cellStyle name="Normal 10 2 2 2" xfId="5372" xr:uid="{6B155DE9-82CF-4220-9F19-A1A67E1F5AB1}"/>
    <cellStyle name="Normal 10 2 2 2 2" xfId="5373" xr:uid="{7036DD4F-D43A-4FA9-8D4E-21F031BBC42A}"/>
    <cellStyle name="Normal 10 2 2 2 3" xfId="5374" xr:uid="{F31B2032-3BC2-4522-90FD-3D8564D16357}"/>
    <cellStyle name="Normal 10 2 2 2 4" xfId="5375" xr:uid="{65638C22-49AF-4AC2-8ED1-2F90BD68543D}"/>
    <cellStyle name="Normal 10 2 2 3" xfId="5376" xr:uid="{78FAD473-A911-4EC7-85CD-EE9ADF9AA366}"/>
    <cellStyle name="Normal 10 2 2 3 2" xfId="5377" xr:uid="{59E9FCD2-7BC0-4A21-8313-01ECD396AA17}"/>
    <cellStyle name="Normal 10 2 2 3 3" xfId="5378" xr:uid="{7B1A7E01-7D18-46FF-A5A8-029B44E8CBC6}"/>
    <cellStyle name="Normal 10 2 2 3 4" xfId="5379" xr:uid="{EC938126-E5AC-49C1-A34B-EA81CD74C486}"/>
    <cellStyle name="Normal 10 2 2 4" xfId="5380" xr:uid="{5C5F6987-983D-4B1F-B0D3-992B14FA6676}"/>
    <cellStyle name="Normal 10 2 2 5" xfId="5381" xr:uid="{F681DCE4-B790-49F0-8A40-F560C273D956}"/>
    <cellStyle name="Normal 10 2 2 6" xfId="5382" xr:uid="{E53D2DD9-6A46-4ADE-92F6-FA991647FDFB}"/>
    <cellStyle name="Normal 10 2 20" xfId="5383" xr:uid="{CFAC2263-6DE8-46E8-90E1-0D4D9789BC04}"/>
    <cellStyle name="Normal 10 2 20 2" xfId="5384" xr:uid="{2E913010-A56A-41AA-B631-F89F29B1FEA7}"/>
    <cellStyle name="Normal 10 2 20 3" xfId="5385" xr:uid="{56F267D6-7ED8-4071-B857-FFF618C6C807}"/>
    <cellStyle name="Normal 10 2 20 4" xfId="5386" xr:uid="{E0C22B71-6ACC-46FD-A57E-C6027E096A58}"/>
    <cellStyle name="Normal 10 2 21" xfId="5387" xr:uid="{3B00554A-8383-4DF2-8A1D-A37C6F88B6A9}"/>
    <cellStyle name="Normal 10 2 22" xfId="5388" xr:uid="{1CE37377-1DAC-46D1-BDF9-1FAF8D8715F1}"/>
    <cellStyle name="Normal 10 2 23" xfId="5389" xr:uid="{52CD8A6F-02AB-4D33-A559-D579CD9C3B8D}"/>
    <cellStyle name="Normal 10 2 24" xfId="5390" xr:uid="{D507B480-B013-4095-8FBF-6D877DFCB7D2}"/>
    <cellStyle name="Normal 10 2 3" xfId="5391" xr:uid="{D6A6BDC5-6DFF-4100-963E-FBC19FE8F790}"/>
    <cellStyle name="Normal 10 2 3 2" xfId="5392" xr:uid="{F9F7F474-F32A-43CE-B3B6-200540D1CFE0}"/>
    <cellStyle name="Normal 10 2 3 2 2" xfId="5393" xr:uid="{F9EB7041-0A23-41B7-BFD7-A86BC3DC1A98}"/>
    <cellStyle name="Normal 10 2 3 2 3" xfId="5394" xr:uid="{C4F2AEF3-9DB4-4C5B-8A43-E7F9653FFA50}"/>
    <cellStyle name="Normal 10 2 3 2 4" xfId="5395" xr:uid="{CA766A55-CAD3-43D6-9659-D8288A52D16E}"/>
    <cellStyle name="Normal 10 2 3 3" xfId="5396" xr:uid="{E53C85E4-02C9-49CC-9A42-A108C0255064}"/>
    <cellStyle name="Normal 10 2 3 3 2" xfId="5397" xr:uid="{176A4AB0-AE9B-4120-AF99-B5A538EF82A6}"/>
    <cellStyle name="Normal 10 2 3 3 3" xfId="5398" xr:uid="{3F4ADFAD-5B97-424E-9508-C026AACBD180}"/>
    <cellStyle name="Normal 10 2 3 3 4" xfId="5399" xr:uid="{1FEC6B53-ED4A-4EB2-84EC-1385E60C7BF4}"/>
    <cellStyle name="Normal 10 2 3 4" xfId="5400" xr:uid="{F3E9A679-8F9C-4658-BAD6-E4CFC89C7B51}"/>
    <cellStyle name="Normal 10 2 3 5" xfId="5401" xr:uid="{6E66834C-1D3E-484D-A07D-D8B8841E2C60}"/>
    <cellStyle name="Normal 10 2 3 6" xfId="5402" xr:uid="{67211C13-28E2-4BA5-BA22-A72E709071C7}"/>
    <cellStyle name="Normal 10 2 4" xfId="5403" xr:uid="{FFAD5937-29BD-4BD6-A402-5D16F7F4DBB6}"/>
    <cellStyle name="Normal 10 2 4 2" xfId="5404" xr:uid="{6BBDC9AE-3559-4177-89B1-6C22520A3597}"/>
    <cellStyle name="Normal 10 2 4 2 2" xfId="5405" xr:uid="{665B215E-C5F4-42FE-8FD7-3631B519E842}"/>
    <cellStyle name="Normal 10 2 4 2 3" xfId="5406" xr:uid="{F918DFC3-5985-4197-854F-A677AC9C8BF6}"/>
    <cellStyle name="Normal 10 2 4 2 4" xfId="5407" xr:uid="{5C407BC2-3577-4F0A-87F5-335B86D139EA}"/>
    <cellStyle name="Normal 10 2 4 3" xfId="5408" xr:uid="{A0BF5206-B9FE-4AE0-9937-71F1FC3CC224}"/>
    <cellStyle name="Normal 10 2 4 3 2" xfId="5409" xr:uid="{29A80970-239A-4675-ABC9-1FAC9C1529EB}"/>
    <cellStyle name="Normal 10 2 4 3 3" xfId="5410" xr:uid="{3D0389E1-038E-479F-866A-BA19EE0C0DD5}"/>
    <cellStyle name="Normal 10 2 4 3 4" xfId="5411" xr:uid="{890D7CC9-6085-462F-AEB7-5AE133254BE4}"/>
    <cellStyle name="Normal 10 2 4 4" xfId="5412" xr:uid="{57FEBA15-755C-4C7D-BCDE-E23AEABDA3A1}"/>
    <cellStyle name="Normal 10 2 4 5" xfId="5413" xr:uid="{73CB7737-4735-47A3-AA01-2BB1C657F028}"/>
    <cellStyle name="Normal 10 2 4 6" xfId="5414" xr:uid="{B71FF0B8-C010-491F-B05A-622DC07E6CFC}"/>
    <cellStyle name="Normal 10 2 5" xfId="5415" xr:uid="{00AB2FCF-6486-470F-B7B4-11F1A419E66C}"/>
    <cellStyle name="Normal 10 2 5 2" xfId="5416" xr:uid="{CCDC19B1-6665-4B83-85D1-6AAEAA60FB48}"/>
    <cellStyle name="Normal 10 2 5 2 2" xfId="5417" xr:uid="{625780E5-D11A-47F8-ABB2-BF463318DA14}"/>
    <cellStyle name="Normal 10 2 5 2 3" xfId="5418" xr:uid="{B75BA9E3-8A69-433D-84F2-EDE39DF8E64B}"/>
    <cellStyle name="Normal 10 2 5 2 4" xfId="5419" xr:uid="{43F7D8F5-DF19-4AB6-AB96-8328731386D4}"/>
    <cellStyle name="Normal 10 2 5 3" xfId="5420" xr:uid="{9A8209DD-C27E-46B3-A1E6-D5BE9279336D}"/>
    <cellStyle name="Normal 10 2 5 3 2" xfId="5421" xr:uid="{F9FEDF4A-EEDE-46AE-8290-B57DE9B33C34}"/>
    <cellStyle name="Normal 10 2 5 3 3" xfId="5422" xr:uid="{ACF67178-E14A-43DD-B272-9FA52F1B4D1D}"/>
    <cellStyle name="Normal 10 2 5 3 4" xfId="5423" xr:uid="{8449C14A-3673-475A-B584-84AEAFFF345C}"/>
    <cellStyle name="Normal 10 2 5 4" xfId="5424" xr:uid="{570B865D-D14D-4EDE-A5D7-F659196EB777}"/>
    <cellStyle name="Normal 10 2 5 5" xfId="5425" xr:uid="{87C11DE5-446D-48DF-87D2-E67A8F7988A6}"/>
    <cellStyle name="Normal 10 2 5 6" xfId="5426" xr:uid="{E0C5794F-B469-47C7-8832-E1100683EDEC}"/>
    <cellStyle name="Normal 10 2 6" xfId="5427" xr:uid="{2D5F2B48-9178-429D-B2CA-529ADCDA1A9D}"/>
    <cellStyle name="Normal 10 2 6 2" xfId="5428" xr:uid="{AE291770-DAFC-4DCD-9C9F-162F8DCB2D69}"/>
    <cellStyle name="Normal 10 2 6 2 2" xfId="5429" xr:uid="{2DAD9005-C852-41DF-AD29-2A4DB47AA3E0}"/>
    <cellStyle name="Normal 10 2 6 2 3" xfId="5430" xr:uid="{4AE9F298-2466-4D92-8B15-E69DB6A3214C}"/>
    <cellStyle name="Normal 10 2 6 2 4" xfId="5431" xr:uid="{2DBF7183-59AF-4A07-9FB4-4AA7B2D9CD09}"/>
    <cellStyle name="Normal 10 2 6 3" xfId="5432" xr:uid="{ED260F46-95B5-48B9-B3DD-264CAF646DB2}"/>
    <cellStyle name="Normal 10 2 6 3 2" xfId="5433" xr:uid="{8A676D2B-0EE0-4336-80FB-9C45540A50D3}"/>
    <cellStyle name="Normal 10 2 6 3 3" xfId="5434" xr:uid="{596CFD4C-D3DF-43D7-AC31-D32638EA2E27}"/>
    <cellStyle name="Normal 10 2 6 3 4" xfId="5435" xr:uid="{B84798C7-6BC9-4D84-9834-9DAC541E8B15}"/>
    <cellStyle name="Normal 10 2 6 4" xfId="5436" xr:uid="{526C1A99-EC2B-429B-B5BF-841C0119EBBA}"/>
    <cellStyle name="Normal 10 2 6 5" xfId="5437" xr:uid="{4794BD4E-8DBB-4D9B-A44C-5E580EA9846F}"/>
    <cellStyle name="Normal 10 2 6 6" xfId="5438" xr:uid="{93A9D6FB-F50A-494D-A4AD-88ED4E5B459A}"/>
    <cellStyle name="Normal 10 2 7" xfId="5439" xr:uid="{5F21CE1E-CA4D-4E76-A766-34713B85BBF4}"/>
    <cellStyle name="Normal 10 2 7 2" xfId="5440" xr:uid="{AB2804AD-B8AD-4012-AA81-B56C8F936C7D}"/>
    <cellStyle name="Normal 10 2 7 2 2" xfId="5441" xr:uid="{68E1362F-9FF7-43F5-B879-5FCE83604970}"/>
    <cellStyle name="Normal 10 2 7 2 3" xfId="5442" xr:uid="{061E1642-A5B2-42DC-BBE4-6FB3B742B56B}"/>
    <cellStyle name="Normal 10 2 7 2 4" xfId="5443" xr:uid="{B5D4FD30-413A-478B-BA5B-ED6BF803B46B}"/>
    <cellStyle name="Normal 10 2 7 3" xfId="5444" xr:uid="{04941729-22F4-46F9-B8C4-D216D5E982BF}"/>
    <cellStyle name="Normal 10 2 7 3 2" xfId="5445" xr:uid="{0F44DB04-64E7-4F44-9A8D-94CDABD6C656}"/>
    <cellStyle name="Normal 10 2 7 3 3" xfId="5446" xr:uid="{3ABFFECE-31ED-4DE2-940D-4F3CF9CF7525}"/>
    <cellStyle name="Normal 10 2 7 3 4" xfId="5447" xr:uid="{052184A1-9182-4765-846F-46A47B9D0AC3}"/>
    <cellStyle name="Normal 10 2 7 4" xfId="5448" xr:uid="{6BB666E4-47B8-412B-A51F-2FE25163A1D1}"/>
    <cellStyle name="Normal 10 2 7 5" xfId="5449" xr:uid="{907DDA01-BACC-4E8C-9C9E-D3729A884A42}"/>
    <cellStyle name="Normal 10 2 7 6" xfId="5450" xr:uid="{65F41BB2-4D47-4656-8BD3-37CB652AC22C}"/>
    <cellStyle name="Normal 10 2 8" xfId="5451" xr:uid="{54CBB424-A846-4880-9FD4-C58D5D72EB1C}"/>
    <cellStyle name="Normal 10 2 8 2" xfId="5452" xr:uid="{29BA85F2-CBED-4955-BDE3-DA714155D4F7}"/>
    <cellStyle name="Normal 10 2 8 2 2" xfId="5453" xr:uid="{D8EFB16A-A4AD-4E6E-866A-2BD096A02806}"/>
    <cellStyle name="Normal 10 2 8 2 3" xfId="5454" xr:uid="{BA89AA88-4653-40BB-9C1D-3ADC4F8624A8}"/>
    <cellStyle name="Normal 10 2 8 2 4" xfId="5455" xr:uid="{DE33D594-3576-44B4-B1A4-2BF8C8C7D9D1}"/>
    <cellStyle name="Normal 10 2 8 3" xfId="5456" xr:uid="{DB6BDCBC-D30B-4B66-B8E5-2CC854F382F3}"/>
    <cellStyle name="Normal 10 2 8 3 2" xfId="5457" xr:uid="{7E77E33F-5DA5-4DE1-A6B8-CBC72A1CF154}"/>
    <cellStyle name="Normal 10 2 8 3 3" xfId="5458" xr:uid="{8176CEEC-46F8-41AD-96E1-E137ADC1BBF1}"/>
    <cellStyle name="Normal 10 2 8 3 4" xfId="5459" xr:uid="{0C0E5811-801D-4DA7-9917-1AEABB625903}"/>
    <cellStyle name="Normal 10 2 8 4" xfId="5460" xr:uid="{3CE62CF3-9E7C-4F28-925F-4E735CE0386C}"/>
    <cellStyle name="Normal 10 2 8 5" xfId="5461" xr:uid="{151D468E-C3A0-4639-973F-BA1E10220AE3}"/>
    <cellStyle name="Normal 10 2 8 6" xfId="5462" xr:uid="{FF72DA5D-1E02-4857-9A08-98920701B522}"/>
    <cellStyle name="Normal 10 2 9" xfId="5463" xr:uid="{544FE5BA-43FC-4F71-8EA1-1C91348375D7}"/>
    <cellStyle name="Normal 10 2 9 2" xfId="5464" xr:uid="{4FB86190-9F0C-4621-8036-782907F1EF80}"/>
    <cellStyle name="Normal 10 2 9 2 2" xfId="5465" xr:uid="{2137282D-380C-4C42-AAF5-FCA269B6F53C}"/>
    <cellStyle name="Normal 10 2 9 2 3" xfId="5466" xr:uid="{86E3B807-DD33-4956-AA2F-9D1DDD12CD4F}"/>
    <cellStyle name="Normal 10 2 9 2 4" xfId="5467" xr:uid="{9C4ADEDE-C863-4B53-B1CD-133A99D45A63}"/>
    <cellStyle name="Normal 10 2 9 3" xfId="5468" xr:uid="{C332145B-CD9E-4A49-8AB8-CC21A7704645}"/>
    <cellStyle name="Normal 10 2 9 3 2" xfId="5469" xr:uid="{A6060B7B-774A-4754-9EDB-73F592D84571}"/>
    <cellStyle name="Normal 10 2 9 3 3" xfId="5470" xr:uid="{58CC42BA-01D7-42B2-AD3F-558A3448E646}"/>
    <cellStyle name="Normal 10 2 9 3 4" xfId="5471" xr:uid="{697566E6-E90E-4052-AEBF-2F11DE04E519}"/>
    <cellStyle name="Normal 10 2 9 4" xfId="5472" xr:uid="{3262AE73-824E-4E28-95D8-8E1AE0F5C3D0}"/>
    <cellStyle name="Normal 10 2 9 5" xfId="5473" xr:uid="{17A6EDAC-D119-43E2-8498-DB609FDBB607}"/>
    <cellStyle name="Normal 10 2 9 6" xfId="5474" xr:uid="{116ED305-1117-4108-8BCC-E6CC9C93BE21}"/>
    <cellStyle name="Normal 10 20" xfId="5475" xr:uid="{E69BE957-E650-44DB-8CC9-7FA5329A5A31}"/>
    <cellStyle name="Normal 10 20 10" xfId="5476" xr:uid="{F164DE8C-B795-46AE-9450-07E3531B1362}"/>
    <cellStyle name="Normal 10 20 11" xfId="5477" xr:uid="{287E141E-8C3B-4C7A-AE59-87B504527014}"/>
    <cellStyle name="Normal 10 20 12" xfId="5478" xr:uid="{644E90AB-BA97-4F3A-B015-A500BC5CAFF6}"/>
    <cellStyle name="Normal 10 20 13" xfId="5479" xr:uid="{5F2603F0-F807-42FB-A368-A6B318698659}"/>
    <cellStyle name="Normal 10 20 2" xfId="5480" xr:uid="{27AF6AA8-2BBD-4949-8D03-F258AA08153F}"/>
    <cellStyle name="Normal 10 20 2 2" xfId="5481" xr:uid="{FA13331F-B68F-425D-9F47-7AFCEDB0A3C6}"/>
    <cellStyle name="Normal 10 20 2 3" xfId="5482" xr:uid="{369BCFA7-0E7C-41AC-81D7-B4BD0E572C97}"/>
    <cellStyle name="Normal 10 20 2 4" xfId="5483" xr:uid="{FB84C614-448B-4135-B85F-643554560BC2}"/>
    <cellStyle name="Normal 10 20 2 5" xfId="5484" xr:uid="{8A408F08-CF12-4867-BE62-F6EE1D17C8B4}"/>
    <cellStyle name="Normal 10 20 2 6" xfId="5485" xr:uid="{33D06218-D882-4059-AADA-6DC72A7E3BDB}"/>
    <cellStyle name="Normal 10 20 3" xfId="5486" xr:uid="{07691264-C7CE-480E-BCC3-997BCA6CE31E}"/>
    <cellStyle name="Normal 10 20 3 2" xfId="5487" xr:uid="{15CE2405-3AA6-4DBD-A058-A060A0AAFA9C}"/>
    <cellStyle name="Normal 10 20 3 3" xfId="5488" xr:uid="{23C37A8C-7B2F-40DC-91D7-66370CE35635}"/>
    <cellStyle name="Normal 10 20 3 4" xfId="5489" xr:uid="{EAB6DA02-CC69-41DB-AFCD-E0881BEF6A6D}"/>
    <cellStyle name="Normal 10 20 3 5" xfId="5490" xr:uid="{D4555893-5D6A-4FB3-BAD5-896ACAB00A40}"/>
    <cellStyle name="Normal 10 20 3 6" xfId="5491" xr:uid="{89C425B4-1565-477D-9AC8-0E7AC31AA31F}"/>
    <cellStyle name="Normal 10 20 4" xfId="5492" xr:uid="{670BEB86-EBD4-4989-A8E2-CA94EF470489}"/>
    <cellStyle name="Normal 10 20 4 2" xfId="5493" xr:uid="{91B97D0D-50BA-41E5-AC50-2D88B43E69F7}"/>
    <cellStyle name="Normal 10 20 4 3" xfId="5494" xr:uid="{2D553215-4600-420C-A69B-E468E6C3A2D2}"/>
    <cellStyle name="Normal 10 20 4 4" xfId="5495" xr:uid="{3CBDFFA7-303A-434E-86F6-C7E9C28D571C}"/>
    <cellStyle name="Normal 10 20 4 5" xfId="5496" xr:uid="{A6BE147D-5917-4ED8-AF04-B49B04C1E9E6}"/>
    <cellStyle name="Normal 10 20 4 6" xfId="5497" xr:uid="{11720B1B-C0A6-4B32-9EC2-C4636AABDB7D}"/>
    <cellStyle name="Normal 10 20 5" xfId="5498" xr:uid="{08C28A4F-F1A3-4D25-AAED-9361D2E7FB0C}"/>
    <cellStyle name="Normal 10 20 5 2" xfId="5499" xr:uid="{03B82BDE-C591-4036-BF50-6E9D53D9BF19}"/>
    <cellStyle name="Normal 10 20 5 3" xfId="5500" xr:uid="{6ECB87EB-24C9-4BAA-B67C-ABF6ADDBBB5F}"/>
    <cellStyle name="Normal 10 20 5 4" xfId="5501" xr:uid="{03A6C957-9C9F-45E5-BDBB-F06631162A3A}"/>
    <cellStyle name="Normal 10 20 5 5" xfId="5502" xr:uid="{32D25C42-9503-40A6-A6C3-20BDE55938E4}"/>
    <cellStyle name="Normal 10 20 5 6" xfId="5503" xr:uid="{7CC4D6D8-3828-4913-A6A5-44B0273DCE2E}"/>
    <cellStyle name="Normal 10 20 6" xfId="5504" xr:uid="{38A08930-C12F-4F22-A3C3-F66C4D3B4B1E}"/>
    <cellStyle name="Normal 10 20 6 2" xfId="5505" xr:uid="{DA8AAC70-6C99-4982-A354-A0D704BE8F88}"/>
    <cellStyle name="Normal 10 20 6 3" xfId="5506" xr:uid="{37F81446-FC64-4C3D-8929-6987DACCBC59}"/>
    <cellStyle name="Normal 10 20 6 4" xfId="5507" xr:uid="{B18BE988-714B-4CE6-82EF-B532D2A17CA5}"/>
    <cellStyle name="Normal 10 20 6 5" xfId="5508" xr:uid="{8B65DA3E-A9B8-4CD8-93CF-0EAC2CB34208}"/>
    <cellStyle name="Normal 10 20 6 6" xfId="5509" xr:uid="{35D18CF2-6170-42FF-BFE7-A787E7499A5A}"/>
    <cellStyle name="Normal 10 20 7" xfId="5510" xr:uid="{20A3FEE2-BE2C-4FC4-BCC9-18BFC7DCD30B}"/>
    <cellStyle name="Normal 10 20 7 2" xfId="5511" xr:uid="{2055FD56-D6F9-4102-8DA4-673D178579E6}"/>
    <cellStyle name="Normal 10 20 7 3" xfId="5512" xr:uid="{3A8E134B-DE92-470B-8C14-C68BA137A19A}"/>
    <cellStyle name="Normal 10 20 7 4" xfId="5513" xr:uid="{39A7D6AA-54B8-4617-9594-AFD2C633E50C}"/>
    <cellStyle name="Normal 10 20 7 5" xfId="5514" xr:uid="{B52DB57A-36B8-4019-A027-304758380730}"/>
    <cellStyle name="Normal 10 20 7 6" xfId="5515" xr:uid="{A7542C97-4703-4EEA-9230-C4E520F7674F}"/>
    <cellStyle name="Normal 10 20 8" xfId="5516" xr:uid="{8CDE51BC-1B79-4957-A051-E541E300052D}"/>
    <cellStyle name="Normal 10 20 8 2" xfId="5517" xr:uid="{95F85818-66ED-4E1C-A01F-82DD74FD3C30}"/>
    <cellStyle name="Normal 10 20 8 3" xfId="5518" xr:uid="{35AF80EE-6B92-41D7-B081-E43BAED6751F}"/>
    <cellStyle name="Normal 10 20 8 4" xfId="5519" xr:uid="{8E794791-2FF6-41D9-993C-ADEFA38FB7F8}"/>
    <cellStyle name="Normal 10 20 8 5" xfId="5520" xr:uid="{880AE020-221F-48AF-A17A-B772BC400E57}"/>
    <cellStyle name="Normal 10 20 8 6" xfId="5521" xr:uid="{9ED2BBAA-9F61-4804-9531-3C6E53A225C7}"/>
    <cellStyle name="Normal 10 20 9" xfId="5522" xr:uid="{99067116-3469-44D1-A0C3-10D6864BAFD2}"/>
    <cellStyle name="Normal 10 21" xfId="5523" xr:uid="{EBAA7241-C2C5-4887-B29F-01FE6486E2E8}"/>
    <cellStyle name="Normal 10 21 10" xfId="5524" xr:uid="{5F4F32FB-D313-4A17-B536-E86DE4D67350}"/>
    <cellStyle name="Normal 10 21 11" xfId="5525" xr:uid="{00FABFE5-8D21-4E1B-96E6-3ADC244A7E41}"/>
    <cellStyle name="Normal 10 21 12" xfId="5526" xr:uid="{0907EA1D-4734-4CE1-9AB9-B3221EFDD7F7}"/>
    <cellStyle name="Normal 10 21 13" xfId="5527" xr:uid="{453C2EC1-0C97-4356-AA4E-89D5AA8D3AFD}"/>
    <cellStyle name="Normal 10 21 2" xfId="5528" xr:uid="{663AAB4E-B38C-4A03-B3B6-7D4F15133785}"/>
    <cellStyle name="Normal 10 21 2 2" xfId="5529" xr:uid="{4BA9AB75-42EE-4AAF-A824-30AD79AA065C}"/>
    <cellStyle name="Normal 10 21 2 3" xfId="5530" xr:uid="{AB0E7FA4-C0F6-44CB-A39F-CAD0D47E21A8}"/>
    <cellStyle name="Normal 10 21 2 4" xfId="5531" xr:uid="{B9B11B27-3C54-4BDC-9829-199A5E7F55DE}"/>
    <cellStyle name="Normal 10 21 2 5" xfId="5532" xr:uid="{55E125AE-E345-47A4-8BDC-F48888E2700A}"/>
    <cellStyle name="Normal 10 21 2 6" xfId="5533" xr:uid="{F7780EB3-EBBD-4CA7-B15C-77298AD78824}"/>
    <cellStyle name="Normal 10 21 3" xfId="5534" xr:uid="{17CB1C7B-099E-49C5-A699-CE04098AC881}"/>
    <cellStyle name="Normal 10 21 3 2" xfId="5535" xr:uid="{C06CB286-80D4-4503-A854-97E4E6F43783}"/>
    <cellStyle name="Normal 10 21 3 3" xfId="5536" xr:uid="{2BC6B40F-93F4-4E37-AC8C-7193DBE324ED}"/>
    <cellStyle name="Normal 10 21 3 4" xfId="5537" xr:uid="{1C086237-AB85-451B-803D-FE20E045E9E9}"/>
    <cellStyle name="Normal 10 21 3 5" xfId="5538" xr:uid="{E91801B4-C8A8-4A32-B11E-0D1B258E658C}"/>
    <cellStyle name="Normal 10 21 3 6" xfId="5539" xr:uid="{DD8DE259-4B19-4DD6-9A0F-0F500C75FD71}"/>
    <cellStyle name="Normal 10 21 4" xfId="5540" xr:uid="{B1B756FC-73EA-443C-952F-D42F94EDA2B4}"/>
    <cellStyle name="Normal 10 21 4 2" xfId="5541" xr:uid="{24DF4E19-FF9B-4B47-A75E-DF929861978A}"/>
    <cellStyle name="Normal 10 21 4 3" xfId="5542" xr:uid="{DC4AB48B-C80C-4844-983F-D7646895D2B5}"/>
    <cellStyle name="Normal 10 21 4 4" xfId="5543" xr:uid="{D99E1366-BE13-460A-ADA2-8D202E948CB1}"/>
    <cellStyle name="Normal 10 21 4 5" xfId="5544" xr:uid="{536D64D9-C5F0-4C5A-80BD-5F5212B5EE9F}"/>
    <cellStyle name="Normal 10 21 4 6" xfId="5545" xr:uid="{7E9D184B-5D17-4B9D-8D1B-D97CB76BCF31}"/>
    <cellStyle name="Normal 10 21 5" xfId="5546" xr:uid="{F70B7056-AB9E-4692-859C-AFDE570BF7A0}"/>
    <cellStyle name="Normal 10 21 5 2" xfId="5547" xr:uid="{646169BF-34E8-442F-AF03-18504C6AE4A5}"/>
    <cellStyle name="Normal 10 21 5 3" xfId="5548" xr:uid="{3514CADD-0385-40CB-9A2A-1940A2A4C713}"/>
    <cellStyle name="Normal 10 21 5 4" xfId="5549" xr:uid="{E514AF4A-2571-4051-8521-956DAC512785}"/>
    <cellStyle name="Normal 10 21 5 5" xfId="5550" xr:uid="{FD88E1F6-CE40-4A3D-BF4F-92E655D81000}"/>
    <cellStyle name="Normal 10 21 5 6" xfId="5551" xr:uid="{9EFFDE28-8316-49AE-B9D1-4385948EAF63}"/>
    <cellStyle name="Normal 10 21 6" xfId="5552" xr:uid="{CF659C81-D66E-47DA-8599-0C33B9B96AE2}"/>
    <cellStyle name="Normal 10 21 6 2" xfId="5553" xr:uid="{3F4152E0-628C-487A-BFED-192E15863EDC}"/>
    <cellStyle name="Normal 10 21 6 3" xfId="5554" xr:uid="{62674200-5FC8-4533-9C2B-74FCC2C8BB4E}"/>
    <cellStyle name="Normal 10 21 6 4" xfId="5555" xr:uid="{4DF3BA1F-AC68-43E2-961C-3CF7253F3C06}"/>
    <cellStyle name="Normal 10 21 6 5" xfId="5556" xr:uid="{1CBB6DF4-957D-430A-8327-ADCCEFB6613C}"/>
    <cellStyle name="Normal 10 21 6 6" xfId="5557" xr:uid="{859EDDC3-5820-4998-AAC0-E9736534A4D6}"/>
    <cellStyle name="Normal 10 21 7" xfId="5558" xr:uid="{E223358D-13BC-4D4A-B033-AD289C0362FA}"/>
    <cellStyle name="Normal 10 21 7 2" xfId="5559" xr:uid="{15364324-D7CA-43BA-A551-232B9F35ECB6}"/>
    <cellStyle name="Normal 10 21 7 3" xfId="5560" xr:uid="{197E26FC-5EA9-4663-BDDC-2C8D3ADA8F6A}"/>
    <cellStyle name="Normal 10 21 7 4" xfId="5561" xr:uid="{85E07541-73C7-42B3-814D-27386455E985}"/>
    <cellStyle name="Normal 10 21 7 5" xfId="5562" xr:uid="{6B3BF186-BF80-4EE5-AA47-4593151AB397}"/>
    <cellStyle name="Normal 10 21 7 6" xfId="5563" xr:uid="{87971711-F02E-4AA8-9A75-2A23E217ABF7}"/>
    <cellStyle name="Normal 10 21 8" xfId="5564" xr:uid="{F6541DC4-1024-4EFB-B41E-EFA7978A3076}"/>
    <cellStyle name="Normal 10 21 8 2" xfId="5565" xr:uid="{BA202FC6-8FB8-47E5-B9EE-490BB65591C4}"/>
    <cellStyle name="Normal 10 21 8 3" xfId="5566" xr:uid="{5BA4007A-66BD-4CBF-A147-665FE217EA45}"/>
    <cellStyle name="Normal 10 21 8 4" xfId="5567" xr:uid="{EEDA1997-015B-42F0-A031-739E9DD68BD8}"/>
    <cellStyle name="Normal 10 21 8 5" xfId="5568" xr:uid="{2B47B641-3006-44CE-8036-7E007971EA2D}"/>
    <cellStyle name="Normal 10 21 8 6" xfId="5569" xr:uid="{B8405746-7F71-49E2-AF84-9C95F4724718}"/>
    <cellStyle name="Normal 10 21 9" xfId="5570" xr:uid="{A219E04A-0E76-44B2-AC83-46850034EE0E}"/>
    <cellStyle name="Normal 10 22" xfId="5571" xr:uid="{B2A29F3A-660E-4BC4-8C59-DEEB866A33B8}"/>
    <cellStyle name="Normal 10 22 10" xfId="5572" xr:uid="{9E8DA6D1-014E-4DE3-B344-93B6C1B7E6F8}"/>
    <cellStyle name="Normal 10 22 11" xfId="5573" xr:uid="{D34F5DB5-D211-415B-B80F-356CEA8D516C}"/>
    <cellStyle name="Normal 10 22 12" xfId="5574" xr:uid="{CF30896B-9BE8-4E94-AF5A-CC9034316D18}"/>
    <cellStyle name="Normal 10 22 13" xfId="5575" xr:uid="{BDFF1AD9-09EF-4F27-BC1F-BE6C9352FD39}"/>
    <cellStyle name="Normal 10 22 2" xfId="5576" xr:uid="{126935B5-502B-457C-A3EE-37420B99583A}"/>
    <cellStyle name="Normal 10 22 2 2" xfId="5577" xr:uid="{43D196EB-351F-471F-9984-9727A0ADF9C0}"/>
    <cellStyle name="Normal 10 22 2 3" xfId="5578" xr:uid="{4179043F-0A34-401E-AB59-00754B813484}"/>
    <cellStyle name="Normal 10 22 2 4" xfId="5579" xr:uid="{0578F0C4-3164-4C18-88D5-64AF994691D2}"/>
    <cellStyle name="Normal 10 22 2 5" xfId="5580" xr:uid="{B56FACB2-FD20-4B71-B2BE-6442A38C5F1E}"/>
    <cellStyle name="Normal 10 22 2 6" xfId="5581" xr:uid="{0D88CF85-4A33-47D7-96AB-C13C7FA9836F}"/>
    <cellStyle name="Normal 10 22 3" xfId="5582" xr:uid="{AA057D96-A2CB-45E9-A3F5-812FA972E3F8}"/>
    <cellStyle name="Normal 10 22 3 2" xfId="5583" xr:uid="{70A86313-3864-4109-95FA-A5A3320D09A2}"/>
    <cellStyle name="Normal 10 22 3 3" xfId="5584" xr:uid="{FE1166AC-262C-448E-B0F6-9E5DD473478C}"/>
    <cellStyle name="Normal 10 22 3 4" xfId="5585" xr:uid="{72117C1B-7608-430D-9578-B70ECCBC93A0}"/>
    <cellStyle name="Normal 10 22 3 5" xfId="5586" xr:uid="{F36164AC-5321-49D0-82F8-A4A067903E15}"/>
    <cellStyle name="Normal 10 22 3 6" xfId="5587" xr:uid="{3EBC7BC3-866D-4664-B0D0-ACCD95BD736F}"/>
    <cellStyle name="Normal 10 22 4" xfId="5588" xr:uid="{4843603A-75AF-47DD-8920-662B5A1B9E95}"/>
    <cellStyle name="Normal 10 22 4 2" xfId="5589" xr:uid="{65DFC1E3-3083-4727-A09C-CD88F958C0E9}"/>
    <cellStyle name="Normal 10 22 4 3" xfId="5590" xr:uid="{D89A9B5D-A5C3-451A-B69B-F6BDFF30AEC4}"/>
    <cellStyle name="Normal 10 22 4 4" xfId="5591" xr:uid="{AB6E161A-99AE-4A12-BD01-05C1B0DFD389}"/>
    <cellStyle name="Normal 10 22 4 5" xfId="5592" xr:uid="{41DFF7F8-83AD-4C6F-B145-BA64190D1886}"/>
    <cellStyle name="Normal 10 22 4 6" xfId="5593" xr:uid="{2B753DBA-AF15-4B15-B9B7-02CA1741684F}"/>
    <cellStyle name="Normal 10 22 5" xfId="5594" xr:uid="{98CC1651-2D7E-4EF9-A3D9-E4338B2D87CD}"/>
    <cellStyle name="Normal 10 22 5 2" xfId="5595" xr:uid="{E4D6A51D-A7C2-4BAA-98B6-111B413CE52E}"/>
    <cellStyle name="Normal 10 22 5 3" xfId="5596" xr:uid="{2D2FC045-1968-486F-AB4A-7726E031EF11}"/>
    <cellStyle name="Normal 10 22 5 4" xfId="5597" xr:uid="{F9EBFDFC-03CF-4EEB-8F51-5401AAF165A8}"/>
    <cellStyle name="Normal 10 22 5 5" xfId="5598" xr:uid="{80C8B0E4-E470-4E27-A024-D706485CFDF9}"/>
    <cellStyle name="Normal 10 22 5 6" xfId="5599" xr:uid="{0B213230-9909-4A28-9C09-96AB2F6B4053}"/>
    <cellStyle name="Normal 10 22 6" xfId="5600" xr:uid="{673B8207-9816-4681-96DA-6175DFDB6EA8}"/>
    <cellStyle name="Normal 10 22 6 2" xfId="5601" xr:uid="{00B1FB03-4E32-4917-9C59-46132349AC27}"/>
    <cellStyle name="Normal 10 22 6 3" xfId="5602" xr:uid="{4E7EE814-13FB-46A9-89AE-84455E60A6EB}"/>
    <cellStyle name="Normal 10 22 6 4" xfId="5603" xr:uid="{42494BE5-E6C5-4B89-A531-0F70FE9BF3C8}"/>
    <cellStyle name="Normal 10 22 6 5" xfId="5604" xr:uid="{DCC8E951-9143-45DB-9980-7731CAE784AD}"/>
    <cellStyle name="Normal 10 22 6 6" xfId="5605" xr:uid="{E43BE54C-8B53-4F37-A432-1B65869E8ADF}"/>
    <cellStyle name="Normal 10 22 7" xfId="5606" xr:uid="{20CA9E3A-A424-497B-9CC4-F693474C2AB1}"/>
    <cellStyle name="Normal 10 22 7 2" xfId="5607" xr:uid="{414A90BD-8336-4A32-9942-3D65182F96B9}"/>
    <cellStyle name="Normal 10 22 7 3" xfId="5608" xr:uid="{85E517A2-365C-4B22-B02D-5AA281277F0B}"/>
    <cellStyle name="Normal 10 22 7 4" xfId="5609" xr:uid="{538B31DE-8BE0-4AFF-8818-DBE8EC911BA8}"/>
    <cellStyle name="Normal 10 22 7 5" xfId="5610" xr:uid="{BBAB1ABB-99CA-42D3-8EC7-966EF4F84169}"/>
    <cellStyle name="Normal 10 22 7 6" xfId="5611" xr:uid="{71AAEB93-FAAD-4965-A5EB-E5FC2211D103}"/>
    <cellStyle name="Normal 10 22 8" xfId="5612" xr:uid="{CB5B545B-A3E7-4B5D-B7E7-8BF6330BCC88}"/>
    <cellStyle name="Normal 10 22 8 2" xfId="5613" xr:uid="{BB423A65-E8FC-4F2A-A114-648474A29519}"/>
    <cellStyle name="Normal 10 22 8 3" xfId="5614" xr:uid="{9372DFEB-25FD-429B-84D9-3502534143AA}"/>
    <cellStyle name="Normal 10 22 8 4" xfId="5615" xr:uid="{C1A4CF59-1B22-4FF2-9A08-BE3893ADCAC5}"/>
    <cellStyle name="Normal 10 22 8 5" xfId="5616" xr:uid="{6816F4C8-23F9-462C-8A50-1497CD067DAB}"/>
    <cellStyle name="Normal 10 22 8 6" xfId="5617" xr:uid="{21D4DA5D-6A26-4491-9DA9-0C5750AD13AB}"/>
    <cellStyle name="Normal 10 22 9" xfId="5618" xr:uid="{07B5FB04-69F3-4F1A-A34D-612B43B6327E}"/>
    <cellStyle name="Normal 10 23" xfId="5619" xr:uid="{02EA1326-8CA3-4B8A-9A22-A03AE01F2823}"/>
    <cellStyle name="Normal 10 23 10" xfId="5620" xr:uid="{2AB0070F-A3B4-4FD9-B031-129B8D8A401D}"/>
    <cellStyle name="Normal 10 23 11" xfId="5621" xr:uid="{E531943B-0099-47D5-858A-E6BC7ED2F5A0}"/>
    <cellStyle name="Normal 10 23 12" xfId="5622" xr:uid="{2DB43270-718B-426B-ACC3-8CADA145A91A}"/>
    <cellStyle name="Normal 10 23 13" xfId="5623" xr:uid="{A898E99C-AEEE-434B-BE10-2C412311BECE}"/>
    <cellStyle name="Normal 10 23 2" xfId="5624" xr:uid="{8325BDAB-6037-4018-A68E-AC9D1BE199DD}"/>
    <cellStyle name="Normal 10 23 2 2" xfId="5625" xr:uid="{7566F392-6C74-456C-9A96-C33127C7E507}"/>
    <cellStyle name="Normal 10 23 2 3" xfId="5626" xr:uid="{78A005CA-985B-480A-BEA1-F25E23F926D6}"/>
    <cellStyle name="Normal 10 23 2 4" xfId="5627" xr:uid="{CAD972CE-8873-4619-B361-526278CE4E60}"/>
    <cellStyle name="Normal 10 23 2 5" xfId="5628" xr:uid="{0788947D-3DD1-4F60-8993-C56BA37B0C7D}"/>
    <cellStyle name="Normal 10 23 2 6" xfId="5629" xr:uid="{9323D2B0-1E0D-42EB-AA0D-1AD7B2D83774}"/>
    <cellStyle name="Normal 10 23 3" xfId="5630" xr:uid="{41A016F9-ED05-429A-A250-00E521EE97C2}"/>
    <cellStyle name="Normal 10 23 3 2" xfId="5631" xr:uid="{D3A4F1A7-B6F6-4DB5-A123-C08A4EEF3906}"/>
    <cellStyle name="Normal 10 23 3 3" xfId="5632" xr:uid="{9024ED89-D2FA-4E3B-8817-981F8CE111DB}"/>
    <cellStyle name="Normal 10 23 3 4" xfId="5633" xr:uid="{E22DF6A4-4484-4476-AD0D-710B266F9DE9}"/>
    <cellStyle name="Normal 10 23 3 5" xfId="5634" xr:uid="{D5CDCE1D-88AE-40D8-89B9-29A1C2185072}"/>
    <cellStyle name="Normal 10 23 3 6" xfId="5635" xr:uid="{690DF437-A6FD-48EB-8F07-4C4F42963FE3}"/>
    <cellStyle name="Normal 10 23 4" xfId="5636" xr:uid="{07090CAE-5590-4A86-9B9C-5CF2779512D1}"/>
    <cellStyle name="Normal 10 23 4 2" xfId="5637" xr:uid="{1ED6DF2B-925D-415C-A104-F6942DFFCBFB}"/>
    <cellStyle name="Normal 10 23 4 3" xfId="5638" xr:uid="{FC350772-7251-42DB-90F2-7C4CA4437972}"/>
    <cellStyle name="Normal 10 23 4 4" xfId="5639" xr:uid="{A69A8299-26B3-4166-A254-8E1CEFB7C28D}"/>
    <cellStyle name="Normal 10 23 4 5" xfId="5640" xr:uid="{B66B5133-9CBE-493F-A11E-1B06755ED332}"/>
    <cellStyle name="Normal 10 23 4 6" xfId="5641" xr:uid="{D6FA6B0E-515B-4A75-8E4A-386032D567D6}"/>
    <cellStyle name="Normal 10 23 5" xfId="5642" xr:uid="{571235CC-FF43-43A0-BD65-0B7970819E01}"/>
    <cellStyle name="Normal 10 23 5 2" xfId="5643" xr:uid="{A0EE0520-605B-4EBF-92C0-F2CD9FCD91F6}"/>
    <cellStyle name="Normal 10 23 5 3" xfId="5644" xr:uid="{AA2411BD-9950-4802-8FD1-FB5F506E3508}"/>
    <cellStyle name="Normal 10 23 5 4" xfId="5645" xr:uid="{210ADD62-65AD-493E-AC35-64C7971AB4B2}"/>
    <cellStyle name="Normal 10 23 5 5" xfId="5646" xr:uid="{233FD0A9-37CD-4E38-95CA-8540C501A829}"/>
    <cellStyle name="Normal 10 23 5 6" xfId="5647" xr:uid="{A519A808-7A05-4AAA-89D9-2A716701FA51}"/>
    <cellStyle name="Normal 10 23 6" xfId="5648" xr:uid="{91CFF33D-2425-4252-9CA1-AC09211F89E0}"/>
    <cellStyle name="Normal 10 23 6 2" xfId="5649" xr:uid="{FBB71CEF-5DB0-45EF-97ED-9652D64E2078}"/>
    <cellStyle name="Normal 10 23 6 3" xfId="5650" xr:uid="{A4C52596-EA22-4EA6-B67D-7E85F5C8C7AB}"/>
    <cellStyle name="Normal 10 23 6 4" xfId="5651" xr:uid="{5F66AEE3-B679-434A-86F7-0C87F508E79B}"/>
    <cellStyle name="Normal 10 23 6 5" xfId="5652" xr:uid="{AEAC7E03-D0E2-4C70-BBA1-6FE2F3558B87}"/>
    <cellStyle name="Normal 10 23 6 6" xfId="5653" xr:uid="{B306D84E-F005-42D9-B47A-9AE89BC61484}"/>
    <cellStyle name="Normal 10 23 7" xfId="5654" xr:uid="{C57BB042-2789-4737-98F4-B7C2435E3CFB}"/>
    <cellStyle name="Normal 10 23 7 2" xfId="5655" xr:uid="{165F49C5-FF1A-42B8-8932-0D29E9336308}"/>
    <cellStyle name="Normal 10 23 7 3" xfId="5656" xr:uid="{5B292EDA-DB0E-4C0A-A517-336668638C56}"/>
    <cellStyle name="Normal 10 23 7 4" xfId="5657" xr:uid="{5D72AF14-917F-448E-864F-F6BCCF6AEFC3}"/>
    <cellStyle name="Normal 10 23 7 5" xfId="5658" xr:uid="{637B0356-79E7-4A55-8009-ABA566FF5E68}"/>
    <cellStyle name="Normal 10 23 7 6" xfId="5659" xr:uid="{9E91BD95-DA7F-4319-BACC-EDC774DC1230}"/>
    <cellStyle name="Normal 10 23 8" xfId="5660" xr:uid="{45611786-E177-4AFB-A712-1E7B3C9E3A33}"/>
    <cellStyle name="Normal 10 23 8 2" xfId="5661" xr:uid="{E1DE27DE-8FC9-40D0-9295-A426E866D00D}"/>
    <cellStyle name="Normal 10 23 8 3" xfId="5662" xr:uid="{1271058F-6184-4FAC-8787-70B1A755CFB3}"/>
    <cellStyle name="Normal 10 23 8 4" xfId="5663" xr:uid="{338AE1A9-A5B3-4A27-B5E7-74DD73E007BD}"/>
    <cellStyle name="Normal 10 23 8 5" xfId="5664" xr:uid="{5E241758-391E-4471-B609-16C69A716D77}"/>
    <cellStyle name="Normal 10 23 8 6" xfId="5665" xr:uid="{B8015DC2-2F24-4CF7-9CD7-C0D5394C9513}"/>
    <cellStyle name="Normal 10 23 9" xfId="5666" xr:uid="{63E13280-2585-482E-B3EA-FB733A252025}"/>
    <cellStyle name="Normal 10 24" xfId="5667" xr:uid="{6F012D53-22B0-4A76-8AF6-0C45340C99BB}"/>
    <cellStyle name="Normal 10 24 10" xfId="5668" xr:uid="{A4399A0D-0978-4E79-8CCB-937305B218B5}"/>
    <cellStyle name="Normal 10 24 11" xfId="5669" xr:uid="{BDFF97DC-EC51-42C5-939A-481C0D15C031}"/>
    <cellStyle name="Normal 10 24 12" xfId="5670" xr:uid="{412D6219-5F8D-4F25-8A3E-ACF707DE7048}"/>
    <cellStyle name="Normal 10 24 13" xfId="5671" xr:uid="{D9598CC2-A238-426A-A3BE-BF155E85D1FF}"/>
    <cellStyle name="Normal 10 24 2" xfId="5672" xr:uid="{1B0A57A5-0EEB-4D64-876E-D2A13C519ECA}"/>
    <cellStyle name="Normal 10 24 2 2" xfId="5673" xr:uid="{30F1BBF4-D861-4290-8887-BF153922FAAC}"/>
    <cellStyle name="Normal 10 24 2 3" xfId="5674" xr:uid="{B586A25F-E04C-4594-B60B-560B11BFDAA9}"/>
    <cellStyle name="Normal 10 24 2 4" xfId="5675" xr:uid="{01B5C338-5665-45C6-A397-CE7FB5658F87}"/>
    <cellStyle name="Normal 10 24 2 5" xfId="5676" xr:uid="{0FEA5EB5-48ED-42D2-9740-660DDD750E51}"/>
    <cellStyle name="Normal 10 24 2 6" xfId="5677" xr:uid="{45D7C814-2B27-4527-8634-467F1FCD42B3}"/>
    <cellStyle name="Normal 10 24 3" xfId="5678" xr:uid="{8D4A0483-7DC0-4312-988D-D8E2D8C903BC}"/>
    <cellStyle name="Normal 10 24 3 2" xfId="5679" xr:uid="{016E1516-A6E0-47CF-A988-183E608A4C4E}"/>
    <cellStyle name="Normal 10 24 3 3" xfId="5680" xr:uid="{2FD20DFB-82A1-4D2B-94B2-E83BE1E8F641}"/>
    <cellStyle name="Normal 10 24 3 4" xfId="5681" xr:uid="{C8E1EC39-EEA6-491B-8703-74606EE40079}"/>
    <cellStyle name="Normal 10 24 3 5" xfId="5682" xr:uid="{31B416D0-1CCB-4A88-AA31-2201724B689F}"/>
    <cellStyle name="Normal 10 24 3 6" xfId="5683" xr:uid="{32627481-4031-4D0F-8874-EE45837ACBB8}"/>
    <cellStyle name="Normal 10 24 4" xfId="5684" xr:uid="{DD047375-0929-4FF0-BA2A-0A2A8061B46C}"/>
    <cellStyle name="Normal 10 24 4 2" xfId="5685" xr:uid="{2FEDFCB2-9F44-4C21-AB2F-39322FD7EE92}"/>
    <cellStyle name="Normal 10 24 4 3" xfId="5686" xr:uid="{11AD6789-725C-49AB-BB5B-ECDDC9F953B4}"/>
    <cellStyle name="Normal 10 24 4 4" xfId="5687" xr:uid="{D8CC10F9-5E2A-4533-814F-E74446F1BBD5}"/>
    <cellStyle name="Normal 10 24 4 5" xfId="5688" xr:uid="{C7D7D636-9589-4445-ABFA-14166EC784DC}"/>
    <cellStyle name="Normal 10 24 4 6" xfId="5689" xr:uid="{D2E42FEB-F379-49A2-B133-CA3FE5D909B2}"/>
    <cellStyle name="Normal 10 24 5" xfId="5690" xr:uid="{A5DCDFCC-5E5A-40D6-85E7-8F7511812E44}"/>
    <cellStyle name="Normal 10 24 5 2" xfId="5691" xr:uid="{D11C74C7-983D-4792-AE05-F5C1637C3F49}"/>
    <cellStyle name="Normal 10 24 5 3" xfId="5692" xr:uid="{589B098E-917D-4EEA-9217-0C01BCC3E790}"/>
    <cellStyle name="Normal 10 24 5 4" xfId="5693" xr:uid="{362E7546-D34D-48ED-9DE8-18DC1B68B8DD}"/>
    <cellStyle name="Normal 10 24 5 5" xfId="5694" xr:uid="{7CEE8375-CDE9-41F4-BDF6-1EDA1BE8E5FE}"/>
    <cellStyle name="Normal 10 24 5 6" xfId="5695" xr:uid="{9B7F3963-8843-4A50-B03F-6921EF3C60B7}"/>
    <cellStyle name="Normal 10 24 6" xfId="5696" xr:uid="{69D27594-1C4F-4ED9-8695-DE0D22F6CDA6}"/>
    <cellStyle name="Normal 10 24 6 2" xfId="5697" xr:uid="{2027DFB4-030F-4603-AF3C-D213A86A30C7}"/>
    <cellStyle name="Normal 10 24 6 3" xfId="5698" xr:uid="{D5BA7448-DA51-4F33-9463-3F64F0F18281}"/>
    <cellStyle name="Normal 10 24 6 4" xfId="5699" xr:uid="{483F7153-05E7-4367-8EE3-34E19F1CBDCA}"/>
    <cellStyle name="Normal 10 24 6 5" xfId="5700" xr:uid="{C700151F-84A6-4E54-AD55-90AFBEEAD48A}"/>
    <cellStyle name="Normal 10 24 6 6" xfId="5701" xr:uid="{8443A983-0629-498A-8F18-275E1C75DC49}"/>
    <cellStyle name="Normal 10 24 7" xfId="5702" xr:uid="{5F94F4A6-4601-4511-BCFB-FC56322FB349}"/>
    <cellStyle name="Normal 10 24 7 2" xfId="5703" xr:uid="{5DD3D06D-0EFB-4141-8D64-86D09FBD93AA}"/>
    <cellStyle name="Normal 10 24 7 3" xfId="5704" xr:uid="{F5394E55-3D80-41E9-83FD-B195BABC5E2D}"/>
    <cellStyle name="Normal 10 24 7 4" xfId="5705" xr:uid="{A683E810-38E8-4390-BE3A-F12AE435CB49}"/>
    <cellStyle name="Normal 10 24 7 5" xfId="5706" xr:uid="{3204F10D-8201-4CF6-A60D-1904643AC502}"/>
    <cellStyle name="Normal 10 24 7 6" xfId="5707" xr:uid="{E801CF6D-9B47-4A80-A6D6-B90E7F7FD434}"/>
    <cellStyle name="Normal 10 24 8" xfId="5708" xr:uid="{C8AC18C4-BFF0-42F6-878C-1D82F1E0239D}"/>
    <cellStyle name="Normal 10 24 8 2" xfId="5709" xr:uid="{DE2B8125-9A04-4F8E-979F-AEAF91BD0141}"/>
    <cellStyle name="Normal 10 24 8 3" xfId="5710" xr:uid="{56620D8E-09C4-42C0-8B28-3A59E6B69971}"/>
    <cellStyle name="Normal 10 24 8 4" xfId="5711" xr:uid="{2891D3DE-3DB7-43FC-A886-933ED41408D9}"/>
    <cellStyle name="Normal 10 24 8 5" xfId="5712" xr:uid="{C0779E53-8464-4B46-A45F-E8C169A1433E}"/>
    <cellStyle name="Normal 10 24 8 6" xfId="5713" xr:uid="{18967845-8CB1-454E-ADDC-906C611F9FD3}"/>
    <cellStyle name="Normal 10 24 9" xfId="5714" xr:uid="{900568A6-09EE-4195-9185-077ECC186244}"/>
    <cellStyle name="Normal 10 25" xfId="5715" xr:uid="{772A73F0-A486-4052-AE19-2C0FD062E588}"/>
    <cellStyle name="Normal 10 25 10" xfId="5716" xr:uid="{B8826C08-AF61-4AE2-9545-F40B7A87FC83}"/>
    <cellStyle name="Normal 10 25 11" xfId="5717" xr:uid="{66224F86-4582-4D03-BEA8-52A02C414EA7}"/>
    <cellStyle name="Normal 10 25 12" xfId="5718" xr:uid="{8003434B-AAF1-4F12-AD32-26334B21A679}"/>
    <cellStyle name="Normal 10 25 13" xfId="5719" xr:uid="{E6787282-E765-4FE0-A45D-6C38C3865BAB}"/>
    <cellStyle name="Normal 10 25 2" xfId="5720" xr:uid="{E6F895F2-FB5D-412B-B67F-6200DA5AF205}"/>
    <cellStyle name="Normal 10 25 2 2" xfId="5721" xr:uid="{D3DA4AB3-19FE-4D51-A81B-1CB040695BCD}"/>
    <cellStyle name="Normal 10 25 2 3" xfId="5722" xr:uid="{16F22995-50BD-4C13-812B-6522EF3110AE}"/>
    <cellStyle name="Normal 10 25 2 4" xfId="5723" xr:uid="{F8BBFE00-1CAF-41B5-A64A-10439CE98E2E}"/>
    <cellStyle name="Normal 10 25 2 5" xfId="5724" xr:uid="{12F9BE2B-44FE-457C-9B74-EC61EEB96CCC}"/>
    <cellStyle name="Normal 10 25 2 6" xfId="5725" xr:uid="{30510A5B-E7D9-47C4-B466-3C4E4AA2E772}"/>
    <cellStyle name="Normal 10 25 3" xfId="5726" xr:uid="{2F516173-D982-464C-A1F2-A1ADD4C8403E}"/>
    <cellStyle name="Normal 10 25 3 2" xfId="5727" xr:uid="{686537A9-8254-46AD-926E-D315D5B2CDAC}"/>
    <cellStyle name="Normal 10 25 3 3" xfId="5728" xr:uid="{31D859ED-1851-4786-8F1A-272545A724A3}"/>
    <cellStyle name="Normal 10 25 3 4" xfId="5729" xr:uid="{BA41B489-74BD-484A-9A2E-2BDDF489C259}"/>
    <cellStyle name="Normal 10 25 3 5" xfId="5730" xr:uid="{368D4D2F-2DC1-4531-92CE-2CB8F1B5B0EB}"/>
    <cellStyle name="Normal 10 25 3 6" xfId="5731" xr:uid="{21117651-F03A-47DB-A192-BC150F1261ED}"/>
    <cellStyle name="Normal 10 25 4" xfId="5732" xr:uid="{16139676-26A9-4213-8AB5-A53657290B63}"/>
    <cellStyle name="Normal 10 25 4 2" xfId="5733" xr:uid="{FC514EA0-750C-4CAF-9D0E-0983B9CE347A}"/>
    <cellStyle name="Normal 10 25 4 3" xfId="5734" xr:uid="{BF6C4C2A-5097-4CE8-B221-F0DCFC23B443}"/>
    <cellStyle name="Normal 10 25 4 4" xfId="5735" xr:uid="{53B02D03-BA77-4625-9E80-89184C6B620C}"/>
    <cellStyle name="Normal 10 25 4 5" xfId="5736" xr:uid="{8944C44F-21E1-4851-B47F-70CAAF231ECA}"/>
    <cellStyle name="Normal 10 25 4 6" xfId="5737" xr:uid="{C3969EA0-8A09-4B79-9178-76959BFB2380}"/>
    <cellStyle name="Normal 10 25 5" xfId="5738" xr:uid="{DE777AF0-7589-4ED5-9258-7608D74F4867}"/>
    <cellStyle name="Normal 10 25 5 2" xfId="5739" xr:uid="{325E8528-8FF4-4D7B-9D94-3C2F23637AC4}"/>
    <cellStyle name="Normal 10 25 5 3" xfId="5740" xr:uid="{AA9EF96E-2B61-42C1-A00A-09D2637FE916}"/>
    <cellStyle name="Normal 10 25 5 4" xfId="5741" xr:uid="{7C3EBFDB-8DB3-452B-BAEF-CA6458ACCAF6}"/>
    <cellStyle name="Normal 10 25 5 5" xfId="5742" xr:uid="{0F0ADAFC-488D-45F0-B4F8-9CE949DB8EA7}"/>
    <cellStyle name="Normal 10 25 5 6" xfId="5743" xr:uid="{DA6199F6-8F5C-4A80-9BF3-DFD4FE7BF4BB}"/>
    <cellStyle name="Normal 10 25 6" xfId="5744" xr:uid="{1E5DF9CA-31B7-4A2B-BFF2-4B9A2C0AD183}"/>
    <cellStyle name="Normal 10 25 6 2" xfId="5745" xr:uid="{6DB2C9CB-4682-4B68-BA90-9F8C9FF60FFB}"/>
    <cellStyle name="Normal 10 25 6 3" xfId="5746" xr:uid="{34191A02-8BB5-4C3E-931E-9B6A2F367FBA}"/>
    <cellStyle name="Normal 10 25 6 4" xfId="5747" xr:uid="{7A670162-B26C-488A-9AB6-AE7843B41CF8}"/>
    <cellStyle name="Normal 10 25 6 5" xfId="5748" xr:uid="{7A535A2D-E9D9-448B-AB62-99D124D1F96C}"/>
    <cellStyle name="Normal 10 25 6 6" xfId="5749" xr:uid="{43BBC69F-5419-4F96-B634-4818C2BA6011}"/>
    <cellStyle name="Normal 10 25 7" xfId="5750" xr:uid="{C01C61C6-46D8-4BDE-8156-17D4DE43F5FE}"/>
    <cellStyle name="Normal 10 25 7 2" xfId="5751" xr:uid="{8271AAF8-6F79-4C35-9807-5A24642CB09A}"/>
    <cellStyle name="Normal 10 25 7 3" xfId="5752" xr:uid="{741BD05C-3329-4737-B559-5FFC1D7D9A1D}"/>
    <cellStyle name="Normal 10 25 7 4" xfId="5753" xr:uid="{34EDDB66-0B60-4FE7-87F7-CF948A694E5E}"/>
    <cellStyle name="Normal 10 25 7 5" xfId="5754" xr:uid="{EB0C036D-A4B5-4AE4-B8BE-554F94AE62B8}"/>
    <cellStyle name="Normal 10 25 7 6" xfId="5755" xr:uid="{4368FA1E-82B1-49CA-90EC-9450C3533848}"/>
    <cellStyle name="Normal 10 25 8" xfId="5756" xr:uid="{D51B9965-14E7-451B-8D44-510474EA33F0}"/>
    <cellStyle name="Normal 10 25 8 2" xfId="5757" xr:uid="{1EB8D474-E969-456C-9673-4D07BE84E7E4}"/>
    <cellStyle name="Normal 10 25 8 3" xfId="5758" xr:uid="{D40CEB5E-A964-45EA-963F-B62D60EB378F}"/>
    <cellStyle name="Normal 10 25 8 4" xfId="5759" xr:uid="{78CD1653-BBB3-4D96-9B9E-254892FE10B1}"/>
    <cellStyle name="Normal 10 25 8 5" xfId="5760" xr:uid="{C2A04890-7EB6-491D-B9CD-0C55B328EDA2}"/>
    <cellStyle name="Normal 10 25 8 6" xfId="5761" xr:uid="{49589F82-EA0E-4A72-95C6-A3E1A45EB2A7}"/>
    <cellStyle name="Normal 10 25 9" xfId="5762" xr:uid="{FE4B2DBB-0F86-4A4D-892E-9BF22E6CE2D4}"/>
    <cellStyle name="Normal 10 26" xfId="5763" xr:uid="{900D3E18-2917-4898-8BE5-5DEC3011613E}"/>
    <cellStyle name="Normal 10 26 10" xfId="5764" xr:uid="{91916E47-AA77-4BA3-9896-66FFB00B1FA2}"/>
    <cellStyle name="Normal 10 26 11" xfId="5765" xr:uid="{34FF6B70-4F3D-4EA4-9CDA-87FC832B6DBC}"/>
    <cellStyle name="Normal 10 26 12" xfId="5766" xr:uid="{28C2A278-8C15-4DCE-A153-87634DFFAAB6}"/>
    <cellStyle name="Normal 10 26 13" xfId="5767" xr:uid="{8CF7BF58-D8FE-4564-812B-9FC75A648538}"/>
    <cellStyle name="Normal 10 26 2" xfId="5768" xr:uid="{E8AD9CEE-9CD0-49FA-8C02-17902BACBC97}"/>
    <cellStyle name="Normal 10 26 2 2" xfId="5769" xr:uid="{3BF5061B-8A6D-4EE7-ACA5-274CC7292E34}"/>
    <cellStyle name="Normal 10 26 2 3" xfId="5770" xr:uid="{F5FCE047-0700-4AEC-B889-802F4974BC1F}"/>
    <cellStyle name="Normal 10 26 2 4" xfId="5771" xr:uid="{1F16F6F0-E59B-44A4-AFD2-81096324DB2C}"/>
    <cellStyle name="Normal 10 26 2 5" xfId="5772" xr:uid="{693B0DB4-7FCE-4974-A40A-708D1DE60748}"/>
    <cellStyle name="Normal 10 26 2 6" xfId="5773" xr:uid="{E3D28902-3DD6-44D6-AA71-546224C50753}"/>
    <cellStyle name="Normal 10 26 3" xfId="5774" xr:uid="{C0D7368C-7150-43A2-94A8-7107C50898A2}"/>
    <cellStyle name="Normal 10 26 3 2" xfId="5775" xr:uid="{C6B89FCB-DAD6-46AB-8A90-C7BDA0B45F16}"/>
    <cellStyle name="Normal 10 26 3 3" xfId="5776" xr:uid="{2334A320-9CC3-4A31-B47A-802B5C7FDF2A}"/>
    <cellStyle name="Normal 10 26 3 4" xfId="5777" xr:uid="{E0C3A442-E6F1-496B-8292-D893342BB440}"/>
    <cellStyle name="Normal 10 26 3 5" xfId="5778" xr:uid="{A9DA395C-94EE-4425-B29A-A0ED9228B749}"/>
    <cellStyle name="Normal 10 26 3 6" xfId="5779" xr:uid="{3C858DBF-66F1-4583-B0D0-727731E73146}"/>
    <cellStyle name="Normal 10 26 4" xfId="5780" xr:uid="{CC182201-2BFC-46E1-8306-029AE5DA22B7}"/>
    <cellStyle name="Normal 10 26 4 2" xfId="5781" xr:uid="{DE52E3DD-B796-454A-8E0C-F18FFD43D882}"/>
    <cellStyle name="Normal 10 26 4 3" xfId="5782" xr:uid="{E2A78833-26CE-48A5-9FFB-3E356183666C}"/>
    <cellStyle name="Normal 10 26 4 4" xfId="5783" xr:uid="{D17831DD-7393-4CF4-B150-6D7A2F0C6A0C}"/>
    <cellStyle name="Normal 10 26 4 5" xfId="5784" xr:uid="{40F48149-BC08-4AC6-813A-DA1671794420}"/>
    <cellStyle name="Normal 10 26 4 6" xfId="5785" xr:uid="{5EDC92D1-6867-4E52-9DB8-C0389669AEA8}"/>
    <cellStyle name="Normal 10 26 5" xfId="5786" xr:uid="{551D85ED-1DA6-4699-877B-3DD82164142D}"/>
    <cellStyle name="Normal 10 26 5 2" xfId="5787" xr:uid="{C97F13C0-EC85-483F-BBB8-49D2C85DE88E}"/>
    <cellStyle name="Normal 10 26 5 3" xfId="5788" xr:uid="{572C3FA4-CF45-49AF-9DED-CBB68B30839A}"/>
    <cellStyle name="Normal 10 26 5 4" xfId="5789" xr:uid="{ED14CFAC-7DAF-44E5-8030-A8651C50299D}"/>
    <cellStyle name="Normal 10 26 5 5" xfId="5790" xr:uid="{7F88EF40-C0DF-46BD-99F5-9022BF1C8039}"/>
    <cellStyle name="Normal 10 26 5 6" xfId="5791" xr:uid="{9BB84EB1-3328-498E-B0C4-DF774BCD56BF}"/>
    <cellStyle name="Normal 10 26 6" xfId="5792" xr:uid="{4E301156-61DD-495F-B4BB-C3EB8C26A7D0}"/>
    <cellStyle name="Normal 10 26 6 2" xfId="5793" xr:uid="{A2F93A54-AD28-43CA-A3BE-84253BBB2B75}"/>
    <cellStyle name="Normal 10 26 6 3" xfId="5794" xr:uid="{3303D7DC-33B9-4F33-AC45-06CD140732D8}"/>
    <cellStyle name="Normal 10 26 6 4" xfId="5795" xr:uid="{82D5D4EA-F64C-43B3-9F66-7DA314691730}"/>
    <cellStyle name="Normal 10 26 6 5" xfId="5796" xr:uid="{82074D03-226A-4A74-BEC7-E6F6A83536AE}"/>
    <cellStyle name="Normal 10 26 6 6" xfId="5797" xr:uid="{7B39343C-EF2F-4BDA-8C90-82910ABB2E65}"/>
    <cellStyle name="Normal 10 26 7" xfId="5798" xr:uid="{831AAE14-0416-42D8-9FFC-60298203062D}"/>
    <cellStyle name="Normal 10 26 7 2" xfId="5799" xr:uid="{9CC9A5D3-8BAA-45C9-98B0-1C5F87BFA168}"/>
    <cellStyle name="Normal 10 26 7 3" xfId="5800" xr:uid="{B9ED66BF-7B6E-4EE9-AA37-03216662E8AC}"/>
    <cellStyle name="Normal 10 26 7 4" xfId="5801" xr:uid="{BB4D5073-02BC-431A-84FA-60A7AE311F4B}"/>
    <cellStyle name="Normal 10 26 7 5" xfId="5802" xr:uid="{76FEC8F4-B0EE-4550-A44F-F050E4A16427}"/>
    <cellStyle name="Normal 10 26 7 6" xfId="5803" xr:uid="{9AF22171-6A80-4BBA-B36C-A48673B51660}"/>
    <cellStyle name="Normal 10 26 8" xfId="5804" xr:uid="{B9A44FD4-EEAA-49CC-8D9A-E74AECDA2767}"/>
    <cellStyle name="Normal 10 26 8 2" xfId="5805" xr:uid="{9B3E44FF-92D6-40EA-BBF7-EBABB25DCA13}"/>
    <cellStyle name="Normal 10 26 8 3" xfId="5806" xr:uid="{A185E394-8776-472C-9022-69B315C865F8}"/>
    <cellStyle name="Normal 10 26 8 4" xfId="5807" xr:uid="{10176005-D689-4ABD-9FB9-CA49A7AA6F0F}"/>
    <cellStyle name="Normal 10 26 8 5" xfId="5808" xr:uid="{19CEB2CE-B27D-47FB-AD92-DE4E23B028CC}"/>
    <cellStyle name="Normal 10 26 8 6" xfId="5809" xr:uid="{897DD4E0-124E-4ABF-98CA-C1EEB55C8697}"/>
    <cellStyle name="Normal 10 26 9" xfId="5810" xr:uid="{1BA722D5-A49F-4A75-8A32-8DEF86C17B21}"/>
    <cellStyle name="Normal 10 27" xfId="5811" xr:uid="{4D8D1F67-C248-4C92-8374-B340F910ECF5}"/>
    <cellStyle name="Normal 10 27 10" xfId="5812" xr:uid="{BF1D425C-BB23-43F7-A51F-A1A1D3AC0F00}"/>
    <cellStyle name="Normal 10 27 11" xfId="5813" xr:uid="{90E0E1F1-EA2B-468A-9FE8-9E2D5DC29E0F}"/>
    <cellStyle name="Normal 10 27 12" xfId="5814" xr:uid="{2EB42D48-E010-4E90-9867-BFCE25A1A770}"/>
    <cellStyle name="Normal 10 27 13" xfId="5815" xr:uid="{1CE0E651-AA01-4AE0-B1D0-3A1D1EE6EED8}"/>
    <cellStyle name="Normal 10 27 2" xfId="5816" xr:uid="{C6D58A99-69F7-4E34-B3CE-BA2F5F7C512F}"/>
    <cellStyle name="Normal 10 27 2 2" xfId="5817" xr:uid="{F62120E8-317A-4A4C-9AC4-455794431A36}"/>
    <cellStyle name="Normal 10 27 2 3" xfId="5818" xr:uid="{F764B751-DF05-4F32-9544-83F9CBA3902D}"/>
    <cellStyle name="Normal 10 27 2 4" xfId="5819" xr:uid="{76313800-097C-4E05-A541-C631681F51FF}"/>
    <cellStyle name="Normal 10 27 2 5" xfId="5820" xr:uid="{2D19F49C-F671-4ABC-B2B6-8F6BB407AA45}"/>
    <cellStyle name="Normal 10 27 2 6" xfId="5821" xr:uid="{7AF8F3BA-253D-4385-9245-2FA197076E54}"/>
    <cellStyle name="Normal 10 27 3" xfId="5822" xr:uid="{F1FCC221-74AD-44D7-A266-944CE93EAFC8}"/>
    <cellStyle name="Normal 10 27 3 2" xfId="5823" xr:uid="{397CFDC8-E709-4683-A8FA-343FC89FA7E4}"/>
    <cellStyle name="Normal 10 27 3 3" xfId="5824" xr:uid="{C858AD7D-0E03-4A4C-95E3-4EFF98172441}"/>
    <cellStyle name="Normal 10 27 3 4" xfId="5825" xr:uid="{4D176210-D25E-45AE-9CB9-836358C19A9B}"/>
    <cellStyle name="Normal 10 27 3 5" xfId="5826" xr:uid="{3587F3DE-BAC1-4F89-8BC0-D8B27AAC0D44}"/>
    <cellStyle name="Normal 10 27 3 6" xfId="5827" xr:uid="{646FCB2A-468C-41F4-9BF8-344806EA4E02}"/>
    <cellStyle name="Normal 10 27 4" xfId="5828" xr:uid="{1BFE21FD-1DDE-4794-BDB2-CFD9AF2A8047}"/>
    <cellStyle name="Normal 10 27 4 2" xfId="5829" xr:uid="{E7C975D7-6E0B-4D31-9FEE-3001CEE3FEF6}"/>
    <cellStyle name="Normal 10 27 4 3" xfId="5830" xr:uid="{A6601FC5-BD4D-4365-8234-B993F29AFC77}"/>
    <cellStyle name="Normal 10 27 4 4" xfId="5831" xr:uid="{9E86DD68-BF71-45E9-A2FF-0DE0766E4E64}"/>
    <cellStyle name="Normal 10 27 4 5" xfId="5832" xr:uid="{B6EA759B-CFEB-4263-8BEA-5C20DFA8C397}"/>
    <cellStyle name="Normal 10 27 4 6" xfId="5833" xr:uid="{2BE6746C-3A90-4F16-8C8B-7F55A708EBD1}"/>
    <cellStyle name="Normal 10 27 5" xfId="5834" xr:uid="{5C552526-4815-44EC-B3B9-28319516FB7A}"/>
    <cellStyle name="Normal 10 27 5 2" xfId="5835" xr:uid="{5D6FED9D-C618-4959-8F34-952ABC2148D7}"/>
    <cellStyle name="Normal 10 27 5 3" xfId="5836" xr:uid="{F2DA3FC7-9E83-4CDD-A2EA-2313CB9B3EB6}"/>
    <cellStyle name="Normal 10 27 5 4" xfId="5837" xr:uid="{7E72DA12-3B88-433B-9245-2DF7303C073D}"/>
    <cellStyle name="Normal 10 27 5 5" xfId="5838" xr:uid="{C56641B1-6B23-46F4-9C90-055D1CFA8A91}"/>
    <cellStyle name="Normal 10 27 5 6" xfId="5839" xr:uid="{512F3294-B0C9-4114-8BC8-5C168C22F4FD}"/>
    <cellStyle name="Normal 10 27 6" xfId="5840" xr:uid="{7DD8F4C8-BCD8-4CAA-8524-AC85EB7BFBCB}"/>
    <cellStyle name="Normal 10 27 6 2" xfId="5841" xr:uid="{CA8D282C-FB96-4248-86CC-25426E9B6FB7}"/>
    <cellStyle name="Normal 10 27 6 3" xfId="5842" xr:uid="{6B3987FA-3F6A-4C8B-8AB0-2F650681C021}"/>
    <cellStyle name="Normal 10 27 6 4" xfId="5843" xr:uid="{2F80005D-F6DB-4B8B-A0AF-2D23D0259DDF}"/>
    <cellStyle name="Normal 10 27 6 5" xfId="5844" xr:uid="{A01868BC-CD67-4E7C-91AC-CD7752228C2E}"/>
    <cellStyle name="Normal 10 27 6 6" xfId="5845" xr:uid="{4132B9DB-2E1C-4615-B1A0-E96C9737F538}"/>
    <cellStyle name="Normal 10 27 7" xfId="5846" xr:uid="{58954322-4AFC-4198-95DC-78691EC45976}"/>
    <cellStyle name="Normal 10 27 7 2" xfId="5847" xr:uid="{2CCF15F2-12BE-44FD-8D46-AF6421E560E4}"/>
    <cellStyle name="Normal 10 27 7 3" xfId="5848" xr:uid="{7F625370-9EBC-49A9-B013-158CDFBCCF0E}"/>
    <cellStyle name="Normal 10 27 7 4" xfId="5849" xr:uid="{A0340B29-F3C0-4128-9AEC-AFDD58248CB8}"/>
    <cellStyle name="Normal 10 27 7 5" xfId="5850" xr:uid="{63499764-A7D3-4E2C-94A7-7292A3A51B3E}"/>
    <cellStyle name="Normal 10 27 7 6" xfId="5851" xr:uid="{725DA34C-428A-4FA7-A174-F6892C3F729B}"/>
    <cellStyle name="Normal 10 27 8" xfId="5852" xr:uid="{AB9FFFCB-2547-4A21-B852-1063D56BE76B}"/>
    <cellStyle name="Normal 10 27 8 2" xfId="5853" xr:uid="{B3536917-E951-4194-9B58-AFBC0BD6F56E}"/>
    <cellStyle name="Normal 10 27 8 3" xfId="5854" xr:uid="{A0B1680A-9D04-49D7-B180-C5BD5007D1E5}"/>
    <cellStyle name="Normal 10 27 8 4" xfId="5855" xr:uid="{E121D679-D284-41B3-B403-836AFB6A967E}"/>
    <cellStyle name="Normal 10 27 8 5" xfId="5856" xr:uid="{F7D24065-F780-449F-96F9-2B598E5958AB}"/>
    <cellStyle name="Normal 10 27 8 6" xfId="5857" xr:uid="{621EDFB8-B103-4EB4-9B65-990D2AC61188}"/>
    <cellStyle name="Normal 10 27 9" xfId="5858" xr:uid="{278630E7-A3EB-438B-948C-3322CAFA075C}"/>
    <cellStyle name="Normal 10 28" xfId="5859" xr:uid="{E9B34875-8B67-4DBC-83D9-0A18A32C3258}"/>
    <cellStyle name="Normal 10 28 10" xfId="5860" xr:uid="{2C283F91-CB12-4093-AB28-8A9328822D4F}"/>
    <cellStyle name="Normal 10 28 11" xfId="5861" xr:uid="{4816AD43-74F1-45D3-BA2D-251B1CDF1701}"/>
    <cellStyle name="Normal 10 28 12" xfId="5862" xr:uid="{156B0B22-D29C-420D-94CB-5036F52C4459}"/>
    <cellStyle name="Normal 10 28 13" xfId="5863" xr:uid="{D3FEAABC-C656-460D-8E42-CAD9A1979923}"/>
    <cellStyle name="Normal 10 28 2" xfId="5864" xr:uid="{E8C86F7B-3DC3-4D84-8E72-0E518E83F444}"/>
    <cellStyle name="Normal 10 28 2 2" xfId="5865" xr:uid="{C5E09F71-44E1-48FA-8917-C1C5AA530492}"/>
    <cellStyle name="Normal 10 28 2 3" xfId="5866" xr:uid="{2FE8B9F2-E0FC-4635-932B-CDE3FF02A8EC}"/>
    <cellStyle name="Normal 10 28 2 4" xfId="5867" xr:uid="{F08CC2B7-CE81-4076-B2B6-F100B2D0756A}"/>
    <cellStyle name="Normal 10 28 2 5" xfId="5868" xr:uid="{8051A820-B33E-4CAB-BD90-BCEDCFAE7278}"/>
    <cellStyle name="Normal 10 28 2 6" xfId="5869" xr:uid="{E85C2195-6A16-4152-A130-24F7B69EF909}"/>
    <cellStyle name="Normal 10 28 3" xfId="5870" xr:uid="{8100F1D5-0E6B-480C-B779-E9ED2052BBC4}"/>
    <cellStyle name="Normal 10 28 3 2" xfId="5871" xr:uid="{89A3E495-C34E-44CC-8B77-D4D368A90E52}"/>
    <cellStyle name="Normal 10 28 3 3" xfId="5872" xr:uid="{FB02F5FF-223A-4956-B4EC-7E893F2831C7}"/>
    <cellStyle name="Normal 10 28 3 4" xfId="5873" xr:uid="{A0C3E503-40C5-407C-A868-9466E4B09DE7}"/>
    <cellStyle name="Normal 10 28 3 5" xfId="5874" xr:uid="{620F88FE-C904-4AAC-B451-F63F27FD5E50}"/>
    <cellStyle name="Normal 10 28 3 6" xfId="5875" xr:uid="{F1F67CE6-6282-4BE0-ABDB-B38AAE4D7694}"/>
    <cellStyle name="Normal 10 28 4" xfId="5876" xr:uid="{7CA4598B-31E1-4BDE-8E91-0269C323BBC1}"/>
    <cellStyle name="Normal 10 28 4 2" xfId="5877" xr:uid="{A577FF84-3AC3-47C8-9F60-698EBCFBA639}"/>
    <cellStyle name="Normal 10 28 4 3" xfId="5878" xr:uid="{10685A9E-5E9F-4A36-A127-510CB125AABA}"/>
    <cellStyle name="Normal 10 28 4 4" xfId="5879" xr:uid="{7D5393A4-7A4A-4F0E-8F3E-7B7DF2C563AA}"/>
    <cellStyle name="Normal 10 28 4 5" xfId="5880" xr:uid="{B7510E71-7351-4AAB-AA40-1E599A6B0636}"/>
    <cellStyle name="Normal 10 28 4 6" xfId="5881" xr:uid="{09CD8B6F-6CE0-4567-ABDF-55CA8A72B9CF}"/>
    <cellStyle name="Normal 10 28 5" xfId="5882" xr:uid="{5A255619-3876-4EE4-A718-FF9BC44ABC45}"/>
    <cellStyle name="Normal 10 28 5 2" xfId="5883" xr:uid="{17F3024A-1D33-4368-9BDE-04EAE30431DD}"/>
    <cellStyle name="Normal 10 28 5 3" xfId="5884" xr:uid="{D3946812-C4A0-42A3-A09D-1E9A65FB880D}"/>
    <cellStyle name="Normal 10 28 5 4" xfId="5885" xr:uid="{1E5B5705-3D7F-472E-B981-F2AFAF209B11}"/>
    <cellStyle name="Normal 10 28 5 5" xfId="5886" xr:uid="{84CC9B20-EE34-4688-9159-D48FD2E24A4E}"/>
    <cellStyle name="Normal 10 28 5 6" xfId="5887" xr:uid="{60EED7AA-B1C3-4005-9C1A-04F45521B516}"/>
    <cellStyle name="Normal 10 28 6" xfId="5888" xr:uid="{39E6B200-D6A8-43C8-AB28-9365CB7346D2}"/>
    <cellStyle name="Normal 10 28 6 2" xfId="5889" xr:uid="{00DB5631-F944-4660-A8D9-5FB85CF8867A}"/>
    <cellStyle name="Normal 10 28 6 3" xfId="5890" xr:uid="{C38AE71D-A50B-4C0C-8860-AF3F91736F22}"/>
    <cellStyle name="Normal 10 28 6 4" xfId="5891" xr:uid="{4F4C6588-27AB-4A85-A535-4C93360ABFEF}"/>
    <cellStyle name="Normal 10 28 6 5" xfId="5892" xr:uid="{3CC6A658-DDEF-4770-B489-9A4651E83B28}"/>
    <cellStyle name="Normal 10 28 6 6" xfId="5893" xr:uid="{FB1F926B-B73E-47AF-BC7B-D51AF479F18C}"/>
    <cellStyle name="Normal 10 28 7" xfId="5894" xr:uid="{76E8A2C3-7F2E-40FA-A7D1-14E571BC3C66}"/>
    <cellStyle name="Normal 10 28 7 2" xfId="5895" xr:uid="{4CFEAA0B-26EB-4904-AE69-42F3D5900B7B}"/>
    <cellStyle name="Normal 10 28 7 3" xfId="5896" xr:uid="{1A986041-D484-4CA5-BAA6-FBFFC2DDFA91}"/>
    <cellStyle name="Normal 10 28 7 4" xfId="5897" xr:uid="{A9B35BA5-F42C-4F4A-ACE1-2A402A0B4CB6}"/>
    <cellStyle name="Normal 10 28 7 5" xfId="5898" xr:uid="{7369D43E-9FDA-4F9A-95DF-AD4A5B5EF4B6}"/>
    <cellStyle name="Normal 10 28 7 6" xfId="5899" xr:uid="{6252796F-5E7E-48CE-8E85-86DC7BAD401C}"/>
    <cellStyle name="Normal 10 28 8" xfId="5900" xr:uid="{9DADD17A-9FA8-4FA3-B71E-4FAC7191FBE4}"/>
    <cellStyle name="Normal 10 28 8 2" xfId="5901" xr:uid="{E389E549-211A-4E9A-A697-8C3F8E31CC98}"/>
    <cellStyle name="Normal 10 28 8 3" xfId="5902" xr:uid="{9FF31019-01B6-45BE-9BEC-1409FD47EC5B}"/>
    <cellStyle name="Normal 10 28 8 4" xfId="5903" xr:uid="{4A3C0BCF-BC50-481F-BCA5-A66DEED2B20C}"/>
    <cellStyle name="Normal 10 28 8 5" xfId="5904" xr:uid="{4004C3E2-1B8F-4820-B5D9-3EB87FC125F5}"/>
    <cellStyle name="Normal 10 28 8 6" xfId="5905" xr:uid="{DFB35768-9C18-4515-AC4C-A27CB0D8B42E}"/>
    <cellStyle name="Normal 10 28 9" xfId="5906" xr:uid="{4635B243-D8BD-460D-9405-F7B5889A3F3D}"/>
    <cellStyle name="Normal 10 29" xfId="5907" xr:uid="{3767A561-A022-4632-AC8E-81462CC6A961}"/>
    <cellStyle name="Normal 10 29 10" xfId="5908" xr:uid="{4502ABFD-2F5E-457A-AA07-DBE80614AE88}"/>
    <cellStyle name="Normal 10 29 11" xfId="5909" xr:uid="{2AB739E2-1094-46DA-8818-5B49CC1D9FF0}"/>
    <cellStyle name="Normal 10 29 12" xfId="5910" xr:uid="{9C635781-9863-4BD7-AFAB-70FD17D04D82}"/>
    <cellStyle name="Normal 10 29 13" xfId="5911" xr:uid="{8EFA6AD8-AE09-47DC-955E-83723C24C1EF}"/>
    <cellStyle name="Normal 10 29 2" xfId="5912" xr:uid="{B6FE7982-60C2-413F-BFA2-7D3E1DC404D5}"/>
    <cellStyle name="Normal 10 29 2 2" xfId="5913" xr:uid="{DEB6BD11-6AD1-4274-86D5-D82C5BACBB2C}"/>
    <cellStyle name="Normal 10 29 2 3" xfId="5914" xr:uid="{68A3FA63-228B-4CF4-8545-87E15040DC4F}"/>
    <cellStyle name="Normal 10 29 2 4" xfId="5915" xr:uid="{613586AB-DC0B-4535-ACD3-6443D33D63A0}"/>
    <cellStyle name="Normal 10 29 2 5" xfId="5916" xr:uid="{0ED49CAA-1F4A-4D6F-9886-91A9A51BBBFA}"/>
    <cellStyle name="Normal 10 29 2 6" xfId="5917" xr:uid="{028B4F45-866C-4F0A-851B-99C6A1604174}"/>
    <cellStyle name="Normal 10 29 3" xfId="5918" xr:uid="{35AA3431-51B2-4607-AD34-69E059CD35DA}"/>
    <cellStyle name="Normal 10 29 3 2" xfId="5919" xr:uid="{9B4EF4AC-B403-4125-9BA3-3481876B788C}"/>
    <cellStyle name="Normal 10 29 3 3" xfId="5920" xr:uid="{B403E55A-EC91-4106-84A1-0043FE5E290D}"/>
    <cellStyle name="Normal 10 29 3 4" xfId="5921" xr:uid="{2340041B-54CA-425D-8034-DC38D675314B}"/>
    <cellStyle name="Normal 10 29 3 5" xfId="5922" xr:uid="{3848835C-6AFD-47F1-BCC8-5720482D8C1E}"/>
    <cellStyle name="Normal 10 29 3 6" xfId="5923" xr:uid="{FD388940-F2D8-4267-A5CB-2EE9C8C98ABD}"/>
    <cellStyle name="Normal 10 29 4" xfId="5924" xr:uid="{79183A30-58AC-4F6F-BB81-C118BEBAC057}"/>
    <cellStyle name="Normal 10 29 4 2" xfId="5925" xr:uid="{1C170D5E-6685-4B31-9CA1-2C4E5084A3F5}"/>
    <cellStyle name="Normal 10 29 4 3" xfId="5926" xr:uid="{81973012-0F4C-4C99-AFAB-FD9AF7678A11}"/>
    <cellStyle name="Normal 10 29 4 4" xfId="5927" xr:uid="{612FE437-22F1-4C95-8FB0-426259A6C757}"/>
    <cellStyle name="Normal 10 29 4 5" xfId="5928" xr:uid="{5A270A23-E200-4801-9737-19192F0C3362}"/>
    <cellStyle name="Normal 10 29 4 6" xfId="5929" xr:uid="{FD8A5EFF-3C6B-4B0B-9CE2-5C0E021D6C66}"/>
    <cellStyle name="Normal 10 29 5" xfId="5930" xr:uid="{978014E6-5B44-443A-BA5D-F4506DF0BA31}"/>
    <cellStyle name="Normal 10 29 5 2" xfId="5931" xr:uid="{0BE233C9-D4F4-4F32-8925-1E8186EE698B}"/>
    <cellStyle name="Normal 10 29 5 3" xfId="5932" xr:uid="{BDF3E7F7-1A65-4C18-9AEF-6F4F9763FC79}"/>
    <cellStyle name="Normal 10 29 5 4" xfId="5933" xr:uid="{873C6525-FB83-4E7D-AEB4-A3E13E2AFC99}"/>
    <cellStyle name="Normal 10 29 5 5" xfId="5934" xr:uid="{EA38B18D-60F2-4724-BFE6-53E47E5C95EA}"/>
    <cellStyle name="Normal 10 29 5 6" xfId="5935" xr:uid="{86911D8D-F122-4E4F-BF6A-D6D8F13F11A2}"/>
    <cellStyle name="Normal 10 29 6" xfId="5936" xr:uid="{28396545-F86D-4598-92B0-2290DAB54240}"/>
    <cellStyle name="Normal 10 29 6 2" xfId="5937" xr:uid="{BE171E08-0A74-4731-83C4-4B005FAEE5D9}"/>
    <cellStyle name="Normal 10 29 6 3" xfId="5938" xr:uid="{FDF652B2-175C-491D-BE35-366C80CBEC08}"/>
    <cellStyle name="Normal 10 29 6 4" xfId="5939" xr:uid="{6A3101BD-B5C6-4E97-8169-56009051F89B}"/>
    <cellStyle name="Normal 10 29 6 5" xfId="5940" xr:uid="{52611487-3F0A-4627-B017-5DDB53D84EB3}"/>
    <cellStyle name="Normal 10 29 6 6" xfId="5941" xr:uid="{0F78F9E4-C1CD-4417-AFC2-99B2D173AEC3}"/>
    <cellStyle name="Normal 10 29 7" xfId="5942" xr:uid="{1BA0312B-A9C9-4782-83EF-33ABE1B97190}"/>
    <cellStyle name="Normal 10 29 7 2" xfId="5943" xr:uid="{DC4B5266-E104-4FD6-96F9-D2DCE88DFC0C}"/>
    <cellStyle name="Normal 10 29 7 3" xfId="5944" xr:uid="{169F53A5-1CAF-4ABA-A78C-F360C7648C10}"/>
    <cellStyle name="Normal 10 29 7 4" xfId="5945" xr:uid="{BF994F7B-F7D5-4F6B-829F-18034C9C71BA}"/>
    <cellStyle name="Normal 10 29 7 5" xfId="5946" xr:uid="{44C8DBF3-9F22-435B-ABD6-5015E1FFE157}"/>
    <cellStyle name="Normal 10 29 7 6" xfId="5947" xr:uid="{B60C8DAF-C309-4DC5-871D-6615F3670CA8}"/>
    <cellStyle name="Normal 10 29 8" xfId="5948" xr:uid="{F46B34EF-9D65-42E3-BF6C-375B5A214FEF}"/>
    <cellStyle name="Normal 10 29 8 2" xfId="5949" xr:uid="{19591D28-95D8-4D2E-B66B-65D9F96314DF}"/>
    <cellStyle name="Normal 10 29 8 3" xfId="5950" xr:uid="{3EEBD18F-7416-4838-BEBD-F35050D28A42}"/>
    <cellStyle name="Normal 10 29 8 4" xfId="5951" xr:uid="{5A349982-DC48-4FC4-B522-432B758D09EF}"/>
    <cellStyle name="Normal 10 29 8 5" xfId="5952" xr:uid="{9FCB627B-4033-4D40-BC14-6B80358158FD}"/>
    <cellStyle name="Normal 10 29 8 6" xfId="5953" xr:uid="{B8D0E793-9996-4E2C-8201-F20A186A2765}"/>
    <cellStyle name="Normal 10 29 9" xfId="5954" xr:uid="{D0B31BD9-E162-44BF-8956-0ADA637BFF73}"/>
    <cellStyle name="Normal 10 3" xfId="5955" xr:uid="{1556CBEB-C679-4321-863E-7FF64B62770B}"/>
    <cellStyle name="Normal 10 3 10" xfId="5956" xr:uid="{517FA956-D327-4B7F-8D53-79E56827FDF4}"/>
    <cellStyle name="Normal 10 3 10 2" xfId="5957" xr:uid="{47E89744-8473-4B78-BFBE-678BB05A4291}"/>
    <cellStyle name="Normal 10 3 10 2 2" xfId="5958" xr:uid="{57972A6D-20CA-43E5-83CC-7CF99EF27BBB}"/>
    <cellStyle name="Normal 10 3 10 2 3" xfId="5959" xr:uid="{29562876-09AE-4EA5-8ED3-A647B6E65953}"/>
    <cellStyle name="Normal 10 3 10 2 4" xfId="5960" xr:uid="{EFF03D55-7189-43E4-AD75-639218FC0022}"/>
    <cellStyle name="Normal 10 3 10 3" xfId="5961" xr:uid="{A75ADA82-E0CE-4624-AF9C-E985E8E04975}"/>
    <cellStyle name="Normal 10 3 10 3 2" xfId="5962" xr:uid="{6AB7E926-4854-4107-AA82-1DE429532239}"/>
    <cellStyle name="Normal 10 3 10 3 3" xfId="5963" xr:uid="{B7048B31-6615-49BC-BF1E-16064097D5EF}"/>
    <cellStyle name="Normal 10 3 10 3 4" xfId="5964" xr:uid="{609575BD-8481-4CA5-9122-2DFE89631F36}"/>
    <cellStyle name="Normal 10 3 10 4" xfId="5965" xr:uid="{C2B83B88-9216-4293-A7C6-2EE6481420DE}"/>
    <cellStyle name="Normal 10 3 10 5" xfId="5966" xr:uid="{74C4C47B-3D63-431B-9005-9394C2B7DE2C}"/>
    <cellStyle name="Normal 10 3 10 6" xfId="5967" xr:uid="{292F9CD3-44AF-4C5A-896F-8CC58B862A6C}"/>
    <cellStyle name="Normal 10 3 11" xfId="5968" xr:uid="{60022E32-944B-4E53-8BA2-93B390E011AA}"/>
    <cellStyle name="Normal 10 3 11 2" xfId="5969" xr:uid="{F7C76B15-3C14-43C9-80B6-1E42FD99C4BF}"/>
    <cellStyle name="Normal 10 3 11 2 2" xfId="5970" xr:uid="{3A8ABABB-3719-4601-8E1C-7A7EC75C2227}"/>
    <cellStyle name="Normal 10 3 11 2 3" xfId="5971" xr:uid="{D92F4D8A-E01A-4B1D-AA20-2600442C4A73}"/>
    <cellStyle name="Normal 10 3 11 2 4" xfId="5972" xr:uid="{5DAD69ED-72A2-4823-A89C-041B7CF900F0}"/>
    <cellStyle name="Normal 10 3 11 3" xfId="5973" xr:uid="{E54459AC-5AF8-4399-BA53-E94D00B36E6C}"/>
    <cellStyle name="Normal 10 3 11 3 2" xfId="5974" xr:uid="{0B5D4FE8-2559-4BE4-AE9F-7A0A32F6D4FF}"/>
    <cellStyle name="Normal 10 3 11 3 3" xfId="5975" xr:uid="{807F0FA5-4A27-4CE7-89D7-9C844684764D}"/>
    <cellStyle name="Normal 10 3 11 3 4" xfId="5976" xr:uid="{9CD0BEAA-8168-4C2B-99A7-5EAB6F473646}"/>
    <cellStyle name="Normal 10 3 11 4" xfId="5977" xr:uid="{99828B57-961B-4AAD-8FE7-D848FE1F082C}"/>
    <cellStyle name="Normal 10 3 11 5" xfId="5978" xr:uid="{95312786-C4BC-4BEB-AD75-42AE655B2D4B}"/>
    <cellStyle name="Normal 10 3 11 6" xfId="5979" xr:uid="{EF3490FB-C1D7-4329-A5AE-0BA1F4160B45}"/>
    <cellStyle name="Normal 10 3 12" xfId="5980" xr:uid="{78A2DCD8-D0AD-4BDA-9C19-33DD7D970A8C}"/>
    <cellStyle name="Normal 10 3 12 2" xfId="5981" xr:uid="{FE17D342-E757-40C6-B649-B09A719C6981}"/>
    <cellStyle name="Normal 10 3 12 2 2" xfId="5982" xr:uid="{3C7B243B-CCE5-40A9-8B27-7190FBE3D3E6}"/>
    <cellStyle name="Normal 10 3 12 2 3" xfId="5983" xr:uid="{88F821F2-8E18-4776-BD97-E6ABD16F48C9}"/>
    <cellStyle name="Normal 10 3 12 2 4" xfId="5984" xr:uid="{C02AA695-5486-4869-91D9-328A43DEB120}"/>
    <cellStyle name="Normal 10 3 12 3" xfId="5985" xr:uid="{A19E1506-A9D9-4AE4-B426-E2DD9C74A63A}"/>
    <cellStyle name="Normal 10 3 12 3 2" xfId="5986" xr:uid="{7E4DA62A-547D-48FC-9383-55019DFA7C37}"/>
    <cellStyle name="Normal 10 3 12 3 3" xfId="5987" xr:uid="{F07CA839-5205-4BFC-B6F6-B72ADB86EF13}"/>
    <cellStyle name="Normal 10 3 12 3 4" xfId="5988" xr:uid="{33E22008-DAF1-47AC-971D-C1C7B25B946D}"/>
    <cellStyle name="Normal 10 3 12 4" xfId="5989" xr:uid="{03895B80-EEDD-411F-B606-B185AEEE594A}"/>
    <cellStyle name="Normal 10 3 12 5" xfId="5990" xr:uid="{A4B6B86A-0D5C-435A-9F69-93A75D6CB073}"/>
    <cellStyle name="Normal 10 3 12 6" xfId="5991" xr:uid="{B4AA6E6A-7438-4CF1-BC5D-9359EFA80633}"/>
    <cellStyle name="Normal 10 3 13" xfId="5992" xr:uid="{B9E903B8-1CA8-47EA-B92D-F2D60AC6509E}"/>
    <cellStyle name="Normal 10 3 13 2" xfId="5993" xr:uid="{8F353C58-AF65-4185-860C-E28D900029FF}"/>
    <cellStyle name="Normal 10 3 13 2 2" xfId="5994" xr:uid="{7258E171-F4C5-48B4-A193-6C520A9A28C8}"/>
    <cellStyle name="Normal 10 3 13 2 3" xfId="5995" xr:uid="{14083576-66C3-4697-AFEA-ABC3DAF9691A}"/>
    <cellStyle name="Normal 10 3 13 2 4" xfId="5996" xr:uid="{57F233BF-243B-4205-A88B-43E789C6CC94}"/>
    <cellStyle name="Normal 10 3 13 3" xfId="5997" xr:uid="{D181AAE0-76A0-4B7D-BA53-2B7811D82120}"/>
    <cellStyle name="Normal 10 3 13 3 2" xfId="5998" xr:uid="{D9E7283A-FE3A-4626-B88A-FE243F7149F7}"/>
    <cellStyle name="Normal 10 3 13 3 3" xfId="5999" xr:uid="{E7BF8235-3A0E-42B6-BB51-06499011FAEE}"/>
    <cellStyle name="Normal 10 3 13 3 4" xfId="6000" xr:uid="{C13FAE4D-082D-44DF-B840-539B43373FB1}"/>
    <cellStyle name="Normal 10 3 13 4" xfId="6001" xr:uid="{CA58AB90-00B1-4664-837B-67D342FA77E6}"/>
    <cellStyle name="Normal 10 3 13 5" xfId="6002" xr:uid="{AC8E30A6-4C67-41D7-983F-360E021A22A1}"/>
    <cellStyle name="Normal 10 3 13 6" xfId="6003" xr:uid="{B57B0978-2F8B-43CC-8AE4-E73D073FC4B2}"/>
    <cellStyle name="Normal 10 3 14" xfId="6004" xr:uid="{6D1CE74E-B3C4-4590-8201-B3D3D979DE32}"/>
    <cellStyle name="Normal 10 3 14 2" xfId="6005" xr:uid="{5FA2FEE0-94FA-4AAA-AA31-166856B0BFA8}"/>
    <cellStyle name="Normal 10 3 14 2 2" xfId="6006" xr:uid="{9A0E3769-AE5B-4F9D-980E-FAB95567C7E2}"/>
    <cellStyle name="Normal 10 3 14 2 3" xfId="6007" xr:uid="{A98A5DA9-7B28-4A14-AE2E-BFCBD99468AD}"/>
    <cellStyle name="Normal 10 3 14 2 4" xfId="6008" xr:uid="{087AD614-95F7-4334-84A6-0A6BFA94E0B7}"/>
    <cellStyle name="Normal 10 3 14 3" xfId="6009" xr:uid="{733CE7B4-CAE5-437F-BF4D-BA1310AB2C81}"/>
    <cellStyle name="Normal 10 3 14 3 2" xfId="6010" xr:uid="{530825CD-3F5A-4017-B748-D218A0852908}"/>
    <cellStyle name="Normal 10 3 14 3 3" xfId="6011" xr:uid="{2EC61374-B95C-4BC2-9653-CB95B263C904}"/>
    <cellStyle name="Normal 10 3 14 3 4" xfId="6012" xr:uid="{BF239394-0780-45E5-AC1B-D30312195EE9}"/>
    <cellStyle name="Normal 10 3 14 4" xfId="6013" xr:uid="{025E8E07-95B3-4027-9A19-EC2270887DE1}"/>
    <cellStyle name="Normal 10 3 14 5" xfId="6014" xr:uid="{5BF5D972-6C3C-41F7-898E-EE8CAB316F92}"/>
    <cellStyle name="Normal 10 3 14 6" xfId="6015" xr:uid="{45CE1D54-623A-479A-8724-43F0698131F4}"/>
    <cellStyle name="Normal 10 3 15" xfId="6016" xr:uid="{9EB0917E-BF61-46D8-AB68-2B61FA50100A}"/>
    <cellStyle name="Normal 10 3 15 2" xfId="6017" xr:uid="{9DBD0BA5-B6E3-4436-8D71-1144488A2852}"/>
    <cellStyle name="Normal 10 3 15 2 2" xfId="6018" xr:uid="{F2F622E6-9B71-48DF-AECF-7E88F10D2368}"/>
    <cellStyle name="Normal 10 3 15 2 3" xfId="6019" xr:uid="{845CB24C-7BF2-4627-AE97-C68125F1B7E7}"/>
    <cellStyle name="Normal 10 3 15 2 4" xfId="6020" xr:uid="{3EB6A77F-74A1-4228-BCDE-8B813D9195A1}"/>
    <cellStyle name="Normal 10 3 15 3" xfId="6021" xr:uid="{A5046E57-B3CD-4492-9E5D-EB31E550EE82}"/>
    <cellStyle name="Normal 10 3 15 3 2" xfId="6022" xr:uid="{8F4EBCB0-969D-40FA-BDAA-FFD6216AC816}"/>
    <cellStyle name="Normal 10 3 15 3 3" xfId="6023" xr:uid="{E32EDC87-DD73-4FBA-9887-8139BA7BA1B5}"/>
    <cellStyle name="Normal 10 3 15 3 4" xfId="6024" xr:uid="{F2660750-6DB0-407A-B554-F97408C85BB1}"/>
    <cellStyle name="Normal 10 3 15 4" xfId="6025" xr:uid="{66C35119-19A8-46A6-A5B2-AE9427B22144}"/>
    <cellStyle name="Normal 10 3 15 5" xfId="6026" xr:uid="{2E61DCBF-EC89-4286-AFFD-2E102938EDFA}"/>
    <cellStyle name="Normal 10 3 15 6" xfId="6027" xr:uid="{ABB4828A-E16B-4C8D-BA33-A4CFD6CBF716}"/>
    <cellStyle name="Normal 10 3 16" xfId="6028" xr:uid="{067745B7-B3E3-4570-9A3D-B047C19C64BA}"/>
    <cellStyle name="Normal 10 3 16 2" xfId="6029" xr:uid="{370E8AA1-7B62-4E33-AAE6-276DDA1A27ED}"/>
    <cellStyle name="Normal 10 3 16 2 2" xfId="6030" xr:uid="{6BB7BD1C-FADC-44D8-9FC9-19D41C213E6D}"/>
    <cellStyle name="Normal 10 3 16 2 3" xfId="6031" xr:uid="{DB5E9682-3391-44BD-84B4-FD802FE42274}"/>
    <cellStyle name="Normal 10 3 16 2 4" xfId="6032" xr:uid="{703D6DE4-AF9E-4577-8EB3-97CC0057F444}"/>
    <cellStyle name="Normal 10 3 16 3" xfId="6033" xr:uid="{CED4C789-F462-47CC-86AB-45768D0882D0}"/>
    <cellStyle name="Normal 10 3 16 3 2" xfId="6034" xr:uid="{17EE876B-9B5F-4363-81F8-3D1D8F23E746}"/>
    <cellStyle name="Normal 10 3 16 3 3" xfId="6035" xr:uid="{4AB7D4FE-0F89-4046-B186-5A01E0271DD9}"/>
    <cellStyle name="Normal 10 3 16 3 4" xfId="6036" xr:uid="{4C23F2D7-159E-4D6A-81A1-5B01D372AF66}"/>
    <cellStyle name="Normal 10 3 16 4" xfId="6037" xr:uid="{FBD55C11-DB80-4D6C-946D-CA14529BE35B}"/>
    <cellStyle name="Normal 10 3 16 5" xfId="6038" xr:uid="{163A90FD-97FE-4DD2-901B-287D9AF5F243}"/>
    <cellStyle name="Normal 10 3 16 6" xfId="6039" xr:uid="{A752FC53-55E8-417C-A910-707D16452055}"/>
    <cellStyle name="Normal 10 3 17" xfId="6040" xr:uid="{3A5A2FE7-33B7-4718-BD42-EE6645BDF783}"/>
    <cellStyle name="Normal 10 3 17 2" xfId="6041" xr:uid="{D6F43E78-6C0A-45D7-870E-D7D2789B6187}"/>
    <cellStyle name="Normal 10 3 17 2 2" xfId="6042" xr:uid="{D79DBBF5-EA5D-4D3E-B031-028947CE6B55}"/>
    <cellStyle name="Normal 10 3 17 2 3" xfId="6043" xr:uid="{34B92FC7-B0E6-41F0-A265-F2CCAC71A5DC}"/>
    <cellStyle name="Normal 10 3 17 2 4" xfId="6044" xr:uid="{FAB6E2E5-70D9-4518-9905-6617F8A353D9}"/>
    <cellStyle name="Normal 10 3 17 3" xfId="6045" xr:uid="{60EBADB4-C3E5-4198-9FDC-836BD63DF2EE}"/>
    <cellStyle name="Normal 10 3 17 3 2" xfId="6046" xr:uid="{96697B63-02F0-47FD-B3F8-54004F5A26A6}"/>
    <cellStyle name="Normal 10 3 17 3 3" xfId="6047" xr:uid="{B93B0407-F140-41B0-A08D-E3CE9FA926D5}"/>
    <cellStyle name="Normal 10 3 17 3 4" xfId="6048" xr:uid="{9CEF59FC-71DB-407C-8512-F3965B3284F6}"/>
    <cellStyle name="Normal 10 3 17 4" xfId="6049" xr:uid="{994E9AFB-2B30-497C-9B12-4E96A7DA707A}"/>
    <cellStyle name="Normal 10 3 17 5" xfId="6050" xr:uid="{93123E09-4F09-4524-9F80-9B9140238702}"/>
    <cellStyle name="Normal 10 3 17 6" xfId="6051" xr:uid="{A3FFEDD0-398F-4282-8461-B222C4ACC111}"/>
    <cellStyle name="Normal 10 3 18" xfId="6052" xr:uid="{4852867D-443C-4FD4-B18C-5EA88583036D}"/>
    <cellStyle name="Normal 10 3 18 2" xfId="6053" xr:uid="{20ED2326-019A-43E2-BE64-DE95BCF5063E}"/>
    <cellStyle name="Normal 10 3 18 3" xfId="6054" xr:uid="{9B5AB66B-A0C2-421E-BACB-827A7872C195}"/>
    <cellStyle name="Normal 10 3 18 4" xfId="6055" xr:uid="{2E8ABF9B-F8D7-42E0-B06F-B112E2900E9F}"/>
    <cellStyle name="Normal 10 3 19" xfId="6056" xr:uid="{A51D6B44-4D83-4E83-866E-3EFCB2C9470A}"/>
    <cellStyle name="Normal 10 3 19 2" xfId="6057" xr:uid="{B240A938-5375-420D-A913-58C76572AF7B}"/>
    <cellStyle name="Normal 10 3 19 3" xfId="6058" xr:uid="{FE5552B1-7F20-4DC9-A0D2-EA4CEB80ADF5}"/>
    <cellStyle name="Normal 10 3 19 4" xfId="6059" xr:uid="{02EEB205-E4CD-462D-81E6-038B24C1EF13}"/>
    <cellStyle name="Normal 10 3 2" xfId="6060" xr:uid="{58EA6630-7C2D-4B0B-803A-55D402B9FE00}"/>
    <cellStyle name="Normal 10 3 2 2" xfId="6061" xr:uid="{B9BA4E32-5BEC-4285-8BCD-3F06C84EE237}"/>
    <cellStyle name="Normal 10 3 2 2 2" xfId="6062" xr:uid="{2772AA7A-0218-4F04-BD94-11F44CC4EDB1}"/>
    <cellStyle name="Normal 10 3 2 2 3" xfId="6063" xr:uid="{310F9DA1-72E7-4EDA-85D1-5917E48B9672}"/>
    <cellStyle name="Normal 10 3 2 2 4" xfId="6064" xr:uid="{2747830A-2747-435C-BF45-C548435EA9E1}"/>
    <cellStyle name="Normal 10 3 2 3" xfId="6065" xr:uid="{2A839CA6-FF7C-4A11-8671-1BAC9FB43850}"/>
    <cellStyle name="Normal 10 3 2 3 2" xfId="6066" xr:uid="{1F70F8C1-337A-468D-BE60-AFF30AF73029}"/>
    <cellStyle name="Normal 10 3 2 3 3" xfId="6067" xr:uid="{113F642D-AFF0-45D9-8189-0AA4D1120885}"/>
    <cellStyle name="Normal 10 3 2 3 4" xfId="6068" xr:uid="{E1F3C8FD-DCC5-4DF7-9692-F73CAA917FE0}"/>
    <cellStyle name="Normal 10 3 2 4" xfId="6069" xr:uid="{10D28E5C-2C3A-45C4-86A8-90ACE1CA0AAD}"/>
    <cellStyle name="Normal 10 3 2 5" xfId="6070" xr:uid="{1DC3EE46-DFCE-4781-BC9F-94681BF015D8}"/>
    <cellStyle name="Normal 10 3 2 6" xfId="6071" xr:uid="{28081274-3446-4F98-B9CF-38CADD4B957B}"/>
    <cellStyle name="Normal 10 3 20" xfId="6072" xr:uid="{5099FAAD-1ECB-4871-87EC-275561576AC6}"/>
    <cellStyle name="Normal 10 3 20 2" xfId="6073" xr:uid="{53F429D3-EFC3-4923-BCA6-F430455427F4}"/>
    <cellStyle name="Normal 10 3 20 3" xfId="6074" xr:uid="{027C0C6F-5D1A-4BE7-AF9E-7B07C2B31353}"/>
    <cellStyle name="Normal 10 3 20 4" xfId="6075" xr:uid="{44669A78-02A1-4DC0-98F2-E8D156865E2B}"/>
    <cellStyle name="Normal 10 3 21" xfId="6076" xr:uid="{696203BE-B5CB-40E2-B2E3-6FA504DC8F4A}"/>
    <cellStyle name="Normal 10 3 22" xfId="6077" xr:uid="{7E544C00-9BFD-47DD-92D8-E1580CC0774A}"/>
    <cellStyle name="Normal 10 3 23" xfId="6078" xr:uid="{0E684605-1E2C-498D-B1D0-5A9DDFEFB5A2}"/>
    <cellStyle name="Normal 10 3 3" xfId="6079" xr:uid="{D8859FC1-E3C9-41FF-9B34-6F6E0523BFF3}"/>
    <cellStyle name="Normal 10 3 3 2" xfId="6080" xr:uid="{5E8694DC-1983-43A8-8FCE-E35299B19412}"/>
    <cellStyle name="Normal 10 3 3 2 2" xfId="6081" xr:uid="{91BB67BE-2F99-4C82-92DF-A4D1AEF17623}"/>
    <cellStyle name="Normal 10 3 3 2 3" xfId="6082" xr:uid="{AB46B552-A964-474C-A73E-DE6EADF9A0A5}"/>
    <cellStyle name="Normal 10 3 3 2 4" xfId="6083" xr:uid="{2D13BA56-A6BA-4792-BEE7-AEF06C5B8954}"/>
    <cellStyle name="Normal 10 3 3 3" xfId="6084" xr:uid="{C36FE21B-C4F9-4C73-946A-7D4B0E7035A1}"/>
    <cellStyle name="Normal 10 3 3 3 2" xfId="6085" xr:uid="{80C18ECA-8EBE-41D6-AA72-506F0FF07B0C}"/>
    <cellStyle name="Normal 10 3 3 3 3" xfId="6086" xr:uid="{551A950F-28D0-4A19-A27E-CED1C9F5CC3D}"/>
    <cellStyle name="Normal 10 3 3 3 4" xfId="6087" xr:uid="{5E7032CB-7637-4E03-B1B6-279D27BD2F46}"/>
    <cellStyle name="Normal 10 3 3 4" xfId="6088" xr:uid="{74E87958-61B1-415A-8939-DF9D60E02406}"/>
    <cellStyle name="Normal 10 3 3 5" xfId="6089" xr:uid="{977ADEED-5DBD-4774-A49B-4F8CCD18128A}"/>
    <cellStyle name="Normal 10 3 3 6" xfId="6090" xr:uid="{50891601-506F-494B-8FBB-3E8CC5AA174C}"/>
    <cellStyle name="Normal 10 3 4" xfId="6091" xr:uid="{EE36FAB0-2F5C-4ED2-B611-B0B1662A432C}"/>
    <cellStyle name="Normal 10 3 4 2" xfId="6092" xr:uid="{32879C69-CF6E-49EC-8D2A-57F524EFB227}"/>
    <cellStyle name="Normal 10 3 4 2 2" xfId="6093" xr:uid="{0CA30C70-3A87-4EA5-9240-CEB5FF8C5BC9}"/>
    <cellStyle name="Normal 10 3 4 2 3" xfId="6094" xr:uid="{6EE1760E-43D0-4ECE-94A8-AF6563A3C8D3}"/>
    <cellStyle name="Normal 10 3 4 2 4" xfId="6095" xr:uid="{FAFDA770-A9D4-4E85-B56A-C617AFE09D81}"/>
    <cellStyle name="Normal 10 3 4 3" xfId="6096" xr:uid="{9C0744F1-5BFE-4B98-A9F8-22B7EFC06649}"/>
    <cellStyle name="Normal 10 3 4 3 2" xfId="6097" xr:uid="{F8991086-77FF-4394-83F1-0E300F1AD9B2}"/>
    <cellStyle name="Normal 10 3 4 3 3" xfId="6098" xr:uid="{3465F7C4-D966-426E-8115-6D38665E00C2}"/>
    <cellStyle name="Normal 10 3 4 3 4" xfId="6099" xr:uid="{353D4ADB-8DA2-40CF-B36F-6C6255FF4BC6}"/>
    <cellStyle name="Normal 10 3 4 4" xfId="6100" xr:uid="{9A4ACEBA-F30B-4684-ADBF-9DD32C8D90E3}"/>
    <cellStyle name="Normal 10 3 4 5" xfId="6101" xr:uid="{791FE399-E284-44C9-B887-AF30845CCB3B}"/>
    <cellStyle name="Normal 10 3 4 6" xfId="6102" xr:uid="{E3DC9CAB-5F28-44B0-B27D-A9183C854C89}"/>
    <cellStyle name="Normal 10 3 5" xfId="6103" xr:uid="{A1A24EEF-5BF0-460B-A99C-D40B2C06CB98}"/>
    <cellStyle name="Normal 10 3 5 2" xfId="6104" xr:uid="{AE31E9A7-1982-48EC-AF90-EE499F2EFABD}"/>
    <cellStyle name="Normal 10 3 5 2 2" xfId="6105" xr:uid="{B329652E-D171-4772-9912-F2D66F4DEF65}"/>
    <cellStyle name="Normal 10 3 5 2 3" xfId="6106" xr:uid="{D2A66D49-2DD8-4D80-B989-489AB45871D5}"/>
    <cellStyle name="Normal 10 3 5 2 4" xfId="6107" xr:uid="{BA30A8A7-D2A3-419A-946E-EA494100CD15}"/>
    <cellStyle name="Normal 10 3 5 3" xfId="6108" xr:uid="{FBF1DB32-95FA-420B-92E7-9C9900D41ACD}"/>
    <cellStyle name="Normal 10 3 5 3 2" xfId="6109" xr:uid="{48D7855C-8779-486A-9A45-8F876473B8D5}"/>
    <cellStyle name="Normal 10 3 5 3 3" xfId="6110" xr:uid="{EA54DA95-BFDC-49B4-9C80-4B27F212FDEF}"/>
    <cellStyle name="Normal 10 3 5 3 4" xfId="6111" xr:uid="{632860DD-7422-441C-B455-52FE2C2B7E6D}"/>
    <cellStyle name="Normal 10 3 5 4" xfId="6112" xr:uid="{4EAB4AF4-0459-4097-AD5F-000652429735}"/>
    <cellStyle name="Normal 10 3 5 5" xfId="6113" xr:uid="{5D3F1603-9BF8-4259-8743-A98918F90FC3}"/>
    <cellStyle name="Normal 10 3 5 6" xfId="6114" xr:uid="{FC78FEB2-7DBE-43F8-A9A7-61DD28BB87B8}"/>
    <cellStyle name="Normal 10 3 6" xfId="6115" xr:uid="{14877EFA-E329-4061-AAE9-CD7C2A529CD4}"/>
    <cellStyle name="Normal 10 3 6 2" xfId="6116" xr:uid="{FE426D2D-6FD0-40F0-85C5-439A504096DE}"/>
    <cellStyle name="Normal 10 3 6 2 2" xfId="6117" xr:uid="{DC074476-F585-433C-9B5A-5C867B9E1837}"/>
    <cellStyle name="Normal 10 3 6 2 3" xfId="6118" xr:uid="{616A54E0-0904-440B-8CB6-BE25EAA2D9A0}"/>
    <cellStyle name="Normal 10 3 6 2 4" xfId="6119" xr:uid="{588464B1-7C6C-4E86-A48F-3182A4312C48}"/>
    <cellStyle name="Normal 10 3 6 3" xfId="6120" xr:uid="{40ECEF26-616E-435D-9B6F-5A2048AF648C}"/>
    <cellStyle name="Normal 10 3 6 3 2" xfId="6121" xr:uid="{2314D893-E867-4F31-B3E8-2F4B956E5B50}"/>
    <cellStyle name="Normal 10 3 6 3 3" xfId="6122" xr:uid="{45948E01-4129-4EA3-A645-9276A0245A7B}"/>
    <cellStyle name="Normal 10 3 6 3 4" xfId="6123" xr:uid="{BA336DA8-DF8D-43F6-9720-5F52E97BCE25}"/>
    <cellStyle name="Normal 10 3 6 4" xfId="6124" xr:uid="{7589B593-E911-4D95-B20B-1FA04D445A6D}"/>
    <cellStyle name="Normal 10 3 6 5" xfId="6125" xr:uid="{F3E4C599-BE95-4BE0-A74B-053F8532C942}"/>
    <cellStyle name="Normal 10 3 6 6" xfId="6126" xr:uid="{32C4A166-09E6-4B19-AA76-593592263103}"/>
    <cellStyle name="Normal 10 3 7" xfId="6127" xr:uid="{709AA42B-C2C1-4EB9-BA97-C0EBB36A1396}"/>
    <cellStyle name="Normal 10 3 7 2" xfId="6128" xr:uid="{83128F11-D759-497F-A699-3C581544AC23}"/>
    <cellStyle name="Normal 10 3 7 2 2" xfId="6129" xr:uid="{3F59884E-2F03-41F6-A308-81B048A2CA31}"/>
    <cellStyle name="Normal 10 3 7 2 3" xfId="6130" xr:uid="{449D8CA7-B20C-4944-B3BE-EE7FC75BFCC4}"/>
    <cellStyle name="Normal 10 3 7 2 4" xfId="6131" xr:uid="{845704EC-3FC8-4C10-8DA9-8BEB29F3D266}"/>
    <cellStyle name="Normal 10 3 7 3" xfId="6132" xr:uid="{D036986B-3DE8-4BE7-A007-27A6303B1228}"/>
    <cellStyle name="Normal 10 3 7 3 2" xfId="6133" xr:uid="{7B47741B-6BC7-440A-8838-A52B9A494340}"/>
    <cellStyle name="Normal 10 3 7 3 3" xfId="6134" xr:uid="{8C67AA6D-6F00-4D79-9BF8-D3A1E8596C43}"/>
    <cellStyle name="Normal 10 3 7 3 4" xfId="6135" xr:uid="{77610C63-13E3-47E0-9B00-DAB2677E8F46}"/>
    <cellStyle name="Normal 10 3 7 4" xfId="6136" xr:uid="{EEA305E5-99A4-498B-9A52-132DF254E68F}"/>
    <cellStyle name="Normal 10 3 7 5" xfId="6137" xr:uid="{75BEB7FF-7A8F-480E-AB7D-3852EE10BAB0}"/>
    <cellStyle name="Normal 10 3 7 6" xfId="6138" xr:uid="{865B44CC-7C02-466D-9E28-B0EC9A03D47F}"/>
    <cellStyle name="Normal 10 3 8" xfId="6139" xr:uid="{3EE26C25-E976-4E4F-98FF-7406603026DD}"/>
    <cellStyle name="Normal 10 3 8 2" xfId="6140" xr:uid="{57120D3A-5C42-4EE4-80CF-F12DDCB5A51E}"/>
    <cellStyle name="Normal 10 3 8 2 2" xfId="6141" xr:uid="{13330E60-951B-45A0-9724-EB8528B1AE3E}"/>
    <cellStyle name="Normal 10 3 8 2 3" xfId="6142" xr:uid="{9C62D647-16FE-4C2F-A36C-6026C25E5670}"/>
    <cellStyle name="Normal 10 3 8 2 4" xfId="6143" xr:uid="{25C025F6-BAC8-4B7A-8574-C12257CD9731}"/>
    <cellStyle name="Normal 10 3 8 3" xfId="6144" xr:uid="{8208E0EF-6A6A-4DCA-A4C7-52426812BDE6}"/>
    <cellStyle name="Normal 10 3 8 3 2" xfId="6145" xr:uid="{828633F6-5150-4B82-ACAC-E82BE74B3A69}"/>
    <cellStyle name="Normal 10 3 8 3 3" xfId="6146" xr:uid="{EA570EF9-5D24-45BB-9F7A-E06D89421C6D}"/>
    <cellStyle name="Normal 10 3 8 3 4" xfId="6147" xr:uid="{9045E590-2ED1-4C49-8C4B-240AA1A0B2E8}"/>
    <cellStyle name="Normal 10 3 8 4" xfId="6148" xr:uid="{F9F83450-540B-4AED-96C8-811E85091124}"/>
    <cellStyle name="Normal 10 3 8 5" xfId="6149" xr:uid="{5CB3C6D1-AD8A-4855-BBB1-6C0FB4B5ACDE}"/>
    <cellStyle name="Normal 10 3 8 6" xfId="6150" xr:uid="{B4D23B94-16D1-4EDC-9DFE-031AA291DC87}"/>
    <cellStyle name="Normal 10 3 9" xfId="6151" xr:uid="{9811D7B8-6EA8-4FA1-B535-8FED6F826B46}"/>
    <cellStyle name="Normal 10 3 9 2" xfId="6152" xr:uid="{752CBE8A-BDE5-4216-84B6-EC5C4CECF96C}"/>
    <cellStyle name="Normal 10 3 9 2 2" xfId="6153" xr:uid="{277EC0E7-B88C-4DAE-8CD8-07F88B657296}"/>
    <cellStyle name="Normal 10 3 9 2 3" xfId="6154" xr:uid="{0529A315-68AC-4274-BF78-B00220664692}"/>
    <cellStyle name="Normal 10 3 9 2 4" xfId="6155" xr:uid="{357EBD3F-804B-4BC9-A471-F0A67233C4B9}"/>
    <cellStyle name="Normal 10 3 9 3" xfId="6156" xr:uid="{7C370392-0FD7-4D4A-B7E2-997509C10810}"/>
    <cellStyle name="Normal 10 3 9 3 2" xfId="6157" xr:uid="{6302FB7D-4AE9-4663-BAB1-27D3549D0BFA}"/>
    <cellStyle name="Normal 10 3 9 3 3" xfId="6158" xr:uid="{A653D403-B4AB-4E2D-AD17-8D154F88DF84}"/>
    <cellStyle name="Normal 10 3 9 3 4" xfId="6159" xr:uid="{A2D3B8A6-30D3-4A05-9625-73AD23DA1E27}"/>
    <cellStyle name="Normal 10 3 9 4" xfId="6160" xr:uid="{C282A8D1-07C0-4BFD-BCEB-C35275EF53F5}"/>
    <cellStyle name="Normal 10 3 9 5" xfId="6161" xr:uid="{29D1C420-0FFD-4ACA-AEC5-0491514CCF65}"/>
    <cellStyle name="Normal 10 3 9 6" xfId="6162" xr:uid="{E23305B1-985C-4A09-82D3-DFECEF642803}"/>
    <cellStyle name="Normal 10 30" xfId="6163" xr:uid="{10EAD0F3-130E-4F5B-AA01-8382876D62D6}"/>
    <cellStyle name="Normal 10 30 10" xfId="6164" xr:uid="{E12B6EAB-06AD-4950-903C-A2DAEA90F2E5}"/>
    <cellStyle name="Normal 10 30 11" xfId="6165" xr:uid="{B805F072-AEFE-49EA-A560-445E9DD7A8DC}"/>
    <cellStyle name="Normal 10 30 12" xfId="6166" xr:uid="{14F0E5F2-F1E1-45AD-A012-36D88944D914}"/>
    <cellStyle name="Normal 10 30 13" xfId="6167" xr:uid="{60CAB2AB-A035-4D97-85CD-8B06E32536B7}"/>
    <cellStyle name="Normal 10 30 2" xfId="6168" xr:uid="{F1C94E80-784B-4DEB-B14F-46F640E53119}"/>
    <cellStyle name="Normal 10 30 2 2" xfId="6169" xr:uid="{41087517-06C3-4865-9B75-CCA7AA031A1F}"/>
    <cellStyle name="Normal 10 30 2 3" xfId="6170" xr:uid="{A5D011DA-E351-44EF-B98A-F4B184AA0EA4}"/>
    <cellStyle name="Normal 10 30 2 4" xfId="6171" xr:uid="{1E4B3936-0E30-46B9-B4EC-F024656BDBD4}"/>
    <cellStyle name="Normal 10 30 2 5" xfId="6172" xr:uid="{FF5D057E-2EEC-4C76-8A09-F3FB7E4886CD}"/>
    <cellStyle name="Normal 10 30 2 6" xfId="6173" xr:uid="{BBAC1CCE-CD04-4A00-9E8D-61975BA1D434}"/>
    <cellStyle name="Normal 10 30 3" xfId="6174" xr:uid="{E4BCD6B7-CCFE-4262-A6B9-F2E3AB0F2C0F}"/>
    <cellStyle name="Normal 10 30 3 2" xfId="6175" xr:uid="{25386BE4-C271-4651-BD9C-69DA1D8739AE}"/>
    <cellStyle name="Normal 10 30 3 3" xfId="6176" xr:uid="{4096AF24-F173-420F-9372-141C33B3DDCF}"/>
    <cellStyle name="Normal 10 30 3 4" xfId="6177" xr:uid="{72E0EABC-67F3-4F15-8A9B-944A41630C99}"/>
    <cellStyle name="Normal 10 30 3 5" xfId="6178" xr:uid="{B91D3132-6036-4699-A3BB-B06AB1FDAAB8}"/>
    <cellStyle name="Normal 10 30 3 6" xfId="6179" xr:uid="{BC10E7CA-1C90-4FAF-89B2-EB20944D3A40}"/>
    <cellStyle name="Normal 10 30 4" xfId="6180" xr:uid="{996736FA-48A8-42BC-A26F-CB470A916FE5}"/>
    <cellStyle name="Normal 10 30 4 2" xfId="6181" xr:uid="{2255DE8F-D1F2-4F2E-BACB-88236E635CC0}"/>
    <cellStyle name="Normal 10 30 4 3" xfId="6182" xr:uid="{92CC4881-8C05-4114-8997-AB446B13BCB7}"/>
    <cellStyle name="Normal 10 30 4 4" xfId="6183" xr:uid="{0E074868-35EB-484E-81E3-0762AA6FEE07}"/>
    <cellStyle name="Normal 10 30 4 5" xfId="6184" xr:uid="{1E0F9515-C483-488E-8B54-F30008B4F365}"/>
    <cellStyle name="Normal 10 30 4 6" xfId="6185" xr:uid="{E2377B18-2449-4842-B2E4-5EBC5BD04CD3}"/>
    <cellStyle name="Normal 10 30 5" xfId="6186" xr:uid="{865DD58A-4CF6-4D15-A68A-122711C66525}"/>
    <cellStyle name="Normal 10 30 5 2" xfId="6187" xr:uid="{2D8ED55A-E1B4-4A11-B769-84C71E98E026}"/>
    <cellStyle name="Normal 10 30 5 3" xfId="6188" xr:uid="{4D949C3C-144C-48C2-B771-08A59708981D}"/>
    <cellStyle name="Normal 10 30 5 4" xfId="6189" xr:uid="{5812312B-3A4B-4686-917C-9A405A59F3AF}"/>
    <cellStyle name="Normal 10 30 5 5" xfId="6190" xr:uid="{70E89CFE-CB32-4397-A8B3-23FF788C2E87}"/>
    <cellStyle name="Normal 10 30 5 6" xfId="6191" xr:uid="{178CF9A6-CC27-40B8-82F7-3246FBD809B6}"/>
    <cellStyle name="Normal 10 30 6" xfId="6192" xr:uid="{7450CF39-4BFF-404A-99DD-207853272454}"/>
    <cellStyle name="Normal 10 30 6 2" xfId="6193" xr:uid="{04EDF300-A265-4F05-851B-8BCDE3FF4C82}"/>
    <cellStyle name="Normal 10 30 6 3" xfId="6194" xr:uid="{E37E7B09-2CE3-4C38-BDA4-377B8A611AE0}"/>
    <cellStyle name="Normal 10 30 6 4" xfId="6195" xr:uid="{F0FBA4B2-55F6-4AA3-81DC-4B2688E24187}"/>
    <cellStyle name="Normal 10 30 6 5" xfId="6196" xr:uid="{4936EC4E-B643-4119-B522-AA0B278CBF65}"/>
    <cellStyle name="Normal 10 30 6 6" xfId="6197" xr:uid="{F8C88546-8CD7-4BD8-B24D-387B2DB14A86}"/>
    <cellStyle name="Normal 10 30 7" xfId="6198" xr:uid="{971DE1D8-E155-4C7E-8D5E-FF87A170549C}"/>
    <cellStyle name="Normal 10 30 7 2" xfId="6199" xr:uid="{0835BE61-48F9-40F9-81D0-5E8D800A1931}"/>
    <cellStyle name="Normal 10 30 7 3" xfId="6200" xr:uid="{13791FC3-46DE-4645-AE1A-EB8D2B96245A}"/>
    <cellStyle name="Normal 10 30 7 4" xfId="6201" xr:uid="{7CEAA6A2-D74B-4AB8-A8FF-74BBD637C6FF}"/>
    <cellStyle name="Normal 10 30 7 5" xfId="6202" xr:uid="{F0094C04-DA36-4824-89BA-C2A52EBE75FA}"/>
    <cellStyle name="Normal 10 30 7 6" xfId="6203" xr:uid="{0841317B-FDCD-48A7-AD44-5DED34D608B2}"/>
    <cellStyle name="Normal 10 30 8" xfId="6204" xr:uid="{6B44CA69-49DB-424E-AF86-AF30E416E2B5}"/>
    <cellStyle name="Normal 10 30 8 2" xfId="6205" xr:uid="{1D8C65F9-2854-4659-B33F-EDE15A91ACE7}"/>
    <cellStyle name="Normal 10 30 8 3" xfId="6206" xr:uid="{BAEF1F3B-0CCB-47CB-B0C5-026A4AEBE333}"/>
    <cellStyle name="Normal 10 30 8 4" xfId="6207" xr:uid="{86E4717B-364D-464C-ADE9-DE3DC99824E7}"/>
    <cellStyle name="Normal 10 30 8 5" xfId="6208" xr:uid="{179A4B7B-A42B-4614-86D2-227D8C0BD432}"/>
    <cellStyle name="Normal 10 30 8 6" xfId="6209" xr:uid="{F8AEDF3E-CF62-4700-8267-837A3F506DD1}"/>
    <cellStyle name="Normal 10 30 9" xfId="6210" xr:uid="{81FE73E0-DBCB-4F47-A32A-A9E8BB076997}"/>
    <cellStyle name="Normal 10 31" xfId="6211" xr:uid="{8A22650D-43C8-42AE-959D-55605B4F2138}"/>
    <cellStyle name="Normal 10 31 10" xfId="6212" xr:uid="{86E0708B-DF09-4531-BB56-B5F67E713AC8}"/>
    <cellStyle name="Normal 10 31 11" xfId="6213" xr:uid="{3FC20301-9165-4123-9F76-1169BDFF35F5}"/>
    <cellStyle name="Normal 10 31 12" xfId="6214" xr:uid="{BBB37EE1-03E2-4DC5-A75A-3FCF329F84A6}"/>
    <cellStyle name="Normal 10 31 13" xfId="6215" xr:uid="{68A1C99B-E188-4B7C-83D4-84B57DCB4C30}"/>
    <cellStyle name="Normal 10 31 2" xfId="6216" xr:uid="{C408B5C2-8532-4DEF-895F-5F614D16A956}"/>
    <cellStyle name="Normal 10 31 2 2" xfId="6217" xr:uid="{C2849AA1-A5E0-4968-BC13-2044FDE0F977}"/>
    <cellStyle name="Normal 10 31 2 3" xfId="6218" xr:uid="{F05F501D-543F-424F-A02C-2490D2DA6CBE}"/>
    <cellStyle name="Normal 10 31 2 4" xfId="6219" xr:uid="{EFE8EFEF-0041-4171-AD80-96E96BF41D2A}"/>
    <cellStyle name="Normal 10 31 2 5" xfId="6220" xr:uid="{E4B57B62-E231-4B7F-B040-58584ABD0B38}"/>
    <cellStyle name="Normal 10 31 2 6" xfId="6221" xr:uid="{587E8242-6C82-497D-930C-3E54C8EF5D47}"/>
    <cellStyle name="Normal 10 31 3" xfId="6222" xr:uid="{46CE3DF3-F88A-4608-B17B-8425F1B529B8}"/>
    <cellStyle name="Normal 10 31 3 2" xfId="6223" xr:uid="{B128AF50-76DC-4FAB-9DB8-624848B6183C}"/>
    <cellStyle name="Normal 10 31 3 3" xfId="6224" xr:uid="{0814C023-1138-4A9E-96F1-9FD2EB4D5102}"/>
    <cellStyle name="Normal 10 31 3 4" xfId="6225" xr:uid="{1F401266-3A48-4679-8381-749114805FEB}"/>
    <cellStyle name="Normal 10 31 3 5" xfId="6226" xr:uid="{74D7048C-7F04-4763-BE56-3E1255A92200}"/>
    <cellStyle name="Normal 10 31 3 6" xfId="6227" xr:uid="{FD477DEE-7F2C-494D-AE46-64F407CA726E}"/>
    <cellStyle name="Normal 10 31 4" xfId="6228" xr:uid="{F0645490-54BC-4639-8A95-1DEE54C880D9}"/>
    <cellStyle name="Normal 10 31 4 2" xfId="6229" xr:uid="{248C2C2B-818C-48CD-881C-A5560B692064}"/>
    <cellStyle name="Normal 10 31 4 3" xfId="6230" xr:uid="{E805FA1D-3E29-4A02-8B42-8010FEE5F8D1}"/>
    <cellStyle name="Normal 10 31 4 4" xfId="6231" xr:uid="{CA7AF66D-902B-410B-B8FC-6F4285E45B7E}"/>
    <cellStyle name="Normal 10 31 4 5" xfId="6232" xr:uid="{E4B1ECC7-965C-41B6-B4C3-6370A8B73040}"/>
    <cellStyle name="Normal 10 31 4 6" xfId="6233" xr:uid="{F6CB5D20-6C1C-4D71-8204-09E23A481931}"/>
    <cellStyle name="Normal 10 31 5" xfId="6234" xr:uid="{B3F459A7-12D6-4E1F-A712-6FAC06A4EFCC}"/>
    <cellStyle name="Normal 10 31 5 2" xfId="6235" xr:uid="{041352AE-2DD7-4496-B16C-B82FAA3D1E6F}"/>
    <cellStyle name="Normal 10 31 5 3" xfId="6236" xr:uid="{90B5D8B2-6281-471E-A20D-A0CE57857C48}"/>
    <cellStyle name="Normal 10 31 5 4" xfId="6237" xr:uid="{1F9D5057-F037-409A-AFFA-BBFDB02B94D1}"/>
    <cellStyle name="Normal 10 31 5 5" xfId="6238" xr:uid="{B2D26EBF-421B-4D66-BBF7-95EA2B2DB5A9}"/>
    <cellStyle name="Normal 10 31 5 6" xfId="6239" xr:uid="{E6808E45-07E6-4ED9-AFDD-9C981FFD8695}"/>
    <cellStyle name="Normal 10 31 6" xfId="6240" xr:uid="{00AB810D-3FCA-466E-A7CF-C1D1C6B8767A}"/>
    <cellStyle name="Normal 10 31 6 2" xfId="6241" xr:uid="{28F48BCB-2BEB-4063-A0B9-E967779C3D47}"/>
    <cellStyle name="Normal 10 31 6 3" xfId="6242" xr:uid="{0605ACD6-453C-4F60-99CE-689B4DEF3EE8}"/>
    <cellStyle name="Normal 10 31 6 4" xfId="6243" xr:uid="{1D991099-1260-46A9-9CFB-16ED179C7FBA}"/>
    <cellStyle name="Normal 10 31 6 5" xfId="6244" xr:uid="{E546C8F6-7F9B-4DE7-A4A0-4E8C24D8B00A}"/>
    <cellStyle name="Normal 10 31 6 6" xfId="6245" xr:uid="{0A9DBFD2-BD17-4DDD-816D-7BBF0230D637}"/>
    <cellStyle name="Normal 10 31 7" xfId="6246" xr:uid="{38C3CC5D-0D38-4546-9263-E09161061CF7}"/>
    <cellStyle name="Normal 10 31 7 2" xfId="6247" xr:uid="{AFB4FA34-E015-40CD-AFDE-77FD94C79723}"/>
    <cellStyle name="Normal 10 31 7 3" xfId="6248" xr:uid="{5F570CA5-C600-4384-A075-7C52FB4B2EDD}"/>
    <cellStyle name="Normal 10 31 7 4" xfId="6249" xr:uid="{AF7F1D2D-0003-442A-8F09-BB5F56D92726}"/>
    <cellStyle name="Normal 10 31 7 5" xfId="6250" xr:uid="{05A60765-7ACC-4825-BF62-CF409DF68C9A}"/>
    <cellStyle name="Normal 10 31 7 6" xfId="6251" xr:uid="{3F926BD9-5F99-482D-8235-ED80FB7FA384}"/>
    <cellStyle name="Normal 10 31 8" xfId="6252" xr:uid="{B6D2BC00-1383-4498-BBEF-2BDC14D53E07}"/>
    <cellStyle name="Normal 10 31 8 2" xfId="6253" xr:uid="{9092C638-2CF4-4699-A40E-27698C366785}"/>
    <cellStyle name="Normal 10 31 8 3" xfId="6254" xr:uid="{53943E98-CB9D-42A3-AD6A-141E72DFFFE6}"/>
    <cellStyle name="Normal 10 31 8 4" xfId="6255" xr:uid="{50A6E34C-D119-4902-A6BB-CB7489397325}"/>
    <cellStyle name="Normal 10 31 8 5" xfId="6256" xr:uid="{6B58A7A4-25C8-461E-9D6B-0C2875B6DFCD}"/>
    <cellStyle name="Normal 10 31 8 6" xfId="6257" xr:uid="{8207FBF1-F972-4E1D-AAB7-426D284D3879}"/>
    <cellStyle name="Normal 10 31 9" xfId="6258" xr:uid="{DD13F8A7-ADC5-4C4C-9FF0-2B0C21E4527B}"/>
    <cellStyle name="Normal 10 32" xfId="6259" xr:uid="{12102D0D-39B7-4AF8-8873-98C72C5A3DB1}"/>
    <cellStyle name="Normal 10 32 10" xfId="6260" xr:uid="{42645FA4-0BF3-434A-91A2-C108D0F64714}"/>
    <cellStyle name="Normal 10 32 11" xfId="6261" xr:uid="{8E8C778C-5A73-440C-8B39-F29A851EC17C}"/>
    <cellStyle name="Normal 10 32 12" xfId="6262" xr:uid="{B0622437-C674-492F-B6E3-CCE1EB2E44AF}"/>
    <cellStyle name="Normal 10 32 13" xfId="6263" xr:uid="{13CA1F25-390A-4ACE-BFA2-46597D69EA4E}"/>
    <cellStyle name="Normal 10 32 2" xfId="6264" xr:uid="{FE38CF00-84B4-49BE-A29F-697D58691349}"/>
    <cellStyle name="Normal 10 32 2 2" xfId="6265" xr:uid="{8A0F8F0E-E0BD-478F-A0D4-7414DA434747}"/>
    <cellStyle name="Normal 10 32 2 3" xfId="6266" xr:uid="{9B0C198A-8827-49FC-BA38-3C2FA509A102}"/>
    <cellStyle name="Normal 10 32 2 4" xfId="6267" xr:uid="{55DFD92C-3B5E-447E-8D57-828C82859345}"/>
    <cellStyle name="Normal 10 32 2 5" xfId="6268" xr:uid="{C23EE345-667C-4825-BE8F-EA0715996916}"/>
    <cellStyle name="Normal 10 32 2 6" xfId="6269" xr:uid="{064EA082-A3D3-4C38-B200-D75F9DF0EB10}"/>
    <cellStyle name="Normal 10 32 3" xfId="6270" xr:uid="{91F806D6-22C6-45D7-B74C-D1E378DACCAA}"/>
    <cellStyle name="Normal 10 32 3 2" xfId="6271" xr:uid="{5812954C-3FDE-4697-9FD8-7001A998EA73}"/>
    <cellStyle name="Normal 10 32 3 3" xfId="6272" xr:uid="{0DFD4F97-EDDF-4153-8698-83BAFA674E9C}"/>
    <cellStyle name="Normal 10 32 3 4" xfId="6273" xr:uid="{B8B41E28-415F-4762-A6EE-815C26CCEEC5}"/>
    <cellStyle name="Normal 10 32 3 5" xfId="6274" xr:uid="{F2634B95-8828-4079-ACD6-085A67BE0BC4}"/>
    <cellStyle name="Normal 10 32 3 6" xfId="6275" xr:uid="{A14A7C18-CF4D-40EE-A7D4-C32310F8B109}"/>
    <cellStyle name="Normal 10 32 4" xfId="6276" xr:uid="{23CFC601-478D-4523-B797-CF196B5ECEC5}"/>
    <cellStyle name="Normal 10 32 4 2" xfId="6277" xr:uid="{FC472613-849A-4C4F-A4D4-79F1554D5F68}"/>
    <cellStyle name="Normal 10 32 4 3" xfId="6278" xr:uid="{B42551FB-7BC4-4BAF-8976-130460E22AAB}"/>
    <cellStyle name="Normal 10 32 4 4" xfId="6279" xr:uid="{DF6C322C-C1DF-4BDD-9822-83F77ED6BB30}"/>
    <cellStyle name="Normal 10 32 4 5" xfId="6280" xr:uid="{02C8D3C5-4080-4A58-9E5E-23B403EB4A33}"/>
    <cellStyle name="Normal 10 32 4 6" xfId="6281" xr:uid="{78D76A5A-ABF5-4A77-B135-312501906709}"/>
    <cellStyle name="Normal 10 32 5" xfId="6282" xr:uid="{71C4FC36-37D7-4FAB-9C5F-54D58ABCC910}"/>
    <cellStyle name="Normal 10 32 5 2" xfId="6283" xr:uid="{1C3232EE-4388-4B36-BBA5-D5BF417AFDDC}"/>
    <cellStyle name="Normal 10 32 5 3" xfId="6284" xr:uid="{E4E9340A-9C06-47C1-AE18-9F6130DDFEAC}"/>
    <cellStyle name="Normal 10 32 5 4" xfId="6285" xr:uid="{4202975D-834F-400E-9B89-6D15551737BE}"/>
    <cellStyle name="Normal 10 32 5 5" xfId="6286" xr:uid="{8B6718A6-F4AB-4796-97D2-40715C018BC6}"/>
    <cellStyle name="Normal 10 32 5 6" xfId="6287" xr:uid="{D1E25379-2143-4A83-B16F-5575BF90D00B}"/>
    <cellStyle name="Normal 10 32 6" xfId="6288" xr:uid="{CFA36062-E3EC-49B3-803A-5F6CDE6CEB37}"/>
    <cellStyle name="Normal 10 32 6 2" xfId="6289" xr:uid="{49CE68B5-7EA8-4A8C-B002-00B4737F67F5}"/>
    <cellStyle name="Normal 10 32 6 3" xfId="6290" xr:uid="{2B230737-79B0-46C2-894E-B208E4A3A136}"/>
    <cellStyle name="Normal 10 32 6 4" xfId="6291" xr:uid="{B48F5816-44E0-47F3-BDB5-7CE52D62564F}"/>
    <cellStyle name="Normal 10 32 6 5" xfId="6292" xr:uid="{E36BDB19-1D77-4770-801B-5551A1588C22}"/>
    <cellStyle name="Normal 10 32 6 6" xfId="6293" xr:uid="{61D24924-3A36-4C34-89EB-EB187E8C9CAD}"/>
    <cellStyle name="Normal 10 32 7" xfId="6294" xr:uid="{D87CB59D-8F06-42F4-B400-9D8A1AEE7DC8}"/>
    <cellStyle name="Normal 10 32 7 2" xfId="6295" xr:uid="{07D8C59B-3ED1-4AA8-B18A-75140257CF20}"/>
    <cellStyle name="Normal 10 32 7 3" xfId="6296" xr:uid="{7A8251A7-6604-45E6-8DFB-41DFC2397FFD}"/>
    <cellStyle name="Normal 10 32 7 4" xfId="6297" xr:uid="{4409FFEF-8821-4484-8D1B-D64C22E766F7}"/>
    <cellStyle name="Normal 10 32 7 5" xfId="6298" xr:uid="{6839F5E7-8D05-4A55-A9D5-73BC52AF438D}"/>
    <cellStyle name="Normal 10 32 7 6" xfId="6299" xr:uid="{5AFCA44C-46FE-4AB8-BA64-62B1C78A4977}"/>
    <cellStyle name="Normal 10 32 8" xfId="6300" xr:uid="{81685BA9-13F2-4E2B-956A-11DB8DDAB562}"/>
    <cellStyle name="Normal 10 32 8 2" xfId="6301" xr:uid="{9E9AD39C-82F5-44F9-9D7C-00B3BE84B3FE}"/>
    <cellStyle name="Normal 10 32 8 3" xfId="6302" xr:uid="{291C8663-AF4E-4F2A-B565-1221659784B8}"/>
    <cellStyle name="Normal 10 32 8 4" xfId="6303" xr:uid="{AC631806-5337-4DD5-BD2A-5C127D6CE59D}"/>
    <cellStyle name="Normal 10 32 8 5" xfId="6304" xr:uid="{7CA26067-E8CC-4558-8A61-A7E28C77D151}"/>
    <cellStyle name="Normal 10 32 8 6" xfId="6305" xr:uid="{D129917E-4BFE-467E-91F4-0183CEFB319D}"/>
    <cellStyle name="Normal 10 32 9" xfId="6306" xr:uid="{C277D8C1-B5BA-4708-9B04-8FD941A3E7BE}"/>
    <cellStyle name="Normal 10 33" xfId="6307" xr:uid="{8469A9F7-5427-43DE-89BF-AF901967D3BB}"/>
    <cellStyle name="Normal 10 33 10" xfId="6308" xr:uid="{40B6A894-6BFB-4F6B-AF2A-43FFE30A270B}"/>
    <cellStyle name="Normal 10 33 11" xfId="6309" xr:uid="{03F2EF17-0EF0-47D2-8051-EFC091A5D596}"/>
    <cellStyle name="Normal 10 33 12" xfId="6310" xr:uid="{0688190C-247F-48A4-B597-14DCC93E52F1}"/>
    <cellStyle name="Normal 10 33 13" xfId="6311" xr:uid="{CCAF4776-85FE-42E4-89D8-F121509C529E}"/>
    <cellStyle name="Normal 10 33 2" xfId="6312" xr:uid="{23D6614C-9EAB-476A-9974-3854397DB9C9}"/>
    <cellStyle name="Normal 10 33 2 2" xfId="6313" xr:uid="{48C298F3-4BDA-44E3-B1F0-04D7BE614956}"/>
    <cellStyle name="Normal 10 33 2 3" xfId="6314" xr:uid="{E77D27AE-2E59-4262-852B-77098562DA3D}"/>
    <cellStyle name="Normal 10 33 2 4" xfId="6315" xr:uid="{CDD061C2-44DE-4A4E-A72B-17C2A9BF45F4}"/>
    <cellStyle name="Normal 10 33 2 5" xfId="6316" xr:uid="{758422F6-AD48-4BC4-9F3F-A837EC3458F0}"/>
    <cellStyle name="Normal 10 33 2 6" xfId="6317" xr:uid="{1291DA8A-C546-4790-980C-416380EF2C23}"/>
    <cellStyle name="Normal 10 33 3" xfId="6318" xr:uid="{187E4D45-874E-442A-8EEC-8BA1203E26E7}"/>
    <cellStyle name="Normal 10 33 3 2" xfId="6319" xr:uid="{E5347DCF-8C2B-43E5-A370-1CEA947D41F1}"/>
    <cellStyle name="Normal 10 33 3 3" xfId="6320" xr:uid="{DB9C8B66-B60E-4959-9C54-0F6C2BFAAE32}"/>
    <cellStyle name="Normal 10 33 3 4" xfId="6321" xr:uid="{25628BC3-2247-4DDF-9FCB-0B7114B0A1D5}"/>
    <cellStyle name="Normal 10 33 3 5" xfId="6322" xr:uid="{3302983F-46C4-41A5-9501-0DAEC223F122}"/>
    <cellStyle name="Normal 10 33 3 6" xfId="6323" xr:uid="{0DE9F134-543C-45F3-8501-3ACA274639ED}"/>
    <cellStyle name="Normal 10 33 4" xfId="6324" xr:uid="{A5F2FE3A-716D-4E71-ACF6-041D5C55A212}"/>
    <cellStyle name="Normal 10 33 4 2" xfId="6325" xr:uid="{3FFF7E3B-5C05-42C6-AF89-FBDB1F4A6D30}"/>
    <cellStyle name="Normal 10 33 4 3" xfId="6326" xr:uid="{94DA46BD-E2AA-4825-A3F8-FA6E4C477F81}"/>
    <cellStyle name="Normal 10 33 4 4" xfId="6327" xr:uid="{1A3A82BB-2C9F-481E-BA0B-7559D137198A}"/>
    <cellStyle name="Normal 10 33 4 5" xfId="6328" xr:uid="{5898A133-5113-4126-9C72-14ABCE55A997}"/>
    <cellStyle name="Normal 10 33 4 6" xfId="6329" xr:uid="{B333611A-CD27-4156-B735-3E4B7B26FD18}"/>
    <cellStyle name="Normal 10 33 5" xfId="6330" xr:uid="{B577B1A8-4587-4607-AB8A-122177E9155A}"/>
    <cellStyle name="Normal 10 33 5 2" xfId="6331" xr:uid="{D4C1D6D9-E3AC-4109-BCCF-A0CC2A290796}"/>
    <cellStyle name="Normal 10 33 5 3" xfId="6332" xr:uid="{94858F31-12B4-47B8-8BAC-2D8E4064B5B0}"/>
    <cellStyle name="Normal 10 33 5 4" xfId="6333" xr:uid="{20AD4A97-9B76-4E05-B43E-358ED8064E27}"/>
    <cellStyle name="Normal 10 33 5 5" xfId="6334" xr:uid="{5DAA084B-6EC9-476E-8584-ED16F362F251}"/>
    <cellStyle name="Normal 10 33 5 6" xfId="6335" xr:uid="{34CFB0F7-0CED-48B8-A721-224ABD93E743}"/>
    <cellStyle name="Normal 10 33 6" xfId="6336" xr:uid="{01FC91BE-7C89-458F-B927-8C55BE17BF04}"/>
    <cellStyle name="Normal 10 33 6 2" xfId="6337" xr:uid="{A99F8A90-C89A-453D-B8BE-D78E930A9E91}"/>
    <cellStyle name="Normal 10 33 6 3" xfId="6338" xr:uid="{F1916F88-9BBA-4E51-8E41-50F850B259AE}"/>
    <cellStyle name="Normal 10 33 6 4" xfId="6339" xr:uid="{46D43D7D-5B30-48AF-82B7-5438B2589D98}"/>
    <cellStyle name="Normal 10 33 6 5" xfId="6340" xr:uid="{5A6236B7-146C-415C-89A8-E6FA42CE456A}"/>
    <cellStyle name="Normal 10 33 6 6" xfId="6341" xr:uid="{A1603733-C043-4CB6-ABDA-344DBDC0ABDD}"/>
    <cellStyle name="Normal 10 33 7" xfId="6342" xr:uid="{5B6420F8-86F9-4B2E-B70A-7DEE2E06BCEA}"/>
    <cellStyle name="Normal 10 33 7 2" xfId="6343" xr:uid="{EA836405-F36D-4BE1-9ECB-1FEDFB608758}"/>
    <cellStyle name="Normal 10 33 7 3" xfId="6344" xr:uid="{9A464B2E-580E-4982-BC26-4AB7FA05E2EA}"/>
    <cellStyle name="Normal 10 33 7 4" xfId="6345" xr:uid="{728C187C-61ED-4D40-9E3C-4419718715F8}"/>
    <cellStyle name="Normal 10 33 7 5" xfId="6346" xr:uid="{2F9A3167-2BD7-4E8A-A714-87ADF942323C}"/>
    <cellStyle name="Normal 10 33 7 6" xfId="6347" xr:uid="{435CC838-D81E-4A15-8F79-04B72AF6A698}"/>
    <cellStyle name="Normal 10 33 8" xfId="6348" xr:uid="{8C68D119-B7FC-4CF2-9E1B-F92B3FD52E56}"/>
    <cellStyle name="Normal 10 33 8 2" xfId="6349" xr:uid="{622343D1-F0BB-4FD3-A4F4-9EA8EE4DD08A}"/>
    <cellStyle name="Normal 10 33 8 3" xfId="6350" xr:uid="{CD6BBDF7-E9C0-4DB3-95A7-B4D89267B3CD}"/>
    <cellStyle name="Normal 10 33 8 4" xfId="6351" xr:uid="{AB665F75-33C3-4897-9FD7-0F9FFF53A479}"/>
    <cellStyle name="Normal 10 33 8 5" xfId="6352" xr:uid="{AA1FD0E4-26FC-4A05-927B-C516CCFA40A6}"/>
    <cellStyle name="Normal 10 33 8 6" xfId="6353" xr:uid="{F9F2CEE2-9476-4D35-9308-FD812A1558C7}"/>
    <cellStyle name="Normal 10 33 9" xfId="6354" xr:uid="{EF03FCD3-49A9-4831-A984-AAEAF30F8A2D}"/>
    <cellStyle name="Normal 10 34" xfId="6355" xr:uid="{3C41FF09-A227-492D-8F3F-E2BEDC383D33}"/>
    <cellStyle name="Normal 10 34 2" xfId="6356" xr:uid="{DE0DA814-C023-4E74-9618-6111BFE54148}"/>
    <cellStyle name="Normal 10 34 3" xfId="6357" xr:uid="{ADAC91FD-C838-4B9A-9D86-C4D334DE642D}"/>
    <cellStyle name="Normal 10 34 4" xfId="6358" xr:uid="{6A50BF1B-3C67-466F-8875-156024E35674}"/>
    <cellStyle name="Normal 10 34 5" xfId="6359" xr:uid="{70087537-EED7-4545-A2D3-5AE330C74CB1}"/>
    <cellStyle name="Normal 10 34 6" xfId="6360" xr:uid="{BFBDF74A-1CDD-49DB-B6FA-5B59BDD566C4}"/>
    <cellStyle name="Normal 10 35" xfId="6361" xr:uid="{FC09BBF5-EDA2-46B0-8E9F-D1633AD934B0}"/>
    <cellStyle name="Normal 10 35 2" xfId="6362" xr:uid="{5B114C08-EB1D-4243-862A-CA618C67C399}"/>
    <cellStyle name="Normal 10 35 3" xfId="6363" xr:uid="{C19D4A3F-8C6E-4DCC-913A-7B9FBFB54789}"/>
    <cellStyle name="Normal 10 35 4" xfId="6364" xr:uid="{A88AD37F-4DDE-4673-8C06-7D431FC166C9}"/>
    <cellStyle name="Normal 10 35 5" xfId="6365" xr:uid="{A0FF397B-155B-4C2D-AEA5-D12440DCC55D}"/>
    <cellStyle name="Normal 10 35 6" xfId="6366" xr:uid="{C1BD0B98-4166-413B-AFCA-7B8005665220}"/>
    <cellStyle name="Normal 10 36" xfId="6367" xr:uid="{AFC29609-524E-434C-8014-77F2A38EFFFD}"/>
    <cellStyle name="Normal 10 36 2" xfId="6368" xr:uid="{3603B6AD-4506-45DB-943A-3D8842C3C496}"/>
    <cellStyle name="Normal 10 36 3" xfId="6369" xr:uid="{30EA0696-F545-42B9-9400-87830A786510}"/>
    <cellStyle name="Normal 10 36 4" xfId="6370" xr:uid="{1ABFC568-F53A-4728-AB2F-E48FB11B31EA}"/>
    <cellStyle name="Normal 10 36 5" xfId="6371" xr:uid="{27EF06BB-ECB2-4191-94FA-F16F0595CC1A}"/>
    <cellStyle name="Normal 10 36 6" xfId="6372" xr:uid="{2F931AAB-047D-4D5B-A5B7-018DA2571F68}"/>
    <cellStyle name="Normal 10 37" xfId="6373" xr:uid="{6D10295A-8602-4176-8E83-AF044157F849}"/>
    <cellStyle name="Normal 10 37 2" xfId="6374" xr:uid="{C86FB652-F2C1-4B6F-88B1-0D78AAF61AF7}"/>
    <cellStyle name="Normal 10 37 3" xfId="6375" xr:uid="{E47D1A94-60B7-49DE-96D3-6F15ECF64DE1}"/>
    <cellStyle name="Normal 10 37 4" xfId="6376" xr:uid="{709EBA0B-1100-45A0-BD39-39C05C53FD8E}"/>
    <cellStyle name="Normal 10 37 5" xfId="6377" xr:uid="{DD1400E0-282D-408D-8F53-F09DA0E7B0D6}"/>
    <cellStyle name="Normal 10 37 6" xfId="6378" xr:uid="{6AAD00C4-FA52-4727-98B8-C134AB66E181}"/>
    <cellStyle name="Normal 10 38" xfId="6379" xr:uid="{4DBD3F9F-49E1-4DAF-B03D-54824DB0D516}"/>
    <cellStyle name="Normal 10 38 2" xfId="6380" xr:uid="{DC204B2C-C4A5-407E-876C-0B866C3E43E6}"/>
    <cellStyle name="Normal 10 38 3" xfId="6381" xr:uid="{79FDEEBC-32B8-4B57-ACF9-9F8D25B3DEA2}"/>
    <cellStyle name="Normal 10 38 4" xfId="6382" xr:uid="{46AC652D-B70F-43E9-A9B6-3DA06DEFD83C}"/>
    <cellStyle name="Normal 10 38 5" xfId="6383" xr:uid="{73139841-AE0E-4C20-AD50-E6CBF2E083EA}"/>
    <cellStyle name="Normal 10 38 6" xfId="6384" xr:uid="{5CE1738E-8B53-4108-AD35-FF1C6E7E7AB8}"/>
    <cellStyle name="Normal 10 39" xfId="6385" xr:uid="{5E01050C-784F-4594-9565-1783BD4A8E86}"/>
    <cellStyle name="Normal 10 39 2" xfId="6386" xr:uid="{D8A74D3C-E24D-47D7-BA74-AE676DE60B6F}"/>
    <cellStyle name="Normal 10 39 3" xfId="6387" xr:uid="{56F6C4E4-C4AE-4E8E-80F7-540F75057974}"/>
    <cellStyle name="Normal 10 39 4" xfId="6388" xr:uid="{90C34321-2FD4-4119-9D55-4D01EDA9118A}"/>
    <cellStyle name="Normal 10 39 5" xfId="6389" xr:uid="{3660D886-EDFC-4E9D-B22D-A3BFC50388ED}"/>
    <cellStyle name="Normal 10 39 6" xfId="6390" xr:uid="{99466EFC-3F4A-455E-97BD-477DDC4561AE}"/>
    <cellStyle name="Normal 10 4" xfId="6391" xr:uid="{7830A56B-5D0B-496E-BBB8-31928514B788}"/>
    <cellStyle name="Normal 10 4 10" xfId="6392" xr:uid="{B45E5557-E649-4A53-BF43-6F2F5DFD6157}"/>
    <cellStyle name="Normal 10 4 11" xfId="6393" xr:uid="{728D2600-0376-4E35-88B2-40C3E6AB8327}"/>
    <cellStyle name="Normal 10 4 12" xfId="6394" xr:uid="{FA82A528-AD1B-41DB-8212-24656FD83387}"/>
    <cellStyle name="Normal 10 4 13" xfId="6395" xr:uid="{81523BA4-C66B-44A1-AF02-21F176BD67C5}"/>
    <cellStyle name="Normal 10 4 2" xfId="6396" xr:uid="{E4084314-F993-4451-93D3-2F4CA43F2A5D}"/>
    <cellStyle name="Normal 10 4 2 2" xfId="6397" xr:uid="{550C2042-FDC0-4490-B132-6C46D5D3FA16}"/>
    <cellStyle name="Normal 10 4 2 3" xfId="6398" xr:uid="{1D898CB0-A22C-4B79-8C92-A29C7F9C564D}"/>
    <cellStyle name="Normal 10 4 2 4" xfId="6399" xr:uid="{B863F73A-C821-43A1-A1D2-A3F603119A0F}"/>
    <cellStyle name="Normal 10 4 2 5" xfId="6400" xr:uid="{B87A2468-3646-4F73-A689-3022775FBFD2}"/>
    <cellStyle name="Normal 10 4 2 6" xfId="6401" xr:uid="{1D461403-9A47-4BF2-AAB5-990A53133227}"/>
    <cellStyle name="Normal 10 4 3" xfId="6402" xr:uid="{22870584-B4A1-433D-9A59-2CF2A5CE4E0A}"/>
    <cellStyle name="Normal 10 4 3 2" xfId="6403" xr:uid="{48593E7D-ACC0-4094-930E-7D7504C656D2}"/>
    <cellStyle name="Normal 10 4 3 3" xfId="6404" xr:uid="{1591FDD8-4550-44C4-ACD9-516DDAA17348}"/>
    <cellStyle name="Normal 10 4 3 4" xfId="6405" xr:uid="{5C9FE8DB-03B8-49BC-BAAA-A6D5AE5C4DB1}"/>
    <cellStyle name="Normal 10 4 3 5" xfId="6406" xr:uid="{3F7C2AB0-77D6-4689-937F-AE6398CA12D9}"/>
    <cellStyle name="Normal 10 4 3 6" xfId="6407" xr:uid="{607DB13B-1017-42F9-BB0E-C2984530F596}"/>
    <cellStyle name="Normal 10 4 4" xfId="6408" xr:uid="{30FEF806-D674-4C38-A582-16EA8B22FCFC}"/>
    <cellStyle name="Normal 10 4 4 2" xfId="6409" xr:uid="{E00B3223-9126-4FF3-BFC0-9B93395E533A}"/>
    <cellStyle name="Normal 10 4 4 3" xfId="6410" xr:uid="{43586A6A-0DA3-4DCB-B8E5-C3EDC6EB9AB9}"/>
    <cellStyle name="Normal 10 4 4 4" xfId="6411" xr:uid="{8DF82A7A-5B7A-4E7D-AA0A-69E4CD32182B}"/>
    <cellStyle name="Normal 10 4 4 5" xfId="6412" xr:uid="{DDE9D5E8-9BD8-4883-83A4-9F5E39FD5A91}"/>
    <cellStyle name="Normal 10 4 4 6" xfId="6413" xr:uid="{A29B6C53-9F18-4280-995C-AAA242FC6E71}"/>
    <cellStyle name="Normal 10 4 5" xfId="6414" xr:uid="{09A35556-0224-4F45-813B-32540C4E5BC7}"/>
    <cellStyle name="Normal 10 4 5 2" xfId="6415" xr:uid="{ADE8B74A-CE83-4AC1-A5C4-CE4073EF179F}"/>
    <cellStyle name="Normal 10 4 5 3" xfId="6416" xr:uid="{33882C7E-C73D-4406-B506-37131AA93F0A}"/>
    <cellStyle name="Normal 10 4 5 4" xfId="6417" xr:uid="{5A17D7C0-FAAB-40F3-8C53-592C516C41A7}"/>
    <cellStyle name="Normal 10 4 5 5" xfId="6418" xr:uid="{B3E06D72-7C36-47E4-A565-8FDDF0A5978A}"/>
    <cellStyle name="Normal 10 4 5 6" xfId="6419" xr:uid="{88C3DDC1-C27D-4571-B757-079DDB6A8DFC}"/>
    <cellStyle name="Normal 10 4 6" xfId="6420" xr:uid="{C21AC7DB-BC1A-4C34-A56F-6290D60D1B73}"/>
    <cellStyle name="Normal 10 4 6 2" xfId="6421" xr:uid="{9928E7BE-7F4D-4C52-ADF9-F16DDC639F6D}"/>
    <cellStyle name="Normal 10 4 6 3" xfId="6422" xr:uid="{FA875BBC-38A8-4E4F-B507-84F6C67F2AC0}"/>
    <cellStyle name="Normal 10 4 6 4" xfId="6423" xr:uid="{7F4E47E7-6791-4E78-9F61-F0DE125E794F}"/>
    <cellStyle name="Normal 10 4 6 5" xfId="6424" xr:uid="{D157878B-A227-4AB1-A1CC-FB3810CBEFC6}"/>
    <cellStyle name="Normal 10 4 6 6" xfId="6425" xr:uid="{5C222A75-64F2-425C-A224-F50D44FFE986}"/>
    <cellStyle name="Normal 10 4 7" xfId="6426" xr:uid="{397D014D-1584-4CD9-81E6-1C00CE1814B2}"/>
    <cellStyle name="Normal 10 4 7 2" xfId="6427" xr:uid="{A9BF7AD5-903C-4DA7-BFDB-B33D1E4FBDD2}"/>
    <cellStyle name="Normal 10 4 7 3" xfId="6428" xr:uid="{A0598AAC-CA08-4C9C-873C-1F51FCC7A167}"/>
    <cellStyle name="Normal 10 4 7 4" xfId="6429" xr:uid="{F3C81A7A-980C-428A-883B-68D5D3AF2F07}"/>
    <cellStyle name="Normal 10 4 7 5" xfId="6430" xr:uid="{C68BACBC-28C5-44C8-8D70-F8FF173A7002}"/>
    <cellStyle name="Normal 10 4 7 6" xfId="6431" xr:uid="{258A2768-79E7-4266-9DC7-B35928D8545E}"/>
    <cellStyle name="Normal 10 4 8" xfId="6432" xr:uid="{88CB3BF7-4A77-448F-B0F8-0F3EBAC34019}"/>
    <cellStyle name="Normal 10 4 8 2" xfId="6433" xr:uid="{BBDD9F2C-C4AD-4E2A-9D3D-C259059EFC5B}"/>
    <cellStyle name="Normal 10 4 8 3" xfId="6434" xr:uid="{1B4438B5-08B4-4CCA-964F-EFF6FC43319C}"/>
    <cellStyle name="Normal 10 4 8 4" xfId="6435" xr:uid="{80241E53-517B-4795-9180-042152BA9EB6}"/>
    <cellStyle name="Normal 10 4 8 5" xfId="6436" xr:uid="{81900DF0-7CBC-447F-9D49-9BAF1F198CF2}"/>
    <cellStyle name="Normal 10 4 8 6" xfId="6437" xr:uid="{62873E11-EC2A-4ADB-9DB4-40614BC75F9A}"/>
    <cellStyle name="Normal 10 4 9" xfId="6438" xr:uid="{6D25B2FF-F0E3-4494-8BFC-3FB3B5A4BEC0}"/>
    <cellStyle name="Normal 10 40" xfId="6439" xr:uid="{8549D446-9441-435D-98E8-DED6202F70F4}"/>
    <cellStyle name="Normal 10 40 2" xfId="6440" xr:uid="{D6FE414D-81B6-4C3F-8E6A-20D55215A4A4}"/>
    <cellStyle name="Normal 10 40 3" xfId="6441" xr:uid="{433CF838-9305-4B03-998B-C385A09FC6D5}"/>
    <cellStyle name="Normal 10 40 4" xfId="6442" xr:uid="{0479B236-20F1-47A8-B173-FCD633063A5A}"/>
    <cellStyle name="Normal 10 40 5" xfId="6443" xr:uid="{4BB85C02-FA8B-492B-B65D-4844303CB9FE}"/>
    <cellStyle name="Normal 10 40 6" xfId="6444" xr:uid="{82A86BF4-695E-41FE-9C50-1DBF0F545650}"/>
    <cellStyle name="Normal 10 41" xfId="6445" xr:uid="{08036280-7DCE-4347-9695-BD40B9317375}"/>
    <cellStyle name="Normal 10 42" xfId="6446" xr:uid="{6447424A-5C2B-4D51-A119-63F11DD077CF}"/>
    <cellStyle name="Normal 10 43" xfId="6447" xr:uid="{F8EEE8B8-10BD-4595-B1CC-BCF61A39E53F}"/>
    <cellStyle name="Normal 10 44" xfId="6448" xr:uid="{9A251C96-3CB1-4369-B200-B5E55E594925}"/>
    <cellStyle name="Normal 10 45" xfId="6449" xr:uid="{618CFAB3-FE4F-4DBB-BBD5-DF64F95EE4A5}"/>
    <cellStyle name="Normal 10 46" xfId="6450" xr:uid="{1C49E6E9-5A95-4CAD-AC58-48DEB16A8431}"/>
    <cellStyle name="Normal 10 47" xfId="1066" xr:uid="{C4998A53-9597-4F28-B3F5-3A5DE6DAA59E}"/>
    <cellStyle name="Normal 10 5" xfId="6451" xr:uid="{9A72BDC2-7F08-4D33-8E29-807DA4DA0598}"/>
    <cellStyle name="Normal 10 5 10" xfId="6452" xr:uid="{B3F57CC3-0D23-428E-B8ED-B9F24B8E4E25}"/>
    <cellStyle name="Normal 10 5 11" xfId="6453" xr:uid="{EE97CD64-F596-414A-BE7E-2F9CB10784B9}"/>
    <cellStyle name="Normal 10 5 12" xfId="6454" xr:uid="{E630474C-B777-4488-AC05-BA29D8D72956}"/>
    <cellStyle name="Normal 10 5 13" xfId="6455" xr:uid="{B3615E83-28BC-49C1-A8CF-9C2F92863846}"/>
    <cellStyle name="Normal 10 5 2" xfId="6456" xr:uid="{13A9889A-524E-4EC2-B9F2-F99A019AE4CD}"/>
    <cellStyle name="Normal 10 5 2 2" xfId="6457" xr:uid="{1C956B31-DD54-4BF9-90C7-8309DC16540B}"/>
    <cellStyle name="Normal 10 5 2 3" xfId="6458" xr:uid="{9BB299F5-BC1F-4813-BC2F-8E31780290B9}"/>
    <cellStyle name="Normal 10 5 2 4" xfId="6459" xr:uid="{5E595FEB-069B-49F6-9B3E-7D5D75A180D9}"/>
    <cellStyle name="Normal 10 5 2 5" xfId="6460" xr:uid="{1B361E84-DD26-4494-BFCD-EB50514D3DFB}"/>
    <cellStyle name="Normal 10 5 2 6" xfId="6461" xr:uid="{02186052-75AF-4B13-8CAC-3CB56BB82427}"/>
    <cellStyle name="Normal 10 5 3" xfId="6462" xr:uid="{D51A9109-88D7-4E89-B21B-EB1B91C63DAD}"/>
    <cellStyle name="Normal 10 5 3 2" xfId="6463" xr:uid="{891DA33E-7417-435C-8DCC-D097D112A66E}"/>
    <cellStyle name="Normal 10 5 3 3" xfId="6464" xr:uid="{097CB384-9114-4697-961C-A17F71027823}"/>
    <cellStyle name="Normal 10 5 3 4" xfId="6465" xr:uid="{E9F5407F-6162-4A5F-B395-1F57434A6398}"/>
    <cellStyle name="Normal 10 5 3 5" xfId="6466" xr:uid="{5B703582-FB82-41C5-903B-8EE6E349219A}"/>
    <cellStyle name="Normal 10 5 3 6" xfId="6467" xr:uid="{37E6DF78-421F-43F4-A831-8232AAB02256}"/>
    <cellStyle name="Normal 10 5 4" xfId="6468" xr:uid="{9CA10DA7-89F3-4B66-8E71-C659095C06D5}"/>
    <cellStyle name="Normal 10 5 4 2" xfId="6469" xr:uid="{FFD96840-A1EB-4AB2-ADFC-43269282ABE0}"/>
    <cellStyle name="Normal 10 5 4 3" xfId="6470" xr:uid="{B4CAAD6B-801F-4510-9088-8D47FBB4FC9B}"/>
    <cellStyle name="Normal 10 5 4 4" xfId="6471" xr:uid="{3971C709-A381-450D-9324-2444D0054018}"/>
    <cellStyle name="Normal 10 5 4 5" xfId="6472" xr:uid="{F99B1101-49B8-41D6-B332-90170FDFFA79}"/>
    <cellStyle name="Normal 10 5 4 6" xfId="6473" xr:uid="{6E2C07B5-1B25-49F8-BC81-E30D6B37EDF3}"/>
    <cellStyle name="Normal 10 5 5" xfId="6474" xr:uid="{E345819A-8150-470B-9DF1-F6890FDBE915}"/>
    <cellStyle name="Normal 10 5 5 2" xfId="6475" xr:uid="{29345A5E-049D-4902-B045-38240F69E232}"/>
    <cellStyle name="Normal 10 5 5 3" xfId="6476" xr:uid="{6C092BC2-8165-4501-90BB-FCB5872AB7E7}"/>
    <cellStyle name="Normal 10 5 5 4" xfId="6477" xr:uid="{57FBA220-0B8D-488D-9340-38CE162CFEDF}"/>
    <cellStyle name="Normal 10 5 5 5" xfId="6478" xr:uid="{E3C61EEB-3B8B-4789-B0C0-92315B0C2521}"/>
    <cellStyle name="Normal 10 5 5 6" xfId="6479" xr:uid="{17623111-410E-4C11-8F73-4731D046B243}"/>
    <cellStyle name="Normal 10 5 6" xfId="6480" xr:uid="{538CAE7A-3223-4F81-8383-C5D13BF6E5C0}"/>
    <cellStyle name="Normal 10 5 6 2" xfId="6481" xr:uid="{8D6C0BE3-1C0E-4343-B85F-6C1E5449E9AB}"/>
    <cellStyle name="Normal 10 5 6 3" xfId="6482" xr:uid="{CB4CC9DB-35F4-44B4-B6A4-AFAF2552657A}"/>
    <cellStyle name="Normal 10 5 6 4" xfId="6483" xr:uid="{CCDD3C4B-424E-4CC3-9FD3-80D5B31895E3}"/>
    <cellStyle name="Normal 10 5 6 5" xfId="6484" xr:uid="{7FB74F46-AE55-4C61-9773-C8BEB42A5338}"/>
    <cellStyle name="Normal 10 5 6 6" xfId="6485" xr:uid="{ED424006-5654-4A7A-AEBE-0B33F033F81B}"/>
    <cellStyle name="Normal 10 5 7" xfId="6486" xr:uid="{957D4E60-6D63-4ADD-810D-1DBF625A79AA}"/>
    <cellStyle name="Normal 10 5 7 2" xfId="6487" xr:uid="{E5A0828E-5F1C-42F2-AF1B-DA886D39FF67}"/>
    <cellStyle name="Normal 10 5 7 3" xfId="6488" xr:uid="{A6F28678-248C-4206-8B6A-43CB21D1720C}"/>
    <cellStyle name="Normal 10 5 7 4" xfId="6489" xr:uid="{C642B4E9-167D-410C-BABA-A2FD16DE29EA}"/>
    <cellStyle name="Normal 10 5 7 5" xfId="6490" xr:uid="{28177B8E-64F5-4856-9452-73B5B943B9C5}"/>
    <cellStyle name="Normal 10 5 7 6" xfId="6491" xr:uid="{309E0E95-BBF3-47DB-9931-6FF2C21A396F}"/>
    <cellStyle name="Normal 10 5 8" xfId="6492" xr:uid="{5BD2D053-116F-47FD-9BC1-916804B12969}"/>
    <cellStyle name="Normal 10 5 8 2" xfId="6493" xr:uid="{6355D756-C034-4300-906D-1DD513F5A825}"/>
    <cellStyle name="Normal 10 5 8 3" xfId="6494" xr:uid="{F32348F3-C1EA-492D-A6FF-455F2FD0EB41}"/>
    <cellStyle name="Normal 10 5 8 4" xfId="6495" xr:uid="{968917E6-FC79-41C7-B6FD-90B665FB65B7}"/>
    <cellStyle name="Normal 10 5 8 5" xfId="6496" xr:uid="{7E009FB7-FEFC-45F0-8B44-F3C97F7CBE81}"/>
    <cellStyle name="Normal 10 5 8 6" xfId="6497" xr:uid="{8F951C4B-C2E1-418D-B0FF-2BB89F5C140F}"/>
    <cellStyle name="Normal 10 5 9" xfId="6498" xr:uid="{9B177726-F005-4DF8-BDBC-AA20DA6E4C1A}"/>
    <cellStyle name="Normal 10 6" xfId="6499" xr:uid="{85400677-883C-4539-A882-0CAE7B3E5E79}"/>
    <cellStyle name="Normal 10 6 10" xfId="6500" xr:uid="{4C07011E-80B7-4FB4-B821-0CEDF678FC45}"/>
    <cellStyle name="Normal 10 6 11" xfId="6501" xr:uid="{58B609D1-3DF9-4C56-92A5-84E59305727D}"/>
    <cellStyle name="Normal 10 6 12" xfId="6502" xr:uid="{A94D5367-E976-4D37-BBCA-71A0CBA292D2}"/>
    <cellStyle name="Normal 10 6 13" xfId="6503" xr:uid="{55EEA25A-52F2-4E03-AB77-7F9F8589BCFE}"/>
    <cellStyle name="Normal 10 6 2" xfId="6504" xr:uid="{80FD0D54-022D-472A-A1B0-681536C9D986}"/>
    <cellStyle name="Normal 10 6 2 2" xfId="6505" xr:uid="{A54B5FA9-669F-4F61-A740-AEDA207F2CFC}"/>
    <cellStyle name="Normal 10 6 2 3" xfId="6506" xr:uid="{6297B948-0367-4121-A778-89E8CECE9884}"/>
    <cellStyle name="Normal 10 6 2 4" xfId="6507" xr:uid="{3B8A679C-5157-4A22-91E7-B7D90B3F27C5}"/>
    <cellStyle name="Normal 10 6 2 5" xfId="6508" xr:uid="{1659B56C-137C-409D-A65D-057FF314B808}"/>
    <cellStyle name="Normal 10 6 2 6" xfId="6509" xr:uid="{1DF1683E-DE26-45CE-9FD3-B662D6610CDA}"/>
    <cellStyle name="Normal 10 6 3" xfId="6510" xr:uid="{0CAE14CB-8A4C-4110-B4DA-D1545F944F33}"/>
    <cellStyle name="Normal 10 6 3 2" xfId="6511" xr:uid="{D084A011-66A2-4947-A34E-D438BDA5E17F}"/>
    <cellStyle name="Normal 10 6 3 3" xfId="6512" xr:uid="{6EFA9DA4-121B-4B0B-AA82-2BCA744BEF66}"/>
    <cellStyle name="Normal 10 6 3 4" xfId="6513" xr:uid="{B4C527D2-D47C-4515-AD02-30E6F35D0FB8}"/>
    <cellStyle name="Normal 10 6 3 5" xfId="6514" xr:uid="{51247C46-0ECB-449C-B21D-802B95E217F3}"/>
    <cellStyle name="Normal 10 6 3 6" xfId="6515" xr:uid="{3B28A79E-A90B-4A71-B5DA-6F7155D7EC38}"/>
    <cellStyle name="Normal 10 6 4" xfId="6516" xr:uid="{CC4AC754-C8BB-4ABA-AAFC-A45465DE1F29}"/>
    <cellStyle name="Normal 10 6 4 2" xfId="6517" xr:uid="{F8F9B3A9-3D8B-4EDF-8801-2D5E8CDD8417}"/>
    <cellStyle name="Normal 10 6 4 3" xfId="6518" xr:uid="{CF83F4A6-B920-4875-997B-698BAA03DC70}"/>
    <cellStyle name="Normal 10 6 4 4" xfId="6519" xr:uid="{EB88B4EA-13BC-4CEB-AF98-0CB57CD3CED1}"/>
    <cellStyle name="Normal 10 6 4 5" xfId="6520" xr:uid="{BCDCF96B-B000-41D3-A932-F001F791485B}"/>
    <cellStyle name="Normal 10 6 4 6" xfId="6521" xr:uid="{EF1AC72D-20A2-4592-9C7C-A4B74EC44ED5}"/>
    <cellStyle name="Normal 10 6 5" xfId="6522" xr:uid="{8CDCA5A0-A6F4-45BF-9142-AF7ADFF0D081}"/>
    <cellStyle name="Normal 10 6 5 2" xfId="6523" xr:uid="{6AA32503-E235-4984-915D-FC853A49D52B}"/>
    <cellStyle name="Normal 10 6 5 3" xfId="6524" xr:uid="{ACFB1D17-B6EC-4886-8DF9-495309F7B39D}"/>
    <cellStyle name="Normal 10 6 5 4" xfId="6525" xr:uid="{0DCDCDE5-8388-41DE-8BA6-78E4427EF66B}"/>
    <cellStyle name="Normal 10 6 5 5" xfId="6526" xr:uid="{AC6EAD44-B61C-4CD7-AFE6-2641FE1D8228}"/>
    <cellStyle name="Normal 10 6 5 6" xfId="6527" xr:uid="{B20EEA47-24EA-4CB6-BD45-A7257EE7B62C}"/>
    <cellStyle name="Normal 10 6 6" xfId="6528" xr:uid="{C45DE1E3-555B-4D99-939A-7B7176CEDE3A}"/>
    <cellStyle name="Normal 10 6 6 2" xfId="6529" xr:uid="{55B663B0-D215-4DAF-9E31-039DFDFE6ECA}"/>
    <cellStyle name="Normal 10 6 6 3" xfId="6530" xr:uid="{4F920A42-249D-4E77-8CD8-9F57FF4A1356}"/>
    <cellStyle name="Normal 10 6 6 4" xfId="6531" xr:uid="{E88DE1BF-52C9-4ACF-A0A8-7E0137DAA883}"/>
    <cellStyle name="Normal 10 6 6 5" xfId="6532" xr:uid="{2E9DCDA7-01BF-499A-A49C-EEC108F100CF}"/>
    <cellStyle name="Normal 10 6 6 6" xfId="6533" xr:uid="{514A3F71-01B7-49D0-8C8C-DD751421CA46}"/>
    <cellStyle name="Normal 10 6 7" xfId="6534" xr:uid="{D5613575-6B2D-4FA1-B826-B99F65AE4675}"/>
    <cellStyle name="Normal 10 6 7 2" xfId="6535" xr:uid="{22FD5CA1-08D5-4E64-A286-BC6CE92DEA15}"/>
    <cellStyle name="Normal 10 6 7 3" xfId="6536" xr:uid="{F59D9FB2-A106-465D-A08D-C92495A94D3E}"/>
    <cellStyle name="Normal 10 6 7 4" xfId="6537" xr:uid="{4C57A3F8-468F-4D9C-8A55-7E18E58C4BB3}"/>
    <cellStyle name="Normal 10 6 7 5" xfId="6538" xr:uid="{CCD8368D-A6BD-4B8C-94FE-0649F9BC1250}"/>
    <cellStyle name="Normal 10 6 7 6" xfId="6539" xr:uid="{8CC15C3F-EB66-4F33-A39C-E2ECD11C6826}"/>
    <cellStyle name="Normal 10 6 8" xfId="6540" xr:uid="{31544FB5-116E-4AC1-95BD-DA990D682394}"/>
    <cellStyle name="Normal 10 6 8 2" xfId="6541" xr:uid="{D7AC8133-16DE-4E89-8CF8-94263208A4F9}"/>
    <cellStyle name="Normal 10 6 8 3" xfId="6542" xr:uid="{0E587EFF-68B6-4322-9618-7DDFCF1CBA05}"/>
    <cellStyle name="Normal 10 6 8 4" xfId="6543" xr:uid="{351D404D-0130-4B3C-9E6D-D7C3AE1D6B29}"/>
    <cellStyle name="Normal 10 6 8 5" xfId="6544" xr:uid="{ECD699D8-6B97-42E3-AD6B-19D5F3A2C7B7}"/>
    <cellStyle name="Normal 10 6 8 6" xfId="6545" xr:uid="{E9306795-892C-42AB-96E0-5288FB0B7399}"/>
    <cellStyle name="Normal 10 6 9" xfId="6546" xr:uid="{E00D05C0-96AB-4CD0-B8CC-76C09492320E}"/>
    <cellStyle name="Normal 10 7" xfId="6547" xr:uid="{51D596AB-DB2D-4498-BAA9-BEBD9AD14ADE}"/>
    <cellStyle name="Normal 10 7 10" xfId="6548" xr:uid="{FB616E02-9D88-47B3-9A0D-1D3FC83F9E34}"/>
    <cellStyle name="Normal 10 7 11" xfId="6549" xr:uid="{6ED185CD-F63D-4C1B-AD41-B4E96E98AB64}"/>
    <cellStyle name="Normal 10 7 12" xfId="6550" xr:uid="{27BC7C11-A1E3-4A4F-8AC3-E3828D528BA6}"/>
    <cellStyle name="Normal 10 7 13" xfId="6551" xr:uid="{5209C9DE-CD1D-4C1D-A80C-C164620E8297}"/>
    <cellStyle name="Normal 10 7 2" xfId="6552" xr:uid="{ACFC90BF-2728-423A-8083-5B18AF95A4C1}"/>
    <cellStyle name="Normal 10 7 2 2" xfId="6553" xr:uid="{90F39E69-967C-445F-A79B-D0EEB92A9E65}"/>
    <cellStyle name="Normal 10 7 2 3" xfId="6554" xr:uid="{EE0DC246-C130-4800-967B-7D3AB27AA5D1}"/>
    <cellStyle name="Normal 10 7 2 4" xfId="6555" xr:uid="{E35675C6-0569-4F3F-B679-6B7F847E09DF}"/>
    <cellStyle name="Normal 10 7 2 5" xfId="6556" xr:uid="{3DEDA012-95ED-46C1-99E0-539747B05962}"/>
    <cellStyle name="Normal 10 7 2 6" xfId="6557" xr:uid="{FB5133E6-8150-4AB6-9CFB-B64A1D4AECFA}"/>
    <cellStyle name="Normal 10 7 3" xfId="6558" xr:uid="{CACE5ED3-E097-41DE-9EB8-489948E1A8E8}"/>
    <cellStyle name="Normal 10 7 3 2" xfId="6559" xr:uid="{EFED6F27-9107-44E1-A777-6D61D49DDD80}"/>
    <cellStyle name="Normal 10 7 3 3" xfId="6560" xr:uid="{9880B376-46B0-4819-9B49-C2F3187DF5C2}"/>
    <cellStyle name="Normal 10 7 3 4" xfId="6561" xr:uid="{2C97D9E9-7689-460E-8C4C-1C42BA39A799}"/>
    <cellStyle name="Normal 10 7 3 5" xfId="6562" xr:uid="{92E3D01E-5935-411A-961E-7E865BD2D5D5}"/>
    <cellStyle name="Normal 10 7 3 6" xfId="6563" xr:uid="{5B885388-789A-4303-B0BB-8F36239BADA3}"/>
    <cellStyle name="Normal 10 7 4" xfId="6564" xr:uid="{35970B37-41E0-410E-B0E5-8C24E4177E2F}"/>
    <cellStyle name="Normal 10 7 4 2" xfId="6565" xr:uid="{E0F6E12F-72EF-48D4-9AFD-048720338AD9}"/>
    <cellStyle name="Normal 10 7 4 3" xfId="6566" xr:uid="{36B8EF52-41A9-439F-AE34-84291EFBB48E}"/>
    <cellStyle name="Normal 10 7 4 4" xfId="6567" xr:uid="{A8AF368A-AB52-479C-9D45-6BD84A9103E0}"/>
    <cellStyle name="Normal 10 7 4 5" xfId="6568" xr:uid="{B8D54900-54C1-47B5-8CB5-B59D4CC1242E}"/>
    <cellStyle name="Normal 10 7 4 6" xfId="6569" xr:uid="{5345E04B-DB69-4814-AF6A-6DF00EAE544F}"/>
    <cellStyle name="Normal 10 7 5" xfId="6570" xr:uid="{786F057D-6774-4506-ADDD-E9EB1045FFC0}"/>
    <cellStyle name="Normal 10 7 5 2" xfId="6571" xr:uid="{5D7C9A95-C28D-4459-8797-0C547AF85893}"/>
    <cellStyle name="Normal 10 7 5 3" xfId="6572" xr:uid="{A716224E-A625-46BE-ADC0-560CCBF28E38}"/>
    <cellStyle name="Normal 10 7 5 4" xfId="6573" xr:uid="{FEA02F7D-A9DC-4B2B-9F86-3ADDE9A70015}"/>
    <cellStyle name="Normal 10 7 5 5" xfId="6574" xr:uid="{C02341C4-8BF5-4F39-BD85-5C90676FDDDD}"/>
    <cellStyle name="Normal 10 7 5 6" xfId="6575" xr:uid="{2B7D5DEC-8043-436F-89BD-6A99E558A5CC}"/>
    <cellStyle name="Normal 10 7 6" xfId="6576" xr:uid="{462747AA-9CB1-4FC3-ACCB-6A4EA0833DCF}"/>
    <cellStyle name="Normal 10 7 6 2" xfId="6577" xr:uid="{7DB7D4AD-5769-4003-9922-9D0319278E0B}"/>
    <cellStyle name="Normal 10 7 6 3" xfId="6578" xr:uid="{63FB0F68-216F-4059-B87D-0CCC9A93B491}"/>
    <cellStyle name="Normal 10 7 6 4" xfId="6579" xr:uid="{F6444578-7B6D-46C0-A7A4-316E494CF623}"/>
    <cellStyle name="Normal 10 7 6 5" xfId="6580" xr:uid="{9FBF18CA-421E-46DF-BD03-B94DFEE50FCA}"/>
    <cellStyle name="Normal 10 7 6 6" xfId="6581" xr:uid="{A17C77C9-4630-4C64-BCB8-FC9C8165DC4F}"/>
    <cellStyle name="Normal 10 7 7" xfId="6582" xr:uid="{77BB285A-5A94-4BC6-8205-6E91CC7EBE81}"/>
    <cellStyle name="Normal 10 7 7 2" xfId="6583" xr:uid="{4360F8F4-4A84-43AF-B4D4-F4FE367D9D6A}"/>
    <cellStyle name="Normal 10 7 7 3" xfId="6584" xr:uid="{C2DE37AC-E4A7-4606-927B-29194C881560}"/>
    <cellStyle name="Normal 10 7 7 4" xfId="6585" xr:uid="{844E3B9F-6667-4F32-9B71-61A7335DAF08}"/>
    <cellStyle name="Normal 10 7 7 5" xfId="6586" xr:uid="{607C248F-76DD-41DC-A656-5704D5581E67}"/>
    <cellStyle name="Normal 10 7 7 6" xfId="6587" xr:uid="{0EA5FC0E-330B-46BF-8838-A1E9B43F792E}"/>
    <cellStyle name="Normal 10 7 8" xfId="6588" xr:uid="{B2ED3AF2-F47F-4521-ABD3-C705E17C93AC}"/>
    <cellStyle name="Normal 10 7 8 2" xfId="6589" xr:uid="{3AC3A183-270A-49FD-8A94-55F957084408}"/>
    <cellStyle name="Normal 10 7 8 3" xfId="6590" xr:uid="{974A07DA-9441-419F-BE90-91117F2F03B5}"/>
    <cellStyle name="Normal 10 7 8 4" xfId="6591" xr:uid="{1DA81745-EA14-4CC3-BEDA-9BB1EB83FBE0}"/>
    <cellStyle name="Normal 10 7 8 5" xfId="6592" xr:uid="{96B321E2-83A3-4AAB-866E-583E823B8CCF}"/>
    <cellStyle name="Normal 10 7 8 6" xfId="6593" xr:uid="{9C9F1A54-9CBC-4054-AAF1-ED07E5F8A0D9}"/>
    <cellStyle name="Normal 10 7 9" xfId="6594" xr:uid="{324C4591-F5E7-49AB-BBEA-DF3673F9717B}"/>
    <cellStyle name="Normal 10 8" xfId="6595" xr:uid="{484DAE5E-2B80-40F1-BBDD-5F32284653FD}"/>
    <cellStyle name="Normal 10 8 10" xfId="6596" xr:uid="{58111BD0-41C8-44A3-8031-3402C84743DC}"/>
    <cellStyle name="Normal 10 8 11" xfId="6597" xr:uid="{41FB6987-DFF3-482D-8955-06B513D161BE}"/>
    <cellStyle name="Normal 10 8 12" xfId="6598" xr:uid="{EA7BE702-BBBA-4C81-A144-F590C73968AC}"/>
    <cellStyle name="Normal 10 8 13" xfId="6599" xr:uid="{84709890-5D7F-42BD-A54E-8557FB98F89A}"/>
    <cellStyle name="Normal 10 8 2" xfId="6600" xr:uid="{26E363EE-AA1B-4AB9-BCE6-BD5FAC9DFF98}"/>
    <cellStyle name="Normal 10 8 2 2" xfId="6601" xr:uid="{6C323EA5-DC57-4CF7-85B3-4E5424E3AC56}"/>
    <cellStyle name="Normal 10 8 2 3" xfId="6602" xr:uid="{E3789148-F532-4029-A592-0B6C46AB776D}"/>
    <cellStyle name="Normal 10 8 2 4" xfId="6603" xr:uid="{3A175498-B1E4-4466-BC94-3DACB1025A3C}"/>
    <cellStyle name="Normal 10 8 2 5" xfId="6604" xr:uid="{D7F25FDE-0F78-4398-9D65-B2D9D49729A0}"/>
    <cellStyle name="Normal 10 8 2 6" xfId="6605" xr:uid="{09309274-008F-4BC2-9460-166E4A88BB65}"/>
    <cellStyle name="Normal 10 8 3" xfId="6606" xr:uid="{1368D8BD-E583-4248-887A-27C973F25BBD}"/>
    <cellStyle name="Normal 10 8 3 2" xfId="6607" xr:uid="{D3CC9779-505D-4D66-AA84-D949CD6BF9F8}"/>
    <cellStyle name="Normal 10 8 3 3" xfId="6608" xr:uid="{36C65DE1-6609-44D4-BF1E-D1AD84ADB5BA}"/>
    <cellStyle name="Normal 10 8 3 4" xfId="6609" xr:uid="{72920D4C-1E68-438F-9FBA-FB9F30635EEE}"/>
    <cellStyle name="Normal 10 8 3 5" xfId="6610" xr:uid="{381FF5A8-2281-4259-AB16-7CF2661B09DE}"/>
    <cellStyle name="Normal 10 8 3 6" xfId="6611" xr:uid="{FE205AF6-4F3B-46E0-A924-0BEE07D26338}"/>
    <cellStyle name="Normal 10 8 4" xfId="6612" xr:uid="{2BD4B59E-6A40-46D3-9F4C-063F2ACB5B7B}"/>
    <cellStyle name="Normal 10 8 4 2" xfId="6613" xr:uid="{17D0BFC1-8953-4996-906D-4FD2610E8DE8}"/>
    <cellStyle name="Normal 10 8 4 3" xfId="6614" xr:uid="{4B4A7736-9A1E-4ADE-BAEA-5CA8C915A131}"/>
    <cellStyle name="Normal 10 8 4 4" xfId="6615" xr:uid="{B3F3124E-82AF-4EF7-B836-5439BCD241F2}"/>
    <cellStyle name="Normal 10 8 4 5" xfId="6616" xr:uid="{EDBE87E9-3E14-4C98-999A-1963853BF473}"/>
    <cellStyle name="Normal 10 8 4 6" xfId="6617" xr:uid="{51BB2432-FE15-4A6D-B6BC-4280B9963DD0}"/>
    <cellStyle name="Normal 10 8 5" xfId="6618" xr:uid="{0BCAA760-7A20-4143-A86E-7C537170EC46}"/>
    <cellStyle name="Normal 10 8 5 2" xfId="6619" xr:uid="{E9CFDEE2-02BD-4670-922C-461C9AAB5716}"/>
    <cellStyle name="Normal 10 8 5 3" xfId="6620" xr:uid="{7462CD81-7179-4072-9D4A-42EB6EF87AFB}"/>
    <cellStyle name="Normal 10 8 5 4" xfId="6621" xr:uid="{408D2266-EA9A-4383-9716-FCF8A8ADE3C7}"/>
    <cellStyle name="Normal 10 8 5 5" xfId="6622" xr:uid="{9890A50E-6C52-4236-94B4-CD6644F924F1}"/>
    <cellStyle name="Normal 10 8 5 6" xfId="6623" xr:uid="{2316A598-8347-4C0F-A685-59FA8BD03BD2}"/>
    <cellStyle name="Normal 10 8 6" xfId="6624" xr:uid="{500C03EA-C395-4FDF-BC8C-D096A528DC72}"/>
    <cellStyle name="Normal 10 8 6 2" xfId="6625" xr:uid="{CEA69AD6-0B3A-48A1-AF35-320CA119560D}"/>
    <cellStyle name="Normal 10 8 6 3" xfId="6626" xr:uid="{F015E2C4-1184-45EE-ACAA-71F18908BFB1}"/>
    <cellStyle name="Normal 10 8 6 4" xfId="6627" xr:uid="{5C451455-C811-48F1-93A5-18DC56C5B6B2}"/>
    <cellStyle name="Normal 10 8 6 5" xfId="6628" xr:uid="{E1C103D8-893C-4393-B499-90574BEF383C}"/>
    <cellStyle name="Normal 10 8 6 6" xfId="6629" xr:uid="{FF92FB79-7939-4DB6-99B8-10EF803C021D}"/>
    <cellStyle name="Normal 10 8 7" xfId="6630" xr:uid="{F183D919-A5F9-43FC-8767-27CAA5BD2FEB}"/>
    <cellStyle name="Normal 10 8 7 2" xfId="6631" xr:uid="{FEC4D659-C597-406B-9155-99A258F90209}"/>
    <cellStyle name="Normal 10 8 7 3" xfId="6632" xr:uid="{105079E5-81CE-411C-BAE5-C56B6E88A640}"/>
    <cellStyle name="Normal 10 8 7 4" xfId="6633" xr:uid="{CBCF8718-A619-4E76-BFCB-30F31CDBB8CF}"/>
    <cellStyle name="Normal 10 8 7 5" xfId="6634" xr:uid="{D0908453-63FA-4BC6-9971-D3EFB62643AE}"/>
    <cellStyle name="Normal 10 8 7 6" xfId="6635" xr:uid="{E877839D-4358-4090-950B-CE5781D0D689}"/>
    <cellStyle name="Normal 10 8 8" xfId="6636" xr:uid="{A6D205A4-121B-48DB-AAEE-3407FEADC7F6}"/>
    <cellStyle name="Normal 10 8 8 2" xfId="6637" xr:uid="{C6A2364B-1A98-4276-8B45-CAFBEFA7E1D7}"/>
    <cellStyle name="Normal 10 8 8 3" xfId="6638" xr:uid="{B534548C-4E5C-4FE3-A745-98C2E899B69B}"/>
    <cellStyle name="Normal 10 8 8 4" xfId="6639" xr:uid="{32EA97BF-5B9D-4B06-9AED-9312CDFB980B}"/>
    <cellStyle name="Normal 10 8 8 5" xfId="6640" xr:uid="{AACEAA8C-9D16-43B7-943C-10532123E339}"/>
    <cellStyle name="Normal 10 8 8 6" xfId="6641" xr:uid="{31E40792-FC08-49AA-87D7-80314DBD43A7}"/>
    <cellStyle name="Normal 10 8 9" xfId="6642" xr:uid="{F5A9535F-AB0D-4896-A52C-9903BD28EE80}"/>
    <cellStyle name="Normal 10 9" xfId="6643" xr:uid="{1560A757-CA9C-457E-8728-6660E7A90CAD}"/>
    <cellStyle name="Normal 10 9 10" xfId="6644" xr:uid="{E7ABDF96-55CB-4365-812E-D8DB2E60F886}"/>
    <cellStyle name="Normal 10 9 11" xfId="6645" xr:uid="{6F5DFE4A-B124-41CE-96D8-8F70CEC0A3C8}"/>
    <cellStyle name="Normal 10 9 12" xfId="6646" xr:uid="{3C82BF8D-677D-4DB3-9D8D-CA4E736A2DFC}"/>
    <cellStyle name="Normal 10 9 13" xfId="6647" xr:uid="{06912D5D-A478-41BD-BBDD-8E22058EF309}"/>
    <cellStyle name="Normal 10 9 2" xfId="6648" xr:uid="{923BCCDF-8BCB-475E-B65A-3B688306D8FC}"/>
    <cellStyle name="Normal 10 9 2 2" xfId="6649" xr:uid="{CBACF9DA-7D3B-4E40-98A7-2335B92DB255}"/>
    <cellStyle name="Normal 10 9 2 3" xfId="6650" xr:uid="{73196F9F-4AF9-4BF2-9B2E-C79D1ECBC2E5}"/>
    <cellStyle name="Normal 10 9 2 4" xfId="6651" xr:uid="{DEE7305C-4CD8-4E5F-B5A1-BCF5FF912FCB}"/>
    <cellStyle name="Normal 10 9 2 5" xfId="6652" xr:uid="{87004CAE-AB62-4350-B3B8-FF729FAA07E6}"/>
    <cellStyle name="Normal 10 9 2 6" xfId="6653" xr:uid="{EE450FA3-F559-4046-89DA-A5C3503B2A96}"/>
    <cellStyle name="Normal 10 9 3" xfId="6654" xr:uid="{90334C9A-AD8F-49A1-9835-CFF23923B0D9}"/>
    <cellStyle name="Normal 10 9 3 2" xfId="6655" xr:uid="{154640C5-7B40-4096-A671-F347D321D4BE}"/>
    <cellStyle name="Normal 10 9 3 3" xfId="6656" xr:uid="{4832149D-52AD-4CA8-9862-FA8BA35C0B34}"/>
    <cellStyle name="Normal 10 9 3 4" xfId="6657" xr:uid="{F630C8B1-0DC1-4071-996B-5236468B282F}"/>
    <cellStyle name="Normal 10 9 3 5" xfId="6658" xr:uid="{5E40E52A-C0B4-48BF-99F9-5055D32C175C}"/>
    <cellStyle name="Normal 10 9 3 6" xfId="6659" xr:uid="{C642E3A7-E855-48D0-896A-7FDC2B8CD2E7}"/>
    <cellStyle name="Normal 10 9 4" xfId="6660" xr:uid="{05C8FCD6-8948-452E-9645-9049BD12C887}"/>
    <cellStyle name="Normal 10 9 4 2" xfId="6661" xr:uid="{A0AB2F7F-9417-4E1E-8E1C-01E37AB04AA5}"/>
    <cellStyle name="Normal 10 9 4 3" xfId="6662" xr:uid="{16D53326-96B8-4568-BF62-C119C60161E5}"/>
    <cellStyle name="Normal 10 9 4 4" xfId="6663" xr:uid="{27DE5C4A-EA43-4F29-8D12-8306FB9446D8}"/>
    <cellStyle name="Normal 10 9 4 5" xfId="6664" xr:uid="{699CF2C5-1804-4DE6-BEB2-7A4E569756D7}"/>
    <cellStyle name="Normal 10 9 4 6" xfId="6665" xr:uid="{0BAB57FB-5F88-49E3-AAE9-D0239A39D068}"/>
    <cellStyle name="Normal 10 9 5" xfId="6666" xr:uid="{31B4D758-8E7C-4839-B082-069B04181A0C}"/>
    <cellStyle name="Normal 10 9 5 2" xfId="6667" xr:uid="{3FE77835-7793-475B-9D38-80ACE023FB9D}"/>
    <cellStyle name="Normal 10 9 5 3" xfId="6668" xr:uid="{2250575A-3F8D-41D3-B980-A0FF66B68A1F}"/>
    <cellStyle name="Normal 10 9 5 4" xfId="6669" xr:uid="{99DAB927-5916-42F5-B1AE-D655A8899C79}"/>
    <cellStyle name="Normal 10 9 5 5" xfId="6670" xr:uid="{D4206C1C-F6A1-4AA8-A635-048A3BAEEF44}"/>
    <cellStyle name="Normal 10 9 5 6" xfId="6671" xr:uid="{6F708901-6912-42DA-BB27-244AC656786A}"/>
    <cellStyle name="Normal 10 9 6" xfId="6672" xr:uid="{835611F0-3864-498B-A7A7-D0289FEB650F}"/>
    <cellStyle name="Normal 10 9 6 2" xfId="6673" xr:uid="{D8B42DCA-A12B-4209-ABB0-3CDB860138DB}"/>
    <cellStyle name="Normal 10 9 6 3" xfId="6674" xr:uid="{F31F3723-CF89-4383-B818-8E50899DCFBC}"/>
    <cellStyle name="Normal 10 9 6 4" xfId="6675" xr:uid="{DDD11439-615A-4BC2-9A01-CFD1B5E8D222}"/>
    <cellStyle name="Normal 10 9 6 5" xfId="6676" xr:uid="{C26230AE-5BBD-4F37-A1E7-DE1CF707B06B}"/>
    <cellStyle name="Normal 10 9 6 6" xfId="6677" xr:uid="{EB16447F-98CF-4FFD-A35F-7C9718B8326C}"/>
    <cellStyle name="Normal 10 9 7" xfId="6678" xr:uid="{07CE2A57-66A4-41C8-97F8-48E2E0E73758}"/>
    <cellStyle name="Normal 10 9 7 2" xfId="6679" xr:uid="{9A2A6157-6486-4769-B93C-6B04EAB504C7}"/>
    <cellStyle name="Normal 10 9 7 3" xfId="6680" xr:uid="{D8BA217E-2EE2-443A-BAD2-C80B2687B9F9}"/>
    <cellStyle name="Normal 10 9 7 4" xfId="6681" xr:uid="{B2D9128C-C52A-445F-B797-E28B1B025E03}"/>
    <cellStyle name="Normal 10 9 7 5" xfId="6682" xr:uid="{74E68619-DAF3-412F-A602-2C6B5F6F1DD0}"/>
    <cellStyle name="Normal 10 9 7 6" xfId="6683" xr:uid="{0AA99967-8C01-4732-B387-62CDB23F09EB}"/>
    <cellStyle name="Normal 10 9 8" xfId="6684" xr:uid="{498E0DBC-BD8E-446C-9CDB-E52D0FAD873B}"/>
    <cellStyle name="Normal 10 9 8 2" xfId="6685" xr:uid="{EDD9980D-5960-4583-A9A1-2DE7E0107983}"/>
    <cellStyle name="Normal 10 9 8 3" xfId="6686" xr:uid="{B9BC23F3-FE4A-4C4E-AB31-6963D6D3AB0D}"/>
    <cellStyle name="Normal 10 9 8 4" xfId="6687" xr:uid="{49335584-4956-4446-BD28-E30866B42740}"/>
    <cellStyle name="Normal 10 9 8 5" xfId="6688" xr:uid="{4D244F78-FE28-4614-84FE-F123610CA916}"/>
    <cellStyle name="Normal 10 9 8 6" xfId="6689" xr:uid="{3BB061E1-0A78-485E-B9E9-7F9E2EA9EC34}"/>
    <cellStyle name="Normal 10 9 9" xfId="6690" xr:uid="{A2F1589B-3CD2-4051-82A3-B58FBDFD3809}"/>
    <cellStyle name="Normal 100" xfId="6691" xr:uid="{7B093B99-CBD3-4D28-88DF-15104ADEE963}"/>
    <cellStyle name="Normal 101" xfId="6692" xr:uid="{F62059E2-2AD3-4F2C-BE9E-251141ECDD67}"/>
    <cellStyle name="Normal 102" xfId="6693" xr:uid="{E303B50D-74AE-4643-9A65-B8122B92DD69}"/>
    <cellStyle name="Normal 103" xfId="6694" xr:uid="{61AEAC0D-5352-4793-8951-6BC8AA809E6E}"/>
    <cellStyle name="Normal 104" xfId="6695" xr:uid="{7AA00DDA-C82F-4A41-AE09-2CB8270E6C71}"/>
    <cellStyle name="Normal 105" xfId="6696" xr:uid="{2E21B5E1-273E-4F25-999E-1957EFFD348F}"/>
    <cellStyle name="Normal 106" xfId="6697" xr:uid="{EF04328E-9A0F-43D0-94BF-B6806A7EA984}"/>
    <cellStyle name="Normal 107" xfId="6698" xr:uid="{D067D138-B7FF-4EBD-8BB4-B0691685DFD9}"/>
    <cellStyle name="Normal 108" xfId="6699" xr:uid="{F1BD7233-AFBF-468D-A33A-4BB4AC2804D8}"/>
    <cellStyle name="Normal 109" xfId="6700" xr:uid="{1BBCAF1D-8CF9-4A09-B7A5-F50001FA2A2C}"/>
    <cellStyle name="Normal 11" xfId="856" xr:uid="{C9830D5B-B2C9-486F-8A7C-8482F12FA5F2}"/>
    <cellStyle name="Normal 11 10" xfId="6701" xr:uid="{B80A587A-DA32-463E-8394-5831BA580265}"/>
    <cellStyle name="Normal 11 10 10" xfId="6702" xr:uid="{3B589FC2-ACD3-435C-B606-1222692F74DC}"/>
    <cellStyle name="Normal 11 10 11" xfId="6703" xr:uid="{23FF6FA7-0451-4E99-BBF2-0581D4362335}"/>
    <cellStyle name="Normal 11 10 12" xfId="6704" xr:uid="{B0E8E1B6-E909-4830-A855-655C2957A834}"/>
    <cellStyle name="Normal 11 10 13" xfId="6705" xr:uid="{2ACD45B9-F47F-4867-A379-E5A23C358585}"/>
    <cellStyle name="Normal 11 10 14" xfId="6706" xr:uid="{6A615E01-61FE-42AE-8529-1A897D65A63C}"/>
    <cellStyle name="Normal 11 10 15" xfId="6707" xr:uid="{3E55A16E-E410-42FF-B080-5DD54D98C3FF}"/>
    <cellStyle name="Normal 11 10 16" xfId="6708" xr:uid="{6F9D243C-F225-42A2-809F-F19D583976E6}"/>
    <cellStyle name="Normal 11 10 17" xfId="6709" xr:uid="{71CF8E25-8168-4449-8941-E2C1331DD440}"/>
    <cellStyle name="Normal 11 10 18" xfId="6710" xr:uid="{B4DD6625-F4D4-412C-B212-BC36D44F165B}"/>
    <cellStyle name="Normal 11 10 19" xfId="6711" xr:uid="{2B78766D-A210-4346-BC69-31473757AFF2}"/>
    <cellStyle name="Normal 11 10 2" xfId="6712" xr:uid="{4660E0B7-F701-4CA2-BB4E-85BAC42A7180}"/>
    <cellStyle name="Normal 11 10 2 2" xfId="6713" xr:uid="{C87FAB76-8580-4D33-9B0A-408426F46692}"/>
    <cellStyle name="Normal 11 10 2 3" xfId="6714" xr:uid="{4D0D9B16-7235-492F-A7E8-4AAFFD2F02DA}"/>
    <cellStyle name="Normal 11 10 2 4" xfId="6715" xr:uid="{A4636AA7-B99D-49A4-8120-4F28151EF679}"/>
    <cellStyle name="Normal 11 10 20" xfId="6716" xr:uid="{960953E8-2F5A-4081-9F75-EF870090D31E}"/>
    <cellStyle name="Normal 11 10 21" xfId="6717" xr:uid="{77CFF900-096C-4217-B7C9-BC72D1C36AD5}"/>
    <cellStyle name="Normal 11 10 22" xfId="6718" xr:uid="{A1394237-1BE5-4258-9AF9-19D8BC0FAFE2}"/>
    <cellStyle name="Normal 11 10 23" xfId="6719" xr:uid="{7A4F5ABC-43CF-4232-AF31-9FBE8A3500C2}"/>
    <cellStyle name="Normal 11 10 24" xfId="6720" xr:uid="{FE0815CB-5C04-480E-80D4-674648448B09}"/>
    <cellStyle name="Normal 11 10 25" xfId="6721" xr:uid="{0693B44F-F87A-4246-A5F1-3E2F9CB69903}"/>
    <cellStyle name="Normal 11 10 26" xfId="6722" xr:uid="{44AE6886-BDEE-47B5-A466-751FAE434C32}"/>
    <cellStyle name="Normal 11 10 27" xfId="6723" xr:uid="{64C83953-C539-4CB2-AA69-819DA4813207}"/>
    <cellStyle name="Normal 11 10 28" xfId="6724" xr:uid="{109D1E6E-A689-4DE2-9229-DFB07015433A}"/>
    <cellStyle name="Normal 11 10 29" xfId="6725" xr:uid="{A7B8515D-6B97-4DFF-A484-746DABA13CCC}"/>
    <cellStyle name="Normal 11 10 3" xfId="6726" xr:uid="{EDA8CFC3-6D02-4AFF-B587-F91621373BAA}"/>
    <cellStyle name="Normal 11 10 3 2" xfId="6727" xr:uid="{F7DF28ED-CE60-4257-8D20-AA83E9ECE342}"/>
    <cellStyle name="Normal 11 10 3 3" xfId="6728" xr:uid="{C39B5E9C-9DC3-4962-A5B1-6B4AA4E87EEF}"/>
    <cellStyle name="Normal 11 10 3 4" xfId="6729" xr:uid="{FC30B410-9D22-40DE-9AF8-48AE95E16662}"/>
    <cellStyle name="Normal 11 10 30" xfId="6730" xr:uid="{94B015EA-68C0-468C-AA49-100A0FC4D7FD}"/>
    <cellStyle name="Normal 11 10 31" xfId="6731" xr:uid="{E470041A-5256-4400-B1C2-C9F0CF8E35F5}"/>
    <cellStyle name="Normal 11 10 32" xfId="6732" xr:uid="{48760A1E-38D3-4260-AA41-579314AD9ECF}"/>
    <cellStyle name="Normal 11 10 33" xfId="6733" xr:uid="{E30662E3-CB4B-4BE5-B09F-B0A20D606D6B}"/>
    <cellStyle name="Normal 11 10 34" xfId="6734" xr:uid="{918C14FC-B6F6-4CE2-BD98-9ACC63C317C8}"/>
    <cellStyle name="Normal 11 10 35" xfId="6735" xr:uid="{7BB91482-9BB6-4353-804F-D4E6EECF6615}"/>
    <cellStyle name="Normal 11 10 36" xfId="6736" xr:uid="{A7E53A78-B6C7-41E3-A1E9-5C70BC0FD0FC}"/>
    <cellStyle name="Normal 11 10 37" xfId="6737" xr:uid="{5A85D67B-A27F-48FB-B115-4933793F402F}"/>
    <cellStyle name="Normal 11 10 38" xfId="6738" xr:uid="{256C1BD1-098E-423C-9DAA-93A3EB3BBB82}"/>
    <cellStyle name="Normal 11 10 39" xfId="6739" xr:uid="{04E056E0-0992-404E-8E0E-0284026A1990}"/>
    <cellStyle name="Normal 11 10 4" xfId="6740" xr:uid="{7B1DE5D4-005D-47D2-AA3D-E30FB3268769}"/>
    <cellStyle name="Normal 11 10 40" xfId="6741" xr:uid="{A8A872CC-5F15-42AF-9113-88EEC7872A15}"/>
    <cellStyle name="Normal 11 10 41" xfId="6742" xr:uid="{A0D3A4DC-A511-43FD-9E45-23615AB43C3B}"/>
    <cellStyle name="Normal 11 10 42" xfId="6743" xr:uid="{B4EB123D-B1BA-4D7E-8FC8-B4885827779A}"/>
    <cellStyle name="Normal 11 10 43" xfId="6744" xr:uid="{D203A955-9798-44A8-A669-E9B71EAC454D}"/>
    <cellStyle name="Normal 11 10 44" xfId="6745" xr:uid="{05D69E6D-A906-4CBE-BC1F-07B90379FC66}"/>
    <cellStyle name="Normal 11 10 45" xfId="6746" xr:uid="{42B68A7C-FA26-4D91-986C-46FEF7D0EF9D}"/>
    <cellStyle name="Normal 11 10 46" xfId="6747" xr:uid="{CD6BA5E7-FCAF-46AE-B18D-F6658EF07E1C}"/>
    <cellStyle name="Normal 11 10 47" xfId="6748" xr:uid="{5FC173F4-EE40-416F-BA42-3913E098BE2A}"/>
    <cellStyle name="Normal 11 10 48" xfId="6749" xr:uid="{6FD64FDD-FFD5-4C90-B15E-88DF9B08938A}"/>
    <cellStyle name="Normal 11 10 49" xfId="6750" xr:uid="{9F7F7747-B792-4CF7-B162-F1B35DD57693}"/>
    <cellStyle name="Normal 11 10 5" xfId="6751" xr:uid="{8C472662-F159-44E8-B634-F0916E091CAF}"/>
    <cellStyle name="Normal 11 10 50" xfId="6752" xr:uid="{684661FA-0E13-455F-9DFC-F1969FB89B7A}"/>
    <cellStyle name="Normal 11 10 51" xfId="6753" xr:uid="{CB2DDF5B-698F-41EB-BA05-F64FC6A411F9}"/>
    <cellStyle name="Normal 11 10 52" xfId="6754" xr:uid="{BBB0D328-5855-4159-A36B-70C9B151B8A2}"/>
    <cellStyle name="Normal 11 10 6" xfId="6755" xr:uid="{2F845D88-B41C-4EDB-8863-0BD1255A53A7}"/>
    <cellStyle name="Normal 11 10 7" xfId="6756" xr:uid="{B13BFD3F-D6BE-4022-ADC6-305C6D361619}"/>
    <cellStyle name="Normal 11 10 8" xfId="6757" xr:uid="{45D53B0B-1768-4CE1-B192-CF648198D455}"/>
    <cellStyle name="Normal 11 10 9" xfId="6758" xr:uid="{22074D3F-2010-49A3-8C25-9256FD9E3A0B}"/>
    <cellStyle name="Normal 11 11" xfId="6759" xr:uid="{F9089DD0-4B54-4D43-A9A6-4C94D23C3A92}"/>
    <cellStyle name="Normal 11 11 10" xfId="6760" xr:uid="{7F8F3B93-353A-4D4A-AAB4-08BDABD9CB0D}"/>
    <cellStyle name="Normal 11 11 11" xfId="6761" xr:uid="{2C4CC926-399B-445E-95C0-4E28B4494E60}"/>
    <cellStyle name="Normal 11 11 12" xfId="6762" xr:uid="{EE44FA16-B8D7-4939-837C-4646B082C2FC}"/>
    <cellStyle name="Normal 11 11 13" xfId="6763" xr:uid="{A99AF71A-7168-4E94-93EB-473B9E3010C4}"/>
    <cellStyle name="Normal 11 11 14" xfId="6764" xr:uid="{46126028-E3D2-4FA0-A996-24E4BF912770}"/>
    <cellStyle name="Normal 11 11 15" xfId="6765" xr:uid="{3C1B9ECB-3171-4143-9F88-CCDAAEF02EAC}"/>
    <cellStyle name="Normal 11 11 16" xfId="6766" xr:uid="{ADDF53E4-9242-4281-8B37-76E07806B028}"/>
    <cellStyle name="Normal 11 11 17" xfId="6767" xr:uid="{9AD85927-53EA-4A24-B5BD-4F8256D1F6A3}"/>
    <cellStyle name="Normal 11 11 18" xfId="6768" xr:uid="{54DCBC31-0C21-4BDB-8777-27DBE382715E}"/>
    <cellStyle name="Normal 11 11 19" xfId="6769" xr:uid="{87EADA6D-74C4-4D4D-A2E0-D5A4125EAEB6}"/>
    <cellStyle name="Normal 11 11 2" xfId="6770" xr:uid="{72F2B328-B6AB-4FAA-9165-B26C295E1806}"/>
    <cellStyle name="Normal 11 11 2 2" xfId="6771" xr:uid="{C6F43286-75D1-48EB-9742-DC7CC1C6C21F}"/>
    <cellStyle name="Normal 11 11 2 3" xfId="6772" xr:uid="{B3BE2127-986D-4002-92AE-54B2CC22E896}"/>
    <cellStyle name="Normal 11 11 2 4" xfId="6773" xr:uid="{F56E0DEF-AB6E-41AC-B2CE-23A8827C55D6}"/>
    <cellStyle name="Normal 11 11 20" xfId="6774" xr:uid="{E4EAB30E-3FD3-44F1-BCB5-22FA03164F8F}"/>
    <cellStyle name="Normal 11 11 21" xfId="6775" xr:uid="{F5EE2778-5DD5-4A39-A3D0-F233635C8C05}"/>
    <cellStyle name="Normal 11 11 22" xfId="6776" xr:uid="{59F16F74-0A0A-47C7-B43B-0DA4110DC15C}"/>
    <cellStyle name="Normal 11 11 23" xfId="6777" xr:uid="{CC6F8598-769E-4A82-A6AE-8F1927ECBC35}"/>
    <cellStyle name="Normal 11 11 24" xfId="6778" xr:uid="{EB26BDE1-979A-445E-8FAD-D03D3E58049E}"/>
    <cellStyle name="Normal 11 11 25" xfId="6779" xr:uid="{DAD16A08-11E8-4B26-821E-2800287F155E}"/>
    <cellStyle name="Normal 11 11 26" xfId="6780" xr:uid="{85349001-3A99-4BE0-9A0D-7A9B3781A010}"/>
    <cellStyle name="Normal 11 11 27" xfId="6781" xr:uid="{03A4E637-EE21-4DCD-BBD1-E7B9614B6CDE}"/>
    <cellStyle name="Normal 11 11 28" xfId="6782" xr:uid="{AA4F1939-91E0-4511-88D3-AEE7BC8E432B}"/>
    <cellStyle name="Normal 11 11 29" xfId="6783" xr:uid="{066B7BBE-237B-4659-81CD-9B99263AA46A}"/>
    <cellStyle name="Normal 11 11 3" xfId="6784" xr:uid="{D82CD772-EEFD-43C5-8565-3C7D4AA4D86E}"/>
    <cellStyle name="Normal 11 11 3 2" xfId="6785" xr:uid="{81DE0D26-72CE-4FB7-8209-742C02094CA0}"/>
    <cellStyle name="Normal 11 11 3 3" xfId="6786" xr:uid="{3D2EA909-94E4-4326-B398-ED63C3FD7EEB}"/>
    <cellStyle name="Normal 11 11 3 4" xfId="6787" xr:uid="{C75FD068-1F38-4943-8EBE-94B70E9BB2B7}"/>
    <cellStyle name="Normal 11 11 30" xfId="6788" xr:uid="{FABD3FB9-C08A-4A7A-9D5E-5E8C2F97AD55}"/>
    <cellStyle name="Normal 11 11 31" xfId="6789" xr:uid="{15F24859-04BD-4EF8-BFC5-454BB7B41395}"/>
    <cellStyle name="Normal 11 11 32" xfId="6790" xr:uid="{03F11398-7379-40D2-AA20-60DF3E3AFA25}"/>
    <cellStyle name="Normal 11 11 33" xfId="6791" xr:uid="{282A84D4-1791-49B1-902E-6534B3B82352}"/>
    <cellStyle name="Normal 11 11 34" xfId="6792" xr:uid="{B64B5213-57F7-4A91-82B2-483B81EF88D8}"/>
    <cellStyle name="Normal 11 11 35" xfId="6793" xr:uid="{F9E385AC-0003-4D67-B711-9A3CF03D74AF}"/>
    <cellStyle name="Normal 11 11 36" xfId="6794" xr:uid="{E133AFC3-69C7-47C9-A80C-0D7E0685AB1A}"/>
    <cellStyle name="Normal 11 11 37" xfId="6795" xr:uid="{E8BB95BF-FDB5-4767-990B-F31EFCA53876}"/>
    <cellStyle name="Normal 11 11 38" xfId="6796" xr:uid="{A2448489-136F-4FB7-AA53-CB50B097E1A1}"/>
    <cellStyle name="Normal 11 11 39" xfId="6797" xr:uid="{F1F8C1D8-2074-43A0-8AF8-D12223871800}"/>
    <cellStyle name="Normal 11 11 4" xfId="6798" xr:uid="{C795638B-379B-4784-9425-5460D0E6EF1D}"/>
    <cellStyle name="Normal 11 11 40" xfId="6799" xr:uid="{CC57087C-D87F-4214-8FF2-325F7839BDF7}"/>
    <cellStyle name="Normal 11 11 41" xfId="6800" xr:uid="{7230FD25-43AD-492D-B2A5-4B25D17FF371}"/>
    <cellStyle name="Normal 11 11 42" xfId="6801" xr:uid="{4B56534F-C020-4476-B574-FFE860D69E22}"/>
    <cellStyle name="Normal 11 11 43" xfId="6802" xr:uid="{EA2CB5E2-CECC-4F77-8CD7-ABC9EC70A0E9}"/>
    <cellStyle name="Normal 11 11 44" xfId="6803" xr:uid="{CD2B35D6-FD4F-4EB1-97F2-FA3B8D0B6AB6}"/>
    <cellStyle name="Normal 11 11 45" xfId="6804" xr:uid="{BFDDA126-3F40-4082-ACD6-232A10D28D4E}"/>
    <cellStyle name="Normal 11 11 5" xfId="6805" xr:uid="{77F21C98-09BE-4412-811B-A0877904F799}"/>
    <cellStyle name="Normal 11 11 6" xfId="6806" xr:uid="{E7A3A20F-CA69-4CFF-9122-F4E82D8C3B0D}"/>
    <cellStyle name="Normal 11 11 7" xfId="6807" xr:uid="{56525307-5A8A-4BB4-B85E-9DDFB6E9C29D}"/>
    <cellStyle name="Normal 11 11 8" xfId="6808" xr:uid="{57423915-3F12-48C8-8F62-A0EC0D121437}"/>
    <cellStyle name="Normal 11 11 9" xfId="6809" xr:uid="{54E58289-CFDE-4A61-A634-80CEEF00656A}"/>
    <cellStyle name="Normal 11 12" xfId="6810" xr:uid="{E6ADC82B-76C4-43A5-A565-3BCD72262193}"/>
    <cellStyle name="Normal 11 12 10" xfId="6811" xr:uid="{EF05D777-2FA1-40E2-9934-1C3B26826ECA}"/>
    <cellStyle name="Normal 11 12 11" xfId="6812" xr:uid="{4555FF6C-9EFB-4D0D-8E8A-A55E5A80621F}"/>
    <cellStyle name="Normal 11 12 12" xfId="6813" xr:uid="{68F78499-5F6A-4E16-A4E0-F546EA551436}"/>
    <cellStyle name="Normal 11 12 13" xfId="6814" xr:uid="{7BC907AC-29E3-43F5-A8FE-F803775DB5EE}"/>
    <cellStyle name="Normal 11 12 14" xfId="6815" xr:uid="{48C0134D-2BA7-4F4D-BE32-1ABBD2A90A6B}"/>
    <cellStyle name="Normal 11 12 15" xfId="6816" xr:uid="{DBA71FD0-F3AC-4BB7-860F-37C2B24679A3}"/>
    <cellStyle name="Normal 11 12 16" xfId="6817" xr:uid="{6C65937B-F155-49CC-BCBF-D8CF40D98C69}"/>
    <cellStyle name="Normal 11 12 17" xfId="6818" xr:uid="{539ED33E-0F7C-4BC9-8154-30A686A52B93}"/>
    <cellStyle name="Normal 11 12 18" xfId="6819" xr:uid="{DC2EE8BE-885E-43B6-81D0-4FB713871AC0}"/>
    <cellStyle name="Normal 11 12 19" xfId="6820" xr:uid="{9B2EE4BE-1581-45A4-A4C8-B305F1D3C991}"/>
    <cellStyle name="Normal 11 12 2" xfId="6821" xr:uid="{04489B78-9860-4D44-B7F6-DA2CABE105A7}"/>
    <cellStyle name="Normal 11 12 2 2" xfId="6822" xr:uid="{B9E03B34-A7AB-47A0-81AF-6A2E7B07D100}"/>
    <cellStyle name="Normal 11 12 2 3" xfId="6823" xr:uid="{DE8261B3-5393-4C76-B030-DE39614D5F22}"/>
    <cellStyle name="Normal 11 12 2 4" xfId="6824" xr:uid="{3DB3FB84-1BAE-4036-95B2-9A886A50E1A8}"/>
    <cellStyle name="Normal 11 12 20" xfId="6825" xr:uid="{F8A9B0EC-2C5D-4685-98C4-CADE3476F5AE}"/>
    <cellStyle name="Normal 11 12 21" xfId="6826" xr:uid="{E4A68610-FE91-4438-B52A-D994307FCAD9}"/>
    <cellStyle name="Normal 11 12 22" xfId="6827" xr:uid="{3AC6384A-3E57-429B-B381-0958C2C8C020}"/>
    <cellStyle name="Normal 11 12 23" xfId="6828" xr:uid="{A7618E44-DD0E-4318-8144-704D3BBBAFD9}"/>
    <cellStyle name="Normal 11 12 24" xfId="6829" xr:uid="{3D8EAB99-AFD0-408A-ACDD-602AAC3B5680}"/>
    <cellStyle name="Normal 11 12 25" xfId="6830" xr:uid="{B787AEBB-CD9A-46F3-9811-2AEDAE60281F}"/>
    <cellStyle name="Normal 11 12 26" xfId="6831" xr:uid="{A147B015-2FB0-48CC-8BD7-62D594554EFC}"/>
    <cellStyle name="Normal 11 12 27" xfId="6832" xr:uid="{8B8E2840-C45B-4D49-BB19-8EA442662213}"/>
    <cellStyle name="Normal 11 12 28" xfId="6833" xr:uid="{077B1E1F-C120-4DE1-9453-A6AEB4B3E6B0}"/>
    <cellStyle name="Normal 11 12 29" xfId="6834" xr:uid="{8BBC4301-CB18-4073-BCD8-307820397B00}"/>
    <cellStyle name="Normal 11 12 3" xfId="6835" xr:uid="{B3050AE8-A4A6-4FE9-A72F-7F6BA7D69B01}"/>
    <cellStyle name="Normal 11 12 3 2" xfId="6836" xr:uid="{4412BEEA-27E0-4C53-A5A8-7BAA21509FA7}"/>
    <cellStyle name="Normal 11 12 3 3" xfId="6837" xr:uid="{06D40819-5D38-4B48-8D6F-4D51D510295D}"/>
    <cellStyle name="Normal 11 12 3 4" xfId="6838" xr:uid="{7115F424-7625-499C-866B-BED1BA5D6FC6}"/>
    <cellStyle name="Normal 11 12 30" xfId="6839" xr:uid="{E0D0D3A0-5C6F-4ECB-BFFA-C2C1C923D9BD}"/>
    <cellStyle name="Normal 11 12 31" xfId="6840" xr:uid="{C5058932-89D3-4BB7-A579-A78A2997917C}"/>
    <cellStyle name="Normal 11 12 32" xfId="6841" xr:uid="{06B3BB09-2509-4954-A26A-85FF8EEC1B25}"/>
    <cellStyle name="Normal 11 12 33" xfId="6842" xr:uid="{C884A0EC-58F7-4E8C-A9D7-9F951C806E35}"/>
    <cellStyle name="Normal 11 12 34" xfId="6843" xr:uid="{8FDBBCDF-BF10-4C44-9A63-7E7F8A5F2008}"/>
    <cellStyle name="Normal 11 12 35" xfId="6844" xr:uid="{51AF5B95-29F0-45A0-9AC7-915D94AB4F9D}"/>
    <cellStyle name="Normal 11 12 36" xfId="6845" xr:uid="{46214460-A5B6-401F-A328-C0CE807AB281}"/>
    <cellStyle name="Normal 11 12 37" xfId="6846" xr:uid="{17C0EC0E-15AC-42CF-BBF8-2E077CEC7622}"/>
    <cellStyle name="Normal 11 12 38" xfId="6847" xr:uid="{916B59B7-1786-4933-8021-221942FB8C37}"/>
    <cellStyle name="Normal 11 12 39" xfId="6848" xr:uid="{9F47F280-02CE-417B-BC1C-364BC766F6AF}"/>
    <cellStyle name="Normal 11 12 4" xfId="6849" xr:uid="{03C07833-CE4E-4404-881E-EEE54D0999CA}"/>
    <cellStyle name="Normal 11 12 40" xfId="6850" xr:uid="{ED27B5B8-3ABF-4F03-B5F4-A44638CF9E52}"/>
    <cellStyle name="Normal 11 12 41" xfId="6851" xr:uid="{791245DA-DFC9-44F5-91E8-CB13C7454589}"/>
    <cellStyle name="Normal 11 12 42" xfId="6852" xr:uid="{12A503B2-6BA0-48EF-8941-FEB39B72CD8A}"/>
    <cellStyle name="Normal 11 12 43" xfId="6853" xr:uid="{B49A6EF3-1E71-49CC-83D7-B9173B60E5CA}"/>
    <cellStyle name="Normal 11 12 44" xfId="6854" xr:uid="{84E21CD9-A933-4D98-B31C-2AC4A2460933}"/>
    <cellStyle name="Normal 11 12 45" xfId="6855" xr:uid="{6DEC3E78-542E-4EBB-837E-E98EE2D21AC4}"/>
    <cellStyle name="Normal 11 12 5" xfId="6856" xr:uid="{C2F2A429-66E6-4E70-BD11-F13F9BA5FC77}"/>
    <cellStyle name="Normal 11 12 6" xfId="6857" xr:uid="{E15458F1-ED28-4041-B199-538BE19221B2}"/>
    <cellStyle name="Normal 11 12 7" xfId="6858" xr:uid="{920152D4-15A9-43C7-86D6-284F7A240ECF}"/>
    <cellStyle name="Normal 11 12 8" xfId="6859" xr:uid="{8FE7CF00-0E1D-44D5-9BB0-AEA6730C91E8}"/>
    <cellStyle name="Normal 11 12 9" xfId="6860" xr:uid="{9BF59075-2889-4029-B869-7C4557B2520E}"/>
    <cellStyle name="Normal 11 13" xfId="6861" xr:uid="{BAF4BA6F-DB83-4A53-A17F-6FC14A1AAB7D}"/>
    <cellStyle name="Normal 11 13 10" xfId="6862" xr:uid="{BB8A000D-544B-4654-8F0C-A4181CAE8185}"/>
    <cellStyle name="Normal 11 13 11" xfId="6863" xr:uid="{1AF31645-DD8A-4DBF-A238-B9022A44D841}"/>
    <cellStyle name="Normal 11 13 12" xfId="6864" xr:uid="{7EF6492D-5D69-4E9D-B37A-D41CAB3C9023}"/>
    <cellStyle name="Normal 11 13 13" xfId="6865" xr:uid="{4A5A033A-E030-4380-B85C-86989C80ED17}"/>
    <cellStyle name="Normal 11 13 14" xfId="6866" xr:uid="{D48D9129-D005-4D46-8D79-D5146698FC30}"/>
    <cellStyle name="Normal 11 13 15" xfId="6867" xr:uid="{F96B4E7A-CE6A-4711-8D0B-CE5D8B34FD6B}"/>
    <cellStyle name="Normal 11 13 16" xfId="6868" xr:uid="{6A5D7697-E8C9-4960-A490-FD77AB8841BA}"/>
    <cellStyle name="Normal 11 13 17" xfId="6869" xr:uid="{8195D1DA-403C-4FC4-A3FE-6E211463E89E}"/>
    <cellStyle name="Normal 11 13 18" xfId="6870" xr:uid="{6FC6315C-298D-40E7-B603-FF2171732BF3}"/>
    <cellStyle name="Normal 11 13 19" xfId="6871" xr:uid="{34CC53DB-7C63-4898-B1C4-CFF74E1571F3}"/>
    <cellStyle name="Normal 11 13 2" xfId="6872" xr:uid="{BD185A0A-7330-41EA-8E00-841899CC2B6F}"/>
    <cellStyle name="Normal 11 13 2 2" xfId="6873" xr:uid="{B0238F27-7DDE-4F14-9C70-86934FA53BDD}"/>
    <cellStyle name="Normal 11 13 2 3" xfId="6874" xr:uid="{39E627DF-03C3-417D-BD7B-93BF861B2FB6}"/>
    <cellStyle name="Normal 11 13 2 4" xfId="6875" xr:uid="{C00713EF-5AB2-478F-97AB-2D6D89C05665}"/>
    <cellStyle name="Normal 11 13 20" xfId="6876" xr:uid="{5BBA7FC8-20FF-491E-BE9B-D83A1B3B2638}"/>
    <cellStyle name="Normal 11 13 21" xfId="6877" xr:uid="{BEF04F76-909B-4845-8AF6-06A47DAD2A11}"/>
    <cellStyle name="Normal 11 13 22" xfId="6878" xr:uid="{014B0E37-5B65-4003-A3A7-1C1F005841CC}"/>
    <cellStyle name="Normal 11 13 23" xfId="6879" xr:uid="{9EFF1ACC-1E55-4C47-A908-41BFC2F1D56A}"/>
    <cellStyle name="Normal 11 13 24" xfId="6880" xr:uid="{76111258-F08A-417B-8EC9-EA5816D607D8}"/>
    <cellStyle name="Normal 11 13 25" xfId="6881" xr:uid="{FB8E1C90-D22F-4D56-9BFE-6FD8C289705E}"/>
    <cellStyle name="Normal 11 13 26" xfId="6882" xr:uid="{E303DB39-E58B-42F4-9C11-8EAAA94DADD1}"/>
    <cellStyle name="Normal 11 13 27" xfId="6883" xr:uid="{AAEDA857-F039-4BA1-91C1-D6EEA61BFEE6}"/>
    <cellStyle name="Normal 11 13 28" xfId="6884" xr:uid="{FAE0471A-5EE5-4A55-A534-54395C312E60}"/>
    <cellStyle name="Normal 11 13 29" xfId="6885" xr:uid="{A39C8DC0-D17B-44F6-96B2-7C8FE3D7AD85}"/>
    <cellStyle name="Normal 11 13 3" xfId="6886" xr:uid="{5D630686-3735-480D-964D-8845D0381971}"/>
    <cellStyle name="Normal 11 13 3 2" xfId="6887" xr:uid="{8425DF86-3C3D-4794-8760-F7CC8B7A6C40}"/>
    <cellStyle name="Normal 11 13 3 3" xfId="6888" xr:uid="{A19B69B8-F61F-4A56-BC28-87D041719852}"/>
    <cellStyle name="Normal 11 13 3 4" xfId="6889" xr:uid="{18A59064-5851-46E7-9739-DB7956FDB084}"/>
    <cellStyle name="Normal 11 13 30" xfId="6890" xr:uid="{AAFB7455-F12D-4313-BC64-B09E43041FC0}"/>
    <cellStyle name="Normal 11 13 31" xfId="6891" xr:uid="{F44C1AFD-4000-468D-AF04-BCDFC17C6D06}"/>
    <cellStyle name="Normal 11 13 32" xfId="6892" xr:uid="{C4133FA5-04E8-472C-9A5C-99AFB843956F}"/>
    <cellStyle name="Normal 11 13 33" xfId="6893" xr:uid="{8067A26E-F531-4CAC-BBBD-3B98FC222A20}"/>
    <cellStyle name="Normal 11 13 34" xfId="6894" xr:uid="{C01A8BCC-3EBC-4E05-8237-600EFE164B33}"/>
    <cellStyle name="Normal 11 13 35" xfId="6895" xr:uid="{BA219973-DF05-46D8-AFDB-A2B29C1CF1AA}"/>
    <cellStyle name="Normal 11 13 36" xfId="6896" xr:uid="{9B24B13B-FC45-48AF-9FD6-9506BD64A211}"/>
    <cellStyle name="Normal 11 13 37" xfId="6897" xr:uid="{62BB604D-350C-4A8E-B14A-F5349F5BDB86}"/>
    <cellStyle name="Normal 11 13 38" xfId="6898" xr:uid="{590F14E0-5A7F-4DBA-AB09-016910EC1142}"/>
    <cellStyle name="Normal 11 13 39" xfId="6899" xr:uid="{1E35CD51-9E4F-42B5-8C3A-0952476E08B5}"/>
    <cellStyle name="Normal 11 13 4" xfId="6900" xr:uid="{DD3F03D6-F74A-44FB-8880-994BB460A62B}"/>
    <cellStyle name="Normal 11 13 40" xfId="6901" xr:uid="{F2A48AB3-788C-4CF0-930B-08F496077A36}"/>
    <cellStyle name="Normal 11 13 41" xfId="6902" xr:uid="{95E081A0-5A95-479B-8026-951ADFA6E648}"/>
    <cellStyle name="Normal 11 13 42" xfId="6903" xr:uid="{5D2BDC27-EC2A-4FDD-B55A-282D6FAEE469}"/>
    <cellStyle name="Normal 11 13 43" xfId="6904" xr:uid="{639D79A9-64B2-4F68-B377-B8CFEB57E469}"/>
    <cellStyle name="Normal 11 13 44" xfId="6905" xr:uid="{EB34C30B-F48A-4858-9B0B-A5D2F538021D}"/>
    <cellStyle name="Normal 11 13 45" xfId="6906" xr:uid="{7EBACA7D-06CA-4110-B06A-9E6BFE4C127A}"/>
    <cellStyle name="Normal 11 13 5" xfId="6907" xr:uid="{A096F997-2DE3-4E66-A92C-251ED1AB5845}"/>
    <cellStyle name="Normal 11 13 6" xfId="6908" xr:uid="{193EE3AB-A24E-4D86-9746-32B98E7FE078}"/>
    <cellStyle name="Normal 11 13 7" xfId="6909" xr:uid="{1A30A7CB-7C0F-46DE-A0E1-862DB26E07C6}"/>
    <cellStyle name="Normal 11 13 8" xfId="6910" xr:uid="{87AE62A1-328E-430C-9192-4AEAB5504DF3}"/>
    <cellStyle name="Normal 11 13 9" xfId="6911" xr:uid="{7F4C662D-97F0-4FC8-AC2D-22A41FCDF3E7}"/>
    <cellStyle name="Normal 11 14" xfId="6912" xr:uid="{A019A96C-DB06-4AFD-821F-3936C1A9EE0A}"/>
    <cellStyle name="Normal 11 14 10" xfId="6913" xr:uid="{6398CD44-2871-4A74-BF7B-6458D2FBF082}"/>
    <cellStyle name="Normal 11 14 11" xfId="6914" xr:uid="{8BED19FD-2440-4988-A29E-74224391EA54}"/>
    <cellStyle name="Normal 11 14 12" xfId="6915" xr:uid="{9206FBD8-1B8E-4D81-A6DF-0157F90703A4}"/>
    <cellStyle name="Normal 11 14 13" xfId="6916" xr:uid="{7AE80723-1F36-485F-A298-44CD4B455303}"/>
    <cellStyle name="Normal 11 14 14" xfId="6917" xr:uid="{B3DE657C-A41F-45FB-A87D-FFFD963A99B2}"/>
    <cellStyle name="Normal 11 14 15" xfId="6918" xr:uid="{BA2363B8-A8EE-4C4B-864C-B1F90DDFB9EC}"/>
    <cellStyle name="Normal 11 14 16" xfId="6919" xr:uid="{A690FEB7-5A3B-44FE-86AC-E073568101EF}"/>
    <cellStyle name="Normal 11 14 17" xfId="6920" xr:uid="{0C33945B-6481-4281-B7A3-16306FAF9B35}"/>
    <cellStyle name="Normal 11 14 18" xfId="6921" xr:uid="{57212D80-E4E8-4DE6-994B-23FCD4697A45}"/>
    <cellStyle name="Normal 11 14 19" xfId="6922" xr:uid="{607E5818-3A39-46D2-97B8-5877F1B11574}"/>
    <cellStyle name="Normal 11 14 2" xfId="6923" xr:uid="{D15DB014-F4BA-4419-BA14-A075C73672C0}"/>
    <cellStyle name="Normal 11 14 2 2" xfId="6924" xr:uid="{11595AD5-ED13-446F-A4C8-F2BD5EADE410}"/>
    <cellStyle name="Normal 11 14 2 3" xfId="6925" xr:uid="{80936C29-87C5-4201-A2F8-29153EFB7690}"/>
    <cellStyle name="Normal 11 14 2 4" xfId="6926" xr:uid="{847F2EFB-0907-4250-9E36-CA0E0DF7FBDB}"/>
    <cellStyle name="Normal 11 14 20" xfId="6927" xr:uid="{E5FD5152-5AFA-4540-A2C3-F8DBBB94961E}"/>
    <cellStyle name="Normal 11 14 21" xfId="6928" xr:uid="{D9A8D897-101E-47EA-BDD5-E10744A54515}"/>
    <cellStyle name="Normal 11 14 22" xfId="6929" xr:uid="{89A1D68E-6086-48A2-B8BF-4350F3615F28}"/>
    <cellStyle name="Normal 11 14 23" xfId="6930" xr:uid="{A58115BB-830F-4B9D-8934-EA98A6CA7CD6}"/>
    <cellStyle name="Normal 11 14 24" xfId="6931" xr:uid="{19A8A36D-C063-498C-A1C9-E7F6633B33B5}"/>
    <cellStyle name="Normal 11 14 25" xfId="6932" xr:uid="{AFF97601-44E4-4794-BB10-263B086872B6}"/>
    <cellStyle name="Normal 11 14 26" xfId="6933" xr:uid="{6EAAF99D-59CE-4AE3-9857-06191A7DD688}"/>
    <cellStyle name="Normal 11 14 27" xfId="6934" xr:uid="{D5FDD623-6D76-4DC4-87DA-3C223F3525C1}"/>
    <cellStyle name="Normal 11 14 28" xfId="6935" xr:uid="{3BA53208-3EF4-41B4-9084-63DFAB88D5AE}"/>
    <cellStyle name="Normal 11 14 29" xfId="6936" xr:uid="{8BAA88A3-B729-4A64-A357-EF0D86931FEA}"/>
    <cellStyle name="Normal 11 14 3" xfId="6937" xr:uid="{7784A9E5-3531-48FA-967B-0670D2B28185}"/>
    <cellStyle name="Normal 11 14 3 2" xfId="6938" xr:uid="{BCB5D1D1-531B-4161-93D1-AE0AAF209FC5}"/>
    <cellStyle name="Normal 11 14 3 3" xfId="6939" xr:uid="{AAB4CB10-A9B0-4722-BD04-71A673D01C5C}"/>
    <cellStyle name="Normal 11 14 3 4" xfId="6940" xr:uid="{F42648F8-33D0-4B1E-BC69-81A0FDB829D0}"/>
    <cellStyle name="Normal 11 14 30" xfId="6941" xr:uid="{8A19751E-27C4-4D4D-8E9F-7C44A248B1C8}"/>
    <cellStyle name="Normal 11 14 31" xfId="6942" xr:uid="{6CEE0690-B2A2-498E-A731-48D9E3DCECE4}"/>
    <cellStyle name="Normal 11 14 32" xfId="6943" xr:uid="{2ED8BDFD-A68D-4086-B798-523A882E70DD}"/>
    <cellStyle name="Normal 11 14 33" xfId="6944" xr:uid="{451D7DA4-E498-46B7-8A84-F17C1264D41C}"/>
    <cellStyle name="Normal 11 14 34" xfId="6945" xr:uid="{C8E7960A-B8A3-42B3-91CB-63F29343D8B4}"/>
    <cellStyle name="Normal 11 14 35" xfId="6946" xr:uid="{E3647097-E41D-4D71-8D61-F172F372D629}"/>
    <cellStyle name="Normal 11 14 36" xfId="6947" xr:uid="{7D2DAD60-52F5-426D-A72A-FA9B40AF7510}"/>
    <cellStyle name="Normal 11 14 37" xfId="6948" xr:uid="{71D61368-E14C-4D9B-9681-31FE44899171}"/>
    <cellStyle name="Normal 11 14 38" xfId="6949" xr:uid="{9D9B5F9B-D50B-4663-8F14-8622BC9844D4}"/>
    <cellStyle name="Normal 11 14 39" xfId="6950" xr:uid="{44EFAAF3-ACCE-43EB-8E35-7C73B4FB5302}"/>
    <cellStyle name="Normal 11 14 4" xfId="6951" xr:uid="{0BE06B7B-44BA-4C47-8DA0-15923C087ED9}"/>
    <cellStyle name="Normal 11 14 40" xfId="6952" xr:uid="{532E8CBB-3462-4015-99F4-9895DED92E59}"/>
    <cellStyle name="Normal 11 14 41" xfId="6953" xr:uid="{AA77A702-2818-4E7A-9390-1BEBC9B3BA8F}"/>
    <cellStyle name="Normal 11 14 42" xfId="6954" xr:uid="{B1957B01-E6E7-459C-8508-C436C23D7391}"/>
    <cellStyle name="Normal 11 14 43" xfId="6955" xr:uid="{7A79C542-8125-43D5-86C3-DA416ADB6CCF}"/>
    <cellStyle name="Normal 11 14 44" xfId="6956" xr:uid="{341EA7C3-0B2A-42E4-A5FC-4F8069B8599E}"/>
    <cellStyle name="Normal 11 14 45" xfId="6957" xr:uid="{17BC0417-6C1D-4386-A0DA-423EEEDB9E81}"/>
    <cellStyle name="Normal 11 14 5" xfId="6958" xr:uid="{9EB10087-09C3-4626-B950-50578681F7A3}"/>
    <cellStyle name="Normal 11 14 6" xfId="6959" xr:uid="{022C6E5C-990B-4826-9B95-185DA751DE09}"/>
    <cellStyle name="Normal 11 14 7" xfId="6960" xr:uid="{2E580266-C294-4DFB-96BC-F1993C616257}"/>
    <cellStyle name="Normal 11 14 8" xfId="6961" xr:uid="{B2622B6E-FBFB-4027-A4AB-45C81ADDAEAB}"/>
    <cellStyle name="Normal 11 14 9" xfId="6962" xr:uid="{8F0DBEA8-4B25-4DCD-97A3-35BAAE2DAC01}"/>
    <cellStyle name="Normal 11 15" xfId="6963" xr:uid="{FB5904FE-CEF7-40B7-A92F-8C31CC80D48D}"/>
    <cellStyle name="Normal 11 15 10" xfId="6964" xr:uid="{595A2020-2B34-475F-855B-A0B6804B89B1}"/>
    <cellStyle name="Normal 11 15 11" xfId="6965" xr:uid="{F48C5EB5-9E83-423C-93F6-3F658317899F}"/>
    <cellStyle name="Normal 11 15 12" xfId="6966" xr:uid="{816BFA0F-E6BE-4516-A6D6-942D7C59A3E2}"/>
    <cellStyle name="Normal 11 15 13" xfId="6967" xr:uid="{421A2FF5-E740-44F4-A10D-5028F7F8B758}"/>
    <cellStyle name="Normal 11 15 14" xfId="6968" xr:uid="{CB44B55E-B5AC-4635-AF7F-B7BFBB620735}"/>
    <cellStyle name="Normal 11 15 15" xfId="6969" xr:uid="{AF541545-4EA3-4210-9534-119AE6CA2588}"/>
    <cellStyle name="Normal 11 15 16" xfId="6970" xr:uid="{C6B5C8A9-1C32-4ECF-B062-25F80BDDD222}"/>
    <cellStyle name="Normal 11 15 17" xfId="6971" xr:uid="{CEE52B2E-5F93-4021-B85A-ECB1CE11DA32}"/>
    <cellStyle name="Normal 11 15 18" xfId="6972" xr:uid="{BE28C9D2-A16C-42BD-AEBD-13D7CA3ABC88}"/>
    <cellStyle name="Normal 11 15 19" xfId="6973" xr:uid="{767CEF11-3C3A-427D-AB4F-286A2E4C8E8F}"/>
    <cellStyle name="Normal 11 15 2" xfId="6974" xr:uid="{EF1BB14A-6BF5-4D64-811A-DEB6B6B5426C}"/>
    <cellStyle name="Normal 11 15 2 2" xfId="6975" xr:uid="{CB7CF835-E6FC-434E-AE5F-1A54FF66B856}"/>
    <cellStyle name="Normal 11 15 2 3" xfId="6976" xr:uid="{7B1BD307-4398-4538-A6DE-BA9E07021B2D}"/>
    <cellStyle name="Normal 11 15 2 4" xfId="6977" xr:uid="{D7B8A2C3-B337-411B-9A0B-36063690C155}"/>
    <cellStyle name="Normal 11 15 20" xfId="6978" xr:uid="{2123A38A-827A-4BDE-9307-CA186B805318}"/>
    <cellStyle name="Normal 11 15 21" xfId="6979" xr:uid="{82739FDC-F25C-4638-BE46-47D57E848874}"/>
    <cellStyle name="Normal 11 15 22" xfId="6980" xr:uid="{38C168D5-B67A-4A76-85EB-E19F1A14DFC4}"/>
    <cellStyle name="Normal 11 15 23" xfId="6981" xr:uid="{33BF5CBD-3806-4FF5-B80D-1E14BFD80F9C}"/>
    <cellStyle name="Normal 11 15 24" xfId="6982" xr:uid="{27CD258A-593E-4EBE-B8A3-4E76A6CC24E8}"/>
    <cellStyle name="Normal 11 15 25" xfId="6983" xr:uid="{2990A049-E75A-459E-9CEA-3EC58D8DCDE1}"/>
    <cellStyle name="Normal 11 15 26" xfId="6984" xr:uid="{128B8DAB-E49F-46E4-BCB6-12AEFDDBFFE7}"/>
    <cellStyle name="Normal 11 15 27" xfId="6985" xr:uid="{48E887D4-678C-402E-97C0-D364ADF379A0}"/>
    <cellStyle name="Normal 11 15 28" xfId="6986" xr:uid="{D3D63278-4CAF-4E1C-AB58-FE0DC1D9708D}"/>
    <cellStyle name="Normal 11 15 29" xfId="6987" xr:uid="{590F08B7-E318-444A-9455-6FB1C1D512AF}"/>
    <cellStyle name="Normal 11 15 3" xfId="6988" xr:uid="{FEFE517A-C48D-4389-8CE8-F5DBFA535B09}"/>
    <cellStyle name="Normal 11 15 3 2" xfId="6989" xr:uid="{7508172B-30BD-4610-B447-A2DE712793CD}"/>
    <cellStyle name="Normal 11 15 3 3" xfId="6990" xr:uid="{71A679F7-0EB7-4B23-B692-0EA1D00E5D76}"/>
    <cellStyle name="Normal 11 15 3 4" xfId="6991" xr:uid="{B133253A-C31B-4884-90DE-658A26092564}"/>
    <cellStyle name="Normal 11 15 30" xfId="6992" xr:uid="{E2747CD2-DA5E-43F2-894B-F99D25CCA6AD}"/>
    <cellStyle name="Normal 11 15 31" xfId="6993" xr:uid="{C38A5A7D-EC9A-4C32-8040-F7CBBE8EC1C9}"/>
    <cellStyle name="Normal 11 15 32" xfId="6994" xr:uid="{F443DD44-FBEF-485C-B590-233FDEFC0A55}"/>
    <cellStyle name="Normal 11 15 33" xfId="6995" xr:uid="{AA88E04B-8000-4E25-80BB-301FDEED1F80}"/>
    <cellStyle name="Normal 11 15 34" xfId="6996" xr:uid="{501BE2FA-5705-4B91-86A8-11785809B165}"/>
    <cellStyle name="Normal 11 15 35" xfId="6997" xr:uid="{F20A0358-128D-43F2-B322-6D3D6F5C0AED}"/>
    <cellStyle name="Normal 11 15 36" xfId="6998" xr:uid="{BDBD9BD0-7FAA-46DB-A363-8DE8BCA6A5D0}"/>
    <cellStyle name="Normal 11 15 37" xfId="6999" xr:uid="{4B8A13EA-F85B-478B-B65F-A1710498B591}"/>
    <cellStyle name="Normal 11 15 38" xfId="7000" xr:uid="{CEDFFB4C-C55F-499A-9E7C-243D679D39E5}"/>
    <cellStyle name="Normal 11 15 39" xfId="7001" xr:uid="{2AC597DA-ADC4-42F7-BBF3-3749CF9C47D8}"/>
    <cellStyle name="Normal 11 15 4" xfId="7002" xr:uid="{272EBE1F-5BF5-4BF6-84E1-06EAD21A8A2D}"/>
    <cellStyle name="Normal 11 15 40" xfId="7003" xr:uid="{57B51965-E4A2-4317-80F9-9A9B59A444B8}"/>
    <cellStyle name="Normal 11 15 41" xfId="7004" xr:uid="{EF3FC0A0-0020-47CF-BC6A-FA674E82E146}"/>
    <cellStyle name="Normal 11 15 42" xfId="7005" xr:uid="{E31873DE-5256-4695-9A00-6E8CFB528592}"/>
    <cellStyle name="Normal 11 15 43" xfId="7006" xr:uid="{D09C1D10-DB9B-4E07-9718-94CE30D70A34}"/>
    <cellStyle name="Normal 11 15 44" xfId="7007" xr:uid="{27FABADE-F770-46BB-9145-5563851374B4}"/>
    <cellStyle name="Normal 11 15 45" xfId="7008" xr:uid="{F00CB86B-0FA3-4F4A-B24A-F573D7A164ED}"/>
    <cellStyle name="Normal 11 15 5" xfId="7009" xr:uid="{C642104A-A4F6-40CC-BFEC-0A8941672CCC}"/>
    <cellStyle name="Normal 11 15 6" xfId="7010" xr:uid="{B95A6EF5-BFB3-4F87-9164-D4400D69E69F}"/>
    <cellStyle name="Normal 11 15 7" xfId="7011" xr:uid="{307359A5-9B64-4A4D-A381-2451D61F05C6}"/>
    <cellStyle name="Normal 11 15 8" xfId="7012" xr:uid="{C6C6487C-80F4-4055-8754-B030C432123C}"/>
    <cellStyle name="Normal 11 15 9" xfId="7013" xr:uid="{C43E1FF9-77DE-44C9-995D-9720F4C25BAD}"/>
    <cellStyle name="Normal 11 16" xfId="7014" xr:uid="{DFC695AD-1CE7-4DF6-BDFF-8B35FFCF4180}"/>
    <cellStyle name="Normal 11 16 10" xfId="7015" xr:uid="{12B73B8A-EFE6-49A1-B0FB-2906F2A44753}"/>
    <cellStyle name="Normal 11 16 11" xfId="7016" xr:uid="{C6E96B7B-91C8-479E-89C8-DEC3A3D405F3}"/>
    <cellStyle name="Normal 11 16 12" xfId="7017" xr:uid="{55B3EF71-64D1-49EC-ADBE-7911030E9100}"/>
    <cellStyle name="Normal 11 16 13" xfId="7018" xr:uid="{5F06445D-7E2B-4668-BCE8-19E20DF871AF}"/>
    <cellStyle name="Normal 11 16 14" xfId="7019" xr:uid="{6B24F934-43AA-447B-BE6C-9B1447087920}"/>
    <cellStyle name="Normal 11 16 15" xfId="7020" xr:uid="{B94C24C4-9512-45AD-9E90-DDD88035662F}"/>
    <cellStyle name="Normal 11 16 16" xfId="7021" xr:uid="{B3AFA16A-1497-420F-A83C-F52135BC3359}"/>
    <cellStyle name="Normal 11 16 17" xfId="7022" xr:uid="{4FD3CCD7-2739-44AF-850B-20DADCB00B0D}"/>
    <cellStyle name="Normal 11 16 18" xfId="7023" xr:uid="{767F9C4A-9FF1-4C6B-BBC2-F3D917CE503A}"/>
    <cellStyle name="Normal 11 16 19" xfId="7024" xr:uid="{F2E19ACB-E9CD-4412-B4D4-8B635DF753EB}"/>
    <cellStyle name="Normal 11 16 2" xfId="7025" xr:uid="{3CA230F0-2CE6-47CF-B87B-0EDC75676484}"/>
    <cellStyle name="Normal 11 16 2 2" xfId="7026" xr:uid="{81637F59-53E2-49B6-B46F-79FB50C7FBA4}"/>
    <cellStyle name="Normal 11 16 2 3" xfId="7027" xr:uid="{74353E88-397A-4672-AF0C-8422A81CE326}"/>
    <cellStyle name="Normal 11 16 2 4" xfId="7028" xr:uid="{10BE7D0D-7FAF-44D0-AEEB-04D779E5A7C8}"/>
    <cellStyle name="Normal 11 16 20" xfId="7029" xr:uid="{47A5AE93-FB43-4E18-A14F-FCD75E118072}"/>
    <cellStyle name="Normal 11 16 21" xfId="7030" xr:uid="{E58AE3DB-70B5-4CD6-BA7C-5471FC72FC95}"/>
    <cellStyle name="Normal 11 16 22" xfId="7031" xr:uid="{DA99D4B0-8E79-4A5B-87B1-A40C568158F8}"/>
    <cellStyle name="Normal 11 16 23" xfId="7032" xr:uid="{4B79CFD8-4B28-44CF-B9CA-83992B37DFCF}"/>
    <cellStyle name="Normal 11 16 24" xfId="7033" xr:uid="{DF705496-3981-4363-8CB8-7BE60B251CAF}"/>
    <cellStyle name="Normal 11 16 25" xfId="7034" xr:uid="{AF1EA541-0B4E-4E8E-AC33-8B1EF8602836}"/>
    <cellStyle name="Normal 11 16 26" xfId="7035" xr:uid="{E469D814-C944-4410-81F4-FC20D6204B9A}"/>
    <cellStyle name="Normal 11 16 27" xfId="7036" xr:uid="{88936DED-CDC6-434A-AB27-6286DEAA391F}"/>
    <cellStyle name="Normal 11 16 28" xfId="7037" xr:uid="{1D88B0F4-6318-482B-A60A-905A6AFC336C}"/>
    <cellStyle name="Normal 11 16 29" xfId="7038" xr:uid="{BF6DD455-FF5C-4D8D-85D7-4DDDDA2D1FA6}"/>
    <cellStyle name="Normal 11 16 3" xfId="7039" xr:uid="{6B4BE465-D38C-4A24-8B5D-0549A080FD13}"/>
    <cellStyle name="Normal 11 16 3 2" xfId="7040" xr:uid="{63B0694A-4C16-45B7-A318-18AC0B51BCCD}"/>
    <cellStyle name="Normal 11 16 3 3" xfId="7041" xr:uid="{E82B5F4C-E55F-4018-A14A-EAF4750D636A}"/>
    <cellStyle name="Normal 11 16 3 4" xfId="7042" xr:uid="{62FAD792-57CC-4261-A167-6AE494609A15}"/>
    <cellStyle name="Normal 11 16 30" xfId="7043" xr:uid="{D1423054-B190-45BF-8F30-C1630E75E7FB}"/>
    <cellStyle name="Normal 11 16 31" xfId="7044" xr:uid="{BC0A184B-7EDF-4921-BC45-3BAF3FC25F9C}"/>
    <cellStyle name="Normal 11 16 32" xfId="7045" xr:uid="{66B49E98-BA61-4FF2-BC85-5595C35C87FF}"/>
    <cellStyle name="Normal 11 16 33" xfId="7046" xr:uid="{259D0DED-17CE-4296-9C76-8BCF5ED98090}"/>
    <cellStyle name="Normal 11 16 34" xfId="7047" xr:uid="{B609CDAA-4E45-425A-A2FA-0FB523AC17E7}"/>
    <cellStyle name="Normal 11 16 35" xfId="7048" xr:uid="{054179D7-732C-47D9-8371-682C77778DD3}"/>
    <cellStyle name="Normal 11 16 36" xfId="7049" xr:uid="{2E59E749-D8F8-4EDF-9EC3-50A1E26CB9D8}"/>
    <cellStyle name="Normal 11 16 37" xfId="7050" xr:uid="{50F8A79B-4F43-491B-BAFB-75979BFD08B6}"/>
    <cellStyle name="Normal 11 16 38" xfId="7051" xr:uid="{E39D46CB-8BEE-4C41-ADEC-7A31909F892D}"/>
    <cellStyle name="Normal 11 16 39" xfId="7052" xr:uid="{D3876C59-A690-48BB-81ED-ECDB8A248BE5}"/>
    <cellStyle name="Normal 11 16 4" xfId="7053" xr:uid="{F37B4457-91D3-415C-BEB8-A14B0C09720D}"/>
    <cellStyle name="Normal 11 16 40" xfId="7054" xr:uid="{224951B8-5D6F-4975-A4ED-CFB4268523D5}"/>
    <cellStyle name="Normal 11 16 41" xfId="7055" xr:uid="{EC1F3F79-4031-4035-ADF5-D91D3017B154}"/>
    <cellStyle name="Normal 11 16 42" xfId="7056" xr:uid="{667207A8-A22A-49A3-88F7-02DCA427658C}"/>
    <cellStyle name="Normal 11 16 43" xfId="7057" xr:uid="{FA9684E6-B0D0-4283-929A-D9206185F07C}"/>
    <cellStyle name="Normal 11 16 44" xfId="7058" xr:uid="{5C69B051-1852-41C0-AA74-56124512955B}"/>
    <cellStyle name="Normal 11 16 45" xfId="7059" xr:uid="{40C5B7AB-EE06-4906-9186-B974125B3757}"/>
    <cellStyle name="Normal 11 16 5" xfId="7060" xr:uid="{079E2136-EC8A-402A-968F-FB9D487E75CA}"/>
    <cellStyle name="Normal 11 16 6" xfId="7061" xr:uid="{CBC68261-FC28-416D-9AC5-BA89DB5CBCE5}"/>
    <cellStyle name="Normal 11 16 7" xfId="7062" xr:uid="{F0A73AA6-531E-40F1-8722-6A5645B507D3}"/>
    <cellStyle name="Normal 11 16 8" xfId="7063" xr:uid="{5B2FD425-ED97-4E62-BD66-8F5ACEA67498}"/>
    <cellStyle name="Normal 11 16 9" xfId="7064" xr:uid="{36FA4410-102A-4FAC-8D70-4694ADC25E12}"/>
    <cellStyle name="Normal 11 17" xfId="7065" xr:uid="{6E17B53B-C826-42B6-B048-C8F902DFB5A5}"/>
    <cellStyle name="Normal 11 17 10" xfId="7066" xr:uid="{FAE1742A-F104-4215-8687-46C5FDBABC4C}"/>
    <cellStyle name="Normal 11 17 11" xfId="7067" xr:uid="{82CBC05C-81D1-4796-B18E-D08C33D54FFF}"/>
    <cellStyle name="Normal 11 17 12" xfId="7068" xr:uid="{4CD47653-3D77-49E7-A1B5-1A2C8B1E4A07}"/>
    <cellStyle name="Normal 11 17 13" xfId="7069" xr:uid="{159D1060-DC46-4DCD-B1D3-4797FABF4F9F}"/>
    <cellStyle name="Normal 11 17 14" xfId="7070" xr:uid="{A65E3E79-702D-461C-8136-F0B22B726C17}"/>
    <cellStyle name="Normal 11 17 15" xfId="7071" xr:uid="{116D5F3C-C92B-491C-9280-4249773F39AC}"/>
    <cellStyle name="Normal 11 17 16" xfId="7072" xr:uid="{CA1613C0-0BAB-44DA-9002-9D7DE90F8D45}"/>
    <cellStyle name="Normal 11 17 17" xfId="7073" xr:uid="{F85E9DC9-6273-4072-915A-E4E9F0833808}"/>
    <cellStyle name="Normal 11 17 18" xfId="7074" xr:uid="{FA750587-9C00-42F4-BBB4-F0EC7FC7BC15}"/>
    <cellStyle name="Normal 11 17 19" xfId="7075" xr:uid="{18FCD417-4010-4B93-9D55-446BA90D794C}"/>
    <cellStyle name="Normal 11 17 2" xfId="7076" xr:uid="{0190341D-C877-4C3E-802E-B549AD5A9BD2}"/>
    <cellStyle name="Normal 11 17 2 2" xfId="7077" xr:uid="{AE5CA847-37AB-4210-81F1-1011CC3CA6CA}"/>
    <cellStyle name="Normal 11 17 2 3" xfId="7078" xr:uid="{989450EA-E881-4250-BDA6-21692517569E}"/>
    <cellStyle name="Normal 11 17 2 4" xfId="7079" xr:uid="{391354DB-484A-4C49-BD28-292533E688BA}"/>
    <cellStyle name="Normal 11 17 20" xfId="7080" xr:uid="{95756119-6F06-4EB3-BD85-83A766569304}"/>
    <cellStyle name="Normal 11 17 21" xfId="7081" xr:uid="{F5833CDE-1339-464D-A23B-05EA92B80BDC}"/>
    <cellStyle name="Normal 11 17 22" xfId="7082" xr:uid="{B1F7C8B9-57A4-45CE-B772-5DE48DFC023C}"/>
    <cellStyle name="Normal 11 17 23" xfId="7083" xr:uid="{1E01069E-0966-4F14-BAF8-E7FE3337C32B}"/>
    <cellStyle name="Normal 11 17 24" xfId="7084" xr:uid="{B9180F33-35DC-40DB-BBAF-690FCCCF878F}"/>
    <cellStyle name="Normal 11 17 25" xfId="7085" xr:uid="{B5A88059-4662-441C-83AA-D26BDB337A33}"/>
    <cellStyle name="Normal 11 17 26" xfId="7086" xr:uid="{CBEACE65-6510-4988-A3C4-77C6CD3BD7D6}"/>
    <cellStyle name="Normal 11 17 27" xfId="7087" xr:uid="{A4586A7A-7F6B-4DE7-B6BC-DE5BA9A135D5}"/>
    <cellStyle name="Normal 11 17 28" xfId="7088" xr:uid="{3EB21D0B-4560-47E4-8257-7C6DC6A4D732}"/>
    <cellStyle name="Normal 11 17 29" xfId="7089" xr:uid="{0AAB2808-DFFF-427B-9274-F41A7B863543}"/>
    <cellStyle name="Normal 11 17 3" xfId="7090" xr:uid="{7FDCAEA0-8207-4ADD-8655-6CE78865A4F4}"/>
    <cellStyle name="Normal 11 17 3 2" xfId="7091" xr:uid="{C32700FE-B370-44D4-BD6C-26BB39F61BA1}"/>
    <cellStyle name="Normal 11 17 3 3" xfId="7092" xr:uid="{800DD87C-4628-4619-882C-682A8EDB38EA}"/>
    <cellStyle name="Normal 11 17 3 4" xfId="7093" xr:uid="{EE150DE2-1F74-4D62-87C2-2200AA942833}"/>
    <cellStyle name="Normal 11 17 30" xfId="7094" xr:uid="{D0284EB6-A44F-4C93-8B6B-6EAEF068185C}"/>
    <cellStyle name="Normal 11 17 31" xfId="7095" xr:uid="{6B720670-6DFD-49D3-8E67-00E22F84D719}"/>
    <cellStyle name="Normal 11 17 32" xfId="7096" xr:uid="{DA2469A2-1E4F-4B61-B02C-6D94E6501B8D}"/>
    <cellStyle name="Normal 11 17 33" xfId="7097" xr:uid="{C6A08CE8-1572-4D57-B39B-CBF8027BA13C}"/>
    <cellStyle name="Normal 11 17 34" xfId="7098" xr:uid="{CC23C81F-B57A-4FA1-9574-AC5D41DD14A4}"/>
    <cellStyle name="Normal 11 17 35" xfId="7099" xr:uid="{1C94287C-41C9-4BC9-95E4-89E71DC1BF9D}"/>
    <cellStyle name="Normal 11 17 36" xfId="7100" xr:uid="{22D0EA42-B9F3-46A8-B9DA-D7567B87DDCB}"/>
    <cellStyle name="Normal 11 17 37" xfId="7101" xr:uid="{4F04C2FF-5BFC-444B-88CE-2132D9FD9A80}"/>
    <cellStyle name="Normal 11 17 38" xfId="7102" xr:uid="{A4F7926C-408D-404B-9229-7534A9771730}"/>
    <cellStyle name="Normal 11 17 39" xfId="7103" xr:uid="{58476CE9-5B09-4AEA-BC12-313E99E08349}"/>
    <cellStyle name="Normal 11 17 4" xfId="7104" xr:uid="{CE6A67AC-6D5D-4458-8AEA-A369C95C77DB}"/>
    <cellStyle name="Normal 11 17 40" xfId="7105" xr:uid="{7F933465-50A4-43E5-B6D6-15F05A480D16}"/>
    <cellStyle name="Normal 11 17 41" xfId="7106" xr:uid="{44C3CCF1-371F-4F02-887A-60E78A228820}"/>
    <cellStyle name="Normal 11 17 42" xfId="7107" xr:uid="{52CACBF4-F175-463F-89A0-2771D355DC9C}"/>
    <cellStyle name="Normal 11 17 43" xfId="7108" xr:uid="{16408D83-705D-4FC2-8483-9A0E3AF8D2AA}"/>
    <cellStyle name="Normal 11 17 44" xfId="7109" xr:uid="{0404E874-04A2-4C3B-BF63-6612C73A668F}"/>
    <cellStyle name="Normal 11 17 45" xfId="7110" xr:uid="{7464B5D3-3C1D-46F3-92D1-5721B82D97F2}"/>
    <cellStyle name="Normal 11 17 5" xfId="7111" xr:uid="{AB83FEBC-709A-44B9-BF48-A315ABA5C0BA}"/>
    <cellStyle name="Normal 11 17 6" xfId="7112" xr:uid="{9DC52FBB-CA5E-408F-86D0-8BE8B533C8F4}"/>
    <cellStyle name="Normal 11 17 7" xfId="7113" xr:uid="{523DF0D2-48C2-41D1-BA4F-B2A25C9A84FE}"/>
    <cellStyle name="Normal 11 17 8" xfId="7114" xr:uid="{42D0A71F-81C6-40D4-BB91-49BBBD5DF51C}"/>
    <cellStyle name="Normal 11 17 9" xfId="7115" xr:uid="{1FC54E9E-95C1-4582-861E-9676970CD68C}"/>
    <cellStyle name="Normal 11 18" xfId="7116" xr:uid="{2D4AF1F4-6954-43BE-9ED6-E8F309D9389A}"/>
    <cellStyle name="Normal 11 18 10" xfId="7117" xr:uid="{29003C8D-3D9E-47A0-9715-018FD13F9D4E}"/>
    <cellStyle name="Normal 11 18 11" xfId="7118" xr:uid="{D6F087AF-B6AC-4C15-9BD1-F7933824BA45}"/>
    <cellStyle name="Normal 11 18 12" xfId="7119" xr:uid="{443D3708-C98F-4983-A402-17581BCD5D1E}"/>
    <cellStyle name="Normal 11 18 13" xfId="7120" xr:uid="{EE6AC363-E299-45B6-A7C7-4250AF10E64F}"/>
    <cellStyle name="Normal 11 18 14" xfId="7121" xr:uid="{4C3A8C86-34C3-495F-8F41-7627121F0E23}"/>
    <cellStyle name="Normal 11 18 15" xfId="7122" xr:uid="{5CFE7973-4FD0-48B6-9680-3987FF6531CB}"/>
    <cellStyle name="Normal 11 18 16" xfId="7123" xr:uid="{2CBAEB4D-3439-494D-A237-1BC2701277D9}"/>
    <cellStyle name="Normal 11 18 17" xfId="7124" xr:uid="{A3474434-8988-44D3-BFCC-0E818B75B53F}"/>
    <cellStyle name="Normal 11 18 18" xfId="7125" xr:uid="{BEE93A9D-BAE8-49D9-B9DB-EA9321318AAB}"/>
    <cellStyle name="Normal 11 18 19" xfId="7126" xr:uid="{6EEC260F-077C-4516-9BCA-4242AFE2B58F}"/>
    <cellStyle name="Normal 11 18 2" xfId="7127" xr:uid="{39282F65-5D39-4A35-BB55-BA551AF2D310}"/>
    <cellStyle name="Normal 11 18 2 2" xfId="7128" xr:uid="{E3E7D2C3-B256-4141-B0AD-A4D17A890883}"/>
    <cellStyle name="Normal 11 18 2 3" xfId="7129" xr:uid="{C8A5360E-E98C-41B8-9A47-8A0364348F0B}"/>
    <cellStyle name="Normal 11 18 2 4" xfId="7130" xr:uid="{DE5BD05D-9788-4A02-A0D5-EA68D496B146}"/>
    <cellStyle name="Normal 11 18 20" xfId="7131" xr:uid="{8D89DC71-5C81-4298-A88F-D8AD0FBC62B7}"/>
    <cellStyle name="Normal 11 18 21" xfId="7132" xr:uid="{D35EC28C-3FB1-45C8-AA46-4FA9349EEB57}"/>
    <cellStyle name="Normal 11 18 22" xfId="7133" xr:uid="{C2D74C56-74CA-4F0B-B177-5738E57BE4E4}"/>
    <cellStyle name="Normal 11 18 23" xfId="7134" xr:uid="{3522CA7D-6D81-40AB-BAFC-4DC8C9746C59}"/>
    <cellStyle name="Normal 11 18 24" xfId="7135" xr:uid="{BA72AF5D-615D-4010-A81B-81243A17B7A7}"/>
    <cellStyle name="Normal 11 18 25" xfId="7136" xr:uid="{F37F1A06-F0BA-4472-8C58-11CB4EA426E4}"/>
    <cellStyle name="Normal 11 18 26" xfId="7137" xr:uid="{263EBACB-635A-4A78-877C-A58675694118}"/>
    <cellStyle name="Normal 11 18 27" xfId="7138" xr:uid="{677B3053-0DBE-4D4E-BF7C-FE694DD34828}"/>
    <cellStyle name="Normal 11 18 28" xfId="7139" xr:uid="{CD28BC5E-5FAE-439E-8B4C-1B710961EB4F}"/>
    <cellStyle name="Normal 11 18 29" xfId="7140" xr:uid="{F5377FDA-F8B1-4705-96A6-A343A702E622}"/>
    <cellStyle name="Normal 11 18 3" xfId="7141" xr:uid="{8C2FC038-6A06-45BD-A46B-8CDBC845917B}"/>
    <cellStyle name="Normal 11 18 3 2" xfId="7142" xr:uid="{C8246E98-C36E-433B-8596-60F5337F9C30}"/>
    <cellStyle name="Normal 11 18 3 3" xfId="7143" xr:uid="{6366B2D0-FEA0-4CA3-9CAF-FB19CF2CB7A3}"/>
    <cellStyle name="Normal 11 18 3 4" xfId="7144" xr:uid="{844D7D66-AE72-4CBF-8566-B763294E2A87}"/>
    <cellStyle name="Normal 11 18 30" xfId="7145" xr:uid="{52770537-AFA9-4DE5-97E2-141118E955AD}"/>
    <cellStyle name="Normal 11 18 31" xfId="7146" xr:uid="{2AD4877D-7D3E-43D8-ADA5-DEC6050C4923}"/>
    <cellStyle name="Normal 11 18 32" xfId="7147" xr:uid="{7B425041-1A8E-4654-B205-64590102645C}"/>
    <cellStyle name="Normal 11 18 33" xfId="7148" xr:uid="{40BAA810-3F8B-429E-9DB0-BDB93BEE5B7C}"/>
    <cellStyle name="Normal 11 18 34" xfId="7149" xr:uid="{10A0A5FD-7B5E-4583-A7FE-BA8074BC2526}"/>
    <cellStyle name="Normal 11 18 35" xfId="7150" xr:uid="{701E2495-A3A0-4538-9451-7ABF909BA950}"/>
    <cellStyle name="Normal 11 18 36" xfId="7151" xr:uid="{12845509-705F-4EA2-AC27-4C45D59570EB}"/>
    <cellStyle name="Normal 11 18 37" xfId="7152" xr:uid="{1D3EFDBF-0F16-4CA2-A7E9-C6D91FE4DF72}"/>
    <cellStyle name="Normal 11 18 38" xfId="7153" xr:uid="{C1D831D0-4EA5-46D2-B444-6813E308A1D4}"/>
    <cellStyle name="Normal 11 18 39" xfId="7154" xr:uid="{716966AD-6C85-4757-96A2-CE280CF902DC}"/>
    <cellStyle name="Normal 11 18 4" xfId="7155" xr:uid="{4716CF7B-DDD3-4266-959E-56008778F8EF}"/>
    <cellStyle name="Normal 11 18 40" xfId="7156" xr:uid="{65F1B6A4-FCD4-4C65-9547-E93578C23C03}"/>
    <cellStyle name="Normal 11 18 41" xfId="7157" xr:uid="{C924F86F-0F6D-40AE-9835-96870CFA468F}"/>
    <cellStyle name="Normal 11 18 42" xfId="7158" xr:uid="{ED09D878-6B09-4E1C-A832-0E0FFC05432B}"/>
    <cellStyle name="Normal 11 18 43" xfId="7159" xr:uid="{F361AF0B-CF2F-49DD-8C75-C81A393A8756}"/>
    <cellStyle name="Normal 11 18 44" xfId="7160" xr:uid="{C229C73C-1F57-468E-BDA7-C3507997C621}"/>
    <cellStyle name="Normal 11 18 45" xfId="7161" xr:uid="{ECC828C9-2F6A-407B-99FD-3E79E1967E28}"/>
    <cellStyle name="Normal 11 18 5" xfId="7162" xr:uid="{B84852E4-D288-42AA-BC83-962757EB3EE9}"/>
    <cellStyle name="Normal 11 18 6" xfId="7163" xr:uid="{961BB783-5B95-46EE-A4F0-EB81F69F19FF}"/>
    <cellStyle name="Normal 11 18 7" xfId="7164" xr:uid="{A3DA9CDE-9F20-4899-990C-B9A599E5662E}"/>
    <cellStyle name="Normal 11 18 8" xfId="7165" xr:uid="{94CCB36F-E07F-4F31-9CE9-467D70B39FEE}"/>
    <cellStyle name="Normal 11 18 9" xfId="7166" xr:uid="{ECE4E2B8-F314-48D8-8D39-61F6209DF8A5}"/>
    <cellStyle name="Normal 11 19" xfId="7167" xr:uid="{FA3974E9-9E35-4B7B-9D27-0D36D9EC93F0}"/>
    <cellStyle name="Normal 11 19 10" xfId="7168" xr:uid="{30B8F352-A13F-472A-A413-C9F9880CF27F}"/>
    <cellStyle name="Normal 11 19 11" xfId="7169" xr:uid="{F9C10059-6DEE-4D79-B711-E042D4ACAD6E}"/>
    <cellStyle name="Normal 11 19 12" xfId="7170" xr:uid="{0A48391C-26A3-4E5C-A3FE-4D66AE392148}"/>
    <cellStyle name="Normal 11 19 13" xfId="7171" xr:uid="{9CAD7E52-FEA4-465E-B365-491A8BC84A0F}"/>
    <cellStyle name="Normal 11 19 14" xfId="7172" xr:uid="{5C54091F-0B89-4762-BD35-1F23F0A61C0B}"/>
    <cellStyle name="Normal 11 19 15" xfId="7173" xr:uid="{92FE77FB-7EF7-4509-ADA2-8D1A0B438298}"/>
    <cellStyle name="Normal 11 19 16" xfId="7174" xr:uid="{760FBA61-EDE3-4607-9B21-91947A352B68}"/>
    <cellStyle name="Normal 11 19 17" xfId="7175" xr:uid="{B80542C8-5DB6-4296-98F1-5DB0AF1C455D}"/>
    <cellStyle name="Normal 11 19 18" xfId="7176" xr:uid="{0037B3EE-04FF-4C7B-A333-18D3D193A5E0}"/>
    <cellStyle name="Normal 11 19 19" xfId="7177" xr:uid="{E9837BB4-58A7-4DDC-A4C9-3164B7DEBCFC}"/>
    <cellStyle name="Normal 11 19 2" xfId="7178" xr:uid="{F46A2E26-AFE4-46A8-8451-98614BE50CCA}"/>
    <cellStyle name="Normal 11 19 2 2" xfId="7179" xr:uid="{1582DA04-2553-4F7F-814C-6D969BC468A7}"/>
    <cellStyle name="Normal 11 19 2 3" xfId="7180" xr:uid="{6A82AFA2-5E49-49DE-BEA6-739646B3A00B}"/>
    <cellStyle name="Normal 11 19 2 4" xfId="7181" xr:uid="{2EBCBAAE-D5E0-488B-8320-71E428584EF5}"/>
    <cellStyle name="Normal 11 19 20" xfId="7182" xr:uid="{F25B0025-5DE7-45D3-8796-8A4369A832C8}"/>
    <cellStyle name="Normal 11 19 21" xfId="7183" xr:uid="{E7CAD0C2-1DD9-44E2-B119-DD3571BFE50E}"/>
    <cellStyle name="Normal 11 19 22" xfId="7184" xr:uid="{8D8C9B5F-C3A9-41D1-B694-A6D07D8A1C83}"/>
    <cellStyle name="Normal 11 19 23" xfId="7185" xr:uid="{FB836967-6AB5-42BB-A773-786E8E9E2ADD}"/>
    <cellStyle name="Normal 11 19 24" xfId="7186" xr:uid="{470C9304-F43F-4405-A079-BD6F9DF50274}"/>
    <cellStyle name="Normal 11 19 25" xfId="7187" xr:uid="{12E62AE0-66A6-40F4-A11E-7B945134C134}"/>
    <cellStyle name="Normal 11 19 26" xfId="7188" xr:uid="{16A77932-D7DB-4FA5-BAFE-9F2C79EA2DFF}"/>
    <cellStyle name="Normal 11 19 27" xfId="7189" xr:uid="{B53E9AC9-0074-43BE-A3BE-9304177D1FB6}"/>
    <cellStyle name="Normal 11 19 28" xfId="7190" xr:uid="{4D868856-B3D0-4E95-9885-44C3CA8AD7D4}"/>
    <cellStyle name="Normal 11 19 29" xfId="7191" xr:uid="{F2E02531-1ED3-447F-9C82-35E399006C27}"/>
    <cellStyle name="Normal 11 19 3" xfId="7192" xr:uid="{9F4A20F5-AA8A-478C-BE2E-4AB6A873516B}"/>
    <cellStyle name="Normal 11 19 3 2" xfId="7193" xr:uid="{250878A9-A4E8-4F5D-8167-522FEC5FFBF2}"/>
    <cellStyle name="Normal 11 19 3 3" xfId="7194" xr:uid="{837D44C8-21B2-4184-8B03-805CCB1E00D0}"/>
    <cellStyle name="Normal 11 19 3 4" xfId="7195" xr:uid="{515BCB8A-E71A-43B2-AB4B-282C49F83247}"/>
    <cellStyle name="Normal 11 19 30" xfId="7196" xr:uid="{8488EA96-A47A-4B4B-AC34-BCD65A60CF54}"/>
    <cellStyle name="Normal 11 19 31" xfId="7197" xr:uid="{90DDFD2B-330F-40AB-AD94-E6B47964E3AE}"/>
    <cellStyle name="Normal 11 19 32" xfId="7198" xr:uid="{E7265379-54F6-4D8E-A2CB-A2399AAAD5A7}"/>
    <cellStyle name="Normal 11 19 33" xfId="7199" xr:uid="{A3E15C4A-761B-4E41-A5D6-BAABBBBE27EA}"/>
    <cellStyle name="Normal 11 19 34" xfId="7200" xr:uid="{F03627B9-7314-4C2B-B997-08B9E1DA5D08}"/>
    <cellStyle name="Normal 11 19 35" xfId="7201" xr:uid="{109C49B9-A47A-4750-AC6F-D75EEDE444AD}"/>
    <cellStyle name="Normal 11 19 36" xfId="7202" xr:uid="{1341A2F2-63DD-4F98-93FD-C32A57977A48}"/>
    <cellStyle name="Normal 11 19 37" xfId="7203" xr:uid="{064A9DAA-6DD2-450D-AB76-BBB5688945F2}"/>
    <cellStyle name="Normal 11 19 38" xfId="7204" xr:uid="{5E6761C8-8B53-4A27-B91B-B0D9D57CD1A0}"/>
    <cellStyle name="Normal 11 19 39" xfId="7205" xr:uid="{A810A2D4-E6DA-4D6E-A68B-164544A2343A}"/>
    <cellStyle name="Normal 11 19 4" xfId="7206" xr:uid="{58E82AED-9855-4A0F-8B04-8A866ED32A01}"/>
    <cellStyle name="Normal 11 19 40" xfId="7207" xr:uid="{6A3F16DC-4B35-4DA0-9255-3CFAFFB81E3A}"/>
    <cellStyle name="Normal 11 19 41" xfId="7208" xr:uid="{A1852143-B911-4EC8-B1CB-080ADD31E81C}"/>
    <cellStyle name="Normal 11 19 42" xfId="7209" xr:uid="{A16D0DFD-99E7-4A4D-83DD-EF2D3DA5BFDE}"/>
    <cellStyle name="Normal 11 19 43" xfId="7210" xr:uid="{9573AA92-AB2E-4BE7-BB33-83A288C2B09B}"/>
    <cellStyle name="Normal 11 19 44" xfId="7211" xr:uid="{192B70CF-8EC8-49AA-B7D1-BEDC5CFF7726}"/>
    <cellStyle name="Normal 11 19 45" xfId="7212" xr:uid="{6566FD5D-D55F-4E62-BA0E-8272B90D29BA}"/>
    <cellStyle name="Normal 11 19 5" xfId="7213" xr:uid="{876CC6B7-52F8-45D2-826E-4D2A36049496}"/>
    <cellStyle name="Normal 11 19 6" xfId="7214" xr:uid="{31AB6E2C-7A44-41F0-95E0-9597CBA5DCEE}"/>
    <cellStyle name="Normal 11 19 7" xfId="7215" xr:uid="{2C6B9B69-A4B0-4A8B-ABFE-07F9233A48F0}"/>
    <cellStyle name="Normal 11 19 8" xfId="7216" xr:uid="{95272A39-946F-44B1-BE8B-46BCBE2722A3}"/>
    <cellStyle name="Normal 11 19 9" xfId="7217" xr:uid="{7F660282-A811-42D2-A5E5-F453115AF095}"/>
    <cellStyle name="Normal 11 2" xfId="7218" xr:uid="{31D634EC-77D4-4452-B78B-E72BDEC55E9E}"/>
    <cellStyle name="Normal 11 2 10" xfId="7219" xr:uid="{9DD94C3D-B4CC-467D-A057-5272AD6C40BE}"/>
    <cellStyle name="Normal 11 2 10 2" xfId="7220" xr:uid="{B908FC80-023B-4613-9F66-AA8DA6BE3A5C}"/>
    <cellStyle name="Normal 11 2 10 2 2" xfId="7221" xr:uid="{D72D2FA2-E989-4FFD-B171-398C031D6DAD}"/>
    <cellStyle name="Normal 11 2 10 2 3" xfId="7222" xr:uid="{67D3DCA2-D00A-49A2-B85F-9A35F42A945E}"/>
    <cellStyle name="Normal 11 2 10 2 4" xfId="7223" xr:uid="{D915284C-B838-4665-BF5A-054862AC73BA}"/>
    <cellStyle name="Normal 11 2 10 3" xfId="7224" xr:uid="{209CFDC3-4EA1-4FEA-88A8-7D1079AAD2A5}"/>
    <cellStyle name="Normal 11 2 10 3 2" xfId="7225" xr:uid="{8458EC51-1BBD-4F48-9FA4-39E6398A04E9}"/>
    <cellStyle name="Normal 11 2 10 3 3" xfId="7226" xr:uid="{3C46B407-48E7-4264-8EF6-00153C3B5961}"/>
    <cellStyle name="Normal 11 2 10 3 4" xfId="7227" xr:uid="{F77D3153-634C-416B-A9AA-B3E08FC72D5C}"/>
    <cellStyle name="Normal 11 2 10 4" xfId="7228" xr:uid="{D4CE3CF1-6070-4DBF-B844-439287508CD4}"/>
    <cellStyle name="Normal 11 2 10 5" xfId="7229" xr:uid="{A3120368-8143-4E6A-8C9C-83E45355C6FA}"/>
    <cellStyle name="Normal 11 2 10 6" xfId="7230" xr:uid="{6A5E4DCE-903E-49E2-BE1D-CBCE09D40817}"/>
    <cellStyle name="Normal 11 2 11" xfId="7231" xr:uid="{CE7D3942-196B-42BA-9E82-9BF4B5BF9694}"/>
    <cellStyle name="Normal 11 2 11 2" xfId="7232" xr:uid="{5B1EC8C1-D2A1-44F4-B4F1-73A0B9790C4C}"/>
    <cellStyle name="Normal 11 2 11 2 2" xfId="7233" xr:uid="{149D98C8-64F9-4E4B-B14F-A8CBADF96B6C}"/>
    <cellStyle name="Normal 11 2 11 2 3" xfId="7234" xr:uid="{3A952CD4-66C3-435C-AE0C-36635F013B97}"/>
    <cellStyle name="Normal 11 2 11 2 4" xfId="7235" xr:uid="{7E44967F-BB9C-4410-AD54-189CF1A8DE9F}"/>
    <cellStyle name="Normal 11 2 11 3" xfId="7236" xr:uid="{D55B54FE-DF80-414F-9BC3-238F17A28ED6}"/>
    <cellStyle name="Normal 11 2 11 3 2" xfId="7237" xr:uid="{8EE26AC9-CEA6-42E8-ABFE-D5BDE2B72EDD}"/>
    <cellStyle name="Normal 11 2 11 3 3" xfId="7238" xr:uid="{CC16CFFE-D9CF-456C-8E85-77F2B0EA3240}"/>
    <cellStyle name="Normal 11 2 11 3 4" xfId="7239" xr:uid="{57C41A38-DE4E-4BAE-9D79-C41343602422}"/>
    <cellStyle name="Normal 11 2 11 4" xfId="7240" xr:uid="{ADB05B8C-2269-4339-8CDC-FEB85A8EF265}"/>
    <cellStyle name="Normal 11 2 11 5" xfId="7241" xr:uid="{8E30C7BD-F359-4859-9E8D-FD033A9F63B8}"/>
    <cellStyle name="Normal 11 2 11 6" xfId="7242" xr:uid="{A345D4A1-8C2E-4499-87A1-B442A64C9B75}"/>
    <cellStyle name="Normal 11 2 12" xfId="7243" xr:uid="{8D5144B4-60C8-4626-AC4C-B0F84D089A68}"/>
    <cellStyle name="Normal 11 2 12 2" xfId="7244" xr:uid="{CA99F9A9-88A4-4F9F-801E-278A84E2D39E}"/>
    <cellStyle name="Normal 11 2 12 2 2" xfId="7245" xr:uid="{F7D51976-FC2A-4078-8377-2A128F5936EB}"/>
    <cellStyle name="Normal 11 2 12 2 3" xfId="7246" xr:uid="{DF5360A8-F27D-4E2F-8D01-1735B5A719E8}"/>
    <cellStyle name="Normal 11 2 12 2 4" xfId="7247" xr:uid="{509CF28D-BE6A-4CA0-AFA2-11D08D1799DB}"/>
    <cellStyle name="Normal 11 2 12 3" xfId="7248" xr:uid="{F2FDF99A-AE3B-4AD5-BF11-0EC508985205}"/>
    <cellStyle name="Normal 11 2 12 3 2" xfId="7249" xr:uid="{DF466EFA-C78F-4B69-B25E-1423959737C2}"/>
    <cellStyle name="Normal 11 2 12 3 3" xfId="7250" xr:uid="{10BE915F-773C-48BD-A0EB-8993039C7130}"/>
    <cellStyle name="Normal 11 2 12 3 4" xfId="7251" xr:uid="{C5DD2936-1E88-4EFD-A180-2506361EAD42}"/>
    <cellStyle name="Normal 11 2 12 4" xfId="7252" xr:uid="{5FD05938-B70B-4755-89D0-85558C0CE239}"/>
    <cellStyle name="Normal 11 2 12 5" xfId="7253" xr:uid="{21EBC930-F459-4D6D-A257-22E726EFC852}"/>
    <cellStyle name="Normal 11 2 12 6" xfId="7254" xr:uid="{B78FD388-27AC-4147-A9DF-5273419EC052}"/>
    <cellStyle name="Normal 11 2 13" xfId="7255" xr:uid="{5905B9CF-B0A4-4017-8CD5-0C05D85E79B6}"/>
    <cellStyle name="Normal 11 2 13 2" xfId="7256" xr:uid="{8642E288-6BA3-4BC4-A517-DA85BCED192D}"/>
    <cellStyle name="Normal 11 2 13 2 2" xfId="7257" xr:uid="{AC36B59D-248F-42C4-B9C2-6986A51C7DDB}"/>
    <cellStyle name="Normal 11 2 13 2 3" xfId="7258" xr:uid="{CC9BCE2D-74A2-4E61-A970-CD28646EE91B}"/>
    <cellStyle name="Normal 11 2 13 2 4" xfId="7259" xr:uid="{650FBAC2-9E50-47A4-91A7-E302E631235E}"/>
    <cellStyle name="Normal 11 2 13 3" xfId="7260" xr:uid="{C8A888FE-8D0C-411C-A101-6CC8BE87C976}"/>
    <cellStyle name="Normal 11 2 13 3 2" xfId="7261" xr:uid="{6064CFF8-BC44-4A07-854E-AEFF8955CA94}"/>
    <cellStyle name="Normal 11 2 13 3 3" xfId="7262" xr:uid="{BAEA6430-0A54-4F4F-B3D2-2554C176D354}"/>
    <cellStyle name="Normal 11 2 13 3 4" xfId="7263" xr:uid="{50AFA029-A2DC-4551-81CE-D3CBC3719A11}"/>
    <cellStyle name="Normal 11 2 13 4" xfId="7264" xr:uid="{4638DB1B-60EC-406F-9F8D-1DA1842E7CC8}"/>
    <cellStyle name="Normal 11 2 13 5" xfId="7265" xr:uid="{6B188278-8636-451B-84F7-FAC626672A00}"/>
    <cellStyle name="Normal 11 2 13 6" xfId="7266" xr:uid="{097B6CD5-F72E-4B9C-9F18-28F66852C4F3}"/>
    <cellStyle name="Normal 11 2 14" xfId="7267" xr:uid="{BE67FED0-3F81-4860-9C9A-F50CC7B71764}"/>
    <cellStyle name="Normal 11 2 14 2" xfId="7268" xr:uid="{808528AB-95FA-4DFF-8642-1343E743C380}"/>
    <cellStyle name="Normal 11 2 14 2 2" xfId="7269" xr:uid="{359D84A2-B0BA-4881-8CC7-E963489E293F}"/>
    <cellStyle name="Normal 11 2 14 2 3" xfId="7270" xr:uid="{F6EA39C1-53EE-4925-98E8-8CB0E4E74EBB}"/>
    <cellStyle name="Normal 11 2 14 2 4" xfId="7271" xr:uid="{6983961F-BF80-47E3-8A29-181DAF28B0C9}"/>
    <cellStyle name="Normal 11 2 14 3" xfId="7272" xr:uid="{8B92B569-4DE8-4471-8376-D394DA837A23}"/>
    <cellStyle name="Normal 11 2 14 3 2" xfId="7273" xr:uid="{4AC4CC70-378E-4609-9388-865A6E81EE36}"/>
    <cellStyle name="Normal 11 2 14 3 3" xfId="7274" xr:uid="{847810CC-476B-4AA9-B288-8C31B6580927}"/>
    <cellStyle name="Normal 11 2 14 3 4" xfId="7275" xr:uid="{E0FFDEC7-1224-43C2-9A66-D4BD12E8D151}"/>
    <cellStyle name="Normal 11 2 14 4" xfId="7276" xr:uid="{1ABEB335-4C67-4385-95B4-469AADFFD378}"/>
    <cellStyle name="Normal 11 2 14 5" xfId="7277" xr:uid="{6F807849-6CAF-4519-A577-86A9A4D69730}"/>
    <cellStyle name="Normal 11 2 14 6" xfId="7278" xr:uid="{04CC3340-5F65-44D5-8040-FF6D860F7F45}"/>
    <cellStyle name="Normal 11 2 15" xfId="7279" xr:uid="{B992AD08-69F6-4918-8B20-0F140689FC89}"/>
    <cellStyle name="Normal 11 2 15 2" xfId="7280" xr:uid="{C2AC5526-0F0F-4EE7-849D-DA8773D24244}"/>
    <cellStyle name="Normal 11 2 15 2 2" xfId="7281" xr:uid="{2B4E1CEA-E6A1-454B-9474-A1FAA252FD2D}"/>
    <cellStyle name="Normal 11 2 15 2 3" xfId="7282" xr:uid="{C8150366-D3DE-4102-BA60-BCA23BE58ACB}"/>
    <cellStyle name="Normal 11 2 15 2 4" xfId="7283" xr:uid="{8512F70A-BCB3-4F1E-B082-5D1D3ACDABFF}"/>
    <cellStyle name="Normal 11 2 15 3" xfId="7284" xr:uid="{C2AFEF91-1DB1-4628-8333-C506B7AED82A}"/>
    <cellStyle name="Normal 11 2 15 3 2" xfId="7285" xr:uid="{845683E8-9490-4CCC-A0B4-16AC2A26B054}"/>
    <cellStyle name="Normal 11 2 15 3 3" xfId="7286" xr:uid="{64429791-D811-448A-9874-83908E2E4E1F}"/>
    <cellStyle name="Normal 11 2 15 3 4" xfId="7287" xr:uid="{8AF6C9F8-C1AE-4818-89E3-AD6BCAAA4F50}"/>
    <cellStyle name="Normal 11 2 15 4" xfId="7288" xr:uid="{299007E8-DF6B-4DC2-BD34-F07634823EB0}"/>
    <cellStyle name="Normal 11 2 15 5" xfId="7289" xr:uid="{8FF4EEF7-CBEA-410F-9B4E-0904B8B9F3D1}"/>
    <cellStyle name="Normal 11 2 15 6" xfId="7290" xr:uid="{DD582D70-BCAA-49D5-8620-E20E8F674BF7}"/>
    <cellStyle name="Normal 11 2 16" xfId="7291" xr:uid="{A983E104-2D3E-4350-AA47-EDEBDA75E7E8}"/>
    <cellStyle name="Normal 11 2 16 2" xfId="7292" xr:uid="{4768F0D2-06FF-4471-8C7C-C975D747D218}"/>
    <cellStyle name="Normal 11 2 16 2 2" xfId="7293" xr:uid="{D8077027-8143-43E1-9F3B-4AAA3E44723E}"/>
    <cellStyle name="Normal 11 2 16 2 3" xfId="7294" xr:uid="{3E6A097D-7D04-4497-AB01-A1DB7FDCA303}"/>
    <cellStyle name="Normal 11 2 16 2 4" xfId="7295" xr:uid="{342955DC-B9EE-4C92-B0B2-DDFB0C448C8E}"/>
    <cellStyle name="Normal 11 2 16 3" xfId="7296" xr:uid="{5B862501-D181-4EA6-92F0-3827D1E03C77}"/>
    <cellStyle name="Normal 11 2 16 3 2" xfId="7297" xr:uid="{95CEAE24-6965-44B0-B110-A7592D7EC503}"/>
    <cellStyle name="Normal 11 2 16 3 3" xfId="7298" xr:uid="{0DCE7C50-509C-4918-B3FB-B22D30432D7A}"/>
    <cellStyle name="Normal 11 2 16 3 4" xfId="7299" xr:uid="{BEF6C0A2-3871-4814-8569-1DD1F4016F00}"/>
    <cellStyle name="Normal 11 2 16 4" xfId="7300" xr:uid="{C6B319BD-5168-4B94-B2A0-33A8B15A749A}"/>
    <cellStyle name="Normal 11 2 16 5" xfId="7301" xr:uid="{E1A2A56D-451B-4292-A1F2-CDA04FEEC0F0}"/>
    <cellStyle name="Normal 11 2 16 6" xfId="7302" xr:uid="{D5A27306-18BB-4CC4-AF08-BDD91687631D}"/>
    <cellStyle name="Normal 11 2 17" xfId="7303" xr:uid="{F8B2582E-058B-42D6-ABF2-A7B69A9758EF}"/>
    <cellStyle name="Normal 11 2 17 2" xfId="7304" xr:uid="{69197595-7C86-433B-B1CC-4986C2AC494A}"/>
    <cellStyle name="Normal 11 2 17 2 2" xfId="7305" xr:uid="{E1635911-EC9F-40F5-93D5-AC8C75CE0EA7}"/>
    <cellStyle name="Normal 11 2 17 2 3" xfId="7306" xr:uid="{8D5E5D66-2B02-4D99-A8C3-C07D6C23C416}"/>
    <cellStyle name="Normal 11 2 17 2 4" xfId="7307" xr:uid="{D2B43109-C4FB-4584-AFEC-308F321C8B13}"/>
    <cellStyle name="Normal 11 2 17 3" xfId="7308" xr:uid="{04D8AC7C-C1A3-41C0-BDE0-EA5EBF677355}"/>
    <cellStyle name="Normal 11 2 17 3 2" xfId="7309" xr:uid="{0D83DCD0-F5D4-49B2-A0F3-4960B95CA1D4}"/>
    <cellStyle name="Normal 11 2 17 3 3" xfId="7310" xr:uid="{63F091B8-02E7-489A-8FDC-21E75818AC3C}"/>
    <cellStyle name="Normal 11 2 17 3 4" xfId="7311" xr:uid="{97812DF5-2CD4-4C24-9FA3-D4BF816A5B1D}"/>
    <cellStyle name="Normal 11 2 17 4" xfId="7312" xr:uid="{33EFD562-DE4B-4332-8048-D09BE46CDB72}"/>
    <cellStyle name="Normal 11 2 17 5" xfId="7313" xr:uid="{B385A65A-AB68-4A6B-ACCF-4E1866058BFC}"/>
    <cellStyle name="Normal 11 2 17 6" xfId="7314" xr:uid="{75D5C0EA-3AAA-4E1E-BE18-E1FE525FC1A8}"/>
    <cellStyle name="Normal 11 2 18" xfId="7315" xr:uid="{6B772992-9320-42D4-952B-3252E7E219C0}"/>
    <cellStyle name="Normal 11 2 18 2" xfId="7316" xr:uid="{C65621BA-E114-46AC-AE31-3C89655E7C68}"/>
    <cellStyle name="Normal 11 2 18 3" xfId="7317" xr:uid="{BD6B9928-40FE-46DA-9FC7-EEB6B7CC6906}"/>
    <cellStyle name="Normal 11 2 18 4" xfId="7318" xr:uid="{B3C45CD9-B052-494D-9FC7-5E12A3F24F23}"/>
    <cellStyle name="Normal 11 2 19" xfId="7319" xr:uid="{268D53DA-B391-43D8-9926-857C904E29B9}"/>
    <cellStyle name="Normal 11 2 19 2" xfId="7320" xr:uid="{74C6BBC1-8EDB-4CBA-99EC-3BE696C638CE}"/>
    <cellStyle name="Normal 11 2 19 3" xfId="7321" xr:uid="{62F3A367-3754-4AEA-B8B5-BE1B7C2814C0}"/>
    <cellStyle name="Normal 11 2 19 4" xfId="7322" xr:uid="{7306A617-9F97-4458-8655-15986BD63E97}"/>
    <cellStyle name="Normal 11 2 2" xfId="7323" xr:uid="{F5A330BE-D5D0-49E1-87F4-55E0CBDFA5A2}"/>
    <cellStyle name="Normal 11 2 2 2" xfId="7324" xr:uid="{4B103E1A-F94B-4DA0-B6FD-F1292C30685A}"/>
    <cellStyle name="Normal 11 2 2 2 2" xfId="7325" xr:uid="{44D10BB2-3A2A-4EC7-AE27-024D64C89EB4}"/>
    <cellStyle name="Normal 11 2 2 2 3" xfId="7326" xr:uid="{5BBE667A-859D-44F5-9969-4190E53C09F8}"/>
    <cellStyle name="Normal 11 2 2 2 4" xfId="7327" xr:uid="{9D4D0B81-027F-4748-B1B1-2E9BA0C04B50}"/>
    <cellStyle name="Normal 11 2 2 3" xfId="7328" xr:uid="{BE576999-B95F-4B02-A357-15546F16B334}"/>
    <cellStyle name="Normal 11 2 2 3 2" xfId="7329" xr:uid="{CCED7394-90F5-4814-A1CC-162E0169A29F}"/>
    <cellStyle name="Normal 11 2 2 3 3" xfId="7330" xr:uid="{38FA53EB-3816-4344-9A44-0A40EB0CE4CB}"/>
    <cellStyle name="Normal 11 2 2 3 4" xfId="7331" xr:uid="{40235495-7364-4727-A7D8-9E2E05772213}"/>
    <cellStyle name="Normal 11 2 2 4" xfId="7332" xr:uid="{30EB629F-BE05-4DB4-B5CB-9FA33893B561}"/>
    <cellStyle name="Normal 11 2 2 5" xfId="7333" xr:uid="{551F12AA-8014-4B98-AE18-5D455C708F75}"/>
    <cellStyle name="Normal 11 2 2 6" xfId="7334" xr:uid="{C465D100-9079-4FAE-ACB0-EDF608CE018A}"/>
    <cellStyle name="Normal 11 2 20" xfId="7335" xr:uid="{F387E458-C67E-4D5E-86FC-4A02F6BCD25A}"/>
    <cellStyle name="Normal 11 2 20 2" xfId="7336" xr:uid="{A981748A-8F11-43AE-8D3E-1173103A3965}"/>
    <cellStyle name="Normal 11 2 20 3" xfId="7337" xr:uid="{FBE68AF9-ED7D-4876-98A0-09AD0D44567C}"/>
    <cellStyle name="Normal 11 2 20 4" xfId="7338" xr:uid="{DC271F0A-25E4-48D1-9925-0F9E3442B573}"/>
    <cellStyle name="Normal 11 2 21" xfId="7339" xr:uid="{8114BBC0-B3E2-4725-BF52-09CA7E03B5B9}"/>
    <cellStyle name="Normal 11 2 22" xfId="7340" xr:uid="{92225999-C9E6-4F4E-9AB7-F801E9760FB2}"/>
    <cellStyle name="Normal 11 2 23" xfId="7341" xr:uid="{40634A64-0528-4548-B068-52952CCB2B0C}"/>
    <cellStyle name="Normal 11 2 24" xfId="7342" xr:uid="{511B7667-D6C9-4272-BD95-FDF9CEBE70AE}"/>
    <cellStyle name="Normal 11 2 25" xfId="7343" xr:uid="{6B1F29C6-C9A2-410F-9E8B-6738EBC3F0E3}"/>
    <cellStyle name="Normal 11 2 26" xfId="7344" xr:uid="{6CB69CF9-7F64-4674-BA95-71EA32160DB9}"/>
    <cellStyle name="Normal 11 2 27" xfId="7345" xr:uid="{D1F8ECD2-E4B2-491C-85D9-9466CC136AB3}"/>
    <cellStyle name="Normal 11 2 28" xfId="7346" xr:uid="{416203D4-ACF6-44ED-A61F-7A7E02D3A589}"/>
    <cellStyle name="Normal 11 2 29" xfId="7347" xr:uid="{B3ED2AC1-0855-404C-AA93-DD250CDD565E}"/>
    <cellStyle name="Normal 11 2 3" xfId="7348" xr:uid="{802F0C91-25E8-42A4-A486-AFFDC97FB9BB}"/>
    <cellStyle name="Normal 11 2 3 2" xfId="7349" xr:uid="{791CC3C6-141F-4DF1-989B-5E425D09A90E}"/>
    <cellStyle name="Normal 11 2 3 2 2" xfId="7350" xr:uid="{89DEDC48-F368-498F-AB46-793BCF0A15D6}"/>
    <cellStyle name="Normal 11 2 3 2 3" xfId="7351" xr:uid="{8540A216-9F19-4916-9508-F1322D4D9AF4}"/>
    <cellStyle name="Normal 11 2 3 2 4" xfId="7352" xr:uid="{2A95BF12-7826-40A5-B6D9-7D49A7B30EA7}"/>
    <cellStyle name="Normal 11 2 3 3" xfId="7353" xr:uid="{5D3502D0-63BC-49E9-87A9-1ECB3CFD78C7}"/>
    <cellStyle name="Normal 11 2 3 3 2" xfId="7354" xr:uid="{68583637-2EA3-49D9-87B0-CB4115D116F2}"/>
    <cellStyle name="Normal 11 2 3 3 3" xfId="7355" xr:uid="{34B36E84-ECB6-4A46-BE93-CA399A2D2DBA}"/>
    <cellStyle name="Normal 11 2 3 3 4" xfId="7356" xr:uid="{F55EBFD5-FE3F-44D3-821B-73003B57BEA9}"/>
    <cellStyle name="Normal 11 2 3 4" xfId="7357" xr:uid="{BC58D529-8118-4866-B474-89B72D2E624C}"/>
    <cellStyle name="Normal 11 2 3 5" xfId="7358" xr:uid="{3E43ACA5-8000-41F5-9FE0-68A6F8107947}"/>
    <cellStyle name="Normal 11 2 3 6" xfId="7359" xr:uid="{34F362FF-C1EA-47B7-91F5-B3A05BB0720A}"/>
    <cellStyle name="Normal 11 2 30" xfId="7360" xr:uid="{3736466F-5BE7-47EF-A1FD-EC6CAA29BD7C}"/>
    <cellStyle name="Normal 11 2 31" xfId="7361" xr:uid="{7AC29F43-1B4D-42B2-9648-7D07461EFF81}"/>
    <cellStyle name="Normal 11 2 32" xfId="7362" xr:uid="{58E0E59F-F342-43A3-BEE2-51571C00313D}"/>
    <cellStyle name="Normal 11 2 33" xfId="7363" xr:uid="{9A7D2567-01BF-4651-8185-AD9AAFF8E75F}"/>
    <cellStyle name="Normal 11 2 34" xfId="7364" xr:uid="{EEDDD7D2-C90E-456C-9B47-F4145460B77A}"/>
    <cellStyle name="Normal 11 2 35" xfId="7365" xr:uid="{B2967CCD-41FC-4612-9D14-17D9F13866CB}"/>
    <cellStyle name="Normal 11 2 36" xfId="7366" xr:uid="{15F573D9-62CB-4B52-BE3F-7051DD93B657}"/>
    <cellStyle name="Normal 11 2 37" xfId="7367" xr:uid="{8112B4B3-E258-447C-B6CD-E16EAB9DD4FB}"/>
    <cellStyle name="Normal 11 2 38" xfId="7368" xr:uid="{EC39B6AF-B545-4DCE-9716-0D405E936D16}"/>
    <cellStyle name="Normal 11 2 39" xfId="7369" xr:uid="{EA070976-9B91-4BBE-A82C-4915D9AD53D4}"/>
    <cellStyle name="Normal 11 2 4" xfId="7370" xr:uid="{37A181B3-82AF-443B-9952-B098118F891F}"/>
    <cellStyle name="Normal 11 2 4 2" xfId="7371" xr:uid="{6838D54E-3A6D-46E7-921E-2050308F2BBB}"/>
    <cellStyle name="Normal 11 2 4 2 2" xfId="7372" xr:uid="{D0C2CDF2-21CB-4179-B2A2-402AF21E34E8}"/>
    <cellStyle name="Normal 11 2 4 2 3" xfId="7373" xr:uid="{5245C37C-5380-4D89-A818-B332F95184EE}"/>
    <cellStyle name="Normal 11 2 4 2 4" xfId="7374" xr:uid="{B603F2FB-D479-4523-9C1E-C9551EC7314B}"/>
    <cellStyle name="Normal 11 2 4 3" xfId="7375" xr:uid="{A8E31A14-E45B-4E4C-BF51-ED6C9CC2DF8D}"/>
    <cellStyle name="Normal 11 2 4 3 2" xfId="7376" xr:uid="{B7A8F592-3A70-400A-8E0E-698CB02631A4}"/>
    <cellStyle name="Normal 11 2 4 3 3" xfId="7377" xr:uid="{F37F9882-7B13-4167-B12B-D7F545FE1FAF}"/>
    <cellStyle name="Normal 11 2 4 3 4" xfId="7378" xr:uid="{94CB2400-BA82-491B-930A-571CF2266DEC}"/>
    <cellStyle name="Normal 11 2 4 4" xfId="7379" xr:uid="{10B578FC-53B9-4BC9-96FE-B53DCB1CDC3C}"/>
    <cellStyle name="Normal 11 2 4 5" xfId="7380" xr:uid="{E9EF112C-0BBE-4E48-8928-3B2B6536630B}"/>
    <cellStyle name="Normal 11 2 4 6" xfId="7381" xr:uid="{263FE54F-5602-4DBD-976F-27CDFB79D73B}"/>
    <cellStyle name="Normal 11 2 40" xfId="7382" xr:uid="{CD178817-51B4-4B21-BC86-B463B0C9B33E}"/>
    <cellStyle name="Normal 11 2 41" xfId="7383" xr:uid="{83887F9F-BE2D-480B-9B0D-7F8F3359870F}"/>
    <cellStyle name="Normal 11 2 42" xfId="7384" xr:uid="{143F1D20-BB77-43FA-9BF6-5658A591A0F9}"/>
    <cellStyle name="Normal 11 2 43" xfId="7385" xr:uid="{E6FE992F-8AAE-4A88-BD61-E5FD811D511B}"/>
    <cellStyle name="Normal 11 2 44" xfId="7386" xr:uid="{450757C6-179D-42F5-B34F-ABC3AE26ABCB}"/>
    <cellStyle name="Normal 11 2 45" xfId="7387" xr:uid="{B659FF05-5DB6-471B-A602-5DE8F66CE69B}"/>
    <cellStyle name="Normal 11 2 46" xfId="7388" xr:uid="{443CE219-2932-4A61-95EA-449F1A80E24A}"/>
    <cellStyle name="Normal 11 2 47" xfId="7389" xr:uid="{C6C71BA9-21D0-4143-86A4-433CDB894F7D}"/>
    <cellStyle name="Normal 11 2 48" xfId="7390" xr:uid="{DBA2E1B5-D85A-46A3-A9DA-10854FEA05CF}"/>
    <cellStyle name="Normal 11 2 49" xfId="7391" xr:uid="{E83622C3-3400-40BF-8BB7-68C332CC00CA}"/>
    <cellStyle name="Normal 11 2 5" xfId="7392" xr:uid="{A41898E0-1C51-47A9-B419-5FD2D6F372E7}"/>
    <cellStyle name="Normal 11 2 5 2" xfId="7393" xr:uid="{FEE377F3-B4B0-4F8C-BE65-FCF24F4AB049}"/>
    <cellStyle name="Normal 11 2 5 2 2" xfId="7394" xr:uid="{DA736352-4740-4572-810E-995709516F0E}"/>
    <cellStyle name="Normal 11 2 5 2 3" xfId="7395" xr:uid="{2035BE11-CB2E-4EB5-856D-C402DB9BCC4D}"/>
    <cellStyle name="Normal 11 2 5 2 4" xfId="7396" xr:uid="{2D3D677E-A48E-4425-9EC0-C0983D6296C5}"/>
    <cellStyle name="Normal 11 2 5 3" xfId="7397" xr:uid="{E586E5DE-CAC2-4A9A-93C9-B169AF983272}"/>
    <cellStyle name="Normal 11 2 5 3 2" xfId="7398" xr:uid="{9468E1B7-034B-4C17-9D82-72533AB03024}"/>
    <cellStyle name="Normal 11 2 5 3 3" xfId="7399" xr:uid="{0DE8D352-AE68-4F39-A861-FE9F1AD8532D}"/>
    <cellStyle name="Normal 11 2 5 3 4" xfId="7400" xr:uid="{BB9B25C1-0C74-4EBD-9EA9-1EA5CFFBA678}"/>
    <cellStyle name="Normal 11 2 5 4" xfId="7401" xr:uid="{990308E0-5BA7-4EA3-B58C-06C43B252275}"/>
    <cellStyle name="Normal 11 2 5 5" xfId="7402" xr:uid="{7EA2481A-C75C-43F5-8AA6-7B882E4A56F8}"/>
    <cellStyle name="Normal 11 2 5 6" xfId="7403" xr:uid="{48D7656C-5746-45D0-8C0D-F85F93E536FD}"/>
    <cellStyle name="Normal 11 2 50" xfId="7404" xr:uid="{F5B1D6F7-BE80-4F89-AC49-19DA96FEC366}"/>
    <cellStyle name="Normal 11 2 51" xfId="7405" xr:uid="{3FC0D515-0D5C-4E3F-B203-3B4C65FF44AC}"/>
    <cellStyle name="Normal 11 2 52" xfId="7406" xr:uid="{E9993ADB-5E98-4E51-A21A-4FF2E203C627}"/>
    <cellStyle name="Normal 11 2 53" xfId="7407" xr:uid="{8A59D04E-5509-4AC9-A464-01D835F3A742}"/>
    <cellStyle name="Normal 11 2 6" xfId="7408" xr:uid="{B4DB415A-9E00-4173-BAB5-CEF404BE4465}"/>
    <cellStyle name="Normal 11 2 6 2" xfId="7409" xr:uid="{4F7D7AFB-03C1-41FC-89AF-3B822E9A3ABE}"/>
    <cellStyle name="Normal 11 2 6 2 2" xfId="7410" xr:uid="{68AB0C2D-6871-4D66-8725-28FB62C1D944}"/>
    <cellStyle name="Normal 11 2 6 2 3" xfId="7411" xr:uid="{019F6B8D-18CD-4DE6-B633-DD197B860009}"/>
    <cellStyle name="Normal 11 2 6 2 4" xfId="7412" xr:uid="{2BE1BEA9-6DB7-4CCE-ADE6-907B49720401}"/>
    <cellStyle name="Normal 11 2 6 3" xfId="7413" xr:uid="{68AE3078-F0C3-48AB-884A-C0354689B4F7}"/>
    <cellStyle name="Normal 11 2 6 3 2" xfId="7414" xr:uid="{DBE866F9-D2B4-45A2-967E-6150859F4FB5}"/>
    <cellStyle name="Normal 11 2 6 3 3" xfId="7415" xr:uid="{7B97A17E-11B1-44B1-A500-7A389C01A781}"/>
    <cellStyle name="Normal 11 2 6 3 4" xfId="7416" xr:uid="{4D9E9A6B-AF13-409C-8183-856146F2637D}"/>
    <cellStyle name="Normal 11 2 6 4" xfId="7417" xr:uid="{1755E201-6BDD-4A25-9184-DBCC466D7B41}"/>
    <cellStyle name="Normal 11 2 6 5" xfId="7418" xr:uid="{82FBA369-DDA7-4B5E-A2ED-A1F5DA97745C}"/>
    <cellStyle name="Normal 11 2 6 6" xfId="7419" xr:uid="{C6666304-197B-4620-AD07-A9C535423080}"/>
    <cellStyle name="Normal 11 2 7" xfId="7420" xr:uid="{77F1AB91-6540-41C3-BADB-15B654C5A1D3}"/>
    <cellStyle name="Normal 11 2 7 2" xfId="7421" xr:uid="{02D52F86-7524-44AE-A35B-08C882676359}"/>
    <cellStyle name="Normal 11 2 7 2 2" xfId="7422" xr:uid="{4FD50DF6-7513-4FC3-8C77-66B02B141CAA}"/>
    <cellStyle name="Normal 11 2 7 2 3" xfId="7423" xr:uid="{088E443E-9633-408C-B242-1104C3037197}"/>
    <cellStyle name="Normal 11 2 7 2 4" xfId="7424" xr:uid="{838556B6-89A8-4F0F-89B5-80D9662328B5}"/>
    <cellStyle name="Normal 11 2 7 3" xfId="7425" xr:uid="{D0605FCD-C78A-4300-922D-19F815944E5F}"/>
    <cellStyle name="Normal 11 2 7 3 2" xfId="7426" xr:uid="{C57B4E3F-BCEC-4207-A02F-7191C9CACEB0}"/>
    <cellStyle name="Normal 11 2 7 3 3" xfId="7427" xr:uid="{31785D36-F1A5-48D2-ABE9-0E71180DAD48}"/>
    <cellStyle name="Normal 11 2 7 3 4" xfId="7428" xr:uid="{25910146-8995-45E8-BA0A-EDA637783BE4}"/>
    <cellStyle name="Normal 11 2 7 4" xfId="7429" xr:uid="{643AA5EB-CEDA-4434-8DFB-B86DFD4CB36F}"/>
    <cellStyle name="Normal 11 2 7 5" xfId="7430" xr:uid="{4B4787F9-93E4-439D-8B27-92CDE9F8936F}"/>
    <cellStyle name="Normal 11 2 7 6" xfId="7431" xr:uid="{691DFF13-CFB7-4FF8-9A53-D8C19B1468FC}"/>
    <cellStyle name="Normal 11 2 8" xfId="7432" xr:uid="{76BA358F-6305-4579-A2A9-007D4A8AFECD}"/>
    <cellStyle name="Normal 11 2 8 2" xfId="7433" xr:uid="{B94B0A58-B2B8-4836-8089-65F6FE2C5455}"/>
    <cellStyle name="Normal 11 2 8 2 2" xfId="7434" xr:uid="{E37DA330-53D1-441B-8E65-F9266F239AD9}"/>
    <cellStyle name="Normal 11 2 8 2 3" xfId="7435" xr:uid="{AFB13D43-C36A-43D2-8883-10DE2C6CD709}"/>
    <cellStyle name="Normal 11 2 8 2 4" xfId="7436" xr:uid="{02E7DA15-FA6E-471F-BCED-0BDB6145A993}"/>
    <cellStyle name="Normal 11 2 8 3" xfId="7437" xr:uid="{34A64319-D293-480F-AB46-399B85F471DC}"/>
    <cellStyle name="Normal 11 2 8 3 2" xfId="7438" xr:uid="{A0F6D766-D308-4BC6-9D3F-2D8932173C54}"/>
    <cellStyle name="Normal 11 2 8 3 3" xfId="7439" xr:uid="{AC561054-6003-46DF-BAB4-5971851B56F2}"/>
    <cellStyle name="Normal 11 2 8 3 4" xfId="7440" xr:uid="{3817EE55-AE43-4E5A-9F28-8033F7AD2F12}"/>
    <cellStyle name="Normal 11 2 8 4" xfId="7441" xr:uid="{0EB8FDFB-B71B-4777-BA8D-8A71CB893450}"/>
    <cellStyle name="Normal 11 2 8 5" xfId="7442" xr:uid="{BEFBE857-F765-4D7B-BBAE-A8D04058C91D}"/>
    <cellStyle name="Normal 11 2 8 6" xfId="7443" xr:uid="{07680B0B-DB0E-456A-B703-3F5183B02425}"/>
    <cellStyle name="Normal 11 2 9" xfId="7444" xr:uid="{B52F222D-ED69-43FB-8DB0-9BD75B67E255}"/>
    <cellStyle name="Normal 11 2 9 2" xfId="7445" xr:uid="{23F9FFF0-08A2-49E2-8FEB-E2128A166BBF}"/>
    <cellStyle name="Normal 11 2 9 2 2" xfId="7446" xr:uid="{A4ADE3B6-4305-461F-A9B8-34ED156DEDF3}"/>
    <cellStyle name="Normal 11 2 9 2 3" xfId="7447" xr:uid="{FCA7182F-A2F0-4347-96D2-AB1BC669BFBB}"/>
    <cellStyle name="Normal 11 2 9 2 4" xfId="7448" xr:uid="{9CE1840A-AE66-46A6-B3DD-501BF7E25AF9}"/>
    <cellStyle name="Normal 11 2 9 3" xfId="7449" xr:uid="{0E902E66-DFE9-4ACB-B047-035BC01718DF}"/>
    <cellStyle name="Normal 11 2 9 3 2" xfId="7450" xr:uid="{EE3B4DE6-1784-41AF-BC31-58ED8F8F5581}"/>
    <cellStyle name="Normal 11 2 9 3 3" xfId="7451" xr:uid="{0A777D7A-73E4-4C39-BC45-69F041EA9E5B}"/>
    <cellStyle name="Normal 11 2 9 3 4" xfId="7452" xr:uid="{DD853221-8039-4696-A5A3-9E544787A55F}"/>
    <cellStyle name="Normal 11 2 9 4" xfId="7453" xr:uid="{FE560A31-10F2-4DC2-AE05-F221FFA75AE0}"/>
    <cellStyle name="Normal 11 2 9 5" xfId="7454" xr:uid="{35EF1D79-545A-4F48-8309-BE1044CC7A85}"/>
    <cellStyle name="Normal 11 2 9 6" xfId="7455" xr:uid="{7E034A65-E42A-48DA-A797-C8A37B76CB6F}"/>
    <cellStyle name="Normal 11 20" xfId="7456" xr:uid="{B019150E-7E67-4366-A7A9-8731E208B994}"/>
    <cellStyle name="Normal 11 20 10" xfId="7457" xr:uid="{5DF14ECE-22F7-4442-85B1-0C19B1796C27}"/>
    <cellStyle name="Normal 11 20 11" xfId="7458" xr:uid="{C44A8BAE-1665-4E26-97D2-03C24708237C}"/>
    <cellStyle name="Normal 11 20 12" xfId="7459" xr:uid="{9A5B95C9-EA10-44EE-BA14-279E1FEE2416}"/>
    <cellStyle name="Normal 11 20 13" xfId="7460" xr:uid="{A78CFF72-4E33-41AB-8099-53F093CC7D15}"/>
    <cellStyle name="Normal 11 20 14" xfId="7461" xr:uid="{1A65DC96-CCB1-4DEB-8E64-9BDBFC60AEED}"/>
    <cellStyle name="Normal 11 20 15" xfId="7462" xr:uid="{06F67032-8B6F-40FB-995C-5AD0E4608B48}"/>
    <cellStyle name="Normal 11 20 16" xfId="7463" xr:uid="{4CD60F03-CFE3-4443-A167-98193486FA3D}"/>
    <cellStyle name="Normal 11 20 17" xfId="7464" xr:uid="{837CC26D-5623-42D2-9F76-9EEE50EE401B}"/>
    <cellStyle name="Normal 11 20 18" xfId="7465" xr:uid="{BE729CF5-500F-4D3F-900F-C2196CF84434}"/>
    <cellStyle name="Normal 11 20 19" xfId="7466" xr:uid="{F1A3370C-B92C-4ABB-A0C9-077769788F9F}"/>
    <cellStyle name="Normal 11 20 2" xfId="7467" xr:uid="{B6C25AFB-1E1B-490F-851D-E6DECA0DB7A7}"/>
    <cellStyle name="Normal 11 20 20" xfId="7468" xr:uid="{89CFD266-C234-456F-B2F4-DE38B2369AA5}"/>
    <cellStyle name="Normal 11 20 21" xfId="7469" xr:uid="{33962D2F-0347-4DF8-ABA0-D3670C84C026}"/>
    <cellStyle name="Normal 11 20 22" xfId="7470" xr:uid="{C8FDFB68-4000-49E2-AFF7-6313B07DF972}"/>
    <cellStyle name="Normal 11 20 23" xfId="7471" xr:uid="{F3A36677-4E2A-421F-8550-A2F92E987934}"/>
    <cellStyle name="Normal 11 20 24" xfId="7472" xr:uid="{1EC70842-794E-43F2-901D-D217DB09986C}"/>
    <cellStyle name="Normal 11 20 25" xfId="7473" xr:uid="{5EEE8213-14D1-44C3-9DCF-7DA7072E6446}"/>
    <cellStyle name="Normal 11 20 26" xfId="7474" xr:uid="{016C60D2-EC4C-4B70-9809-530330AC019C}"/>
    <cellStyle name="Normal 11 20 27" xfId="7475" xr:uid="{957DB4E5-1233-452D-9E93-8BBCB8616EF3}"/>
    <cellStyle name="Normal 11 20 28" xfId="7476" xr:uid="{C114F081-A60A-41BD-9BA5-90A54A3BD078}"/>
    <cellStyle name="Normal 11 20 29" xfId="7477" xr:uid="{DBB49985-D918-49B3-B009-ADD1A2FDA753}"/>
    <cellStyle name="Normal 11 20 3" xfId="7478" xr:uid="{6F1FA10A-233D-4139-AEA4-CF761E3EAF6E}"/>
    <cellStyle name="Normal 11 20 30" xfId="7479" xr:uid="{0F9DD7F5-A2C2-4645-BB08-58D7132D7174}"/>
    <cellStyle name="Normal 11 20 31" xfId="7480" xr:uid="{8672C1A3-7ECF-47D4-B165-7197EA82FC44}"/>
    <cellStyle name="Normal 11 20 32" xfId="7481" xr:uid="{8B0E3C6D-9087-441B-A352-BC0DF40FB630}"/>
    <cellStyle name="Normal 11 20 33" xfId="7482" xr:uid="{1675447C-ACDB-47C7-BF56-684CC88B58FC}"/>
    <cellStyle name="Normal 11 20 34" xfId="7483" xr:uid="{E5479C6F-905B-424D-8B1B-D875941B5E46}"/>
    <cellStyle name="Normal 11 20 35" xfId="7484" xr:uid="{1E293F38-C09D-4019-87CF-F035322915CA}"/>
    <cellStyle name="Normal 11 20 36" xfId="7485" xr:uid="{3CF944AA-AD65-40D6-8332-E5CBE675DBF1}"/>
    <cellStyle name="Normal 11 20 37" xfId="7486" xr:uid="{B2A90AE0-96B3-45B7-B108-75829FC5B875}"/>
    <cellStyle name="Normal 11 20 38" xfId="7487" xr:uid="{CE630841-81FC-414D-9366-E56720F988E2}"/>
    <cellStyle name="Normal 11 20 39" xfId="7488" xr:uid="{2BE1AEB1-2EA0-4BD8-A1D2-64131663269A}"/>
    <cellStyle name="Normal 11 20 4" xfId="7489" xr:uid="{DA034ADC-7B9E-443F-B068-07361FBE969C}"/>
    <cellStyle name="Normal 11 20 40" xfId="7490" xr:uid="{1C2EB1C2-C95E-47F7-A01E-BA145A45A37F}"/>
    <cellStyle name="Normal 11 20 41" xfId="7491" xr:uid="{E48CC436-580C-456F-9DD0-9936CBA2ED99}"/>
    <cellStyle name="Normal 11 20 42" xfId="7492" xr:uid="{C1D6C282-04A6-47DE-84F4-2933E2A22EC2}"/>
    <cellStyle name="Normal 11 20 43" xfId="7493" xr:uid="{B2976437-4BE3-4E59-AACD-638D2FCF9ED7}"/>
    <cellStyle name="Normal 11 20 44" xfId="7494" xr:uid="{85901E33-4D35-4BB0-9991-4C5C14310E56}"/>
    <cellStyle name="Normal 11 20 45" xfId="7495" xr:uid="{6C7C9785-F06C-4749-A78C-3564B2249C0E}"/>
    <cellStyle name="Normal 11 20 5" xfId="7496" xr:uid="{BB0EDDAA-E9A5-4190-A5EE-DBC1C10EA6A5}"/>
    <cellStyle name="Normal 11 20 6" xfId="7497" xr:uid="{D26BD6D2-9A9C-456E-B90F-7F058030B00F}"/>
    <cellStyle name="Normal 11 20 7" xfId="7498" xr:uid="{5FBB9582-7C0A-454D-B2A8-D7D54E60FDB7}"/>
    <cellStyle name="Normal 11 20 8" xfId="7499" xr:uid="{10AAEB96-BC3B-4440-843C-3718EF6BDEA0}"/>
    <cellStyle name="Normal 11 20 9" xfId="7500" xr:uid="{7B565F5E-E23E-49A0-9C4D-717DABF630C2}"/>
    <cellStyle name="Normal 11 21" xfId="7501" xr:uid="{76BAE932-C8BD-47EB-A64B-9BB1CFB0302B}"/>
    <cellStyle name="Normal 11 21 10" xfId="7502" xr:uid="{8DEF37B2-5AD9-4FE0-93FF-1B4C6DF54D73}"/>
    <cellStyle name="Normal 11 21 11" xfId="7503" xr:uid="{81AEDCD5-16A5-499F-971B-AB5E3666DDD9}"/>
    <cellStyle name="Normal 11 21 12" xfId="7504" xr:uid="{0BB610DD-43B0-40AE-BA3F-A7CE91574ED9}"/>
    <cellStyle name="Normal 11 21 13" xfId="7505" xr:uid="{6251CF68-4805-4454-9E4E-5F7CA2F1729E}"/>
    <cellStyle name="Normal 11 21 14" xfId="7506" xr:uid="{DFFDF5A5-E9F6-4709-B88F-47B6BD45AD7A}"/>
    <cellStyle name="Normal 11 21 15" xfId="7507" xr:uid="{EBEC3B29-8F98-4A68-BBD1-8458C657FCCC}"/>
    <cellStyle name="Normal 11 21 16" xfId="7508" xr:uid="{28722BFC-5997-4E27-93FC-133549E9CD12}"/>
    <cellStyle name="Normal 11 21 17" xfId="7509" xr:uid="{54076477-1C9B-4F38-A939-66D3688912EF}"/>
    <cellStyle name="Normal 11 21 18" xfId="7510" xr:uid="{67824414-FD66-4F82-82AE-9C0DD91BB843}"/>
    <cellStyle name="Normal 11 21 19" xfId="7511" xr:uid="{F17A3C30-5A79-4FA8-A9CE-28CF54A8FCED}"/>
    <cellStyle name="Normal 11 21 2" xfId="7512" xr:uid="{2A5E8CAE-4E07-4FC8-BCB1-15B70BC57953}"/>
    <cellStyle name="Normal 11 21 20" xfId="7513" xr:uid="{EA93F94A-BADD-4384-BF94-67119B26A16E}"/>
    <cellStyle name="Normal 11 21 21" xfId="7514" xr:uid="{4DD8A0BA-25BA-4209-BDDF-F8E317427639}"/>
    <cellStyle name="Normal 11 21 22" xfId="7515" xr:uid="{C3F4954B-B76B-467F-A64E-566B05254142}"/>
    <cellStyle name="Normal 11 21 23" xfId="7516" xr:uid="{AE3CA17D-FDFD-4957-AB64-99138D750EE0}"/>
    <cellStyle name="Normal 11 21 24" xfId="7517" xr:uid="{1F38320E-BF38-473F-9276-A3CCC2EDF9B9}"/>
    <cellStyle name="Normal 11 21 25" xfId="7518" xr:uid="{764F2F0C-E0FB-4345-A953-732846EA468A}"/>
    <cellStyle name="Normal 11 21 26" xfId="7519" xr:uid="{4BAB053A-4440-4389-9C89-0529D279B4C7}"/>
    <cellStyle name="Normal 11 21 27" xfId="7520" xr:uid="{DE7F1AA0-156E-439C-9A69-27F651586EB4}"/>
    <cellStyle name="Normal 11 21 28" xfId="7521" xr:uid="{9058DA4C-B7F0-41A4-B3AB-25AB081B2210}"/>
    <cellStyle name="Normal 11 21 29" xfId="7522" xr:uid="{89A93527-311C-4FEB-B91B-52851AE1A037}"/>
    <cellStyle name="Normal 11 21 3" xfId="7523" xr:uid="{1A4C5AFB-EF5B-4D52-BD5C-49EC3D6E6989}"/>
    <cellStyle name="Normal 11 21 30" xfId="7524" xr:uid="{8B169F16-08F0-4553-9C20-D50D2B0F5086}"/>
    <cellStyle name="Normal 11 21 31" xfId="7525" xr:uid="{65914B4A-D9DB-4AD5-850B-3CE6CD01D451}"/>
    <cellStyle name="Normal 11 21 32" xfId="7526" xr:uid="{3EC3563D-3410-4283-AB80-3E7D26A9C157}"/>
    <cellStyle name="Normal 11 21 33" xfId="7527" xr:uid="{D1050CC6-7BAC-4751-9BA9-45DB5596A7B3}"/>
    <cellStyle name="Normal 11 21 34" xfId="7528" xr:uid="{5A58DDA5-2BD5-4005-B87C-437148B92923}"/>
    <cellStyle name="Normal 11 21 35" xfId="7529" xr:uid="{55ECC705-B861-4343-B71D-73EE4578767F}"/>
    <cellStyle name="Normal 11 21 36" xfId="7530" xr:uid="{F9EF9230-7132-4972-A4C5-C843969CBC3C}"/>
    <cellStyle name="Normal 11 21 37" xfId="7531" xr:uid="{85697A92-2FDA-4921-AF61-733F08D5FDD1}"/>
    <cellStyle name="Normal 11 21 38" xfId="7532" xr:uid="{DF56B1EA-4C16-44F1-9D01-55C2E34CA6C5}"/>
    <cellStyle name="Normal 11 21 39" xfId="7533" xr:uid="{D0DBF7B6-897A-4B5B-BC3D-92171D57DF28}"/>
    <cellStyle name="Normal 11 21 4" xfId="7534" xr:uid="{FAAA07BC-AB50-4B78-9A41-053D64225105}"/>
    <cellStyle name="Normal 11 21 40" xfId="7535" xr:uid="{B9EC6B81-8E90-4208-9F01-E9A7EE4B622E}"/>
    <cellStyle name="Normal 11 21 41" xfId="7536" xr:uid="{1A5704D5-A4C5-4920-B9E1-9584ADAB9977}"/>
    <cellStyle name="Normal 11 21 42" xfId="7537" xr:uid="{0AE6D8B7-8257-4C2C-B680-50B0DE19ED0F}"/>
    <cellStyle name="Normal 11 21 43" xfId="7538" xr:uid="{D41598F5-EADD-4628-A6C5-8F4281221682}"/>
    <cellStyle name="Normal 11 21 44" xfId="7539" xr:uid="{3A666BE9-C403-40ED-81ED-D6A81DEE0EEA}"/>
    <cellStyle name="Normal 11 21 45" xfId="7540" xr:uid="{8B3A1DD0-FD10-47D7-86E0-16CB1D8D4574}"/>
    <cellStyle name="Normal 11 21 5" xfId="7541" xr:uid="{39D751CC-E50E-4663-969A-0AC3BEC419B3}"/>
    <cellStyle name="Normal 11 21 6" xfId="7542" xr:uid="{CAF494E0-4467-4715-BD25-44EF820C92C5}"/>
    <cellStyle name="Normal 11 21 7" xfId="7543" xr:uid="{F0D022FD-C247-4FDD-B91C-7C2421424560}"/>
    <cellStyle name="Normal 11 21 8" xfId="7544" xr:uid="{F2D9EB8F-4B2F-4661-A88F-C6AECF97BAD9}"/>
    <cellStyle name="Normal 11 21 9" xfId="7545" xr:uid="{EF36CF55-26B8-4EEC-B057-F2DB61FEE844}"/>
    <cellStyle name="Normal 11 22" xfId="7546" xr:uid="{E451767D-7D30-45EC-AA6A-96E8EA16588B}"/>
    <cellStyle name="Normal 11 22 10" xfId="7547" xr:uid="{A460F275-AC1D-4BAB-965A-E0035F5A3C49}"/>
    <cellStyle name="Normal 11 22 11" xfId="7548" xr:uid="{FEE36A0F-2701-4CBF-846F-6BE27EC119FB}"/>
    <cellStyle name="Normal 11 22 12" xfId="7549" xr:uid="{7CEE0B4F-FD96-4C26-819D-0C8BAF0E68AE}"/>
    <cellStyle name="Normal 11 22 13" xfId="7550" xr:uid="{ACCB5187-2DE3-4CD5-8D23-04CC11DA1D32}"/>
    <cellStyle name="Normal 11 22 14" xfId="7551" xr:uid="{BA8464E6-6D6B-439D-97B7-4EFC2BF40C53}"/>
    <cellStyle name="Normal 11 22 15" xfId="7552" xr:uid="{6B9AB915-F16E-45DE-8ACD-BC7334BEBE8C}"/>
    <cellStyle name="Normal 11 22 16" xfId="7553" xr:uid="{18CD5326-1E51-4651-8CF0-B635A8F9FADB}"/>
    <cellStyle name="Normal 11 22 17" xfId="7554" xr:uid="{B62EB957-F0C5-436C-B26D-93D3093633D4}"/>
    <cellStyle name="Normal 11 22 18" xfId="7555" xr:uid="{A71782A7-A44B-4814-83D7-B88E5CA6DFF9}"/>
    <cellStyle name="Normal 11 22 19" xfId="7556" xr:uid="{AAD9D358-6FC7-463A-9AF9-05AC0831DAF7}"/>
    <cellStyle name="Normal 11 22 2" xfId="7557" xr:uid="{231E9F67-782E-4FB3-A9BB-2FB9C689F70B}"/>
    <cellStyle name="Normal 11 22 20" xfId="7558" xr:uid="{AAA2C635-E3DD-42DE-BD68-22E601F3D3E7}"/>
    <cellStyle name="Normal 11 22 21" xfId="7559" xr:uid="{DFCC4E0D-3F65-4CC7-B5FE-3C7646586247}"/>
    <cellStyle name="Normal 11 22 22" xfId="7560" xr:uid="{A6315E6D-2DF4-4585-8A2B-39E7F6555A7C}"/>
    <cellStyle name="Normal 11 22 23" xfId="7561" xr:uid="{E8FC2B55-3B6F-4919-8F52-A2DF38024D1B}"/>
    <cellStyle name="Normal 11 22 24" xfId="7562" xr:uid="{952AE9AE-1104-47F9-9B18-3A05D1D2734C}"/>
    <cellStyle name="Normal 11 22 25" xfId="7563" xr:uid="{F9850A7A-EF46-4C8B-B66B-933F13B9D396}"/>
    <cellStyle name="Normal 11 22 26" xfId="7564" xr:uid="{24495C02-D54A-410B-A121-A89100FE7A9F}"/>
    <cellStyle name="Normal 11 22 27" xfId="7565" xr:uid="{E4CAEFF6-CCEA-4BAC-9D09-8B8A852372B1}"/>
    <cellStyle name="Normal 11 22 28" xfId="7566" xr:uid="{9443EB90-3EDB-4B6B-B897-793841202A1D}"/>
    <cellStyle name="Normal 11 22 29" xfId="7567" xr:uid="{66C0D017-9707-4C3F-9250-FE43BC293834}"/>
    <cellStyle name="Normal 11 22 3" xfId="7568" xr:uid="{39DF4216-FABA-47A8-B2B4-CA75E5FF259E}"/>
    <cellStyle name="Normal 11 22 30" xfId="7569" xr:uid="{99269321-E50F-4D57-8B84-C0D9EFA6F00B}"/>
    <cellStyle name="Normal 11 22 31" xfId="7570" xr:uid="{799A9760-C01E-43D6-801B-122C70303079}"/>
    <cellStyle name="Normal 11 22 32" xfId="7571" xr:uid="{80504FA3-09DE-4D66-A768-E56A6065D249}"/>
    <cellStyle name="Normal 11 22 33" xfId="7572" xr:uid="{674F944E-74F6-4F09-B34F-74E5D043B166}"/>
    <cellStyle name="Normal 11 22 34" xfId="7573" xr:uid="{A76FA9EE-3247-4E0B-8A43-6F8780D32706}"/>
    <cellStyle name="Normal 11 22 35" xfId="7574" xr:uid="{A5BA12F4-4162-4267-B2E9-22BC8B87A0A3}"/>
    <cellStyle name="Normal 11 22 36" xfId="7575" xr:uid="{ED934687-3465-4548-B0F3-8D0A1F491AC8}"/>
    <cellStyle name="Normal 11 22 37" xfId="7576" xr:uid="{399AD076-84F8-4A4F-AA01-A1FF7C3EA3F2}"/>
    <cellStyle name="Normal 11 22 38" xfId="7577" xr:uid="{797BD93B-7A47-4810-B5EF-FDAC4F643653}"/>
    <cellStyle name="Normal 11 22 39" xfId="7578" xr:uid="{8C7F0085-C28A-4A37-B72C-78DA9C0F3F3A}"/>
    <cellStyle name="Normal 11 22 4" xfId="7579" xr:uid="{D69C0B69-9E71-4221-886B-2A2815AA2A2E}"/>
    <cellStyle name="Normal 11 22 40" xfId="7580" xr:uid="{3975B2A2-CCEF-49E1-BEEE-EF565D912E15}"/>
    <cellStyle name="Normal 11 22 41" xfId="7581" xr:uid="{5AC42D60-844B-49BB-9F73-61023E0F9E04}"/>
    <cellStyle name="Normal 11 22 42" xfId="7582" xr:uid="{13669953-6B5E-40B7-BCD1-12E060F8E25D}"/>
    <cellStyle name="Normal 11 22 43" xfId="7583" xr:uid="{E96C9B70-BF7A-4E97-94B0-C6CDFCC1EE44}"/>
    <cellStyle name="Normal 11 22 44" xfId="7584" xr:uid="{113A78AE-2F4A-43EF-8388-F43458BB0D20}"/>
    <cellStyle name="Normal 11 22 45" xfId="7585" xr:uid="{0B017A30-8829-44E7-9A0C-140C707EAF13}"/>
    <cellStyle name="Normal 11 22 5" xfId="7586" xr:uid="{57FBEACC-004D-49EB-993A-9E26850C5084}"/>
    <cellStyle name="Normal 11 22 6" xfId="7587" xr:uid="{2C3D455E-650F-4FA0-AE97-2DF80A5A373F}"/>
    <cellStyle name="Normal 11 22 7" xfId="7588" xr:uid="{79D4BD0A-A61B-40CB-A655-B0DA9C674424}"/>
    <cellStyle name="Normal 11 22 8" xfId="7589" xr:uid="{4858AF7D-3C02-4E09-803F-0980225FDC8C}"/>
    <cellStyle name="Normal 11 22 9" xfId="7590" xr:uid="{6930D90D-D857-4030-8BCE-4A2F0230ACCA}"/>
    <cellStyle name="Normal 11 23" xfId="7591" xr:uid="{D39ABD2A-9176-4BA8-9E49-7D96485BC547}"/>
    <cellStyle name="Normal 11 23 10" xfId="7592" xr:uid="{7E637C2E-F5D0-48CA-8FDB-6D11E7DE4F58}"/>
    <cellStyle name="Normal 11 23 11" xfId="7593" xr:uid="{60D68ADE-4949-417D-AFF1-991330431F45}"/>
    <cellStyle name="Normal 11 23 12" xfId="7594" xr:uid="{94EF2495-C0C1-4D30-9754-BA691BE24EBC}"/>
    <cellStyle name="Normal 11 23 13" xfId="7595" xr:uid="{F05408DC-11B3-4816-9347-39168A302A2A}"/>
    <cellStyle name="Normal 11 23 14" xfId="7596" xr:uid="{A8157481-B8C1-47F4-A45C-4B59A700CA8D}"/>
    <cellStyle name="Normal 11 23 15" xfId="7597" xr:uid="{29D518FB-E4ED-4F6F-904A-8F242CC7697C}"/>
    <cellStyle name="Normal 11 23 16" xfId="7598" xr:uid="{5E11F3C1-3C2C-4026-AD3C-CF6D39C0AFEF}"/>
    <cellStyle name="Normal 11 23 17" xfId="7599" xr:uid="{CDF293A8-2136-472C-86AA-CC4A06A5F484}"/>
    <cellStyle name="Normal 11 23 18" xfId="7600" xr:uid="{1D4E6A6B-23EF-47DF-AA2E-BFA07A94995F}"/>
    <cellStyle name="Normal 11 23 19" xfId="7601" xr:uid="{E33B59D9-2986-4BF6-9C49-995A4CDEB08F}"/>
    <cellStyle name="Normal 11 23 2" xfId="7602" xr:uid="{2FEBE31E-5099-4FA6-B1A0-7FCBE053D542}"/>
    <cellStyle name="Normal 11 23 20" xfId="7603" xr:uid="{A4E35C43-D3D0-4C07-B447-9B19440E065F}"/>
    <cellStyle name="Normal 11 23 21" xfId="7604" xr:uid="{8EE07DCF-A20A-4E91-B046-D0783C1BFFF1}"/>
    <cellStyle name="Normal 11 23 22" xfId="7605" xr:uid="{5FA8F47D-43C4-445E-881B-8DD3AA9DD0C1}"/>
    <cellStyle name="Normal 11 23 23" xfId="7606" xr:uid="{38E987E8-3DCF-4440-9492-AFB386EC347D}"/>
    <cellStyle name="Normal 11 23 24" xfId="7607" xr:uid="{C215570E-CFB4-4451-BEB0-00AE33E37F39}"/>
    <cellStyle name="Normal 11 23 25" xfId="7608" xr:uid="{DB9DFD9B-DE1B-40E7-BA15-2A40A4137958}"/>
    <cellStyle name="Normal 11 23 26" xfId="7609" xr:uid="{3161F21C-52B7-400C-A53E-EAC9D78B368E}"/>
    <cellStyle name="Normal 11 23 27" xfId="7610" xr:uid="{9D09EC42-0EAB-4E39-8BAF-ACC668E3D9B6}"/>
    <cellStyle name="Normal 11 23 28" xfId="7611" xr:uid="{353E2505-5930-4AD0-92D8-1B55C4F5DB3B}"/>
    <cellStyle name="Normal 11 23 29" xfId="7612" xr:uid="{1C06AC18-6585-474C-A061-A72E039CBDAE}"/>
    <cellStyle name="Normal 11 23 3" xfId="7613" xr:uid="{23A801DF-83A3-417F-B23A-3C080AF3B956}"/>
    <cellStyle name="Normal 11 23 30" xfId="7614" xr:uid="{882788CC-BD28-452C-AE67-C944147DF32F}"/>
    <cellStyle name="Normal 11 23 31" xfId="7615" xr:uid="{7AF08097-1F12-41B9-B868-AF1255F77CF0}"/>
    <cellStyle name="Normal 11 23 32" xfId="7616" xr:uid="{540F4AF1-2269-4A0B-B8B9-17C815C21F40}"/>
    <cellStyle name="Normal 11 23 33" xfId="7617" xr:uid="{F7522346-73EE-48FF-8092-A653458C8229}"/>
    <cellStyle name="Normal 11 23 34" xfId="7618" xr:uid="{C2CA9A01-A1C4-4120-8328-749D2C793FC6}"/>
    <cellStyle name="Normal 11 23 35" xfId="7619" xr:uid="{AF543DF4-5E91-4EDA-8968-B0400A1A3926}"/>
    <cellStyle name="Normal 11 23 36" xfId="7620" xr:uid="{A1422B06-08AC-4E48-B8A2-B1306CB9CDB2}"/>
    <cellStyle name="Normal 11 23 37" xfId="7621" xr:uid="{D83529D1-14D9-4C84-A62D-3EDDD0247502}"/>
    <cellStyle name="Normal 11 23 38" xfId="7622" xr:uid="{FC0C512A-E8F4-408B-BFCB-5A0B7393AEB3}"/>
    <cellStyle name="Normal 11 23 39" xfId="7623" xr:uid="{F2441631-992C-4372-8ABC-FB524706DF86}"/>
    <cellStyle name="Normal 11 23 4" xfId="7624" xr:uid="{C455C04D-F620-47A0-83CA-881A2B28B48D}"/>
    <cellStyle name="Normal 11 23 40" xfId="7625" xr:uid="{8E82FAFA-F53D-4EEE-A953-7AF771CB9C40}"/>
    <cellStyle name="Normal 11 23 41" xfId="7626" xr:uid="{81EE0C94-CCD8-418A-8E50-E46271D5DB0F}"/>
    <cellStyle name="Normal 11 23 42" xfId="7627" xr:uid="{41F5E4ED-EB5E-4A12-AD7C-A52A661942C4}"/>
    <cellStyle name="Normal 11 23 43" xfId="7628" xr:uid="{A0516AC2-922B-4F9E-B7D6-DB5EF153F5DB}"/>
    <cellStyle name="Normal 11 23 44" xfId="7629" xr:uid="{BF7A3936-F09D-45C0-89D4-8167234DA74B}"/>
    <cellStyle name="Normal 11 23 45" xfId="7630" xr:uid="{3EF39A65-D41E-4F70-8E58-CF91384CB3B1}"/>
    <cellStyle name="Normal 11 23 5" xfId="7631" xr:uid="{A1D549BE-46DD-4956-A573-3CAC89DB1025}"/>
    <cellStyle name="Normal 11 23 6" xfId="7632" xr:uid="{BB835321-B982-44CB-B738-FBB4E676D79D}"/>
    <cellStyle name="Normal 11 23 7" xfId="7633" xr:uid="{E928117B-6B38-4392-A544-DAF4AE0313BF}"/>
    <cellStyle name="Normal 11 23 8" xfId="7634" xr:uid="{11DB010A-04B0-42A6-B696-42B8FA982F5A}"/>
    <cellStyle name="Normal 11 23 9" xfId="7635" xr:uid="{40D2A665-5827-412D-9775-32C9422F8C33}"/>
    <cellStyle name="Normal 11 24" xfId="7636" xr:uid="{8C5A48C9-5112-4F62-82FA-840F550390FC}"/>
    <cellStyle name="Normal 11 24 10" xfId="7637" xr:uid="{EB714875-636A-4557-B553-05A961D1679F}"/>
    <cellStyle name="Normal 11 24 11" xfId="7638" xr:uid="{10B04E90-FB73-401B-98E4-C5D8BA09BBA9}"/>
    <cellStyle name="Normal 11 24 12" xfId="7639" xr:uid="{FCCE1F35-E38C-4232-AB00-0E2D1D2A119C}"/>
    <cellStyle name="Normal 11 24 13" xfId="7640" xr:uid="{D7D86D34-205E-4BE8-947C-53EEAE0778AD}"/>
    <cellStyle name="Normal 11 24 14" xfId="7641" xr:uid="{0AB28B5A-EC0C-4C7B-9D69-2ADA129515C0}"/>
    <cellStyle name="Normal 11 24 15" xfId="7642" xr:uid="{01737EBE-6C10-4EB0-B0DF-F2C73182E3D6}"/>
    <cellStyle name="Normal 11 24 16" xfId="7643" xr:uid="{F3E37F0D-9800-4542-8835-DABC3AC21762}"/>
    <cellStyle name="Normal 11 24 17" xfId="7644" xr:uid="{65DEC6F6-FDE2-4701-9DAD-BA83FEE74BD4}"/>
    <cellStyle name="Normal 11 24 18" xfId="7645" xr:uid="{9701FA2A-B103-4525-AF72-6F20D44133D7}"/>
    <cellStyle name="Normal 11 24 19" xfId="7646" xr:uid="{95856518-23A8-4DE3-B613-7A46E37307D0}"/>
    <cellStyle name="Normal 11 24 2" xfId="7647" xr:uid="{3FA8653F-8A95-42F3-B3D9-59CC2B70DC95}"/>
    <cellStyle name="Normal 11 24 20" xfId="7648" xr:uid="{C5E328DC-B92E-4FC3-ACD5-02EACAA17309}"/>
    <cellStyle name="Normal 11 24 21" xfId="7649" xr:uid="{DF8F9FE1-39C3-4922-B405-FC111CB5982E}"/>
    <cellStyle name="Normal 11 24 22" xfId="7650" xr:uid="{B1C316DE-4598-4902-97F7-702C8651183F}"/>
    <cellStyle name="Normal 11 24 23" xfId="7651" xr:uid="{D868EDB4-C67B-4363-9B3A-DED711FFCBA5}"/>
    <cellStyle name="Normal 11 24 24" xfId="7652" xr:uid="{F2193277-E966-4FD1-97C3-E18820F71955}"/>
    <cellStyle name="Normal 11 24 25" xfId="7653" xr:uid="{1D5FBEE6-7017-4C38-99D8-3646306A39C2}"/>
    <cellStyle name="Normal 11 24 26" xfId="7654" xr:uid="{6429E27D-EC2D-40FB-B162-F13DF20FEB81}"/>
    <cellStyle name="Normal 11 24 27" xfId="7655" xr:uid="{556D9108-5762-494B-8716-FA885679A0CA}"/>
    <cellStyle name="Normal 11 24 28" xfId="7656" xr:uid="{AB6B09E7-8AA8-427B-AE1D-04522DB28660}"/>
    <cellStyle name="Normal 11 24 29" xfId="7657" xr:uid="{2984471B-70DE-488E-9CEA-9D897E7BEFF3}"/>
    <cellStyle name="Normal 11 24 3" xfId="7658" xr:uid="{7962BA1C-EC5F-4077-9345-E1C51EBF127A}"/>
    <cellStyle name="Normal 11 24 30" xfId="7659" xr:uid="{8E7E502E-C551-42DC-A2B5-5BD55D1EB7E1}"/>
    <cellStyle name="Normal 11 24 31" xfId="7660" xr:uid="{245A58D1-D3BE-4BC7-B047-487F4466F584}"/>
    <cellStyle name="Normal 11 24 32" xfId="7661" xr:uid="{4BD0C5B6-0568-4914-B43D-899CEF9D41A1}"/>
    <cellStyle name="Normal 11 24 33" xfId="7662" xr:uid="{D83B816B-B706-4059-A52E-C6963E9689AB}"/>
    <cellStyle name="Normal 11 24 34" xfId="7663" xr:uid="{328C06DE-7F47-4395-AFD3-F7DAC937F9A9}"/>
    <cellStyle name="Normal 11 24 35" xfId="7664" xr:uid="{55243A45-A1A1-42D0-8BFD-F3AB027FB021}"/>
    <cellStyle name="Normal 11 24 36" xfId="7665" xr:uid="{37C72868-9F3E-439E-8C78-4996D6462C3F}"/>
    <cellStyle name="Normal 11 24 37" xfId="7666" xr:uid="{C46B7B66-FFE5-4F28-A1FD-EFC8CC0993B9}"/>
    <cellStyle name="Normal 11 24 4" xfId="7667" xr:uid="{549A687B-CE53-41BD-8F56-96C2D0F86BB0}"/>
    <cellStyle name="Normal 11 24 5" xfId="7668" xr:uid="{BF5490A4-B83D-4685-9802-8CAC7399CA53}"/>
    <cellStyle name="Normal 11 24 6" xfId="7669" xr:uid="{7E723A5C-7233-49C3-904E-74C51E227C10}"/>
    <cellStyle name="Normal 11 24 7" xfId="7670" xr:uid="{A5097F18-D6DC-420F-AE23-2B2CBE06C901}"/>
    <cellStyle name="Normal 11 24 8" xfId="7671" xr:uid="{D75073A4-AB76-409B-8E7C-B642AAE402AD}"/>
    <cellStyle name="Normal 11 24 9" xfId="7672" xr:uid="{7B92C33C-0F67-4D8B-8992-294A56582694}"/>
    <cellStyle name="Normal 11 25" xfId="7673" xr:uid="{C3042C00-CC2B-4AD3-A9B6-D1F3F259D6EF}"/>
    <cellStyle name="Normal 11 25 10" xfId="7674" xr:uid="{07606396-770A-4CF3-AF94-04C73527EE8C}"/>
    <cellStyle name="Normal 11 25 11" xfId="7675" xr:uid="{8356F903-0C83-4FE2-A9B0-BE87343FA5D3}"/>
    <cellStyle name="Normal 11 25 12" xfId="7676" xr:uid="{A60F6EFF-32AC-4C2D-B922-40D72EB4E29E}"/>
    <cellStyle name="Normal 11 25 13" xfId="7677" xr:uid="{CB0F2CED-5AB9-427C-899C-C98D3A633180}"/>
    <cellStyle name="Normal 11 25 14" xfId="7678" xr:uid="{764A5B32-DCE8-4BBF-8BD1-F1114DB5FD47}"/>
    <cellStyle name="Normal 11 25 15" xfId="7679" xr:uid="{421A13D3-6CC4-4E4A-A868-EAD4DE9B34EC}"/>
    <cellStyle name="Normal 11 25 16" xfId="7680" xr:uid="{991A9150-5779-43A7-A549-69F4C731A9B7}"/>
    <cellStyle name="Normal 11 25 17" xfId="7681" xr:uid="{5CD3CDAA-94CA-4D2D-83AF-F1851B650CDD}"/>
    <cellStyle name="Normal 11 25 18" xfId="7682" xr:uid="{6D0066BE-4620-43F0-B790-A3A33204CF52}"/>
    <cellStyle name="Normal 11 25 19" xfId="7683" xr:uid="{F28EB8A8-CA52-40E6-8DA1-24345375DD9A}"/>
    <cellStyle name="Normal 11 25 2" xfId="7684" xr:uid="{3C5F805D-7D6B-430E-91F9-23F5CA9A08C2}"/>
    <cellStyle name="Normal 11 25 20" xfId="7685" xr:uid="{9C71D331-BD2C-47CE-B151-B0D0167BBC57}"/>
    <cellStyle name="Normal 11 25 21" xfId="7686" xr:uid="{CBE4BC3F-8745-4FB9-9948-CCFBF6BBB4B9}"/>
    <cellStyle name="Normal 11 25 22" xfId="7687" xr:uid="{E7AD9E80-25BF-4713-B37B-4DAD3B260E58}"/>
    <cellStyle name="Normal 11 25 23" xfId="7688" xr:uid="{DA597488-0D76-4CF8-9236-AD8121D67D8F}"/>
    <cellStyle name="Normal 11 25 24" xfId="7689" xr:uid="{03B835FB-0D31-46E7-8A28-83E8A0442ADD}"/>
    <cellStyle name="Normal 11 25 25" xfId="7690" xr:uid="{54D12B3E-9C34-4B6A-9181-616FC6994655}"/>
    <cellStyle name="Normal 11 25 26" xfId="7691" xr:uid="{AFB240E1-17B6-434E-8231-2A4B1A56AD2E}"/>
    <cellStyle name="Normal 11 25 27" xfId="7692" xr:uid="{0D5525CF-A1E1-4191-8527-578FC527E486}"/>
    <cellStyle name="Normal 11 25 28" xfId="7693" xr:uid="{0D47DF21-28D3-4B39-BD27-B434175EF91A}"/>
    <cellStyle name="Normal 11 25 29" xfId="7694" xr:uid="{DE43FBD8-2513-43BA-8248-B9D7B52BC498}"/>
    <cellStyle name="Normal 11 25 3" xfId="7695" xr:uid="{5B25CB71-3BFD-4124-AF99-8080D421D76A}"/>
    <cellStyle name="Normal 11 25 30" xfId="7696" xr:uid="{3E452C99-814C-4E85-B503-D7C8A2ACC0C8}"/>
    <cellStyle name="Normal 11 25 31" xfId="7697" xr:uid="{DEF6E80F-6F47-4D93-BA3F-3FE17DC5510D}"/>
    <cellStyle name="Normal 11 25 32" xfId="7698" xr:uid="{8CE0A4F2-F02F-45FF-91B3-834ECF745A9B}"/>
    <cellStyle name="Normal 11 25 33" xfId="7699" xr:uid="{4B32EE48-5389-474C-9CD3-4FB5C52D9FEC}"/>
    <cellStyle name="Normal 11 25 34" xfId="7700" xr:uid="{471115B2-2E4B-4159-B36E-3B0C2695C78E}"/>
    <cellStyle name="Normal 11 25 35" xfId="7701" xr:uid="{59847BEF-37FF-4249-88CC-F672AB934B00}"/>
    <cellStyle name="Normal 11 25 36" xfId="7702" xr:uid="{3754A689-B963-45D3-AC00-7FA2E989BB42}"/>
    <cellStyle name="Normal 11 25 37" xfId="7703" xr:uid="{C045FEBE-4977-474A-90A7-2805A499354F}"/>
    <cellStyle name="Normal 11 25 4" xfId="7704" xr:uid="{D090F6EE-20B4-4EFC-955B-24C9BF6518B0}"/>
    <cellStyle name="Normal 11 25 5" xfId="7705" xr:uid="{D7C69F41-3A29-4396-8F54-48369E9127C2}"/>
    <cellStyle name="Normal 11 25 6" xfId="7706" xr:uid="{BAC93E0A-B346-49AF-AFBF-1BC8C48C1242}"/>
    <cellStyle name="Normal 11 25 7" xfId="7707" xr:uid="{10544939-50BB-4EAE-85A4-5BDE1D34FEBC}"/>
    <cellStyle name="Normal 11 25 8" xfId="7708" xr:uid="{B4426DAC-5549-455C-ACC7-31D61127CA8E}"/>
    <cellStyle name="Normal 11 25 9" xfId="7709" xr:uid="{142ADD6F-63BD-4E5F-8CA8-42A168EBEEEA}"/>
    <cellStyle name="Normal 11 26" xfId="7710" xr:uid="{318CD266-48B5-4DEC-BA5C-7078E5213D68}"/>
    <cellStyle name="Normal 11 26 10" xfId="7711" xr:uid="{26C944AE-7082-4FDA-9A3F-6C850BDE0CDD}"/>
    <cellStyle name="Normal 11 26 11" xfId="7712" xr:uid="{104A0713-1258-4F1F-BFC8-B8A1B4800BB5}"/>
    <cellStyle name="Normal 11 26 12" xfId="7713" xr:uid="{938608C5-480C-4918-8ECD-560A6880F0B7}"/>
    <cellStyle name="Normal 11 26 13" xfId="7714" xr:uid="{F9A1DAAF-9C0B-4A5C-9D18-BB121C971EE2}"/>
    <cellStyle name="Normal 11 26 14" xfId="7715" xr:uid="{63EE2EA9-A9A9-47AD-9824-54AA753F5AF1}"/>
    <cellStyle name="Normal 11 26 15" xfId="7716" xr:uid="{DC45B5BE-E381-4D72-8DA2-4B74E97198B2}"/>
    <cellStyle name="Normal 11 26 16" xfId="7717" xr:uid="{D9426994-2469-472E-9E5F-2034B8811CC0}"/>
    <cellStyle name="Normal 11 26 17" xfId="7718" xr:uid="{D45E67C3-EF27-4710-AB1E-56BF69C8FBC9}"/>
    <cellStyle name="Normal 11 26 18" xfId="7719" xr:uid="{EFB76E64-6A87-4558-8961-E67FD505A103}"/>
    <cellStyle name="Normal 11 26 19" xfId="7720" xr:uid="{B08AA07A-84F2-4F41-8F2C-252A9E3E3962}"/>
    <cellStyle name="Normal 11 26 2" xfId="7721" xr:uid="{C615F48B-2859-41B5-85CD-7E9E8210A7FF}"/>
    <cellStyle name="Normal 11 26 20" xfId="7722" xr:uid="{85E32C9B-7E96-4EE4-AA02-64EAC8A9AEF7}"/>
    <cellStyle name="Normal 11 26 21" xfId="7723" xr:uid="{237ECE9A-CA92-4661-B80D-5CE339EA6625}"/>
    <cellStyle name="Normal 11 26 22" xfId="7724" xr:uid="{91ECFB3D-F992-4A11-AAA9-74C413BDCAA9}"/>
    <cellStyle name="Normal 11 26 23" xfId="7725" xr:uid="{A912B355-BF91-49AA-A1FA-86F1265CA428}"/>
    <cellStyle name="Normal 11 26 24" xfId="7726" xr:uid="{9BBFD660-69FB-419E-9A8B-40E33B3D1C7C}"/>
    <cellStyle name="Normal 11 26 25" xfId="7727" xr:uid="{7A2B01B9-5F29-4699-B33E-A148FE50815E}"/>
    <cellStyle name="Normal 11 26 26" xfId="7728" xr:uid="{FB080E08-1C1D-471C-AFA0-7C946F346236}"/>
    <cellStyle name="Normal 11 26 27" xfId="7729" xr:uid="{FC4B044B-0EF0-49F5-A5FC-7DDA8E6A5B45}"/>
    <cellStyle name="Normal 11 26 28" xfId="7730" xr:uid="{EB20DFD6-F8AA-4DB6-BE22-F21D5AE1944A}"/>
    <cellStyle name="Normal 11 26 29" xfId="7731" xr:uid="{76357C3B-3C98-4473-9E58-ECB42AD2800F}"/>
    <cellStyle name="Normal 11 26 3" xfId="7732" xr:uid="{4A8DB92E-FB59-46A0-9AA6-1DD0325AD5E2}"/>
    <cellStyle name="Normal 11 26 30" xfId="7733" xr:uid="{E9847CC6-6AB3-4001-B46D-3ACBFED45162}"/>
    <cellStyle name="Normal 11 26 31" xfId="7734" xr:uid="{285CA64C-CB5B-44B7-AAC1-5D80A9A3EFE5}"/>
    <cellStyle name="Normal 11 26 32" xfId="7735" xr:uid="{B995DA17-070B-4C5F-BA14-7E7D2F7197CF}"/>
    <cellStyle name="Normal 11 26 33" xfId="7736" xr:uid="{EAB60A00-01E2-4709-BFBA-25E1C4C91953}"/>
    <cellStyle name="Normal 11 26 34" xfId="7737" xr:uid="{B82460AB-787D-415B-A735-B20D2AD8003A}"/>
    <cellStyle name="Normal 11 26 35" xfId="7738" xr:uid="{DEA9F624-5A1D-4441-8016-6EA683AF9D3B}"/>
    <cellStyle name="Normal 11 26 36" xfId="7739" xr:uid="{C563FDDE-94B7-4478-9F4D-3644865527BA}"/>
    <cellStyle name="Normal 11 26 37" xfId="7740" xr:uid="{4FC69564-7BDE-4AD9-A1B7-93463DE7B2B0}"/>
    <cellStyle name="Normal 11 26 4" xfId="7741" xr:uid="{DDD605AC-9D2C-4410-9EAE-5340462EDCDE}"/>
    <cellStyle name="Normal 11 26 5" xfId="7742" xr:uid="{0D227811-51FF-4717-8AC4-5EFF57A0BAE2}"/>
    <cellStyle name="Normal 11 26 6" xfId="7743" xr:uid="{4E57ACDB-D7D0-4881-A1D2-1A9E0D4FAD83}"/>
    <cellStyle name="Normal 11 26 7" xfId="7744" xr:uid="{57F2138A-1335-4CC3-A8C8-7F7BFF011F1A}"/>
    <cellStyle name="Normal 11 26 8" xfId="7745" xr:uid="{00D794E3-8EA5-414B-9115-E2B5C0C8F49B}"/>
    <cellStyle name="Normal 11 26 9" xfId="7746" xr:uid="{F19BD156-6D3C-4934-917D-69788DBBC363}"/>
    <cellStyle name="Normal 11 27" xfId="7747" xr:uid="{F2282B08-9145-4487-849D-BF45E0441F2A}"/>
    <cellStyle name="Normal 11 27 10" xfId="7748" xr:uid="{AEC78EB3-A002-40D5-A7AC-58263D42AB77}"/>
    <cellStyle name="Normal 11 27 11" xfId="7749" xr:uid="{C41CA10F-611E-41A7-88F2-369FCFF9D1F4}"/>
    <cellStyle name="Normal 11 27 12" xfId="7750" xr:uid="{73ED6ED5-13BC-4826-9902-2907A3FD6B91}"/>
    <cellStyle name="Normal 11 27 13" xfId="7751" xr:uid="{C5E2C01B-85F0-4560-95FB-0B9C718F8EF0}"/>
    <cellStyle name="Normal 11 27 14" xfId="7752" xr:uid="{4BF54A79-45B3-4855-A71E-F08AC9668F94}"/>
    <cellStyle name="Normal 11 27 15" xfId="7753" xr:uid="{77C3025A-CD64-4A36-8E4A-C22FB71CB96D}"/>
    <cellStyle name="Normal 11 27 16" xfId="7754" xr:uid="{A78557E7-A299-45AF-90E9-98EF62F92BA4}"/>
    <cellStyle name="Normal 11 27 17" xfId="7755" xr:uid="{F7F3F7C2-2B43-4FBC-8F73-D53C5C39E4FD}"/>
    <cellStyle name="Normal 11 27 18" xfId="7756" xr:uid="{7BF32D48-0824-4538-8C3C-96CFBAD80947}"/>
    <cellStyle name="Normal 11 27 19" xfId="7757" xr:uid="{EFE924E6-D4F6-4896-99DD-40285ADDCC10}"/>
    <cellStyle name="Normal 11 27 2" xfId="7758" xr:uid="{0FA589F5-0C1B-424C-8791-4D64D7D89375}"/>
    <cellStyle name="Normal 11 27 20" xfId="7759" xr:uid="{C7F400DE-7294-442E-90BA-8191BCA6A2CC}"/>
    <cellStyle name="Normal 11 27 21" xfId="7760" xr:uid="{9CE21380-6084-4FDF-8C06-399EF31E0650}"/>
    <cellStyle name="Normal 11 27 22" xfId="7761" xr:uid="{02AC0A74-B19E-468B-9F9F-4A036FFCF7B2}"/>
    <cellStyle name="Normal 11 27 23" xfId="7762" xr:uid="{505F3E36-DCC7-46F9-BBDA-55FA29C3CD3D}"/>
    <cellStyle name="Normal 11 27 24" xfId="7763" xr:uid="{160158CF-5FD3-4F6F-BDDC-96D828CF1B9B}"/>
    <cellStyle name="Normal 11 27 25" xfId="7764" xr:uid="{9909B8E1-7430-4F89-8E62-AAE397BBC98D}"/>
    <cellStyle name="Normal 11 27 26" xfId="7765" xr:uid="{2B2A3FD3-1BD7-4FDF-B9D3-EAC11DC40FD0}"/>
    <cellStyle name="Normal 11 27 27" xfId="7766" xr:uid="{87E9E06C-9CF5-489C-8435-A8C614DC7F77}"/>
    <cellStyle name="Normal 11 27 28" xfId="7767" xr:uid="{CCBF5726-31D0-45BB-8412-3088911FA51F}"/>
    <cellStyle name="Normal 11 27 29" xfId="7768" xr:uid="{1605EF72-1D6D-406F-BCDF-459CC191E312}"/>
    <cellStyle name="Normal 11 27 3" xfId="7769" xr:uid="{003CF35A-E46B-4319-ACBB-3ACAE5CE45C3}"/>
    <cellStyle name="Normal 11 27 30" xfId="7770" xr:uid="{130269FC-EC6A-411F-A8C5-0B778B538011}"/>
    <cellStyle name="Normal 11 27 31" xfId="7771" xr:uid="{1BE8B8A7-BEF9-4258-8F9F-BBABDEBC6104}"/>
    <cellStyle name="Normal 11 27 32" xfId="7772" xr:uid="{A0576F02-56E6-48D1-AAD9-A49B610007F5}"/>
    <cellStyle name="Normal 11 27 33" xfId="7773" xr:uid="{37CF5F93-966D-43D0-A6EF-AF3FE3923C32}"/>
    <cellStyle name="Normal 11 27 34" xfId="7774" xr:uid="{413CF787-CBD1-40A0-96BD-366F82206632}"/>
    <cellStyle name="Normal 11 27 35" xfId="7775" xr:uid="{39D2C156-D00C-44F9-886B-5B488204D671}"/>
    <cellStyle name="Normal 11 27 36" xfId="7776" xr:uid="{A174F9B1-03EF-4D3F-833A-6AF1BBF2177E}"/>
    <cellStyle name="Normal 11 27 37" xfId="7777" xr:uid="{AD23C75A-D4A1-42CA-8B9A-49430D0DFA3D}"/>
    <cellStyle name="Normal 11 27 4" xfId="7778" xr:uid="{B0E855E1-C47D-40F1-A8BA-98AC2C6EA379}"/>
    <cellStyle name="Normal 11 27 5" xfId="7779" xr:uid="{53D291F4-49D4-4959-B678-E3968CBB84C4}"/>
    <cellStyle name="Normal 11 27 6" xfId="7780" xr:uid="{C43924C5-29D3-491F-BC43-B446C157DEEE}"/>
    <cellStyle name="Normal 11 27 7" xfId="7781" xr:uid="{4427050F-25BA-4FBB-8598-F94833172738}"/>
    <cellStyle name="Normal 11 27 8" xfId="7782" xr:uid="{A5A81FA9-DD05-43B5-BF7D-B79014378871}"/>
    <cellStyle name="Normal 11 27 9" xfId="7783" xr:uid="{175F89C2-537B-41BA-9D3F-BD229DCB68F8}"/>
    <cellStyle name="Normal 11 28" xfId="7784" xr:uid="{7F2E711E-1858-4D4D-A2FB-B4B155B7D4B8}"/>
    <cellStyle name="Normal 11 28 10" xfId="7785" xr:uid="{CACA0048-A1A6-43E9-87F0-7AB54D99684A}"/>
    <cellStyle name="Normal 11 28 11" xfId="7786" xr:uid="{3EB582D3-7BDB-4002-9F81-BBA61688F6EA}"/>
    <cellStyle name="Normal 11 28 12" xfId="7787" xr:uid="{A0AF52E9-33A7-4160-94DD-F45D5AD02B7E}"/>
    <cellStyle name="Normal 11 28 13" xfId="7788" xr:uid="{9816BEC4-56A2-497C-AB14-25F9FFB28428}"/>
    <cellStyle name="Normal 11 28 14" xfId="7789" xr:uid="{BC835CFE-8858-435B-A566-C8A1ACBAC3F7}"/>
    <cellStyle name="Normal 11 28 15" xfId="7790" xr:uid="{05593F60-F3D8-40BC-9B00-27DCA2E8B4C5}"/>
    <cellStyle name="Normal 11 28 16" xfId="7791" xr:uid="{D49E59C5-F6C2-4A62-9C1A-A2ABBC1AE7A1}"/>
    <cellStyle name="Normal 11 28 17" xfId="7792" xr:uid="{669BD164-EF7E-4C55-AD3C-455244C855EA}"/>
    <cellStyle name="Normal 11 28 18" xfId="7793" xr:uid="{5701D9DF-8252-40A5-B51F-C1721923095B}"/>
    <cellStyle name="Normal 11 28 19" xfId="7794" xr:uid="{EEFBCD69-2BA3-41BC-AEF0-8026DC01BE9A}"/>
    <cellStyle name="Normal 11 28 2" xfId="7795" xr:uid="{8A6AC943-AA62-482A-A409-73659B8A2568}"/>
    <cellStyle name="Normal 11 28 20" xfId="7796" xr:uid="{9244052D-77DD-4AF3-8BD3-CEE47FB5A453}"/>
    <cellStyle name="Normal 11 28 21" xfId="7797" xr:uid="{7FA3DED6-2135-49AB-8CEF-C2776B28C889}"/>
    <cellStyle name="Normal 11 28 22" xfId="7798" xr:uid="{A2A3752A-E4A8-4D6B-AFC3-3F78A2DEB1C3}"/>
    <cellStyle name="Normal 11 28 23" xfId="7799" xr:uid="{60B2EBFD-1F1B-4AA0-9F6D-BD2900A99B78}"/>
    <cellStyle name="Normal 11 28 24" xfId="7800" xr:uid="{C94F9AF1-786E-48BC-A7BE-3D6D57DD1AC7}"/>
    <cellStyle name="Normal 11 28 25" xfId="7801" xr:uid="{0378F543-0B1A-46C2-B862-F22317BC50B6}"/>
    <cellStyle name="Normal 11 28 26" xfId="7802" xr:uid="{12CBEE36-AD48-4B17-AC38-BF6D5DA1192C}"/>
    <cellStyle name="Normal 11 28 27" xfId="7803" xr:uid="{D997290C-4E11-4EBC-B942-A8CF8C231B95}"/>
    <cellStyle name="Normal 11 28 28" xfId="7804" xr:uid="{4B5EA7B6-9327-4B19-BBFC-31A2B1C10FAC}"/>
    <cellStyle name="Normal 11 28 29" xfId="7805" xr:uid="{025ED8AF-4C4D-456C-99F0-C1F97651A05B}"/>
    <cellStyle name="Normal 11 28 3" xfId="7806" xr:uid="{6FD35BAC-36BF-4371-91CF-67D1EC221209}"/>
    <cellStyle name="Normal 11 28 30" xfId="7807" xr:uid="{F48881C7-B49A-4401-AB93-3E55C743F81F}"/>
    <cellStyle name="Normal 11 28 31" xfId="7808" xr:uid="{105B88AE-D368-446C-BCA0-D8B15A32CF22}"/>
    <cellStyle name="Normal 11 28 32" xfId="7809" xr:uid="{C832AFCE-7AC2-4B9F-974F-62DE4F23202F}"/>
    <cellStyle name="Normal 11 28 33" xfId="7810" xr:uid="{01704E1D-F939-4E46-874E-4D32CB4E323A}"/>
    <cellStyle name="Normal 11 28 34" xfId="7811" xr:uid="{D520CABB-4040-4260-8242-B9628F40C818}"/>
    <cellStyle name="Normal 11 28 35" xfId="7812" xr:uid="{BDDD02AA-2BA5-434E-8659-C73B15C41CCF}"/>
    <cellStyle name="Normal 11 28 36" xfId="7813" xr:uid="{897374F9-D489-49BB-A0A4-D9B24DA34308}"/>
    <cellStyle name="Normal 11 28 37" xfId="7814" xr:uid="{6FC15938-8244-4981-B70F-C30CF032D79A}"/>
    <cellStyle name="Normal 11 28 4" xfId="7815" xr:uid="{F8E1E51F-ECA6-4374-ACB6-12C5661CF530}"/>
    <cellStyle name="Normal 11 28 5" xfId="7816" xr:uid="{A15AFCE9-F9BF-45B0-9257-0491565E08BC}"/>
    <cellStyle name="Normal 11 28 6" xfId="7817" xr:uid="{65B13B6F-27B2-42E2-9477-003C5A5A5415}"/>
    <cellStyle name="Normal 11 28 7" xfId="7818" xr:uid="{810710AA-369B-4694-8BB3-83032ABB592C}"/>
    <cellStyle name="Normal 11 28 8" xfId="7819" xr:uid="{3F1BEC40-C044-428E-AE56-9454E2D2A34B}"/>
    <cellStyle name="Normal 11 28 9" xfId="7820" xr:uid="{6E898E91-A2CB-47EA-AD27-BCB0D3A4A4F2}"/>
    <cellStyle name="Normal 11 29" xfId="7821" xr:uid="{693DF5D2-721D-434B-A0ED-D28060400490}"/>
    <cellStyle name="Normal 11 29 10" xfId="7822" xr:uid="{DC9000C0-0595-4DB0-92DF-EEA7E685F46D}"/>
    <cellStyle name="Normal 11 29 11" xfId="7823" xr:uid="{E2E008F7-5280-4299-B5F3-164A4E44126F}"/>
    <cellStyle name="Normal 11 29 12" xfId="7824" xr:uid="{76C4FDA0-AED0-4EEF-80AC-D27521AE17DA}"/>
    <cellStyle name="Normal 11 29 13" xfId="7825" xr:uid="{CB935D5E-1303-45CA-8DC6-562AD808ADB7}"/>
    <cellStyle name="Normal 11 29 14" xfId="7826" xr:uid="{D79AB239-88B7-4725-A514-258511DCA9B1}"/>
    <cellStyle name="Normal 11 29 15" xfId="7827" xr:uid="{D7E3B345-F9C0-4BBB-92A3-1D93A7274347}"/>
    <cellStyle name="Normal 11 29 16" xfId="7828" xr:uid="{9FC7D1C8-7784-4449-9E36-BCC09132CA44}"/>
    <cellStyle name="Normal 11 29 17" xfId="7829" xr:uid="{490BD463-83B5-4C29-ACD0-3C4E64FB9C0C}"/>
    <cellStyle name="Normal 11 29 18" xfId="7830" xr:uid="{322C8D42-B4A9-4444-9040-00FA59BE76B8}"/>
    <cellStyle name="Normal 11 29 19" xfId="7831" xr:uid="{A1EFA5E7-2244-4227-82F4-6CC9F25FA247}"/>
    <cellStyle name="Normal 11 29 2" xfId="7832" xr:uid="{4BCC915F-B8A7-4BDF-B3CF-EBE5B1EA85FC}"/>
    <cellStyle name="Normal 11 29 20" xfId="7833" xr:uid="{9222D758-6378-4477-9469-50DB81CB40F5}"/>
    <cellStyle name="Normal 11 29 21" xfId="7834" xr:uid="{E818F147-8681-4CE5-8EC8-FC97170514D5}"/>
    <cellStyle name="Normal 11 29 22" xfId="7835" xr:uid="{241DD9E3-8396-477F-97E5-A21FB99C6131}"/>
    <cellStyle name="Normal 11 29 23" xfId="7836" xr:uid="{66844F2B-3C86-4D8A-B14F-858CC33FBDE7}"/>
    <cellStyle name="Normal 11 29 24" xfId="7837" xr:uid="{1353CAAB-74A1-4E29-9F8E-E595C4016152}"/>
    <cellStyle name="Normal 11 29 25" xfId="7838" xr:uid="{0849B3D3-CB9A-41E4-95DB-9F31013333B4}"/>
    <cellStyle name="Normal 11 29 26" xfId="7839" xr:uid="{A135067E-6C5B-4480-9544-8BC3230D1B75}"/>
    <cellStyle name="Normal 11 29 27" xfId="7840" xr:uid="{CE2F21F7-C3D2-4570-A8DC-295F6AB2F3B2}"/>
    <cellStyle name="Normal 11 29 28" xfId="7841" xr:uid="{C1C50427-CB45-4937-BE8A-D3D0888B8AFF}"/>
    <cellStyle name="Normal 11 29 29" xfId="7842" xr:uid="{F92A6A9F-AB4E-4D55-A9AF-C0C396D0C0B7}"/>
    <cellStyle name="Normal 11 29 3" xfId="7843" xr:uid="{9CABEEA1-B24F-4550-94DD-29CD9387F143}"/>
    <cellStyle name="Normal 11 29 30" xfId="7844" xr:uid="{25623ECF-BB17-464F-B7A2-2B5BAEF63B13}"/>
    <cellStyle name="Normal 11 29 31" xfId="7845" xr:uid="{210CC21C-4E6B-4AC5-9B84-489E0E6F2529}"/>
    <cellStyle name="Normal 11 29 32" xfId="7846" xr:uid="{C606D3AE-0EFF-4D41-A56E-87F24063C705}"/>
    <cellStyle name="Normal 11 29 33" xfId="7847" xr:uid="{976CF043-4123-4885-AF58-5E08AF32D06A}"/>
    <cellStyle name="Normal 11 29 34" xfId="7848" xr:uid="{47B7BB4D-B44E-4A9D-BA1D-F1D14A0D44B4}"/>
    <cellStyle name="Normal 11 29 35" xfId="7849" xr:uid="{5C3113DF-463B-4B3D-A7CC-0AB38488BA1E}"/>
    <cellStyle name="Normal 11 29 36" xfId="7850" xr:uid="{90BBF447-2977-4FA1-9FEA-884276833329}"/>
    <cellStyle name="Normal 11 29 37" xfId="7851" xr:uid="{0D5A4637-06A6-4823-AD0A-D1753D1050BD}"/>
    <cellStyle name="Normal 11 29 4" xfId="7852" xr:uid="{77ED14E2-D4C8-467C-9379-81A0475279EC}"/>
    <cellStyle name="Normal 11 29 5" xfId="7853" xr:uid="{A9D37FC3-C3D1-4CE7-84B2-9E63BFDF0A28}"/>
    <cellStyle name="Normal 11 29 6" xfId="7854" xr:uid="{A6A1B951-C863-4983-AB2D-E9CF64611A5F}"/>
    <cellStyle name="Normal 11 29 7" xfId="7855" xr:uid="{C1DD57C5-E966-43BF-B90C-91E3ECCCB33B}"/>
    <cellStyle name="Normal 11 29 8" xfId="7856" xr:uid="{FFE32A51-57C1-4BE8-9934-FE9C873EF373}"/>
    <cellStyle name="Normal 11 29 9" xfId="7857" xr:uid="{911EA3D3-565E-48C9-8DC0-FB8A52D2A0B9}"/>
    <cellStyle name="Normal 11 3" xfId="7" xr:uid="{00000000-0005-0000-0000-000006000000}"/>
    <cellStyle name="Normal 11 3 10" xfId="7859" xr:uid="{72E71E5F-6706-4C95-94EC-A005258AA902}"/>
    <cellStyle name="Normal 11 3 10 2" xfId="7860" xr:uid="{4FBAF660-AC31-428D-9B54-19D61C912C9C}"/>
    <cellStyle name="Normal 11 3 10 2 2" xfId="7861" xr:uid="{E38B53E6-FB2F-40E0-B510-8DFAFB822DD2}"/>
    <cellStyle name="Normal 11 3 10 2 3" xfId="7862" xr:uid="{4B1DF471-88CB-4FD9-B09D-17D33D24862E}"/>
    <cellStyle name="Normal 11 3 10 2 4" xfId="7863" xr:uid="{C9C1F10A-6749-4767-A97F-F942CC65F820}"/>
    <cellStyle name="Normal 11 3 10 3" xfId="7864" xr:uid="{FC182942-FADC-4D75-9F91-9F0BFBE3DA0A}"/>
    <cellStyle name="Normal 11 3 10 3 2" xfId="7865" xr:uid="{51A6CC19-27C1-4C02-A194-C79CDBA1C1E3}"/>
    <cellStyle name="Normal 11 3 10 3 3" xfId="7866" xr:uid="{7F308833-FE22-44D0-9282-9D8F76ECA4EE}"/>
    <cellStyle name="Normal 11 3 10 3 4" xfId="7867" xr:uid="{9CFA0143-ACA7-48AA-B7A8-9B77E9D473D3}"/>
    <cellStyle name="Normal 11 3 10 4" xfId="7868" xr:uid="{0C8D0296-FFFB-4DA7-89B6-C0238A88D528}"/>
    <cellStyle name="Normal 11 3 10 5" xfId="7869" xr:uid="{DBAD31E5-5939-4B6F-8632-12D5F28C5377}"/>
    <cellStyle name="Normal 11 3 10 6" xfId="7870" xr:uid="{71EE0E20-2462-412E-A43A-92E14B05DA06}"/>
    <cellStyle name="Normal 11 3 11" xfId="7871" xr:uid="{B2C6BDF7-7940-4D0E-A313-F2D60F72F93A}"/>
    <cellStyle name="Normal 11 3 11 2" xfId="7872" xr:uid="{0BBC3BD3-9A53-4741-BA00-AD2B973F6FCA}"/>
    <cellStyle name="Normal 11 3 11 2 2" xfId="7873" xr:uid="{9FC29F20-FC85-4E4F-8279-52E2589737C7}"/>
    <cellStyle name="Normal 11 3 11 2 3" xfId="7874" xr:uid="{16D5DE9B-AD65-4749-9AEE-8F92D160A722}"/>
    <cellStyle name="Normal 11 3 11 2 4" xfId="7875" xr:uid="{DFD3E325-265C-4BBF-A272-759E082EF006}"/>
    <cellStyle name="Normal 11 3 11 3" xfId="7876" xr:uid="{DE5ADA9A-7C51-4448-8D59-4AC1489FAF59}"/>
    <cellStyle name="Normal 11 3 11 3 2" xfId="7877" xr:uid="{8FF5C7B2-769B-41D7-9E5D-DF6A6DFC974C}"/>
    <cellStyle name="Normal 11 3 11 3 3" xfId="7878" xr:uid="{A30F74EC-3C36-4C29-AF64-5EF3374FD68C}"/>
    <cellStyle name="Normal 11 3 11 3 4" xfId="7879" xr:uid="{9B0018E2-1D18-4317-9CF9-9090884D26F9}"/>
    <cellStyle name="Normal 11 3 11 4" xfId="7880" xr:uid="{AE7A1DF0-E6CA-46B8-BC3E-70F315F8C110}"/>
    <cellStyle name="Normal 11 3 11 5" xfId="7881" xr:uid="{91C27F04-3B3E-46EE-A9E1-1FB95735806E}"/>
    <cellStyle name="Normal 11 3 11 6" xfId="7882" xr:uid="{A94418D0-EB15-496C-9E5B-5ED6304F4AA0}"/>
    <cellStyle name="Normal 11 3 12" xfId="7883" xr:uid="{83C17918-21BC-4375-9226-B12BF25F730A}"/>
    <cellStyle name="Normal 11 3 12 2" xfId="7884" xr:uid="{C4956FB5-84FC-4144-A3E8-27B88773185F}"/>
    <cellStyle name="Normal 11 3 12 2 2" xfId="7885" xr:uid="{5765F051-0ED1-49EE-85DA-DED26998D82C}"/>
    <cellStyle name="Normal 11 3 12 2 3" xfId="7886" xr:uid="{6AAE6367-22DF-42C9-BCB6-97093ED0E718}"/>
    <cellStyle name="Normal 11 3 12 2 4" xfId="7887" xr:uid="{2DFF7567-8430-47CC-95D6-360DB167C1CF}"/>
    <cellStyle name="Normal 11 3 12 3" xfId="7888" xr:uid="{3A1480CE-AF15-45B7-94FA-7A72F39BB8DE}"/>
    <cellStyle name="Normal 11 3 12 3 2" xfId="7889" xr:uid="{7A4617AA-E5C2-4CAA-B9A3-3DC991CCD7DA}"/>
    <cellStyle name="Normal 11 3 12 3 3" xfId="7890" xr:uid="{51E8A97E-7FFE-427C-989D-62E720E33087}"/>
    <cellStyle name="Normal 11 3 12 3 4" xfId="7891" xr:uid="{D50B56F8-CD27-441D-9FCF-D56370B734FE}"/>
    <cellStyle name="Normal 11 3 12 4" xfId="7892" xr:uid="{A2411B0C-FC56-47FF-9F09-0BA2D5A6C3D7}"/>
    <cellStyle name="Normal 11 3 12 5" xfId="7893" xr:uid="{FE3967F9-1336-4073-8A9C-2E9453AD17B3}"/>
    <cellStyle name="Normal 11 3 12 6" xfId="7894" xr:uid="{64B436E7-9A30-4BA4-90AB-997B474CFA6E}"/>
    <cellStyle name="Normal 11 3 13" xfId="7895" xr:uid="{029ECDF0-FBC0-453E-93E5-640D7667F391}"/>
    <cellStyle name="Normal 11 3 13 2" xfId="7896" xr:uid="{23C17649-B0B8-4424-8387-B21EC6F8AB5A}"/>
    <cellStyle name="Normal 11 3 13 2 2" xfId="7897" xr:uid="{913A993F-FC11-4F50-8A28-8A1617BCCD5E}"/>
    <cellStyle name="Normal 11 3 13 2 3" xfId="7898" xr:uid="{D9B02B8F-75D2-4F11-83FB-5A75DF24D68F}"/>
    <cellStyle name="Normal 11 3 13 2 4" xfId="7899" xr:uid="{849C58F3-7378-4225-9883-F305821E8B62}"/>
    <cellStyle name="Normal 11 3 13 3" xfId="7900" xr:uid="{8378AD87-BDE2-409B-80C4-F47A8BED57C4}"/>
    <cellStyle name="Normal 11 3 13 3 2" xfId="7901" xr:uid="{064E8C98-992B-4D6D-9632-2EEB689A87E9}"/>
    <cellStyle name="Normal 11 3 13 3 3" xfId="7902" xr:uid="{9F30C75E-19A6-4174-9BBB-770EB7EFCE50}"/>
    <cellStyle name="Normal 11 3 13 3 4" xfId="7903" xr:uid="{6F542C15-F9AF-4D1A-85BB-529697CACA79}"/>
    <cellStyle name="Normal 11 3 13 4" xfId="7904" xr:uid="{704068A0-E462-4AB3-A4AF-025D9DF89805}"/>
    <cellStyle name="Normal 11 3 13 5" xfId="7905" xr:uid="{FD416B05-AD2C-4384-AAFF-8229635F597E}"/>
    <cellStyle name="Normal 11 3 13 6" xfId="7906" xr:uid="{F1959DA8-FCB7-4B21-B2BC-035C9098A55C}"/>
    <cellStyle name="Normal 11 3 14" xfId="7907" xr:uid="{54E38AA7-811E-4256-A03A-83F4FB4BEA17}"/>
    <cellStyle name="Normal 11 3 14 2" xfId="7908" xr:uid="{199D11BF-A975-4BF6-A916-FC484E39BC99}"/>
    <cellStyle name="Normal 11 3 14 2 2" xfId="7909" xr:uid="{5B2F2331-B23A-4C15-8613-62E7FDDF07BF}"/>
    <cellStyle name="Normal 11 3 14 2 3" xfId="7910" xr:uid="{BABF3C11-95E4-4B43-806B-54D00444DF48}"/>
    <cellStyle name="Normal 11 3 14 2 4" xfId="7911" xr:uid="{E6C8DC7A-EE0C-4E16-86EE-5D3DB2A3473C}"/>
    <cellStyle name="Normal 11 3 14 3" xfId="7912" xr:uid="{07FEA486-8A05-4A4C-858D-16272B4DB3C7}"/>
    <cellStyle name="Normal 11 3 14 3 2" xfId="7913" xr:uid="{DCAD0317-99DF-4B13-B639-1F1533BCABC6}"/>
    <cellStyle name="Normal 11 3 14 3 3" xfId="7914" xr:uid="{0DA4CFC3-C79E-4D0A-BA82-CAB54012D8B8}"/>
    <cellStyle name="Normal 11 3 14 3 4" xfId="7915" xr:uid="{68DFFC37-5479-4BFE-A379-8F45061AF2AF}"/>
    <cellStyle name="Normal 11 3 14 4" xfId="7916" xr:uid="{47FBC890-56C6-410E-83BF-F8F2C7ECCC0B}"/>
    <cellStyle name="Normal 11 3 14 5" xfId="7917" xr:uid="{472F1100-51B2-4BE2-B631-7C2FB3ABC727}"/>
    <cellStyle name="Normal 11 3 14 6" xfId="7918" xr:uid="{2ACE39FE-576F-452E-9831-A1B1F9033DE5}"/>
    <cellStyle name="Normal 11 3 15" xfId="7919" xr:uid="{DBC0C1D6-D02C-4D97-A528-54FD374F4DC2}"/>
    <cellStyle name="Normal 11 3 15 2" xfId="7920" xr:uid="{5612990C-E370-4808-B52E-5312349D39A1}"/>
    <cellStyle name="Normal 11 3 15 2 2" xfId="7921" xr:uid="{4111EBF3-3744-4578-B2CF-288887B1F602}"/>
    <cellStyle name="Normal 11 3 15 2 3" xfId="7922" xr:uid="{59B5D966-0B3C-4498-8E7E-4FE66EBFCEC4}"/>
    <cellStyle name="Normal 11 3 15 2 4" xfId="7923" xr:uid="{766786D3-56BC-4345-88D3-EDBB5576DE8C}"/>
    <cellStyle name="Normal 11 3 15 3" xfId="7924" xr:uid="{5E9F793E-DDF8-4652-B940-DD7CDC720182}"/>
    <cellStyle name="Normal 11 3 15 3 2" xfId="7925" xr:uid="{203296C6-1D80-40DD-BB47-E99A6933AE6E}"/>
    <cellStyle name="Normal 11 3 15 3 3" xfId="7926" xr:uid="{B50DA346-45B9-4373-BBA1-2095B176A051}"/>
    <cellStyle name="Normal 11 3 15 3 4" xfId="7927" xr:uid="{BDC2342C-82E0-4E59-94E1-D9CA366D2884}"/>
    <cellStyle name="Normal 11 3 15 4" xfId="7928" xr:uid="{9ABD3E35-7211-4A61-AB96-0AE9C1EAE2C2}"/>
    <cellStyle name="Normal 11 3 15 5" xfId="7929" xr:uid="{3D5CD1E5-02FD-40E9-9B66-6FF0F4894FCA}"/>
    <cellStyle name="Normal 11 3 15 6" xfId="7930" xr:uid="{DBA2926D-2C66-4A78-B07F-A29CE247E0C9}"/>
    <cellStyle name="Normal 11 3 16" xfId="7931" xr:uid="{34E7A948-65E5-4782-B696-808D00FA9051}"/>
    <cellStyle name="Normal 11 3 16 2" xfId="7932" xr:uid="{60C136B3-3417-42E3-A251-2B63E56F25CF}"/>
    <cellStyle name="Normal 11 3 16 2 2" xfId="7933" xr:uid="{FD775E57-5094-4AC0-B346-B4EF2A9EFA77}"/>
    <cellStyle name="Normal 11 3 16 2 3" xfId="7934" xr:uid="{94B75046-5BA4-4B54-8FD1-AC75C2BA31EE}"/>
    <cellStyle name="Normal 11 3 16 2 4" xfId="7935" xr:uid="{F2D273B0-440F-40B5-AD1B-703B2600C2E5}"/>
    <cellStyle name="Normal 11 3 16 3" xfId="7936" xr:uid="{E3F93C71-6CDD-43D3-B7CD-D586F1168754}"/>
    <cellStyle name="Normal 11 3 16 3 2" xfId="7937" xr:uid="{5D1460B2-ED5E-483C-ABEF-3CAB834CC2AC}"/>
    <cellStyle name="Normal 11 3 16 3 3" xfId="7938" xr:uid="{F2BD159A-ACDF-4004-AFE7-F933D52A5A48}"/>
    <cellStyle name="Normal 11 3 16 3 4" xfId="7939" xr:uid="{5929FA70-78BB-43DA-96E2-05D32B9A1AA8}"/>
    <cellStyle name="Normal 11 3 16 4" xfId="7940" xr:uid="{1BF29B47-2165-4A3C-A137-E2CE968B3D29}"/>
    <cellStyle name="Normal 11 3 16 5" xfId="7941" xr:uid="{51206F93-8B51-40F2-AE49-4756F44DA33F}"/>
    <cellStyle name="Normal 11 3 16 6" xfId="7942" xr:uid="{E5DF1F85-8660-42AE-8797-4E81D5152596}"/>
    <cellStyle name="Normal 11 3 17" xfId="7943" xr:uid="{BF2E0025-FFAA-4655-98D1-9A8813CDE7E4}"/>
    <cellStyle name="Normal 11 3 17 2" xfId="7944" xr:uid="{F58E8D01-F4CB-43D5-9072-6D599AA62BFD}"/>
    <cellStyle name="Normal 11 3 17 2 2" xfId="7945" xr:uid="{88FFC12C-FBA8-4802-87E4-D97F0DD9C219}"/>
    <cellStyle name="Normal 11 3 17 2 3" xfId="7946" xr:uid="{A4CCC4C4-F879-486A-B91B-318809B3A6C8}"/>
    <cellStyle name="Normal 11 3 17 2 4" xfId="7947" xr:uid="{CB477347-8B15-4BA8-91E8-C84E0F0204E4}"/>
    <cellStyle name="Normal 11 3 17 3" xfId="7948" xr:uid="{A5BABBDF-4BE4-44C7-917A-4689F43342C2}"/>
    <cellStyle name="Normal 11 3 17 3 2" xfId="7949" xr:uid="{D730B7C1-0105-40AD-ABBB-F884B1ADAB99}"/>
    <cellStyle name="Normal 11 3 17 3 3" xfId="7950" xr:uid="{E22455A0-56F5-4778-8239-5AB18A35CB1C}"/>
    <cellStyle name="Normal 11 3 17 3 4" xfId="7951" xr:uid="{92CE1981-AED9-4F01-AE08-840741A2375A}"/>
    <cellStyle name="Normal 11 3 17 4" xfId="7952" xr:uid="{593EFBB8-D0F2-4192-A66B-64AC66DD43DB}"/>
    <cellStyle name="Normal 11 3 17 5" xfId="7953" xr:uid="{06F21E33-9C1F-4FC8-9CBD-F3710DB0A533}"/>
    <cellStyle name="Normal 11 3 17 6" xfId="7954" xr:uid="{BB060BEE-0578-43BD-9AAD-5FF5C100E598}"/>
    <cellStyle name="Normal 11 3 18" xfId="7955" xr:uid="{46A68D61-318B-4F5D-BDC4-CD2993A436FC}"/>
    <cellStyle name="Normal 11 3 18 2" xfId="7956" xr:uid="{AEDEE660-261A-440F-BBD5-6AF6AC256729}"/>
    <cellStyle name="Normal 11 3 18 3" xfId="7957" xr:uid="{2323201B-5B60-4E2D-9AD0-7A8F62401853}"/>
    <cellStyle name="Normal 11 3 18 4" xfId="7958" xr:uid="{1E19FAD0-544F-4688-8008-D9BC6046E309}"/>
    <cellStyle name="Normal 11 3 19" xfId="7959" xr:uid="{0BD8F888-DF73-44C0-8464-4F8E4DF3B6A0}"/>
    <cellStyle name="Normal 11 3 19 2" xfId="7960" xr:uid="{C0946D52-385C-4BE3-BE21-805653B3F8A2}"/>
    <cellStyle name="Normal 11 3 19 3" xfId="7961" xr:uid="{3331BDA4-4822-4E5B-BF11-E6A69DD7E1E8}"/>
    <cellStyle name="Normal 11 3 19 4" xfId="7962" xr:uid="{A334EDC8-E430-45B6-BEB1-0B013AE9DD28}"/>
    <cellStyle name="Normal 11 3 2" xfId="7963" xr:uid="{5A01AA41-41CE-4DF3-8B1C-847FE7754368}"/>
    <cellStyle name="Normal 11 3 2 2" xfId="7964" xr:uid="{38766071-39C2-47AC-9FD4-E8714AA372CC}"/>
    <cellStyle name="Normal 11 3 2 2 2" xfId="7965" xr:uid="{5B3A38CB-CFBC-4E17-8560-B8D6E9C94B5F}"/>
    <cellStyle name="Normal 11 3 2 2 3" xfId="7966" xr:uid="{9C3709AA-25E9-4761-9C8D-7E809295FDC9}"/>
    <cellStyle name="Normal 11 3 2 2 4" xfId="7967" xr:uid="{6767CFC3-0426-4EDA-9A7F-B849AEA8E573}"/>
    <cellStyle name="Normal 11 3 2 3" xfId="7968" xr:uid="{9212B2A5-C659-48B3-AC94-2E14EE9C247A}"/>
    <cellStyle name="Normal 11 3 2 3 2" xfId="7969" xr:uid="{4C392E36-4193-4F01-8B92-DC776D93CF42}"/>
    <cellStyle name="Normal 11 3 2 3 3" xfId="7970" xr:uid="{4DC37F1A-708C-4E0D-9602-197502F4E490}"/>
    <cellStyle name="Normal 11 3 2 3 4" xfId="7971" xr:uid="{69B3F9DB-548A-48DB-B640-D92F078B6324}"/>
    <cellStyle name="Normal 11 3 2 4" xfId="7972" xr:uid="{F64FF97B-AF3D-4BD3-845E-40D49E2C066B}"/>
    <cellStyle name="Normal 11 3 2 5" xfId="7973" xr:uid="{7FA25A24-80D1-4C84-BCFD-B9D11E8297B8}"/>
    <cellStyle name="Normal 11 3 2 6" xfId="7974" xr:uid="{62085C73-1621-42BB-8852-B575344B5D60}"/>
    <cellStyle name="Normal 11 3 20" xfId="7975" xr:uid="{F99D43CB-5946-4771-97E2-B09D83BBB1EA}"/>
    <cellStyle name="Normal 11 3 20 2" xfId="7976" xr:uid="{A2BD962D-6043-4934-B71D-3C20AA88201E}"/>
    <cellStyle name="Normal 11 3 20 3" xfId="7977" xr:uid="{1B349C4B-67A8-4A0E-BB66-842343494477}"/>
    <cellStyle name="Normal 11 3 20 4" xfId="7978" xr:uid="{AE86C2ED-19FA-44CD-997F-67AB65210BBB}"/>
    <cellStyle name="Normal 11 3 21" xfId="7979" xr:uid="{CEE2529F-7017-452F-8684-059F2E09A818}"/>
    <cellStyle name="Normal 11 3 22" xfId="7980" xr:uid="{E9E26820-7CDF-4621-9732-9A96F790DCAF}"/>
    <cellStyle name="Normal 11 3 23" xfId="7981" xr:uid="{A9D94E8D-3DBE-45E8-A6BE-EEC86F5C1260}"/>
    <cellStyle name="Normal 11 3 24" xfId="7982" xr:uid="{3367AAB7-FE68-4596-8B71-8D2A7BE3E0A6}"/>
    <cellStyle name="Normal 11 3 25" xfId="7983" xr:uid="{86A13057-C692-432A-BA24-FB57DBB78FA7}"/>
    <cellStyle name="Normal 11 3 26" xfId="7984" xr:uid="{A20B2B95-4518-44C1-A2BD-D251F4E213C5}"/>
    <cellStyle name="Normal 11 3 27" xfId="7985" xr:uid="{938EAF77-3934-4680-8B6B-9500B987BCB8}"/>
    <cellStyle name="Normal 11 3 28" xfId="7986" xr:uid="{E272A47D-421B-410C-9743-09C31D535C8B}"/>
    <cellStyle name="Normal 11 3 29" xfId="7987" xr:uid="{6BD2037F-C125-47B4-85D2-DD561CB630BB}"/>
    <cellStyle name="Normal 11 3 3" xfId="7988" xr:uid="{E0126989-D01A-44D4-8CDD-F080E3090689}"/>
    <cellStyle name="Normal 11 3 3 2" xfId="7989" xr:uid="{CEE4B1AA-AFD0-4CDB-A035-0E2044468453}"/>
    <cellStyle name="Normal 11 3 3 2 2" xfId="7990" xr:uid="{BFBAB68F-A6AC-49A4-A54F-A64402844BA1}"/>
    <cellStyle name="Normal 11 3 3 2 3" xfId="7991" xr:uid="{AF3B5E2B-946D-43D5-8B58-CA060F37BA03}"/>
    <cellStyle name="Normal 11 3 3 2 4" xfId="7992" xr:uid="{AD0847D1-DFBA-49FF-813F-88971291369E}"/>
    <cellStyle name="Normal 11 3 3 3" xfId="7993" xr:uid="{43BC7817-3818-478C-B9FD-07913C3C5C79}"/>
    <cellStyle name="Normal 11 3 3 3 2" xfId="7994" xr:uid="{622E2DFF-E2D1-4B94-93A6-A01A0D570322}"/>
    <cellStyle name="Normal 11 3 3 3 3" xfId="7995" xr:uid="{8CAE858F-33A3-4325-BCD5-6416EE65C240}"/>
    <cellStyle name="Normal 11 3 3 3 4" xfId="7996" xr:uid="{F726F26E-F91A-4358-AED9-E7EFE9773DA1}"/>
    <cellStyle name="Normal 11 3 3 4" xfId="7997" xr:uid="{68208FF1-DF15-4970-ABFC-9DC5E47E2C5D}"/>
    <cellStyle name="Normal 11 3 3 5" xfId="7998" xr:uid="{C0612844-9911-41A9-A05F-0018A91A395D}"/>
    <cellStyle name="Normal 11 3 3 6" xfId="7999" xr:uid="{F8A9815B-BF87-473C-9B4C-63F3ACF26ACE}"/>
    <cellStyle name="Normal 11 3 30" xfId="8000" xr:uid="{31C30D81-F7C5-4769-A63B-FAE2FD7F6B4E}"/>
    <cellStyle name="Normal 11 3 31" xfId="8001" xr:uid="{BFF20DB1-7101-428A-B4E9-2EEF47F91A8B}"/>
    <cellStyle name="Normal 11 3 32" xfId="8002" xr:uid="{5001A999-E734-4FDD-9E49-F0DEA3FD6282}"/>
    <cellStyle name="Normal 11 3 33" xfId="8003" xr:uid="{7195AAB2-7710-46CC-9FFF-2A2A17C9990F}"/>
    <cellStyle name="Normal 11 3 34" xfId="8004" xr:uid="{9B400DFD-7FBE-400C-B978-EB36BE5FA1C0}"/>
    <cellStyle name="Normal 11 3 35" xfId="8005" xr:uid="{39DAD95C-37A9-4AB9-BE54-35D5AA0A2B4F}"/>
    <cellStyle name="Normal 11 3 36" xfId="8006" xr:uid="{1898DDED-D372-4A76-8664-3B87E4F45AD5}"/>
    <cellStyle name="Normal 11 3 37" xfId="8007" xr:uid="{836708E2-F885-4EED-BA7E-10376213F8F4}"/>
    <cellStyle name="Normal 11 3 38" xfId="8008" xr:uid="{DD287EF0-CEE3-4365-A634-D5467FACBB09}"/>
    <cellStyle name="Normal 11 3 39" xfId="8009" xr:uid="{6C673A3A-BF5D-4179-9861-88601B1DFDCC}"/>
    <cellStyle name="Normal 11 3 4" xfId="8010" xr:uid="{58292F14-E6EF-4BE3-8F52-5A1CB94035F3}"/>
    <cellStyle name="Normal 11 3 4 2" xfId="8011" xr:uid="{3F366118-5AF6-47EB-9322-7941C9FE9961}"/>
    <cellStyle name="Normal 11 3 4 2 2" xfId="8012" xr:uid="{5C1CB7E2-B287-4B90-9D9F-4BCF1578B055}"/>
    <cellStyle name="Normal 11 3 4 2 3" xfId="8013" xr:uid="{1D7D3ED2-EF05-4B11-9C31-057073FB9BBD}"/>
    <cellStyle name="Normal 11 3 4 2 4" xfId="8014" xr:uid="{B6EF5407-5330-43ED-BEB4-855E45569D38}"/>
    <cellStyle name="Normal 11 3 4 3" xfId="8015" xr:uid="{06134B18-3E20-45E4-A43B-BBEA39E81137}"/>
    <cellStyle name="Normal 11 3 4 3 2" xfId="8016" xr:uid="{1F814B93-3977-4226-945D-B46C41F8BDD6}"/>
    <cellStyle name="Normal 11 3 4 3 3" xfId="8017" xr:uid="{A4C18597-98AA-41F5-BB50-B40BC17222DA}"/>
    <cellStyle name="Normal 11 3 4 3 4" xfId="8018" xr:uid="{E3347495-20DF-4FDB-8C79-EEA9728A5324}"/>
    <cellStyle name="Normal 11 3 4 4" xfId="8019" xr:uid="{1B3412D6-0ADD-4ACA-A1D7-0F1CC134C7D2}"/>
    <cellStyle name="Normal 11 3 4 5" xfId="8020" xr:uid="{74DE099B-902F-41E0-B1BB-00296938343F}"/>
    <cellStyle name="Normal 11 3 4 6" xfId="8021" xr:uid="{045AF33F-1191-4616-8347-2F286FD44F2C}"/>
    <cellStyle name="Normal 11 3 40" xfId="8022" xr:uid="{5C9B8256-1083-4810-8A41-159274D9EBB8}"/>
    <cellStyle name="Normal 11 3 41" xfId="8023" xr:uid="{7062DC87-1AD2-4E59-A9B8-369D5F9E419E}"/>
    <cellStyle name="Normal 11 3 42" xfId="8024" xr:uid="{1B008D06-B379-4C4C-A5D7-6069DC6F96A0}"/>
    <cellStyle name="Normal 11 3 43" xfId="8025" xr:uid="{7DBF193E-2DA5-4927-93AA-695560AF22E8}"/>
    <cellStyle name="Normal 11 3 44" xfId="8026" xr:uid="{0369F82B-881D-4291-8668-933625FCA2E9}"/>
    <cellStyle name="Normal 11 3 45" xfId="8027" xr:uid="{C2C55FD3-F188-4886-9CB6-4F0433F802C1}"/>
    <cellStyle name="Normal 11 3 46" xfId="8028" xr:uid="{6BAA3A09-78DF-4987-946F-452C7FED5EB0}"/>
    <cellStyle name="Normal 11 3 47" xfId="8029" xr:uid="{4588AF27-9DD4-487F-B475-72BBD0086421}"/>
    <cellStyle name="Normal 11 3 48" xfId="8030" xr:uid="{D0405748-44ED-4A8D-A99D-9A98143EF484}"/>
    <cellStyle name="Normal 11 3 49" xfId="8031" xr:uid="{060F3CEA-772F-4231-9444-D17276A1E035}"/>
    <cellStyle name="Normal 11 3 5" xfId="8032" xr:uid="{59F14656-255B-43BB-8A96-A17FAD6457C7}"/>
    <cellStyle name="Normal 11 3 5 2" xfId="8033" xr:uid="{9CB4FAF9-AA17-4F12-9CBF-96EC423907B5}"/>
    <cellStyle name="Normal 11 3 5 2 2" xfId="8034" xr:uid="{76750754-A1E6-484C-AAFF-6AED479464EF}"/>
    <cellStyle name="Normal 11 3 5 2 3" xfId="8035" xr:uid="{F186CD33-E0A7-4546-AE96-4E5C25DA6B58}"/>
    <cellStyle name="Normal 11 3 5 2 4" xfId="8036" xr:uid="{39567614-61EC-4D19-89A9-2673285AABC6}"/>
    <cellStyle name="Normal 11 3 5 3" xfId="8037" xr:uid="{5CA677CD-83F9-4BF9-8E37-A3619D440FAB}"/>
    <cellStyle name="Normal 11 3 5 3 2" xfId="8038" xr:uid="{41D07C40-2CB4-49CC-A1A7-CA3F9C53EA29}"/>
    <cellStyle name="Normal 11 3 5 3 3" xfId="8039" xr:uid="{FC44A3BD-9B39-46B5-82FF-9DF9A9BC8895}"/>
    <cellStyle name="Normal 11 3 5 3 4" xfId="8040" xr:uid="{15E25396-4B34-4F4F-8D92-8ACF53F4DBB0}"/>
    <cellStyle name="Normal 11 3 5 4" xfId="8041" xr:uid="{EC9A01B2-1D27-445C-8B62-E03646B2C72E}"/>
    <cellStyle name="Normal 11 3 5 5" xfId="8042" xr:uid="{7BCAC60B-E7D6-4AFE-8DBA-FD0B629A48EB}"/>
    <cellStyle name="Normal 11 3 5 6" xfId="8043" xr:uid="{A80D9AF2-E944-4429-AFAC-E2D9431D1BE3}"/>
    <cellStyle name="Normal 11 3 50" xfId="8044" xr:uid="{9035DA9A-A5F8-4EB7-BE31-65D011801D17}"/>
    <cellStyle name="Normal 11 3 51" xfId="8045" xr:uid="{27F86FC7-9DB6-4A59-A3B5-BB328D48CF6D}"/>
    <cellStyle name="Normal 11 3 52" xfId="8046" xr:uid="{5DB21FDF-7F2C-46F7-80B2-3406B7D1994D}"/>
    <cellStyle name="Normal 11 3 53" xfId="7858" xr:uid="{AFA3AD73-5791-4EB6-91D8-28B8E708E3F9}"/>
    <cellStyle name="Normal 11 3 6" xfId="8047" xr:uid="{34C45DDB-17AC-421C-951F-A768A1A2D268}"/>
    <cellStyle name="Normal 11 3 6 2" xfId="8048" xr:uid="{F05EABFD-FC0A-4468-B7BC-73523FD610DA}"/>
    <cellStyle name="Normal 11 3 6 2 2" xfId="8049" xr:uid="{66E981D7-91BA-406C-81A5-4B1C83FFF73E}"/>
    <cellStyle name="Normal 11 3 6 2 3" xfId="8050" xr:uid="{C39E7DF3-B740-4B65-ADB4-E95BECAFFB39}"/>
    <cellStyle name="Normal 11 3 6 2 4" xfId="8051" xr:uid="{5369C6B0-03E6-4090-A5FC-888DB5C56883}"/>
    <cellStyle name="Normal 11 3 6 3" xfId="8052" xr:uid="{568C4886-0E54-4239-86B7-15655FBFE11A}"/>
    <cellStyle name="Normal 11 3 6 3 2" xfId="8053" xr:uid="{206506B4-CBD4-44A7-8B3B-5B18658C73EF}"/>
    <cellStyle name="Normal 11 3 6 3 3" xfId="8054" xr:uid="{4767F11E-BE05-49A8-801E-E47BBAE8D157}"/>
    <cellStyle name="Normal 11 3 6 3 4" xfId="8055" xr:uid="{51A7EBC3-CEE5-484A-AC0A-4E67F01F70A3}"/>
    <cellStyle name="Normal 11 3 6 4" xfId="8056" xr:uid="{BC6AFE25-E9B2-437B-A7DA-6E6ABFE9F687}"/>
    <cellStyle name="Normal 11 3 6 5" xfId="8057" xr:uid="{CB102C23-A09F-41F9-88CA-C3A1060A3731}"/>
    <cellStyle name="Normal 11 3 6 6" xfId="8058" xr:uid="{4399B9AA-C0DD-4BD1-A0D1-E417EA4788B4}"/>
    <cellStyle name="Normal 11 3 7" xfId="8059" xr:uid="{6B649666-9590-4F83-8731-F5214716E83E}"/>
    <cellStyle name="Normal 11 3 7 2" xfId="8060" xr:uid="{86B12D24-92E0-416F-8EC7-8C03F0EB255E}"/>
    <cellStyle name="Normal 11 3 7 2 2" xfId="8061" xr:uid="{7587ECC0-7D43-47E0-9C9D-EB2A806C104A}"/>
    <cellStyle name="Normal 11 3 7 2 3" xfId="8062" xr:uid="{D5EEB4B2-17D2-4088-8C33-491397D2E717}"/>
    <cellStyle name="Normal 11 3 7 2 4" xfId="8063" xr:uid="{38AB5AFF-1487-4398-957F-C1A058F7EB74}"/>
    <cellStyle name="Normal 11 3 7 3" xfId="8064" xr:uid="{1783FEC1-70E1-4887-AE9F-21435E9BB979}"/>
    <cellStyle name="Normal 11 3 7 3 2" xfId="8065" xr:uid="{1C3AA821-FC87-41B6-AF15-6737E657B103}"/>
    <cellStyle name="Normal 11 3 7 3 3" xfId="8066" xr:uid="{7C3A9378-16B0-494B-B9A2-73B4326D1D9E}"/>
    <cellStyle name="Normal 11 3 7 3 4" xfId="8067" xr:uid="{0FD019ED-EB0F-4BD7-B4D0-0706737BB9B3}"/>
    <cellStyle name="Normal 11 3 7 4" xfId="8068" xr:uid="{86A1150D-2C9F-4701-86D1-64EB3285886B}"/>
    <cellStyle name="Normal 11 3 7 5" xfId="8069" xr:uid="{04AA66BE-7035-4CC9-98EA-301939335C61}"/>
    <cellStyle name="Normal 11 3 7 6" xfId="8070" xr:uid="{CDBCDD45-6437-4C8B-A897-164F2FC099A7}"/>
    <cellStyle name="Normal 11 3 8" xfId="8071" xr:uid="{D46E186D-8A98-46CB-80C4-903A31343CCC}"/>
    <cellStyle name="Normal 11 3 8 2" xfId="8072" xr:uid="{E06B9EB1-C2FB-4BE4-8BF6-9EED68986BAD}"/>
    <cellStyle name="Normal 11 3 8 2 2" xfId="8073" xr:uid="{07A15151-EC86-4298-8C0F-73D27D01765F}"/>
    <cellStyle name="Normal 11 3 8 2 3" xfId="8074" xr:uid="{C0762218-E93C-4065-A2DF-FC85A1558CBB}"/>
    <cellStyle name="Normal 11 3 8 2 4" xfId="8075" xr:uid="{1216721A-FDD0-488D-9326-9726A958245E}"/>
    <cellStyle name="Normal 11 3 8 3" xfId="8076" xr:uid="{1E50A2E7-B184-4792-B943-C7B9E934629F}"/>
    <cellStyle name="Normal 11 3 8 3 2" xfId="8077" xr:uid="{DF13AD95-8981-4DBB-8BBE-042DD5BFA5A3}"/>
    <cellStyle name="Normal 11 3 8 3 3" xfId="8078" xr:uid="{88AC2EE1-FC9A-4DC3-AD6A-1D0EFE7CC3E0}"/>
    <cellStyle name="Normal 11 3 8 3 4" xfId="8079" xr:uid="{2B4C57A5-64FA-4B1F-A1FC-2568A9C441B3}"/>
    <cellStyle name="Normal 11 3 8 4" xfId="8080" xr:uid="{C580CCBE-AD8F-4A6D-B570-2FBC08A30849}"/>
    <cellStyle name="Normal 11 3 8 5" xfId="8081" xr:uid="{39A1400E-C7AB-4979-86FF-E71A886127B7}"/>
    <cellStyle name="Normal 11 3 8 6" xfId="8082" xr:uid="{F83D137A-1B43-471C-B69A-B58025DBDC05}"/>
    <cellStyle name="Normal 11 3 9" xfId="8083" xr:uid="{D0DB4584-3114-42E9-AF55-FB3C5477685E}"/>
    <cellStyle name="Normal 11 3 9 2" xfId="8084" xr:uid="{C17B6C29-9F68-465B-BDBA-2F62970A25B1}"/>
    <cellStyle name="Normal 11 3 9 2 2" xfId="8085" xr:uid="{0A728C40-6A8F-4D12-8C9F-6B985EFD5164}"/>
    <cellStyle name="Normal 11 3 9 2 3" xfId="8086" xr:uid="{CE84A59D-683D-4C81-A0CC-5193BDFDC42B}"/>
    <cellStyle name="Normal 11 3 9 2 4" xfId="8087" xr:uid="{686C79A4-E102-45A8-A72D-5A47DDACCE35}"/>
    <cellStyle name="Normal 11 3 9 3" xfId="8088" xr:uid="{89F6963F-47C9-4A50-B210-5B367BC51D9A}"/>
    <cellStyle name="Normal 11 3 9 3 2" xfId="8089" xr:uid="{424EE09A-1B50-47FF-9FA8-956D2876B958}"/>
    <cellStyle name="Normal 11 3 9 3 3" xfId="8090" xr:uid="{33C8F98C-B3A6-4E52-A0DD-C410393B63BA}"/>
    <cellStyle name="Normal 11 3 9 3 4" xfId="8091" xr:uid="{ACA7B2D6-5164-442A-AB41-4B8F7F22CCEC}"/>
    <cellStyle name="Normal 11 3 9 4" xfId="8092" xr:uid="{5190CB07-2026-4874-91FE-D2C0A6FE83E2}"/>
    <cellStyle name="Normal 11 3 9 5" xfId="8093" xr:uid="{EB388EA5-5EBD-4317-B023-2B19498A3373}"/>
    <cellStyle name="Normal 11 3 9 6" xfId="8094" xr:uid="{63E3954D-05DD-4EE5-9FE0-5698F9065312}"/>
    <cellStyle name="Normal 11 30" xfId="8095" xr:uid="{E133E676-737B-4ECD-8C01-F1A78ED81806}"/>
    <cellStyle name="Normal 11 30 10" xfId="8096" xr:uid="{3F6790EF-EA73-44E6-A30D-2845736CEA63}"/>
    <cellStyle name="Normal 11 30 11" xfId="8097" xr:uid="{EEA25179-4ED0-4FCE-9A7A-ADFAF3F89157}"/>
    <cellStyle name="Normal 11 30 12" xfId="8098" xr:uid="{C50ED0E7-D690-49A6-8A1E-CC579CDA01A7}"/>
    <cellStyle name="Normal 11 30 13" xfId="8099" xr:uid="{A687A451-70D7-449D-AD17-F1AE20715DFE}"/>
    <cellStyle name="Normal 11 30 14" xfId="8100" xr:uid="{D529D79A-5040-4710-8425-CD974694DE78}"/>
    <cellStyle name="Normal 11 30 15" xfId="8101" xr:uid="{A6D3BCB9-8E45-4E5A-8088-81D37A6035B8}"/>
    <cellStyle name="Normal 11 30 16" xfId="8102" xr:uid="{CF2041A6-3578-4ADC-92E8-052FC32E8BE7}"/>
    <cellStyle name="Normal 11 30 17" xfId="8103" xr:uid="{7363FF3E-7F61-4BE8-9C7B-B54A9B65D85E}"/>
    <cellStyle name="Normal 11 30 18" xfId="8104" xr:uid="{03F4E45D-8DAA-42CC-9689-9293058B2765}"/>
    <cellStyle name="Normal 11 30 19" xfId="8105" xr:uid="{F8AD7EC3-042E-4F0A-ACCE-5C95EE8B8D48}"/>
    <cellStyle name="Normal 11 30 2" xfId="8106" xr:uid="{78AAB574-37DF-4AF8-BB1A-F509AAE719C8}"/>
    <cellStyle name="Normal 11 30 20" xfId="8107" xr:uid="{E60EDD77-4CD7-4CDF-9B30-30B0AA04A3DA}"/>
    <cellStyle name="Normal 11 30 21" xfId="8108" xr:uid="{BBE9774B-A51A-4F83-9E9F-BAE74903DD6F}"/>
    <cellStyle name="Normal 11 30 22" xfId="8109" xr:uid="{00FCA1F2-D7D2-424E-AD5A-635BE361B31A}"/>
    <cellStyle name="Normal 11 30 23" xfId="8110" xr:uid="{D5CD5F83-0E27-484E-B75C-3A13E3FC808B}"/>
    <cellStyle name="Normal 11 30 24" xfId="8111" xr:uid="{67A7572A-4E6B-4AC8-9CA1-8144C4DF9FB5}"/>
    <cellStyle name="Normal 11 30 25" xfId="8112" xr:uid="{820CE43D-3B05-49C5-812A-EA8F3A066A85}"/>
    <cellStyle name="Normal 11 30 26" xfId="8113" xr:uid="{919CE312-E4FD-4C98-80DF-B279EEF3E747}"/>
    <cellStyle name="Normal 11 30 27" xfId="8114" xr:uid="{10E009C9-6EB8-4772-89A4-33EB4A2D13E9}"/>
    <cellStyle name="Normal 11 30 28" xfId="8115" xr:uid="{ABFA8D58-EFD9-47B1-8D13-66A6424E13C9}"/>
    <cellStyle name="Normal 11 30 29" xfId="8116" xr:uid="{919F2995-42CB-4C2C-8C34-2F314EF2B5AF}"/>
    <cellStyle name="Normal 11 30 3" xfId="8117" xr:uid="{E55512EB-4D2D-4131-BC85-CD88B2D92B1B}"/>
    <cellStyle name="Normal 11 30 30" xfId="8118" xr:uid="{A2E8E6B8-5980-4FB0-87E8-50607DBED273}"/>
    <cellStyle name="Normal 11 30 31" xfId="8119" xr:uid="{17BD2DD1-6F4A-4FCF-9AD2-563BC9AFA998}"/>
    <cellStyle name="Normal 11 30 32" xfId="8120" xr:uid="{5FD23286-BDCE-4A3A-A84A-6990269A486B}"/>
    <cellStyle name="Normal 11 30 33" xfId="8121" xr:uid="{82DCFD29-E56B-4780-B502-04289AE26C53}"/>
    <cellStyle name="Normal 11 30 34" xfId="8122" xr:uid="{163749B4-A831-47FC-B4A0-48B0B7399ABE}"/>
    <cellStyle name="Normal 11 30 35" xfId="8123" xr:uid="{CE1926EA-D85F-40DE-9C54-2AAA1C334F1F}"/>
    <cellStyle name="Normal 11 30 36" xfId="8124" xr:uid="{AED5BCB2-F99A-4DEB-8CA2-6BE9B29CEF48}"/>
    <cellStyle name="Normal 11 30 37" xfId="8125" xr:uid="{D77F6BBA-B504-41E5-8793-94417E4271EA}"/>
    <cellStyle name="Normal 11 30 4" xfId="8126" xr:uid="{7FB59B32-961F-448F-8051-047B995A42FD}"/>
    <cellStyle name="Normal 11 30 5" xfId="8127" xr:uid="{0B507755-9C1F-4E45-A0F9-0D5801C6388D}"/>
    <cellStyle name="Normal 11 30 6" xfId="8128" xr:uid="{4D5F19FE-94FC-4A7E-993D-981CF8F2039F}"/>
    <cellStyle name="Normal 11 30 7" xfId="8129" xr:uid="{A4AFD37D-2131-4CC0-A10F-6F3E232CDFFE}"/>
    <cellStyle name="Normal 11 30 8" xfId="8130" xr:uid="{42B5C046-E13D-4604-B9B0-5DCDBA6DB5D7}"/>
    <cellStyle name="Normal 11 30 9" xfId="8131" xr:uid="{582732CB-9BFA-4F49-B0BB-24E8525C1B18}"/>
    <cellStyle name="Normal 11 31" xfId="8132" xr:uid="{406ABF10-887A-4EA1-8757-C7F95E1912CC}"/>
    <cellStyle name="Normal 11 31 10" xfId="8133" xr:uid="{A07F5998-BDB9-4A46-B94E-AE6CFC7AF74D}"/>
    <cellStyle name="Normal 11 31 11" xfId="8134" xr:uid="{4FCFA4F5-74FE-4D8C-8543-FD40DFAB3F53}"/>
    <cellStyle name="Normal 11 31 12" xfId="8135" xr:uid="{8773502F-DDFF-4997-A73D-5923BFFBDC01}"/>
    <cellStyle name="Normal 11 31 13" xfId="8136" xr:uid="{4A432C70-510A-4B57-B4D2-C99FA2D9C8C6}"/>
    <cellStyle name="Normal 11 31 14" xfId="8137" xr:uid="{2B27464A-EE1C-4923-8C55-AF1BE043E3FD}"/>
    <cellStyle name="Normal 11 31 15" xfId="8138" xr:uid="{D8912200-D294-4AD2-8FA1-0CC311AF1800}"/>
    <cellStyle name="Normal 11 31 16" xfId="8139" xr:uid="{41B3D903-CA0B-4596-AB1C-E25E4DC2F2E0}"/>
    <cellStyle name="Normal 11 31 17" xfId="8140" xr:uid="{67735C77-0611-473F-9B87-387B44A5D7BA}"/>
    <cellStyle name="Normal 11 31 18" xfId="8141" xr:uid="{CE3BC584-68CB-44CD-87C6-EF4285F0621E}"/>
    <cellStyle name="Normal 11 31 19" xfId="8142" xr:uid="{3AF799E3-CA2F-4398-A071-22F7A271FABD}"/>
    <cellStyle name="Normal 11 31 2" xfId="8143" xr:uid="{70D2980C-D94F-4A9D-9528-6FDE94CB11FB}"/>
    <cellStyle name="Normal 11 31 20" xfId="8144" xr:uid="{D0E8FF41-2431-4516-86BC-6E6B32AFCF9C}"/>
    <cellStyle name="Normal 11 31 21" xfId="8145" xr:uid="{438D1652-3FE8-4CCB-B389-040106C0D367}"/>
    <cellStyle name="Normal 11 31 22" xfId="8146" xr:uid="{201E906F-B2A3-4348-9548-F5B5E51D1C8A}"/>
    <cellStyle name="Normal 11 31 23" xfId="8147" xr:uid="{259BAC8D-D014-4346-8A46-655FEB40DE39}"/>
    <cellStyle name="Normal 11 31 24" xfId="8148" xr:uid="{4ACA9DAA-7F3E-4829-AE9B-731ACEAFD1BF}"/>
    <cellStyle name="Normal 11 31 25" xfId="8149" xr:uid="{66A9A841-C58A-4667-9618-016377E28D19}"/>
    <cellStyle name="Normal 11 31 26" xfId="8150" xr:uid="{A1824185-F5EC-461A-8BC0-5EDEAFE3C226}"/>
    <cellStyle name="Normal 11 31 27" xfId="8151" xr:uid="{F8179467-E976-4BC6-87FE-70BC1A329FD4}"/>
    <cellStyle name="Normal 11 31 28" xfId="8152" xr:uid="{88727BB2-12C7-439E-BF99-9FDBC7A7E815}"/>
    <cellStyle name="Normal 11 31 29" xfId="8153" xr:uid="{8A1538D1-1FD1-475A-990B-33A1C312DC7F}"/>
    <cellStyle name="Normal 11 31 3" xfId="8154" xr:uid="{BF5CB92E-B952-4056-B8E3-AB73B132F274}"/>
    <cellStyle name="Normal 11 31 30" xfId="8155" xr:uid="{0608EFBF-725C-4B08-8373-87EB7C046A72}"/>
    <cellStyle name="Normal 11 31 31" xfId="8156" xr:uid="{025EDC96-E245-4BB9-9F20-2E085A937207}"/>
    <cellStyle name="Normal 11 31 32" xfId="8157" xr:uid="{A374CA26-DAEB-47FD-81CD-8FA57B1A30A6}"/>
    <cellStyle name="Normal 11 31 33" xfId="8158" xr:uid="{E2B175B4-59F7-4926-A41D-07D439FF359F}"/>
    <cellStyle name="Normal 11 31 34" xfId="8159" xr:uid="{C81A1814-EFB6-495E-8C75-7DC058769C67}"/>
    <cellStyle name="Normal 11 31 35" xfId="8160" xr:uid="{711AD4D3-FB28-43DF-98D2-414CF8B3AB36}"/>
    <cellStyle name="Normal 11 31 36" xfId="8161" xr:uid="{1D9E1E14-BAC5-4D46-9641-9F030DC55C1A}"/>
    <cellStyle name="Normal 11 31 37" xfId="8162" xr:uid="{3E6A99EF-8E39-404C-824C-D0570BEF9915}"/>
    <cellStyle name="Normal 11 31 4" xfId="8163" xr:uid="{5F351BB4-18C0-40D3-BB5E-A203B6A6FE31}"/>
    <cellStyle name="Normal 11 31 5" xfId="8164" xr:uid="{E935A79C-DA57-4162-9E40-EDD9761B3D01}"/>
    <cellStyle name="Normal 11 31 6" xfId="8165" xr:uid="{1FC70910-95C6-4743-9B8C-BC637FFF3E0E}"/>
    <cellStyle name="Normal 11 31 7" xfId="8166" xr:uid="{0BD22277-C071-4102-9508-2E606A38FF9C}"/>
    <cellStyle name="Normal 11 31 8" xfId="8167" xr:uid="{ABE76FE3-74A8-40B9-A745-05F9D4006963}"/>
    <cellStyle name="Normal 11 31 9" xfId="8168" xr:uid="{BC9492DB-B998-43EB-BD94-223C12595E1D}"/>
    <cellStyle name="Normal 11 32" xfId="8169" xr:uid="{E84338BB-E044-4603-984E-9B4BAEF98C19}"/>
    <cellStyle name="Normal 11 32 10" xfId="8170" xr:uid="{A0D90BD2-4E98-4A8C-88BC-B73C428F31AD}"/>
    <cellStyle name="Normal 11 32 11" xfId="8171" xr:uid="{EC4F4E82-247B-45A6-9136-6F50BE16D430}"/>
    <cellStyle name="Normal 11 32 12" xfId="8172" xr:uid="{463D2EE9-8D5D-41A3-9DF9-34AADF94968F}"/>
    <cellStyle name="Normal 11 32 13" xfId="8173" xr:uid="{2658DECA-61D7-4B36-8701-BB11519257EC}"/>
    <cellStyle name="Normal 11 32 14" xfId="8174" xr:uid="{BCB3D4A5-368F-407D-A0A3-D5CB939C200F}"/>
    <cellStyle name="Normal 11 32 15" xfId="8175" xr:uid="{A10D3650-8C5C-4163-88C4-7454BAF2A26F}"/>
    <cellStyle name="Normal 11 32 16" xfId="8176" xr:uid="{6E745E9B-8DF2-46A6-815E-E92C00476B11}"/>
    <cellStyle name="Normal 11 32 17" xfId="8177" xr:uid="{2B5C9D21-55E3-4D41-884F-18C7F729F06D}"/>
    <cellStyle name="Normal 11 32 18" xfId="8178" xr:uid="{51EEED06-D602-4417-9950-DA189ECAAE76}"/>
    <cellStyle name="Normal 11 32 19" xfId="8179" xr:uid="{1963FC0C-2E6A-4F5A-8644-4790DAA41FA0}"/>
    <cellStyle name="Normal 11 32 2" xfId="8180" xr:uid="{C42034E9-F251-4F59-850C-6886C5E93BD9}"/>
    <cellStyle name="Normal 11 32 20" xfId="8181" xr:uid="{F693B491-4D6F-4EF9-885E-77B11470F93A}"/>
    <cellStyle name="Normal 11 32 21" xfId="8182" xr:uid="{16AAC454-35EE-43BB-A543-A6A3F848CFA0}"/>
    <cellStyle name="Normal 11 32 22" xfId="8183" xr:uid="{CDDDEF5D-0E31-4CD5-BBE6-D8537321A646}"/>
    <cellStyle name="Normal 11 32 23" xfId="8184" xr:uid="{42449875-3B3C-4A7F-9116-CE05B69D0A4B}"/>
    <cellStyle name="Normal 11 32 24" xfId="8185" xr:uid="{A447A423-578D-42CF-BA1E-4B62705F03CD}"/>
    <cellStyle name="Normal 11 32 25" xfId="8186" xr:uid="{82517201-2FC1-47E3-90E5-A06E6692E61B}"/>
    <cellStyle name="Normal 11 32 26" xfId="8187" xr:uid="{0A78DAAF-FBD9-4EE7-95DC-583D72DC4B65}"/>
    <cellStyle name="Normal 11 32 27" xfId="8188" xr:uid="{0E42C26C-CC03-4FDE-B922-8006DFFC227F}"/>
    <cellStyle name="Normal 11 32 28" xfId="8189" xr:uid="{EC1E344C-373A-4959-AAF2-423C85CA6492}"/>
    <cellStyle name="Normal 11 32 29" xfId="8190" xr:uid="{FE155216-65AC-4A82-A4CA-390D82491D80}"/>
    <cellStyle name="Normal 11 32 3" xfId="8191" xr:uid="{FFA3F0D9-5458-4C0E-B359-B037A2D3BAA3}"/>
    <cellStyle name="Normal 11 32 30" xfId="8192" xr:uid="{A1666354-A242-4204-96B3-E3869EA4FEFC}"/>
    <cellStyle name="Normal 11 32 31" xfId="8193" xr:uid="{79CD863F-D859-4833-B779-B3B650F98D46}"/>
    <cellStyle name="Normal 11 32 32" xfId="8194" xr:uid="{EDAE03ED-698E-4983-AB37-C1831B1E6A7A}"/>
    <cellStyle name="Normal 11 32 33" xfId="8195" xr:uid="{6EAD9877-0ABF-4564-8D5D-116A18DE2AFB}"/>
    <cellStyle name="Normal 11 32 34" xfId="8196" xr:uid="{A9F6099D-7C86-4C6C-A026-69EBF31E54EB}"/>
    <cellStyle name="Normal 11 32 35" xfId="8197" xr:uid="{9AFDF795-547C-4831-931D-F589C87C3560}"/>
    <cellStyle name="Normal 11 32 36" xfId="8198" xr:uid="{F2435573-C0C8-4308-A0B9-84AF8E985464}"/>
    <cellStyle name="Normal 11 32 37" xfId="8199" xr:uid="{A868FCB8-BB25-4124-9E63-F58685932EFC}"/>
    <cellStyle name="Normal 11 32 4" xfId="8200" xr:uid="{188A1861-3C48-4DCC-9504-6A08BEB7135D}"/>
    <cellStyle name="Normal 11 32 5" xfId="8201" xr:uid="{D80B9078-D926-46CA-B4FF-2DC9960E8DB5}"/>
    <cellStyle name="Normal 11 32 6" xfId="8202" xr:uid="{BA2520EA-7A8E-41A1-9A7E-4FA57D673A21}"/>
    <cellStyle name="Normal 11 32 7" xfId="8203" xr:uid="{7D06F795-198C-4374-98E5-8C73913E9BEE}"/>
    <cellStyle name="Normal 11 32 8" xfId="8204" xr:uid="{E23D831A-6CCB-4428-9005-4E3F437754E6}"/>
    <cellStyle name="Normal 11 32 9" xfId="8205" xr:uid="{D635524E-EF71-421D-BCFB-73E137A130DC}"/>
    <cellStyle name="Normal 11 33" xfId="8206" xr:uid="{DC29FB92-3D6B-4977-9703-1263003C84F6}"/>
    <cellStyle name="Normal 11 33 10" xfId="8207" xr:uid="{DA13DB28-9ED4-42E8-AA58-E8F9D9E3A860}"/>
    <cellStyle name="Normal 11 33 11" xfId="8208" xr:uid="{C8C681A5-F3C1-41E2-8AC2-125E5CBA1C0A}"/>
    <cellStyle name="Normal 11 33 12" xfId="8209" xr:uid="{4B39A3D5-FC51-49B9-A473-766554E21185}"/>
    <cellStyle name="Normal 11 33 13" xfId="8210" xr:uid="{AD1E0CF1-E2F4-4815-84EB-C68CA9D74357}"/>
    <cellStyle name="Normal 11 33 14" xfId="8211" xr:uid="{2B4EFB41-1A67-46EC-842B-278105D71EF8}"/>
    <cellStyle name="Normal 11 33 15" xfId="8212" xr:uid="{B0047181-8073-43B9-9AE5-31CFEC849E9D}"/>
    <cellStyle name="Normal 11 33 16" xfId="8213" xr:uid="{244334A3-FAFA-4841-99BB-D270EB09EE5D}"/>
    <cellStyle name="Normal 11 33 17" xfId="8214" xr:uid="{F634760B-AD7D-4FBD-A843-2AECB5463334}"/>
    <cellStyle name="Normal 11 33 18" xfId="8215" xr:uid="{2D7345E2-3974-4732-88A2-0DBF99F7FCC7}"/>
    <cellStyle name="Normal 11 33 19" xfId="8216" xr:uid="{763DB7BB-55AE-42B6-B52E-A95018154019}"/>
    <cellStyle name="Normal 11 33 2" xfId="8217" xr:uid="{44237AD4-4DDB-4827-B5EF-DF3039D0A31B}"/>
    <cellStyle name="Normal 11 33 20" xfId="8218" xr:uid="{35CE23A5-87A2-4EAE-B3A8-85B4CF9F32F7}"/>
    <cellStyle name="Normal 11 33 21" xfId="8219" xr:uid="{3ABBB81B-B932-468D-A84A-E8C89D1EC072}"/>
    <cellStyle name="Normal 11 33 22" xfId="8220" xr:uid="{6B0542AE-BFB2-45E0-9FE4-5FB99B8CF1AA}"/>
    <cellStyle name="Normal 11 33 23" xfId="8221" xr:uid="{55975F9C-F5D4-4E05-97A0-1668956A490F}"/>
    <cellStyle name="Normal 11 33 24" xfId="8222" xr:uid="{8881529A-7593-4E75-BA93-9847C6425CF8}"/>
    <cellStyle name="Normal 11 33 25" xfId="8223" xr:uid="{266BD230-B6B1-4CAB-91B9-B25F0DC7C5F7}"/>
    <cellStyle name="Normal 11 33 26" xfId="8224" xr:uid="{A1AEA1AD-1402-4B9C-A5C8-A865F69272F1}"/>
    <cellStyle name="Normal 11 33 27" xfId="8225" xr:uid="{2057CAD0-403A-4F54-9F54-B36596646C4C}"/>
    <cellStyle name="Normal 11 33 28" xfId="8226" xr:uid="{4DCB0884-71C1-4C79-98A5-25B290970851}"/>
    <cellStyle name="Normal 11 33 29" xfId="8227" xr:uid="{E35807AC-3F73-4337-A8C3-7AEA6C4172FC}"/>
    <cellStyle name="Normal 11 33 3" xfId="8228" xr:uid="{C6906DC4-3F3F-4D03-A1E9-83A972EA8C94}"/>
    <cellStyle name="Normal 11 33 30" xfId="8229" xr:uid="{E977BBE9-0E44-41A2-89F9-3A423488E363}"/>
    <cellStyle name="Normal 11 33 31" xfId="8230" xr:uid="{EF99ECB8-49AD-4E3A-B1BA-385D1D7B550F}"/>
    <cellStyle name="Normal 11 33 32" xfId="8231" xr:uid="{3E227062-5884-4896-A9CE-389B855A5CB5}"/>
    <cellStyle name="Normal 11 33 33" xfId="8232" xr:uid="{CA4D4B9C-B28B-4BAF-8DA0-BC23468B31B2}"/>
    <cellStyle name="Normal 11 33 34" xfId="8233" xr:uid="{2CF30B8B-E8CA-4D57-BFF6-50DC136B5CDB}"/>
    <cellStyle name="Normal 11 33 35" xfId="8234" xr:uid="{E950C31E-9706-4133-9FE0-971769B33B1B}"/>
    <cellStyle name="Normal 11 33 36" xfId="8235" xr:uid="{B51673AA-CA51-49E0-9E5C-73007B54E21A}"/>
    <cellStyle name="Normal 11 33 37" xfId="8236" xr:uid="{80FD73C5-D325-4057-A2E8-6C23ED34BE66}"/>
    <cellStyle name="Normal 11 33 4" xfId="8237" xr:uid="{B8995D1C-0D91-4E56-9149-32BD0499C59E}"/>
    <cellStyle name="Normal 11 33 5" xfId="8238" xr:uid="{6F546615-6C00-4642-A28E-1A3C5C66BCB2}"/>
    <cellStyle name="Normal 11 33 6" xfId="8239" xr:uid="{CD47EC0A-C0D9-4410-B6CC-99719681A3DB}"/>
    <cellStyle name="Normal 11 33 7" xfId="8240" xr:uid="{572509AE-89F0-401D-AD70-D28CCF186BD3}"/>
    <cellStyle name="Normal 11 33 8" xfId="8241" xr:uid="{EEDC94E2-161D-4A7E-A085-B6202EE29691}"/>
    <cellStyle name="Normal 11 33 9" xfId="8242" xr:uid="{8CB9C6DA-E920-4663-AB89-BE0997B01484}"/>
    <cellStyle name="Normal 11 34" xfId="8243" xr:uid="{BE79B243-0DEE-41F4-8268-4EC56D80C817}"/>
    <cellStyle name="Normal 11 34 10" xfId="8244" xr:uid="{3E62EEE3-2034-4CCB-96D0-AD2632A8B983}"/>
    <cellStyle name="Normal 11 34 11" xfId="8245" xr:uid="{CF41A3EA-65F6-4138-83C4-CC888F3995B7}"/>
    <cellStyle name="Normal 11 34 12" xfId="8246" xr:uid="{02BB93C8-63FC-4BA5-A632-7B41FF42F086}"/>
    <cellStyle name="Normal 11 34 13" xfId="8247" xr:uid="{09AD22E1-7332-4680-AF90-0C2A7A903E4D}"/>
    <cellStyle name="Normal 11 34 14" xfId="8248" xr:uid="{75B7F9A0-7E37-408E-9714-80B1D93BF6F5}"/>
    <cellStyle name="Normal 11 34 15" xfId="8249" xr:uid="{574731E6-446C-43ED-9B60-2DE724D818C1}"/>
    <cellStyle name="Normal 11 34 16" xfId="8250" xr:uid="{8FE4AE27-B9B0-4ABB-B364-AE38790CE699}"/>
    <cellStyle name="Normal 11 34 17" xfId="8251" xr:uid="{F1F92FC9-2C1B-4176-B2FE-2472EC590C1A}"/>
    <cellStyle name="Normal 11 34 18" xfId="8252" xr:uid="{A55647EF-20EC-44B1-9D8A-9B5D6EC062D8}"/>
    <cellStyle name="Normal 11 34 19" xfId="8253" xr:uid="{3379540D-5773-483F-961D-093C16D99EFC}"/>
    <cellStyle name="Normal 11 34 2" xfId="8254" xr:uid="{0C99D635-52FD-4EA1-BCDB-B66ECFAC8B7D}"/>
    <cellStyle name="Normal 11 34 20" xfId="8255" xr:uid="{F443256F-5A61-40FA-A2E9-F546D9C4AEB5}"/>
    <cellStyle name="Normal 11 34 21" xfId="8256" xr:uid="{13674139-F8AF-41B7-B070-837CC1A271B7}"/>
    <cellStyle name="Normal 11 34 22" xfId="8257" xr:uid="{9DFC8668-4FD7-44C3-B0BB-433C6DBE8A8A}"/>
    <cellStyle name="Normal 11 34 23" xfId="8258" xr:uid="{805A7E3B-F6BA-4C93-93CC-CEE9FE9FF2E6}"/>
    <cellStyle name="Normal 11 34 24" xfId="8259" xr:uid="{F4004E5C-24B9-4B6E-BFD0-B98381C807B0}"/>
    <cellStyle name="Normal 11 34 25" xfId="8260" xr:uid="{36CC796C-7BF4-4F49-95E6-BE69A90E79C4}"/>
    <cellStyle name="Normal 11 34 26" xfId="8261" xr:uid="{1C6E4D5E-4461-4987-B4BD-A2710CE65A47}"/>
    <cellStyle name="Normal 11 34 27" xfId="8262" xr:uid="{F5F86527-C02C-4E28-BEA3-488F3ACCE57A}"/>
    <cellStyle name="Normal 11 34 28" xfId="8263" xr:uid="{9B69F6BD-C7D0-49BA-8B16-FD119F399042}"/>
    <cellStyle name="Normal 11 34 29" xfId="8264" xr:uid="{CD7B4EE9-C558-40CC-ADBA-0671D13096A4}"/>
    <cellStyle name="Normal 11 34 3" xfId="8265" xr:uid="{FA8DDFB8-B9C3-42F6-B8EB-7BA58967BC35}"/>
    <cellStyle name="Normal 11 34 4" xfId="8266" xr:uid="{DA75CD5D-653C-47C2-8066-008AD14F9079}"/>
    <cellStyle name="Normal 11 34 5" xfId="8267" xr:uid="{68D3DE46-3CA6-46D6-B428-1BCF8407C025}"/>
    <cellStyle name="Normal 11 34 6" xfId="8268" xr:uid="{0E669154-1FCC-4A62-BD16-78CCD0135138}"/>
    <cellStyle name="Normal 11 34 7" xfId="8269" xr:uid="{1F24E0C4-6544-4DFC-95D4-9B7CDF8C44DC}"/>
    <cellStyle name="Normal 11 34 8" xfId="8270" xr:uid="{9F679D6A-3F14-4AEE-B821-F13CB3D6F055}"/>
    <cellStyle name="Normal 11 34 9" xfId="8271" xr:uid="{A7E20EB2-BD83-4E7C-A081-23B94A34EC42}"/>
    <cellStyle name="Normal 11 35" xfId="8272" xr:uid="{0FB3F28F-49F1-4367-89B2-B6A0F9B8F7D1}"/>
    <cellStyle name="Normal 11 36" xfId="8273" xr:uid="{1EA78395-FBAD-4CB0-A4F4-B097407F2597}"/>
    <cellStyle name="Normal 11 37" xfId="8274" xr:uid="{F157D827-7321-48F8-8DE0-99FF2C186E16}"/>
    <cellStyle name="Normal 11 38" xfId="8275" xr:uid="{8AA50536-3FCF-4133-B7A3-C01B626E0479}"/>
    <cellStyle name="Normal 11 39" xfId="8276" xr:uid="{377B812A-3CCE-425F-BDBB-70A3C874AC41}"/>
    <cellStyle name="Normal 11 4" xfId="8277" xr:uid="{6A9A5356-8A56-40BE-B281-8197BCD606E0}"/>
    <cellStyle name="Normal 11 4 10" xfId="8278" xr:uid="{65FFD8B8-DAF6-421D-AA48-42E081C2CE87}"/>
    <cellStyle name="Normal 11 4 11" xfId="8279" xr:uid="{996622DE-8F9F-487E-9867-484596FEE643}"/>
    <cellStyle name="Normal 11 4 12" xfId="8280" xr:uid="{3F284E4A-E100-4AC8-B46E-CD29A23344D1}"/>
    <cellStyle name="Normal 11 4 13" xfId="8281" xr:uid="{E5EBCB2F-40CD-4B20-BC2E-C5EE96359BE3}"/>
    <cellStyle name="Normal 11 4 14" xfId="8282" xr:uid="{4B39A2ED-9A26-400E-85AF-B2336800557C}"/>
    <cellStyle name="Normal 11 4 15" xfId="8283" xr:uid="{6EEA0086-F8BD-4A04-A4C2-CB81D3AAEB3C}"/>
    <cellStyle name="Normal 11 4 16" xfId="8284" xr:uid="{431ED311-C4F7-4B8C-9EB3-6C05CC379EEC}"/>
    <cellStyle name="Normal 11 4 17" xfId="8285" xr:uid="{CB6195AE-CE52-4E54-AE61-BEC300BC2029}"/>
    <cellStyle name="Normal 11 4 18" xfId="8286" xr:uid="{96082AB4-835F-428B-829F-AD0389341E60}"/>
    <cellStyle name="Normal 11 4 19" xfId="8287" xr:uid="{B41A877D-9E1A-4CD3-B099-A42AAE8D0099}"/>
    <cellStyle name="Normal 11 4 2" xfId="8288" xr:uid="{E8EBB8F3-0F9C-4CA1-99E6-67A34F5AA4C3}"/>
    <cellStyle name="Normal 11 4 2 2" xfId="8289" xr:uid="{CD3EFA6A-294E-4DE4-B5A4-25AEE68EB1EF}"/>
    <cellStyle name="Normal 11 4 2 3" xfId="8290" xr:uid="{75025312-37DC-4EFA-B3F7-15756B8D5647}"/>
    <cellStyle name="Normal 11 4 2 4" xfId="8291" xr:uid="{1F74E6B2-8CD0-43D7-96FC-2E4DFEDEA6C9}"/>
    <cellStyle name="Normal 11 4 20" xfId="8292" xr:uid="{A8B9B346-B71A-470E-9766-18FE12666629}"/>
    <cellStyle name="Normal 11 4 21" xfId="8293" xr:uid="{C02288BA-6B13-4C69-8D87-61E220E716B2}"/>
    <cellStyle name="Normal 11 4 22" xfId="8294" xr:uid="{BC784AAD-C565-474E-893F-72F851CFBC92}"/>
    <cellStyle name="Normal 11 4 23" xfId="8295" xr:uid="{A76850A2-4E48-4711-992A-0F6D10E786AA}"/>
    <cellStyle name="Normal 11 4 24" xfId="8296" xr:uid="{BF38EBC4-996D-45F0-BE27-E1BA26A1472F}"/>
    <cellStyle name="Normal 11 4 25" xfId="8297" xr:uid="{BD94D23E-9CA6-4336-A1D1-7665AC0101AE}"/>
    <cellStyle name="Normal 11 4 26" xfId="8298" xr:uid="{1CA6220E-EF3B-4CD6-B267-1A5F6264CBA7}"/>
    <cellStyle name="Normal 11 4 27" xfId="8299" xr:uid="{685ACB9E-5683-4C9C-9C79-45AA198DC344}"/>
    <cellStyle name="Normal 11 4 28" xfId="8300" xr:uid="{9B09892B-D61B-4BFC-ADBF-AD27DC3DE083}"/>
    <cellStyle name="Normal 11 4 29" xfId="8301" xr:uid="{6F06E126-66D6-4B2B-9A68-5C7D1B719205}"/>
    <cellStyle name="Normal 11 4 3" xfId="8302" xr:uid="{16658DC9-D59E-4BF0-8D00-4CD1C38FF3AA}"/>
    <cellStyle name="Normal 11 4 3 2" xfId="8303" xr:uid="{52D0A489-3FDA-4BAB-BA02-71984551F755}"/>
    <cellStyle name="Normal 11 4 3 3" xfId="8304" xr:uid="{286B3326-1527-435A-855F-057349B43A01}"/>
    <cellStyle name="Normal 11 4 3 4" xfId="8305" xr:uid="{E71F959E-D771-4AAB-9487-1549F5E97CD3}"/>
    <cellStyle name="Normal 11 4 30" xfId="8306" xr:uid="{283811B6-6A45-4E92-A2BA-3C70F5946CAD}"/>
    <cellStyle name="Normal 11 4 31" xfId="8307" xr:uid="{9BEAFA7C-A72E-4147-94A4-C0A3C102DDD3}"/>
    <cellStyle name="Normal 11 4 32" xfId="8308" xr:uid="{4054F0BF-638A-4AA9-8034-580CADC90AEA}"/>
    <cellStyle name="Normal 11 4 33" xfId="8309" xr:uid="{933D9A76-A5CE-40AD-8A4D-9FB762B6412B}"/>
    <cellStyle name="Normal 11 4 34" xfId="8310" xr:uid="{10F8F109-D154-4D17-A007-055EAB4DB0BA}"/>
    <cellStyle name="Normal 11 4 35" xfId="8311" xr:uid="{EC4260DD-DBF7-479E-981E-943F8EC54E8E}"/>
    <cellStyle name="Normal 11 4 36" xfId="8312" xr:uid="{D61C480F-3C26-43F5-AA03-8BB8B1BE89D4}"/>
    <cellStyle name="Normal 11 4 37" xfId="8313" xr:uid="{216A65B6-79DC-4664-9B97-93C6C47BEEEE}"/>
    <cellStyle name="Normal 11 4 38" xfId="8314" xr:uid="{D8F22081-7C30-44B2-9A6D-1B0BB42A7622}"/>
    <cellStyle name="Normal 11 4 39" xfId="8315" xr:uid="{540DD1BF-390C-4DD6-B077-93802DD08047}"/>
    <cellStyle name="Normal 11 4 4" xfId="8316" xr:uid="{9A36129E-AA19-4575-9D1D-EDB5A57A23BF}"/>
    <cellStyle name="Normal 11 4 40" xfId="8317" xr:uid="{8F3C50CF-6570-41EE-A753-145FF92039BC}"/>
    <cellStyle name="Normal 11 4 41" xfId="8318" xr:uid="{ACFB5723-9E5B-418C-9E5D-CBB21039BF3B}"/>
    <cellStyle name="Normal 11 4 42" xfId="8319" xr:uid="{B6785CEB-119D-4BC3-9DCA-EF3EB435F135}"/>
    <cellStyle name="Normal 11 4 43" xfId="8320" xr:uid="{A920D0FB-A9C2-4960-841D-CEB0108F218D}"/>
    <cellStyle name="Normal 11 4 44" xfId="8321" xr:uid="{117B1900-5161-42EE-B868-1F28A890F252}"/>
    <cellStyle name="Normal 11 4 45" xfId="8322" xr:uid="{F37AD37A-D077-4822-AADA-6B5AC7A2D08A}"/>
    <cellStyle name="Normal 11 4 46" xfId="8323" xr:uid="{4612A133-CABC-4C75-8121-36B692421684}"/>
    <cellStyle name="Normal 11 4 47" xfId="8324" xr:uid="{6CE8B240-2504-4277-A761-F843FC7D8C58}"/>
    <cellStyle name="Normal 11 4 48" xfId="8325" xr:uid="{56F5ABED-32FD-40FF-B62D-19883A2BBB99}"/>
    <cellStyle name="Normal 11 4 49" xfId="8326" xr:uid="{B8692E8E-2365-4D90-8125-EDF7F1532AB6}"/>
    <cellStyle name="Normal 11 4 5" xfId="8327" xr:uid="{13EE391A-DD1F-44A7-AEAC-D1089B796DF9}"/>
    <cellStyle name="Normal 11 4 50" xfId="8328" xr:uid="{CA0EC8FE-9D84-4041-B7BB-58823B8F2555}"/>
    <cellStyle name="Normal 11 4 51" xfId="8329" xr:uid="{D32C87BA-F782-4671-AF77-D511F98418A7}"/>
    <cellStyle name="Normal 11 4 52" xfId="8330" xr:uid="{5B7C270E-D69A-4756-8DA9-7FCDA0595AFB}"/>
    <cellStyle name="Normal 11 4 6" xfId="8331" xr:uid="{7F5B546F-4DBF-44FB-BBD6-3960959E6328}"/>
    <cellStyle name="Normal 11 4 7" xfId="8332" xr:uid="{E5F62C3B-7DB6-4C62-9E92-D97665D546C6}"/>
    <cellStyle name="Normal 11 4 8" xfId="8333" xr:uid="{0C72CE41-E4F7-4D37-9613-24BF5AC62C98}"/>
    <cellStyle name="Normal 11 4 9" xfId="8334" xr:uid="{1871695C-AA9F-42F7-BCEA-A572D047C885}"/>
    <cellStyle name="Normal 11 40" xfId="8335" xr:uid="{89E93A3C-A7EB-4355-97FE-B94454279B47}"/>
    <cellStyle name="Normal 11 41" xfId="8336" xr:uid="{0C43F1B1-3D79-4DF8-90D2-136B1866CAD8}"/>
    <cellStyle name="Normal 11 5" xfId="8337" xr:uid="{002268C9-E042-4421-8382-3B643BC91A76}"/>
    <cellStyle name="Normal 11 5 10" xfId="8338" xr:uid="{D3BEE47A-BCE2-4203-AF3B-49A350496FF9}"/>
    <cellStyle name="Normal 11 5 11" xfId="8339" xr:uid="{EF9F4BF8-73CF-482D-9A33-5D0C0CD3612C}"/>
    <cellStyle name="Normal 11 5 12" xfId="8340" xr:uid="{BF4C0974-3910-49FE-A205-A0D596F049EC}"/>
    <cellStyle name="Normal 11 5 13" xfId="8341" xr:uid="{75E60C58-D945-4C9B-92F8-BFD570111237}"/>
    <cellStyle name="Normal 11 5 14" xfId="8342" xr:uid="{4A57DEBF-6F24-49C3-8BB2-F2900FFCF086}"/>
    <cellStyle name="Normal 11 5 15" xfId="8343" xr:uid="{C529CDDA-2175-48C9-98DC-86CB5C121A2A}"/>
    <cellStyle name="Normal 11 5 16" xfId="8344" xr:uid="{26E87CE2-CB22-4E1E-A804-372965D7FE76}"/>
    <cellStyle name="Normal 11 5 17" xfId="8345" xr:uid="{FEBB760D-A085-4BFF-916E-93BC80B0FD3E}"/>
    <cellStyle name="Normal 11 5 18" xfId="8346" xr:uid="{820A2ED3-46F2-4EBD-8A36-6BDF66263A60}"/>
    <cellStyle name="Normal 11 5 19" xfId="8347" xr:uid="{7C867D8A-2426-4128-9FF5-4B2701F77208}"/>
    <cellStyle name="Normal 11 5 2" xfId="8348" xr:uid="{B581FE4F-BA79-4191-AFF7-A92015DCE239}"/>
    <cellStyle name="Normal 11 5 2 2" xfId="8349" xr:uid="{1A7BD6F3-7F7D-49DC-BF77-5C0AC2D907DE}"/>
    <cellStyle name="Normal 11 5 2 3" xfId="8350" xr:uid="{BB9E8522-F473-496A-B5D1-476C961D291A}"/>
    <cellStyle name="Normal 11 5 2 4" xfId="8351" xr:uid="{240AA62F-BF82-4E48-A705-372F6B315C59}"/>
    <cellStyle name="Normal 11 5 20" xfId="8352" xr:uid="{C33DE022-2DBA-4196-8E86-9AA127E51547}"/>
    <cellStyle name="Normal 11 5 21" xfId="8353" xr:uid="{D68CF6D7-494C-4971-85BD-4593577AC979}"/>
    <cellStyle name="Normal 11 5 22" xfId="8354" xr:uid="{CC9F04D0-395A-4A9C-8D73-21F0A5BF2586}"/>
    <cellStyle name="Normal 11 5 23" xfId="8355" xr:uid="{CF94D6BA-D400-40A8-A569-DA1CE8655A10}"/>
    <cellStyle name="Normal 11 5 24" xfId="8356" xr:uid="{5DCE46AF-2D2A-48E4-AC0B-E18A08AA3A2D}"/>
    <cellStyle name="Normal 11 5 25" xfId="8357" xr:uid="{34330B0D-A649-455A-AB4A-D86C1AABB6C9}"/>
    <cellStyle name="Normal 11 5 26" xfId="8358" xr:uid="{C03D3806-3702-4046-BBE8-5C928B542776}"/>
    <cellStyle name="Normal 11 5 27" xfId="8359" xr:uid="{F339824F-0322-4C0B-8F48-8A44F54ECF34}"/>
    <cellStyle name="Normal 11 5 28" xfId="8360" xr:uid="{F0561682-61AD-4D1B-B8EF-BDC85F6471C3}"/>
    <cellStyle name="Normal 11 5 29" xfId="8361" xr:uid="{90024DFD-24BE-4B32-A2E1-36EA33B7A982}"/>
    <cellStyle name="Normal 11 5 3" xfId="8362" xr:uid="{E7CB64C4-76A1-4BC9-9BF8-60091E675B3C}"/>
    <cellStyle name="Normal 11 5 3 2" xfId="8363" xr:uid="{28364666-C60D-4F14-81EA-EEDBE7275E21}"/>
    <cellStyle name="Normal 11 5 3 3" xfId="8364" xr:uid="{72EDE0A0-7BAA-4D76-A8D5-71174720932A}"/>
    <cellStyle name="Normal 11 5 3 4" xfId="8365" xr:uid="{060E2032-9CE8-496D-839F-4F4B621FFDE6}"/>
    <cellStyle name="Normal 11 5 30" xfId="8366" xr:uid="{5BD88DC5-6555-4CDB-B490-5EFD0F0EA9EA}"/>
    <cellStyle name="Normal 11 5 31" xfId="8367" xr:uid="{70D5763D-E8D1-4FE7-B7E5-7566038BC142}"/>
    <cellStyle name="Normal 11 5 32" xfId="8368" xr:uid="{2389D8DC-39C7-4912-9233-74E2B2DC4E92}"/>
    <cellStyle name="Normal 11 5 33" xfId="8369" xr:uid="{EDDAA3F9-D943-4993-BB6F-A374E4A08E12}"/>
    <cellStyle name="Normal 11 5 34" xfId="8370" xr:uid="{66394C5F-7F84-438C-9026-63B012A7856E}"/>
    <cellStyle name="Normal 11 5 35" xfId="8371" xr:uid="{EC88AEC9-9C17-4DE0-8F81-18B6C6F1FE9B}"/>
    <cellStyle name="Normal 11 5 36" xfId="8372" xr:uid="{6FCFEAA6-2C14-4784-8304-7A02ADE22F90}"/>
    <cellStyle name="Normal 11 5 37" xfId="8373" xr:uid="{5F14E588-BA31-48CF-8ADC-05F0C312E06C}"/>
    <cellStyle name="Normal 11 5 38" xfId="8374" xr:uid="{60A5F455-68F4-4316-9706-EF7C2062617D}"/>
    <cellStyle name="Normal 11 5 39" xfId="8375" xr:uid="{581EBF40-C68E-4BEC-965F-90E0BCAB8915}"/>
    <cellStyle name="Normal 11 5 4" xfId="8376" xr:uid="{1009F89F-F580-4593-84C5-AD04B03E1FFB}"/>
    <cellStyle name="Normal 11 5 40" xfId="8377" xr:uid="{BCC1A12A-6490-4A82-812F-52D07F2FDBEC}"/>
    <cellStyle name="Normal 11 5 41" xfId="8378" xr:uid="{FDE0BC97-D0EB-44E3-BDD2-CA401817784D}"/>
    <cellStyle name="Normal 11 5 42" xfId="8379" xr:uid="{8C6C7C38-3B20-4C73-8FCD-9E3F4A4A2CF8}"/>
    <cellStyle name="Normal 11 5 43" xfId="8380" xr:uid="{3CB378AF-15E4-45CD-975D-248C0D910F76}"/>
    <cellStyle name="Normal 11 5 44" xfId="8381" xr:uid="{3E6D4BC8-25E6-4FDF-AA22-BE56A2B9DF11}"/>
    <cellStyle name="Normal 11 5 45" xfId="8382" xr:uid="{665D719B-7CFB-4706-8827-E3C1C463488C}"/>
    <cellStyle name="Normal 11 5 46" xfId="8383" xr:uid="{54726477-B7D2-42A2-A266-18F54B3B616D}"/>
    <cellStyle name="Normal 11 5 47" xfId="8384" xr:uid="{353E8470-7973-436E-9E46-28092485FDD1}"/>
    <cellStyle name="Normal 11 5 48" xfId="8385" xr:uid="{78CB45E1-FAD2-4108-A1F4-5F951ABC2A9B}"/>
    <cellStyle name="Normal 11 5 49" xfId="8386" xr:uid="{B41AB65E-A202-4B45-992C-41CEDC0D3785}"/>
    <cellStyle name="Normal 11 5 5" xfId="8387" xr:uid="{E4114298-C70F-44FC-B20E-4F9741EE55E2}"/>
    <cellStyle name="Normal 11 5 50" xfId="8388" xr:uid="{5B6725BB-EA52-4D44-AA05-D6A6ABDE7D69}"/>
    <cellStyle name="Normal 11 5 51" xfId="8389" xr:uid="{B99B029A-BE5B-4C3E-AE5E-726D94199E11}"/>
    <cellStyle name="Normal 11 5 52" xfId="8390" xr:uid="{4C4260B9-45CE-45C4-B22B-685FE1CB7266}"/>
    <cellStyle name="Normal 11 5 6" xfId="8391" xr:uid="{57D21C6B-FF12-440F-8B85-1D94C48DBCA0}"/>
    <cellStyle name="Normal 11 5 7" xfId="8392" xr:uid="{7F138388-14EF-4FF6-9E41-75E87537D73B}"/>
    <cellStyle name="Normal 11 5 8" xfId="8393" xr:uid="{1DC37561-586B-4373-99ED-2ADCE1FBD402}"/>
    <cellStyle name="Normal 11 5 9" xfId="8394" xr:uid="{D7985BFA-6BEB-4545-829C-413AFE3178E2}"/>
    <cellStyle name="Normal 11 6" xfId="8395" xr:uid="{6B246091-CF2A-4B95-8AB1-3060AE162683}"/>
    <cellStyle name="Normal 11 6 10" xfId="8396" xr:uid="{C2DC32CF-CCA1-4580-AB90-F91B3C727288}"/>
    <cellStyle name="Normal 11 6 11" xfId="8397" xr:uid="{017C3DAC-7D83-453D-93C6-8F2667604DC3}"/>
    <cellStyle name="Normal 11 6 12" xfId="8398" xr:uid="{645C7F70-CFDC-4396-8604-FADCFAE67CA8}"/>
    <cellStyle name="Normal 11 6 13" xfId="8399" xr:uid="{81C9F13B-7567-4983-828B-3D9D8007E547}"/>
    <cellStyle name="Normal 11 6 14" xfId="8400" xr:uid="{37B3F0EB-4269-4446-90F1-D3140ED4EAE8}"/>
    <cellStyle name="Normal 11 6 15" xfId="8401" xr:uid="{E90F7227-0340-4AED-BCDB-733C647E29CA}"/>
    <cellStyle name="Normal 11 6 16" xfId="8402" xr:uid="{2F19F875-1D8A-4750-B8F9-097E05572A13}"/>
    <cellStyle name="Normal 11 6 17" xfId="8403" xr:uid="{CAD4F3CA-B015-44B2-9A05-76F2D174B8DA}"/>
    <cellStyle name="Normal 11 6 18" xfId="8404" xr:uid="{3EF03A4C-0592-4520-8341-07720C6BAB1B}"/>
    <cellStyle name="Normal 11 6 19" xfId="8405" xr:uid="{079FFE0B-A4A8-40ED-ABB6-0BB02459FEC4}"/>
    <cellStyle name="Normal 11 6 2" xfId="8406" xr:uid="{90ED15E7-7377-425E-AF2F-D25AC7B11787}"/>
    <cellStyle name="Normal 11 6 2 2" xfId="8407" xr:uid="{E6F0003B-4579-423A-9BCE-D18DD692D2E1}"/>
    <cellStyle name="Normal 11 6 2 3" xfId="8408" xr:uid="{1BF0DB8A-6473-4A33-8070-3140018F5571}"/>
    <cellStyle name="Normal 11 6 2 4" xfId="8409" xr:uid="{DB5FC75E-10FE-4CBD-9235-32B1EBC79240}"/>
    <cellStyle name="Normal 11 6 20" xfId="8410" xr:uid="{31A0C966-276D-44F0-82FC-221848E3198A}"/>
    <cellStyle name="Normal 11 6 21" xfId="8411" xr:uid="{D125249B-AF33-403C-8C9D-69890C43ACEC}"/>
    <cellStyle name="Normal 11 6 22" xfId="8412" xr:uid="{99B3C225-2E70-40FC-9595-27A1BD5998AA}"/>
    <cellStyle name="Normal 11 6 23" xfId="8413" xr:uid="{1B5B4828-85F5-4988-8D13-D65039DA24DE}"/>
    <cellStyle name="Normal 11 6 24" xfId="8414" xr:uid="{B0B6240A-9125-4CD0-A567-BC97F6432439}"/>
    <cellStyle name="Normal 11 6 25" xfId="8415" xr:uid="{E1C3F42F-8556-4D9D-9130-38FFA035BEA8}"/>
    <cellStyle name="Normal 11 6 26" xfId="8416" xr:uid="{ED4C250F-9B3F-4910-8254-08EB6A9A903E}"/>
    <cellStyle name="Normal 11 6 27" xfId="8417" xr:uid="{8EC1F949-9DFB-4239-85DE-7B43DA6E6578}"/>
    <cellStyle name="Normal 11 6 28" xfId="8418" xr:uid="{294A8C41-CF39-411E-8B30-40987C0E3802}"/>
    <cellStyle name="Normal 11 6 29" xfId="8419" xr:uid="{168B340D-4162-4576-8458-4CF82438A84A}"/>
    <cellStyle name="Normal 11 6 3" xfId="8420" xr:uid="{57070767-F05D-43DA-9C88-D3C13C53C3F1}"/>
    <cellStyle name="Normal 11 6 3 2" xfId="8421" xr:uid="{4D1BA8A6-A2F0-45A5-97D5-E6E1B7F60339}"/>
    <cellStyle name="Normal 11 6 3 3" xfId="8422" xr:uid="{09D9AA44-7B1D-4B83-B9C6-90B6E359E32A}"/>
    <cellStyle name="Normal 11 6 3 4" xfId="8423" xr:uid="{F3C47F67-CF83-4722-BC40-8DA3B8A73953}"/>
    <cellStyle name="Normal 11 6 30" xfId="8424" xr:uid="{6E50054E-70C9-4866-A8FC-942FEAE37742}"/>
    <cellStyle name="Normal 11 6 31" xfId="8425" xr:uid="{BAEF26D2-90E5-4760-8066-55AF5DFB6176}"/>
    <cellStyle name="Normal 11 6 32" xfId="8426" xr:uid="{A94D0E3B-7F4A-4594-9FAE-538E2AFC45D2}"/>
    <cellStyle name="Normal 11 6 33" xfId="8427" xr:uid="{AC2C5057-E668-4EA3-A7F8-7718E0B2A9B0}"/>
    <cellStyle name="Normal 11 6 34" xfId="8428" xr:uid="{695E9DFA-51A2-4A0C-B408-E30297FF9E99}"/>
    <cellStyle name="Normal 11 6 35" xfId="8429" xr:uid="{139B1254-547E-46A5-AF79-D3E31ECEEAF5}"/>
    <cellStyle name="Normal 11 6 36" xfId="8430" xr:uid="{8CBA4AAD-E0E9-4BAA-967B-FF180C1512B9}"/>
    <cellStyle name="Normal 11 6 37" xfId="8431" xr:uid="{FCBB61DB-2CB0-443D-9FF3-E3083D34F148}"/>
    <cellStyle name="Normal 11 6 38" xfId="8432" xr:uid="{38CD1025-6D79-4B89-8D55-C8CE55A77A68}"/>
    <cellStyle name="Normal 11 6 39" xfId="8433" xr:uid="{211389CB-EAD3-4F58-B535-CB8170CE864A}"/>
    <cellStyle name="Normal 11 6 4" xfId="8434" xr:uid="{9914082B-B370-4FC0-B908-743A7DDDF604}"/>
    <cellStyle name="Normal 11 6 40" xfId="8435" xr:uid="{C89228E1-34FD-4E99-9E41-DE9C972FCC84}"/>
    <cellStyle name="Normal 11 6 41" xfId="8436" xr:uid="{A5BF65B6-9FEB-48CF-9B87-8F6CFEFBB125}"/>
    <cellStyle name="Normal 11 6 42" xfId="8437" xr:uid="{CC391C8B-C1A9-4E90-84BA-172189C8D28B}"/>
    <cellStyle name="Normal 11 6 43" xfId="8438" xr:uid="{1ABEF27D-683F-4825-8576-A54E4A126830}"/>
    <cellStyle name="Normal 11 6 44" xfId="8439" xr:uid="{59F4B124-C60F-4DF1-98C1-D60FE39893DD}"/>
    <cellStyle name="Normal 11 6 45" xfId="8440" xr:uid="{E1D13CAA-F549-47BA-AEF2-0E1398251741}"/>
    <cellStyle name="Normal 11 6 46" xfId="8441" xr:uid="{B5BADE22-8A10-4C39-8E13-4B0E902F2400}"/>
    <cellStyle name="Normal 11 6 47" xfId="8442" xr:uid="{3B772963-5ACB-4592-9359-8FC1DAE00AFA}"/>
    <cellStyle name="Normal 11 6 48" xfId="8443" xr:uid="{A2D46457-4FA7-4C26-8D63-23EB53CC6A8B}"/>
    <cellStyle name="Normal 11 6 49" xfId="8444" xr:uid="{65E0FCFA-E5A1-4CCD-8B18-D70359508005}"/>
    <cellStyle name="Normal 11 6 5" xfId="8445" xr:uid="{0EA0B5B2-6B6C-44E2-843B-5962F15B73E6}"/>
    <cellStyle name="Normal 11 6 50" xfId="8446" xr:uid="{8159FBBB-D298-461E-ACD2-06F62B734F0D}"/>
    <cellStyle name="Normal 11 6 51" xfId="8447" xr:uid="{689B6799-8755-4923-ABC7-8A58D49E9FB0}"/>
    <cellStyle name="Normal 11 6 52" xfId="8448" xr:uid="{1C2FD711-3DED-4E83-876D-A617F029813C}"/>
    <cellStyle name="Normal 11 6 6" xfId="8449" xr:uid="{ACBAACB1-6EF1-4351-B3CE-97E7E1BEF6A9}"/>
    <cellStyle name="Normal 11 6 7" xfId="8450" xr:uid="{B8B3EEFA-2127-4024-BD89-9FAC3965F723}"/>
    <cellStyle name="Normal 11 6 8" xfId="8451" xr:uid="{BB39ACDC-F9B4-42BB-BB6D-3913CE31527C}"/>
    <cellStyle name="Normal 11 6 9" xfId="8452" xr:uid="{D0E2CE0B-D55D-441D-A4E7-48F7BF2577CD}"/>
    <cellStyle name="Normal 11 7" xfId="8453" xr:uid="{91F2AC4E-B709-4DCA-9386-7D9DFFC46166}"/>
    <cellStyle name="Normal 11 7 10" xfId="8454" xr:uid="{22148252-044D-4288-9749-BE013CA21269}"/>
    <cellStyle name="Normal 11 7 11" xfId="8455" xr:uid="{0FAD9292-9C17-489F-8FB6-85CD9A9C3712}"/>
    <cellStyle name="Normal 11 7 12" xfId="8456" xr:uid="{CFF2B7E7-0453-43E4-8D60-97E21A3CE04C}"/>
    <cellStyle name="Normal 11 7 13" xfId="8457" xr:uid="{9E0B0A34-245D-43FD-B681-E2FD886BD941}"/>
    <cellStyle name="Normal 11 7 14" xfId="8458" xr:uid="{4CA17835-9015-4AA0-A7F1-5C084DD9B035}"/>
    <cellStyle name="Normal 11 7 15" xfId="8459" xr:uid="{6DCCB1CC-5ABC-4C58-AFA0-97D450BF0CEB}"/>
    <cellStyle name="Normal 11 7 16" xfId="8460" xr:uid="{E9283304-8FF0-4E78-82C1-FC164196F82B}"/>
    <cellStyle name="Normal 11 7 17" xfId="8461" xr:uid="{0B459B91-FD77-476C-A848-4F4DBBF7FF10}"/>
    <cellStyle name="Normal 11 7 18" xfId="8462" xr:uid="{0C0FDD73-E064-4643-B5BC-ADD2B8DEDD46}"/>
    <cellStyle name="Normal 11 7 19" xfId="8463" xr:uid="{1CB2DC6B-B221-4176-A4CA-DAFDFB9C5779}"/>
    <cellStyle name="Normal 11 7 2" xfId="8464" xr:uid="{9CF4D206-524D-4B84-A8DB-70E1DF2E71E3}"/>
    <cellStyle name="Normal 11 7 2 2" xfId="8465" xr:uid="{47156BFA-B94B-477B-881B-C02D862B2DFE}"/>
    <cellStyle name="Normal 11 7 2 3" xfId="8466" xr:uid="{73803076-9F3E-4DDE-9C38-4D6D9F9B60A8}"/>
    <cellStyle name="Normal 11 7 2 4" xfId="8467" xr:uid="{2D72156F-DD92-44A4-BE18-FA6EC6476710}"/>
    <cellStyle name="Normal 11 7 20" xfId="8468" xr:uid="{27C8837A-AC33-4C37-9868-A6DD8842B199}"/>
    <cellStyle name="Normal 11 7 21" xfId="8469" xr:uid="{BFD2BDAB-1C3B-4F50-B6D8-59E7C9885BA4}"/>
    <cellStyle name="Normal 11 7 22" xfId="8470" xr:uid="{7AB8E632-F20E-462B-9616-C9A4DA96FEAB}"/>
    <cellStyle name="Normal 11 7 23" xfId="8471" xr:uid="{1436B247-B9D5-4B08-80B6-7511102B3A66}"/>
    <cellStyle name="Normal 11 7 24" xfId="8472" xr:uid="{3E80EF08-09CF-48BA-89E5-0EDB80FD1E15}"/>
    <cellStyle name="Normal 11 7 25" xfId="8473" xr:uid="{5E98CC28-D65A-4911-9F66-DA2FBB409E5A}"/>
    <cellStyle name="Normal 11 7 26" xfId="8474" xr:uid="{3DA55DF4-3533-4653-8F26-EADCC742B43D}"/>
    <cellStyle name="Normal 11 7 27" xfId="8475" xr:uid="{B00543F9-3B8C-40E8-851F-9D8F8D77F72B}"/>
    <cellStyle name="Normal 11 7 28" xfId="8476" xr:uid="{A9474ABC-0A00-4F8C-AD2A-A7F22540FA32}"/>
    <cellStyle name="Normal 11 7 29" xfId="8477" xr:uid="{C2BF4EE0-91CA-45EE-845F-AF681F6A6E42}"/>
    <cellStyle name="Normal 11 7 3" xfId="8478" xr:uid="{67A50ECB-D936-468A-835B-DEB9948D89B9}"/>
    <cellStyle name="Normal 11 7 3 2" xfId="8479" xr:uid="{393407AC-C1DC-4A5A-A8F1-3B1BF843EACF}"/>
    <cellStyle name="Normal 11 7 3 3" xfId="8480" xr:uid="{B4B2AEFC-12B8-401C-BF74-BCF4B87EB3B3}"/>
    <cellStyle name="Normal 11 7 3 4" xfId="8481" xr:uid="{E2938089-6D08-4B9E-9BF7-79954425614C}"/>
    <cellStyle name="Normal 11 7 30" xfId="8482" xr:uid="{48519426-E5D9-4DB5-A1C2-EBEEF77BEE54}"/>
    <cellStyle name="Normal 11 7 31" xfId="8483" xr:uid="{24CBD8DB-C22F-4DE2-94A4-87C403334918}"/>
    <cellStyle name="Normal 11 7 32" xfId="8484" xr:uid="{FEA9E62D-4DA2-446E-8BFD-7679DF0B890F}"/>
    <cellStyle name="Normal 11 7 33" xfId="8485" xr:uid="{A62F942A-3420-4D9E-99B1-DFB997414B64}"/>
    <cellStyle name="Normal 11 7 34" xfId="8486" xr:uid="{A965E976-49FA-4645-8626-3E4B3493804B}"/>
    <cellStyle name="Normal 11 7 35" xfId="8487" xr:uid="{6B4C2F61-7C20-4039-84A7-7FFDAE2AACD9}"/>
    <cellStyle name="Normal 11 7 36" xfId="8488" xr:uid="{5B425214-0CEB-4684-A2DA-B0860AD67DA6}"/>
    <cellStyle name="Normal 11 7 37" xfId="8489" xr:uid="{989322AC-A4F3-4700-8CF4-4F33F2EF0C45}"/>
    <cellStyle name="Normal 11 7 38" xfId="8490" xr:uid="{8C85C211-F4A0-41DC-A814-126FA2F6742B}"/>
    <cellStyle name="Normal 11 7 39" xfId="8491" xr:uid="{BC78A7A2-6D11-4D2E-BAA4-638D5D24D9DC}"/>
    <cellStyle name="Normal 11 7 4" xfId="8492" xr:uid="{251A63E9-4C2A-4E2B-BCC2-687F0DBAEA25}"/>
    <cellStyle name="Normal 11 7 40" xfId="8493" xr:uid="{1AE34F36-59B8-44DC-BC97-1230AE936BEE}"/>
    <cellStyle name="Normal 11 7 41" xfId="8494" xr:uid="{7D7140D2-673B-4002-A94E-CCF97B78A7A2}"/>
    <cellStyle name="Normal 11 7 42" xfId="8495" xr:uid="{6D78BF6A-0A57-4289-BE80-71CD74149235}"/>
    <cellStyle name="Normal 11 7 43" xfId="8496" xr:uid="{6F28E496-C094-4676-8C0A-E5268929B062}"/>
    <cellStyle name="Normal 11 7 44" xfId="8497" xr:uid="{BB86E26A-D1B5-46BA-A161-8A4437F0618E}"/>
    <cellStyle name="Normal 11 7 45" xfId="8498" xr:uid="{7ED299F8-6A3C-41C7-BA58-6A667FDC4BA9}"/>
    <cellStyle name="Normal 11 7 46" xfId="8499" xr:uid="{2BDE6029-F519-4BA0-9F97-A2DA100F981C}"/>
    <cellStyle name="Normal 11 7 47" xfId="8500" xr:uid="{820F693F-91BA-40F8-A1BD-9E35FD94AA19}"/>
    <cellStyle name="Normal 11 7 48" xfId="8501" xr:uid="{6D96726F-D1CC-4811-993B-CA532A60507C}"/>
    <cellStyle name="Normal 11 7 49" xfId="8502" xr:uid="{658F0057-FECD-4E89-BC87-D80BCE16F287}"/>
    <cellStyle name="Normal 11 7 5" xfId="8503" xr:uid="{4337253A-3661-4A0E-99DB-EB5D7459C07E}"/>
    <cellStyle name="Normal 11 7 50" xfId="8504" xr:uid="{96D3446B-B08E-4370-8B1B-A28A59834418}"/>
    <cellStyle name="Normal 11 7 51" xfId="8505" xr:uid="{55CF516B-22D9-42EB-9E58-9A9421A0E3DA}"/>
    <cellStyle name="Normal 11 7 52" xfId="8506" xr:uid="{8FB23726-9727-4013-987C-A47AF234D64E}"/>
    <cellStyle name="Normal 11 7 6" xfId="8507" xr:uid="{4AC38417-2A03-482B-A8E1-EED3BF12FDD6}"/>
    <cellStyle name="Normal 11 7 7" xfId="8508" xr:uid="{3307BEB7-2DC8-4F74-8668-8D4F6284D8BA}"/>
    <cellStyle name="Normal 11 7 8" xfId="8509" xr:uid="{EA218AF5-0ADE-4309-A32A-C880285700DB}"/>
    <cellStyle name="Normal 11 7 9" xfId="8510" xr:uid="{962AB505-4F76-426E-B3F6-CE2ECFC37246}"/>
    <cellStyle name="Normal 11 8" xfId="8511" xr:uid="{19F5AC39-4F9B-4D2E-AAF6-61E733E0B1BD}"/>
    <cellStyle name="Normal 11 8 10" xfId="8512" xr:uid="{9A997420-A1BE-45A5-86BD-7D8524B14FAB}"/>
    <cellStyle name="Normal 11 8 11" xfId="8513" xr:uid="{01502C5D-023E-443F-8CD4-9BA84A36317F}"/>
    <cellStyle name="Normal 11 8 12" xfId="8514" xr:uid="{48E08252-6D83-4CA5-955E-C5A5B232C61A}"/>
    <cellStyle name="Normal 11 8 13" xfId="8515" xr:uid="{9B876184-8850-4FA6-A1BF-6C247D061095}"/>
    <cellStyle name="Normal 11 8 14" xfId="8516" xr:uid="{7239233F-2EF8-483D-B1AF-4E073C1216F4}"/>
    <cellStyle name="Normal 11 8 15" xfId="8517" xr:uid="{93088E39-28E6-4832-9FCA-D58CF0EA79BE}"/>
    <cellStyle name="Normal 11 8 16" xfId="8518" xr:uid="{FBC3C082-89ED-42A1-9B79-C53D858D1990}"/>
    <cellStyle name="Normal 11 8 17" xfId="8519" xr:uid="{BA49609F-B515-43C6-9399-0844AC2E0D2C}"/>
    <cellStyle name="Normal 11 8 18" xfId="8520" xr:uid="{7658720F-F629-414C-890D-12F704D26162}"/>
    <cellStyle name="Normal 11 8 19" xfId="8521" xr:uid="{2B2B7D5B-1F21-4097-9109-C34F2076120D}"/>
    <cellStyle name="Normal 11 8 2" xfId="8522" xr:uid="{3B79FFDF-B57C-40DB-9D1A-452E3ED6E57E}"/>
    <cellStyle name="Normal 11 8 2 2" xfId="8523" xr:uid="{F8038C5E-C613-4176-A7DD-7E8ABB3DF091}"/>
    <cellStyle name="Normal 11 8 2 3" xfId="8524" xr:uid="{F25890A2-7E91-4DEA-B596-42C74CE092FC}"/>
    <cellStyle name="Normal 11 8 2 4" xfId="8525" xr:uid="{C26343E4-7EFB-46D7-AE1F-1C894BC1BFAB}"/>
    <cellStyle name="Normal 11 8 20" xfId="8526" xr:uid="{297BFA35-8989-40E9-994D-CFDCFC405AF1}"/>
    <cellStyle name="Normal 11 8 21" xfId="8527" xr:uid="{ED82F356-A0DB-4442-9B05-6519E7B077CF}"/>
    <cellStyle name="Normal 11 8 22" xfId="8528" xr:uid="{7B7F91A6-4BBB-4091-949E-8F09BBC9C8D4}"/>
    <cellStyle name="Normal 11 8 23" xfId="8529" xr:uid="{6F3B3017-A7EC-46B5-B192-7DBAD7201A95}"/>
    <cellStyle name="Normal 11 8 24" xfId="8530" xr:uid="{42ED713C-B8FC-4435-B09A-06061A2DF8CE}"/>
    <cellStyle name="Normal 11 8 25" xfId="8531" xr:uid="{7C29BB2D-031B-4393-BFBA-BEECABEDA3FE}"/>
    <cellStyle name="Normal 11 8 26" xfId="8532" xr:uid="{4817E743-13A8-4708-B630-E28AD29B5F52}"/>
    <cellStyle name="Normal 11 8 27" xfId="8533" xr:uid="{7665AFB0-C6EF-4DDE-8B93-E3B319B57F87}"/>
    <cellStyle name="Normal 11 8 28" xfId="8534" xr:uid="{5E9AFA5B-3E2A-443A-92BC-C8FA1B9C5D9B}"/>
    <cellStyle name="Normal 11 8 29" xfId="8535" xr:uid="{1513256D-0A5F-4C44-BE7B-30E7700C3A08}"/>
    <cellStyle name="Normal 11 8 3" xfId="8536" xr:uid="{474C3F25-D3A7-448F-8CB7-FB6873F7201D}"/>
    <cellStyle name="Normal 11 8 3 2" xfId="8537" xr:uid="{ABF7CF91-F6A7-447A-9198-1824E0C0273C}"/>
    <cellStyle name="Normal 11 8 3 3" xfId="8538" xr:uid="{0DE734D1-5AB5-41C3-9E3C-05F3182C87D3}"/>
    <cellStyle name="Normal 11 8 3 4" xfId="8539" xr:uid="{64EF87F0-84E1-41B5-8886-B810FCD52E07}"/>
    <cellStyle name="Normal 11 8 30" xfId="8540" xr:uid="{16F366B5-8639-4AD1-A012-AC9E3177679C}"/>
    <cellStyle name="Normal 11 8 31" xfId="8541" xr:uid="{27BB5B31-4264-4AC7-B753-3AB8E41063FC}"/>
    <cellStyle name="Normal 11 8 32" xfId="8542" xr:uid="{8982022B-E924-46D5-AA3C-8C3332326770}"/>
    <cellStyle name="Normal 11 8 33" xfId="8543" xr:uid="{59FE3943-CBD4-4BC2-BF16-57D4DD1CF981}"/>
    <cellStyle name="Normal 11 8 34" xfId="8544" xr:uid="{F50FF70D-780B-4E03-98B5-217C50F9452F}"/>
    <cellStyle name="Normal 11 8 35" xfId="8545" xr:uid="{128B8F4F-85D2-4C5C-B55F-819A8E6A89B9}"/>
    <cellStyle name="Normal 11 8 36" xfId="8546" xr:uid="{E0C7D20F-5DA0-44B1-8E7D-440510B318DC}"/>
    <cellStyle name="Normal 11 8 37" xfId="8547" xr:uid="{AF05B271-99BA-4620-9499-C381D6CAB917}"/>
    <cellStyle name="Normal 11 8 38" xfId="8548" xr:uid="{F7DFD1C5-BA5E-45C0-8C77-AF3C24C7275B}"/>
    <cellStyle name="Normal 11 8 39" xfId="8549" xr:uid="{7FF4AEDE-54D0-429A-8AAF-888C06E16443}"/>
    <cellStyle name="Normal 11 8 4" xfId="8550" xr:uid="{0F33C82B-9F3F-4EE2-9DA7-E883E9774727}"/>
    <cellStyle name="Normal 11 8 40" xfId="8551" xr:uid="{D4F5A5A6-97CC-4E09-AB25-14D1972952F6}"/>
    <cellStyle name="Normal 11 8 41" xfId="8552" xr:uid="{90C434C7-272D-4D88-92AE-16DE2DAA3286}"/>
    <cellStyle name="Normal 11 8 42" xfId="8553" xr:uid="{7AD000E6-794B-4412-B6BB-74FBDF617E43}"/>
    <cellStyle name="Normal 11 8 43" xfId="8554" xr:uid="{D081007E-1A47-47AD-ACD6-7E97B06EADAD}"/>
    <cellStyle name="Normal 11 8 44" xfId="8555" xr:uid="{31BFFA99-B517-4E1F-8BB9-9CED71A8B312}"/>
    <cellStyle name="Normal 11 8 45" xfId="8556" xr:uid="{12A140DD-493B-4E40-AE6C-DFD0315E67FE}"/>
    <cellStyle name="Normal 11 8 46" xfId="8557" xr:uid="{77473C1F-291D-4DAD-84AD-68683423597C}"/>
    <cellStyle name="Normal 11 8 47" xfId="8558" xr:uid="{0BB23405-4CE6-40F0-8EAA-27AD4D310235}"/>
    <cellStyle name="Normal 11 8 48" xfId="8559" xr:uid="{B789FCAB-FEE3-4D1D-8AB1-42D68FE5288D}"/>
    <cellStyle name="Normal 11 8 49" xfId="8560" xr:uid="{90D168E9-E15D-4D4C-AE97-522E6358A456}"/>
    <cellStyle name="Normal 11 8 5" xfId="8561" xr:uid="{5AF8A59B-4393-46A5-9D1F-A6F0A805D190}"/>
    <cellStyle name="Normal 11 8 50" xfId="8562" xr:uid="{BAC3B7F7-628C-4140-954E-B3933E69609A}"/>
    <cellStyle name="Normal 11 8 51" xfId="8563" xr:uid="{6A56BD93-63EF-44C5-86C4-3DDD6917B87F}"/>
    <cellStyle name="Normal 11 8 52" xfId="8564" xr:uid="{B59EC590-AA45-42B4-87C0-C38019B6C11E}"/>
    <cellStyle name="Normal 11 8 6" xfId="8565" xr:uid="{0EBE3831-2E32-4EBF-B332-2DEEA7C6CB71}"/>
    <cellStyle name="Normal 11 8 7" xfId="8566" xr:uid="{6E84936D-E8C5-4766-9AAC-16FAA3F8CE46}"/>
    <cellStyle name="Normal 11 8 8" xfId="8567" xr:uid="{905B51B6-FC4E-4489-BE2D-7EAF586C4442}"/>
    <cellStyle name="Normal 11 8 9" xfId="8568" xr:uid="{455E285E-E203-49C9-897B-C9C3E71FFFAE}"/>
    <cellStyle name="Normal 11 9" xfId="8569" xr:uid="{EB702674-1039-4A4C-9B35-6F569CE8015D}"/>
    <cellStyle name="Normal 11 9 10" xfId="8570" xr:uid="{812D7C09-CD15-4B87-8711-73E97D600E60}"/>
    <cellStyle name="Normal 11 9 11" xfId="8571" xr:uid="{7E2E2D2F-F955-4F06-853B-066732C4BDC3}"/>
    <cellStyle name="Normal 11 9 12" xfId="8572" xr:uid="{B6373E33-93DD-4BE0-A066-24AC84A13139}"/>
    <cellStyle name="Normal 11 9 13" xfId="8573" xr:uid="{A9FF1787-88ED-477C-977E-43614AE5BE03}"/>
    <cellStyle name="Normal 11 9 14" xfId="8574" xr:uid="{0D339C74-B221-4228-971C-9BDCB0FD3635}"/>
    <cellStyle name="Normal 11 9 15" xfId="8575" xr:uid="{6F131282-B0EC-43AF-AF6A-1CA3496BB5F0}"/>
    <cellStyle name="Normal 11 9 16" xfId="8576" xr:uid="{695CD6E1-B5CF-42AE-8A12-781124F03B17}"/>
    <cellStyle name="Normal 11 9 17" xfId="8577" xr:uid="{CECE6540-F6EA-4C13-A4DC-23C065EF6C49}"/>
    <cellStyle name="Normal 11 9 18" xfId="8578" xr:uid="{4E787F14-A1D4-4302-9344-F5FAA7464DE6}"/>
    <cellStyle name="Normal 11 9 19" xfId="8579" xr:uid="{15C588E5-30C9-4342-B7CB-16331571C1EE}"/>
    <cellStyle name="Normal 11 9 2" xfId="8580" xr:uid="{F44AF6D2-DE23-45FC-938F-B3395E556A29}"/>
    <cellStyle name="Normal 11 9 2 2" xfId="8581" xr:uid="{A5C8DB3E-7D86-4AFE-89A6-68E3E59D5710}"/>
    <cellStyle name="Normal 11 9 2 3" xfId="8582" xr:uid="{7CB23726-3E9A-4762-A3E4-A643EFDEB603}"/>
    <cellStyle name="Normal 11 9 2 4" xfId="8583" xr:uid="{3C094CEC-F162-435B-879A-28463F4B7867}"/>
    <cellStyle name="Normal 11 9 20" xfId="8584" xr:uid="{07CE0890-5CC8-4ED7-84F5-C1CE5EEA5039}"/>
    <cellStyle name="Normal 11 9 21" xfId="8585" xr:uid="{A4104FD9-4D41-4704-A2A9-7D13DAEA1EBB}"/>
    <cellStyle name="Normal 11 9 22" xfId="8586" xr:uid="{FD597867-A8CE-4640-B3ED-67E81C5D5EF0}"/>
    <cellStyle name="Normal 11 9 23" xfId="8587" xr:uid="{A7B379F5-6AA2-4D70-B22D-25E4CB22F293}"/>
    <cellStyle name="Normal 11 9 24" xfId="8588" xr:uid="{5607689B-18F7-43E8-963A-FFC57D74EBF1}"/>
    <cellStyle name="Normal 11 9 25" xfId="8589" xr:uid="{F189FE0D-F399-40DC-A318-F4E9E3F6235E}"/>
    <cellStyle name="Normal 11 9 26" xfId="8590" xr:uid="{9086DC98-04DB-4EF2-B6B6-20B4D277B44C}"/>
    <cellStyle name="Normal 11 9 27" xfId="8591" xr:uid="{4389A85F-57F1-41E3-BB61-9EDAFD193078}"/>
    <cellStyle name="Normal 11 9 28" xfId="8592" xr:uid="{740B240B-9133-43AF-BEB7-221E19938D0F}"/>
    <cellStyle name="Normal 11 9 29" xfId="8593" xr:uid="{C79C9E37-6634-42D1-AFA2-C0F1D8170EA6}"/>
    <cellStyle name="Normal 11 9 3" xfId="8594" xr:uid="{16BD4527-68EF-42D0-BE3C-BA1416906365}"/>
    <cellStyle name="Normal 11 9 3 2" xfId="8595" xr:uid="{416E2237-BEE0-437E-AD96-932C9CA5C230}"/>
    <cellStyle name="Normal 11 9 3 3" xfId="8596" xr:uid="{2F1E1804-7E30-4FEC-BDE5-635005417A60}"/>
    <cellStyle name="Normal 11 9 3 4" xfId="8597" xr:uid="{9CBECD3E-BC1F-46C0-94B7-5234365C7364}"/>
    <cellStyle name="Normal 11 9 30" xfId="8598" xr:uid="{42EFFF5A-9EBD-474B-8D01-6C4E820B99FB}"/>
    <cellStyle name="Normal 11 9 31" xfId="8599" xr:uid="{AF0854B0-4019-433A-81AD-4308AC4BA866}"/>
    <cellStyle name="Normal 11 9 32" xfId="8600" xr:uid="{73A91435-4041-41E7-A15D-0D0496F67D02}"/>
    <cellStyle name="Normal 11 9 33" xfId="8601" xr:uid="{B7363671-DB58-4EDF-97ED-6A7E772A2984}"/>
    <cellStyle name="Normal 11 9 34" xfId="8602" xr:uid="{D1A7957D-2800-407A-A51C-9BABED223F4F}"/>
    <cellStyle name="Normal 11 9 35" xfId="8603" xr:uid="{A53B5EF5-09A2-4A2E-A2DA-A541C6F315C5}"/>
    <cellStyle name="Normal 11 9 36" xfId="8604" xr:uid="{67517331-7221-4578-9449-4CF18D72FB4E}"/>
    <cellStyle name="Normal 11 9 37" xfId="8605" xr:uid="{F6F29CD2-9024-452C-8169-EF4530AB0B6A}"/>
    <cellStyle name="Normal 11 9 38" xfId="8606" xr:uid="{BAAD42FD-5CAC-4D49-B8F6-434B749E94FD}"/>
    <cellStyle name="Normal 11 9 39" xfId="8607" xr:uid="{8DB487E1-55F0-4752-BF08-1E13BD3443D1}"/>
    <cellStyle name="Normal 11 9 4" xfId="8608" xr:uid="{9B08B5EA-3308-43B2-B0A3-B8CF538A9507}"/>
    <cellStyle name="Normal 11 9 40" xfId="8609" xr:uid="{4E219AEA-99EB-4BE4-B100-2044AF65791B}"/>
    <cellStyle name="Normal 11 9 41" xfId="8610" xr:uid="{210EA9F9-3F32-45F7-995A-FF7C4B12482F}"/>
    <cellStyle name="Normal 11 9 42" xfId="8611" xr:uid="{9321DAFC-0555-4900-B7B7-B40E9612C279}"/>
    <cellStyle name="Normal 11 9 43" xfId="8612" xr:uid="{285419CA-580A-4A5C-88C5-6BAD439A399A}"/>
    <cellStyle name="Normal 11 9 44" xfId="8613" xr:uid="{A2849CFA-E99F-4D7E-9109-1092385490D5}"/>
    <cellStyle name="Normal 11 9 45" xfId="8614" xr:uid="{2CDD559C-18FD-4DF8-AB33-23D6E6D009FF}"/>
    <cellStyle name="Normal 11 9 46" xfId="8615" xr:uid="{AB8FFD50-9FE2-4950-8CAB-8F929BA01309}"/>
    <cellStyle name="Normal 11 9 47" xfId="8616" xr:uid="{B461D78A-B39D-40F1-8713-8151E98A7FA0}"/>
    <cellStyle name="Normal 11 9 48" xfId="8617" xr:uid="{484FA9A7-B2CC-487C-AF76-D1C64010764E}"/>
    <cellStyle name="Normal 11 9 49" xfId="8618" xr:uid="{8840A141-8001-4C9E-B097-5E06C0F424F6}"/>
    <cellStyle name="Normal 11 9 5" xfId="8619" xr:uid="{244F1C4E-3DC2-4A66-8F9E-BF0E0A6A8E26}"/>
    <cellStyle name="Normal 11 9 50" xfId="8620" xr:uid="{ABDFBE9C-D861-42E9-A803-FC77DD56A487}"/>
    <cellStyle name="Normal 11 9 51" xfId="8621" xr:uid="{4C16BBFF-65CD-4C32-9FF9-9B0E7EABE58A}"/>
    <cellStyle name="Normal 11 9 52" xfId="8622" xr:uid="{07303BD2-4D84-4408-8E90-315BB78EC9ED}"/>
    <cellStyle name="Normal 11 9 6" xfId="8623" xr:uid="{6E70BD1A-A30D-4F86-83EB-FEEBD73AF60B}"/>
    <cellStyle name="Normal 11 9 7" xfId="8624" xr:uid="{D73DDC72-790D-47C6-8A47-67991EC19102}"/>
    <cellStyle name="Normal 11 9 8" xfId="8625" xr:uid="{4C5CE0AB-4550-40E8-A2E6-0EC7A26418DE}"/>
    <cellStyle name="Normal 11 9 9" xfId="8626" xr:uid="{5B56A385-BB09-44B1-A8F5-41724855CF25}"/>
    <cellStyle name="Normal 11_IF - Autoprodutores 2" xfId="8627" xr:uid="{75D68A87-0236-4B87-9840-24DDF5FB88FA}"/>
    <cellStyle name="Normal 110" xfId="8628" xr:uid="{F0865465-B71D-410C-BD51-938D94A07666}"/>
    <cellStyle name="Normal 111" xfId="8629" xr:uid="{147863B4-977E-4257-BA2A-6D16B41DBEC4}"/>
    <cellStyle name="Normal 112" xfId="8630" xr:uid="{2690EA36-F46B-4EA6-B18D-CF775D8B592D}"/>
    <cellStyle name="Normal 113" xfId="8631" xr:uid="{547C4481-1F1A-4F32-9A06-887374606DD8}"/>
    <cellStyle name="Normal 114" xfId="8632" xr:uid="{D9327E93-B3C9-400E-8B7C-1FC28E5D5BD3}"/>
    <cellStyle name="Normal 115" xfId="8633" xr:uid="{494F2D8A-A4DC-4AF1-BA44-97CC1A31408F}"/>
    <cellStyle name="Normal 116" xfId="8634" xr:uid="{F2DF7415-8AAB-4D6B-9EC9-D9EAB2C1BA7C}"/>
    <cellStyle name="Normal 117" xfId="8635" xr:uid="{4BEE7265-D80B-4A19-8A12-817C9897D328}"/>
    <cellStyle name="Normal 118" xfId="8636" xr:uid="{AF3756DA-15D6-432F-B5A8-539142D1D96D}"/>
    <cellStyle name="Normal 119" xfId="8637" xr:uid="{C6E6015B-E324-4B9E-91AA-AED1A7B7AA8A}"/>
    <cellStyle name="Normal 12" xfId="1067" xr:uid="{DF3929D4-96DB-4D3C-8CB8-68FD5D902765}"/>
    <cellStyle name="Normal 12 10" xfId="8638" xr:uid="{94617FF0-AA06-4632-A6D8-A550A9E57C4B}"/>
    <cellStyle name="Normal 12 10 2" xfId="8639" xr:uid="{A6F45177-A235-4E81-8A82-AC98FC96887E}"/>
    <cellStyle name="Normal 12 10 2 2" xfId="8640" xr:uid="{F91D0537-3AB1-4F8B-BC16-51F02FEE8967}"/>
    <cellStyle name="Normal 12 10 2 3" xfId="8641" xr:uid="{584A4647-7EB4-4D54-8E87-AAD1ACEA5E0E}"/>
    <cellStyle name="Normal 12 10 2 4" xfId="8642" xr:uid="{F0EAC93E-18AE-49D8-B2DC-E3E1002AAEEF}"/>
    <cellStyle name="Normal 12 10 3" xfId="8643" xr:uid="{1632E67A-3ADA-4215-9104-B5009FA199AA}"/>
    <cellStyle name="Normal 12 10 3 2" xfId="8644" xr:uid="{61BFA915-18AE-421A-BA49-E9B2E5E15C63}"/>
    <cellStyle name="Normal 12 10 3 3" xfId="8645" xr:uid="{31BC75C4-CC0E-478E-A903-9F262589014B}"/>
    <cellStyle name="Normal 12 10 3 4" xfId="8646" xr:uid="{5A3636C4-1DE7-488F-AD92-DA11E9A3BA87}"/>
    <cellStyle name="Normal 12 10 4" xfId="8647" xr:uid="{379F705B-A9FA-488C-9A1C-5285E946FB6D}"/>
    <cellStyle name="Normal 12 10 5" xfId="8648" xr:uid="{EC43E18D-9BD3-41DD-A054-58A455DCBD4A}"/>
    <cellStyle name="Normal 12 10 6" xfId="8649" xr:uid="{9AF879EB-6691-4660-A3B0-D2C1DA2A369F}"/>
    <cellStyle name="Normal 12 11" xfId="8650" xr:uid="{AABD7D3D-BEA1-46A5-8C58-9C5A8341D73E}"/>
    <cellStyle name="Normal 12 11 2" xfId="8651" xr:uid="{CDF1114F-5E72-4CE8-AE66-2D5644A5C723}"/>
    <cellStyle name="Normal 12 11 2 2" xfId="8652" xr:uid="{E5A5B239-BA4F-438F-A683-89EC47CFC12F}"/>
    <cellStyle name="Normal 12 11 2 3" xfId="8653" xr:uid="{24E17717-8D8D-442A-A098-960C40321753}"/>
    <cellStyle name="Normal 12 11 2 4" xfId="8654" xr:uid="{30F105E4-203E-479C-B0A5-AB403E7D6E50}"/>
    <cellStyle name="Normal 12 11 3" xfId="8655" xr:uid="{A6BB9197-1E4E-434E-B793-6B1B3F223870}"/>
    <cellStyle name="Normal 12 11 3 2" xfId="8656" xr:uid="{6019E3A8-D4B1-49EB-B16C-3520754A7883}"/>
    <cellStyle name="Normal 12 11 3 3" xfId="8657" xr:uid="{8C6907AC-DADC-4E52-A07F-C044C38A8823}"/>
    <cellStyle name="Normal 12 11 3 4" xfId="8658" xr:uid="{E2DD161B-6925-430F-B1CD-BD9212BEDA3B}"/>
    <cellStyle name="Normal 12 11 4" xfId="8659" xr:uid="{65A3E658-EAF4-4FFD-9228-F18624558FD5}"/>
    <cellStyle name="Normal 12 11 5" xfId="8660" xr:uid="{D27234CC-8593-4E23-9048-260E6A4768D4}"/>
    <cellStyle name="Normal 12 11 6" xfId="8661" xr:uid="{7FE695FE-F565-44FA-8EE9-4E00CF82510B}"/>
    <cellStyle name="Normal 12 12" xfId="8662" xr:uid="{146B2CA1-98D4-4414-AD4D-8491FFF9B362}"/>
    <cellStyle name="Normal 12 12 2" xfId="8663" xr:uid="{60E31B98-9740-4A35-BE11-12C34F69F3BE}"/>
    <cellStyle name="Normal 12 12 2 2" xfId="8664" xr:uid="{5D728A8D-6D1D-41F7-94CE-B043383E481F}"/>
    <cellStyle name="Normal 12 12 2 3" xfId="8665" xr:uid="{95044540-B5F0-4750-85F6-7D073CE2CA12}"/>
    <cellStyle name="Normal 12 12 2 4" xfId="8666" xr:uid="{9A602583-3B2A-46E2-AEC6-067607B9C1BA}"/>
    <cellStyle name="Normal 12 12 3" xfId="8667" xr:uid="{0CAB909D-7F2E-4496-B692-2D246CE191A2}"/>
    <cellStyle name="Normal 12 12 3 2" xfId="8668" xr:uid="{8348FF59-A9B9-4825-AC4B-B764361FAA19}"/>
    <cellStyle name="Normal 12 12 3 3" xfId="8669" xr:uid="{4D45AB9E-4DD0-440B-B334-EBF1C24A21C3}"/>
    <cellStyle name="Normal 12 12 3 4" xfId="8670" xr:uid="{4DC1F298-2CA4-4BD8-9EC2-4797C2A4A143}"/>
    <cellStyle name="Normal 12 12 4" xfId="8671" xr:uid="{4725C929-5B16-43CD-805C-6760EF2F2F4E}"/>
    <cellStyle name="Normal 12 12 5" xfId="8672" xr:uid="{FFF6A3C4-9EC4-4F62-BD0C-99EDEA909C45}"/>
    <cellStyle name="Normal 12 12 6" xfId="8673" xr:uid="{F3E27D9D-9E07-4A61-81FA-304E63396528}"/>
    <cellStyle name="Normal 12 13" xfId="8674" xr:uid="{721154CB-6CF3-4A4C-8BF2-A1057957834A}"/>
    <cellStyle name="Normal 12 13 2" xfId="8675" xr:uid="{96E4B03D-9C7F-4A1C-B6E0-B0C0CDFE3FA6}"/>
    <cellStyle name="Normal 12 13 2 2" xfId="8676" xr:uid="{637B794D-9C72-4209-82DE-1C1C497DEAE0}"/>
    <cellStyle name="Normal 12 13 2 3" xfId="8677" xr:uid="{66BE726A-FEE1-456D-9174-44744F010284}"/>
    <cellStyle name="Normal 12 13 2 4" xfId="8678" xr:uid="{CB3F79CA-AA16-4FD7-9377-731620FF1C23}"/>
    <cellStyle name="Normal 12 13 3" xfId="8679" xr:uid="{FD6DBA6D-EB2E-438A-B233-0D626C2CBF9A}"/>
    <cellStyle name="Normal 12 13 3 2" xfId="8680" xr:uid="{EFDBDB60-B7D8-4A11-91FE-5A4251C4AF46}"/>
    <cellStyle name="Normal 12 13 3 3" xfId="8681" xr:uid="{C88AA33F-5A02-47BC-97E1-DFE61A9B1022}"/>
    <cellStyle name="Normal 12 13 3 4" xfId="8682" xr:uid="{1579AA82-FAB9-4CB9-B7C3-D0A26071A411}"/>
    <cellStyle name="Normal 12 13 4" xfId="8683" xr:uid="{A66E5ED6-3F07-44CC-9AE3-237F651664C2}"/>
    <cellStyle name="Normal 12 13 5" xfId="8684" xr:uid="{4F6EC004-6474-47FD-838A-AC151DB2BEAD}"/>
    <cellStyle name="Normal 12 13 6" xfId="8685" xr:uid="{73EA4E92-3FAB-47FC-A69F-C5EB369FE53E}"/>
    <cellStyle name="Normal 12 14" xfId="8686" xr:uid="{C5E92120-1146-4F52-AF80-6AEB341C64AB}"/>
    <cellStyle name="Normal 12 14 2" xfId="8687" xr:uid="{339B3456-A81C-48D8-96C8-42291E47D1BE}"/>
    <cellStyle name="Normal 12 14 2 2" xfId="8688" xr:uid="{37D615EA-0FF6-42FB-9B2F-9CE5DE67C98B}"/>
    <cellStyle name="Normal 12 14 2 3" xfId="8689" xr:uid="{EE1CEDE0-5F36-4DBB-A3D0-36CBCE2EA331}"/>
    <cellStyle name="Normal 12 14 2 4" xfId="8690" xr:uid="{239EC17A-4919-4E4C-B3E4-DC52A92CF9F0}"/>
    <cellStyle name="Normal 12 14 3" xfId="8691" xr:uid="{9A18EC8F-217A-450B-8DEF-AC39F5711EFD}"/>
    <cellStyle name="Normal 12 14 3 2" xfId="8692" xr:uid="{52D4DE3E-4DB3-4F33-8972-1C17DD8148B0}"/>
    <cellStyle name="Normal 12 14 3 3" xfId="8693" xr:uid="{CA0D6573-4C28-4088-BBDC-4AB2BBEFDAFD}"/>
    <cellStyle name="Normal 12 14 3 4" xfId="8694" xr:uid="{70796540-42A0-4ED8-8F23-BED398462DDB}"/>
    <cellStyle name="Normal 12 14 4" xfId="8695" xr:uid="{85A46500-0C83-48A5-B22B-1553628872C9}"/>
    <cellStyle name="Normal 12 14 5" xfId="8696" xr:uid="{C85D00A4-8B83-4313-BE06-646F4CC07260}"/>
    <cellStyle name="Normal 12 14 6" xfId="8697" xr:uid="{B217444B-2221-4B41-843E-109B3625629A}"/>
    <cellStyle name="Normal 12 15" xfId="8698" xr:uid="{77406560-DA2E-41E6-BB21-166883C2E8D7}"/>
    <cellStyle name="Normal 12 15 2" xfId="8699" xr:uid="{1C4ECDEC-25DF-4175-8A85-DEB5F394CD71}"/>
    <cellStyle name="Normal 12 15 2 2" xfId="8700" xr:uid="{0A5881A2-E27C-42CA-9E58-D9DFD2B61D04}"/>
    <cellStyle name="Normal 12 15 2 3" xfId="8701" xr:uid="{02308155-8077-487E-84AF-59D24CA0C006}"/>
    <cellStyle name="Normal 12 15 2 4" xfId="8702" xr:uid="{345512F3-72B9-4DF6-93BB-A410DFA6E26F}"/>
    <cellStyle name="Normal 12 15 3" xfId="8703" xr:uid="{E32A52EE-69CE-44F7-BB0F-DD41D4B25D7C}"/>
    <cellStyle name="Normal 12 15 3 2" xfId="8704" xr:uid="{9E12B7B0-7E90-4CA8-BEDC-EA12AA63822B}"/>
    <cellStyle name="Normal 12 15 3 3" xfId="8705" xr:uid="{B7DA6370-30F6-4C27-A99E-3C2B80112C5A}"/>
    <cellStyle name="Normal 12 15 3 4" xfId="8706" xr:uid="{6B2D0729-1BD8-477F-BAFD-C9A8B472DEED}"/>
    <cellStyle name="Normal 12 15 4" xfId="8707" xr:uid="{0966A374-67C4-4913-89E3-9CE62F7E4A5D}"/>
    <cellStyle name="Normal 12 15 5" xfId="8708" xr:uid="{A5D78AD2-8E7C-40DA-95AC-B7470C0C28FC}"/>
    <cellStyle name="Normal 12 15 6" xfId="8709" xr:uid="{EAC5E18B-CEC6-4E6F-9BC0-6FA945AF9068}"/>
    <cellStyle name="Normal 12 16" xfId="8710" xr:uid="{7AEA90A6-9D42-4802-8AB8-8E2AAEE583B2}"/>
    <cellStyle name="Normal 12 16 2" xfId="8711" xr:uid="{EF11A73F-27AF-4A1E-84BD-3BB6647FECD5}"/>
    <cellStyle name="Normal 12 16 2 2" xfId="8712" xr:uid="{BA43A25A-D568-438C-8A23-B4A9B4F82285}"/>
    <cellStyle name="Normal 12 16 2 3" xfId="8713" xr:uid="{06DB4F1D-B94F-4710-8A21-9BF645DEA5A3}"/>
    <cellStyle name="Normal 12 16 2 4" xfId="8714" xr:uid="{49C6AE95-94DB-4C6A-84AC-8A3319F0A0C6}"/>
    <cellStyle name="Normal 12 16 3" xfId="8715" xr:uid="{5F644C83-5DA8-4308-A97F-789CBCF166D6}"/>
    <cellStyle name="Normal 12 16 3 2" xfId="8716" xr:uid="{4AE920A1-F649-40D9-B6C8-CFCA3A95D582}"/>
    <cellStyle name="Normal 12 16 3 3" xfId="8717" xr:uid="{1D708C7A-BC73-47D0-9837-0BFACB027D30}"/>
    <cellStyle name="Normal 12 16 3 4" xfId="8718" xr:uid="{93C11671-BB6E-4ECD-8E3C-B18D327B39A2}"/>
    <cellStyle name="Normal 12 16 4" xfId="8719" xr:uid="{74CD6D3D-FEF8-4350-8096-E67A5A656FC2}"/>
    <cellStyle name="Normal 12 16 5" xfId="8720" xr:uid="{37A08DB3-C32F-4E6F-ABBD-761268CE3DA9}"/>
    <cellStyle name="Normal 12 16 6" xfId="8721" xr:uid="{C52E6A30-4945-4E38-94AD-AA3E9121132D}"/>
    <cellStyle name="Normal 12 17" xfId="8722" xr:uid="{617E8343-FD71-435F-8543-5B9CA32AAA37}"/>
    <cellStyle name="Normal 12 17 2" xfId="8723" xr:uid="{043B84F9-39BF-4C04-8647-816F8FCA5F70}"/>
    <cellStyle name="Normal 12 17 2 2" xfId="8724" xr:uid="{EFFC10F8-697C-4425-AEEA-924BCDE41220}"/>
    <cellStyle name="Normal 12 17 2 3" xfId="8725" xr:uid="{DB0CED54-DE2B-4B11-B49A-E7B26373410A}"/>
    <cellStyle name="Normal 12 17 2 4" xfId="8726" xr:uid="{A092AD35-DFD0-4B80-9D4C-D04EBC7C92A1}"/>
    <cellStyle name="Normal 12 17 3" xfId="8727" xr:uid="{766C5702-8F8B-46E9-AAB2-7C0BC022E0A5}"/>
    <cellStyle name="Normal 12 17 3 2" xfId="8728" xr:uid="{CB6FE3E5-9E7B-4BE4-B82E-0A3AF9A7AF67}"/>
    <cellStyle name="Normal 12 17 3 3" xfId="8729" xr:uid="{D966B82A-F0CE-4EBF-B11F-C6935F1C3A61}"/>
    <cellStyle name="Normal 12 17 3 4" xfId="8730" xr:uid="{82679826-FD34-47CC-A7A9-F2BBC5AD6506}"/>
    <cellStyle name="Normal 12 17 4" xfId="8731" xr:uid="{5F75F7EA-49BA-4191-A39A-5C80CB4EEED4}"/>
    <cellStyle name="Normal 12 17 5" xfId="8732" xr:uid="{22F4D7F1-2D73-43DD-AF8E-3B2F69C3D4AD}"/>
    <cellStyle name="Normal 12 17 6" xfId="8733" xr:uid="{FE73FA28-5776-4E9F-AF46-B8B881D30375}"/>
    <cellStyle name="Normal 12 18" xfId="8734" xr:uid="{D9BD0EF5-BEB4-4981-8BEF-3F74EA9E83B4}"/>
    <cellStyle name="Normal 12 18 2" xfId="8735" xr:uid="{C966EE16-DDC2-4732-BC0A-1CEBA0DF3004}"/>
    <cellStyle name="Normal 12 18 2 2" xfId="8736" xr:uid="{7B84810A-A080-4164-88E2-8B34DE83B218}"/>
    <cellStyle name="Normal 12 18 2 3" xfId="8737" xr:uid="{5E80E118-C42B-4434-AEBA-7C7DC7BD99E2}"/>
    <cellStyle name="Normal 12 18 2 4" xfId="8738" xr:uid="{E9702255-B43D-4995-A63C-19F16986BA07}"/>
    <cellStyle name="Normal 12 18 3" xfId="8739" xr:uid="{9E48D569-6D1D-4752-9801-AC4790804A1A}"/>
    <cellStyle name="Normal 12 18 3 2" xfId="8740" xr:uid="{48F839E2-D649-4D43-B04C-276DBAF1E73B}"/>
    <cellStyle name="Normal 12 18 3 3" xfId="8741" xr:uid="{B6182647-C521-4271-80B1-8B498F248B5E}"/>
    <cellStyle name="Normal 12 18 3 4" xfId="8742" xr:uid="{8D11D37F-B066-4D90-A4A1-C9B15EB3F3E9}"/>
    <cellStyle name="Normal 12 18 4" xfId="8743" xr:uid="{1B78AC25-3543-4C75-9D16-C99B03497489}"/>
    <cellStyle name="Normal 12 18 5" xfId="8744" xr:uid="{D7636590-10E4-4EF4-996D-B896B235D178}"/>
    <cellStyle name="Normal 12 18 6" xfId="8745" xr:uid="{253FD6CF-5568-44B6-9F19-AFA0B9A7A64D}"/>
    <cellStyle name="Normal 12 19" xfId="8746" xr:uid="{84A777C1-4CAF-4148-883E-9F82BF0E8723}"/>
    <cellStyle name="Normal 12 19 2" xfId="8747" xr:uid="{9A84517C-207E-4D4C-B586-9455AF4E1B5B}"/>
    <cellStyle name="Normal 12 19 2 2" xfId="8748" xr:uid="{15E6D7C5-96A4-4BB6-85C3-68EFD6015038}"/>
    <cellStyle name="Normal 12 19 2 3" xfId="8749" xr:uid="{4AEFD0A7-8B1B-44E0-A5D8-E3D727DE22D8}"/>
    <cellStyle name="Normal 12 19 2 4" xfId="8750" xr:uid="{7899E1F7-2E46-48BF-8F79-577D577FDB9E}"/>
    <cellStyle name="Normal 12 19 3" xfId="8751" xr:uid="{E2E9AA0A-4E99-426D-A280-A4DD0D572060}"/>
    <cellStyle name="Normal 12 19 3 2" xfId="8752" xr:uid="{ECA7B04E-7362-4890-9779-BF45258BBEBE}"/>
    <cellStyle name="Normal 12 19 3 3" xfId="8753" xr:uid="{D3AC1ABA-9A31-42F9-98EE-61988E46AADE}"/>
    <cellStyle name="Normal 12 19 3 4" xfId="8754" xr:uid="{F670CCC2-3E90-4B80-8F36-2B84DFC32081}"/>
    <cellStyle name="Normal 12 19 4" xfId="8755" xr:uid="{5F890AFF-54E0-4FC5-82A4-150A74ED7CEC}"/>
    <cellStyle name="Normal 12 19 5" xfId="8756" xr:uid="{8AA87743-0B11-44E0-A088-DC11BE9BE8BA}"/>
    <cellStyle name="Normal 12 19 6" xfId="8757" xr:uid="{084C424F-B064-4973-AF97-13381643D8CA}"/>
    <cellStyle name="Normal 12 2" xfId="1683" xr:uid="{A0A57BE1-2D09-433A-AB15-3918C76729AE}"/>
    <cellStyle name="Normal 12 2 10" xfId="8758" xr:uid="{76689126-032E-4B2D-A166-0A0A1BD1FF23}"/>
    <cellStyle name="Normal 12 2 10 2" xfId="8759" xr:uid="{29C58606-0522-4F55-B71F-A0769EB7820B}"/>
    <cellStyle name="Normal 12 2 10 2 2" xfId="8760" xr:uid="{8DB3FD9C-6112-47B5-B6CA-806E23C6B399}"/>
    <cellStyle name="Normal 12 2 10 2 3" xfId="8761" xr:uid="{2C2D99E3-0F36-4011-B072-5AACE530636A}"/>
    <cellStyle name="Normal 12 2 10 2 4" xfId="8762" xr:uid="{2CA4FBE4-0637-42B0-B1F4-48074D51D208}"/>
    <cellStyle name="Normal 12 2 10 3" xfId="8763" xr:uid="{7B6A96F5-BCEC-4275-AA3D-47AA4BEA3920}"/>
    <cellStyle name="Normal 12 2 10 3 2" xfId="8764" xr:uid="{2F40DCDE-3CE6-4807-B9CC-8602ACD625A7}"/>
    <cellStyle name="Normal 12 2 10 3 3" xfId="8765" xr:uid="{117690ED-BC3B-4E3E-9B12-D33BBFE1EECD}"/>
    <cellStyle name="Normal 12 2 10 3 4" xfId="8766" xr:uid="{88C49DE1-A8AC-4055-9E90-D8273897B742}"/>
    <cellStyle name="Normal 12 2 10 4" xfId="8767" xr:uid="{D65DD3E9-74A2-458C-87B1-FDA8352BB397}"/>
    <cellStyle name="Normal 12 2 10 5" xfId="8768" xr:uid="{422F07D0-E0C7-440A-BB31-4AD5F19836C0}"/>
    <cellStyle name="Normal 12 2 10 6" xfId="8769" xr:uid="{9BC175CF-BC31-467F-9D10-3D71AC49708D}"/>
    <cellStyle name="Normal 12 2 11" xfId="8770" xr:uid="{F5A055CA-23EB-46E2-BC52-4FA60EBDF12A}"/>
    <cellStyle name="Normal 12 2 11 2" xfId="8771" xr:uid="{7599ACC0-CA00-4805-B8B6-767F5065BBEC}"/>
    <cellStyle name="Normal 12 2 11 2 2" xfId="8772" xr:uid="{38509AE1-8483-4E8E-9936-217D3F07DFD2}"/>
    <cellStyle name="Normal 12 2 11 2 3" xfId="8773" xr:uid="{A0CEF7DB-D757-436D-995C-4C98C2857F3E}"/>
    <cellStyle name="Normal 12 2 11 2 4" xfId="8774" xr:uid="{292CD093-AA9E-444A-97F4-3A109284705F}"/>
    <cellStyle name="Normal 12 2 11 3" xfId="8775" xr:uid="{91B6BBE9-D07E-46C7-A75F-608C220E6E71}"/>
    <cellStyle name="Normal 12 2 11 3 2" xfId="8776" xr:uid="{4F08DA7B-364E-4019-AD99-541B71BC13F8}"/>
    <cellStyle name="Normal 12 2 11 3 3" xfId="8777" xr:uid="{F400F234-CD97-406D-B374-853A3B18B5DD}"/>
    <cellStyle name="Normal 12 2 11 3 4" xfId="8778" xr:uid="{E00CC920-9DF6-46B7-88D3-8E5412AB69EA}"/>
    <cellStyle name="Normal 12 2 11 4" xfId="8779" xr:uid="{578C6597-7623-4051-B553-1F6F4F6D10C7}"/>
    <cellStyle name="Normal 12 2 11 5" xfId="8780" xr:uid="{2C8DDE43-E7EC-4E7D-BD55-0FEEE52EA339}"/>
    <cellStyle name="Normal 12 2 11 6" xfId="8781" xr:uid="{A5F623BF-5380-4C46-A48B-C4B4C3C0F516}"/>
    <cellStyle name="Normal 12 2 12" xfId="8782" xr:uid="{DE8771B1-FF7C-485A-AF01-32746114363A}"/>
    <cellStyle name="Normal 12 2 12 2" xfId="8783" xr:uid="{B0DEAFB0-B308-4FAA-8306-A4002B11974B}"/>
    <cellStyle name="Normal 12 2 12 2 2" xfId="8784" xr:uid="{4AF81B81-051B-412C-9903-112821793E03}"/>
    <cellStyle name="Normal 12 2 12 2 3" xfId="8785" xr:uid="{75F0F0B7-6A26-4D88-8931-434983F6D4CD}"/>
    <cellStyle name="Normal 12 2 12 2 4" xfId="8786" xr:uid="{8AC29CCE-D23F-439A-A865-742B804D45D7}"/>
    <cellStyle name="Normal 12 2 12 3" xfId="8787" xr:uid="{68366C65-18B1-4A4D-A49E-560F858621BB}"/>
    <cellStyle name="Normal 12 2 12 3 2" xfId="8788" xr:uid="{CCDED54C-7A41-4030-A040-F55816B6B525}"/>
    <cellStyle name="Normal 12 2 12 3 3" xfId="8789" xr:uid="{4ED0EFD7-AD3E-48C1-B5B5-3B966DC2B931}"/>
    <cellStyle name="Normal 12 2 12 3 4" xfId="8790" xr:uid="{D5B4C663-6BD4-4AA2-AE88-B16EEE82CD76}"/>
    <cellStyle name="Normal 12 2 12 4" xfId="8791" xr:uid="{A6E76B17-FF01-4A5C-9CBC-9C043CD8235A}"/>
    <cellStyle name="Normal 12 2 12 5" xfId="8792" xr:uid="{7F804E7D-99E7-4156-B1FA-96F450BAC8D6}"/>
    <cellStyle name="Normal 12 2 12 6" xfId="8793" xr:uid="{605FBAA4-8157-4C3B-8114-ED3344587B2C}"/>
    <cellStyle name="Normal 12 2 13" xfId="8794" xr:uid="{B0314104-612A-4A54-98A8-B8E2AFC0EEB2}"/>
    <cellStyle name="Normal 12 2 13 2" xfId="8795" xr:uid="{FB2B8298-0545-458C-B05E-BF711631D466}"/>
    <cellStyle name="Normal 12 2 13 2 2" xfId="8796" xr:uid="{5579619B-F599-4B25-89D9-8F9766817F4B}"/>
    <cellStyle name="Normal 12 2 13 2 3" xfId="8797" xr:uid="{B86AF825-FE08-4B24-981B-9D8CBECA1CEC}"/>
    <cellStyle name="Normal 12 2 13 2 4" xfId="8798" xr:uid="{72C31EC2-C138-4A74-9616-37E3CE70047A}"/>
    <cellStyle name="Normal 12 2 13 3" xfId="8799" xr:uid="{CF26F87C-56CA-4595-B736-648CB6159975}"/>
    <cellStyle name="Normal 12 2 13 3 2" xfId="8800" xr:uid="{70D8AB54-709D-4769-B927-7ECFFB0138E5}"/>
    <cellStyle name="Normal 12 2 13 3 3" xfId="8801" xr:uid="{4BD28101-A835-4CDB-969F-399D8341D880}"/>
    <cellStyle name="Normal 12 2 13 3 4" xfId="8802" xr:uid="{C59E01D3-3DD3-4716-B351-BC4AD27D0C5C}"/>
    <cellStyle name="Normal 12 2 13 4" xfId="8803" xr:uid="{22E500B2-DF6E-4DA0-B641-60C22DD14406}"/>
    <cellStyle name="Normal 12 2 13 5" xfId="8804" xr:uid="{11C8B34A-DCCB-4406-ABC8-255F7824B9D9}"/>
    <cellStyle name="Normal 12 2 13 6" xfId="8805" xr:uid="{DFC5B44C-DD74-40DC-92F8-B183BB04CE44}"/>
    <cellStyle name="Normal 12 2 14" xfId="8806" xr:uid="{988792B3-903D-4316-977E-6BA00BA227CC}"/>
    <cellStyle name="Normal 12 2 14 2" xfId="8807" xr:uid="{9CEA95F8-E522-4987-B751-7BBF5E915B66}"/>
    <cellStyle name="Normal 12 2 14 2 2" xfId="8808" xr:uid="{A15BE02E-3E98-40EF-9B66-7BAAF269063F}"/>
    <cellStyle name="Normal 12 2 14 2 3" xfId="8809" xr:uid="{8B645C83-CBCA-417C-BDEE-F0E6533582EC}"/>
    <cellStyle name="Normal 12 2 14 2 4" xfId="8810" xr:uid="{C491CEED-83C5-499E-9580-E1F0F6259318}"/>
    <cellStyle name="Normal 12 2 14 3" xfId="8811" xr:uid="{21ABA2D7-FFF2-4FFA-BF32-6E6A46C2FB6D}"/>
    <cellStyle name="Normal 12 2 14 3 2" xfId="8812" xr:uid="{33C729B3-63EA-4336-9434-BEE67CC75D1A}"/>
    <cellStyle name="Normal 12 2 14 3 3" xfId="8813" xr:uid="{C6C2248A-AA8A-4B20-94E2-1E94586E9150}"/>
    <cellStyle name="Normal 12 2 14 3 4" xfId="8814" xr:uid="{0CEFC32E-E630-4812-988C-BEF4A972D21C}"/>
    <cellStyle name="Normal 12 2 14 4" xfId="8815" xr:uid="{47482B97-103B-48FB-A0D9-5170B6462B87}"/>
    <cellStyle name="Normal 12 2 14 5" xfId="8816" xr:uid="{1B586D07-CD21-4E51-BD63-7F41F206F801}"/>
    <cellStyle name="Normal 12 2 14 6" xfId="8817" xr:uid="{B209EE02-6552-4E2D-AD79-725E6253E390}"/>
    <cellStyle name="Normal 12 2 15" xfId="8818" xr:uid="{406F93FD-8780-43A3-9722-C1CDF3F3CD80}"/>
    <cellStyle name="Normal 12 2 15 2" xfId="8819" xr:uid="{D22D84AA-9A48-4AF6-BC5A-09650E414A54}"/>
    <cellStyle name="Normal 12 2 15 2 2" xfId="8820" xr:uid="{EE5BAEA8-6006-4A38-B3F4-9E7AE5680081}"/>
    <cellStyle name="Normal 12 2 15 2 3" xfId="8821" xr:uid="{90D40D3A-8895-4A03-9F25-FD0DA90611F2}"/>
    <cellStyle name="Normal 12 2 15 2 4" xfId="8822" xr:uid="{63154894-C1CC-4875-AEEC-2146D02437E1}"/>
    <cellStyle name="Normal 12 2 15 3" xfId="8823" xr:uid="{CFB06808-E3BE-45A7-AB68-76E5B57130A2}"/>
    <cellStyle name="Normal 12 2 15 3 2" xfId="8824" xr:uid="{68ACA5C1-2BB6-4B27-A852-99750E52926E}"/>
    <cellStyle name="Normal 12 2 15 3 3" xfId="8825" xr:uid="{092B5294-CB6C-4D3C-A8A3-2AEA0A7EF1DD}"/>
    <cellStyle name="Normal 12 2 15 3 4" xfId="8826" xr:uid="{F7928544-A300-4C4B-A73F-3FB14414E3BD}"/>
    <cellStyle name="Normal 12 2 15 4" xfId="8827" xr:uid="{760BF986-F05F-4D0B-A84F-ACE1EBA3CF98}"/>
    <cellStyle name="Normal 12 2 15 5" xfId="8828" xr:uid="{D0155547-319C-47D6-ADA8-BBF345DF153C}"/>
    <cellStyle name="Normal 12 2 15 6" xfId="8829" xr:uid="{A5BF8E44-24B7-49A3-9178-422285B9C055}"/>
    <cellStyle name="Normal 12 2 16" xfId="8830" xr:uid="{7D27B51C-665E-48E2-86DD-8B3F0A2533F8}"/>
    <cellStyle name="Normal 12 2 16 2" xfId="8831" xr:uid="{2AAEB5B6-8AE5-4FD6-95C1-0366CACDCDFB}"/>
    <cellStyle name="Normal 12 2 16 2 2" xfId="8832" xr:uid="{9E7B59BF-7E05-4332-BD4B-1E28B3F57992}"/>
    <cellStyle name="Normal 12 2 16 2 3" xfId="8833" xr:uid="{AD205BAB-EBE9-4C49-800E-547F1C9D6927}"/>
    <cellStyle name="Normal 12 2 16 2 4" xfId="8834" xr:uid="{05CE54BD-5C77-4E17-9709-3DBA754D5501}"/>
    <cellStyle name="Normal 12 2 16 3" xfId="8835" xr:uid="{6659CF28-7B27-4EC5-B441-E02B2AFB9656}"/>
    <cellStyle name="Normal 12 2 16 3 2" xfId="8836" xr:uid="{20861E5F-7378-4D2F-81BE-B4F30C1C188F}"/>
    <cellStyle name="Normal 12 2 16 3 3" xfId="8837" xr:uid="{979E2FF3-B269-48B2-A8C0-B3AFD936D7B3}"/>
    <cellStyle name="Normal 12 2 16 3 4" xfId="8838" xr:uid="{C7FA1CC0-94AD-4921-8121-7600CBF45AB2}"/>
    <cellStyle name="Normal 12 2 16 4" xfId="8839" xr:uid="{D9B7EC7A-F23F-49F6-9F36-74D52B8921B9}"/>
    <cellStyle name="Normal 12 2 16 5" xfId="8840" xr:uid="{9823B950-4D56-43B5-87D7-06C6D69FB56B}"/>
    <cellStyle name="Normal 12 2 16 6" xfId="8841" xr:uid="{CC2AD763-8914-4236-8439-B5181C40283B}"/>
    <cellStyle name="Normal 12 2 17" xfId="8842" xr:uid="{2CF7AF6A-22F2-4798-88BA-7DF80E43AA1E}"/>
    <cellStyle name="Normal 12 2 17 2" xfId="8843" xr:uid="{4F2117A0-4731-4C75-B429-C7FA4CC899C5}"/>
    <cellStyle name="Normal 12 2 17 2 2" xfId="8844" xr:uid="{575309AA-4DA2-48B7-BF67-89824C6A5070}"/>
    <cellStyle name="Normal 12 2 17 2 3" xfId="8845" xr:uid="{B4CEE4D1-7599-4436-9577-8CD464AFEAC9}"/>
    <cellStyle name="Normal 12 2 17 2 4" xfId="8846" xr:uid="{BB5427B6-7D96-42DC-A605-DE7C47343CFB}"/>
    <cellStyle name="Normal 12 2 17 3" xfId="8847" xr:uid="{63E61CEE-26D4-4BF8-A087-9BD1A564B0D4}"/>
    <cellStyle name="Normal 12 2 17 3 2" xfId="8848" xr:uid="{C6E12357-9795-4077-A1BB-880ACE86D36F}"/>
    <cellStyle name="Normal 12 2 17 3 3" xfId="8849" xr:uid="{C296FB3A-1250-420E-897B-17007DAC11E6}"/>
    <cellStyle name="Normal 12 2 17 3 4" xfId="8850" xr:uid="{8CEFA89F-E35F-451B-A909-47CB5161A3CE}"/>
    <cellStyle name="Normal 12 2 17 4" xfId="8851" xr:uid="{011FC155-798A-4AC8-AD04-1F9819F2498E}"/>
    <cellStyle name="Normal 12 2 17 5" xfId="8852" xr:uid="{0F763EC8-7D05-4A79-89F2-AECFABFCE334}"/>
    <cellStyle name="Normal 12 2 17 6" xfId="8853" xr:uid="{A54BB816-35EB-4851-8D16-F02BC3FEC466}"/>
    <cellStyle name="Normal 12 2 18" xfId="8854" xr:uid="{14979D13-7CC2-44B7-B070-19D0A148BC6A}"/>
    <cellStyle name="Normal 12 2 18 2" xfId="8855" xr:uid="{3E0B3C9B-37BC-46E7-8916-F7C48BB88652}"/>
    <cellStyle name="Normal 12 2 18 3" xfId="8856" xr:uid="{2A44F68B-9A7A-4EDD-B667-6CC5966D51CA}"/>
    <cellStyle name="Normal 12 2 18 4" xfId="8857" xr:uid="{F77FBEC5-22ED-40C3-B209-F7C2064B5F8E}"/>
    <cellStyle name="Normal 12 2 19" xfId="8858" xr:uid="{F77D863C-623D-435F-AE55-7A2468F77443}"/>
    <cellStyle name="Normal 12 2 19 2" xfId="8859" xr:uid="{A58E1C95-EF45-4FBA-BF4C-050428C17792}"/>
    <cellStyle name="Normal 12 2 19 3" xfId="8860" xr:uid="{C2CDBED9-B2BF-4062-A6F4-BB6D32F65A29}"/>
    <cellStyle name="Normal 12 2 19 4" xfId="8861" xr:uid="{D55F5FDC-2871-4522-8368-61EA0466E07D}"/>
    <cellStyle name="Normal 12 2 2" xfId="8862" xr:uid="{3B4DE5EA-ECB0-4877-9EB1-FAA3F301E315}"/>
    <cellStyle name="Normal 12 2 2 2" xfId="8863" xr:uid="{F9ACADCE-6484-4CC6-BB05-62C4B753B990}"/>
    <cellStyle name="Normal 12 2 2 2 2" xfId="8864" xr:uid="{8ACCE256-C769-4805-9036-35BF06DE55E6}"/>
    <cellStyle name="Normal 12 2 2 2 3" xfId="8865" xr:uid="{FE53440F-FC8A-438C-9A9A-3657FF725F3E}"/>
    <cellStyle name="Normal 12 2 2 2 4" xfId="8866" xr:uid="{81D6BE27-4054-41DC-AE3B-8626AF6AB23C}"/>
    <cellStyle name="Normal 12 2 2 3" xfId="8867" xr:uid="{129FB844-F3CC-482F-8D8E-8339A1772668}"/>
    <cellStyle name="Normal 12 2 2 3 2" xfId="8868" xr:uid="{1B72B535-3F9B-478B-B920-7FD86EEB3DDD}"/>
    <cellStyle name="Normal 12 2 2 3 3" xfId="8869" xr:uid="{9FD79209-4F2E-4518-BE5C-0B7159646F0D}"/>
    <cellStyle name="Normal 12 2 2 3 4" xfId="8870" xr:uid="{0AA7F10D-AFBA-4ED7-9628-87C7FA8B68BF}"/>
    <cellStyle name="Normal 12 2 2 4" xfId="8871" xr:uid="{7B6D016D-5735-469D-BC4D-F4EF5C7F9624}"/>
    <cellStyle name="Normal 12 2 2 5" xfId="8872" xr:uid="{D26B8B4F-0FEE-4A81-830F-30DFC61801C4}"/>
    <cellStyle name="Normal 12 2 2 6" xfId="8873" xr:uid="{1CD77022-6935-4FFF-A055-DC62DA3AA996}"/>
    <cellStyle name="Normal 12 2 20" xfId="8874" xr:uid="{21433246-66D0-4090-AF4A-423B596BEA7B}"/>
    <cellStyle name="Normal 12 2 20 2" xfId="8875" xr:uid="{4978B1D3-6889-4CF5-BE1F-6463E0798A79}"/>
    <cellStyle name="Normal 12 2 20 3" xfId="8876" xr:uid="{217CBA96-A9F0-40BE-9EBC-1D9D357FC121}"/>
    <cellStyle name="Normal 12 2 20 4" xfId="8877" xr:uid="{DFBB87F3-6885-401D-A5F0-26794398B0BB}"/>
    <cellStyle name="Normal 12 2 21" xfId="8878" xr:uid="{D46F6379-3984-49FA-A433-6D75C9E08A1C}"/>
    <cellStyle name="Normal 12 2 22" xfId="8879" xr:uid="{7A01AAA8-35D4-47E5-9614-E6E909314EC1}"/>
    <cellStyle name="Normal 12 2 23" xfId="8880" xr:uid="{AFC84A4C-EF13-45E9-A98E-C5A16EB6AB91}"/>
    <cellStyle name="Normal 12 2 24" xfId="43570" xr:uid="{BE6EB8D4-6AC0-4396-B3EA-32C9AB94DC21}"/>
    <cellStyle name="Normal 12 2 3" xfId="8881" xr:uid="{AE33713B-FDCC-4690-9785-FCC2C536BB3E}"/>
    <cellStyle name="Normal 12 2 3 2" xfId="8882" xr:uid="{0D67E94C-970F-4D56-85BC-E828B974432B}"/>
    <cellStyle name="Normal 12 2 3 2 2" xfId="8883" xr:uid="{7EC3F0B7-6895-406A-AD6D-E6624DF302D3}"/>
    <cellStyle name="Normal 12 2 3 2 3" xfId="8884" xr:uid="{E034B0B6-9F68-4ACD-8EE1-FBC683FCADBB}"/>
    <cellStyle name="Normal 12 2 3 2 4" xfId="8885" xr:uid="{791A2C24-8263-49C5-B0EB-16514CD0AB4C}"/>
    <cellStyle name="Normal 12 2 3 3" xfId="8886" xr:uid="{96151803-F8FD-4DC9-BAB1-E41A9E34882A}"/>
    <cellStyle name="Normal 12 2 3 3 2" xfId="8887" xr:uid="{065F8807-DD52-4C0A-8112-E6E30FD39530}"/>
    <cellStyle name="Normal 12 2 3 3 3" xfId="8888" xr:uid="{88B8A92F-6810-4775-BDF4-BF7D0F60035B}"/>
    <cellStyle name="Normal 12 2 3 3 4" xfId="8889" xr:uid="{532CF828-3A98-4073-A34C-2F77DC06CF65}"/>
    <cellStyle name="Normal 12 2 3 4" xfId="8890" xr:uid="{61A5E36A-4BCC-4A3B-8046-EEAA13383C45}"/>
    <cellStyle name="Normal 12 2 3 5" xfId="8891" xr:uid="{77B92A28-E706-421E-819E-F704FD30907D}"/>
    <cellStyle name="Normal 12 2 3 6" xfId="8892" xr:uid="{B307D51C-4D26-45D7-BD99-8F605ADA5591}"/>
    <cellStyle name="Normal 12 2 4" xfId="8893" xr:uid="{6812E06F-3C2D-4158-8D7F-78BB485ED1C8}"/>
    <cellStyle name="Normal 12 2 4 2" xfId="8894" xr:uid="{CFEB1C78-589A-4587-B404-880A0BD060CB}"/>
    <cellStyle name="Normal 12 2 4 2 2" xfId="8895" xr:uid="{A733C089-ACD4-4FED-BCBA-BF9EE476F384}"/>
    <cellStyle name="Normal 12 2 4 2 3" xfId="8896" xr:uid="{A7D50995-332F-4412-84C9-586B5111B6AD}"/>
    <cellStyle name="Normal 12 2 4 2 4" xfId="8897" xr:uid="{B98E017D-F4B3-4328-9E31-18946F40BFDA}"/>
    <cellStyle name="Normal 12 2 4 3" xfId="8898" xr:uid="{BDB6630D-23A1-4B6E-90A5-B186D727E68D}"/>
    <cellStyle name="Normal 12 2 4 3 2" xfId="8899" xr:uid="{AC6B6248-0718-4008-BBB7-FDBF6C749A6D}"/>
    <cellStyle name="Normal 12 2 4 3 3" xfId="8900" xr:uid="{76ED497B-D3D0-4DDD-AE85-FEAEDDD92729}"/>
    <cellStyle name="Normal 12 2 4 3 4" xfId="8901" xr:uid="{459C322B-D159-4D80-9DA5-4E975CFEDD83}"/>
    <cellStyle name="Normal 12 2 4 4" xfId="8902" xr:uid="{DA83FA50-314F-495F-A283-8E03F79CDC5A}"/>
    <cellStyle name="Normal 12 2 4 5" xfId="8903" xr:uid="{FFF9F2D8-396E-4D79-84FE-2A3A6423FF3C}"/>
    <cellStyle name="Normal 12 2 4 6" xfId="8904" xr:uid="{C3E3412B-4DE8-4F4C-AFF2-5ADBB7B864F7}"/>
    <cellStyle name="Normal 12 2 5" xfId="8905" xr:uid="{9E9438FB-D5E9-4AFF-BCA4-1ADF24E03DF5}"/>
    <cellStyle name="Normal 12 2 5 2" xfId="8906" xr:uid="{45FD216C-1FD3-494F-9F93-56C7DC235261}"/>
    <cellStyle name="Normal 12 2 5 2 2" xfId="8907" xr:uid="{83A9D46B-90AA-455C-8B6A-6676709BDEC1}"/>
    <cellStyle name="Normal 12 2 5 2 3" xfId="8908" xr:uid="{4601EA97-8106-42A1-8B04-F1AACBC8457D}"/>
    <cellStyle name="Normal 12 2 5 2 4" xfId="8909" xr:uid="{0CC489BC-CA16-4B16-97D7-0F94E0853A03}"/>
    <cellStyle name="Normal 12 2 5 3" xfId="8910" xr:uid="{AB254191-B6D4-42E4-8F49-88636B861BAF}"/>
    <cellStyle name="Normal 12 2 5 3 2" xfId="8911" xr:uid="{6A5B776D-FDA7-46F2-8095-F62C12CC5821}"/>
    <cellStyle name="Normal 12 2 5 3 3" xfId="8912" xr:uid="{C34827DD-FF2B-443D-AB1B-7A1FEF9289D9}"/>
    <cellStyle name="Normal 12 2 5 3 4" xfId="8913" xr:uid="{C82233DC-A205-4272-BCA8-66FBAC8A788B}"/>
    <cellStyle name="Normal 12 2 5 4" xfId="8914" xr:uid="{3EED4BD9-0A7B-4720-8C07-89DD7BBDE602}"/>
    <cellStyle name="Normal 12 2 5 5" xfId="8915" xr:uid="{EC1DE5D3-46DC-4E9D-B721-98B07A40B171}"/>
    <cellStyle name="Normal 12 2 5 6" xfId="8916" xr:uid="{5CED53D7-E8E5-4099-B0C6-B20DB7849A9A}"/>
    <cellStyle name="Normal 12 2 6" xfId="8917" xr:uid="{A4CCD85D-BE22-487D-B6CD-A05A886F20AB}"/>
    <cellStyle name="Normal 12 2 6 2" xfId="8918" xr:uid="{C9AC3D96-949C-4F95-8DA5-B14707222026}"/>
    <cellStyle name="Normal 12 2 6 2 2" xfId="8919" xr:uid="{44074109-898C-45B9-B00D-A2C53425832D}"/>
    <cellStyle name="Normal 12 2 6 2 3" xfId="8920" xr:uid="{959BA02C-C6AA-4492-84AF-9A63B30AEDDB}"/>
    <cellStyle name="Normal 12 2 6 2 4" xfId="8921" xr:uid="{AC139C60-54DC-4947-8BD6-8D4456A9E6D3}"/>
    <cellStyle name="Normal 12 2 6 3" xfId="8922" xr:uid="{C55A08EA-169E-4528-AA24-3842336871A8}"/>
    <cellStyle name="Normal 12 2 6 3 2" xfId="8923" xr:uid="{9A23C221-852F-4546-A676-597BE5B9E64C}"/>
    <cellStyle name="Normal 12 2 6 3 3" xfId="8924" xr:uid="{9B9BC39C-8F6E-4ABD-9F26-470E32FDAC9C}"/>
    <cellStyle name="Normal 12 2 6 3 4" xfId="8925" xr:uid="{D4B634F2-3E82-4FA1-B322-4E745C847218}"/>
    <cellStyle name="Normal 12 2 6 4" xfId="8926" xr:uid="{F9B962B1-A542-46C4-A10C-8863B029E654}"/>
    <cellStyle name="Normal 12 2 6 5" xfId="8927" xr:uid="{CCBCB0D6-50B7-4B41-9EE8-ACA23C18A973}"/>
    <cellStyle name="Normal 12 2 6 6" xfId="8928" xr:uid="{5748091E-8D42-479E-8878-507607AF0997}"/>
    <cellStyle name="Normal 12 2 7" xfId="8929" xr:uid="{985E86A2-C670-4B3A-8B0A-1CBE0AF39F07}"/>
    <cellStyle name="Normal 12 2 7 2" xfId="8930" xr:uid="{7697932A-181C-4CC7-8290-EC8AB9583674}"/>
    <cellStyle name="Normal 12 2 7 2 2" xfId="8931" xr:uid="{16B8BA7E-EE55-4388-B0D6-CB937C9D5C9F}"/>
    <cellStyle name="Normal 12 2 7 2 3" xfId="8932" xr:uid="{727A8BF8-FC34-4FEE-AA25-2D0D167A97BF}"/>
    <cellStyle name="Normal 12 2 7 2 4" xfId="8933" xr:uid="{0D45420F-8F42-4982-8162-3E20EEEE3721}"/>
    <cellStyle name="Normal 12 2 7 3" xfId="8934" xr:uid="{6CD41C4B-5E48-4B06-8693-3F75F0C23EED}"/>
    <cellStyle name="Normal 12 2 7 3 2" xfId="8935" xr:uid="{C7E14BEC-4965-4105-BBC9-8D2304300059}"/>
    <cellStyle name="Normal 12 2 7 3 3" xfId="8936" xr:uid="{F3CE7AE5-BA52-4170-AD4E-0A69D1D1F057}"/>
    <cellStyle name="Normal 12 2 7 3 4" xfId="8937" xr:uid="{136D757C-D74E-48C4-9994-1412F28DD37B}"/>
    <cellStyle name="Normal 12 2 7 4" xfId="8938" xr:uid="{F23BD179-DF3A-48B6-A0A3-21C293112C34}"/>
    <cellStyle name="Normal 12 2 7 5" xfId="8939" xr:uid="{5D25F408-248B-4420-8A32-8B9B279FF697}"/>
    <cellStyle name="Normal 12 2 7 6" xfId="8940" xr:uid="{4742DDB8-B03F-488F-8C11-EB40CDD4FEF9}"/>
    <cellStyle name="Normal 12 2 8" xfId="8941" xr:uid="{65C56F26-0888-4641-9A73-F77CF0387078}"/>
    <cellStyle name="Normal 12 2 8 2" xfId="8942" xr:uid="{262DD0D4-D319-44AA-91E9-F1E4ECBB5A08}"/>
    <cellStyle name="Normal 12 2 8 2 2" xfId="8943" xr:uid="{03F2FDEE-9FC4-405F-A3C6-7844774EA3E1}"/>
    <cellStyle name="Normal 12 2 8 2 3" xfId="8944" xr:uid="{89DFB444-11DB-4390-9722-B17C58973A85}"/>
    <cellStyle name="Normal 12 2 8 2 4" xfId="8945" xr:uid="{E85B416D-D7AB-4507-82D2-88F5E90295F4}"/>
    <cellStyle name="Normal 12 2 8 3" xfId="8946" xr:uid="{26F14F4D-266D-4806-90FB-95473468979F}"/>
    <cellStyle name="Normal 12 2 8 3 2" xfId="8947" xr:uid="{98B3C352-5508-43C7-BE99-3871F9620D10}"/>
    <cellStyle name="Normal 12 2 8 3 3" xfId="8948" xr:uid="{77F1D34C-E25E-43E8-9D06-1CFD8F5BC238}"/>
    <cellStyle name="Normal 12 2 8 3 4" xfId="8949" xr:uid="{EA4A948A-7F7F-4E05-8D31-4236E06545D9}"/>
    <cellStyle name="Normal 12 2 8 4" xfId="8950" xr:uid="{8BC4EBB3-B038-46CF-9294-C8996708D24E}"/>
    <cellStyle name="Normal 12 2 8 5" xfId="8951" xr:uid="{9F9D5B92-80F5-4384-95A5-8BDE0DCDC589}"/>
    <cellStyle name="Normal 12 2 8 6" xfId="8952" xr:uid="{0E8D169F-D2A7-44E1-81FF-ED335B989B0B}"/>
    <cellStyle name="Normal 12 2 9" xfId="8953" xr:uid="{E43B900E-EFA8-4F26-828E-95FFA761D824}"/>
    <cellStyle name="Normal 12 2 9 2" xfId="8954" xr:uid="{92FC2AC3-62CF-494A-9D44-18639C14EC1A}"/>
    <cellStyle name="Normal 12 2 9 2 2" xfId="8955" xr:uid="{4106077E-50D7-4DFA-B5DB-61E34252F43A}"/>
    <cellStyle name="Normal 12 2 9 2 3" xfId="8956" xr:uid="{9886D888-1178-49A6-A22E-0AB4E806C637}"/>
    <cellStyle name="Normal 12 2 9 2 4" xfId="8957" xr:uid="{4DDC408A-64FA-4106-B108-FB142338FF52}"/>
    <cellStyle name="Normal 12 2 9 3" xfId="8958" xr:uid="{C98B71EA-F3C8-43DB-BFE9-C0A63892F49B}"/>
    <cellStyle name="Normal 12 2 9 3 2" xfId="8959" xr:uid="{C5090E0D-9471-401C-9D1C-E3752862AA93}"/>
    <cellStyle name="Normal 12 2 9 3 3" xfId="8960" xr:uid="{9985B888-27F8-4980-A021-7E154ABE2821}"/>
    <cellStyle name="Normal 12 2 9 3 4" xfId="8961" xr:uid="{2E3A2A5E-717E-45AE-8A38-5F6449520A8C}"/>
    <cellStyle name="Normal 12 2 9 4" xfId="8962" xr:uid="{C87EF3BF-84AE-4B66-82D5-F9F17BD025E5}"/>
    <cellStyle name="Normal 12 2 9 5" xfId="8963" xr:uid="{7209A3AE-A0B0-45C9-B2FA-B3FF25609C04}"/>
    <cellStyle name="Normal 12 2 9 6" xfId="8964" xr:uid="{8D658C8C-D5FE-40CB-A97F-E3BFDCC08AC1}"/>
    <cellStyle name="Normal 12 20" xfId="8965" xr:uid="{34A2F86E-1B2B-4E17-9A52-73D7E8054881}"/>
    <cellStyle name="Normal 12 20 2" xfId="8966" xr:uid="{E27BB3E8-6CF6-45A7-B79C-FEA07D7C9C60}"/>
    <cellStyle name="Normal 12 20 3" xfId="8967" xr:uid="{F09ECA38-A8B8-4E83-B53E-B33A1AEB2B13}"/>
    <cellStyle name="Normal 12 20 4" xfId="8968" xr:uid="{EDAC34D1-36A1-46A8-A7A1-4942FCE805B6}"/>
    <cellStyle name="Normal 12 21" xfId="8969" xr:uid="{CC9CCB2F-68AF-4F47-8CED-03E0E9557AAA}"/>
    <cellStyle name="Normal 12 21 2" xfId="8970" xr:uid="{41CCDCEA-5931-4FDB-9FE1-D8AF21CB6441}"/>
    <cellStyle name="Normal 12 21 3" xfId="8971" xr:uid="{BEF37CBA-DE45-4863-BDC3-D5F91DB44B83}"/>
    <cellStyle name="Normal 12 21 4" xfId="8972" xr:uid="{B0AB523E-C441-4FEC-901A-E80A6EC1C651}"/>
    <cellStyle name="Normal 12 22" xfId="8973" xr:uid="{6C1369C4-B4FB-4D53-BAB5-87F97ABF0C5D}"/>
    <cellStyle name="Normal 12 22 2" xfId="8974" xr:uid="{704B1DD4-905E-41D0-B0A4-F129D9F69406}"/>
    <cellStyle name="Normal 12 22 3" xfId="8975" xr:uid="{8AB6D6D2-B00B-409D-BF37-E39D4195FF20}"/>
    <cellStyle name="Normal 12 22 4" xfId="8976" xr:uid="{9C5BC091-3F1B-4A61-A4D6-4EB7662C25B1}"/>
    <cellStyle name="Normal 12 23" xfId="8977" xr:uid="{54F203CC-348F-4967-9209-F51B5D566341}"/>
    <cellStyle name="Normal 12 24" xfId="8978" xr:uid="{B99F7070-CABE-46E0-9FDC-88DBDC6A2F92}"/>
    <cellStyle name="Normal 12 25" xfId="8979" xr:uid="{B166628E-C640-46BF-A9E2-C68E1EE3E6BC}"/>
    <cellStyle name="Normal 12 26" xfId="8980" xr:uid="{D5FE2212-A78A-4388-A3CD-FEE2412D01D2}"/>
    <cellStyle name="Normal 12 27" xfId="8981" xr:uid="{CC69D6D9-E5A3-4D94-933C-37B27D7906A5}"/>
    <cellStyle name="Normal 12 28" xfId="8982" xr:uid="{7D027C76-4D36-4AE0-92F8-91E813CFC027}"/>
    <cellStyle name="Normal 12 29" xfId="8983" xr:uid="{330B78A5-4B93-4035-B2CD-A01278CD99AA}"/>
    <cellStyle name="Normal 12 3" xfId="8984" xr:uid="{BAE86EC2-F07B-48C6-81B0-AA9CCB3F6AC7}"/>
    <cellStyle name="Normal 12 3 10" xfId="8985" xr:uid="{EAE4F43A-DFE8-48B6-8E17-659F2074C005}"/>
    <cellStyle name="Normal 12 3 10 2" xfId="8986" xr:uid="{2C8FB2F4-BF88-4938-98FB-D48DBA3B54E6}"/>
    <cellStyle name="Normal 12 3 10 2 2" xfId="8987" xr:uid="{3733840E-3DC7-4204-BE9D-D14907DC61AE}"/>
    <cellStyle name="Normal 12 3 10 2 3" xfId="8988" xr:uid="{74A619C4-E01C-47DF-AF5F-91183F99836F}"/>
    <cellStyle name="Normal 12 3 10 2 4" xfId="8989" xr:uid="{B16CB00B-88DF-451D-9C2A-58F46B33FF94}"/>
    <cellStyle name="Normal 12 3 10 3" xfId="8990" xr:uid="{3ECA6A5A-96EC-44FF-95C5-A94A77197D19}"/>
    <cellStyle name="Normal 12 3 10 3 2" xfId="8991" xr:uid="{A4C29637-C151-4CB2-A110-B93ACEB376A6}"/>
    <cellStyle name="Normal 12 3 10 3 3" xfId="8992" xr:uid="{7C3FE251-EB87-4519-9C29-C019CB2279AD}"/>
    <cellStyle name="Normal 12 3 10 3 4" xfId="8993" xr:uid="{392F5973-5F96-40E4-85A2-C1F69FD04964}"/>
    <cellStyle name="Normal 12 3 10 4" xfId="8994" xr:uid="{BC549D2F-15B0-4CCA-B53C-D07FAC488362}"/>
    <cellStyle name="Normal 12 3 10 5" xfId="8995" xr:uid="{8CEF9092-0881-4B9C-B449-949D611E638C}"/>
    <cellStyle name="Normal 12 3 10 6" xfId="8996" xr:uid="{82BE489B-62EF-48EC-80D9-9D65E5EA6B19}"/>
    <cellStyle name="Normal 12 3 11" xfId="8997" xr:uid="{AAC4053D-BBB0-4A73-8F02-42819625953C}"/>
    <cellStyle name="Normal 12 3 11 2" xfId="8998" xr:uid="{A954DE11-33C1-4788-BF5C-B4B99E087998}"/>
    <cellStyle name="Normal 12 3 11 2 2" xfId="8999" xr:uid="{EAB98A46-AB98-4FB2-9CF9-C8B3439D214F}"/>
    <cellStyle name="Normal 12 3 11 2 3" xfId="9000" xr:uid="{D7652463-DCE4-4847-BB47-9FE24C85510D}"/>
    <cellStyle name="Normal 12 3 11 2 4" xfId="9001" xr:uid="{1F01DAB7-977F-4551-8817-C659BC071F88}"/>
    <cellStyle name="Normal 12 3 11 3" xfId="9002" xr:uid="{3C63E2C1-C4A3-4E1B-9C97-DF223B25B67D}"/>
    <cellStyle name="Normal 12 3 11 3 2" xfId="9003" xr:uid="{6D3C1B7D-BDD7-4E42-90D8-84EC1AEE5CB4}"/>
    <cellStyle name="Normal 12 3 11 3 3" xfId="9004" xr:uid="{82316255-0AC2-46CC-B45E-F6F1863CA8C9}"/>
    <cellStyle name="Normal 12 3 11 3 4" xfId="9005" xr:uid="{854FE7A5-24C3-4ED2-AF28-D64FC8910810}"/>
    <cellStyle name="Normal 12 3 11 4" xfId="9006" xr:uid="{F3699701-68AC-4C61-90FF-1294B288580A}"/>
    <cellStyle name="Normal 12 3 11 5" xfId="9007" xr:uid="{2081390B-A114-421E-8844-C6080BBE5293}"/>
    <cellStyle name="Normal 12 3 11 6" xfId="9008" xr:uid="{6BA39B7B-5644-4139-A693-35D42E6D4DF7}"/>
    <cellStyle name="Normal 12 3 12" xfId="9009" xr:uid="{B0396E29-6E19-42C5-A79B-EDCCAA9456E9}"/>
    <cellStyle name="Normal 12 3 12 2" xfId="9010" xr:uid="{14DAF522-1813-45A3-B8DB-528E1FD907FE}"/>
    <cellStyle name="Normal 12 3 12 2 2" xfId="9011" xr:uid="{1A6865AE-CF44-44C1-943E-6ADABDA5127E}"/>
    <cellStyle name="Normal 12 3 12 2 3" xfId="9012" xr:uid="{75670574-16B8-4B88-82B9-DA4FAE24471D}"/>
    <cellStyle name="Normal 12 3 12 2 4" xfId="9013" xr:uid="{2808A6FA-2EB8-4512-BB9D-2A11074A81B6}"/>
    <cellStyle name="Normal 12 3 12 3" xfId="9014" xr:uid="{4E963865-BA5E-49E2-855F-2B0E21D2CA83}"/>
    <cellStyle name="Normal 12 3 12 3 2" xfId="9015" xr:uid="{6BBB07E4-2E48-4E1C-BB43-A4AE860B0040}"/>
    <cellStyle name="Normal 12 3 12 3 3" xfId="9016" xr:uid="{60011B33-065F-4D8D-A626-CAA62E96CBB1}"/>
    <cellStyle name="Normal 12 3 12 3 4" xfId="9017" xr:uid="{000A6DFF-0242-49C0-B009-DC7D47B2A010}"/>
    <cellStyle name="Normal 12 3 12 4" xfId="9018" xr:uid="{779671B5-1661-43DF-8215-E26D81D302E1}"/>
    <cellStyle name="Normal 12 3 12 5" xfId="9019" xr:uid="{A5EC7215-E14B-4392-ACEF-8366CC4FDECD}"/>
    <cellStyle name="Normal 12 3 12 6" xfId="9020" xr:uid="{EF8AF6BD-AFF3-46C2-BD15-8D1CF6236465}"/>
    <cellStyle name="Normal 12 3 13" xfId="9021" xr:uid="{60286158-9D3C-456D-99F1-BCCBD181F01A}"/>
    <cellStyle name="Normal 12 3 13 2" xfId="9022" xr:uid="{BE3AC514-383C-49E6-849C-81B73C2C4AAF}"/>
    <cellStyle name="Normal 12 3 13 2 2" xfId="9023" xr:uid="{BA55F665-8265-4AE1-8860-83FA46088DC7}"/>
    <cellStyle name="Normal 12 3 13 2 3" xfId="9024" xr:uid="{7CB8666B-E01E-40AD-8E06-A0B6A3920065}"/>
    <cellStyle name="Normal 12 3 13 2 4" xfId="9025" xr:uid="{AB4E46E8-F840-46D6-ADFF-9DDD6FC77C8A}"/>
    <cellStyle name="Normal 12 3 13 3" xfId="9026" xr:uid="{CD4F40B5-1F21-4637-BB81-CBF8639066A6}"/>
    <cellStyle name="Normal 12 3 13 3 2" xfId="9027" xr:uid="{6D40E7E1-4A59-4094-B069-8CBD28021C8C}"/>
    <cellStyle name="Normal 12 3 13 3 3" xfId="9028" xr:uid="{D054C061-719F-42A8-B772-D8241A945426}"/>
    <cellStyle name="Normal 12 3 13 3 4" xfId="9029" xr:uid="{E9B0A3FC-56DB-47FC-BCF2-75CBBE9C4875}"/>
    <cellStyle name="Normal 12 3 13 4" xfId="9030" xr:uid="{DC820EB8-51E7-4091-8721-20E136EB9023}"/>
    <cellStyle name="Normal 12 3 13 5" xfId="9031" xr:uid="{1AED9E2E-54E3-49B1-B156-3B6930CA8ED6}"/>
    <cellStyle name="Normal 12 3 13 6" xfId="9032" xr:uid="{6EF8A479-5311-4412-8DF5-673C5D9BF9F3}"/>
    <cellStyle name="Normal 12 3 14" xfId="9033" xr:uid="{410059BA-B7A3-42C6-8A6B-328C576FE008}"/>
    <cellStyle name="Normal 12 3 14 2" xfId="9034" xr:uid="{8BA23589-09F7-489F-9D1A-8B19222EB236}"/>
    <cellStyle name="Normal 12 3 14 2 2" xfId="9035" xr:uid="{AD99784F-65CB-4E0D-BEBC-6FC334AACFAB}"/>
    <cellStyle name="Normal 12 3 14 2 3" xfId="9036" xr:uid="{DD630E5B-6020-4487-A78F-5722D284E68D}"/>
    <cellStyle name="Normal 12 3 14 2 4" xfId="9037" xr:uid="{DB18C7FE-14E5-4FD0-9C1A-CB306E272B6D}"/>
    <cellStyle name="Normal 12 3 14 3" xfId="9038" xr:uid="{AD594989-091C-4977-AFB3-A51409ECCF79}"/>
    <cellStyle name="Normal 12 3 14 3 2" xfId="9039" xr:uid="{4431E50D-D596-4C6D-B52F-21819A8FF7C2}"/>
    <cellStyle name="Normal 12 3 14 3 3" xfId="9040" xr:uid="{DECFADE3-9331-4BE3-803E-DDD02D87B3E1}"/>
    <cellStyle name="Normal 12 3 14 3 4" xfId="9041" xr:uid="{CCC9C4AA-A279-44DB-8C15-3CB7BB1A8451}"/>
    <cellStyle name="Normal 12 3 14 4" xfId="9042" xr:uid="{7969DB9C-9BAE-457D-820C-8C2A6D3192F1}"/>
    <cellStyle name="Normal 12 3 14 5" xfId="9043" xr:uid="{9622BFA9-1FDA-4EB2-B6A4-4EF8703851C7}"/>
    <cellStyle name="Normal 12 3 14 6" xfId="9044" xr:uid="{51F6C557-CC46-4640-AD83-063F3CEE2C33}"/>
    <cellStyle name="Normal 12 3 15" xfId="9045" xr:uid="{9F4382DD-71AE-44C4-90F2-8CD5B4795BB5}"/>
    <cellStyle name="Normal 12 3 15 2" xfId="9046" xr:uid="{4AD9C036-267A-4A11-84F5-D0BA83B6B98F}"/>
    <cellStyle name="Normal 12 3 15 2 2" xfId="9047" xr:uid="{28E4ED12-5604-4DD3-986E-791F73B957B8}"/>
    <cellStyle name="Normal 12 3 15 2 3" xfId="9048" xr:uid="{61549395-760E-4BE5-9ED5-BCA3FEFB7627}"/>
    <cellStyle name="Normal 12 3 15 2 4" xfId="9049" xr:uid="{7EFD080D-77C0-4407-8E3B-E48531372E98}"/>
    <cellStyle name="Normal 12 3 15 3" xfId="9050" xr:uid="{831A93DD-1569-4B1E-AEB8-2586887F7803}"/>
    <cellStyle name="Normal 12 3 15 3 2" xfId="9051" xr:uid="{C004B626-81AA-4C7A-BF1C-EB57ED5C6B7A}"/>
    <cellStyle name="Normal 12 3 15 3 3" xfId="9052" xr:uid="{4F5D49E1-D5D6-4F5C-BB41-C6DCA595BD63}"/>
    <cellStyle name="Normal 12 3 15 3 4" xfId="9053" xr:uid="{DAC1F0EA-CF79-4A72-BB85-D7853278C2AA}"/>
    <cellStyle name="Normal 12 3 15 4" xfId="9054" xr:uid="{4B4DCC60-2FD7-413E-91E3-070CE8834B0D}"/>
    <cellStyle name="Normal 12 3 15 5" xfId="9055" xr:uid="{38F70FE3-F444-445D-B7DC-4C87892AD60A}"/>
    <cellStyle name="Normal 12 3 15 6" xfId="9056" xr:uid="{61447D0B-B931-44D4-B0C0-5C212C7BB951}"/>
    <cellStyle name="Normal 12 3 16" xfId="9057" xr:uid="{B91619ED-BD19-41D2-B64D-01AA5CE618E3}"/>
    <cellStyle name="Normal 12 3 16 2" xfId="9058" xr:uid="{1D51B6E3-6E90-4DD5-B25B-1A38107940B8}"/>
    <cellStyle name="Normal 12 3 16 2 2" xfId="9059" xr:uid="{FBB4A7D2-032D-4BF4-8FDE-234C2C35DEF4}"/>
    <cellStyle name="Normal 12 3 16 2 3" xfId="9060" xr:uid="{01EF56DC-F0BB-4758-962E-2B5EA408E42B}"/>
    <cellStyle name="Normal 12 3 16 2 4" xfId="9061" xr:uid="{C6AFBD89-AD49-4062-B18D-43D90C075D61}"/>
    <cellStyle name="Normal 12 3 16 3" xfId="9062" xr:uid="{6357A4EC-BF5A-4B34-B383-59914B37CE9F}"/>
    <cellStyle name="Normal 12 3 16 3 2" xfId="9063" xr:uid="{1AE70D86-4BF0-4888-A059-BE749B82D215}"/>
    <cellStyle name="Normal 12 3 16 3 3" xfId="9064" xr:uid="{C595D658-5B2D-4097-8B9F-04DAC197B6EA}"/>
    <cellStyle name="Normal 12 3 16 3 4" xfId="9065" xr:uid="{B38BEF9E-E364-4B78-8065-AF110CB98EA1}"/>
    <cellStyle name="Normal 12 3 16 4" xfId="9066" xr:uid="{15166432-3CDB-4E26-B5FD-89690E8D6541}"/>
    <cellStyle name="Normal 12 3 16 5" xfId="9067" xr:uid="{984479FF-48F8-4CA5-923F-214073BB97EA}"/>
    <cellStyle name="Normal 12 3 16 6" xfId="9068" xr:uid="{41197811-D0BA-4605-A550-2E23FCF384FB}"/>
    <cellStyle name="Normal 12 3 17" xfId="9069" xr:uid="{E34654BE-9874-4866-84AF-F1A2CF90FD7D}"/>
    <cellStyle name="Normal 12 3 17 2" xfId="9070" xr:uid="{4F891FFD-4B86-46D1-A773-0546A3568B07}"/>
    <cellStyle name="Normal 12 3 17 2 2" xfId="9071" xr:uid="{A8F71E38-71EF-4835-87CA-8686812689CB}"/>
    <cellStyle name="Normal 12 3 17 2 3" xfId="9072" xr:uid="{161091D2-561B-40EC-865D-08FC49F645B9}"/>
    <cellStyle name="Normal 12 3 17 2 4" xfId="9073" xr:uid="{E05A1301-0BF4-4319-8131-56E0B04B64E5}"/>
    <cellStyle name="Normal 12 3 17 3" xfId="9074" xr:uid="{DCA0FCF6-5673-433F-866D-C87FC6F0A502}"/>
    <cellStyle name="Normal 12 3 17 3 2" xfId="9075" xr:uid="{C61E03FB-9595-487C-99D5-6970D1F49444}"/>
    <cellStyle name="Normal 12 3 17 3 3" xfId="9076" xr:uid="{D4100FC8-DBC9-4658-ABE3-C107556259FD}"/>
    <cellStyle name="Normal 12 3 17 3 4" xfId="9077" xr:uid="{0CE2DF9F-4CB0-4256-B080-54CFC1C7620D}"/>
    <cellStyle name="Normal 12 3 17 4" xfId="9078" xr:uid="{C8268D6A-4C56-48B1-AE75-D1131FD609C5}"/>
    <cellStyle name="Normal 12 3 17 5" xfId="9079" xr:uid="{3F3ADDA0-BC7E-4277-81F1-9C9CAC99D7C7}"/>
    <cellStyle name="Normal 12 3 17 6" xfId="9080" xr:uid="{F6BFC2A9-9877-4BE8-B774-2C11CE83A37E}"/>
    <cellStyle name="Normal 12 3 18" xfId="9081" xr:uid="{9D428F36-83A6-42AE-8E13-2FC3F7A973D3}"/>
    <cellStyle name="Normal 12 3 18 2" xfId="9082" xr:uid="{357FC779-8C9A-49D5-AA01-37F7CE2302B4}"/>
    <cellStyle name="Normal 12 3 18 3" xfId="9083" xr:uid="{7099E5E8-A8D2-497B-923E-2BFCB7FD7912}"/>
    <cellStyle name="Normal 12 3 18 4" xfId="9084" xr:uid="{4D2AF956-8F7F-441A-A8DA-B1B29361B1F4}"/>
    <cellStyle name="Normal 12 3 19" xfId="9085" xr:uid="{BDF1BEE0-24E6-482B-99C2-EF396DEC9A33}"/>
    <cellStyle name="Normal 12 3 19 2" xfId="9086" xr:uid="{2DB91598-48B4-48B1-B26B-633A6A772A70}"/>
    <cellStyle name="Normal 12 3 19 3" xfId="9087" xr:uid="{24E98DD8-2DA0-4BA1-958A-381E55B085EA}"/>
    <cellStyle name="Normal 12 3 19 4" xfId="9088" xr:uid="{93627A0B-74EA-4225-904E-3E51BE0A9801}"/>
    <cellStyle name="Normal 12 3 2" xfId="9089" xr:uid="{80C1B6ED-C056-41C8-9BDB-4B2F5A2C52A0}"/>
    <cellStyle name="Normal 12 3 2 2" xfId="9090" xr:uid="{6CED4A98-6C43-4B6E-803D-2583D57A5812}"/>
    <cellStyle name="Normal 12 3 2 2 2" xfId="9091" xr:uid="{ABD725B6-37C9-4F9B-9EE0-BAF792B622BC}"/>
    <cellStyle name="Normal 12 3 2 2 3" xfId="9092" xr:uid="{28AD2848-06D0-4C49-B5B8-B7AA9B01EB4E}"/>
    <cellStyle name="Normal 12 3 2 2 4" xfId="9093" xr:uid="{ECB4BEC2-628F-4442-BEA2-8FB87ED4E72F}"/>
    <cellStyle name="Normal 12 3 2 3" xfId="9094" xr:uid="{321432B7-A3F9-4569-A033-72B032843AE0}"/>
    <cellStyle name="Normal 12 3 2 3 2" xfId="9095" xr:uid="{00C0F9E5-AE30-4BE0-9965-2EDBA1581FB9}"/>
    <cellStyle name="Normal 12 3 2 3 3" xfId="9096" xr:uid="{94DFE808-E551-44D1-B45C-AF43A78B008A}"/>
    <cellStyle name="Normal 12 3 2 3 4" xfId="9097" xr:uid="{4A581C14-F12D-4ED5-BD64-FA1A2872B8CE}"/>
    <cellStyle name="Normal 12 3 2 4" xfId="9098" xr:uid="{7F548CD2-B93C-4850-A702-799037FB28E9}"/>
    <cellStyle name="Normal 12 3 2 5" xfId="9099" xr:uid="{21522141-CF57-4AD2-9715-5956222FBB0A}"/>
    <cellStyle name="Normal 12 3 2 6" xfId="9100" xr:uid="{F1FE4143-4706-4F6D-B530-0E927DB5E09C}"/>
    <cellStyle name="Normal 12 3 20" xfId="9101" xr:uid="{58F8737E-6D1F-471B-ADB3-F16ED50E0E05}"/>
    <cellStyle name="Normal 12 3 20 2" xfId="9102" xr:uid="{D98EC3FB-385B-4994-84FD-6C5DB6A736DD}"/>
    <cellStyle name="Normal 12 3 20 3" xfId="9103" xr:uid="{7B637C7F-293B-4A27-86B5-7E1C6F49F636}"/>
    <cellStyle name="Normal 12 3 20 4" xfId="9104" xr:uid="{C13B6397-C0D4-4551-B933-C378BC575576}"/>
    <cellStyle name="Normal 12 3 21" xfId="9105" xr:uid="{09E7A453-E019-4A56-BE6A-DAE5D505B64A}"/>
    <cellStyle name="Normal 12 3 22" xfId="9106" xr:uid="{E5EA5FE2-F65E-4164-A25C-2BDBB641EA1F}"/>
    <cellStyle name="Normal 12 3 23" xfId="9107" xr:uid="{7BF6EE76-42A5-4B54-A8E0-C93F8F83A8D8}"/>
    <cellStyle name="Normal 12 3 3" xfId="9108" xr:uid="{AEDB69C9-83E1-4362-80C7-5C4FAAB3A7EB}"/>
    <cellStyle name="Normal 12 3 3 2" xfId="9109" xr:uid="{B23B1B4E-B4FB-4931-9745-4DE0A1076E43}"/>
    <cellStyle name="Normal 12 3 3 2 2" xfId="9110" xr:uid="{B78A6425-0A25-4C74-A46D-090434A15BDA}"/>
    <cellStyle name="Normal 12 3 3 2 3" xfId="9111" xr:uid="{B764C7B5-75F0-4C48-A185-48A9A1E1D9F5}"/>
    <cellStyle name="Normal 12 3 3 2 4" xfId="9112" xr:uid="{6BF8F6D5-502C-4331-9E82-877C5E98C827}"/>
    <cellStyle name="Normal 12 3 3 3" xfId="9113" xr:uid="{0E773680-8E7F-42C5-8C5B-24489D52318E}"/>
    <cellStyle name="Normal 12 3 3 3 2" xfId="9114" xr:uid="{E8D49AFE-2010-489E-B5E6-2BACFFDFCE30}"/>
    <cellStyle name="Normal 12 3 3 3 3" xfId="9115" xr:uid="{43A5F0A1-124A-4F23-BD98-2B0483F24FE9}"/>
    <cellStyle name="Normal 12 3 3 3 4" xfId="9116" xr:uid="{76B0DC19-5BE9-4E0A-8875-62E9875AFCC9}"/>
    <cellStyle name="Normal 12 3 3 4" xfId="9117" xr:uid="{22977D95-8DFD-41D2-8027-8840131B71F9}"/>
    <cellStyle name="Normal 12 3 3 5" xfId="9118" xr:uid="{ACD56C4B-B410-4B70-9600-6FB8A38E5274}"/>
    <cellStyle name="Normal 12 3 3 6" xfId="9119" xr:uid="{8F7246D5-B15F-4AF4-944A-2859CC230DB8}"/>
    <cellStyle name="Normal 12 3 4" xfId="9120" xr:uid="{C3E40BAF-E84F-4329-8D7A-CC84BA72516A}"/>
    <cellStyle name="Normal 12 3 4 2" xfId="9121" xr:uid="{8CCECEA2-9485-4A08-BC49-F71B0259D04E}"/>
    <cellStyle name="Normal 12 3 4 2 2" xfId="9122" xr:uid="{C2BEE173-B19A-4547-A5BB-539BEB2CE6BA}"/>
    <cellStyle name="Normal 12 3 4 2 3" xfId="9123" xr:uid="{D56B4C3C-E4A7-4AA1-9C44-E6A3ED8B5097}"/>
    <cellStyle name="Normal 12 3 4 2 4" xfId="9124" xr:uid="{643F476A-28E9-486F-9E06-B8FB50D9B0F1}"/>
    <cellStyle name="Normal 12 3 4 3" xfId="9125" xr:uid="{74772441-798F-4705-8615-B9B58C903CFD}"/>
    <cellStyle name="Normal 12 3 4 3 2" xfId="9126" xr:uid="{4343CDAD-F2D4-4EE0-AF3F-E6330E19E49C}"/>
    <cellStyle name="Normal 12 3 4 3 3" xfId="9127" xr:uid="{7187DAC5-FDA8-4485-87D4-B959F0ECEB77}"/>
    <cellStyle name="Normal 12 3 4 3 4" xfId="9128" xr:uid="{6516BFF6-A92C-493F-8637-BD369120FE49}"/>
    <cellStyle name="Normal 12 3 4 4" xfId="9129" xr:uid="{CD2D72AC-E0EB-4378-9718-BD2861F0F59A}"/>
    <cellStyle name="Normal 12 3 4 5" xfId="9130" xr:uid="{AA41D3E2-C196-4C79-9673-1626DEEB2F64}"/>
    <cellStyle name="Normal 12 3 4 6" xfId="9131" xr:uid="{318BF684-06AE-423E-9E0D-DA470FB078A4}"/>
    <cellStyle name="Normal 12 3 5" xfId="9132" xr:uid="{C5F8BD71-799B-4C18-88AF-51033D0E4554}"/>
    <cellStyle name="Normal 12 3 5 2" xfId="9133" xr:uid="{F1DEADEF-8F3A-4A6B-9330-6787F7BB212C}"/>
    <cellStyle name="Normal 12 3 5 2 2" xfId="9134" xr:uid="{CFB11141-D02E-46B4-A1D7-F843A63032CB}"/>
    <cellStyle name="Normal 12 3 5 2 3" xfId="9135" xr:uid="{DC04C006-B74C-4FF3-8284-6675292A42E4}"/>
    <cellStyle name="Normal 12 3 5 2 4" xfId="9136" xr:uid="{F4411290-B367-4FE5-B2A8-25030C6E0D74}"/>
    <cellStyle name="Normal 12 3 5 3" xfId="9137" xr:uid="{61D84068-C22C-4723-90CC-FF6CE02B9D2A}"/>
    <cellStyle name="Normal 12 3 5 3 2" xfId="9138" xr:uid="{44D39BD4-8C76-4A33-BB65-4767CDD4224A}"/>
    <cellStyle name="Normal 12 3 5 3 3" xfId="9139" xr:uid="{5FB3C918-F99B-4169-B4BE-0D95D7D3526C}"/>
    <cellStyle name="Normal 12 3 5 3 4" xfId="9140" xr:uid="{8CEDF2B4-92F5-41F6-8052-634522B4C4B0}"/>
    <cellStyle name="Normal 12 3 5 4" xfId="9141" xr:uid="{4A35E26A-D7DC-4A4E-93F4-9922A68BB681}"/>
    <cellStyle name="Normal 12 3 5 5" xfId="9142" xr:uid="{2EF7C91B-828A-4C42-83E6-4FFC986A3049}"/>
    <cellStyle name="Normal 12 3 5 6" xfId="9143" xr:uid="{B8BF6750-08AA-4C79-996F-996BFCB0897F}"/>
    <cellStyle name="Normal 12 3 6" xfId="9144" xr:uid="{BD9AF1A2-B058-4B0F-86EA-7D9B7BC72734}"/>
    <cellStyle name="Normal 12 3 6 2" xfId="9145" xr:uid="{4A9EBB05-4C6E-4861-9873-A511962900C0}"/>
    <cellStyle name="Normal 12 3 6 2 2" xfId="9146" xr:uid="{CEF7471C-259D-4213-92D8-0423BED6F0C1}"/>
    <cellStyle name="Normal 12 3 6 2 3" xfId="9147" xr:uid="{A8455F44-4AE0-4947-A3F6-03DE1556C0DC}"/>
    <cellStyle name="Normal 12 3 6 2 4" xfId="9148" xr:uid="{2E85FE41-C9C7-403A-9DCC-F4B2FE911E76}"/>
    <cellStyle name="Normal 12 3 6 3" xfId="9149" xr:uid="{86CC4ED8-CDCA-4289-B8C3-AC528A35AC16}"/>
    <cellStyle name="Normal 12 3 6 3 2" xfId="9150" xr:uid="{4C2C1BF7-51D3-4579-9E6F-7CE6DC40D6C9}"/>
    <cellStyle name="Normal 12 3 6 3 3" xfId="9151" xr:uid="{B17E0E58-8A9E-492D-8046-5F9BAF80FCF7}"/>
    <cellStyle name="Normal 12 3 6 3 4" xfId="9152" xr:uid="{18DEF486-C157-4E1F-9754-6FBF86EC90AF}"/>
    <cellStyle name="Normal 12 3 6 4" xfId="9153" xr:uid="{E151354A-7EE3-4D59-B598-1354224052FC}"/>
    <cellStyle name="Normal 12 3 6 5" xfId="9154" xr:uid="{D87787CD-928F-457E-A6FE-33F39F82A34C}"/>
    <cellStyle name="Normal 12 3 6 6" xfId="9155" xr:uid="{9D49F051-1A8A-4C86-9EF1-1495F7F2409B}"/>
    <cellStyle name="Normal 12 3 7" xfId="9156" xr:uid="{A366E767-9E38-439C-BCFF-3A5E32227DAB}"/>
    <cellStyle name="Normal 12 3 7 2" xfId="9157" xr:uid="{8464DEC3-63BE-48F6-A115-3D0B54AC8A13}"/>
    <cellStyle name="Normal 12 3 7 2 2" xfId="9158" xr:uid="{95DA576E-1398-4835-8C82-BD52C5C21697}"/>
    <cellStyle name="Normal 12 3 7 2 3" xfId="9159" xr:uid="{B3C1F5E2-CC37-4B63-AEDF-DFFF781D61D1}"/>
    <cellStyle name="Normal 12 3 7 2 4" xfId="9160" xr:uid="{819885B0-A21D-4EB2-A99C-24E7930F5155}"/>
    <cellStyle name="Normal 12 3 7 3" xfId="9161" xr:uid="{93C5E47A-4BE4-4FA6-BF23-D57D31BE89A3}"/>
    <cellStyle name="Normal 12 3 7 3 2" xfId="9162" xr:uid="{34AD8045-03AC-432F-A612-0509286B782A}"/>
    <cellStyle name="Normal 12 3 7 3 3" xfId="9163" xr:uid="{5FDA5A97-4A09-42C0-901F-8C6F2117E005}"/>
    <cellStyle name="Normal 12 3 7 3 4" xfId="9164" xr:uid="{1D9BD8FF-8789-4D8B-9877-2B0BEA97D6A0}"/>
    <cellStyle name="Normal 12 3 7 4" xfId="9165" xr:uid="{12FE0970-60EF-4E35-A73E-9630865C60C3}"/>
    <cellStyle name="Normal 12 3 7 5" xfId="9166" xr:uid="{3D55F69A-9B33-4D55-9E01-94EB60B1C2F5}"/>
    <cellStyle name="Normal 12 3 7 6" xfId="9167" xr:uid="{AC95A062-2D16-4B38-9429-1C180F6EDD97}"/>
    <cellStyle name="Normal 12 3 8" xfId="9168" xr:uid="{CA778B34-C022-42AA-B400-289C2C0921E1}"/>
    <cellStyle name="Normal 12 3 8 2" xfId="9169" xr:uid="{786A03C2-2641-420F-BD9F-8C58D885BDD6}"/>
    <cellStyle name="Normal 12 3 8 2 2" xfId="9170" xr:uid="{2D88A9F3-7AA5-4BA1-899B-EA36CCADDAD1}"/>
    <cellStyle name="Normal 12 3 8 2 3" xfId="9171" xr:uid="{F8C3D5E0-32B9-4024-9977-EA862CDBC2C1}"/>
    <cellStyle name="Normal 12 3 8 2 4" xfId="9172" xr:uid="{13C08DD4-3428-48CB-BEDA-8E43FEF0E049}"/>
    <cellStyle name="Normal 12 3 8 3" xfId="9173" xr:uid="{DCD51A92-EBC0-4649-9BE4-8EED4222C747}"/>
    <cellStyle name="Normal 12 3 8 3 2" xfId="9174" xr:uid="{C084B374-CECB-4522-8E12-0D7F70017546}"/>
    <cellStyle name="Normal 12 3 8 3 3" xfId="9175" xr:uid="{AF9248E5-E440-4361-A328-FF623A0C719B}"/>
    <cellStyle name="Normal 12 3 8 3 4" xfId="9176" xr:uid="{1E2556CB-87DD-428D-BB5F-95F3FF883B1D}"/>
    <cellStyle name="Normal 12 3 8 4" xfId="9177" xr:uid="{C23B80A1-8D0A-4FCF-AF36-B79BAF251A75}"/>
    <cellStyle name="Normal 12 3 8 5" xfId="9178" xr:uid="{9A5FCDFD-8411-4EAA-A5FD-6E051EDF140B}"/>
    <cellStyle name="Normal 12 3 8 6" xfId="9179" xr:uid="{A0DE7B8F-D3F1-4876-A2DF-94424F8859AD}"/>
    <cellStyle name="Normal 12 3 9" xfId="9180" xr:uid="{494A8A5C-2651-4401-B5D2-9F28ADD5F3E9}"/>
    <cellStyle name="Normal 12 3 9 2" xfId="9181" xr:uid="{31723A4D-4231-41CF-896C-5BB412C922D7}"/>
    <cellStyle name="Normal 12 3 9 2 2" xfId="9182" xr:uid="{5AC3E821-7A14-4515-9B86-D77B8D942048}"/>
    <cellStyle name="Normal 12 3 9 2 3" xfId="9183" xr:uid="{E02AA52D-0DEB-445D-9972-152C4C38F49E}"/>
    <cellStyle name="Normal 12 3 9 2 4" xfId="9184" xr:uid="{AA8A280F-E21C-4EAE-BA00-FB4461812555}"/>
    <cellStyle name="Normal 12 3 9 3" xfId="9185" xr:uid="{902A7775-6513-4341-AA16-C306A67A7AF5}"/>
    <cellStyle name="Normal 12 3 9 3 2" xfId="9186" xr:uid="{8EEAE2A4-CF84-4E68-B30B-AF717678DD13}"/>
    <cellStyle name="Normal 12 3 9 3 3" xfId="9187" xr:uid="{4CC56996-9308-4FC9-AB7F-03558715CF8F}"/>
    <cellStyle name="Normal 12 3 9 3 4" xfId="9188" xr:uid="{E401D500-C082-4663-BB46-85FBB924422D}"/>
    <cellStyle name="Normal 12 3 9 4" xfId="9189" xr:uid="{7887B190-F111-43BB-9319-D43B4E824366}"/>
    <cellStyle name="Normal 12 3 9 5" xfId="9190" xr:uid="{F523C17C-C75E-4E1A-A8C0-2C08365F8052}"/>
    <cellStyle name="Normal 12 3 9 6" xfId="9191" xr:uid="{00FE8D81-F783-4599-AF41-1882097DEE85}"/>
    <cellStyle name="Normal 12 30" xfId="9192" xr:uid="{A0632C4E-6758-4619-BF26-7DC56E6600BB}"/>
    <cellStyle name="Normal 12 31" xfId="9193" xr:uid="{AABFB415-BE68-42CE-9246-92630A2549EB}"/>
    <cellStyle name="Normal 12 32" xfId="9194" xr:uid="{D3E3EE78-7C7A-48C8-A798-288EF90381C5}"/>
    <cellStyle name="Normal 12 33" xfId="9195" xr:uid="{CEFE8E08-471C-4E7F-BC97-C8125707A54A}"/>
    <cellStyle name="Normal 12 34" xfId="9196" xr:uid="{D608B45C-BC21-4166-9772-A8F55C5586E1}"/>
    <cellStyle name="Normal 12 35" xfId="9197" xr:uid="{1787287D-9B10-4C76-88D6-45AB65903918}"/>
    <cellStyle name="Normal 12 36" xfId="9198" xr:uid="{77DE3380-F38A-4EC8-955F-6555612A608C}"/>
    <cellStyle name="Normal 12 37" xfId="9199" xr:uid="{F1B14912-8BAB-47E0-A6BE-E37EC1A3C5CA}"/>
    <cellStyle name="Normal 12 38" xfId="9200" xr:uid="{4918D780-CB67-4890-AF6E-EE1CB1EA73CB}"/>
    <cellStyle name="Normal 12 39" xfId="9201" xr:uid="{EB1A436E-5984-4C57-8453-7647DD6A7AA3}"/>
    <cellStyle name="Normal 12 4" xfId="9202" xr:uid="{07976D70-4A5C-4282-B40A-FC29CEE7199F}"/>
    <cellStyle name="Normal 12 4 2" xfId="9203" xr:uid="{C5E268BB-59CB-4633-9C46-F9FD6E0C7D57}"/>
    <cellStyle name="Normal 12 4 2 2" xfId="9204" xr:uid="{5E9E09FA-2E08-414E-9F7C-B72DEF9DC1AF}"/>
    <cellStyle name="Normal 12 4 2 3" xfId="9205" xr:uid="{FD66E598-7599-42C9-94D6-C31895DA1195}"/>
    <cellStyle name="Normal 12 4 2 4" xfId="9206" xr:uid="{5FCB8979-9CB4-4270-B125-51096C13A63C}"/>
    <cellStyle name="Normal 12 4 3" xfId="9207" xr:uid="{E29A5DAB-0A7A-4EA7-A28B-AD4675FB1907}"/>
    <cellStyle name="Normal 12 4 3 2" xfId="9208" xr:uid="{1ED04EF6-8EC9-449B-A0B2-A820E5424269}"/>
    <cellStyle name="Normal 12 4 3 3" xfId="9209" xr:uid="{E690C4CD-4D82-4DD2-BDCD-2E7CA738AE3A}"/>
    <cellStyle name="Normal 12 4 3 4" xfId="9210" xr:uid="{6CA9F26A-1A91-4B96-A915-1A5B78524F27}"/>
    <cellStyle name="Normal 12 4 4" xfId="9211" xr:uid="{752F3126-4869-4D3C-881D-AA03E54232B5}"/>
    <cellStyle name="Normal 12 4 5" xfId="9212" xr:uid="{856AF6C3-B02D-4DC8-839F-A709E6B2A6AF}"/>
    <cellStyle name="Normal 12 4 6" xfId="9213" xr:uid="{4BEA8300-2432-470E-B159-B78BDB387CDE}"/>
    <cellStyle name="Normal 12 40" xfId="9214" xr:uid="{B10AEB5A-C928-4A6E-9456-BF727A9F9BCC}"/>
    <cellStyle name="Normal 12 41" xfId="9215" xr:uid="{625AD478-164D-4F31-BAF5-0F263441CD46}"/>
    <cellStyle name="Normal 12 42" xfId="9216" xr:uid="{67029DDA-BAEC-4E7A-B41D-0107D07F874D}"/>
    <cellStyle name="Normal 12 43" xfId="9217" xr:uid="{5BA74FDC-A242-4576-B6BF-FB4860D43CED}"/>
    <cellStyle name="Normal 12 44" xfId="9218" xr:uid="{02C5D372-E09D-4BE6-A719-D8611B7A5B4A}"/>
    <cellStyle name="Normal 12 45" xfId="9219" xr:uid="{30A28A8A-FA13-491D-9BDC-12812306EEEC}"/>
    <cellStyle name="Normal 12 46" xfId="9220" xr:uid="{86CE0BAD-79E0-4291-91BE-CBB80426D4B9}"/>
    <cellStyle name="Normal 12 47" xfId="9221" xr:uid="{977D2F59-4A70-4558-8608-23886C05CD27}"/>
    <cellStyle name="Normal 12 48" xfId="43571" xr:uid="{2E3EC1D7-B493-4793-80D9-6CD4A649F927}"/>
    <cellStyle name="Normal 12 5" xfId="9222" xr:uid="{6A82B1BD-C82E-408C-A0CA-1A813299A436}"/>
    <cellStyle name="Normal 12 5 2" xfId="9223" xr:uid="{609D1129-0770-4C42-8334-9F43395A718F}"/>
    <cellStyle name="Normal 12 5 2 2" xfId="9224" xr:uid="{6DB0864A-2725-4E2F-9963-9908BAE9D009}"/>
    <cellStyle name="Normal 12 5 2 3" xfId="9225" xr:uid="{3A63A761-0351-40AF-85DB-DCA4A2CE0C29}"/>
    <cellStyle name="Normal 12 5 2 4" xfId="9226" xr:uid="{5A0C25D8-AC4C-4F99-AF4E-59B1E1DEAA1E}"/>
    <cellStyle name="Normal 12 5 3" xfId="9227" xr:uid="{7E08BAE8-D16A-40E9-83BC-72AC2AFC64E7}"/>
    <cellStyle name="Normal 12 5 3 2" xfId="9228" xr:uid="{DCA26E10-F4D1-4D9B-8C1E-F7E7B73309C3}"/>
    <cellStyle name="Normal 12 5 3 3" xfId="9229" xr:uid="{0129A386-CB44-463C-80E8-B41E1D00DE24}"/>
    <cellStyle name="Normal 12 5 3 4" xfId="9230" xr:uid="{AA1622EF-839A-4008-82BE-A25BDC2DB4C4}"/>
    <cellStyle name="Normal 12 5 4" xfId="9231" xr:uid="{EE881276-FA1F-4BF9-94C3-C81A876A59D9}"/>
    <cellStyle name="Normal 12 5 5" xfId="9232" xr:uid="{FC8AFB3A-7503-4044-859E-E31FF04CE841}"/>
    <cellStyle name="Normal 12 5 6" xfId="9233" xr:uid="{97FC1BA7-1B71-4F16-9A1A-B1DCDDF1D761}"/>
    <cellStyle name="Normal 12 6" xfId="9234" xr:uid="{8037492C-F8DC-4E6C-B506-E63CE6531BCC}"/>
    <cellStyle name="Normal 12 6 2" xfId="9235" xr:uid="{1E82442D-CD52-4274-8FA9-2E2900C996DE}"/>
    <cellStyle name="Normal 12 6 2 2" xfId="9236" xr:uid="{DA52E14B-5E49-4668-9589-D51FA841566E}"/>
    <cellStyle name="Normal 12 6 2 3" xfId="9237" xr:uid="{9B495A46-4969-42F7-8037-C9CDC96E9428}"/>
    <cellStyle name="Normal 12 6 2 4" xfId="9238" xr:uid="{58A3AADB-2271-4BA0-80DB-8C1601269CB1}"/>
    <cellStyle name="Normal 12 6 3" xfId="9239" xr:uid="{3B2D6D09-CDD0-4C18-A9FD-4ED07C872ABA}"/>
    <cellStyle name="Normal 12 6 3 2" xfId="9240" xr:uid="{D727B431-3BFB-472E-8E3A-E233A4197D29}"/>
    <cellStyle name="Normal 12 6 3 3" xfId="9241" xr:uid="{86297678-E42B-47A8-91A7-646CE40C8528}"/>
    <cellStyle name="Normal 12 6 3 4" xfId="9242" xr:uid="{B91A0A6C-EBE2-4941-B0D3-231F2454BD2F}"/>
    <cellStyle name="Normal 12 6 4" xfId="9243" xr:uid="{8B0E2409-F3C6-4253-8A6B-1D77FC6939F6}"/>
    <cellStyle name="Normal 12 6 5" xfId="9244" xr:uid="{8F86CE28-A279-4641-AFBE-A7871596E481}"/>
    <cellStyle name="Normal 12 6 6" xfId="9245" xr:uid="{158B45D3-5E97-44FC-8DBC-5E273486AA8A}"/>
    <cellStyle name="Normal 12 7" xfId="9246" xr:uid="{EFD2B513-5160-4A22-9C8C-09DA5FFD7111}"/>
    <cellStyle name="Normal 12 7 2" xfId="9247" xr:uid="{DF3A4667-EAEE-4932-BC9D-EBB2CA0A5190}"/>
    <cellStyle name="Normal 12 7 2 2" xfId="9248" xr:uid="{21931103-A56F-43A4-AB2D-FF34BF52C75A}"/>
    <cellStyle name="Normal 12 7 2 3" xfId="9249" xr:uid="{3B1F024C-D624-434A-9078-44B586C63323}"/>
    <cellStyle name="Normal 12 7 2 4" xfId="9250" xr:uid="{CF9B61DC-183A-417D-871D-92AEDAB9B828}"/>
    <cellStyle name="Normal 12 7 3" xfId="9251" xr:uid="{CBF7CAC3-F58B-45D9-80CB-8B39BD746C8E}"/>
    <cellStyle name="Normal 12 7 3 2" xfId="9252" xr:uid="{7157A411-6504-4AA5-8D43-E4E84CDE6B16}"/>
    <cellStyle name="Normal 12 7 3 3" xfId="9253" xr:uid="{A6BCF1CB-CF70-407A-9F06-8AF3DA19A4E7}"/>
    <cellStyle name="Normal 12 7 3 4" xfId="9254" xr:uid="{91BA09CE-FFA2-4A36-BEF7-EA5847AB86A4}"/>
    <cellStyle name="Normal 12 7 4" xfId="9255" xr:uid="{357F8D81-C5E2-484B-BF00-03C092CE13B7}"/>
    <cellStyle name="Normal 12 7 5" xfId="9256" xr:uid="{C2902D6E-0899-41B0-88D4-37CFBF2732AA}"/>
    <cellStyle name="Normal 12 7 6" xfId="9257" xr:uid="{5C06543D-D5DE-4051-B76C-2312B5C8FF11}"/>
    <cellStyle name="Normal 12 8" xfId="9258" xr:uid="{2E95C95C-72A2-45B4-8C22-16BA4734B53A}"/>
    <cellStyle name="Normal 12 8 2" xfId="9259" xr:uid="{83E3A3AF-1609-46B3-805B-1D78315BE0F0}"/>
    <cellStyle name="Normal 12 8 2 2" xfId="9260" xr:uid="{0FFB6E6F-EDC4-432F-B72B-B8D99B8CC5A0}"/>
    <cellStyle name="Normal 12 8 2 3" xfId="9261" xr:uid="{F67055F8-1B0A-4AD3-B16C-08D821195133}"/>
    <cellStyle name="Normal 12 8 2 4" xfId="9262" xr:uid="{C52D0A2C-AA6E-4329-AAA1-F2E01D9CCCE8}"/>
    <cellStyle name="Normal 12 8 3" xfId="9263" xr:uid="{BF7AED2E-A4E6-43EF-8449-D68412B2E835}"/>
    <cellStyle name="Normal 12 8 3 2" xfId="9264" xr:uid="{1592E3AF-95E7-42E4-AADB-D4E36C4AF5CF}"/>
    <cellStyle name="Normal 12 8 3 3" xfId="9265" xr:uid="{0B28FE87-32D8-42C3-8D55-3FC03333AA34}"/>
    <cellStyle name="Normal 12 8 3 4" xfId="9266" xr:uid="{0DF583FE-6EC4-4DAA-8420-C53DF9F60716}"/>
    <cellStyle name="Normal 12 8 4" xfId="9267" xr:uid="{358B8766-E3D0-4DED-B2BA-304CFA4AB7DD}"/>
    <cellStyle name="Normal 12 8 5" xfId="9268" xr:uid="{566ED478-9579-4FB0-B4EF-888B5C4FA6C7}"/>
    <cellStyle name="Normal 12 8 6" xfId="9269" xr:uid="{9EC94999-E8E3-47E0-A2DD-5DAC19BECE66}"/>
    <cellStyle name="Normal 12 9" xfId="9270" xr:uid="{22145963-2A36-4E39-A65A-E7503695C2E7}"/>
    <cellStyle name="Normal 12 9 2" xfId="9271" xr:uid="{69EE6B25-B552-4FC0-B622-85DF4D03993A}"/>
    <cellStyle name="Normal 12 9 2 2" xfId="9272" xr:uid="{59567CE3-A782-404D-AE47-3BC00D6CA7C8}"/>
    <cellStyle name="Normal 12 9 2 3" xfId="9273" xr:uid="{05FA23CA-3F0D-4268-AAF0-A001F772B926}"/>
    <cellStyle name="Normal 12 9 2 4" xfId="9274" xr:uid="{16F7F399-A61B-478D-BFF1-79B1F0F169F5}"/>
    <cellStyle name="Normal 12 9 3" xfId="9275" xr:uid="{C38A33CD-2C3B-4B69-9C15-4DC148134CB7}"/>
    <cellStyle name="Normal 12 9 3 2" xfId="9276" xr:uid="{53CFACDF-4CCC-4132-9D9A-16478F6319E3}"/>
    <cellStyle name="Normal 12 9 3 3" xfId="9277" xr:uid="{536AFBAB-CD06-4860-A70D-7735D3DF967C}"/>
    <cellStyle name="Normal 12 9 3 4" xfId="9278" xr:uid="{F61B642A-AA8C-4C2F-8991-C4BE2E5848F8}"/>
    <cellStyle name="Normal 12 9 4" xfId="9279" xr:uid="{7E0692A0-9934-4F6E-A522-CAD6EBFF0FD7}"/>
    <cellStyle name="Normal 12 9 5" xfId="9280" xr:uid="{22FF54EC-35E4-457E-B97F-AE80F973AB1C}"/>
    <cellStyle name="Normal 12 9 6" xfId="9281" xr:uid="{129A6CE5-6A55-4B20-ABD0-9A84CDB22616}"/>
    <cellStyle name="Normal 120" xfId="9282" xr:uid="{12C93550-4ADE-4B5D-B66F-81EC1AFF4920}"/>
    <cellStyle name="Normal 121" xfId="9283" xr:uid="{951B5310-0596-4A14-B5B3-B9D53FE54665}"/>
    <cellStyle name="Normal 122" xfId="9284" xr:uid="{5C67B965-68AC-4EE9-B332-BC675C9C9859}"/>
    <cellStyle name="Normal 123" xfId="9285" xr:uid="{6E8C9710-01D7-43F5-B454-C85A706E304E}"/>
    <cellStyle name="Normal 124" xfId="9286" xr:uid="{FCDB5E18-F341-4ED5-B9A8-5409EE7DDF43}"/>
    <cellStyle name="Normal 125" xfId="9287" xr:uid="{8FEFC1A6-0BAE-4B3F-AC50-A1882DFE9AC8}"/>
    <cellStyle name="Normal 126" xfId="9288" xr:uid="{CFF2EBC7-4E24-4A77-9986-E5D38968E8B7}"/>
    <cellStyle name="Normal 127" xfId="9289" xr:uid="{B2581123-230B-43E8-AF99-84A33EADFA98}"/>
    <cellStyle name="Normal 128" xfId="9290" xr:uid="{BADC9646-8A4C-468A-8271-9FC4893752C9}"/>
    <cellStyle name="Normal 129" xfId="9291" xr:uid="{29D19046-BB38-4D55-9909-415E2CB1D964}"/>
    <cellStyle name="Normal 13" xfId="1068" xr:uid="{42543F38-BB88-4350-A93A-126B40D7345D}"/>
    <cellStyle name="Normal 13 10" xfId="9292" xr:uid="{5E304318-58F5-4B97-BE2D-3D06151EFCB0}"/>
    <cellStyle name="Normal 13 11" xfId="9293" xr:uid="{CFAD200E-6654-4097-98C1-2173E8313237}"/>
    <cellStyle name="Normal 13 12" xfId="9294" xr:uid="{1C3DE041-6D2C-43A2-8509-47655B2DF0DA}"/>
    <cellStyle name="Normal 13 13" xfId="9295" xr:uid="{E37FC1FD-1C76-4A42-9221-7201AFE200E7}"/>
    <cellStyle name="Normal 13 14" xfId="9296" xr:uid="{1F5525C1-0A0C-4EA2-BB95-8A702C6F5557}"/>
    <cellStyle name="Normal 13 15" xfId="9297" xr:uid="{EC53AD9A-43AA-4134-8BB6-0EE7EFFB7EA2}"/>
    <cellStyle name="Normal 13 16" xfId="9298" xr:uid="{C0C253E0-9209-4518-8BE0-1FCB40281B1D}"/>
    <cellStyle name="Normal 13 17" xfId="9299" xr:uid="{0EABE0C5-5B29-4D5D-8E46-3D762E62FFB6}"/>
    <cellStyle name="Normal 13 18" xfId="9300" xr:uid="{2964A6EC-A0F3-4BD5-9865-E7F0400F73E1}"/>
    <cellStyle name="Normal 13 19" xfId="9301" xr:uid="{70B4DB67-156A-47B5-8E20-0B7B4E340F9E}"/>
    <cellStyle name="Normal 13 2" xfId="9302" xr:uid="{FA9DEC46-F048-4A29-B532-B6E3A64960BA}"/>
    <cellStyle name="Normal 13 2 2" xfId="9303" xr:uid="{75E5A2DF-65A1-406D-B072-E9168F8CB3DC}"/>
    <cellStyle name="Normal 13 20" xfId="9304" xr:uid="{0DF61066-F0B7-4DC0-BCF6-92657D49E767}"/>
    <cellStyle name="Normal 13 21" xfId="9305" xr:uid="{02090D68-0457-4CB5-B091-E430EA380BEB}"/>
    <cellStyle name="Normal 13 22" xfId="9306" xr:uid="{C1629EA2-01BA-48A3-9243-2A231BF1570F}"/>
    <cellStyle name="Normal 13 23" xfId="9307" xr:uid="{511E617D-4E67-480E-9D0E-4CD137E678A7}"/>
    <cellStyle name="Normal 13 24" xfId="9308" xr:uid="{A248EDA6-D4B4-407D-92E8-C1169123C727}"/>
    <cellStyle name="Normal 13 25" xfId="9309" xr:uid="{DA27208F-E41B-4750-B060-FDC3BA2F19EC}"/>
    <cellStyle name="Normal 13 26" xfId="9310" xr:uid="{F31C1725-455A-48F3-A3A2-E28E36749C87}"/>
    <cellStyle name="Normal 13 27" xfId="9311" xr:uid="{6697203B-9926-449E-A5D2-54C434836F46}"/>
    <cellStyle name="Normal 13 28" xfId="9312" xr:uid="{B8B1CBDB-C701-4630-A1D1-F9AEE93D3DE8}"/>
    <cellStyle name="Normal 13 29" xfId="9313" xr:uid="{8CD2ED1B-9C25-45E6-AB8B-57CFDD21AD5A}"/>
    <cellStyle name="Normal 13 3" xfId="9314" xr:uid="{5795268D-E0C9-402A-A348-1F6C8557DE26}"/>
    <cellStyle name="Normal 13 3 2" xfId="9315" xr:uid="{CAAC2B2F-0353-4283-BB50-75A8347B00C1}"/>
    <cellStyle name="Normal 13 30" xfId="9316" xr:uid="{D56A595B-501C-4ECC-9EE1-3E8550413D7F}"/>
    <cellStyle name="Normal 13 31" xfId="9317" xr:uid="{DEF5D1C3-6B15-4E05-BEB8-C63A6FF7601E}"/>
    <cellStyle name="Normal 13 32" xfId="9318" xr:uid="{D667E281-968D-4306-933C-D303C8CEC0F0}"/>
    <cellStyle name="Normal 13 33" xfId="9319" xr:uid="{D11550CA-EE56-48C5-91EF-1394A0E8900F}"/>
    <cellStyle name="Normal 13 34" xfId="9320" xr:uid="{F54748A4-1049-4C8A-8BB8-6B5481B9E81E}"/>
    <cellStyle name="Normal 13 35" xfId="9321" xr:uid="{0E09B8FD-BA00-4902-B643-F2FE9454A755}"/>
    <cellStyle name="Normal 13 36" xfId="9322" xr:uid="{49D08D87-F3FE-436D-9B20-F40C6CC73E6D}"/>
    <cellStyle name="Normal 13 37" xfId="9323" xr:uid="{B06965CA-C72C-4D9A-A0E0-AE1969FA7639}"/>
    <cellStyle name="Normal 13 38" xfId="9324" xr:uid="{17EC2D56-9517-4AE3-B9AD-5BA7CDBFA710}"/>
    <cellStyle name="Normal 13 39" xfId="9325" xr:uid="{91AD4972-BC1F-4B3D-894E-B58313CB44A9}"/>
    <cellStyle name="Normal 13 4" xfId="9326" xr:uid="{44494A00-4C3D-4646-8EE9-BEDCFAC9F740}"/>
    <cellStyle name="Normal 13 4 2" xfId="9327" xr:uid="{307A557B-874A-4668-AE88-DA5F89C501EB}"/>
    <cellStyle name="Normal 13 4 2 2" xfId="9328" xr:uid="{21F9C081-5A3D-4CA1-B3E3-C8BD0C4F6BAB}"/>
    <cellStyle name="Normal 13 4 2 2 2" xfId="9329" xr:uid="{DE1AA688-E38F-40D1-8D6C-B9221CDDE73F}"/>
    <cellStyle name="Normal 13 4 2 2 3" xfId="9330" xr:uid="{B07E3D2F-ECC0-4AFF-9945-D49BAAB1D59A}"/>
    <cellStyle name="Normal 13 4 2 2 4" xfId="9331" xr:uid="{FAF10D38-74B3-438B-A9AE-F4219E851F66}"/>
    <cellStyle name="Normal 13 4 2 2 5" xfId="9332" xr:uid="{5F9C6FEC-5EA5-4287-96F3-C97D1B821053}"/>
    <cellStyle name="Normal 13 4 2 3" xfId="9333" xr:uid="{88475361-CF97-4082-8AF0-6344BFF7F61C}"/>
    <cellStyle name="Normal 13 4 3" xfId="9334" xr:uid="{4046C8E5-038A-40BD-A405-580BE0C7FAB0}"/>
    <cellStyle name="Normal 13 4 3 2" xfId="9335" xr:uid="{951A18A1-6DBE-44AE-A8F6-E62E1C13E1AB}"/>
    <cellStyle name="Normal 13 4 3 2 2" xfId="9336" xr:uid="{7C14543A-61A7-4AA6-A6D6-BB9EC4D99B87}"/>
    <cellStyle name="Normal 13 4 3 2 3" xfId="9337" xr:uid="{906C8072-0382-4A8A-BDE6-A51EFCF6E7FA}"/>
    <cellStyle name="Normal 13 4 3 2 4" xfId="9338" xr:uid="{18373A7D-989D-4BF0-B925-8DA0ED203C5A}"/>
    <cellStyle name="Normal 13 4 4" xfId="9339" xr:uid="{AC99D5C3-1F1F-4049-BC10-7BB2356191A2}"/>
    <cellStyle name="Normal 13 4 5" xfId="9340" xr:uid="{3CDDD7DB-4717-4A05-A5D1-2BE3A140C416}"/>
    <cellStyle name="Normal 13 4 6" xfId="9341" xr:uid="{DC4D89FF-381D-45BE-9620-9267738E19B4}"/>
    <cellStyle name="Normal 13 40" xfId="9342" xr:uid="{89E76790-D408-4FAD-A324-85AC1AFD862A}"/>
    <cellStyle name="Normal 13 41" xfId="9343" xr:uid="{5691CF45-4BAD-4E84-9BF5-A118A920F104}"/>
    <cellStyle name="Normal 13 42" xfId="9344" xr:uid="{4B5D63A9-5A03-4239-9FC9-7F595B0B2CEB}"/>
    <cellStyle name="Normal 13 43" xfId="9345" xr:uid="{E2F3E47F-D455-475B-9490-59B947286C11}"/>
    <cellStyle name="Normal 13 44" xfId="9346" xr:uid="{28712E48-4FE1-4B4D-8DAD-FEC546449F95}"/>
    <cellStyle name="Normal 13 45" xfId="9347" xr:uid="{27C014A8-4DC7-474F-8FA0-D2765CF1EE1E}"/>
    <cellStyle name="Normal 13 46" xfId="9348" xr:uid="{3D68CB2C-D4DD-4E32-B0BB-37932F96C82E}"/>
    <cellStyle name="Normal 13 47" xfId="9349" xr:uid="{5BE5E4C1-74C0-427A-9A7E-FE480873F54C}"/>
    <cellStyle name="Normal 13 48" xfId="43572" xr:uid="{A54BF6E3-3DC6-455D-91FB-A2534D084203}"/>
    <cellStyle name="Normal 13 5" xfId="9350" xr:uid="{F541053A-5B1B-4544-84D6-6E246F1179A0}"/>
    <cellStyle name="Normal 13 6" xfId="9351" xr:uid="{93B0FD4A-983F-47E8-8748-28E2F4B07A72}"/>
    <cellStyle name="Normal 13 6 2" xfId="9352" xr:uid="{763FE514-B2D0-4969-A2E4-047BF6F93BED}"/>
    <cellStyle name="Normal 13 6 3" xfId="9353" xr:uid="{AFB415E8-588A-41AC-925F-65BF58A05AC4}"/>
    <cellStyle name="Normal 13 6 4" xfId="9354" xr:uid="{D8979F6F-2608-47DE-A41D-7968A743CB28}"/>
    <cellStyle name="Normal 13 6 5" xfId="9355" xr:uid="{4FC0140A-1009-4074-98BA-134496BA302A}"/>
    <cellStyle name="Normal 13 7" xfId="9356" xr:uid="{CA8ABF20-4BB2-4B8A-83D9-BFA0DF190E87}"/>
    <cellStyle name="Normal 13 8" xfId="9357" xr:uid="{C14327DF-190E-4099-BAA5-CD05EDF19375}"/>
    <cellStyle name="Normal 13 8 2" xfId="9358" xr:uid="{249928CD-FF67-4515-8D7D-0CDC04015FC3}"/>
    <cellStyle name="Normal 13 8 3" xfId="9359" xr:uid="{B82FCD42-CB47-4EAC-B5BD-43D06BDEDC60}"/>
    <cellStyle name="Normal 13 8 4" xfId="9360" xr:uid="{356CC3D4-D69F-4091-B263-E78FFDCEFCA4}"/>
    <cellStyle name="Normal 13 9" xfId="9361" xr:uid="{F1BD9734-13A3-4662-BF96-CCCCC93E6185}"/>
    <cellStyle name="Normal 130" xfId="9362" xr:uid="{802066CB-B239-478A-A2F5-956A73A8E779}"/>
    <cellStyle name="Normal 131" xfId="9363" xr:uid="{383C3208-E232-489E-B1F3-C0F776D93EEC}"/>
    <cellStyle name="Normal 132" xfId="9364" xr:uid="{21AC9D9C-DCE3-46E4-9FD5-0704139F4188}"/>
    <cellStyle name="Normal 133" xfId="9365" xr:uid="{A77FC5D6-77D1-49AC-B080-0FDB788012FB}"/>
    <cellStyle name="Normal 134" xfId="9366" xr:uid="{3C1E002A-308A-4A2B-A620-E93C7D6D620D}"/>
    <cellStyle name="Normal 135" xfId="9367" xr:uid="{96F2E13E-DD12-436A-83C2-2A019B0E23A6}"/>
    <cellStyle name="Normal 136" xfId="9368" xr:uid="{71AD2B21-3164-4083-8137-C2DC68F788B4}"/>
    <cellStyle name="Normal 137" xfId="42506" xr:uid="{9DEFF0D8-3B48-483C-8EAB-4FBF9F0A82FB}"/>
    <cellStyle name="Normal 137 2" xfId="43573" xr:uid="{818D0277-CC26-4A47-8519-2B49FBDD983A}"/>
    <cellStyle name="Normal 138" xfId="42507" xr:uid="{4917CA64-DD57-4EE9-AD75-DA5ED0AF076A}"/>
    <cellStyle name="Normal 139" xfId="42508" xr:uid="{439C162A-C550-46F4-A256-67130DE08ECC}"/>
    <cellStyle name="Normal 14" xfId="1069" xr:uid="{56FACCF7-7EB8-4EE6-B0FE-029B23723E6C}"/>
    <cellStyle name="Normal 14 10" xfId="9369" xr:uid="{3C9EDA66-DE6C-4030-8349-57AD48C5BEBC}"/>
    <cellStyle name="Normal 14 10 10" xfId="9370" xr:uid="{E085DDFE-6978-4B65-AF74-61752341833B}"/>
    <cellStyle name="Normal 14 10 11" xfId="9371" xr:uid="{737188F4-F295-4E34-8DDA-63D6473C1014}"/>
    <cellStyle name="Normal 14 10 12" xfId="9372" xr:uid="{C47F5BBC-804B-4CF6-8A86-C00EB9EE9CA8}"/>
    <cellStyle name="Normal 14 10 13" xfId="9373" xr:uid="{7CAC8108-DA39-4C7F-9BBD-70385F5DC071}"/>
    <cellStyle name="Normal 14 10 14" xfId="9374" xr:uid="{7D7B777C-1AB0-4820-8423-02AC73A965DD}"/>
    <cellStyle name="Normal 14 10 15" xfId="9375" xr:uid="{ED30F2B1-3D24-4218-BB45-B197438A6E1C}"/>
    <cellStyle name="Normal 14 10 16" xfId="9376" xr:uid="{11A39E20-2641-47CF-8759-843A31ED8F1A}"/>
    <cellStyle name="Normal 14 10 17" xfId="9377" xr:uid="{FC27EF20-2474-4E70-8E72-ECAC5D451EE1}"/>
    <cellStyle name="Normal 14 10 18" xfId="9378" xr:uid="{D281233E-FBE4-4B83-A8B4-45997CD7EEEE}"/>
    <cellStyle name="Normal 14 10 19" xfId="9379" xr:uid="{4EA59CFD-5EEF-47BD-91B5-9D8F79F90244}"/>
    <cellStyle name="Normal 14 10 2" xfId="9380" xr:uid="{55154F39-019B-4EBF-8049-3D61189E9328}"/>
    <cellStyle name="Normal 14 10 20" xfId="9381" xr:uid="{C6F19575-330C-4B92-96FA-E9DCD0AF9B12}"/>
    <cellStyle name="Normal 14 10 21" xfId="9382" xr:uid="{13712A2F-C4D6-4EC3-9B39-D1C2FA72B11D}"/>
    <cellStyle name="Normal 14 10 22" xfId="9383" xr:uid="{52F8EE28-017A-4484-B100-3DE37628AF12}"/>
    <cellStyle name="Normal 14 10 23" xfId="9384" xr:uid="{071FC9B9-8254-4FBD-B4B5-9EFA3B1938FD}"/>
    <cellStyle name="Normal 14 10 24" xfId="9385" xr:uid="{6D265C90-2807-4137-84ED-35E21309A8BE}"/>
    <cellStyle name="Normal 14 10 25" xfId="9386" xr:uid="{E34BB57D-0D9D-409C-91BE-BFD7E9569EC4}"/>
    <cellStyle name="Normal 14 10 26" xfId="9387" xr:uid="{A11DCD5C-F571-4BA5-956B-F178C0E700C5}"/>
    <cellStyle name="Normal 14 10 27" xfId="9388" xr:uid="{47D6045E-C1B5-438C-A2C7-AA6DD049AAFF}"/>
    <cellStyle name="Normal 14 10 28" xfId="9389" xr:uid="{AE7BA6ED-1411-401C-817F-61C90718A504}"/>
    <cellStyle name="Normal 14 10 29" xfId="9390" xr:uid="{62AB8A1A-C710-406E-BAB7-9C90696F95A8}"/>
    <cellStyle name="Normal 14 10 3" xfId="9391" xr:uid="{7825A62E-D3C7-4868-AFC3-B0A0C5030982}"/>
    <cellStyle name="Normal 14 10 30" xfId="9392" xr:uid="{398F27AB-9BDE-48F3-AD5F-39E7BF01536B}"/>
    <cellStyle name="Normal 14 10 31" xfId="9393" xr:uid="{85A46CD5-0C47-4BEF-B7ED-4AA051952E3E}"/>
    <cellStyle name="Normal 14 10 32" xfId="9394" xr:uid="{395BD425-5233-4C1A-8936-1D4AAD18F9D2}"/>
    <cellStyle name="Normal 14 10 33" xfId="9395" xr:uid="{C1AC6181-0A68-4A95-88E8-697F0C8F1CEC}"/>
    <cellStyle name="Normal 14 10 34" xfId="9396" xr:uid="{431BD518-0B42-407A-A691-D0E74AAFD88B}"/>
    <cellStyle name="Normal 14 10 35" xfId="9397" xr:uid="{2058C08A-F808-4497-8E83-D5DAA3F1E7CB}"/>
    <cellStyle name="Normal 14 10 36" xfId="9398" xr:uid="{6DB6C9F1-7970-40ED-BB5A-7B90537BC90E}"/>
    <cellStyle name="Normal 14 10 37" xfId="9399" xr:uid="{763618EE-727D-4BDA-89C9-82C06D952AF0}"/>
    <cellStyle name="Normal 14 10 38" xfId="9400" xr:uid="{FECF7CE3-2E9D-437D-AAF1-9C7F9FD5C797}"/>
    <cellStyle name="Normal 14 10 39" xfId="9401" xr:uid="{A5F1A12F-9CAA-4B41-B8E6-93BFB821F7E8}"/>
    <cellStyle name="Normal 14 10 4" xfId="9402" xr:uid="{CA5225C3-364C-4278-A702-2FCBB6BDC9DA}"/>
    <cellStyle name="Normal 14 10 40" xfId="9403" xr:uid="{153CC931-4011-4207-9962-6395EAB8629D}"/>
    <cellStyle name="Normal 14 10 41" xfId="9404" xr:uid="{8587C99D-EE7D-4D40-94C6-0055061C5125}"/>
    <cellStyle name="Normal 14 10 42" xfId="9405" xr:uid="{9C16B13F-4F09-4349-95B6-9BD92FD9944F}"/>
    <cellStyle name="Normal 14 10 43" xfId="9406" xr:uid="{AC77FE1F-910D-4E11-B2CC-9005CD17709E}"/>
    <cellStyle name="Normal 14 10 44" xfId="9407" xr:uid="{87C72DE7-9500-4C10-BE16-F19B5DFC760F}"/>
    <cellStyle name="Normal 14 10 45" xfId="9408" xr:uid="{80EB16B3-18A0-4CBA-B6DC-2AA2BFF0EF45}"/>
    <cellStyle name="Normal 14 10 5" xfId="9409" xr:uid="{5026AB1D-70D4-4F30-9FE1-AFCA194DBC35}"/>
    <cellStyle name="Normal 14 10 6" xfId="9410" xr:uid="{450A5601-DAE2-4EBD-AA0F-A0E926F0F360}"/>
    <cellStyle name="Normal 14 10 7" xfId="9411" xr:uid="{3FC36604-F377-4DC7-9872-03F732DF3453}"/>
    <cellStyle name="Normal 14 10 8" xfId="9412" xr:uid="{CCE79C45-F304-4304-8FC5-44EF87DF5964}"/>
    <cellStyle name="Normal 14 10 9" xfId="9413" xr:uid="{C60F652D-2960-41AA-AF7E-CC9369D17BA4}"/>
    <cellStyle name="Normal 14 11" xfId="9414" xr:uid="{0D97C3C3-8566-454D-8101-9EF9FE653015}"/>
    <cellStyle name="Normal 14 11 10" xfId="9415" xr:uid="{83DD1449-48AA-4C00-9BE0-FA7A9771BC78}"/>
    <cellStyle name="Normal 14 11 11" xfId="9416" xr:uid="{B24F7084-B8A2-41F6-A163-B5B4D5395260}"/>
    <cellStyle name="Normal 14 11 12" xfId="9417" xr:uid="{6F373339-C6E9-461A-82B4-5FAF7AE2EF85}"/>
    <cellStyle name="Normal 14 11 13" xfId="9418" xr:uid="{E94E6774-C046-4C7F-8B56-B6795029446B}"/>
    <cellStyle name="Normal 14 11 14" xfId="9419" xr:uid="{CF3C4F95-3BA9-4E93-A347-AEB6C774E447}"/>
    <cellStyle name="Normal 14 11 15" xfId="9420" xr:uid="{BF462714-C308-41D3-A8DB-5B4CBC92C5B6}"/>
    <cellStyle name="Normal 14 11 16" xfId="9421" xr:uid="{58DEE69E-5946-429A-8623-D4ABB6F08873}"/>
    <cellStyle name="Normal 14 11 17" xfId="9422" xr:uid="{4E955EE6-9C4C-4CE7-8377-56926F1DCCA6}"/>
    <cellStyle name="Normal 14 11 18" xfId="9423" xr:uid="{A40DD3C5-7A94-4288-938F-32C675A5E8F8}"/>
    <cellStyle name="Normal 14 11 19" xfId="9424" xr:uid="{B0F2F34D-B539-4A97-9495-E3B2884DD9C3}"/>
    <cellStyle name="Normal 14 11 2" xfId="9425" xr:uid="{CB2BE99C-B41F-4423-82FF-73535CEE1082}"/>
    <cellStyle name="Normal 14 11 20" xfId="9426" xr:uid="{955B6829-50F2-49FB-B79D-E2FAAFCC0EDA}"/>
    <cellStyle name="Normal 14 11 21" xfId="9427" xr:uid="{EA3D1DE7-C842-494B-A0ED-B4B7C0CA215B}"/>
    <cellStyle name="Normal 14 11 22" xfId="9428" xr:uid="{77443800-73BD-4041-983E-300F3C5343DB}"/>
    <cellStyle name="Normal 14 11 23" xfId="9429" xr:uid="{7E740726-803F-431F-AF34-AB74C8C23A86}"/>
    <cellStyle name="Normal 14 11 24" xfId="9430" xr:uid="{1608020D-6025-4AB2-A537-1630E2828266}"/>
    <cellStyle name="Normal 14 11 25" xfId="9431" xr:uid="{7418589D-5B7A-4941-A4BA-67CD801805C3}"/>
    <cellStyle name="Normal 14 11 26" xfId="9432" xr:uid="{7161E6AA-9079-4E25-AD24-57FB091423F0}"/>
    <cellStyle name="Normal 14 11 27" xfId="9433" xr:uid="{0329A22E-DA79-4181-A217-D27208520C53}"/>
    <cellStyle name="Normal 14 11 28" xfId="9434" xr:uid="{38768A46-5470-4397-AE7A-4A8F00AF4CB0}"/>
    <cellStyle name="Normal 14 11 29" xfId="9435" xr:uid="{809D3925-1D23-45E5-BB01-6750045EA7C8}"/>
    <cellStyle name="Normal 14 11 3" xfId="9436" xr:uid="{A3396A97-7394-44AD-9EDC-EA446A99C218}"/>
    <cellStyle name="Normal 14 11 30" xfId="9437" xr:uid="{DFB320B0-14A9-420E-8AC7-5E2D8B8891B9}"/>
    <cellStyle name="Normal 14 11 31" xfId="9438" xr:uid="{75886F64-4CC5-4266-8DBC-BD5C66A2FF06}"/>
    <cellStyle name="Normal 14 11 32" xfId="9439" xr:uid="{0E06C068-F918-4382-A16E-A2405FB66F20}"/>
    <cellStyle name="Normal 14 11 33" xfId="9440" xr:uid="{D646B367-774D-4F6B-B6CE-C750262CBCEC}"/>
    <cellStyle name="Normal 14 11 34" xfId="9441" xr:uid="{B67ED051-287B-487A-8D01-CE8EAB4FF1A4}"/>
    <cellStyle name="Normal 14 11 35" xfId="9442" xr:uid="{58726366-28EE-40C2-A5B3-0C67E408754B}"/>
    <cellStyle name="Normal 14 11 36" xfId="9443" xr:uid="{9B27A9D8-DDA1-4976-94D2-027E86133014}"/>
    <cellStyle name="Normal 14 11 37" xfId="9444" xr:uid="{E8CA6CA9-717A-4006-A4B6-312468DB6EA9}"/>
    <cellStyle name="Normal 14 11 38" xfId="9445" xr:uid="{3D44127F-3344-4085-ADAA-AFF247E14F74}"/>
    <cellStyle name="Normal 14 11 39" xfId="9446" xr:uid="{504A7065-D1E4-4767-BABB-E29C20165BC9}"/>
    <cellStyle name="Normal 14 11 4" xfId="9447" xr:uid="{F790BBF1-014C-4AE9-AB18-834889533558}"/>
    <cellStyle name="Normal 14 11 40" xfId="9448" xr:uid="{A9BE9A03-B3FF-4FCE-AB9F-2875A165F685}"/>
    <cellStyle name="Normal 14 11 41" xfId="9449" xr:uid="{4E8B8D0A-CEB5-4EA4-A081-E9B634BBD185}"/>
    <cellStyle name="Normal 14 11 42" xfId="9450" xr:uid="{976F238F-00D8-4467-B647-E5D65E473D70}"/>
    <cellStyle name="Normal 14 11 43" xfId="9451" xr:uid="{CBDACF8A-6076-4FCB-8317-D7DD28657BC3}"/>
    <cellStyle name="Normal 14 11 44" xfId="9452" xr:uid="{88C2D077-04C5-4FB2-9426-F488AC481DD4}"/>
    <cellStyle name="Normal 14 11 45" xfId="9453" xr:uid="{43F43323-51EA-4F00-84AB-58F79170889D}"/>
    <cellStyle name="Normal 14 11 5" xfId="9454" xr:uid="{49F18EF1-72E9-42B9-9789-A4FAEE711BBE}"/>
    <cellStyle name="Normal 14 11 6" xfId="9455" xr:uid="{6581A653-A9C9-409D-BFAF-6EE55A3C1B18}"/>
    <cellStyle name="Normal 14 11 7" xfId="9456" xr:uid="{2E487F97-CAD0-49DE-A4B4-E9BFC6DD3518}"/>
    <cellStyle name="Normal 14 11 8" xfId="9457" xr:uid="{E0631E0E-7EA0-4499-A400-B00C188E030D}"/>
    <cellStyle name="Normal 14 11 9" xfId="9458" xr:uid="{F0A69426-2027-4F47-91C2-CBA0F55BBA5D}"/>
    <cellStyle name="Normal 14 12" xfId="9459" xr:uid="{74CD4346-E7D1-4C83-9B16-F6F96C997E16}"/>
    <cellStyle name="Normal 14 12 10" xfId="9460" xr:uid="{B31EC66D-BBE9-4A74-B5DC-6868BC25DBF3}"/>
    <cellStyle name="Normal 14 12 11" xfId="9461" xr:uid="{86C282C9-0D93-4171-ACBB-5143DAE221FA}"/>
    <cellStyle name="Normal 14 12 12" xfId="9462" xr:uid="{BEAC1F14-538C-4314-BF2D-C488B8DF0955}"/>
    <cellStyle name="Normal 14 12 13" xfId="9463" xr:uid="{2B83B4E6-79B5-4F88-B8BA-46F33D0A815E}"/>
    <cellStyle name="Normal 14 12 14" xfId="9464" xr:uid="{14D466D2-78F0-429E-95EC-0B2A64CF0DD6}"/>
    <cellStyle name="Normal 14 12 15" xfId="9465" xr:uid="{65548A68-E21D-4DCB-8A61-FB9C73B41F25}"/>
    <cellStyle name="Normal 14 12 16" xfId="9466" xr:uid="{E094905A-5F9A-4912-8F2B-107293D65717}"/>
    <cellStyle name="Normal 14 12 17" xfId="9467" xr:uid="{B351F99C-406F-4E77-B01D-825DE97362C4}"/>
    <cellStyle name="Normal 14 12 18" xfId="9468" xr:uid="{0248F463-C33C-454E-A1A1-FDF6C169FAC7}"/>
    <cellStyle name="Normal 14 12 19" xfId="9469" xr:uid="{FCF88E35-C330-465F-99B9-B4236EB3FCAF}"/>
    <cellStyle name="Normal 14 12 2" xfId="9470" xr:uid="{B3359AA8-75F6-49F6-81BB-B90BE98CB23E}"/>
    <cellStyle name="Normal 14 12 20" xfId="9471" xr:uid="{29F03A0C-99BE-46C3-A0E8-0F74FDB553C8}"/>
    <cellStyle name="Normal 14 12 21" xfId="9472" xr:uid="{6BD09B1F-73D5-4552-A523-CFBC4B75FE4C}"/>
    <cellStyle name="Normal 14 12 22" xfId="9473" xr:uid="{FF63F665-F2F5-4E20-B23E-BEF1DC274A34}"/>
    <cellStyle name="Normal 14 12 23" xfId="9474" xr:uid="{08E98CE9-012F-4AA5-AE0B-E197979C700E}"/>
    <cellStyle name="Normal 14 12 24" xfId="9475" xr:uid="{E6C832B3-A1B0-4B07-91C8-7109DC4907C4}"/>
    <cellStyle name="Normal 14 12 25" xfId="9476" xr:uid="{BEA1CB8C-3D45-4D63-BA64-2B914B34EF84}"/>
    <cellStyle name="Normal 14 12 26" xfId="9477" xr:uid="{9676B962-8761-404E-A93A-24682CAE42CE}"/>
    <cellStyle name="Normal 14 12 27" xfId="9478" xr:uid="{8C0A5790-1F8C-4947-BF1D-55D829D4D2D9}"/>
    <cellStyle name="Normal 14 12 28" xfId="9479" xr:uid="{4DB373E3-512E-44E9-B950-9D957EE3DA0C}"/>
    <cellStyle name="Normal 14 12 29" xfId="9480" xr:uid="{AD56644D-B8AE-428B-87B8-BD5ED2134255}"/>
    <cellStyle name="Normal 14 12 3" xfId="9481" xr:uid="{62A9ECBA-F2E9-4523-81B8-723133C0884A}"/>
    <cellStyle name="Normal 14 12 30" xfId="9482" xr:uid="{C799D1AB-75A8-4432-AAA3-A42E05E0D9D2}"/>
    <cellStyle name="Normal 14 12 31" xfId="9483" xr:uid="{BE5CD9FF-9CDE-4931-8D15-B9755D3EB86C}"/>
    <cellStyle name="Normal 14 12 32" xfId="9484" xr:uid="{5950D9FE-2ED9-461A-AD8F-E9BF53169A43}"/>
    <cellStyle name="Normal 14 12 33" xfId="9485" xr:uid="{72CD3855-5B35-4926-962C-0A436D7525F1}"/>
    <cellStyle name="Normal 14 12 34" xfId="9486" xr:uid="{0FE996ED-12C6-4502-98BE-1C50F64BD24A}"/>
    <cellStyle name="Normal 14 12 35" xfId="9487" xr:uid="{DF5D610B-233D-4712-B074-89CA88C2E00B}"/>
    <cellStyle name="Normal 14 12 36" xfId="9488" xr:uid="{BD59A057-8D13-419B-B2CE-CE81E3959C8D}"/>
    <cellStyle name="Normal 14 12 37" xfId="9489" xr:uid="{A5955641-C029-4648-9340-2663C052B0E5}"/>
    <cellStyle name="Normal 14 12 38" xfId="9490" xr:uid="{E47B1881-B87F-461B-B3A3-52F08CAAA40B}"/>
    <cellStyle name="Normal 14 12 39" xfId="9491" xr:uid="{3CD13B0C-CFDA-4033-AB86-BBBE1DF96900}"/>
    <cellStyle name="Normal 14 12 4" xfId="9492" xr:uid="{05025341-C1D4-4EF7-B190-A44013455390}"/>
    <cellStyle name="Normal 14 12 40" xfId="9493" xr:uid="{1167CC20-4965-431A-87F3-E5AEB1B4051D}"/>
    <cellStyle name="Normal 14 12 41" xfId="9494" xr:uid="{FC3B127A-5117-429C-A03B-C677B0ECF8CC}"/>
    <cellStyle name="Normal 14 12 42" xfId="9495" xr:uid="{86AF6B8A-85DF-4259-9803-E884F648699B}"/>
    <cellStyle name="Normal 14 12 43" xfId="9496" xr:uid="{057376B7-3A43-49AC-A08B-5953DA00669A}"/>
    <cellStyle name="Normal 14 12 44" xfId="9497" xr:uid="{C1B7D212-06D4-4E33-9D87-5DAC9D24BA75}"/>
    <cellStyle name="Normal 14 12 45" xfId="9498" xr:uid="{2ACE379D-A744-4591-94AA-8CD57A4D4DAC}"/>
    <cellStyle name="Normal 14 12 5" xfId="9499" xr:uid="{3C76DCDB-AF82-4E42-9A97-49C7EA655A4A}"/>
    <cellStyle name="Normal 14 12 6" xfId="9500" xr:uid="{9AC5FFA7-2876-4A4D-B357-ADA0637DFA4F}"/>
    <cellStyle name="Normal 14 12 7" xfId="9501" xr:uid="{FB0BF755-9F1E-432C-B383-3199B5B365E8}"/>
    <cellStyle name="Normal 14 12 8" xfId="9502" xr:uid="{AAFAFE16-79A1-4792-A63A-75969E9C67FD}"/>
    <cellStyle name="Normal 14 12 9" xfId="9503" xr:uid="{C5BF2B8C-078C-4785-AB19-22956B468420}"/>
    <cellStyle name="Normal 14 13" xfId="9504" xr:uid="{E404F914-C3D5-4D96-8FB4-12DDB0E5C4CE}"/>
    <cellStyle name="Normal 14 13 10" xfId="9505" xr:uid="{3FCB76FC-21E8-4110-A520-45B785A0BDC7}"/>
    <cellStyle name="Normal 14 13 11" xfId="9506" xr:uid="{8A484405-783B-4BCA-8515-CD2C9CDFE2B1}"/>
    <cellStyle name="Normal 14 13 12" xfId="9507" xr:uid="{B8234BEC-2E1C-474C-84F1-9B3ACF17F865}"/>
    <cellStyle name="Normal 14 13 13" xfId="9508" xr:uid="{F56C9F21-C8A4-4274-8ACC-871C932C3947}"/>
    <cellStyle name="Normal 14 13 14" xfId="9509" xr:uid="{770D3D9A-3255-4801-BF6B-0EDC711E7D51}"/>
    <cellStyle name="Normal 14 13 15" xfId="9510" xr:uid="{D34761CE-FAC6-4B22-9AE6-7BDB691AD720}"/>
    <cellStyle name="Normal 14 13 16" xfId="9511" xr:uid="{19800DE9-0A1B-4913-AFE8-28011FFBF752}"/>
    <cellStyle name="Normal 14 13 17" xfId="9512" xr:uid="{A5DEDEF9-79AC-4D00-A555-E1A69E0545E1}"/>
    <cellStyle name="Normal 14 13 18" xfId="9513" xr:uid="{417A5305-1415-4F09-AD96-9C2C85A89FB1}"/>
    <cellStyle name="Normal 14 13 19" xfId="9514" xr:uid="{E0F97938-D905-4B7C-A717-E2CD382B936C}"/>
    <cellStyle name="Normal 14 13 2" xfId="9515" xr:uid="{AB1A81F8-1CF4-4468-842A-F278AA6D609E}"/>
    <cellStyle name="Normal 14 13 20" xfId="9516" xr:uid="{A35566AA-D5A7-47FE-9E0F-716420EEE4B7}"/>
    <cellStyle name="Normal 14 13 21" xfId="9517" xr:uid="{33AA044C-D078-4982-A735-37232687F216}"/>
    <cellStyle name="Normal 14 13 22" xfId="9518" xr:uid="{6C15A87E-C5DB-404D-9AD8-396156151DEC}"/>
    <cellStyle name="Normal 14 13 23" xfId="9519" xr:uid="{27D5471B-2426-4024-8578-6D5A7F761BC6}"/>
    <cellStyle name="Normal 14 13 24" xfId="9520" xr:uid="{1FFEFEBD-CC6C-45CB-AA1B-3F8E2DBBA731}"/>
    <cellStyle name="Normal 14 13 25" xfId="9521" xr:uid="{A9E9F397-CA22-4A78-8404-16A17A2AB61C}"/>
    <cellStyle name="Normal 14 13 26" xfId="9522" xr:uid="{71D16D30-EDDD-4EA0-AA7E-2F4F7FD01444}"/>
    <cellStyle name="Normal 14 13 27" xfId="9523" xr:uid="{1743F4AC-2EA9-40C9-9E6E-B228C149295C}"/>
    <cellStyle name="Normal 14 13 28" xfId="9524" xr:uid="{13EC1195-2DBF-425C-AEBC-504F27C27383}"/>
    <cellStyle name="Normal 14 13 29" xfId="9525" xr:uid="{8C8A612C-B6A1-4F0C-8648-BA6B616D406B}"/>
    <cellStyle name="Normal 14 13 3" xfId="9526" xr:uid="{4FB5A9C7-BEC1-4678-85E3-5EA88F27DF4D}"/>
    <cellStyle name="Normal 14 13 30" xfId="9527" xr:uid="{BA520351-90CF-44BD-986A-75B0BC96C165}"/>
    <cellStyle name="Normal 14 13 31" xfId="9528" xr:uid="{5260D782-B711-4E21-823E-ADE688460765}"/>
    <cellStyle name="Normal 14 13 32" xfId="9529" xr:uid="{F9DA0A70-3BA6-4A96-AFA9-1F68ED6C1D43}"/>
    <cellStyle name="Normal 14 13 33" xfId="9530" xr:uid="{BB252BD5-550E-495B-9421-76EFE7FB4AA6}"/>
    <cellStyle name="Normal 14 13 34" xfId="9531" xr:uid="{F3FAB769-E2C9-474F-9498-393C0355877D}"/>
    <cellStyle name="Normal 14 13 35" xfId="9532" xr:uid="{0B52BB5D-6FE7-4162-B33D-8BC4AF403D9C}"/>
    <cellStyle name="Normal 14 13 36" xfId="9533" xr:uid="{F0406DC6-521D-404C-9337-C5596415C0A9}"/>
    <cellStyle name="Normal 14 13 37" xfId="9534" xr:uid="{BD512276-F85F-4A65-B98C-1F0D73992C3C}"/>
    <cellStyle name="Normal 14 13 38" xfId="9535" xr:uid="{A73868A4-134E-4775-9191-95D65A0AAB5E}"/>
    <cellStyle name="Normal 14 13 39" xfId="9536" xr:uid="{8A5AA32D-C5C3-4064-84BF-2F12DBAB2B75}"/>
    <cellStyle name="Normal 14 13 4" xfId="9537" xr:uid="{112F6A4F-AB05-4E03-BD1F-07BCA9FBE365}"/>
    <cellStyle name="Normal 14 13 40" xfId="9538" xr:uid="{310B29E7-1D9B-4C9C-AA36-53056438A495}"/>
    <cellStyle name="Normal 14 13 41" xfId="9539" xr:uid="{C7A60E5B-7876-4F8D-B701-D6720079FBDA}"/>
    <cellStyle name="Normal 14 13 42" xfId="9540" xr:uid="{32DC62F3-25AE-4B38-84C7-789A7F50D734}"/>
    <cellStyle name="Normal 14 13 43" xfId="9541" xr:uid="{243E9FC7-1E5C-43B3-B62B-ABB6D533AB9A}"/>
    <cellStyle name="Normal 14 13 44" xfId="9542" xr:uid="{C6BCBC7B-3B2A-44C0-B125-A292930513BA}"/>
    <cellStyle name="Normal 14 13 45" xfId="9543" xr:uid="{BC63A201-C1E0-49FD-83B6-607A4BAD3FCA}"/>
    <cellStyle name="Normal 14 13 5" xfId="9544" xr:uid="{922DF0E9-22EC-4F80-9B61-7526720E0D36}"/>
    <cellStyle name="Normal 14 13 6" xfId="9545" xr:uid="{F170E473-ABE3-4CCB-A8E9-E51DD9B185B9}"/>
    <cellStyle name="Normal 14 13 7" xfId="9546" xr:uid="{ACA77C26-1E69-4BCC-B169-1FF7E876BAA1}"/>
    <cellStyle name="Normal 14 13 8" xfId="9547" xr:uid="{C2060EDA-C148-4079-8D9B-DBBB918D9318}"/>
    <cellStyle name="Normal 14 13 9" xfId="9548" xr:uid="{63BEBC79-BAD9-4125-88E3-20B95F335052}"/>
    <cellStyle name="Normal 14 14" xfId="9549" xr:uid="{69B52513-B641-4385-B590-EF012119C7F3}"/>
    <cellStyle name="Normal 14 14 10" xfId="9550" xr:uid="{D7B2EA30-7340-4313-9B0E-44E0FBFF127C}"/>
    <cellStyle name="Normal 14 14 11" xfId="9551" xr:uid="{2F34724F-14C4-420B-8646-348C3F03A455}"/>
    <cellStyle name="Normal 14 14 12" xfId="9552" xr:uid="{FEF645E2-535C-4F3E-9DA3-64B00C86C1AC}"/>
    <cellStyle name="Normal 14 14 13" xfId="9553" xr:uid="{067D0CEC-16DA-4164-BAF6-E61CB132026E}"/>
    <cellStyle name="Normal 14 14 14" xfId="9554" xr:uid="{0171D7F9-0C64-42B5-9363-F6D3AECD9789}"/>
    <cellStyle name="Normal 14 14 15" xfId="9555" xr:uid="{44B0CFE1-BD62-47E9-8410-2B1A45F6AF32}"/>
    <cellStyle name="Normal 14 14 16" xfId="9556" xr:uid="{93A498DB-7F15-474F-B4DE-636910246113}"/>
    <cellStyle name="Normal 14 14 17" xfId="9557" xr:uid="{28C1A128-16EB-4D01-AEF9-0D2F994ED59A}"/>
    <cellStyle name="Normal 14 14 18" xfId="9558" xr:uid="{641055D1-C204-4146-B603-A3BCE6B07833}"/>
    <cellStyle name="Normal 14 14 19" xfId="9559" xr:uid="{D5714CDB-14C3-4955-B106-F98DBFB13A0D}"/>
    <cellStyle name="Normal 14 14 2" xfId="9560" xr:uid="{2CA8DA27-E6C0-4BF3-B8CB-8E77796853D1}"/>
    <cellStyle name="Normal 14 14 20" xfId="9561" xr:uid="{8B0E63D2-BEFA-45EB-AE23-9A23D94C109A}"/>
    <cellStyle name="Normal 14 14 21" xfId="9562" xr:uid="{2F9DF91C-4035-441F-82ED-7D1B1F69B701}"/>
    <cellStyle name="Normal 14 14 22" xfId="9563" xr:uid="{09CCAAA4-FFDC-40EB-A119-F75E86BF15F8}"/>
    <cellStyle name="Normal 14 14 23" xfId="9564" xr:uid="{AC7708C4-75ED-4499-B3EE-D9DB20EC166D}"/>
    <cellStyle name="Normal 14 14 24" xfId="9565" xr:uid="{284FDD58-5AD3-41C3-A7A6-8296DFCCB957}"/>
    <cellStyle name="Normal 14 14 25" xfId="9566" xr:uid="{C66D1339-62C6-4C33-9DE1-1CF04B1EAFF5}"/>
    <cellStyle name="Normal 14 14 26" xfId="9567" xr:uid="{4DA5231D-F611-423E-9C89-CB073909BA2D}"/>
    <cellStyle name="Normal 14 14 27" xfId="9568" xr:uid="{CF473EC8-126E-421A-9067-EF6307E877EC}"/>
    <cellStyle name="Normal 14 14 28" xfId="9569" xr:uid="{37345E4D-AA36-47F1-9C1B-C95DE05328FA}"/>
    <cellStyle name="Normal 14 14 29" xfId="9570" xr:uid="{C6DC272D-B576-4546-AB66-1A054BFD3764}"/>
    <cellStyle name="Normal 14 14 3" xfId="9571" xr:uid="{A1940312-02E3-47E2-AB42-7F7E06D42D02}"/>
    <cellStyle name="Normal 14 14 30" xfId="9572" xr:uid="{1C5EC08E-6366-46F5-822A-D1256AD5687B}"/>
    <cellStyle name="Normal 14 14 31" xfId="9573" xr:uid="{3ED3B2E0-EAE0-4259-9AA8-6D1301CF9F34}"/>
    <cellStyle name="Normal 14 14 32" xfId="9574" xr:uid="{B7ABB76E-797A-484C-B1F8-B759B0B97BD9}"/>
    <cellStyle name="Normal 14 14 33" xfId="9575" xr:uid="{3F28D291-1C80-4083-A473-AB27AEF96F9C}"/>
    <cellStyle name="Normal 14 14 34" xfId="9576" xr:uid="{E3BFA1C4-7115-41B0-B7D8-E18D64016C1D}"/>
    <cellStyle name="Normal 14 14 35" xfId="9577" xr:uid="{FCE819D9-D30E-496E-A4E4-8D9FCD47B21C}"/>
    <cellStyle name="Normal 14 14 36" xfId="9578" xr:uid="{FFD33F5B-7A59-4B67-98D1-BA6A2BBAA37A}"/>
    <cellStyle name="Normal 14 14 37" xfId="9579" xr:uid="{E373C951-B5BF-433A-9177-9F61D4A40819}"/>
    <cellStyle name="Normal 14 14 38" xfId="9580" xr:uid="{678CC0CC-A05D-46B4-BB71-A555548401B1}"/>
    <cellStyle name="Normal 14 14 39" xfId="9581" xr:uid="{A23CA871-5E92-49AC-9DDB-7956CBD2103E}"/>
    <cellStyle name="Normal 14 14 4" xfId="9582" xr:uid="{7AFA7F09-2889-4EF1-99F0-E5FC6B6A098A}"/>
    <cellStyle name="Normal 14 14 40" xfId="9583" xr:uid="{7E59F24F-A92A-4481-95D5-F7DB2AE79D09}"/>
    <cellStyle name="Normal 14 14 41" xfId="9584" xr:uid="{6EB6D38E-1C74-4917-8F9F-689035355BFA}"/>
    <cellStyle name="Normal 14 14 42" xfId="9585" xr:uid="{5E3AD469-1255-46A1-B0E9-862D48A8227E}"/>
    <cellStyle name="Normal 14 14 43" xfId="9586" xr:uid="{71F8A542-14E4-466F-B184-AE2461C95071}"/>
    <cellStyle name="Normal 14 14 44" xfId="9587" xr:uid="{52A9F11D-B305-439D-B31F-6BF490320C29}"/>
    <cellStyle name="Normal 14 14 45" xfId="9588" xr:uid="{66A3C25E-3BCE-470E-88B6-BF5E72C1FF74}"/>
    <cellStyle name="Normal 14 14 5" xfId="9589" xr:uid="{AD63B4CD-D602-40B9-A900-205632F89FB4}"/>
    <cellStyle name="Normal 14 14 6" xfId="9590" xr:uid="{DF4279B9-C2E5-4D6D-8441-018F50AFF04D}"/>
    <cellStyle name="Normal 14 14 7" xfId="9591" xr:uid="{3752EC86-74C1-4DAD-973A-5571871A897B}"/>
    <cellStyle name="Normal 14 14 8" xfId="9592" xr:uid="{249A412B-5269-4F38-974F-D0A3B2995835}"/>
    <cellStyle name="Normal 14 14 9" xfId="9593" xr:uid="{C3A6D009-2341-44E9-BC8D-6A9D2FB0F586}"/>
    <cellStyle name="Normal 14 15" xfId="9594" xr:uid="{CFEAAE9B-E3FB-48EB-A15A-76B2DF6AB951}"/>
    <cellStyle name="Normal 14 15 10" xfId="9595" xr:uid="{3473B8BF-3447-47AB-B3D1-6521CD613374}"/>
    <cellStyle name="Normal 14 15 11" xfId="9596" xr:uid="{CAFA2D0B-202B-4033-AB5E-FD670CFAA464}"/>
    <cellStyle name="Normal 14 15 12" xfId="9597" xr:uid="{78DD6A88-AA51-4FD9-9D24-2EA9F00E2CF0}"/>
    <cellStyle name="Normal 14 15 13" xfId="9598" xr:uid="{453FCDE4-CD90-4B29-BD40-BFA900996910}"/>
    <cellStyle name="Normal 14 15 14" xfId="9599" xr:uid="{3FF6EC42-B7DC-4C79-8C0E-4B4A28B79B60}"/>
    <cellStyle name="Normal 14 15 15" xfId="9600" xr:uid="{6702AD9A-4B97-470E-8C81-0E9FA7421FC6}"/>
    <cellStyle name="Normal 14 15 16" xfId="9601" xr:uid="{0F2EE956-7FFF-4C06-82B3-6D564EF169EA}"/>
    <cellStyle name="Normal 14 15 17" xfId="9602" xr:uid="{C92630BE-F79B-4349-A519-DA4EC30663A2}"/>
    <cellStyle name="Normal 14 15 18" xfId="9603" xr:uid="{D91E5399-6FBF-4428-AB21-177159D60719}"/>
    <cellStyle name="Normal 14 15 19" xfId="9604" xr:uid="{DC4416CF-0B58-4048-9D9C-FD36C3A3E799}"/>
    <cellStyle name="Normal 14 15 2" xfId="9605" xr:uid="{4EAC9C64-EEE6-4AB5-98A5-1CF8CC8CB6EC}"/>
    <cellStyle name="Normal 14 15 20" xfId="9606" xr:uid="{EF368657-CBF0-430F-BE02-B93C2CC48F57}"/>
    <cellStyle name="Normal 14 15 21" xfId="9607" xr:uid="{52583295-4B45-4BF5-9D03-37EDB5EE15A2}"/>
    <cellStyle name="Normal 14 15 22" xfId="9608" xr:uid="{1803FAF2-418E-4FD1-AF59-7D6B2701DB31}"/>
    <cellStyle name="Normal 14 15 23" xfId="9609" xr:uid="{ABB0EA87-E608-4371-BF87-348462DF62DD}"/>
    <cellStyle name="Normal 14 15 24" xfId="9610" xr:uid="{E8B607BE-C6B9-4E76-9BDE-5E07714E31B9}"/>
    <cellStyle name="Normal 14 15 25" xfId="9611" xr:uid="{33B39BC2-C2F5-4120-805A-30D2FD8B9E0B}"/>
    <cellStyle name="Normal 14 15 26" xfId="9612" xr:uid="{71FDC686-3AB7-4CEB-AF21-9DD0CC321AC8}"/>
    <cellStyle name="Normal 14 15 27" xfId="9613" xr:uid="{419D6E87-C525-4809-B151-82859A4A66B2}"/>
    <cellStyle name="Normal 14 15 28" xfId="9614" xr:uid="{3CC7CE47-CE2E-43C9-AD84-87BB02086B41}"/>
    <cellStyle name="Normal 14 15 29" xfId="9615" xr:uid="{F85537B0-0C4D-4DC2-8BC4-086127A37A15}"/>
    <cellStyle name="Normal 14 15 3" xfId="9616" xr:uid="{D7D0DF31-F894-47F7-9ACD-E8EF0D8E0161}"/>
    <cellStyle name="Normal 14 15 30" xfId="9617" xr:uid="{74BDEA8D-E238-44EC-B5A3-2C0079142AD7}"/>
    <cellStyle name="Normal 14 15 31" xfId="9618" xr:uid="{9BB25D10-4985-4F61-91B3-1F03F87BC691}"/>
    <cellStyle name="Normal 14 15 32" xfId="9619" xr:uid="{7A31524B-9B64-4AFC-91AD-8C7067B9E633}"/>
    <cellStyle name="Normal 14 15 33" xfId="9620" xr:uid="{76929309-C245-4EBA-A441-06CE3397D9ED}"/>
    <cellStyle name="Normal 14 15 34" xfId="9621" xr:uid="{5FA2AC07-8BBB-44C8-B0F3-652958C342EF}"/>
    <cellStyle name="Normal 14 15 35" xfId="9622" xr:uid="{A6D5C899-795C-41E9-A98D-298DD0337CDF}"/>
    <cellStyle name="Normal 14 15 36" xfId="9623" xr:uid="{61D83A2A-4118-4DED-8879-374BE07726C4}"/>
    <cellStyle name="Normal 14 15 37" xfId="9624" xr:uid="{74EF4D92-9914-4703-B0BB-0897E321899E}"/>
    <cellStyle name="Normal 14 15 4" xfId="9625" xr:uid="{CA067089-CECC-476E-ABD6-B0ECCF48381E}"/>
    <cellStyle name="Normal 14 15 5" xfId="9626" xr:uid="{78245FE1-923F-46FB-81F2-8BEA21225577}"/>
    <cellStyle name="Normal 14 15 6" xfId="9627" xr:uid="{CBF98EE3-9258-4CD9-B8DA-EEF7D515FF79}"/>
    <cellStyle name="Normal 14 15 7" xfId="9628" xr:uid="{F2D7576C-3235-410C-B500-2CF95DB0F76A}"/>
    <cellStyle name="Normal 14 15 8" xfId="9629" xr:uid="{7DCA8291-4392-47BB-BAD9-8E5E1FF24AF1}"/>
    <cellStyle name="Normal 14 15 9" xfId="9630" xr:uid="{5B4A229E-876E-43FE-9983-9BA9B0C8BD5A}"/>
    <cellStyle name="Normal 14 16" xfId="9631" xr:uid="{F12C6509-B6EF-4E4B-AF9B-4379E62123B6}"/>
    <cellStyle name="Normal 14 16 10" xfId="9632" xr:uid="{DE263B1D-6BC8-4E66-967F-32021221C4AA}"/>
    <cellStyle name="Normal 14 16 11" xfId="9633" xr:uid="{1F89E0D3-A1F2-4371-A4F8-33AF7A603FA2}"/>
    <cellStyle name="Normal 14 16 12" xfId="9634" xr:uid="{C72557A5-7C11-4792-8A55-3B06D3B3DE70}"/>
    <cellStyle name="Normal 14 16 13" xfId="9635" xr:uid="{70EC5118-95D3-4C93-ACBB-3954D876E89C}"/>
    <cellStyle name="Normal 14 16 14" xfId="9636" xr:uid="{1E445C79-A116-4DA1-9122-80DED4A91EF3}"/>
    <cellStyle name="Normal 14 16 15" xfId="9637" xr:uid="{10DF7E1B-96C7-45F3-8F99-3499984C1DD0}"/>
    <cellStyle name="Normal 14 16 16" xfId="9638" xr:uid="{6E5D69A8-909B-401A-B567-3766ACC2FE38}"/>
    <cellStyle name="Normal 14 16 17" xfId="9639" xr:uid="{FC91E69C-2B54-487E-AFCA-D1E64ED27141}"/>
    <cellStyle name="Normal 14 16 18" xfId="9640" xr:uid="{94832748-F57B-45F3-92E9-6FA1885AB074}"/>
    <cellStyle name="Normal 14 16 19" xfId="9641" xr:uid="{F77C7342-674D-4FFC-97AF-5BFC8CA0760E}"/>
    <cellStyle name="Normal 14 16 2" xfId="9642" xr:uid="{55A4DFB5-5AEC-4168-926D-5A31C7F8B4D4}"/>
    <cellStyle name="Normal 14 16 20" xfId="9643" xr:uid="{D073AC56-D373-4F36-A44B-47C9F3F961F8}"/>
    <cellStyle name="Normal 14 16 21" xfId="9644" xr:uid="{3A915EC9-01BD-43EB-BE8F-42DD1FD6A10B}"/>
    <cellStyle name="Normal 14 16 22" xfId="9645" xr:uid="{A7A18681-84C5-45B5-9C07-C7C42A4605B9}"/>
    <cellStyle name="Normal 14 16 23" xfId="9646" xr:uid="{F8564200-F373-4B03-B77E-148F6EC3569C}"/>
    <cellStyle name="Normal 14 16 24" xfId="9647" xr:uid="{43CF6F68-C1FC-473E-A4F3-66F834006D61}"/>
    <cellStyle name="Normal 14 16 25" xfId="9648" xr:uid="{958314AA-27C5-4880-A825-2E2E5956D252}"/>
    <cellStyle name="Normal 14 16 26" xfId="9649" xr:uid="{18F063E9-380E-429A-87C5-3B7BF3620593}"/>
    <cellStyle name="Normal 14 16 27" xfId="9650" xr:uid="{41913FFE-830A-42C6-81E2-CB3CEA12B555}"/>
    <cellStyle name="Normal 14 16 28" xfId="9651" xr:uid="{D5376619-9953-4F5C-AF2C-8BCA8338C230}"/>
    <cellStyle name="Normal 14 16 29" xfId="9652" xr:uid="{60679900-C6A2-4D38-85C9-A5D005F7EB08}"/>
    <cellStyle name="Normal 14 16 3" xfId="9653" xr:uid="{C9ECD524-FBA1-4D98-88AC-C75F7B716BBE}"/>
    <cellStyle name="Normal 14 16 30" xfId="9654" xr:uid="{E9AFF821-20F4-467F-A79D-89D651E17E65}"/>
    <cellStyle name="Normal 14 16 31" xfId="9655" xr:uid="{DCE03060-39DC-45C1-8FB5-5F16BBC01B98}"/>
    <cellStyle name="Normal 14 16 32" xfId="9656" xr:uid="{6815F61A-386F-4627-84EE-AA359665EC19}"/>
    <cellStyle name="Normal 14 16 33" xfId="9657" xr:uid="{906336CB-9163-47D5-8250-D7C859C6DA5F}"/>
    <cellStyle name="Normal 14 16 34" xfId="9658" xr:uid="{9FDBBD78-02BB-42FE-BEB4-572AAE65DC23}"/>
    <cellStyle name="Normal 14 16 35" xfId="9659" xr:uid="{CF08B7C5-03A9-47CA-9D4F-2FA1A9601C4A}"/>
    <cellStyle name="Normal 14 16 36" xfId="9660" xr:uid="{C93B0E81-4815-4B89-8354-E11825D2D548}"/>
    <cellStyle name="Normal 14 16 37" xfId="9661" xr:uid="{1E4F3D4B-A0A7-4DDB-8384-5233A9BD85CB}"/>
    <cellStyle name="Normal 14 16 4" xfId="9662" xr:uid="{E4DA05CC-DFA5-4389-BADC-585B64EE6D6A}"/>
    <cellStyle name="Normal 14 16 5" xfId="9663" xr:uid="{7F9AE98A-CA82-441D-9444-3B815B85E978}"/>
    <cellStyle name="Normal 14 16 6" xfId="9664" xr:uid="{A9240E60-95CD-4B9A-8A2C-104694893040}"/>
    <cellStyle name="Normal 14 16 7" xfId="9665" xr:uid="{AF6C253F-0D82-43B1-B414-124A99F12DB0}"/>
    <cellStyle name="Normal 14 16 8" xfId="9666" xr:uid="{E295D459-599E-45C7-8ED7-312D7D3B938C}"/>
    <cellStyle name="Normal 14 16 9" xfId="9667" xr:uid="{2CD6E868-1325-44B9-9220-8FCC8B4935F5}"/>
    <cellStyle name="Normal 14 17" xfId="9668" xr:uid="{D5DB2F9B-3D34-4F3A-992F-9D9830ECE930}"/>
    <cellStyle name="Normal 14 17 10" xfId="9669" xr:uid="{EB9F5DD4-DF45-45EC-B081-53650037FFBC}"/>
    <cellStyle name="Normal 14 17 11" xfId="9670" xr:uid="{63C7931E-83EC-4493-8700-6D6DBF38B4BC}"/>
    <cellStyle name="Normal 14 17 12" xfId="9671" xr:uid="{C0CB2325-673F-409A-B10E-1600C23F5917}"/>
    <cellStyle name="Normal 14 17 13" xfId="9672" xr:uid="{DB90B700-A174-44F1-8410-6249A871458C}"/>
    <cellStyle name="Normal 14 17 14" xfId="9673" xr:uid="{98FAAD7F-30ED-4E97-B5EE-FF177889CBA9}"/>
    <cellStyle name="Normal 14 17 15" xfId="9674" xr:uid="{A3275144-9907-45C7-8F46-8FE1666B5837}"/>
    <cellStyle name="Normal 14 17 16" xfId="9675" xr:uid="{EEF1DA84-EC64-4E31-A4A3-B2A24EA9A7AC}"/>
    <cellStyle name="Normal 14 17 17" xfId="9676" xr:uid="{C0645E2A-D64C-462F-9896-077BF1DB092A}"/>
    <cellStyle name="Normal 14 17 18" xfId="9677" xr:uid="{7917E467-7F31-4F07-97AA-4FF381FE12F5}"/>
    <cellStyle name="Normal 14 17 19" xfId="9678" xr:uid="{B28BCB45-766F-454C-A359-3174EFE3CB86}"/>
    <cellStyle name="Normal 14 17 2" xfId="9679" xr:uid="{6E14CD63-5E61-4033-A4C7-CFA5A8B9AA55}"/>
    <cellStyle name="Normal 14 17 20" xfId="9680" xr:uid="{81DFBCCC-255C-4E0A-A300-85402813B6EB}"/>
    <cellStyle name="Normal 14 17 21" xfId="9681" xr:uid="{D057733D-BD90-456C-AC48-46D548671DAC}"/>
    <cellStyle name="Normal 14 17 22" xfId="9682" xr:uid="{1CFB5B91-C0E4-4DE1-8D74-7E935D6AE111}"/>
    <cellStyle name="Normal 14 17 23" xfId="9683" xr:uid="{B05E32CF-31A2-45A3-900D-A73515AAD8D0}"/>
    <cellStyle name="Normal 14 17 24" xfId="9684" xr:uid="{6F586280-36DE-4E1B-9082-44FF95CC1EB9}"/>
    <cellStyle name="Normal 14 17 25" xfId="9685" xr:uid="{BF561A0A-4400-4554-A75A-B37F3D6BA7C2}"/>
    <cellStyle name="Normal 14 17 26" xfId="9686" xr:uid="{6D1598D6-6C93-45BC-B3BB-E967A2E0460C}"/>
    <cellStyle name="Normal 14 17 27" xfId="9687" xr:uid="{618DCCE1-CED3-4EA7-9144-EF3531BB9FDC}"/>
    <cellStyle name="Normal 14 17 28" xfId="9688" xr:uid="{019ADA0A-E151-429E-AD31-8F5F5BBCEA1C}"/>
    <cellStyle name="Normal 14 17 29" xfId="9689" xr:uid="{75657B3E-9B52-4719-AA53-2DB35545EDF5}"/>
    <cellStyle name="Normal 14 17 3" xfId="9690" xr:uid="{1C8B20E8-C5FA-4A81-B505-6879BA568A96}"/>
    <cellStyle name="Normal 14 17 30" xfId="9691" xr:uid="{34EA0378-708B-41E7-A2A3-D187CFA73425}"/>
    <cellStyle name="Normal 14 17 31" xfId="9692" xr:uid="{5201E721-EF92-4274-A049-E076832DD710}"/>
    <cellStyle name="Normal 14 17 32" xfId="9693" xr:uid="{06BF8F6E-D08B-48B0-9500-337EBF3255DE}"/>
    <cellStyle name="Normal 14 17 33" xfId="9694" xr:uid="{1034E618-8947-4900-A0D5-20B480A5D328}"/>
    <cellStyle name="Normal 14 17 34" xfId="9695" xr:uid="{CC654166-AB54-41AF-8A19-9BB23A60DD54}"/>
    <cellStyle name="Normal 14 17 35" xfId="9696" xr:uid="{668C3CA8-671E-49D0-B7E0-FD0485C15382}"/>
    <cellStyle name="Normal 14 17 36" xfId="9697" xr:uid="{52748FB3-42C1-43EA-89F5-FCC15D5669FB}"/>
    <cellStyle name="Normal 14 17 37" xfId="9698" xr:uid="{087F0114-F8C8-4836-AE1C-9EFBB9AF48A1}"/>
    <cellStyle name="Normal 14 17 4" xfId="9699" xr:uid="{E22B9594-5C52-43F6-AB70-8FEB5E1A97DE}"/>
    <cellStyle name="Normal 14 17 5" xfId="9700" xr:uid="{97797BE1-0E3A-4236-8955-838D298F8F15}"/>
    <cellStyle name="Normal 14 17 6" xfId="9701" xr:uid="{84D49061-8932-4AEE-8A72-ECB8219D18F0}"/>
    <cellStyle name="Normal 14 17 7" xfId="9702" xr:uid="{6C01D5A6-B1EE-46B5-B692-BD1E35CC1558}"/>
    <cellStyle name="Normal 14 17 8" xfId="9703" xr:uid="{D2FB2236-1877-42A2-A804-45D9691C4770}"/>
    <cellStyle name="Normal 14 17 9" xfId="9704" xr:uid="{C715BBE2-4365-4A5B-9AC1-EBE9349117E2}"/>
    <cellStyle name="Normal 14 18" xfId="9705" xr:uid="{C61C2BF3-AAB6-47C4-9D0B-0C6F60AD13F2}"/>
    <cellStyle name="Normal 14 18 10" xfId="9706" xr:uid="{DD20EB2D-E90E-4351-9356-67B3DA6A81D8}"/>
    <cellStyle name="Normal 14 18 11" xfId="9707" xr:uid="{52779351-FA98-46DE-910B-762735963DEB}"/>
    <cellStyle name="Normal 14 18 12" xfId="9708" xr:uid="{9ED0368E-F30A-4311-9607-D5B07B90E9D0}"/>
    <cellStyle name="Normal 14 18 13" xfId="9709" xr:uid="{01B8C5D6-F711-4BC3-ACAF-C646BE73FA61}"/>
    <cellStyle name="Normal 14 18 14" xfId="9710" xr:uid="{8327961D-BFEB-4B0E-9C7A-75EC48D5A494}"/>
    <cellStyle name="Normal 14 18 15" xfId="9711" xr:uid="{E4D2442C-9284-486A-A589-9794D3133F87}"/>
    <cellStyle name="Normal 14 18 16" xfId="9712" xr:uid="{96B87A6B-7060-46D5-B5F0-24D3C15F82BD}"/>
    <cellStyle name="Normal 14 18 17" xfId="9713" xr:uid="{D7C0BCBF-EAB7-4E68-BE26-663F7D4C3144}"/>
    <cellStyle name="Normal 14 18 18" xfId="9714" xr:uid="{32A518EA-6387-4EEB-AEAF-A60ED5A06B76}"/>
    <cellStyle name="Normal 14 18 19" xfId="9715" xr:uid="{821AFD66-778C-4CEA-84AB-590A91513420}"/>
    <cellStyle name="Normal 14 18 2" xfId="9716" xr:uid="{B3E35A5D-FEEA-4D3C-ACAF-B8A5334E01E1}"/>
    <cellStyle name="Normal 14 18 20" xfId="9717" xr:uid="{B8833A31-4CAD-4B78-AEFB-5714D5AED6D1}"/>
    <cellStyle name="Normal 14 18 21" xfId="9718" xr:uid="{17EA1B28-F311-4401-BE5C-B6793AD73526}"/>
    <cellStyle name="Normal 14 18 22" xfId="9719" xr:uid="{0E3A8300-7B48-4D9D-9759-773457563738}"/>
    <cellStyle name="Normal 14 18 23" xfId="9720" xr:uid="{2A9110A8-D5DA-4A97-A580-52E40CAD2A6D}"/>
    <cellStyle name="Normal 14 18 24" xfId="9721" xr:uid="{9EA321B8-D6FD-481C-B9D8-40B541161C5A}"/>
    <cellStyle name="Normal 14 18 25" xfId="9722" xr:uid="{F984C29D-4BF0-4A13-94D5-9EBF53F9780F}"/>
    <cellStyle name="Normal 14 18 26" xfId="9723" xr:uid="{B5461614-95F6-4741-B361-4A9098693EF3}"/>
    <cellStyle name="Normal 14 18 27" xfId="9724" xr:uid="{6C4327C2-8FD2-4810-9B42-982BC7E8FD2F}"/>
    <cellStyle name="Normal 14 18 28" xfId="9725" xr:uid="{FC9AAC70-84C7-4E71-A06C-FADDB30AF43E}"/>
    <cellStyle name="Normal 14 18 29" xfId="9726" xr:uid="{74F4C88D-02E9-423B-9A4E-38976F9344A8}"/>
    <cellStyle name="Normal 14 18 3" xfId="9727" xr:uid="{4D4F4C63-92C3-499D-ACAC-8ACB7966B955}"/>
    <cellStyle name="Normal 14 18 30" xfId="9728" xr:uid="{7838E97D-FDA1-47FE-9539-A077BA91FB16}"/>
    <cellStyle name="Normal 14 18 31" xfId="9729" xr:uid="{135D2E9F-E205-4FA9-8064-9F6AA81FC05B}"/>
    <cellStyle name="Normal 14 18 32" xfId="9730" xr:uid="{A37989F0-0649-4FE8-815B-DC22FB003FCC}"/>
    <cellStyle name="Normal 14 18 33" xfId="9731" xr:uid="{F9E295F3-5BD2-4901-BD3C-19A3C950FAE3}"/>
    <cellStyle name="Normal 14 18 34" xfId="9732" xr:uid="{4E40142B-8068-4E26-834D-710FC569F596}"/>
    <cellStyle name="Normal 14 18 35" xfId="9733" xr:uid="{EBF7B2AB-B402-428B-8E77-B2BCB1D517BB}"/>
    <cellStyle name="Normal 14 18 36" xfId="9734" xr:uid="{5C45742B-8AB6-4420-ADE7-B39D18CED280}"/>
    <cellStyle name="Normal 14 18 37" xfId="9735" xr:uid="{660E6DD2-B45E-4560-B2E9-A88E08F8D3E9}"/>
    <cellStyle name="Normal 14 18 4" xfId="9736" xr:uid="{4DAE2ECA-2606-406B-9A17-F4AFF1B30000}"/>
    <cellStyle name="Normal 14 18 5" xfId="9737" xr:uid="{0EC23B70-8E30-4275-A50B-1BBBBE3410B1}"/>
    <cellStyle name="Normal 14 18 6" xfId="9738" xr:uid="{9279BF58-580D-45EC-B828-3B019184EA35}"/>
    <cellStyle name="Normal 14 18 7" xfId="9739" xr:uid="{4775C964-61F2-47AA-81F1-45BB906B67E7}"/>
    <cellStyle name="Normal 14 18 8" xfId="9740" xr:uid="{BFC2423B-8C24-4079-BE86-E58F8329D458}"/>
    <cellStyle name="Normal 14 18 9" xfId="9741" xr:uid="{EB7A8A22-556D-46F2-B284-5690D61A7E6C}"/>
    <cellStyle name="Normal 14 19" xfId="9742" xr:uid="{C2DBE54D-6EFE-486C-86F8-6A3307EAA957}"/>
    <cellStyle name="Normal 14 19 10" xfId="9743" xr:uid="{23DC7035-46AD-4DBE-85A5-8C741F5C8427}"/>
    <cellStyle name="Normal 14 19 11" xfId="9744" xr:uid="{521CB8B4-B726-4270-89BD-D813481CBD78}"/>
    <cellStyle name="Normal 14 19 12" xfId="9745" xr:uid="{524BE338-C13D-4625-A38C-AA356BB6D7CE}"/>
    <cellStyle name="Normal 14 19 13" xfId="9746" xr:uid="{20E892A8-2AC1-483E-A0A6-96034E66350B}"/>
    <cellStyle name="Normal 14 19 14" xfId="9747" xr:uid="{65B4136A-7C6F-42F8-A75F-10E66AFD9CE0}"/>
    <cellStyle name="Normal 14 19 15" xfId="9748" xr:uid="{AFEC4DE2-497B-4AD0-85AF-55C5A3BFFF30}"/>
    <cellStyle name="Normal 14 19 16" xfId="9749" xr:uid="{88441AA7-F29A-4873-A086-F7D1E85A1E6B}"/>
    <cellStyle name="Normal 14 19 17" xfId="9750" xr:uid="{AD391509-D34D-4360-B8C6-84DCBA0A37B0}"/>
    <cellStyle name="Normal 14 19 18" xfId="9751" xr:uid="{AE768166-425E-4817-83C4-AB4297A9A611}"/>
    <cellStyle name="Normal 14 19 19" xfId="9752" xr:uid="{AC2A16D2-4C29-4DA8-ADB6-A7895FC9B842}"/>
    <cellStyle name="Normal 14 19 2" xfId="9753" xr:uid="{99072CD4-D49D-43D3-9BB1-64668C78080D}"/>
    <cellStyle name="Normal 14 19 20" xfId="9754" xr:uid="{0A9D03A8-D11B-4BA2-85D5-870467021E84}"/>
    <cellStyle name="Normal 14 19 21" xfId="9755" xr:uid="{DF875DE0-AB22-470A-9C6C-7BD3D24DDC59}"/>
    <cellStyle name="Normal 14 19 22" xfId="9756" xr:uid="{B74C6101-3B4A-413E-B001-D6607E7533C8}"/>
    <cellStyle name="Normal 14 19 23" xfId="9757" xr:uid="{64A093AF-83F0-48D9-899D-2B3928E64D8A}"/>
    <cellStyle name="Normal 14 19 24" xfId="9758" xr:uid="{321F32B1-77B1-4554-8BFF-8310E02568F4}"/>
    <cellStyle name="Normal 14 19 25" xfId="9759" xr:uid="{70B87D22-F58D-4B95-9A92-E865549DAE0A}"/>
    <cellStyle name="Normal 14 19 26" xfId="9760" xr:uid="{300A50C1-B696-4C11-99E1-6F8AFCE71AA4}"/>
    <cellStyle name="Normal 14 19 27" xfId="9761" xr:uid="{0A99A94A-7945-44CF-AEAE-B35A64BE7B2D}"/>
    <cellStyle name="Normal 14 19 28" xfId="9762" xr:uid="{CA100DCA-6572-4EED-AD5B-95ABCE6DE9B0}"/>
    <cellStyle name="Normal 14 19 29" xfId="9763" xr:uid="{29CC6A34-6B6B-464E-B8E2-FF8547FB143A}"/>
    <cellStyle name="Normal 14 19 3" xfId="9764" xr:uid="{B6D5A318-83AC-4543-A9B4-B97896120807}"/>
    <cellStyle name="Normal 14 19 30" xfId="9765" xr:uid="{1C21B07A-E715-4CF3-9187-13F0BBC248C6}"/>
    <cellStyle name="Normal 14 19 31" xfId="9766" xr:uid="{A4F01FEC-E559-4883-B1A1-0193314E2D28}"/>
    <cellStyle name="Normal 14 19 32" xfId="9767" xr:uid="{39272C60-8C2E-4902-8E15-426AAFEAA27A}"/>
    <cellStyle name="Normal 14 19 33" xfId="9768" xr:uid="{A39FBEB8-6CBC-4475-9C62-AA49B1177DEB}"/>
    <cellStyle name="Normal 14 19 34" xfId="9769" xr:uid="{EA0C5EE4-465A-4D58-9428-45FA9136B64B}"/>
    <cellStyle name="Normal 14 19 35" xfId="9770" xr:uid="{9C5D9976-9604-4E5A-8DA9-6BC8776D6DE3}"/>
    <cellStyle name="Normal 14 19 36" xfId="9771" xr:uid="{DD770D2C-9E5E-45DB-9F64-0C8EF67F6B09}"/>
    <cellStyle name="Normal 14 19 37" xfId="9772" xr:uid="{D74BA9A1-656E-47FA-B988-601370C7FC30}"/>
    <cellStyle name="Normal 14 19 4" xfId="9773" xr:uid="{34E3E666-59F6-415F-9A44-E6B7C37C257C}"/>
    <cellStyle name="Normal 14 19 5" xfId="9774" xr:uid="{03E88D09-0EDB-4D76-BB6F-5D976EF5E987}"/>
    <cellStyle name="Normal 14 19 6" xfId="9775" xr:uid="{8A3A7261-A542-43C2-9BE0-20F97DD13CF6}"/>
    <cellStyle name="Normal 14 19 7" xfId="9776" xr:uid="{43260521-35C5-4F07-BE7B-FF7B72E97841}"/>
    <cellStyle name="Normal 14 19 8" xfId="9777" xr:uid="{3974D24F-DC50-4102-B37F-6E33379C87D3}"/>
    <cellStyle name="Normal 14 19 9" xfId="9778" xr:uid="{C356DFFA-A1E1-4E05-8B2E-85715609EC67}"/>
    <cellStyle name="Normal 14 2" xfId="9779" xr:uid="{9E7070F2-01A5-4B87-923C-94C5AB0B8CA8}"/>
    <cellStyle name="Normal 14 2 2" xfId="9780" xr:uid="{73F00F2B-C2EF-4130-AFC9-65A3D68556DE}"/>
    <cellStyle name="Normal 14 20" xfId="9781" xr:uid="{BEFDD6F6-8865-42FB-A503-2CBF83D6D249}"/>
    <cellStyle name="Normal 14 20 10" xfId="9782" xr:uid="{645A156B-142D-4FD8-AB10-88DB157794C6}"/>
    <cellStyle name="Normal 14 20 11" xfId="9783" xr:uid="{1F287885-4BAF-4532-9FA4-037BC9F831B5}"/>
    <cellStyle name="Normal 14 20 12" xfId="9784" xr:uid="{9402A0AD-215F-4B70-ADC6-A415A08D4B37}"/>
    <cellStyle name="Normal 14 20 13" xfId="9785" xr:uid="{8341CA92-0A6E-49C7-A8AD-27681FBCCB2E}"/>
    <cellStyle name="Normal 14 20 14" xfId="9786" xr:uid="{C330BF26-E5A3-47F1-9B9B-A0B73FF75960}"/>
    <cellStyle name="Normal 14 20 15" xfId="9787" xr:uid="{4ADDAD05-7F57-4854-A3EB-20E5364E2ED9}"/>
    <cellStyle name="Normal 14 20 16" xfId="9788" xr:uid="{B8AF8A81-45F4-430C-99C6-E727483FA066}"/>
    <cellStyle name="Normal 14 20 17" xfId="9789" xr:uid="{01F431AF-DE36-4D16-BEB1-1E8F56A28608}"/>
    <cellStyle name="Normal 14 20 18" xfId="9790" xr:uid="{91E3E19D-1696-4C44-A254-BE63A6571BAD}"/>
    <cellStyle name="Normal 14 20 19" xfId="9791" xr:uid="{16ECFCF3-CCCC-435F-A672-DD5FF1E72A0C}"/>
    <cellStyle name="Normal 14 20 2" xfId="9792" xr:uid="{CE397387-6CAE-47FC-9B7B-0FE4E1D6F7C2}"/>
    <cellStyle name="Normal 14 20 20" xfId="9793" xr:uid="{740B0483-3EAD-42A6-B250-104367AF8B94}"/>
    <cellStyle name="Normal 14 20 21" xfId="9794" xr:uid="{406A953E-73CB-48B0-821E-D0EB0416C5CF}"/>
    <cellStyle name="Normal 14 20 22" xfId="9795" xr:uid="{0C60F754-E962-4EE0-9FC7-639B46C79847}"/>
    <cellStyle name="Normal 14 20 23" xfId="9796" xr:uid="{D66409A8-CB6C-43EB-9592-3E334C4DAACB}"/>
    <cellStyle name="Normal 14 20 24" xfId="9797" xr:uid="{437B4893-84EE-4E24-9B8F-6307E92C2FC5}"/>
    <cellStyle name="Normal 14 20 25" xfId="9798" xr:uid="{656E1CED-0207-4901-9957-9421224F3B9F}"/>
    <cellStyle name="Normal 14 20 26" xfId="9799" xr:uid="{81A87984-C66F-4C65-85D8-2D3425E7DAF1}"/>
    <cellStyle name="Normal 14 20 27" xfId="9800" xr:uid="{D1E23F99-A161-47C6-B8BB-228604FD0D65}"/>
    <cellStyle name="Normal 14 20 28" xfId="9801" xr:uid="{FD7D2DBA-26A8-4E22-B267-8941F16E4F98}"/>
    <cellStyle name="Normal 14 20 29" xfId="9802" xr:uid="{06BEA5DA-4FD1-4A74-BAEC-0AB2FA479BC6}"/>
    <cellStyle name="Normal 14 20 3" xfId="9803" xr:uid="{717510F1-801A-4527-BCD8-199C87380EA8}"/>
    <cellStyle name="Normal 14 20 30" xfId="9804" xr:uid="{A557BB67-9BE9-4893-86DC-B02098591E72}"/>
    <cellStyle name="Normal 14 20 31" xfId="9805" xr:uid="{FD4BF877-0F54-424C-8019-6737AC05A18B}"/>
    <cellStyle name="Normal 14 20 32" xfId="9806" xr:uid="{DF738C7D-DEDD-4EAA-937B-DF8542DFCEEE}"/>
    <cellStyle name="Normal 14 20 33" xfId="9807" xr:uid="{7DDEE767-55C9-410C-883F-1C20D7045D7E}"/>
    <cellStyle name="Normal 14 20 34" xfId="9808" xr:uid="{12DB5AC2-53AF-4A49-AD73-A62C31615F03}"/>
    <cellStyle name="Normal 14 20 35" xfId="9809" xr:uid="{C322D175-4A80-412E-9CF3-AF31F0B99379}"/>
    <cellStyle name="Normal 14 20 36" xfId="9810" xr:uid="{0DAC1013-BEB4-40B6-9B8C-428442729115}"/>
    <cellStyle name="Normal 14 20 37" xfId="9811" xr:uid="{2FF27CB8-624F-4C0F-A2D4-26CC2CCC06F6}"/>
    <cellStyle name="Normal 14 20 4" xfId="9812" xr:uid="{D18F6AE7-C20A-4A42-AD1C-9EE1E1167C2B}"/>
    <cellStyle name="Normal 14 20 5" xfId="9813" xr:uid="{73149682-898C-4434-809B-33465B7DE2D6}"/>
    <cellStyle name="Normal 14 20 6" xfId="9814" xr:uid="{DCA15C9C-6344-4503-85E0-EBCFD5350285}"/>
    <cellStyle name="Normal 14 20 7" xfId="9815" xr:uid="{924C53FA-DE18-46D8-AF4A-FC2C95B76C69}"/>
    <cellStyle name="Normal 14 20 8" xfId="9816" xr:uid="{04CCC968-269D-4F30-B349-AF247F595F4B}"/>
    <cellStyle name="Normal 14 20 9" xfId="9817" xr:uid="{C48DE2B3-0F96-4530-91EF-0E9FD2DA414F}"/>
    <cellStyle name="Normal 14 21" xfId="9818" xr:uid="{3D15CEBE-1E0A-4A40-B8C1-BECE5F356D2A}"/>
    <cellStyle name="Normal 14 21 10" xfId="9819" xr:uid="{5696D215-2333-4DE0-BDD6-9B05D0F3A9B1}"/>
    <cellStyle name="Normal 14 21 11" xfId="9820" xr:uid="{CC023D4C-4A53-44AC-A205-2C1C1423A8F0}"/>
    <cellStyle name="Normal 14 21 12" xfId="9821" xr:uid="{8838E88B-B12D-4938-A008-5CA3C24932AE}"/>
    <cellStyle name="Normal 14 21 13" xfId="9822" xr:uid="{3056D14E-FB8B-44A5-BBE0-13717F2ADE82}"/>
    <cellStyle name="Normal 14 21 14" xfId="9823" xr:uid="{7FE1FBF1-BBDB-48C2-955E-FC20DC3FC178}"/>
    <cellStyle name="Normal 14 21 15" xfId="9824" xr:uid="{B973CE0F-F1BF-4609-A3BC-ED0DDC9E8A05}"/>
    <cellStyle name="Normal 14 21 16" xfId="9825" xr:uid="{23478E33-00AE-43ED-B7C5-EF346F10BFBD}"/>
    <cellStyle name="Normal 14 21 17" xfId="9826" xr:uid="{F390E50D-DF8F-45C2-8C23-20CAFE3A1621}"/>
    <cellStyle name="Normal 14 21 18" xfId="9827" xr:uid="{CE8F2E6A-BE1A-42F9-A1E8-76542A0E1688}"/>
    <cellStyle name="Normal 14 21 19" xfId="9828" xr:uid="{272EB764-DF69-48DB-AFAD-4DA5BAF84315}"/>
    <cellStyle name="Normal 14 21 2" xfId="9829" xr:uid="{D45D5E1C-04E8-4A84-AD64-43C4D6A4CFE2}"/>
    <cellStyle name="Normal 14 21 20" xfId="9830" xr:uid="{68A03D71-80F1-4C77-BC43-7E32EBECB88F}"/>
    <cellStyle name="Normal 14 21 21" xfId="9831" xr:uid="{8FA5040C-066B-4447-AEF8-ADC55773EDC3}"/>
    <cellStyle name="Normal 14 21 22" xfId="9832" xr:uid="{F997EE2B-3583-4A83-87C4-9150756BBD77}"/>
    <cellStyle name="Normal 14 21 23" xfId="9833" xr:uid="{FFE44B4B-2671-4D1D-AD7A-6BFA2FC7FC13}"/>
    <cellStyle name="Normal 14 21 24" xfId="9834" xr:uid="{573A9A8F-0C87-472D-8EB2-5A1670D79E35}"/>
    <cellStyle name="Normal 14 21 25" xfId="9835" xr:uid="{23B999E6-A553-4F11-8900-625D9E6BE6AC}"/>
    <cellStyle name="Normal 14 21 26" xfId="9836" xr:uid="{95B80C3C-CDBC-4473-BE2E-2E3AAED66FBB}"/>
    <cellStyle name="Normal 14 21 27" xfId="9837" xr:uid="{6EFB3428-9E8B-4490-87BE-AAA512C0240A}"/>
    <cellStyle name="Normal 14 21 28" xfId="9838" xr:uid="{96E87EC8-0E63-4C5F-8E7F-37C01B951F76}"/>
    <cellStyle name="Normal 14 21 29" xfId="9839" xr:uid="{0A6B67DF-93A4-41BA-812C-F24DC9C17329}"/>
    <cellStyle name="Normal 14 21 3" xfId="9840" xr:uid="{7D2F811E-C83B-4071-968D-66F809E842B7}"/>
    <cellStyle name="Normal 14 21 30" xfId="9841" xr:uid="{EE643CFC-E16A-4EAA-B04B-30EF81E74E8E}"/>
    <cellStyle name="Normal 14 21 31" xfId="9842" xr:uid="{90FFC913-34B3-4C38-9ACF-4539B0588861}"/>
    <cellStyle name="Normal 14 21 32" xfId="9843" xr:uid="{6E095802-9419-46B3-8707-D4D592281F0C}"/>
    <cellStyle name="Normal 14 21 33" xfId="9844" xr:uid="{265B0373-1067-4FE4-AE44-E5567DC181F7}"/>
    <cellStyle name="Normal 14 21 34" xfId="9845" xr:uid="{D1705009-7CA6-4225-8459-F79A8B3B0FC1}"/>
    <cellStyle name="Normal 14 21 35" xfId="9846" xr:uid="{C7EDBD68-52BB-4F2C-8BB5-0104C347ED35}"/>
    <cellStyle name="Normal 14 21 36" xfId="9847" xr:uid="{13752E2E-EC07-4FE3-81F3-510B286C0F83}"/>
    <cellStyle name="Normal 14 21 37" xfId="9848" xr:uid="{54C54731-D34D-4D5A-8569-BF5A36DE30BC}"/>
    <cellStyle name="Normal 14 21 4" xfId="9849" xr:uid="{EE1A0EF0-61F2-436A-8851-6383D0A4AA4A}"/>
    <cellStyle name="Normal 14 21 5" xfId="9850" xr:uid="{4977751E-870A-44DC-952A-A8E6C8E528EC}"/>
    <cellStyle name="Normal 14 21 6" xfId="9851" xr:uid="{73842062-59B4-4162-945C-42D34AAFEF7E}"/>
    <cellStyle name="Normal 14 21 7" xfId="9852" xr:uid="{AD7E7520-5C16-47CD-9A50-3DD69D8FFF3B}"/>
    <cellStyle name="Normal 14 21 8" xfId="9853" xr:uid="{321DE148-520D-4A1F-9333-E4EA17EDCB7F}"/>
    <cellStyle name="Normal 14 21 9" xfId="9854" xr:uid="{9A9208FF-F8C1-4192-B3EC-92DBC5950DE0}"/>
    <cellStyle name="Normal 14 22" xfId="9855" xr:uid="{E4C94A16-42E2-42CE-96FF-BF50C858AF41}"/>
    <cellStyle name="Normal 14 22 10" xfId="9856" xr:uid="{35933179-34B2-4C3F-A394-D5ADB85C5691}"/>
    <cellStyle name="Normal 14 22 11" xfId="9857" xr:uid="{DABDDFB1-ADD3-4919-AFCF-4B73E80CEAD9}"/>
    <cellStyle name="Normal 14 22 12" xfId="9858" xr:uid="{A8ED0DFD-D833-4244-9EC2-9074313C8B58}"/>
    <cellStyle name="Normal 14 22 13" xfId="9859" xr:uid="{F06DF397-AC33-48A1-BA32-22AC0BA55B67}"/>
    <cellStyle name="Normal 14 22 14" xfId="9860" xr:uid="{78612BF2-9DD8-4351-B67B-24453F9CFBB9}"/>
    <cellStyle name="Normal 14 22 15" xfId="9861" xr:uid="{8C41C72F-9B72-4C33-8E4D-8F7D4E5EAC0A}"/>
    <cellStyle name="Normal 14 22 16" xfId="9862" xr:uid="{4F8F2084-3DB5-49A1-A78E-10EBDC9499E5}"/>
    <cellStyle name="Normal 14 22 17" xfId="9863" xr:uid="{47FFBE64-ED5D-412A-8B05-356F6AD16A66}"/>
    <cellStyle name="Normal 14 22 18" xfId="9864" xr:uid="{6C603BFF-6DF5-40C6-83AB-7BC0A58FCEAD}"/>
    <cellStyle name="Normal 14 22 19" xfId="9865" xr:uid="{E0BCD1FD-2DEB-43B4-9B25-EAF07A5CB37B}"/>
    <cellStyle name="Normal 14 22 2" xfId="9866" xr:uid="{2BF5A0C2-92A9-4E8B-B2F0-85082D07E236}"/>
    <cellStyle name="Normal 14 22 20" xfId="9867" xr:uid="{807AAF6C-0F23-4354-9629-B9BE69F81FD9}"/>
    <cellStyle name="Normal 14 22 21" xfId="9868" xr:uid="{54466FF9-F454-40F4-BEC0-A9F18DF43B77}"/>
    <cellStyle name="Normal 14 22 22" xfId="9869" xr:uid="{7C78B729-2AF0-413C-AAEB-BA45635CB677}"/>
    <cellStyle name="Normal 14 22 23" xfId="9870" xr:uid="{6E0AFA3E-74FC-4B57-A017-24CF202E0196}"/>
    <cellStyle name="Normal 14 22 24" xfId="9871" xr:uid="{695F44E3-CA02-4944-BF9C-A15703DF59AF}"/>
    <cellStyle name="Normal 14 22 25" xfId="9872" xr:uid="{413E085F-F339-4519-A104-115BEEE3E180}"/>
    <cellStyle name="Normal 14 22 26" xfId="9873" xr:uid="{30CA4DBB-FD3A-4070-AEFC-B9994385A5B8}"/>
    <cellStyle name="Normal 14 22 27" xfId="9874" xr:uid="{C54D48A5-D59A-4947-9F60-378154287E44}"/>
    <cellStyle name="Normal 14 22 28" xfId="9875" xr:uid="{2ACC8C1D-AA4A-4ED0-BA32-ED167AF82C61}"/>
    <cellStyle name="Normal 14 22 29" xfId="9876" xr:uid="{48C97909-7B9D-432D-B5E6-F9D9D3354B64}"/>
    <cellStyle name="Normal 14 22 3" xfId="9877" xr:uid="{F9B0D8B7-92C9-4C7F-B436-C2EE4B06450A}"/>
    <cellStyle name="Normal 14 22 30" xfId="9878" xr:uid="{B5C2CE82-BC56-4910-A719-C9DB32849E11}"/>
    <cellStyle name="Normal 14 22 31" xfId="9879" xr:uid="{F05A7BE0-CD6C-4CFD-8B08-453406054BD7}"/>
    <cellStyle name="Normal 14 22 32" xfId="9880" xr:uid="{D37CF202-E701-43A7-87F1-0E5C37804917}"/>
    <cellStyle name="Normal 14 22 33" xfId="9881" xr:uid="{1D5AAFB5-7FB6-4C48-BAD7-B5134A84A7C0}"/>
    <cellStyle name="Normal 14 22 34" xfId="9882" xr:uid="{A8CD9ED9-D8F6-44DD-A4F3-736FE6E91D22}"/>
    <cellStyle name="Normal 14 22 35" xfId="9883" xr:uid="{A1A69FC8-7B75-4434-89A2-A22C7A3BB9B5}"/>
    <cellStyle name="Normal 14 22 36" xfId="9884" xr:uid="{7BFC3EFC-5FB4-4368-94C0-F6E5A0D5D980}"/>
    <cellStyle name="Normal 14 22 37" xfId="9885" xr:uid="{D32669AD-B49A-48D8-9FBC-FD43578D93C9}"/>
    <cellStyle name="Normal 14 22 4" xfId="9886" xr:uid="{F22EAE9A-CCE6-49C5-A4C3-E2D94E5DEB59}"/>
    <cellStyle name="Normal 14 22 5" xfId="9887" xr:uid="{41B0BE9F-74CD-444E-8215-094F0684A7EA}"/>
    <cellStyle name="Normal 14 22 6" xfId="9888" xr:uid="{CE25D71B-7209-4157-A988-A2F54E8DC6B4}"/>
    <cellStyle name="Normal 14 22 7" xfId="9889" xr:uid="{A1931F8E-D610-4270-8D38-28D788E6A182}"/>
    <cellStyle name="Normal 14 22 8" xfId="9890" xr:uid="{F7B072CA-2E94-484D-BFBB-BB28535E83B2}"/>
    <cellStyle name="Normal 14 22 9" xfId="9891" xr:uid="{C9FA96F6-140D-4F52-94DA-4D46ABED304D}"/>
    <cellStyle name="Normal 14 23" xfId="9892" xr:uid="{7CA8C88B-0AB1-4547-AA4B-11C4698A6F25}"/>
    <cellStyle name="Normal 14 23 10" xfId="9893" xr:uid="{DC8F29FB-3A44-451A-AC01-312580B504BA}"/>
    <cellStyle name="Normal 14 23 11" xfId="9894" xr:uid="{B704D8D4-6362-427F-830C-EAD7AB2B9634}"/>
    <cellStyle name="Normal 14 23 12" xfId="9895" xr:uid="{8C32C3EB-1CFD-4A15-B3B7-192A38BBC2E0}"/>
    <cellStyle name="Normal 14 23 13" xfId="9896" xr:uid="{C1CA4BA3-8B63-439D-9CDF-5F61ACE1D8A8}"/>
    <cellStyle name="Normal 14 23 14" xfId="9897" xr:uid="{0994504B-DA22-4036-8068-6F029B1FDC06}"/>
    <cellStyle name="Normal 14 23 15" xfId="9898" xr:uid="{F0CEFCBE-B78D-41E1-B006-428881BBA1EB}"/>
    <cellStyle name="Normal 14 23 16" xfId="9899" xr:uid="{E5F66928-945C-4FAF-BA24-CACE18059963}"/>
    <cellStyle name="Normal 14 23 17" xfId="9900" xr:uid="{DC080EA0-E903-40BD-BCAD-0669A96702F9}"/>
    <cellStyle name="Normal 14 23 18" xfId="9901" xr:uid="{F2A26100-FCEB-41C7-B1CF-DFD743131B7E}"/>
    <cellStyle name="Normal 14 23 19" xfId="9902" xr:uid="{32942436-AF76-40BA-8F29-62BE8E335ACB}"/>
    <cellStyle name="Normal 14 23 2" xfId="9903" xr:uid="{C833422D-DF08-42A2-A073-7B9462328003}"/>
    <cellStyle name="Normal 14 23 20" xfId="9904" xr:uid="{B65AC312-A2E6-4703-B3A8-FF2531D1D6F0}"/>
    <cellStyle name="Normal 14 23 21" xfId="9905" xr:uid="{DD913359-0820-4A0E-9A6F-093C67DE0E6B}"/>
    <cellStyle name="Normal 14 23 22" xfId="9906" xr:uid="{B3C9F086-1CE8-48FD-97A0-9D729657DB54}"/>
    <cellStyle name="Normal 14 23 23" xfId="9907" xr:uid="{8DFDAD48-5C8E-43D9-A76F-38283443027A}"/>
    <cellStyle name="Normal 14 23 24" xfId="9908" xr:uid="{39D1204B-8EB5-4D91-B305-EFEE1CEE1AE3}"/>
    <cellStyle name="Normal 14 23 25" xfId="9909" xr:uid="{667EE6CD-D574-4A3E-B9AE-FB4AFC6728C4}"/>
    <cellStyle name="Normal 14 23 26" xfId="9910" xr:uid="{3A51C9F4-9BD6-4B38-B29F-449EB95C000D}"/>
    <cellStyle name="Normal 14 23 27" xfId="9911" xr:uid="{47ED04AC-29C4-4F8E-B5D1-5E6EC01D30FC}"/>
    <cellStyle name="Normal 14 23 28" xfId="9912" xr:uid="{2BA1202E-3919-46B2-B98F-8EFD0F156CCE}"/>
    <cellStyle name="Normal 14 23 29" xfId="9913" xr:uid="{59A6D42C-EE36-47F6-81BE-DDBA2422B8D1}"/>
    <cellStyle name="Normal 14 23 3" xfId="9914" xr:uid="{58A681BD-A20F-4363-A9EB-E1486FE54837}"/>
    <cellStyle name="Normal 14 23 30" xfId="9915" xr:uid="{A8553C97-D36D-4D56-9F5B-C97A00B04D16}"/>
    <cellStyle name="Normal 14 23 31" xfId="9916" xr:uid="{F40912D4-36D4-4F0F-9F40-922351D636D9}"/>
    <cellStyle name="Normal 14 23 32" xfId="9917" xr:uid="{49FD66A7-E3CF-48B1-9FBC-04420ECE90A5}"/>
    <cellStyle name="Normal 14 23 33" xfId="9918" xr:uid="{2D03C1D8-AE64-49E9-BDB0-50E3C5480E36}"/>
    <cellStyle name="Normal 14 23 34" xfId="9919" xr:uid="{CC4D0277-BA77-4298-98E0-63D87517F953}"/>
    <cellStyle name="Normal 14 23 35" xfId="9920" xr:uid="{04AEC46F-8864-4F44-907D-97F077B269E4}"/>
    <cellStyle name="Normal 14 23 36" xfId="9921" xr:uid="{EAE8EFCD-9E87-4AD6-A9A2-A12B12D209FF}"/>
    <cellStyle name="Normal 14 23 37" xfId="9922" xr:uid="{DFB055D0-332D-440C-B467-15B373405B21}"/>
    <cellStyle name="Normal 14 23 4" xfId="9923" xr:uid="{6B5A5287-D86C-41BA-A5F1-FF05462D38AC}"/>
    <cellStyle name="Normal 14 23 5" xfId="9924" xr:uid="{F9E09324-C308-4328-BABF-52675C57720B}"/>
    <cellStyle name="Normal 14 23 6" xfId="9925" xr:uid="{2E0E6E20-0C89-4AE7-86C3-D46440E31E61}"/>
    <cellStyle name="Normal 14 23 7" xfId="9926" xr:uid="{3115D636-D8E9-4484-8080-1C763CC603A1}"/>
    <cellStyle name="Normal 14 23 8" xfId="9927" xr:uid="{B901479C-AF2F-480A-827E-C7CD04B90690}"/>
    <cellStyle name="Normal 14 23 9" xfId="9928" xr:uid="{89C73BFB-195D-4493-9459-94D71EA7A800}"/>
    <cellStyle name="Normal 14 24" xfId="9929" xr:uid="{95811387-8E17-427D-AD33-CAEFDBA1ED46}"/>
    <cellStyle name="Normal 14 24 10" xfId="9930" xr:uid="{8EACD208-84EC-41B1-ADE3-FA335798AF9D}"/>
    <cellStyle name="Normal 14 24 11" xfId="9931" xr:uid="{1FC11178-5C1A-45C2-8A52-A89FA12B7FBD}"/>
    <cellStyle name="Normal 14 24 12" xfId="9932" xr:uid="{A1DD8425-1F22-4A8D-920D-E4ADF174BC02}"/>
    <cellStyle name="Normal 14 24 13" xfId="9933" xr:uid="{6A7F40FE-E3E4-4E81-A9D0-E0FE22CD6497}"/>
    <cellStyle name="Normal 14 24 14" xfId="9934" xr:uid="{35A3A71A-DB88-420B-BCA5-D258C6AC2504}"/>
    <cellStyle name="Normal 14 24 15" xfId="9935" xr:uid="{96F9876B-BADF-4E83-A857-84530B7A025C}"/>
    <cellStyle name="Normal 14 24 16" xfId="9936" xr:uid="{96CD4FA7-38E9-4B1F-8ADC-40AE4D247B18}"/>
    <cellStyle name="Normal 14 24 17" xfId="9937" xr:uid="{10511ACA-F1C9-4590-8229-58BAE1836C65}"/>
    <cellStyle name="Normal 14 24 18" xfId="9938" xr:uid="{7B8D07E8-375F-4E48-8084-6118CE3A438B}"/>
    <cellStyle name="Normal 14 24 19" xfId="9939" xr:uid="{B9FB3210-56F6-4BCF-BD33-AD6FC4D64037}"/>
    <cellStyle name="Normal 14 24 2" xfId="9940" xr:uid="{1D7882EB-DFA3-41F8-ACF8-8A7DAB106A45}"/>
    <cellStyle name="Normal 14 24 20" xfId="9941" xr:uid="{9B5A53EB-4BD3-4E43-9340-0DE4183199C1}"/>
    <cellStyle name="Normal 14 24 21" xfId="9942" xr:uid="{66F9E88A-B9B1-4AE6-85B1-769FAA20B83F}"/>
    <cellStyle name="Normal 14 24 22" xfId="9943" xr:uid="{ED1736DC-8721-45EA-948D-B2FB96C0696F}"/>
    <cellStyle name="Normal 14 24 23" xfId="9944" xr:uid="{AAC6FDE3-4377-48C0-BDF6-FD4B56BB930F}"/>
    <cellStyle name="Normal 14 24 24" xfId="9945" xr:uid="{0BFA3066-5B7C-438D-BD15-E367394B6332}"/>
    <cellStyle name="Normal 14 24 25" xfId="9946" xr:uid="{5F91BB12-8DB8-40DC-80BB-9D38F4C4BD19}"/>
    <cellStyle name="Normal 14 24 26" xfId="9947" xr:uid="{33BE32BC-FD0F-4452-B8CD-796CDE3B6FFF}"/>
    <cellStyle name="Normal 14 24 27" xfId="9948" xr:uid="{2EB053B4-EF61-4ADE-83C8-3516A39A863F}"/>
    <cellStyle name="Normal 14 24 28" xfId="9949" xr:uid="{F91E2C35-17D0-4A34-9795-C0D86ED20F30}"/>
    <cellStyle name="Normal 14 24 29" xfId="9950" xr:uid="{3CDE002C-8F8B-4027-87A1-DA9A5A751459}"/>
    <cellStyle name="Normal 14 24 3" xfId="9951" xr:uid="{6D558839-F4F0-401A-A098-40387F74C775}"/>
    <cellStyle name="Normal 14 24 30" xfId="9952" xr:uid="{BF58B1AA-BC09-4C1B-9CB8-051BE6CA8D75}"/>
    <cellStyle name="Normal 14 24 31" xfId="9953" xr:uid="{C61340C1-0731-4E57-8A0C-F4FC789C485A}"/>
    <cellStyle name="Normal 14 24 32" xfId="9954" xr:uid="{ADD9AC5A-7236-4E34-8166-AF54C853DFA0}"/>
    <cellStyle name="Normal 14 24 33" xfId="9955" xr:uid="{4E7EB814-2E03-4303-B0EC-719CB8DC7B3A}"/>
    <cellStyle name="Normal 14 24 34" xfId="9956" xr:uid="{71E996F4-FF7B-40A0-B3D8-A83235379CD3}"/>
    <cellStyle name="Normal 14 24 35" xfId="9957" xr:uid="{CB486280-4E54-4CCE-923B-B4D0D9BEA3E2}"/>
    <cellStyle name="Normal 14 24 36" xfId="9958" xr:uid="{CA5E500E-92B9-4D72-9EC5-CA3F59C9BA95}"/>
    <cellStyle name="Normal 14 24 37" xfId="9959" xr:uid="{6DA0432A-775E-44CC-AFAC-0B4353A500D2}"/>
    <cellStyle name="Normal 14 24 4" xfId="9960" xr:uid="{4C00E63E-E6A7-457B-82E8-57F436C02FEE}"/>
    <cellStyle name="Normal 14 24 5" xfId="9961" xr:uid="{647F3C71-22CE-4118-9F12-AB0ABB8DE2DA}"/>
    <cellStyle name="Normal 14 24 6" xfId="9962" xr:uid="{DD9A963C-6DA9-4226-AE9C-E409199F890C}"/>
    <cellStyle name="Normal 14 24 7" xfId="9963" xr:uid="{40455863-877E-4F8A-B1FF-32E65E9BB2E7}"/>
    <cellStyle name="Normal 14 24 8" xfId="9964" xr:uid="{46DAB7F0-2437-48A5-81CD-6AF1D4AF1D7F}"/>
    <cellStyle name="Normal 14 24 9" xfId="9965" xr:uid="{96C37858-F59A-46BD-B839-4FBCA47C4AF6}"/>
    <cellStyle name="Normal 14 25" xfId="9966" xr:uid="{63D6D8DE-8629-4E29-A14F-CCB11CF4CC62}"/>
    <cellStyle name="Normal 14 26" xfId="9967" xr:uid="{7DDA2FCA-025D-4D0A-B633-EB1877572273}"/>
    <cellStyle name="Normal 14 27" xfId="9968" xr:uid="{C0976DAA-B6AD-49F0-82D3-B54EDCC58641}"/>
    <cellStyle name="Normal 14 28" xfId="9969" xr:uid="{54C91D45-1915-43BE-BA78-B67DAE9B1417}"/>
    <cellStyle name="Normal 14 29" xfId="9970" xr:uid="{115E0611-A1F3-443A-94CF-DFD165759882}"/>
    <cellStyle name="Normal 14 3" xfId="9971" xr:uid="{549193CB-1C92-464C-B056-F6C7E5BD7C81}"/>
    <cellStyle name="Normal 14 3 2" xfId="43574" xr:uid="{86DEC61A-03A9-4468-8522-3B8F3F8B47C8}"/>
    <cellStyle name="Normal 14 30" xfId="9972" xr:uid="{B9A29634-3F6D-4187-B9BF-A62077C07803}"/>
    <cellStyle name="Normal 14 31" xfId="9973" xr:uid="{70FD8B78-BCC4-4313-A478-86A0B8DB0DE8}"/>
    <cellStyle name="Normal 14 32" xfId="9974" xr:uid="{B2F41284-9620-482C-8A15-F92F70A0F3F1}"/>
    <cellStyle name="Normal 14 33" xfId="9975" xr:uid="{E0E5D9A1-9C21-4D80-8453-F1AD672CD739}"/>
    <cellStyle name="Normal 14 34" xfId="9976" xr:uid="{DBA036E7-381E-484A-99DB-4C9AD5E15E07}"/>
    <cellStyle name="Normal 14 35" xfId="9977" xr:uid="{DDD75EEA-7DEE-471B-AE56-2F476642066B}"/>
    <cellStyle name="Normal 14 36" xfId="9978" xr:uid="{DF09772E-0F05-4DAD-BB3F-D31CF678E54C}"/>
    <cellStyle name="Normal 14 37" xfId="9979" xr:uid="{4AFC11AD-644E-4C91-A84E-5EB6F54A5DD4}"/>
    <cellStyle name="Normal 14 38" xfId="9980" xr:uid="{A6EAD7C6-1CB5-4FB0-8A21-D156B8C3E869}"/>
    <cellStyle name="Normal 14 39" xfId="9981" xr:uid="{72BD356B-582E-4B98-83FB-0616100CADB4}"/>
    <cellStyle name="Normal 14 4" xfId="9982" xr:uid="{CF6DC2C6-6B84-4A41-B41F-39DD3921D6F1}"/>
    <cellStyle name="Normal 14 40" xfId="9983" xr:uid="{106678AE-F0AE-462A-843F-337A3B087D16}"/>
    <cellStyle name="Normal 14 41" xfId="9984" xr:uid="{5F638F9F-2F79-49F6-9F1B-951000F653E7}"/>
    <cellStyle name="Normal 14 42" xfId="9985" xr:uid="{030B3F18-CCAB-4A5A-86EB-6027CBB85ADD}"/>
    <cellStyle name="Normal 14 43" xfId="9986" xr:uid="{7066D5F0-D285-4835-A002-230426359C20}"/>
    <cellStyle name="Normal 14 44" xfId="9987" xr:uid="{914DBD3E-86D4-4420-BDB9-E0F5035E94B5}"/>
    <cellStyle name="Normal 14 45" xfId="9988" xr:uid="{26451A35-BB01-4E79-AFEB-6FDFCD3B2B64}"/>
    <cellStyle name="Normal 14 46" xfId="9989" xr:uid="{A889DD83-76CD-4468-B90C-00CCD8B110BF}"/>
    <cellStyle name="Normal 14 47" xfId="9990" xr:uid="{A2E41B5E-BA17-4F3D-B2F0-0BCD3DD77B32}"/>
    <cellStyle name="Normal 14 48" xfId="9991" xr:uid="{EAE1C4A5-BE65-490E-8AB8-3A2C79C63030}"/>
    <cellStyle name="Normal 14 49" xfId="9992" xr:uid="{C2831440-5CD0-4545-B4DB-D57787401CBA}"/>
    <cellStyle name="Normal 14 5" xfId="9993" xr:uid="{EB666608-7D48-48D2-B133-810960DE13F0}"/>
    <cellStyle name="Normal 14 50" xfId="9994" xr:uid="{CD70660F-F454-4D36-B178-0F680238E428}"/>
    <cellStyle name="Normal 14 51" xfId="9995" xr:uid="{DCEB5D89-0AC1-432B-9169-13F4A18A06CB}"/>
    <cellStyle name="Normal 14 52" xfId="9996" xr:uid="{E1594DF2-15D2-4937-9C80-BF0DBF4CA3C6}"/>
    <cellStyle name="Normal 14 53" xfId="9997" xr:uid="{777400C7-F77C-483D-AB33-B5B580057411}"/>
    <cellStyle name="Normal 14 54" xfId="9998" xr:uid="{DC99BA47-3C3F-48D3-A9B6-A6BD0982A0E9}"/>
    <cellStyle name="Normal 14 55" xfId="9999" xr:uid="{57D3905C-73E4-4B50-8788-22A8FB6C5B11}"/>
    <cellStyle name="Normal 14 56" xfId="10000" xr:uid="{D4E2EAF7-5ABF-478C-B87A-2570E6A7E37E}"/>
    <cellStyle name="Normal 14 57" xfId="10001" xr:uid="{AD5ACFF5-E08E-40D0-A09D-1FFC92F6AF2E}"/>
    <cellStyle name="Normal 14 6" xfId="10002" xr:uid="{3B37D900-BF31-479A-9489-73CBF4C2733A}"/>
    <cellStyle name="Normal 14 7" xfId="10003" xr:uid="{7082BDD5-3808-4571-A93A-40F944429821}"/>
    <cellStyle name="Normal 14 8" xfId="10004" xr:uid="{3662DDC8-4E42-4581-B4AB-148941670B9F}"/>
    <cellStyle name="Normal 14 9" xfId="10005" xr:uid="{DB5ABC60-2B16-4BDC-9294-199CEC9A3E26}"/>
    <cellStyle name="Normal 14 9 10" xfId="10006" xr:uid="{0E3451EB-77BF-4D89-9D87-79BBD5EB61A7}"/>
    <cellStyle name="Normal 14 9 11" xfId="10007" xr:uid="{CF303DCF-E9EC-42BA-B68B-FE26357AE48A}"/>
    <cellStyle name="Normal 14 9 12" xfId="10008" xr:uid="{26462969-EE76-4CB7-A174-D2DFCD99A57D}"/>
    <cellStyle name="Normal 14 9 13" xfId="10009" xr:uid="{0AD27A88-6CD4-40B5-987C-CFEAEB24BBE7}"/>
    <cellStyle name="Normal 14 9 14" xfId="10010" xr:uid="{B6CE06FD-2565-4CC5-8BD6-D146357B7B50}"/>
    <cellStyle name="Normal 14 9 15" xfId="10011" xr:uid="{2C81358C-4CDB-402D-A020-6B77839EA3EC}"/>
    <cellStyle name="Normal 14 9 16" xfId="10012" xr:uid="{F7D29CB0-9D5C-4213-A38F-2A41D7E12C49}"/>
    <cellStyle name="Normal 14 9 17" xfId="10013" xr:uid="{EE731BE4-4192-4B31-A29F-5BDAC42841C2}"/>
    <cellStyle name="Normal 14 9 18" xfId="10014" xr:uid="{92477562-D1E3-499F-9ACC-6A04B54F7B25}"/>
    <cellStyle name="Normal 14 9 19" xfId="10015" xr:uid="{BBDECB6E-1933-4B72-9072-9A1F4CDEF1D0}"/>
    <cellStyle name="Normal 14 9 2" xfId="10016" xr:uid="{02D436D6-88C1-4124-8B1E-A5961B8F06F2}"/>
    <cellStyle name="Normal 14 9 20" xfId="10017" xr:uid="{1C4DD828-C9F8-481C-8555-15F78EB5CACA}"/>
    <cellStyle name="Normal 14 9 21" xfId="10018" xr:uid="{BC51BC7A-1ECF-4E65-A9B1-CB8B6BB9AA46}"/>
    <cellStyle name="Normal 14 9 22" xfId="10019" xr:uid="{1E1A8010-0C42-409C-9557-CFAA876ACAC4}"/>
    <cellStyle name="Normal 14 9 23" xfId="10020" xr:uid="{B6A22393-9D8D-4905-BB3B-714461011902}"/>
    <cellStyle name="Normal 14 9 24" xfId="10021" xr:uid="{966B6596-9A27-4BB6-A48A-D42784CFEDA3}"/>
    <cellStyle name="Normal 14 9 25" xfId="10022" xr:uid="{71353C3E-09F9-4174-84F6-81D517A96B27}"/>
    <cellStyle name="Normal 14 9 26" xfId="10023" xr:uid="{33606DE2-73FA-40D5-92E5-D2EEFEE9ED97}"/>
    <cellStyle name="Normal 14 9 27" xfId="10024" xr:uid="{05FBEC97-2553-4B85-8061-E7819871B9EC}"/>
    <cellStyle name="Normal 14 9 28" xfId="10025" xr:uid="{55FD4D04-706E-4CF5-82FA-4FF118550F93}"/>
    <cellStyle name="Normal 14 9 29" xfId="10026" xr:uid="{6E567461-B529-4A88-89F7-A0C355A78A0B}"/>
    <cellStyle name="Normal 14 9 3" xfId="10027" xr:uid="{D9739C42-1F02-46B6-8A36-6574D2F660A6}"/>
    <cellStyle name="Normal 14 9 30" xfId="10028" xr:uid="{3B13D088-EBA0-4D20-ADB4-4BD113E7C922}"/>
    <cellStyle name="Normal 14 9 31" xfId="10029" xr:uid="{C6CEF26B-366A-4BD7-8057-F63B6BF5AFE2}"/>
    <cellStyle name="Normal 14 9 32" xfId="10030" xr:uid="{5A3A7EBA-5855-4B2F-8637-98F2C1B326A8}"/>
    <cellStyle name="Normal 14 9 33" xfId="10031" xr:uid="{D9CB0BED-1D37-4936-A0E7-B712061A505D}"/>
    <cellStyle name="Normal 14 9 34" xfId="10032" xr:uid="{D1EA5B30-0219-43AD-BAF5-70A74F98518F}"/>
    <cellStyle name="Normal 14 9 35" xfId="10033" xr:uid="{4F0C3AB6-DA38-40C9-925E-414DFF020860}"/>
    <cellStyle name="Normal 14 9 36" xfId="10034" xr:uid="{83456A72-35D0-429F-A7A7-A3AE79633C7A}"/>
    <cellStyle name="Normal 14 9 37" xfId="10035" xr:uid="{278E9B7C-8998-4739-AFFB-94D1C775D206}"/>
    <cellStyle name="Normal 14 9 38" xfId="10036" xr:uid="{6D7812F0-EF32-4319-895C-FD0971B02884}"/>
    <cellStyle name="Normal 14 9 39" xfId="10037" xr:uid="{7D2C8AC5-CBB0-4FA3-A233-9BCC354C5670}"/>
    <cellStyle name="Normal 14 9 4" xfId="10038" xr:uid="{EC3A8C8D-4A2B-4227-89E2-160B2D580FCF}"/>
    <cellStyle name="Normal 14 9 40" xfId="10039" xr:uid="{6EBB2354-6B6D-4082-B450-93D03C5D74B1}"/>
    <cellStyle name="Normal 14 9 41" xfId="10040" xr:uid="{C54AD689-A2A3-49D6-B758-F2BB1756DBC6}"/>
    <cellStyle name="Normal 14 9 42" xfId="10041" xr:uid="{63FC4AE5-E976-400D-BF91-777EE334CF6B}"/>
    <cellStyle name="Normal 14 9 43" xfId="10042" xr:uid="{2718D3EC-A17D-41B4-AE61-8F7A7D6720F7}"/>
    <cellStyle name="Normal 14 9 44" xfId="10043" xr:uid="{129FCFF3-E88B-4D4D-8FA3-B41AB135238C}"/>
    <cellStyle name="Normal 14 9 45" xfId="10044" xr:uid="{07B34226-42D9-46BE-9FDC-4F22AE4551C4}"/>
    <cellStyle name="Normal 14 9 5" xfId="10045" xr:uid="{C69276C5-14B9-4181-92F6-430545E1E564}"/>
    <cellStyle name="Normal 14 9 6" xfId="10046" xr:uid="{48A28CA9-9C3C-4A01-AC15-E99BE9852228}"/>
    <cellStyle name="Normal 14 9 7" xfId="10047" xr:uid="{4DABE021-74B5-461B-80BD-3132A2EDCA67}"/>
    <cellStyle name="Normal 14 9 8" xfId="10048" xr:uid="{AEFB9D11-92D6-45F2-AE27-D7D576D33B91}"/>
    <cellStyle name="Normal 14 9 9" xfId="10049" xr:uid="{650D50D1-7CDD-45CF-A85C-B5E9AE8E43FD}"/>
    <cellStyle name="Normal 140" xfId="42509" xr:uid="{1A500B89-3258-4811-8627-678FFD4E21E4}"/>
    <cellStyle name="Normal 141" xfId="42510" xr:uid="{F9437C31-604D-4C46-9828-D9A8BB75A7B2}"/>
    <cellStyle name="Normal 142" xfId="42511" xr:uid="{544C3377-4752-4826-B744-90585B69E84A}"/>
    <cellStyle name="Normal 143" xfId="42512" xr:uid="{267A8536-3F7B-4FEC-B455-DBDA8D5CE1BF}"/>
    <cellStyle name="Normal 144" xfId="42513" xr:uid="{18C0F7C8-F81A-4E2E-AA0F-C871FDEE8DDD}"/>
    <cellStyle name="Normal 145" xfId="42514" xr:uid="{07A1B97B-FFBF-40F1-A04D-C7C0210080AE}"/>
    <cellStyle name="Normal 146" xfId="42515" xr:uid="{FC22F040-66A6-4C02-9FFF-2A2E994E6FEB}"/>
    <cellStyle name="Normal 147" xfId="1684" xr:uid="{D94C4F38-BE2E-4C54-95D8-886F34E45C8B}"/>
    <cellStyle name="Normal 148" xfId="42516" xr:uid="{369B3AE4-F4EF-49E3-824F-D7B592AB066E}"/>
    <cellStyle name="Normal 149" xfId="42517" xr:uid="{B47D7CE8-C7CA-42E8-BA4A-F0FB8452AB1A}"/>
    <cellStyle name="Normal 15" xfId="1070" xr:uid="{EE37EB99-262F-4FA0-B6C4-793CFD6638F0}"/>
    <cellStyle name="Normal 15 10" xfId="10050" xr:uid="{46766B27-3397-413F-BD2D-B1B29F21614A}"/>
    <cellStyle name="Normal 15 10 10" xfId="10051" xr:uid="{E07A2F5F-DCA8-4059-90AD-FB4EAE232CF6}"/>
    <cellStyle name="Normal 15 10 11" xfId="10052" xr:uid="{7FFFB42B-243C-438A-ACC5-F3A2D3DBF371}"/>
    <cellStyle name="Normal 15 10 12" xfId="10053" xr:uid="{9905B1BB-D933-461E-88DE-1CF3788C2536}"/>
    <cellStyle name="Normal 15 10 13" xfId="10054" xr:uid="{47FF0739-9032-405E-A85F-6D52CE5368A1}"/>
    <cellStyle name="Normal 15 10 14" xfId="10055" xr:uid="{795FFE06-8726-4013-B336-F8D140C28DBE}"/>
    <cellStyle name="Normal 15 10 15" xfId="10056" xr:uid="{58D8FCF8-9777-4AAB-8743-02192C9C279B}"/>
    <cellStyle name="Normal 15 10 16" xfId="10057" xr:uid="{CC8BA64E-C330-4225-BD4B-57470ECBFFA4}"/>
    <cellStyle name="Normal 15 10 17" xfId="10058" xr:uid="{2B3E1A5B-2502-4B25-B1DD-A57665BFFB46}"/>
    <cellStyle name="Normal 15 10 18" xfId="10059" xr:uid="{884BD5BC-3CB8-4973-B911-D1C949BBD830}"/>
    <cellStyle name="Normal 15 10 19" xfId="10060" xr:uid="{1F9E5595-4575-4499-A318-522D39BBC17D}"/>
    <cellStyle name="Normal 15 10 2" xfId="10061" xr:uid="{7E0C07DA-B900-4C3F-A6E2-0A1F7F0E3BBF}"/>
    <cellStyle name="Normal 15 10 20" xfId="10062" xr:uid="{FB28E84C-2644-4BFB-859D-C617AC407A51}"/>
    <cellStyle name="Normal 15 10 21" xfId="10063" xr:uid="{F8838889-9EFD-49EC-98D3-989FDB3AA7E6}"/>
    <cellStyle name="Normal 15 10 22" xfId="10064" xr:uid="{4CB4D64C-899A-40F5-A82A-0D14A97D4EC0}"/>
    <cellStyle name="Normal 15 10 23" xfId="10065" xr:uid="{62A2B19E-FBD7-42B8-B0F4-136603043834}"/>
    <cellStyle name="Normal 15 10 24" xfId="10066" xr:uid="{CA1C07EB-D64E-478A-AB73-35B893C05B93}"/>
    <cellStyle name="Normal 15 10 25" xfId="10067" xr:uid="{68F053B3-9218-4699-81B5-0196C0D6E4A1}"/>
    <cellStyle name="Normal 15 10 26" xfId="10068" xr:uid="{BBCF088C-DDD7-4B16-992D-62A7A5C1F448}"/>
    <cellStyle name="Normal 15 10 27" xfId="10069" xr:uid="{7D108131-65E2-4D71-B0CE-68EECE235EE2}"/>
    <cellStyle name="Normal 15 10 28" xfId="10070" xr:uid="{2FFB43F5-1331-4C3C-B178-FAE10E30A1A2}"/>
    <cellStyle name="Normal 15 10 29" xfId="10071" xr:uid="{7B90D966-8C21-4C03-AF70-C4AC36239C53}"/>
    <cellStyle name="Normal 15 10 3" xfId="10072" xr:uid="{01C18368-0ABC-4DB1-A75A-CFB768FA8EF1}"/>
    <cellStyle name="Normal 15 10 30" xfId="10073" xr:uid="{606685E4-BD20-43BF-BF92-27A4B05E5B34}"/>
    <cellStyle name="Normal 15 10 31" xfId="10074" xr:uid="{33011634-3E7D-4289-9C9A-3BD68B3CF1FF}"/>
    <cellStyle name="Normal 15 10 32" xfId="10075" xr:uid="{CFF0703C-369A-41B7-ACC1-7EAB8343229F}"/>
    <cellStyle name="Normal 15 10 33" xfId="10076" xr:uid="{5F149048-D752-4326-8F9E-31E0A961E7B1}"/>
    <cellStyle name="Normal 15 10 34" xfId="10077" xr:uid="{72FAEC68-60AD-46CE-A6A4-3D27F21D569D}"/>
    <cellStyle name="Normal 15 10 35" xfId="10078" xr:uid="{17293D2F-D491-4D3E-B3A0-EAC951306567}"/>
    <cellStyle name="Normal 15 10 36" xfId="10079" xr:uid="{7BB33F07-4493-4A29-9B6E-4E1F2F7899B9}"/>
    <cellStyle name="Normal 15 10 37" xfId="10080" xr:uid="{A61B6511-A656-4D01-A419-90EA390AB9B4}"/>
    <cellStyle name="Normal 15 10 4" xfId="10081" xr:uid="{430FE446-6B4D-478A-85EA-17E0BFBF87BF}"/>
    <cellStyle name="Normal 15 10 5" xfId="10082" xr:uid="{144C77BB-9109-4C43-BE68-6A2DB8B21BDA}"/>
    <cellStyle name="Normal 15 10 6" xfId="10083" xr:uid="{97E02511-1722-48FE-866C-268F48B0CEB1}"/>
    <cellStyle name="Normal 15 10 7" xfId="10084" xr:uid="{4838C8D1-132B-49B9-A2D0-D4366B66F206}"/>
    <cellStyle name="Normal 15 10 8" xfId="10085" xr:uid="{D94BF0D4-2D8B-46D3-9F40-AC0D8A6DB957}"/>
    <cellStyle name="Normal 15 10 9" xfId="10086" xr:uid="{DD34CC5F-C869-400C-88A0-F14451598EF8}"/>
    <cellStyle name="Normal 15 11" xfId="10087" xr:uid="{FA9748B1-5057-47FE-B897-820C8C9806E6}"/>
    <cellStyle name="Normal 15 11 10" xfId="10088" xr:uid="{94E43FD5-F6A4-4AA8-B9C0-1A18BA08F3B2}"/>
    <cellStyle name="Normal 15 11 11" xfId="10089" xr:uid="{58FB8DD6-0C4C-47B8-B5DC-E60DE6ADA41B}"/>
    <cellStyle name="Normal 15 11 12" xfId="10090" xr:uid="{D6DDA18C-7F31-4344-A802-D5AE40F07F0B}"/>
    <cellStyle name="Normal 15 11 13" xfId="10091" xr:uid="{B2177EC5-0222-4B23-85C5-70B8A3308E55}"/>
    <cellStyle name="Normal 15 11 14" xfId="10092" xr:uid="{6A5DED67-67B1-43F1-8C3B-B03BD58E4CA6}"/>
    <cellStyle name="Normal 15 11 15" xfId="10093" xr:uid="{9975E154-1728-47B9-8CD8-8EFDAFCCB3CB}"/>
    <cellStyle name="Normal 15 11 16" xfId="10094" xr:uid="{C61BAEA6-C500-49D1-BD58-8ECDA92F3FD5}"/>
    <cellStyle name="Normal 15 11 17" xfId="10095" xr:uid="{1BDB205E-0196-4136-AF28-184627FAC5E1}"/>
    <cellStyle name="Normal 15 11 18" xfId="10096" xr:uid="{3343698B-CCCD-4BAE-8359-B2C122A16B3E}"/>
    <cellStyle name="Normal 15 11 19" xfId="10097" xr:uid="{CCEE32A5-4523-489E-9287-59438A07534A}"/>
    <cellStyle name="Normal 15 11 2" xfId="10098" xr:uid="{CE41CCD7-5867-4CFD-958A-CFDC7A64EF41}"/>
    <cellStyle name="Normal 15 11 20" xfId="10099" xr:uid="{6C0500A2-0C31-417C-AC95-6D2A7F745993}"/>
    <cellStyle name="Normal 15 11 21" xfId="10100" xr:uid="{98A0AA19-0942-476A-8A40-7465AEA47EAA}"/>
    <cellStyle name="Normal 15 11 22" xfId="10101" xr:uid="{65EA9ECC-E82F-40B7-9A03-1C1C9132FF13}"/>
    <cellStyle name="Normal 15 11 23" xfId="10102" xr:uid="{92834A0B-63CD-4555-B6BE-9A47486181EF}"/>
    <cellStyle name="Normal 15 11 24" xfId="10103" xr:uid="{17724016-1CD2-489A-9C61-21B167400EF0}"/>
    <cellStyle name="Normal 15 11 25" xfId="10104" xr:uid="{92D99871-7B07-48EE-A4F9-C77DE8EEE36C}"/>
    <cellStyle name="Normal 15 11 26" xfId="10105" xr:uid="{0B92033E-7FE8-4BB2-AF37-6DBF94BB3CBA}"/>
    <cellStyle name="Normal 15 11 27" xfId="10106" xr:uid="{D6E72A07-31CF-4BA1-8FE8-36773F330264}"/>
    <cellStyle name="Normal 15 11 28" xfId="10107" xr:uid="{61A61323-3DEF-4E29-ABA4-B952FE0D3F26}"/>
    <cellStyle name="Normal 15 11 29" xfId="10108" xr:uid="{AA660B6F-1090-46FC-8F17-85AFF83D1F50}"/>
    <cellStyle name="Normal 15 11 3" xfId="10109" xr:uid="{E293D2C6-534F-4E3F-8616-916B263F1EB9}"/>
    <cellStyle name="Normal 15 11 30" xfId="10110" xr:uid="{FB578DFA-45BF-46B3-BA11-6594708E90B6}"/>
    <cellStyle name="Normal 15 11 31" xfId="10111" xr:uid="{143251D7-75EB-453C-8686-6C1C84E014AC}"/>
    <cellStyle name="Normal 15 11 32" xfId="10112" xr:uid="{6E7758FD-3930-44C9-BE8E-BB461F81C930}"/>
    <cellStyle name="Normal 15 11 33" xfId="10113" xr:uid="{0E40962A-2613-43F8-BCE2-2F447D36728B}"/>
    <cellStyle name="Normal 15 11 34" xfId="10114" xr:uid="{26BF9B10-076D-437B-8D7B-171E6FC06DB6}"/>
    <cellStyle name="Normal 15 11 35" xfId="10115" xr:uid="{7E80551E-838E-408F-8B43-6384D1CCBE42}"/>
    <cellStyle name="Normal 15 11 36" xfId="10116" xr:uid="{DBF7CB53-69C0-4FF6-8483-F9DDE23D0208}"/>
    <cellStyle name="Normal 15 11 37" xfId="10117" xr:uid="{A6EB6EFC-A100-49CA-B4DB-124AD7DD1447}"/>
    <cellStyle name="Normal 15 11 4" xfId="10118" xr:uid="{6AB230C8-7645-4CA8-85FB-4F86F4E26B1A}"/>
    <cellStyle name="Normal 15 11 5" xfId="10119" xr:uid="{698AAFDA-BB2A-4A36-A4DD-6C4D93DE0185}"/>
    <cellStyle name="Normal 15 11 6" xfId="10120" xr:uid="{0F0F6062-80C4-44D0-9EC8-B5CE3673D884}"/>
    <cellStyle name="Normal 15 11 7" xfId="10121" xr:uid="{D79A8D70-B6EB-4A55-A8C7-38F90A8B0BAD}"/>
    <cellStyle name="Normal 15 11 8" xfId="10122" xr:uid="{1AA57868-69E5-4C96-A804-0CF77A872647}"/>
    <cellStyle name="Normal 15 11 9" xfId="10123" xr:uid="{E032C82E-ADDC-4912-A557-4D09181B44D9}"/>
    <cellStyle name="Normal 15 12" xfId="10124" xr:uid="{C25FC416-27EE-4C37-B595-8FB47F483A86}"/>
    <cellStyle name="Normal 15 12 10" xfId="10125" xr:uid="{E0063F29-0AD3-4C06-8BA6-916029292ED4}"/>
    <cellStyle name="Normal 15 12 11" xfId="10126" xr:uid="{5816A3DB-6F57-46B3-8F9B-CF3FD43F7BEF}"/>
    <cellStyle name="Normal 15 12 12" xfId="10127" xr:uid="{E472B618-8326-47BE-AD71-83BAD20B147C}"/>
    <cellStyle name="Normal 15 12 13" xfId="10128" xr:uid="{BFE02D85-1E4B-4A7F-B786-B90B8F03B92F}"/>
    <cellStyle name="Normal 15 12 14" xfId="10129" xr:uid="{37D1584A-D150-473D-8818-0D1901A5B0D3}"/>
    <cellStyle name="Normal 15 12 15" xfId="10130" xr:uid="{F3E0CEEB-4DB6-4906-BC67-9DB0FE3DB914}"/>
    <cellStyle name="Normal 15 12 16" xfId="10131" xr:uid="{A946CD85-1702-42D9-8758-F2DB8DFB55D5}"/>
    <cellStyle name="Normal 15 12 17" xfId="10132" xr:uid="{108D9585-449C-4ED5-A71E-9ACB2175E212}"/>
    <cellStyle name="Normal 15 12 18" xfId="10133" xr:uid="{59349839-22C4-49A0-B81D-1F8E4668FAD9}"/>
    <cellStyle name="Normal 15 12 19" xfId="10134" xr:uid="{4A0F696A-A480-452B-82A4-155214FDBD52}"/>
    <cellStyle name="Normal 15 12 2" xfId="10135" xr:uid="{DEFA2AED-120E-4319-B857-18FE176C28C2}"/>
    <cellStyle name="Normal 15 12 20" xfId="10136" xr:uid="{C619C013-C952-4B57-843B-0A2B6F701E9D}"/>
    <cellStyle name="Normal 15 12 21" xfId="10137" xr:uid="{A89DAC31-AE2A-4080-9E40-E103C5414A2D}"/>
    <cellStyle name="Normal 15 12 22" xfId="10138" xr:uid="{014B55E6-E2CE-4474-85C3-7784F0A13C3C}"/>
    <cellStyle name="Normal 15 12 23" xfId="10139" xr:uid="{163C3840-FC0A-44F5-AB1B-9EB8FD1464DE}"/>
    <cellStyle name="Normal 15 12 24" xfId="10140" xr:uid="{6CD78413-0644-4AA5-8D6C-307FC626742E}"/>
    <cellStyle name="Normal 15 12 25" xfId="10141" xr:uid="{13A46104-CAA1-4128-8290-3296B8322037}"/>
    <cellStyle name="Normal 15 12 26" xfId="10142" xr:uid="{D16B941F-BDAB-4709-9EB9-CD07FB37FAE6}"/>
    <cellStyle name="Normal 15 12 27" xfId="10143" xr:uid="{88544EFD-8EC3-4C99-B7E9-0A692F0A45E3}"/>
    <cellStyle name="Normal 15 12 28" xfId="10144" xr:uid="{2C0F007C-27BE-4D33-B5B0-6735E184FE45}"/>
    <cellStyle name="Normal 15 12 29" xfId="10145" xr:uid="{0D3C7C93-28D3-4D66-B005-D2DB124B814D}"/>
    <cellStyle name="Normal 15 12 3" xfId="10146" xr:uid="{491F9DCF-DB06-47F8-84CD-D2A0B5F375B1}"/>
    <cellStyle name="Normal 15 12 30" xfId="10147" xr:uid="{80E186FA-DF7A-4C90-9327-572B5A3DE048}"/>
    <cellStyle name="Normal 15 12 31" xfId="10148" xr:uid="{124A16AD-1A59-43EA-84F3-72002DE7A1FE}"/>
    <cellStyle name="Normal 15 12 32" xfId="10149" xr:uid="{78BB1E11-47F3-4763-B68E-644BD678CBDA}"/>
    <cellStyle name="Normal 15 12 33" xfId="10150" xr:uid="{82F2B630-B21B-4476-A826-A8C7A35AC521}"/>
    <cellStyle name="Normal 15 12 34" xfId="10151" xr:uid="{0EF17CDB-A70C-4388-8467-3E40E14F3F58}"/>
    <cellStyle name="Normal 15 12 35" xfId="10152" xr:uid="{D83B3FF4-C019-413B-92FA-490A169EA688}"/>
    <cellStyle name="Normal 15 12 36" xfId="10153" xr:uid="{A472E5FE-3B30-4B1F-87EC-B66F95FEA761}"/>
    <cellStyle name="Normal 15 12 37" xfId="10154" xr:uid="{BAF32F4C-26CE-4253-AB3B-B527775077AF}"/>
    <cellStyle name="Normal 15 12 4" xfId="10155" xr:uid="{2F4393EB-F08C-4876-8A7E-9333CC11FD1B}"/>
    <cellStyle name="Normal 15 12 5" xfId="10156" xr:uid="{96827AAA-A97A-49FB-8F88-E7128FFD5501}"/>
    <cellStyle name="Normal 15 12 6" xfId="10157" xr:uid="{BBCE3E42-1B2E-4943-B1EE-61D9015187DA}"/>
    <cellStyle name="Normal 15 12 7" xfId="10158" xr:uid="{8A4322EC-4577-45DB-8AD1-2E735345AF3B}"/>
    <cellStyle name="Normal 15 12 8" xfId="10159" xr:uid="{1662F921-61EB-42E3-A038-5E64BFEFB118}"/>
    <cellStyle name="Normal 15 12 9" xfId="10160" xr:uid="{F72F3A2C-4595-4AC6-A390-FC5390E36797}"/>
    <cellStyle name="Normal 15 13" xfId="10161" xr:uid="{1B167435-52E4-4159-A7D4-2C79154FF2D8}"/>
    <cellStyle name="Normal 15 13 10" xfId="10162" xr:uid="{6837BED4-CB61-4F80-BA69-90E7FC77D493}"/>
    <cellStyle name="Normal 15 13 11" xfId="10163" xr:uid="{3989B8C0-1666-406F-889D-FE7CB5D95442}"/>
    <cellStyle name="Normal 15 13 12" xfId="10164" xr:uid="{C58F98F7-28B4-4A0A-A310-8978AC677AEB}"/>
    <cellStyle name="Normal 15 13 13" xfId="10165" xr:uid="{9BA9F4F0-0B7A-400A-8366-5CEA79262CA1}"/>
    <cellStyle name="Normal 15 13 14" xfId="10166" xr:uid="{FF155BA8-678D-4DA3-8A7B-2486421DCBF0}"/>
    <cellStyle name="Normal 15 13 15" xfId="10167" xr:uid="{491DC7E1-0178-49C7-AE6B-F3409D7DB2BB}"/>
    <cellStyle name="Normal 15 13 16" xfId="10168" xr:uid="{60FDA541-56CD-4A58-94A8-D289BB318428}"/>
    <cellStyle name="Normal 15 13 17" xfId="10169" xr:uid="{C621610E-75B2-47B1-AB4B-2CD404EF011D}"/>
    <cellStyle name="Normal 15 13 18" xfId="10170" xr:uid="{53FE96DE-CF7A-4973-BA2F-A6DD078A0119}"/>
    <cellStyle name="Normal 15 13 19" xfId="10171" xr:uid="{74C2016C-153F-4DAE-9DA5-948BFE06B079}"/>
    <cellStyle name="Normal 15 13 2" xfId="10172" xr:uid="{A184B9DA-A926-44C1-B518-E7D3ADC792B8}"/>
    <cellStyle name="Normal 15 13 20" xfId="10173" xr:uid="{F45C2754-397C-436D-9222-A296491379A2}"/>
    <cellStyle name="Normal 15 13 21" xfId="10174" xr:uid="{E13BB571-5883-48C3-A464-626C79ACD3CC}"/>
    <cellStyle name="Normal 15 13 22" xfId="10175" xr:uid="{1AF40A2C-C1E6-470B-A779-BFFA41BDA129}"/>
    <cellStyle name="Normal 15 13 23" xfId="10176" xr:uid="{F96F6E59-FFFC-4B9F-98F6-605E82DFB4AC}"/>
    <cellStyle name="Normal 15 13 24" xfId="10177" xr:uid="{565DDDBB-AA88-45EC-8C77-2B728702043F}"/>
    <cellStyle name="Normal 15 13 25" xfId="10178" xr:uid="{A84A7D0A-6F59-426F-896D-7EEA027398AA}"/>
    <cellStyle name="Normal 15 13 26" xfId="10179" xr:uid="{72E69ACE-A305-4A0A-AAF1-6B4185F9BB10}"/>
    <cellStyle name="Normal 15 13 27" xfId="10180" xr:uid="{A288AC3C-9AFA-4DAD-BFAA-2189D1079AEF}"/>
    <cellStyle name="Normal 15 13 28" xfId="10181" xr:uid="{18E2463F-2F42-49C2-B878-36F5B45D7A8C}"/>
    <cellStyle name="Normal 15 13 29" xfId="10182" xr:uid="{8FF5AC2B-2F1A-4E29-8C42-D2BD5BF56622}"/>
    <cellStyle name="Normal 15 13 3" xfId="10183" xr:uid="{ECE09D5F-5B51-4342-92DA-63EB5F41ABE9}"/>
    <cellStyle name="Normal 15 13 30" xfId="10184" xr:uid="{4FCB4587-B519-4021-8F4D-A1C560FFDE27}"/>
    <cellStyle name="Normal 15 13 31" xfId="10185" xr:uid="{2C965362-70FD-4FC4-B0BD-1E2EEA16D2CC}"/>
    <cellStyle name="Normal 15 13 32" xfId="10186" xr:uid="{46294CEE-DCD8-4593-9011-00485FF6FD5D}"/>
    <cellStyle name="Normal 15 13 33" xfId="10187" xr:uid="{C6825C53-B879-472D-8DCC-2EFC7DCD1B9F}"/>
    <cellStyle name="Normal 15 13 34" xfId="10188" xr:uid="{2878F798-4A11-44CA-80BC-05B20D6ACFFD}"/>
    <cellStyle name="Normal 15 13 35" xfId="10189" xr:uid="{6042BDEF-38F7-4D54-90C4-3182FB8AC4CB}"/>
    <cellStyle name="Normal 15 13 36" xfId="10190" xr:uid="{8C8D6C30-9572-44CD-8D63-7BE0B14E4C4F}"/>
    <cellStyle name="Normal 15 13 37" xfId="10191" xr:uid="{4A85FA11-1BF1-4FF1-B83E-BCC17E9485D8}"/>
    <cellStyle name="Normal 15 13 4" xfId="10192" xr:uid="{7768DFD6-59FD-413F-9911-0F8ACED4669A}"/>
    <cellStyle name="Normal 15 13 5" xfId="10193" xr:uid="{23390EA6-48EB-41F6-85EE-A09EB2B3FCFE}"/>
    <cellStyle name="Normal 15 13 6" xfId="10194" xr:uid="{FAC78E43-D486-42FB-B632-A700D7B28847}"/>
    <cellStyle name="Normal 15 13 7" xfId="10195" xr:uid="{C02802A7-093F-498E-A246-F1477453F7D5}"/>
    <cellStyle name="Normal 15 13 8" xfId="10196" xr:uid="{88FFBB8F-55CD-467C-B92D-BE77AA9882B9}"/>
    <cellStyle name="Normal 15 13 9" xfId="10197" xr:uid="{FFB176B5-C0FB-4817-8CE8-3C94AEC25816}"/>
    <cellStyle name="Normal 15 14" xfId="10198" xr:uid="{B8C1EDAF-F719-439B-B978-2D6BC14F8595}"/>
    <cellStyle name="Normal 15 14 10" xfId="10199" xr:uid="{07ACEE0C-AC7B-4EBA-8F84-2FC13328504D}"/>
    <cellStyle name="Normal 15 14 11" xfId="10200" xr:uid="{A65A773F-12CF-4F25-A341-8997EECBC483}"/>
    <cellStyle name="Normal 15 14 12" xfId="10201" xr:uid="{AD86FD15-0C92-4526-9B65-A22184E20A09}"/>
    <cellStyle name="Normal 15 14 13" xfId="10202" xr:uid="{741FD480-2673-459D-9E41-9D342F11306A}"/>
    <cellStyle name="Normal 15 14 14" xfId="10203" xr:uid="{39B56ADE-194C-4A1C-85B4-175346E898D7}"/>
    <cellStyle name="Normal 15 14 15" xfId="10204" xr:uid="{586547EF-615A-47BC-9979-0A0513DC9F42}"/>
    <cellStyle name="Normal 15 14 16" xfId="10205" xr:uid="{6172DFB6-1068-4660-8041-F41A8C94CA13}"/>
    <cellStyle name="Normal 15 14 17" xfId="10206" xr:uid="{124145C5-C14E-4FB2-A35B-A0433BE35320}"/>
    <cellStyle name="Normal 15 14 18" xfId="10207" xr:uid="{4D6F1AD4-6B65-4E93-9017-701A4CCB64C6}"/>
    <cellStyle name="Normal 15 14 19" xfId="10208" xr:uid="{7B921209-3344-4E51-BAEF-6EBB5C387ACD}"/>
    <cellStyle name="Normal 15 14 2" xfId="10209" xr:uid="{13A8C7EB-F4E9-494F-AC44-EA4A1EAAF44D}"/>
    <cellStyle name="Normal 15 14 20" xfId="10210" xr:uid="{2381403E-3071-463D-97BD-48E4A95C28D8}"/>
    <cellStyle name="Normal 15 14 21" xfId="10211" xr:uid="{0AD8039B-BD68-4685-A019-AEA8B3BBC1BC}"/>
    <cellStyle name="Normal 15 14 22" xfId="10212" xr:uid="{CCA8B7D2-5901-4896-9E7C-0DD53EE39CB1}"/>
    <cellStyle name="Normal 15 14 23" xfId="10213" xr:uid="{01498EE7-057B-480E-820D-D77698D12E08}"/>
    <cellStyle name="Normal 15 14 24" xfId="10214" xr:uid="{A73BC553-FDFA-43D4-837A-E28079B967A1}"/>
    <cellStyle name="Normal 15 14 25" xfId="10215" xr:uid="{984A2FD3-E118-4145-A46D-907CAA5FD123}"/>
    <cellStyle name="Normal 15 14 26" xfId="10216" xr:uid="{34056387-8D1A-4274-B45E-A0108B008D28}"/>
    <cellStyle name="Normal 15 14 27" xfId="10217" xr:uid="{9038E04E-8C1E-41EA-9F87-F733FF50962B}"/>
    <cellStyle name="Normal 15 14 28" xfId="10218" xr:uid="{5E057A4A-7075-401F-BE37-BFB1444CEFAE}"/>
    <cellStyle name="Normal 15 14 29" xfId="10219" xr:uid="{F7B01B71-2D56-4555-85EC-FB7A550C96C3}"/>
    <cellStyle name="Normal 15 14 3" xfId="10220" xr:uid="{87A2983E-35EB-4947-9F73-A37858347A69}"/>
    <cellStyle name="Normal 15 14 30" xfId="10221" xr:uid="{17CA26FC-0E42-40F7-8ECA-65F91113FBA6}"/>
    <cellStyle name="Normal 15 14 31" xfId="10222" xr:uid="{70E76605-CFE1-472F-BF87-83D72D5D0C7D}"/>
    <cellStyle name="Normal 15 14 32" xfId="10223" xr:uid="{07570570-71AB-44D1-88F7-80BA1BC43568}"/>
    <cellStyle name="Normal 15 14 33" xfId="10224" xr:uid="{70950101-8A55-4A9E-9729-4A17B5518D67}"/>
    <cellStyle name="Normal 15 14 34" xfId="10225" xr:uid="{6EB36A61-B4EC-4052-9CCA-41FBB78822BA}"/>
    <cellStyle name="Normal 15 14 35" xfId="10226" xr:uid="{A29E9E43-5905-4D40-A624-3F6ECCD2BF92}"/>
    <cellStyle name="Normal 15 14 36" xfId="10227" xr:uid="{B84B1AE9-D701-4D28-8217-E746E02269BB}"/>
    <cellStyle name="Normal 15 14 37" xfId="10228" xr:uid="{B84930FF-C24C-4214-A322-C1FF7365F826}"/>
    <cellStyle name="Normal 15 14 4" xfId="10229" xr:uid="{746647BA-8252-4767-9DC9-F8B14C414429}"/>
    <cellStyle name="Normal 15 14 5" xfId="10230" xr:uid="{6DB15695-D483-4BFB-B06A-54F7D00334B3}"/>
    <cellStyle name="Normal 15 14 6" xfId="10231" xr:uid="{5F40A96C-4344-453B-9AA1-8D4065A2C7CA}"/>
    <cellStyle name="Normal 15 14 7" xfId="10232" xr:uid="{2FFC0AC1-1A21-4AE3-B47A-74085F6D83AA}"/>
    <cellStyle name="Normal 15 14 8" xfId="10233" xr:uid="{7B571E3D-EEB5-4248-8BF2-1CBB2A9C26CA}"/>
    <cellStyle name="Normal 15 14 9" xfId="10234" xr:uid="{C6B954DB-BB32-49CD-9FA1-B5A6DD6DCFFE}"/>
    <cellStyle name="Normal 15 15" xfId="10235" xr:uid="{4B611AC7-D7E2-4A87-B08A-C50640CF2229}"/>
    <cellStyle name="Normal 15 15 10" xfId="10236" xr:uid="{17CDD718-C0AA-4EC0-9F6E-E5ADAB30C1EF}"/>
    <cellStyle name="Normal 15 15 11" xfId="10237" xr:uid="{3EA10210-9F11-43D2-AF35-4CAEA1631D74}"/>
    <cellStyle name="Normal 15 15 12" xfId="10238" xr:uid="{55955066-5CBB-4CCA-B6E7-3FDD8817CEC1}"/>
    <cellStyle name="Normal 15 15 13" xfId="10239" xr:uid="{8C1205AE-EDC7-464C-B81E-7A0E29BF56C4}"/>
    <cellStyle name="Normal 15 15 14" xfId="10240" xr:uid="{3D59FEE8-9098-4ED1-A3F1-44209871EEB4}"/>
    <cellStyle name="Normal 15 15 15" xfId="10241" xr:uid="{CCE5D6D9-5EFF-42BD-AF4D-54DDF192BE35}"/>
    <cellStyle name="Normal 15 15 16" xfId="10242" xr:uid="{379783E1-9C37-4782-9B89-3B38CB2D6854}"/>
    <cellStyle name="Normal 15 15 17" xfId="10243" xr:uid="{12B8EDF5-88C0-46C8-8451-4E5356B561B4}"/>
    <cellStyle name="Normal 15 15 18" xfId="10244" xr:uid="{3F60D32E-9B89-4C0A-A4EC-BC790DE663DF}"/>
    <cellStyle name="Normal 15 15 19" xfId="10245" xr:uid="{5E36252F-FF6A-4BCD-8DB8-4761B9163D0D}"/>
    <cellStyle name="Normal 15 15 2" xfId="10246" xr:uid="{161A22F2-50AE-46FB-BDF5-2C9D35B368C0}"/>
    <cellStyle name="Normal 15 15 20" xfId="10247" xr:uid="{D23695E6-26C8-4BDA-B69A-FBCB4D073DC3}"/>
    <cellStyle name="Normal 15 15 21" xfId="10248" xr:uid="{AD4CBD59-7E66-4C07-B669-9D807FF178DA}"/>
    <cellStyle name="Normal 15 15 22" xfId="10249" xr:uid="{AD3C692B-75A4-4A02-A710-077AF3C86B5B}"/>
    <cellStyle name="Normal 15 15 23" xfId="10250" xr:uid="{1C528A40-72B5-4AA3-AB8A-3CE5E0CEFDF2}"/>
    <cellStyle name="Normal 15 15 24" xfId="10251" xr:uid="{36ECA01B-3D74-4D00-95B9-1CCFB7027C69}"/>
    <cellStyle name="Normal 15 15 25" xfId="10252" xr:uid="{F392D110-B30D-49BB-A34C-D684239F86D8}"/>
    <cellStyle name="Normal 15 15 26" xfId="10253" xr:uid="{70C07F19-07FF-4F44-9CB4-8D241553C571}"/>
    <cellStyle name="Normal 15 15 27" xfId="10254" xr:uid="{C245E0B5-846E-42CE-AFDB-15CD28F237E7}"/>
    <cellStyle name="Normal 15 15 28" xfId="10255" xr:uid="{838A7C42-7C97-4CD9-929D-B11329EECD5A}"/>
    <cellStyle name="Normal 15 15 29" xfId="10256" xr:uid="{2478F987-4347-4046-B0C7-4B8F6529D8C7}"/>
    <cellStyle name="Normal 15 15 3" xfId="10257" xr:uid="{E5BF3AD2-5F14-47C5-82B0-1B52D77AEA5E}"/>
    <cellStyle name="Normal 15 15 30" xfId="10258" xr:uid="{FBBBC6E9-D569-46EC-8919-3DA047E90CF4}"/>
    <cellStyle name="Normal 15 15 31" xfId="10259" xr:uid="{9BFAC0DC-E2D6-4DF2-BDE4-F21FE8B0FE88}"/>
    <cellStyle name="Normal 15 15 32" xfId="10260" xr:uid="{5967F077-E405-4F15-97B1-97A74E9DF445}"/>
    <cellStyle name="Normal 15 15 33" xfId="10261" xr:uid="{44D54A6D-C8B1-45E8-8994-6337AE0C21E7}"/>
    <cellStyle name="Normal 15 15 34" xfId="10262" xr:uid="{D19FB5E4-5299-485F-8793-DA6BEE7FB5DE}"/>
    <cellStyle name="Normal 15 15 35" xfId="10263" xr:uid="{9B8A2961-94DE-4CF3-9134-9FFE8F6F4761}"/>
    <cellStyle name="Normal 15 15 36" xfId="10264" xr:uid="{23EB150B-1E66-4DBE-A30B-9476FD14D757}"/>
    <cellStyle name="Normal 15 15 37" xfId="10265" xr:uid="{7B28D7DB-EC8B-49A8-BD43-2C39887B5792}"/>
    <cellStyle name="Normal 15 15 4" xfId="10266" xr:uid="{DC45285F-CEFE-471F-AB72-9CD243405F14}"/>
    <cellStyle name="Normal 15 15 5" xfId="10267" xr:uid="{B79A72F8-6402-4E9E-B3B0-04C4358D48DF}"/>
    <cellStyle name="Normal 15 15 6" xfId="10268" xr:uid="{B9A46FF2-04D0-47F6-8EF4-D2C56C1DA3D1}"/>
    <cellStyle name="Normal 15 15 7" xfId="10269" xr:uid="{CF92301A-848A-40DF-B528-E16E283B3EF8}"/>
    <cellStyle name="Normal 15 15 8" xfId="10270" xr:uid="{1F4B2264-EA9C-4BB2-9749-3812EAC98DC7}"/>
    <cellStyle name="Normal 15 15 9" xfId="10271" xr:uid="{52B90B31-4E49-4CE2-B37F-A9B8B4C0795D}"/>
    <cellStyle name="Normal 15 16" xfId="10272" xr:uid="{F1C04713-DA1E-43D4-B362-5D720A3434D5}"/>
    <cellStyle name="Normal 15 16 10" xfId="10273" xr:uid="{13BA4E61-924E-49F9-9832-D5A87F58A7B3}"/>
    <cellStyle name="Normal 15 16 11" xfId="10274" xr:uid="{1D29259F-0E38-46BE-9C00-B9D0D0615920}"/>
    <cellStyle name="Normal 15 16 12" xfId="10275" xr:uid="{E0144F3B-721B-403F-A9BE-97DDFC57A13A}"/>
    <cellStyle name="Normal 15 16 13" xfId="10276" xr:uid="{82BAF0B0-6386-4857-8E5D-66A28D8B39A4}"/>
    <cellStyle name="Normal 15 16 14" xfId="10277" xr:uid="{CE8F5668-0F17-4736-80FF-12CF0650266F}"/>
    <cellStyle name="Normal 15 16 15" xfId="10278" xr:uid="{C6889C6A-EC36-4A2A-ADBD-0598B2881223}"/>
    <cellStyle name="Normal 15 16 16" xfId="10279" xr:uid="{2383CA44-FAD7-4107-964E-C44AB27DECA0}"/>
    <cellStyle name="Normal 15 16 17" xfId="10280" xr:uid="{BD4B79C5-73EC-4146-B331-7A32418FF770}"/>
    <cellStyle name="Normal 15 16 18" xfId="10281" xr:uid="{4E1D97F2-0B2D-4FB4-8148-4D555664807E}"/>
    <cellStyle name="Normal 15 16 19" xfId="10282" xr:uid="{5E2094F5-27D6-4897-9187-079B47CFC3C9}"/>
    <cellStyle name="Normal 15 16 2" xfId="10283" xr:uid="{BD2BA3BB-403A-4D99-A74E-BB9118C7B225}"/>
    <cellStyle name="Normal 15 16 20" xfId="10284" xr:uid="{F3CED815-BE82-483F-8B27-99020F9E17D7}"/>
    <cellStyle name="Normal 15 16 21" xfId="10285" xr:uid="{0FDCB076-22E9-4A53-AED3-C711D8155D63}"/>
    <cellStyle name="Normal 15 16 22" xfId="10286" xr:uid="{577BE3B0-8DF2-4D08-9376-1E9B64E4DC4A}"/>
    <cellStyle name="Normal 15 16 23" xfId="10287" xr:uid="{B480DA45-53DA-41D9-85B9-9228B5779F2B}"/>
    <cellStyle name="Normal 15 16 24" xfId="10288" xr:uid="{E488780A-EDBF-483C-9F3C-D1AA9E4C22C1}"/>
    <cellStyle name="Normal 15 16 25" xfId="10289" xr:uid="{79121DC4-4BDF-44EB-90C6-FC6EA68F7304}"/>
    <cellStyle name="Normal 15 16 26" xfId="10290" xr:uid="{3FD63343-083E-4B39-AA67-BC3F9B7E6B88}"/>
    <cellStyle name="Normal 15 16 27" xfId="10291" xr:uid="{F7D0C608-A9EF-465E-B648-2D79A2B0E751}"/>
    <cellStyle name="Normal 15 16 28" xfId="10292" xr:uid="{617FEAB2-A5A1-459F-849B-E0246BB929C5}"/>
    <cellStyle name="Normal 15 16 29" xfId="10293" xr:uid="{BA2C3D9E-A401-47C2-B959-6F73DE654870}"/>
    <cellStyle name="Normal 15 16 3" xfId="10294" xr:uid="{0C027DD5-ABE9-4AAA-94ED-0E3BAD87D770}"/>
    <cellStyle name="Normal 15 16 30" xfId="10295" xr:uid="{44CFB0BA-0E5C-4B79-BC76-7D7D84C0B66C}"/>
    <cellStyle name="Normal 15 16 31" xfId="10296" xr:uid="{40850779-A0E8-40EB-A45C-6B808076B081}"/>
    <cellStyle name="Normal 15 16 32" xfId="10297" xr:uid="{53E1AAAA-F2A6-4C68-9785-F8DEF2E7D7BA}"/>
    <cellStyle name="Normal 15 16 33" xfId="10298" xr:uid="{170C5D63-019B-47A1-82CF-D6356C33BA00}"/>
    <cellStyle name="Normal 15 16 34" xfId="10299" xr:uid="{0A3808D7-4CF0-4B23-A7C4-57D1CD1EFF6A}"/>
    <cellStyle name="Normal 15 16 35" xfId="10300" xr:uid="{3408DDA5-64C2-46FB-8B08-9975B2C960FE}"/>
    <cellStyle name="Normal 15 16 36" xfId="10301" xr:uid="{8A719B5A-E609-43E4-A1DD-815B53817901}"/>
    <cellStyle name="Normal 15 16 37" xfId="10302" xr:uid="{51D52413-35F4-409F-B942-A91BC23FFF35}"/>
    <cellStyle name="Normal 15 16 4" xfId="10303" xr:uid="{7352F39A-01BA-4F6C-9DF3-ECBF2FAF9061}"/>
    <cellStyle name="Normal 15 16 5" xfId="10304" xr:uid="{7AD17EF4-83FF-421E-948C-0C26D40FD17D}"/>
    <cellStyle name="Normal 15 16 6" xfId="10305" xr:uid="{BB6989EA-1A8C-4BBD-A7F4-CEE0E96345B2}"/>
    <cellStyle name="Normal 15 16 7" xfId="10306" xr:uid="{3371C8C5-F9DB-42D5-893E-CA50F2F78559}"/>
    <cellStyle name="Normal 15 16 8" xfId="10307" xr:uid="{C7CB7EA0-DDE8-4DBF-9E04-9DCA17860BDE}"/>
    <cellStyle name="Normal 15 16 9" xfId="10308" xr:uid="{539305A0-39F7-4803-91C2-96146AEA525F}"/>
    <cellStyle name="Normal 15 17" xfId="10309" xr:uid="{CB913D91-9F20-4A81-818A-BD609E9E71CA}"/>
    <cellStyle name="Normal 15 17 10" xfId="10310" xr:uid="{694F4C37-BC8B-4F17-A43A-C55FF0A0AA77}"/>
    <cellStyle name="Normal 15 17 11" xfId="10311" xr:uid="{7ABEA028-BB77-4B5F-B4A9-2A13B54B299D}"/>
    <cellStyle name="Normal 15 17 12" xfId="10312" xr:uid="{AB5ECB4D-6257-458A-AF2F-FA8BCDB43680}"/>
    <cellStyle name="Normal 15 17 13" xfId="10313" xr:uid="{920BDF64-AE19-4622-B661-D4D9C223F869}"/>
    <cellStyle name="Normal 15 17 14" xfId="10314" xr:uid="{852FF988-412F-427A-9B5A-C020ABB535A3}"/>
    <cellStyle name="Normal 15 17 15" xfId="10315" xr:uid="{304130DE-46E1-48C7-9214-140A0A37936D}"/>
    <cellStyle name="Normal 15 17 16" xfId="10316" xr:uid="{4D033298-BCFB-4F7E-886F-0B5F7B85595E}"/>
    <cellStyle name="Normal 15 17 17" xfId="10317" xr:uid="{6AEE5BB5-D3E4-4A97-8CB8-3C43AE845003}"/>
    <cellStyle name="Normal 15 17 18" xfId="10318" xr:uid="{E1E73663-BDF8-4E41-9D4E-0B361FCEAB51}"/>
    <cellStyle name="Normal 15 17 19" xfId="10319" xr:uid="{433498D6-972A-4D97-AF04-CA79E2AAD71F}"/>
    <cellStyle name="Normal 15 17 2" xfId="10320" xr:uid="{6F332527-6D72-4FCF-B595-3A52C01DB3FD}"/>
    <cellStyle name="Normal 15 17 20" xfId="10321" xr:uid="{602A76E0-40CA-4408-8F30-883791A7EA96}"/>
    <cellStyle name="Normal 15 17 21" xfId="10322" xr:uid="{54DE1265-C6F1-465F-9438-2179E9FD122E}"/>
    <cellStyle name="Normal 15 17 22" xfId="10323" xr:uid="{AD60B619-6D26-4D9B-9A11-FBA16C80E328}"/>
    <cellStyle name="Normal 15 17 23" xfId="10324" xr:uid="{5E92F168-9586-43A8-BFBB-9C2CAB2DD3D0}"/>
    <cellStyle name="Normal 15 17 24" xfId="10325" xr:uid="{F276D8B6-224D-4631-9639-1A7E347DF0BD}"/>
    <cellStyle name="Normal 15 17 25" xfId="10326" xr:uid="{D631DD02-2F68-4631-B5C8-0195073A1835}"/>
    <cellStyle name="Normal 15 17 26" xfId="10327" xr:uid="{D8A94983-B981-45C2-B763-1A6D6FD92CE7}"/>
    <cellStyle name="Normal 15 17 27" xfId="10328" xr:uid="{48F62188-733A-4621-917E-242F6FCC7A7D}"/>
    <cellStyle name="Normal 15 17 28" xfId="10329" xr:uid="{DF94E218-DCD3-494F-857C-FACD2A03BC33}"/>
    <cellStyle name="Normal 15 17 29" xfId="10330" xr:uid="{900BE9DF-5890-42E7-B8C5-70B111E3DCB8}"/>
    <cellStyle name="Normal 15 17 3" xfId="10331" xr:uid="{551426B2-441C-4DA3-BA5B-EDD7405F47E3}"/>
    <cellStyle name="Normal 15 17 30" xfId="10332" xr:uid="{4D999A46-665E-44BE-912F-976B093B85C2}"/>
    <cellStyle name="Normal 15 17 31" xfId="10333" xr:uid="{DE529A95-FDF3-47BB-BED9-4E44A6D97107}"/>
    <cellStyle name="Normal 15 17 32" xfId="10334" xr:uid="{5DEB639F-F966-411E-A87D-1A8F4CCD1436}"/>
    <cellStyle name="Normal 15 17 33" xfId="10335" xr:uid="{8FD96078-0F6F-425A-8AD8-44F1DC4F89DA}"/>
    <cellStyle name="Normal 15 17 34" xfId="10336" xr:uid="{F1D34A70-976B-473E-BDEA-E4513E8563E0}"/>
    <cellStyle name="Normal 15 17 35" xfId="10337" xr:uid="{1E1CC29F-C02E-4898-AAF3-519F5FF0D666}"/>
    <cellStyle name="Normal 15 17 36" xfId="10338" xr:uid="{E48023A0-4150-48E7-9580-0421771FCF26}"/>
    <cellStyle name="Normal 15 17 37" xfId="10339" xr:uid="{085227EA-B4E0-40C6-AC6F-70B4539BC27F}"/>
    <cellStyle name="Normal 15 17 4" xfId="10340" xr:uid="{2E3CB5BF-0F8D-4642-B921-C7AE27D0B42A}"/>
    <cellStyle name="Normal 15 17 5" xfId="10341" xr:uid="{59C0A992-0431-483F-A7B8-0447894E2778}"/>
    <cellStyle name="Normal 15 17 6" xfId="10342" xr:uid="{6B9674A2-A2E7-44E2-BCEB-A6AA94B37288}"/>
    <cellStyle name="Normal 15 17 7" xfId="10343" xr:uid="{8DF04DB5-711A-491A-8EB1-A732EEBE8E9D}"/>
    <cellStyle name="Normal 15 17 8" xfId="10344" xr:uid="{F01C3DE9-D1E8-4D33-90B5-A52F616C9E0D}"/>
    <cellStyle name="Normal 15 17 9" xfId="10345" xr:uid="{2B0DAA57-A9B4-436B-94E7-54E0211FCEAE}"/>
    <cellStyle name="Normal 15 18" xfId="10346" xr:uid="{686886C7-5CF0-48D2-884C-F33824A18159}"/>
    <cellStyle name="Normal 15 19" xfId="10347" xr:uid="{6745AA8D-DB7D-41D9-B01B-822E88A586E5}"/>
    <cellStyle name="Normal 15 2" xfId="10348" xr:uid="{8C1D3A2D-D36F-4DE0-A9E9-700830A76B1C}"/>
    <cellStyle name="Normal 15 2 10" xfId="10349" xr:uid="{4D361970-EA7E-4FD6-A005-8EE40CB2D4B3}"/>
    <cellStyle name="Normal 15 2 11" xfId="10350" xr:uid="{5E116D84-3BC2-4C6B-937D-64D586D958A9}"/>
    <cellStyle name="Normal 15 2 12" xfId="10351" xr:uid="{42D79AF8-7957-4C79-B6F8-DE585D955116}"/>
    <cellStyle name="Normal 15 2 13" xfId="10352" xr:uid="{58266F29-A534-4E72-AD6D-3A21C612D14F}"/>
    <cellStyle name="Normal 15 2 14" xfId="10353" xr:uid="{B3198C04-B638-4F0C-84CC-98948FD86A7C}"/>
    <cellStyle name="Normal 15 2 15" xfId="10354" xr:uid="{A2C8F380-B0A1-4E48-9E77-2A2FC18CB0BB}"/>
    <cellStyle name="Normal 15 2 16" xfId="10355" xr:uid="{A77D23F3-F151-438A-9560-8266BE402ACF}"/>
    <cellStyle name="Normal 15 2 17" xfId="10356" xr:uid="{8F4E6CC8-E21B-4EF7-AAB3-1494EB77BB46}"/>
    <cellStyle name="Normal 15 2 18" xfId="10357" xr:uid="{17C20BF1-5BCC-4956-89F0-547B66B967E9}"/>
    <cellStyle name="Normal 15 2 19" xfId="10358" xr:uid="{311B9FAD-7275-44B7-B1A6-F3BDFF72567C}"/>
    <cellStyle name="Normal 15 2 2" xfId="10359" xr:uid="{E94E9A6D-6C2A-4947-8E8B-BC7DE34C54BE}"/>
    <cellStyle name="Normal 15 2 20" xfId="10360" xr:uid="{893D1A81-EC17-4F9D-B2C5-DA54777028FD}"/>
    <cellStyle name="Normal 15 2 21" xfId="10361" xr:uid="{95BE9101-C4F1-4E39-862F-718E3508046E}"/>
    <cellStyle name="Normal 15 2 22" xfId="10362" xr:uid="{B4C4C6A6-E79D-4079-9FEF-03C61CF9893A}"/>
    <cellStyle name="Normal 15 2 23" xfId="10363" xr:uid="{BE542711-9F77-4C75-9C1B-67031F811D14}"/>
    <cellStyle name="Normal 15 2 24" xfId="10364" xr:uid="{F2E9A242-8BB5-4AEA-8CFF-88530B0A8088}"/>
    <cellStyle name="Normal 15 2 25" xfId="10365" xr:uid="{511F19AA-1A90-4FA7-AAFA-8222FF42CCC7}"/>
    <cellStyle name="Normal 15 2 26" xfId="10366" xr:uid="{351F8465-F23F-447F-BF8D-649595BABAF3}"/>
    <cellStyle name="Normal 15 2 27" xfId="10367" xr:uid="{1441EF45-EBF8-4D15-8302-1054FCAD03F7}"/>
    <cellStyle name="Normal 15 2 28" xfId="10368" xr:uid="{53588056-6535-42F0-8103-A3E833E2E76C}"/>
    <cellStyle name="Normal 15 2 29" xfId="10369" xr:uid="{ECAF8A14-6129-49F6-911D-A7FBA3408CA8}"/>
    <cellStyle name="Normal 15 2 3" xfId="10370" xr:uid="{2127ED62-CF05-46E6-A6AD-26A6EB3575FB}"/>
    <cellStyle name="Normal 15 2 30" xfId="10371" xr:uid="{3C73F987-38D2-42B8-8ABA-8126A7ADAE87}"/>
    <cellStyle name="Normal 15 2 31" xfId="10372" xr:uid="{A01E3AFD-A8F9-4259-901E-90886D8D2F59}"/>
    <cellStyle name="Normal 15 2 32" xfId="10373" xr:uid="{1C8E0938-57EE-48CD-BDBA-510D1C53DA17}"/>
    <cellStyle name="Normal 15 2 33" xfId="10374" xr:uid="{D0A310CF-B2C6-40A9-93D3-BC086275487D}"/>
    <cellStyle name="Normal 15 2 34" xfId="10375" xr:uid="{00010B74-EEAF-4A02-9109-6E1FB5A80CEA}"/>
    <cellStyle name="Normal 15 2 35" xfId="10376" xr:uid="{BC522C76-2749-496C-9038-916B42FC1345}"/>
    <cellStyle name="Normal 15 2 36" xfId="10377" xr:uid="{00AF484D-21FD-450C-887C-57280D78CF88}"/>
    <cellStyle name="Normal 15 2 37" xfId="10378" xr:uid="{1825E89E-FBD1-44B8-9FE5-F15B7BD620CA}"/>
    <cellStyle name="Normal 15 2 38" xfId="10379" xr:uid="{D21ED451-E510-4C8B-92E7-6A51635B7A79}"/>
    <cellStyle name="Normal 15 2 39" xfId="10380" xr:uid="{5E31B5E5-B376-4554-BD45-662DB72AE7E2}"/>
    <cellStyle name="Normal 15 2 4" xfId="10381" xr:uid="{668072C1-E848-4C07-AEA9-6A68E5FFD503}"/>
    <cellStyle name="Normal 15 2 40" xfId="10382" xr:uid="{2C3323FE-89FA-48AB-AB30-DA4042CC6727}"/>
    <cellStyle name="Normal 15 2 41" xfId="10383" xr:uid="{41974743-80D5-49FD-BCC5-C66407ABBA34}"/>
    <cellStyle name="Normal 15 2 42" xfId="10384" xr:uid="{2EBEAB3D-157E-40EC-8DA4-8015B62A86EA}"/>
    <cellStyle name="Normal 15 2 43" xfId="10385" xr:uid="{843CC1B7-90B2-48C0-AFB3-1CCD4BD78C34}"/>
    <cellStyle name="Normal 15 2 44" xfId="10386" xr:uid="{EFB31C1E-2085-406C-9267-97B89D1FF194}"/>
    <cellStyle name="Normal 15 2 45" xfId="10387" xr:uid="{BCFBD743-8CDB-45A9-95B2-D0B055AD419C}"/>
    <cellStyle name="Normal 15 2 5" xfId="10388" xr:uid="{60D5AE9F-FEF2-4403-A261-1B3E897CA9FA}"/>
    <cellStyle name="Normal 15 2 6" xfId="10389" xr:uid="{EFDB6427-4E82-4AE0-BCB1-4CE1C1BD6B4F}"/>
    <cellStyle name="Normal 15 2 7" xfId="10390" xr:uid="{14F99813-4AE7-492F-8433-156937B9856F}"/>
    <cellStyle name="Normal 15 2 8" xfId="10391" xr:uid="{DAB3A623-52F9-424E-8F9B-713B7BE01430}"/>
    <cellStyle name="Normal 15 2 9" xfId="10392" xr:uid="{5336239A-E456-42A6-8040-E9C079755B41}"/>
    <cellStyle name="Normal 15 20" xfId="10393" xr:uid="{160326EC-636A-433E-9A01-B4C1EFBF0743}"/>
    <cellStyle name="Normal 15 21" xfId="10394" xr:uid="{F8F16568-E82F-4342-B67D-01907EDCEA1B}"/>
    <cellStyle name="Normal 15 22" xfId="10395" xr:uid="{3957D545-0912-4232-B118-F83F1B0D2DC8}"/>
    <cellStyle name="Normal 15 23" xfId="10396" xr:uid="{DBEBDADF-7290-4AD7-87C3-E80E5E1CDC57}"/>
    <cellStyle name="Normal 15 24" xfId="10397" xr:uid="{47EFF7B2-A4CB-41AC-9EE7-156364D500E0}"/>
    <cellStyle name="Normal 15 25" xfId="10398" xr:uid="{673C1007-B565-46C4-9AD7-EB852D1F2792}"/>
    <cellStyle name="Normal 15 26" xfId="10399" xr:uid="{9194A71A-E3B5-4595-B981-B9DDAC2636C5}"/>
    <cellStyle name="Normal 15 27" xfId="10400" xr:uid="{AFE0E302-AF34-4FEA-B19D-CA3C1B47E68A}"/>
    <cellStyle name="Normal 15 28" xfId="10401" xr:uid="{1BD69CD2-4301-4E6F-8A32-51B0A336334A}"/>
    <cellStyle name="Normal 15 29" xfId="10402" xr:uid="{3A74CF5A-3951-45AD-AF6B-B49E6D871475}"/>
    <cellStyle name="Normal 15 3" xfId="10403" xr:uid="{6FF3B051-ECC3-428D-8007-92FB75E9F9EE}"/>
    <cellStyle name="Normal 15 3 10" xfId="10404" xr:uid="{1158C601-70A9-4123-A3CD-594599896950}"/>
    <cellStyle name="Normal 15 3 11" xfId="10405" xr:uid="{B00BE1AC-8181-43BD-9E63-6CF6C5454471}"/>
    <cellStyle name="Normal 15 3 12" xfId="10406" xr:uid="{50371522-19C0-475D-AEAE-C4018A79EBF1}"/>
    <cellStyle name="Normal 15 3 13" xfId="10407" xr:uid="{DFB41E64-191C-41F1-836B-9AFC7536AFC7}"/>
    <cellStyle name="Normal 15 3 14" xfId="10408" xr:uid="{BBCD1E7A-7676-49B2-879F-E0A6E1344211}"/>
    <cellStyle name="Normal 15 3 15" xfId="10409" xr:uid="{7C100E7C-E9B7-443A-AD47-D478A6E34922}"/>
    <cellStyle name="Normal 15 3 16" xfId="10410" xr:uid="{53833A15-D679-4A6C-B63A-889B7271CD9B}"/>
    <cellStyle name="Normal 15 3 17" xfId="10411" xr:uid="{0984E4FC-3089-46D8-8B46-F5DD41F043E9}"/>
    <cellStyle name="Normal 15 3 18" xfId="10412" xr:uid="{79BACD92-204B-4B88-9A72-49551983CE0B}"/>
    <cellStyle name="Normal 15 3 19" xfId="10413" xr:uid="{68B56133-8305-4949-A55B-77B4A866EB05}"/>
    <cellStyle name="Normal 15 3 2" xfId="10414" xr:uid="{B969A66D-CE61-433F-BA09-996EC1484840}"/>
    <cellStyle name="Normal 15 3 20" xfId="10415" xr:uid="{C213EFBA-6CF5-42A7-9019-AEBC90FB6F0E}"/>
    <cellStyle name="Normal 15 3 21" xfId="10416" xr:uid="{7136359F-BD51-43BA-B608-79B3BF61D3D0}"/>
    <cellStyle name="Normal 15 3 22" xfId="10417" xr:uid="{551C267A-2683-4ADD-AA79-2CF1241CE475}"/>
    <cellStyle name="Normal 15 3 23" xfId="10418" xr:uid="{BAFA87C8-51CF-4A3C-AA8E-ACF9E8B519AD}"/>
    <cellStyle name="Normal 15 3 24" xfId="10419" xr:uid="{FC45C59A-21CC-4CCC-92BF-77FDCF40E08F}"/>
    <cellStyle name="Normal 15 3 25" xfId="10420" xr:uid="{5BDE9890-2C32-4783-8E69-9FAB526839AA}"/>
    <cellStyle name="Normal 15 3 26" xfId="10421" xr:uid="{4BC1CA46-52BC-4713-B142-1117A70D8C8F}"/>
    <cellStyle name="Normal 15 3 27" xfId="10422" xr:uid="{DDEE8BF3-EE06-4E08-AC31-82E226716E60}"/>
    <cellStyle name="Normal 15 3 28" xfId="10423" xr:uid="{F6E387F2-40CE-46E7-94AF-E8307B022F07}"/>
    <cellStyle name="Normal 15 3 29" xfId="10424" xr:uid="{5F7E8E65-C2E8-4756-8F1B-110B10153F6C}"/>
    <cellStyle name="Normal 15 3 3" xfId="10425" xr:uid="{41AF05C9-AE0C-4FAC-BF2A-47222DE046F1}"/>
    <cellStyle name="Normal 15 3 30" xfId="10426" xr:uid="{9B822B72-B3C9-4BD3-8BB3-FEADCFE3F170}"/>
    <cellStyle name="Normal 15 3 31" xfId="10427" xr:uid="{41741E1C-9927-4C4D-9ECE-EE559E2EC617}"/>
    <cellStyle name="Normal 15 3 32" xfId="10428" xr:uid="{8C787EB8-69B5-4BF8-B5DB-24495C9E2C6D}"/>
    <cellStyle name="Normal 15 3 33" xfId="10429" xr:uid="{F3C7F955-EBA3-4198-A22A-966583DCAE06}"/>
    <cellStyle name="Normal 15 3 34" xfId="10430" xr:uid="{3AD48DB0-DFF0-420A-B0FA-ACFA60D40557}"/>
    <cellStyle name="Normal 15 3 35" xfId="10431" xr:uid="{D73EE990-DA87-463E-BAA3-E9A72ABB484A}"/>
    <cellStyle name="Normal 15 3 36" xfId="10432" xr:uid="{0EB5B98F-2B91-4BE6-8764-4F355F002EE5}"/>
    <cellStyle name="Normal 15 3 37" xfId="10433" xr:uid="{3EC12E5E-FDCC-4BB4-897C-1DE5548778C0}"/>
    <cellStyle name="Normal 15 3 38" xfId="10434" xr:uid="{D6B528E6-EFB5-48EF-96EC-D15EF7FFF75F}"/>
    <cellStyle name="Normal 15 3 39" xfId="10435" xr:uid="{B2A2A9D5-A357-41C6-A137-14C753B8F3D2}"/>
    <cellStyle name="Normal 15 3 4" xfId="10436" xr:uid="{0FCF32AF-9B0A-4096-884F-0195ECA703D6}"/>
    <cellStyle name="Normal 15 3 40" xfId="10437" xr:uid="{1A4150B2-33DD-4C29-8483-5EF487069911}"/>
    <cellStyle name="Normal 15 3 41" xfId="10438" xr:uid="{754A2A39-189A-48F2-8AEE-60AEC2E621A7}"/>
    <cellStyle name="Normal 15 3 42" xfId="10439" xr:uid="{49CCEE17-DA4B-437A-99AE-BE66045D0C65}"/>
    <cellStyle name="Normal 15 3 43" xfId="10440" xr:uid="{77B2504F-7F6F-48F6-80AB-E42DB5E16970}"/>
    <cellStyle name="Normal 15 3 44" xfId="10441" xr:uid="{1A498350-C93A-4991-9458-598826258921}"/>
    <cellStyle name="Normal 15 3 45" xfId="10442" xr:uid="{77FD69DF-DA8A-4148-98E9-FEDFBC1151B1}"/>
    <cellStyle name="Normal 15 3 5" xfId="10443" xr:uid="{23F18294-07D2-476B-9F21-244B03767321}"/>
    <cellStyle name="Normal 15 3 6" xfId="10444" xr:uid="{1EA3B604-74C7-4A0E-B99C-43F858422415}"/>
    <cellStyle name="Normal 15 3 7" xfId="10445" xr:uid="{09C0C0CB-BC93-46DE-9FF6-F6E67DC300D0}"/>
    <cellStyle name="Normal 15 3 8" xfId="10446" xr:uid="{2741D5CA-AF3E-4458-B1DC-363BB64395BC}"/>
    <cellStyle name="Normal 15 3 9" xfId="10447" xr:uid="{06EE44B5-B1A1-481C-B410-1A9DC72BA50B}"/>
    <cellStyle name="Normal 15 30" xfId="10448" xr:uid="{249DD880-C8BA-4F64-A3E8-43FE44CF4D5C}"/>
    <cellStyle name="Normal 15 31" xfId="10449" xr:uid="{5A02D93D-7AAB-4E57-8D6A-A8C3388735D6}"/>
    <cellStyle name="Normal 15 32" xfId="10450" xr:uid="{1C0A9F3E-DE42-4245-A860-59836946EC55}"/>
    <cellStyle name="Normal 15 33" xfId="10451" xr:uid="{7978C3E9-9669-48B4-8BDC-0D9B7B2B3C92}"/>
    <cellStyle name="Normal 15 34" xfId="10452" xr:uid="{F3B3211A-393B-47C0-B5BA-170E3C8C0599}"/>
    <cellStyle name="Normal 15 35" xfId="10453" xr:uid="{FC2CCA30-A099-4590-987F-F9D5E4E85AE5}"/>
    <cellStyle name="Normal 15 36" xfId="10454" xr:uid="{6E2E10E3-15EA-407E-B02D-540E4E00D895}"/>
    <cellStyle name="Normal 15 37" xfId="10455" xr:uid="{12586CA6-2DA0-4D49-BC3A-4BD16C1AF4DE}"/>
    <cellStyle name="Normal 15 38" xfId="10456" xr:uid="{1547FF75-FF31-4A32-AC57-78C0A07FAE65}"/>
    <cellStyle name="Normal 15 39" xfId="10457" xr:uid="{72093510-1472-4CB9-ABE2-873A0F298D70}"/>
    <cellStyle name="Normal 15 4" xfId="10458" xr:uid="{987769FA-0467-4351-A18B-040C0343102B}"/>
    <cellStyle name="Normal 15 4 10" xfId="10459" xr:uid="{5342FE36-1B8D-4331-943B-42019ADAA4E3}"/>
    <cellStyle name="Normal 15 4 11" xfId="10460" xr:uid="{A862926E-4876-4889-9BB1-D56A8AC7CEA1}"/>
    <cellStyle name="Normal 15 4 12" xfId="10461" xr:uid="{6D6DA82B-286A-44E5-B1F8-23BBFAF417F6}"/>
    <cellStyle name="Normal 15 4 13" xfId="10462" xr:uid="{91D21B20-3FEF-4C79-8CE9-D2D7B03F20D4}"/>
    <cellStyle name="Normal 15 4 14" xfId="10463" xr:uid="{D9DF1FF6-999C-43E3-8379-83FB190DFF79}"/>
    <cellStyle name="Normal 15 4 15" xfId="10464" xr:uid="{C278BD4C-2897-4857-9C3A-4661C8936844}"/>
    <cellStyle name="Normal 15 4 16" xfId="10465" xr:uid="{29F4698B-82ED-4BA2-811F-52674E01A921}"/>
    <cellStyle name="Normal 15 4 17" xfId="10466" xr:uid="{62F559CA-0C74-49A9-812C-ED8D079CDFBB}"/>
    <cellStyle name="Normal 15 4 18" xfId="10467" xr:uid="{0320727E-E937-42B7-8D2E-C10B5563C0D7}"/>
    <cellStyle name="Normal 15 4 19" xfId="10468" xr:uid="{C44733A0-4F19-4356-A001-851FD8005645}"/>
    <cellStyle name="Normal 15 4 2" xfId="10469" xr:uid="{6279895B-4FB5-4A20-90F2-089AE7FB4E74}"/>
    <cellStyle name="Normal 15 4 20" xfId="10470" xr:uid="{7698B509-327C-4040-9F09-7DBEF88D3D29}"/>
    <cellStyle name="Normal 15 4 21" xfId="10471" xr:uid="{7D4ACC9E-CF7F-4CC5-A14B-3A20F9BF8623}"/>
    <cellStyle name="Normal 15 4 22" xfId="10472" xr:uid="{74BB97FE-A44A-4952-8C31-CA7B950B10BF}"/>
    <cellStyle name="Normal 15 4 23" xfId="10473" xr:uid="{0B2EF5FF-41E5-43C8-911F-931B853B9B54}"/>
    <cellStyle name="Normal 15 4 24" xfId="10474" xr:uid="{F4D7743A-06A6-4629-84CE-A536FDEEFF77}"/>
    <cellStyle name="Normal 15 4 25" xfId="10475" xr:uid="{A93AF1EC-831E-4746-95DB-A9779D6FCD75}"/>
    <cellStyle name="Normal 15 4 26" xfId="10476" xr:uid="{71BAE56A-96F8-4B4F-86D1-35DF55B6E033}"/>
    <cellStyle name="Normal 15 4 27" xfId="10477" xr:uid="{27FED9F2-3160-4922-A337-4945938863BA}"/>
    <cellStyle name="Normal 15 4 28" xfId="10478" xr:uid="{B5FFF763-57BD-4B8C-8A1C-3210B3F9FCB7}"/>
    <cellStyle name="Normal 15 4 29" xfId="10479" xr:uid="{76261673-9880-427C-ADCA-AC1D7F9E2F1F}"/>
    <cellStyle name="Normal 15 4 3" xfId="10480" xr:uid="{7EC3C3D9-C174-49C6-8AA5-6D6171FE4B02}"/>
    <cellStyle name="Normal 15 4 30" xfId="10481" xr:uid="{9ABEEC59-B612-4848-9E1B-E6D493D232B1}"/>
    <cellStyle name="Normal 15 4 31" xfId="10482" xr:uid="{808D217F-0E22-4DE0-8413-6CC8BD772DCC}"/>
    <cellStyle name="Normal 15 4 32" xfId="10483" xr:uid="{D6623E8D-5B22-44C5-9D54-74E5F6DEEEB0}"/>
    <cellStyle name="Normal 15 4 33" xfId="10484" xr:uid="{97D85C20-EAEA-43C6-B203-1A72F31FAC08}"/>
    <cellStyle name="Normal 15 4 34" xfId="10485" xr:uid="{82A59F0C-4869-438C-91C7-3F97A97B9A94}"/>
    <cellStyle name="Normal 15 4 35" xfId="10486" xr:uid="{E01ADE59-7803-4D6F-B238-0EA373DB9BCA}"/>
    <cellStyle name="Normal 15 4 36" xfId="10487" xr:uid="{A32912A2-272C-4F04-A3B5-D4AB60580F58}"/>
    <cellStyle name="Normal 15 4 37" xfId="10488" xr:uid="{C783948C-31B6-4E6D-BF3D-3B4109FD598E}"/>
    <cellStyle name="Normal 15 4 38" xfId="10489" xr:uid="{361C879B-BA43-41C3-8F31-87B1E73A5CFA}"/>
    <cellStyle name="Normal 15 4 39" xfId="10490" xr:uid="{6DD014A3-6E70-4639-BEFC-50F0911FDCBD}"/>
    <cellStyle name="Normal 15 4 4" xfId="10491" xr:uid="{1DD81B7F-F09A-43DC-A200-5712AD08C7D8}"/>
    <cellStyle name="Normal 15 4 40" xfId="10492" xr:uid="{CC7A03B3-F182-4D29-85DA-4CFE7C94D0AC}"/>
    <cellStyle name="Normal 15 4 41" xfId="10493" xr:uid="{7DD62D2B-B649-49FE-B2AF-F569A3B11A34}"/>
    <cellStyle name="Normal 15 4 42" xfId="10494" xr:uid="{3781934E-889E-4E55-9AE1-C8E4DB111617}"/>
    <cellStyle name="Normal 15 4 43" xfId="10495" xr:uid="{53844439-342A-49E6-A459-2ABDB17CCB9F}"/>
    <cellStyle name="Normal 15 4 44" xfId="10496" xr:uid="{4A6299E5-8C4C-478F-BF4D-090351BD14C0}"/>
    <cellStyle name="Normal 15 4 45" xfId="10497" xr:uid="{C23C6A0F-B458-488F-8169-A21C49038793}"/>
    <cellStyle name="Normal 15 4 5" xfId="10498" xr:uid="{FB243B08-D530-4E4E-B56B-FBAF0E6502AE}"/>
    <cellStyle name="Normal 15 4 6" xfId="10499" xr:uid="{C5F7337A-3FEE-4646-A206-B41A50191783}"/>
    <cellStyle name="Normal 15 4 7" xfId="10500" xr:uid="{9B9DA8C6-B39C-40CB-ADD1-FF35F4284A5D}"/>
    <cellStyle name="Normal 15 4 8" xfId="10501" xr:uid="{BF63F2FE-0F9B-4994-91D0-C8FF0F21B0E3}"/>
    <cellStyle name="Normal 15 4 9" xfId="10502" xr:uid="{4043F4F4-89C7-444F-9D5A-67F2025234C0}"/>
    <cellStyle name="Normal 15 40" xfId="10503" xr:uid="{662C8833-5BE9-4EB7-893E-3808F2CCC993}"/>
    <cellStyle name="Normal 15 41" xfId="10504" xr:uid="{2035A7AA-7716-409A-BFF2-22151F714252}"/>
    <cellStyle name="Normal 15 42" xfId="10505" xr:uid="{52345B6D-2082-4727-9FAE-7D0CC7A005EC}"/>
    <cellStyle name="Normal 15 43" xfId="10506" xr:uid="{B0BC6D1B-7DED-4587-A75E-243D234FE1C2}"/>
    <cellStyle name="Normal 15 44" xfId="10507" xr:uid="{8006A0EA-87D7-4B6D-A1D9-1096C457B530}"/>
    <cellStyle name="Normal 15 45" xfId="10508" xr:uid="{1F983172-509B-47E6-B095-4471721584C1}"/>
    <cellStyle name="Normal 15 46" xfId="10509" xr:uid="{A446B1B2-705E-4C5F-AD11-761EF68FEA3F}"/>
    <cellStyle name="Normal 15 47" xfId="10510" xr:uid="{40BA9480-C21F-4754-8247-DC9A34AE9ED5}"/>
    <cellStyle name="Normal 15 48" xfId="10511" xr:uid="{A7D3FB3D-E028-4B85-936B-31089EC10A8B}"/>
    <cellStyle name="Normal 15 49" xfId="10512" xr:uid="{A519EC00-D180-4FA7-BD8D-784899459166}"/>
    <cellStyle name="Normal 15 5" xfId="10513" xr:uid="{1C843C51-D1A4-46A5-911F-A5625A5A3921}"/>
    <cellStyle name="Normal 15 5 10" xfId="10514" xr:uid="{51381DDE-3BB2-4A01-AF5C-D83601FDDF68}"/>
    <cellStyle name="Normal 15 5 11" xfId="10515" xr:uid="{2562209E-BB03-4ED1-8D0B-ED5E85FBC7A6}"/>
    <cellStyle name="Normal 15 5 12" xfId="10516" xr:uid="{8FE2323F-2A25-48B5-BE87-9A07E6C96B38}"/>
    <cellStyle name="Normal 15 5 13" xfId="10517" xr:uid="{92A3E0E9-C7F6-4B51-AA3F-F47E0F98723A}"/>
    <cellStyle name="Normal 15 5 14" xfId="10518" xr:uid="{D532A020-90FE-4753-94B7-D1F81B13E475}"/>
    <cellStyle name="Normal 15 5 15" xfId="10519" xr:uid="{DB222951-F9A5-40B6-A00E-7378A7FD6B25}"/>
    <cellStyle name="Normal 15 5 16" xfId="10520" xr:uid="{C8881390-CCB8-451A-A126-A3046B8F6449}"/>
    <cellStyle name="Normal 15 5 17" xfId="10521" xr:uid="{4F2AD8F8-F0A1-433F-806F-2312C1F4DCE8}"/>
    <cellStyle name="Normal 15 5 18" xfId="10522" xr:uid="{40C072DF-D1D5-4D13-9BB3-88ED59FD51B7}"/>
    <cellStyle name="Normal 15 5 19" xfId="10523" xr:uid="{D531FF10-66BD-414B-8DE9-B105616BB177}"/>
    <cellStyle name="Normal 15 5 2" xfId="10524" xr:uid="{6BFEDAA4-800E-487B-B1C4-1E301ED51C68}"/>
    <cellStyle name="Normal 15 5 20" xfId="10525" xr:uid="{16B49E0B-83A9-4D56-B8F9-1BCDB3D6C92C}"/>
    <cellStyle name="Normal 15 5 21" xfId="10526" xr:uid="{5565F14E-6704-4569-B16C-6220434D743C}"/>
    <cellStyle name="Normal 15 5 22" xfId="10527" xr:uid="{76616D5D-AAA8-441A-A7BA-90EDD0723CFF}"/>
    <cellStyle name="Normal 15 5 23" xfId="10528" xr:uid="{5A97E83A-34D1-4BB3-ACEF-8DB969EBA7B9}"/>
    <cellStyle name="Normal 15 5 24" xfId="10529" xr:uid="{A04439F0-9C59-4DEB-BD74-BB6D66237B1E}"/>
    <cellStyle name="Normal 15 5 25" xfId="10530" xr:uid="{7AAFC979-31B7-4129-978B-738012699B35}"/>
    <cellStyle name="Normal 15 5 26" xfId="10531" xr:uid="{BA1DB010-9AD9-4FC1-A533-01BD582927F1}"/>
    <cellStyle name="Normal 15 5 27" xfId="10532" xr:uid="{1308D7D0-B66E-48BF-8616-1F0038C33BFD}"/>
    <cellStyle name="Normal 15 5 28" xfId="10533" xr:uid="{AEC69A66-D242-4EAB-B258-BCAA65027915}"/>
    <cellStyle name="Normal 15 5 29" xfId="10534" xr:uid="{5EC06846-5D18-46CF-A4C6-4103FA9A70C5}"/>
    <cellStyle name="Normal 15 5 3" xfId="10535" xr:uid="{C034DC0E-AFE9-41FB-A533-139E660916EB}"/>
    <cellStyle name="Normal 15 5 30" xfId="10536" xr:uid="{24A6F22C-0954-462F-A78F-4C9EB92A7F2B}"/>
    <cellStyle name="Normal 15 5 31" xfId="10537" xr:uid="{F20CE30E-8E10-4965-BF39-07E60F049123}"/>
    <cellStyle name="Normal 15 5 32" xfId="10538" xr:uid="{8FE26CB9-465F-4FEB-A4A7-334C32A5322A}"/>
    <cellStyle name="Normal 15 5 33" xfId="10539" xr:uid="{FF9408D3-AD02-4328-8F2D-F56B1A17F5A4}"/>
    <cellStyle name="Normal 15 5 34" xfId="10540" xr:uid="{19C19911-B9E2-4D54-BB47-F239ED16B079}"/>
    <cellStyle name="Normal 15 5 35" xfId="10541" xr:uid="{05569D1C-4598-4B2A-A71C-C1A8D4BDA1BD}"/>
    <cellStyle name="Normal 15 5 36" xfId="10542" xr:uid="{9A2A6917-2A91-474A-A11F-9A7A2F7526B9}"/>
    <cellStyle name="Normal 15 5 37" xfId="10543" xr:uid="{6D14E8CC-E343-402F-86ED-172D4DF2798F}"/>
    <cellStyle name="Normal 15 5 38" xfId="10544" xr:uid="{9FF611E5-7FF9-4BFA-B89B-E3C0DE026481}"/>
    <cellStyle name="Normal 15 5 39" xfId="10545" xr:uid="{8A742A04-2807-49EB-B155-9EF3F170EF5B}"/>
    <cellStyle name="Normal 15 5 4" xfId="10546" xr:uid="{D42B18CA-61F1-4EE9-A249-88E4079DD0B5}"/>
    <cellStyle name="Normal 15 5 40" xfId="10547" xr:uid="{D1F681C6-FEDA-401D-B573-18012FF615CF}"/>
    <cellStyle name="Normal 15 5 41" xfId="10548" xr:uid="{1078EF0E-F9A1-4A75-8E6F-CFB857B2C968}"/>
    <cellStyle name="Normal 15 5 42" xfId="10549" xr:uid="{1FB418C0-8EF8-4DDE-A834-50B623C7AC40}"/>
    <cellStyle name="Normal 15 5 43" xfId="10550" xr:uid="{3026CADA-FA32-4535-BC79-F7E311FC3122}"/>
    <cellStyle name="Normal 15 5 44" xfId="10551" xr:uid="{E5D19813-1156-4F42-A8C2-D88F362AF895}"/>
    <cellStyle name="Normal 15 5 45" xfId="10552" xr:uid="{EC7F64CF-85FD-4DAB-A904-355612B103A4}"/>
    <cellStyle name="Normal 15 5 5" xfId="10553" xr:uid="{7B185543-5AE9-452B-9CC8-25EE1C413A7C}"/>
    <cellStyle name="Normal 15 5 6" xfId="10554" xr:uid="{B4D846AB-DDAD-407C-A399-C58817D84F82}"/>
    <cellStyle name="Normal 15 5 7" xfId="10555" xr:uid="{767519D6-21AA-4CA9-AA34-1482292CE016}"/>
    <cellStyle name="Normal 15 5 8" xfId="10556" xr:uid="{F86045CE-02D6-4AD7-BED3-BA3D78FFA860}"/>
    <cellStyle name="Normal 15 5 9" xfId="10557" xr:uid="{1BE76F3C-D438-4B42-AFB2-6431CE6F4151}"/>
    <cellStyle name="Normal 15 50" xfId="10558" xr:uid="{529C7739-2519-45CE-9F53-E6BB263585F1}"/>
    <cellStyle name="Normal 15 51" xfId="10559" xr:uid="{11DE863D-8228-41A5-8AC8-559616E6B66A}"/>
    <cellStyle name="Normal 15 6" xfId="10560" xr:uid="{DF67DD71-C6D5-4B5B-AEE3-99F3C6F71EA2}"/>
    <cellStyle name="Normal 15 6 10" xfId="10561" xr:uid="{12A051FF-C4D6-4FBC-B87A-0469A6767548}"/>
    <cellStyle name="Normal 15 6 11" xfId="10562" xr:uid="{525CD465-1DC5-49F6-9B71-071E49DBECDE}"/>
    <cellStyle name="Normal 15 6 12" xfId="10563" xr:uid="{54A926C4-CB2F-4771-A61B-0BD9B66963FE}"/>
    <cellStyle name="Normal 15 6 13" xfId="10564" xr:uid="{42E371EE-E831-49BE-B351-B4391B51F89B}"/>
    <cellStyle name="Normal 15 6 14" xfId="10565" xr:uid="{26924800-65FC-4F4A-AFBD-81D4E7C26E9F}"/>
    <cellStyle name="Normal 15 6 15" xfId="10566" xr:uid="{6C2C5E05-41FD-40D8-9E5F-1FEDC393AF95}"/>
    <cellStyle name="Normal 15 6 16" xfId="10567" xr:uid="{AE6112E7-5D5C-4052-AF93-BCDBECFE03C6}"/>
    <cellStyle name="Normal 15 6 17" xfId="10568" xr:uid="{7F5B09DA-1B5C-47F0-94F2-415CC2F7F0D4}"/>
    <cellStyle name="Normal 15 6 18" xfId="10569" xr:uid="{B2A37033-D6A3-4159-9A89-6B05DD2D2B47}"/>
    <cellStyle name="Normal 15 6 19" xfId="10570" xr:uid="{66C54C90-89F5-4040-9D4E-E0C1B8416231}"/>
    <cellStyle name="Normal 15 6 2" xfId="10571" xr:uid="{9B63D5A9-8FBE-4C12-861A-46AD782C0BC5}"/>
    <cellStyle name="Normal 15 6 20" xfId="10572" xr:uid="{F58561B3-5BCE-4624-9A54-28AF0A28B404}"/>
    <cellStyle name="Normal 15 6 21" xfId="10573" xr:uid="{E3C50B84-BBA3-4677-AC28-E5A559EFEB1C}"/>
    <cellStyle name="Normal 15 6 22" xfId="10574" xr:uid="{3E20039B-AE42-4052-9883-4F60F02E8C77}"/>
    <cellStyle name="Normal 15 6 23" xfId="10575" xr:uid="{0CE73A8B-454B-4A9D-A464-F284864BE6F6}"/>
    <cellStyle name="Normal 15 6 24" xfId="10576" xr:uid="{991A525B-4B84-4FCB-8842-0FD63E10A93B}"/>
    <cellStyle name="Normal 15 6 25" xfId="10577" xr:uid="{43F1F45E-5706-4AC2-A029-94C99C1858B1}"/>
    <cellStyle name="Normal 15 6 26" xfId="10578" xr:uid="{B8898B09-9CE8-45CB-B69E-479FC054B48B}"/>
    <cellStyle name="Normal 15 6 27" xfId="10579" xr:uid="{DA6ED0CC-981E-4DEE-BCD9-677DEDADC8FE}"/>
    <cellStyle name="Normal 15 6 28" xfId="10580" xr:uid="{887C8713-5607-44E9-8A96-B978F1F1DD29}"/>
    <cellStyle name="Normal 15 6 29" xfId="10581" xr:uid="{61CEAAD5-6368-474F-B67A-AD7851D112C7}"/>
    <cellStyle name="Normal 15 6 3" xfId="10582" xr:uid="{47B839CA-9547-400B-81B5-B43689B99F2B}"/>
    <cellStyle name="Normal 15 6 30" xfId="10583" xr:uid="{04DAD230-1906-4783-B0C0-0D01CE477353}"/>
    <cellStyle name="Normal 15 6 31" xfId="10584" xr:uid="{B1576F61-3BE4-4966-A86F-004499918B6A}"/>
    <cellStyle name="Normal 15 6 32" xfId="10585" xr:uid="{C9598901-8066-4ABB-87AE-3CC7543B02EB}"/>
    <cellStyle name="Normal 15 6 33" xfId="10586" xr:uid="{12F7C269-B730-4EEE-8B89-265E6BF78A73}"/>
    <cellStyle name="Normal 15 6 34" xfId="10587" xr:uid="{3C6F7AA2-AD98-4EA9-B853-97F523D55652}"/>
    <cellStyle name="Normal 15 6 35" xfId="10588" xr:uid="{C75B061A-1642-4F24-AC70-F32177F3E06B}"/>
    <cellStyle name="Normal 15 6 36" xfId="10589" xr:uid="{A199BAD1-E04A-4DA9-8C74-5479343073B1}"/>
    <cellStyle name="Normal 15 6 37" xfId="10590" xr:uid="{7AAAAAA3-E73B-4399-9EB2-7FE09ABEF6E2}"/>
    <cellStyle name="Normal 15 6 38" xfId="10591" xr:uid="{3D1F266E-8EAC-41CF-8868-E467CBB0C60C}"/>
    <cellStyle name="Normal 15 6 39" xfId="10592" xr:uid="{F1EE0EB4-6619-48DF-ABD5-0D1AEC36A11E}"/>
    <cellStyle name="Normal 15 6 4" xfId="10593" xr:uid="{982CCD27-1493-47DE-A4EF-9D614BFA499B}"/>
    <cellStyle name="Normal 15 6 40" xfId="10594" xr:uid="{94F87BB2-4662-4FD7-89E0-A874D9DDDFF3}"/>
    <cellStyle name="Normal 15 6 41" xfId="10595" xr:uid="{6CF0756F-2B4E-4993-A1BC-6FCF42EC55AA}"/>
    <cellStyle name="Normal 15 6 42" xfId="10596" xr:uid="{097F4CF5-74A9-43C7-8ED6-35845FDB7764}"/>
    <cellStyle name="Normal 15 6 43" xfId="10597" xr:uid="{E9FC1321-0AA1-458B-821E-49AD80AAB797}"/>
    <cellStyle name="Normal 15 6 44" xfId="10598" xr:uid="{593A9A21-D299-477F-B6D4-C347F9FFA26E}"/>
    <cellStyle name="Normal 15 6 45" xfId="10599" xr:uid="{67E46B52-3872-43B3-9894-66EEE70899DA}"/>
    <cellStyle name="Normal 15 6 5" xfId="10600" xr:uid="{398FCA02-BB3E-4FE0-AA7F-2B630CCC3FB6}"/>
    <cellStyle name="Normal 15 6 6" xfId="10601" xr:uid="{3B4858AA-463A-4653-803D-4E94E5C5F952}"/>
    <cellStyle name="Normal 15 6 7" xfId="10602" xr:uid="{29280213-3AB3-4AC6-BD23-0DA45E62D976}"/>
    <cellStyle name="Normal 15 6 8" xfId="10603" xr:uid="{3D40047C-6B5D-4D7D-BBB5-20A64C1F6687}"/>
    <cellStyle name="Normal 15 6 9" xfId="10604" xr:uid="{D36F18D1-FE07-4AF0-BCE2-7D7489FB1CCD}"/>
    <cellStyle name="Normal 15 7" xfId="10605" xr:uid="{0EA493B8-FD3E-48C5-ACD2-FAA2F652ED43}"/>
    <cellStyle name="Normal 15 7 10" xfId="10606" xr:uid="{E206D9F8-167A-448F-A7F0-5CB21CB765C9}"/>
    <cellStyle name="Normal 15 7 11" xfId="10607" xr:uid="{DEE5E9F8-03B9-4D7E-8E74-ABB87FE8449E}"/>
    <cellStyle name="Normal 15 7 12" xfId="10608" xr:uid="{7A81F40E-6149-431F-98ED-3DDC35CB407C}"/>
    <cellStyle name="Normal 15 7 13" xfId="10609" xr:uid="{EF862BF1-8C8E-4811-BE4F-208ADC2CDEF2}"/>
    <cellStyle name="Normal 15 7 14" xfId="10610" xr:uid="{724AEB72-7E56-412F-AC23-10DCCFE6EB85}"/>
    <cellStyle name="Normal 15 7 15" xfId="10611" xr:uid="{A5DEBE9B-2529-42E5-8560-E229838C0AF9}"/>
    <cellStyle name="Normal 15 7 16" xfId="10612" xr:uid="{2175F28D-66AF-4D9E-B36A-DF0517E5FA43}"/>
    <cellStyle name="Normal 15 7 17" xfId="10613" xr:uid="{16503086-6AF1-4A7B-BB6F-CC17994C895C}"/>
    <cellStyle name="Normal 15 7 18" xfId="10614" xr:uid="{5488E042-2B49-48DD-B396-8ECE7BC9E23C}"/>
    <cellStyle name="Normal 15 7 19" xfId="10615" xr:uid="{59C16878-DB0A-432A-9AC9-D154B58ABD08}"/>
    <cellStyle name="Normal 15 7 2" xfId="10616" xr:uid="{3C1C41E2-B778-46CD-B44A-73170BB15AF9}"/>
    <cellStyle name="Normal 15 7 20" xfId="10617" xr:uid="{7C93DFB4-9279-4755-B66E-289F4F66CAA9}"/>
    <cellStyle name="Normal 15 7 21" xfId="10618" xr:uid="{68B0100C-5883-4E8D-8F66-6F0EA6CEABDF}"/>
    <cellStyle name="Normal 15 7 22" xfId="10619" xr:uid="{2350B33B-5CBE-4B87-96D8-37BDB8903C10}"/>
    <cellStyle name="Normal 15 7 23" xfId="10620" xr:uid="{A53F31B9-05E5-4504-A478-73D636C19A7B}"/>
    <cellStyle name="Normal 15 7 24" xfId="10621" xr:uid="{D7580DA9-9293-49BA-B119-D73F26C1353D}"/>
    <cellStyle name="Normal 15 7 25" xfId="10622" xr:uid="{1F1B51CB-BE7B-4790-9B57-91877AA6C1AF}"/>
    <cellStyle name="Normal 15 7 26" xfId="10623" xr:uid="{65C44F9A-124C-4AF1-81E2-096FA27A8F2A}"/>
    <cellStyle name="Normal 15 7 27" xfId="10624" xr:uid="{D1C857FE-D8E5-4BB4-93C2-D75F76624E04}"/>
    <cellStyle name="Normal 15 7 28" xfId="10625" xr:uid="{0B6758AC-B94B-4B9C-B141-227543EB7330}"/>
    <cellStyle name="Normal 15 7 29" xfId="10626" xr:uid="{01046EDE-8822-4043-80A1-D39B57D176CE}"/>
    <cellStyle name="Normal 15 7 3" xfId="10627" xr:uid="{4381AC3C-6976-4289-97EF-F508A71AF11A}"/>
    <cellStyle name="Normal 15 7 30" xfId="10628" xr:uid="{6ED41456-381D-4AE9-8EED-D40428D275C6}"/>
    <cellStyle name="Normal 15 7 31" xfId="10629" xr:uid="{B26DC35D-3147-415F-A6E3-488BE14D2325}"/>
    <cellStyle name="Normal 15 7 32" xfId="10630" xr:uid="{2F299F13-7C03-41A3-AFE6-138DD0D41FCD}"/>
    <cellStyle name="Normal 15 7 33" xfId="10631" xr:uid="{DE651105-0DB8-4EE9-B609-FCCE4611C811}"/>
    <cellStyle name="Normal 15 7 34" xfId="10632" xr:uid="{2F560E96-5506-456E-A295-247B5D2350C4}"/>
    <cellStyle name="Normal 15 7 35" xfId="10633" xr:uid="{3EBA4585-A796-44A3-8EEB-BEA7BF4D2572}"/>
    <cellStyle name="Normal 15 7 36" xfId="10634" xr:uid="{5AE01067-C4EE-499E-A88E-3BE4BB01A074}"/>
    <cellStyle name="Normal 15 7 37" xfId="10635" xr:uid="{B941C0C8-74BC-41CE-8E17-22FD4610C9EA}"/>
    <cellStyle name="Normal 15 7 38" xfId="10636" xr:uid="{0172E083-8D91-4F1D-A95D-749563860E5C}"/>
    <cellStyle name="Normal 15 7 39" xfId="10637" xr:uid="{6169F895-A30D-45FE-B73C-0D17ECC36598}"/>
    <cellStyle name="Normal 15 7 4" xfId="10638" xr:uid="{3DD4BC2E-BF2B-4BFD-87CB-227B64D40082}"/>
    <cellStyle name="Normal 15 7 40" xfId="10639" xr:uid="{DE9161F0-023E-4B3D-BF9A-2C63E63E9D75}"/>
    <cellStyle name="Normal 15 7 41" xfId="10640" xr:uid="{A7BCFE6E-4476-4014-A176-0584EF874ED6}"/>
    <cellStyle name="Normal 15 7 42" xfId="10641" xr:uid="{516F98BB-BCE2-4293-B359-6E3FCF9703DB}"/>
    <cellStyle name="Normal 15 7 43" xfId="10642" xr:uid="{E96C0BC1-EB8F-483B-82EC-C9E9FE0C06B9}"/>
    <cellStyle name="Normal 15 7 44" xfId="10643" xr:uid="{8E192814-511A-4EBA-A1F5-9939578F7D6E}"/>
    <cellStyle name="Normal 15 7 45" xfId="10644" xr:uid="{D2D5FE51-1D11-4D3E-95BD-A9D373D8D165}"/>
    <cellStyle name="Normal 15 7 5" xfId="10645" xr:uid="{384A70B2-FDD7-4E06-B81D-A82ACFDDB73D}"/>
    <cellStyle name="Normal 15 7 6" xfId="10646" xr:uid="{BB92646D-511D-4976-A95E-89FC18435A5D}"/>
    <cellStyle name="Normal 15 7 7" xfId="10647" xr:uid="{28099A99-0A16-4E67-A9FB-44F8A0C7A827}"/>
    <cellStyle name="Normal 15 7 8" xfId="10648" xr:uid="{3602E04C-0C2C-4B75-870A-620B37B0EA66}"/>
    <cellStyle name="Normal 15 7 9" xfId="10649" xr:uid="{890BE7E4-92FF-48BF-9D65-5CE43189FC85}"/>
    <cellStyle name="Normal 15 8" xfId="10650" xr:uid="{58C86EB9-1200-4AD6-844B-77ED7EDDAA17}"/>
    <cellStyle name="Normal 15 8 10" xfId="10651" xr:uid="{E3576913-FC89-46E1-8EA6-C540BBBC4CB5}"/>
    <cellStyle name="Normal 15 8 11" xfId="10652" xr:uid="{247D38FD-019C-4008-9088-E90FF7C0222A}"/>
    <cellStyle name="Normal 15 8 12" xfId="10653" xr:uid="{EB28F640-2C4D-4464-B867-F1FA292DA407}"/>
    <cellStyle name="Normal 15 8 13" xfId="10654" xr:uid="{7838FACE-BDB5-4AD3-B2C2-6FB26CA37207}"/>
    <cellStyle name="Normal 15 8 14" xfId="10655" xr:uid="{B32E4F24-7B99-4559-8AE7-88FB8776FA19}"/>
    <cellStyle name="Normal 15 8 15" xfId="10656" xr:uid="{3829F002-43CD-4161-9DAE-06763B5373E2}"/>
    <cellStyle name="Normal 15 8 16" xfId="10657" xr:uid="{EDA7A864-1B4C-4BE4-916C-38E149DD85B9}"/>
    <cellStyle name="Normal 15 8 17" xfId="10658" xr:uid="{54FCA819-DAC1-4174-9333-2D31E8DD11AC}"/>
    <cellStyle name="Normal 15 8 18" xfId="10659" xr:uid="{8013F312-534C-47FE-AD14-1D5704AFE268}"/>
    <cellStyle name="Normal 15 8 19" xfId="10660" xr:uid="{28226BBB-56DA-46AF-B71C-0535FDE86F0A}"/>
    <cellStyle name="Normal 15 8 2" xfId="10661" xr:uid="{362F01EF-1905-4ACE-9B15-FC8D36D387E1}"/>
    <cellStyle name="Normal 15 8 20" xfId="10662" xr:uid="{5F64C9A9-B608-46BC-9625-AC228E344E0B}"/>
    <cellStyle name="Normal 15 8 21" xfId="10663" xr:uid="{FB266F0F-2CEE-48DF-871C-2E5BE32F3E8A}"/>
    <cellStyle name="Normal 15 8 22" xfId="10664" xr:uid="{3B14B0EA-AE8B-4FD2-A652-A93B5AC81135}"/>
    <cellStyle name="Normal 15 8 23" xfId="10665" xr:uid="{0234624C-2471-464C-8A8E-ED4CBA4DF170}"/>
    <cellStyle name="Normal 15 8 24" xfId="10666" xr:uid="{FAE0B944-966A-418B-AFB5-0ACC0A2AC284}"/>
    <cellStyle name="Normal 15 8 25" xfId="10667" xr:uid="{5FCEDFB8-0C1F-4535-9C30-C3F104FC8EC1}"/>
    <cellStyle name="Normal 15 8 26" xfId="10668" xr:uid="{6C3D2879-A010-468B-902D-57844BEBE4F2}"/>
    <cellStyle name="Normal 15 8 27" xfId="10669" xr:uid="{C22D871F-2915-43D2-9BB5-F10CF6F94953}"/>
    <cellStyle name="Normal 15 8 28" xfId="10670" xr:uid="{44949CCA-A9A3-463E-B703-ED9CF2E32728}"/>
    <cellStyle name="Normal 15 8 29" xfId="10671" xr:uid="{D0B34755-D800-48D6-9D66-EF8E291ED07D}"/>
    <cellStyle name="Normal 15 8 3" xfId="10672" xr:uid="{06909E3D-4F11-4472-809B-141D355F697D}"/>
    <cellStyle name="Normal 15 8 30" xfId="10673" xr:uid="{3085DCB6-C2C0-4A9A-9AB8-4E3F69914283}"/>
    <cellStyle name="Normal 15 8 31" xfId="10674" xr:uid="{98FEDD44-568F-41D4-9073-8DBE0548CEF7}"/>
    <cellStyle name="Normal 15 8 32" xfId="10675" xr:uid="{BBB1D296-0BAA-4840-870F-14AC997DA173}"/>
    <cellStyle name="Normal 15 8 33" xfId="10676" xr:uid="{31B1A077-7985-4AA2-81F1-20E28E5780E8}"/>
    <cellStyle name="Normal 15 8 34" xfId="10677" xr:uid="{A523765A-9FE2-4289-A6A3-EC4C6A507E53}"/>
    <cellStyle name="Normal 15 8 35" xfId="10678" xr:uid="{7BF34ADE-7862-4F91-946D-DF529972957A}"/>
    <cellStyle name="Normal 15 8 36" xfId="10679" xr:uid="{7428706A-5CBB-432E-9E14-B9308E69E021}"/>
    <cellStyle name="Normal 15 8 37" xfId="10680" xr:uid="{E33BC76D-30D0-450E-9890-20FA74E0B6B0}"/>
    <cellStyle name="Normal 15 8 4" xfId="10681" xr:uid="{E8A26536-333C-4EA1-942E-CF2CEFC8879E}"/>
    <cellStyle name="Normal 15 8 5" xfId="10682" xr:uid="{76637631-07E8-416D-9B13-80F8B73D4E51}"/>
    <cellStyle name="Normal 15 8 6" xfId="10683" xr:uid="{E6E54443-2AF5-4243-A297-EBE8772A6B00}"/>
    <cellStyle name="Normal 15 8 7" xfId="10684" xr:uid="{D4EDBA82-9F68-4040-9D04-F4D2431D7444}"/>
    <cellStyle name="Normal 15 8 8" xfId="10685" xr:uid="{0FB25479-3566-4F80-812F-5C600EA17D6D}"/>
    <cellStyle name="Normal 15 8 9" xfId="10686" xr:uid="{73DA2D0E-B635-45F5-BD37-2E2EE671D463}"/>
    <cellStyle name="Normal 15 9" xfId="10687" xr:uid="{51547981-1447-4EEE-94E5-47044844D077}"/>
    <cellStyle name="Normal 15 9 10" xfId="10688" xr:uid="{EA764B4F-BBFC-4B43-B9A7-62970A12EBDC}"/>
    <cellStyle name="Normal 15 9 11" xfId="10689" xr:uid="{FE71FC66-E8EB-43C8-AA66-51925F9AE70D}"/>
    <cellStyle name="Normal 15 9 12" xfId="10690" xr:uid="{CC77BAD7-DBDC-47B2-9966-3AB40B792C1E}"/>
    <cellStyle name="Normal 15 9 13" xfId="10691" xr:uid="{2FFBE260-0E25-44B9-BC92-6CAA224C3EE1}"/>
    <cellStyle name="Normal 15 9 14" xfId="10692" xr:uid="{92CC2FEB-464A-49A4-A7AF-C7474BCAB4E1}"/>
    <cellStyle name="Normal 15 9 15" xfId="10693" xr:uid="{17154A0F-811D-482E-A34C-7DFC08782DE0}"/>
    <cellStyle name="Normal 15 9 16" xfId="10694" xr:uid="{A39723F7-EAA1-4587-A16E-867EC370E95B}"/>
    <cellStyle name="Normal 15 9 17" xfId="10695" xr:uid="{76DCCA0C-592F-4072-8DB2-2D1CB76079E0}"/>
    <cellStyle name="Normal 15 9 18" xfId="10696" xr:uid="{B234FFC5-D416-493B-88C1-1F48FF826A99}"/>
    <cellStyle name="Normal 15 9 19" xfId="10697" xr:uid="{6E34C2E7-D16E-4A1F-9939-383F20930DD4}"/>
    <cellStyle name="Normal 15 9 2" xfId="10698" xr:uid="{EEF96108-E66E-4DBE-AA2B-7630F6CDE356}"/>
    <cellStyle name="Normal 15 9 20" xfId="10699" xr:uid="{20D519BC-CF3F-4BC0-BB84-EF939CE74BE3}"/>
    <cellStyle name="Normal 15 9 21" xfId="10700" xr:uid="{8184B242-3DAF-4B15-8026-AF270277E344}"/>
    <cellStyle name="Normal 15 9 22" xfId="10701" xr:uid="{E5025714-BA25-4950-81FA-A0CD4BC82132}"/>
    <cellStyle name="Normal 15 9 23" xfId="10702" xr:uid="{A8E54D1A-866D-4AAF-9CB1-41DCF209FEF3}"/>
    <cellStyle name="Normal 15 9 24" xfId="10703" xr:uid="{EEEF05C7-E7C2-45ED-BBF2-5AD7A8C58EE1}"/>
    <cellStyle name="Normal 15 9 25" xfId="10704" xr:uid="{97CA9994-FF11-4E24-ACD2-ABCC3797F265}"/>
    <cellStyle name="Normal 15 9 26" xfId="10705" xr:uid="{B129FF50-F524-4986-A238-C7486AF6C5B1}"/>
    <cellStyle name="Normal 15 9 27" xfId="10706" xr:uid="{709F1865-51C2-4B21-BF82-202ED781DEB7}"/>
    <cellStyle name="Normal 15 9 28" xfId="10707" xr:uid="{27CEABBE-7A38-4B1D-AF21-A6115BBC5D69}"/>
    <cellStyle name="Normal 15 9 29" xfId="10708" xr:uid="{F6A855BE-B514-4912-B787-307332D68BC1}"/>
    <cellStyle name="Normal 15 9 3" xfId="10709" xr:uid="{C30B4525-64FD-4B54-9D8D-15709201D41A}"/>
    <cellStyle name="Normal 15 9 30" xfId="10710" xr:uid="{85DC094C-DE3C-452B-9B36-D3FE5F1450F4}"/>
    <cellStyle name="Normal 15 9 31" xfId="10711" xr:uid="{0AB97007-5DF0-4721-9808-DDCC4364B7B8}"/>
    <cellStyle name="Normal 15 9 32" xfId="10712" xr:uid="{4A29E504-D26C-431E-914B-276867E58E21}"/>
    <cellStyle name="Normal 15 9 33" xfId="10713" xr:uid="{AFAEDFBC-1CC0-426F-88E4-DB3FAF7DED75}"/>
    <cellStyle name="Normal 15 9 34" xfId="10714" xr:uid="{909F2A50-A2BE-4D1B-800C-D8854C319765}"/>
    <cellStyle name="Normal 15 9 35" xfId="10715" xr:uid="{9113A8DD-4C72-4784-9779-52C319E9F7D2}"/>
    <cellStyle name="Normal 15 9 36" xfId="10716" xr:uid="{BE40CC29-0659-41B3-ACFF-F57FC1A443FB}"/>
    <cellStyle name="Normal 15 9 37" xfId="10717" xr:uid="{6CFBFFD3-ACAC-4AF0-A003-41FCA76C6FD9}"/>
    <cellStyle name="Normal 15 9 4" xfId="10718" xr:uid="{971F1A67-5DF4-41A7-87A8-B418C098DDC2}"/>
    <cellStyle name="Normal 15 9 5" xfId="10719" xr:uid="{95A7604A-C917-4270-BB0D-D599A94E4F3E}"/>
    <cellStyle name="Normal 15 9 6" xfId="10720" xr:uid="{137ADFD1-1CE6-468E-802D-FD3143C8A490}"/>
    <cellStyle name="Normal 15 9 7" xfId="10721" xr:uid="{01E43CB2-642D-492E-BBF7-CC4ED2E6D3AB}"/>
    <cellStyle name="Normal 15 9 8" xfId="10722" xr:uid="{EC1B4FFC-798B-41A7-8F7C-19569CE71125}"/>
    <cellStyle name="Normal 15 9 9" xfId="10723" xr:uid="{60278873-A0C4-4FE5-B22C-06B0051A8ECF}"/>
    <cellStyle name="Normal 150" xfId="42518" xr:uid="{D18DF146-A76F-4F44-A861-DC15A4E7FD08}"/>
    <cellStyle name="Normal 151" xfId="42519" xr:uid="{E79A8906-A2DA-4845-B65A-5C78E64F61B7}"/>
    <cellStyle name="Normal 152" xfId="42520" xr:uid="{CC8FFD47-7506-4614-96C8-31B3FF3044F5}"/>
    <cellStyle name="Normal 153" xfId="42521" xr:uid="{B5C19F28-54CE-48DE-A380-E1DDF0B4BEC0}"/>
    <cellStyle name="Normal 154" xfId="42522" xr:uid="{D1E9C2BA-2BF6-404F-938B-6BC4AD2D1CEC}"/>
    <cellStyle name="Normal 155" xfId="42523" xr:uid="{C43721A2-AFF5-459B-B213-6067C6DC2039}"/>
    <cellStyle name="Normal 156" xfId="42524" xr:uid="{9DEE8730-3727-407E-8074-45E9A27EDCAC}"/>
    <cellStyle name="Normal 157" xfId="42525" xr:uid="{CB49325F-16D1-4EEC-99CA-6BAB09D12778}"/>
    <cellStyle name="Normal 158" xfId="42526" xr:uid="{2EADCDBA-8A51-498B-9B3F-54A0AE12535F}"/>
    <cellStyle name="Normal 159" xfId="42527" xr:uid="{4A8362AC-1392-447C-BBD7-69BEF975E686}"/>
    <cellStyle name="Normal 16" xfId="1071" xr:uid="{AEB2AA79-03C7-438B-92AB-139B892028EF}"/>
    <cellStyle name="Normal 16 10" xfId="10724" xr:uid="{728BC697-BFD7-407B-BBB7-668A03B9A26D}"/>
    <cellStyle name="Normal 16 11" xfId="10725" xr:uid="{DBF57B21-1370-4AF1-98E9-ABC7220BE687}"/>
    <cellStyle name="Normal 16 12" xfId="10726" xr:uid="{93371BB4-3D58-434E-A637-75979F94B910}"/>
    <cellStyle name="Normal 16 13" xfId="10727" xr:uid="{29471121-7BB9-4F5D-A426-BFA931CCFDA8}"/>
    <cellStyle name="Normal 16 14" xfId="10728" xr:uid="{5CB9A832-42C3-4A56-A5EA-12E5586F2A80}"/>
    <cellStyle name="Normal 16 15" xfId="10729" xr:uid="{1AC93317-B48E-4492-85C0-348BEDBD45AE}"/>
    <cellStyle name="Normal 16 16" xfId="10730" xr:uid="{029B84F1-50DA-4D80-9C0E-D451FA0B0015}"/>
    <cellStyle name="Normal 16 17" xfId="10731" xr:uid="{C0A66767-F5FB-491D-B28D-7EE98BDD2B04}"/>
    <cellStyle name="Normal 16 18" xfId="10732" xr:uid="{28625C03-571E-4A18-A1DD-FC4765FA2DBD}"/>
    <cellStyle name="Normal 16 19" xfId="10733" xr:uid="{D8BEC8CE-73AF-4C8A-B4FB-7934926A1B20}"/>
    <cellStyle name="Normal 16 2" xfId="1495" xr:uid="{DB0FBE46-29D5-4290-8A65-B2D19683254A}"/>
    <cellStyle name="Normal 16 2 2" xfId="10734" xr:uid="{445740C1-019A-495F-9CFA-2C57D9B09B64}"/>
    <cellStyle name="Normal 16 2 2 2" xfId="10735" xr:uid="{59F5445D-7F8B-4B79-9C77-88CC7A4A4990}"/>
    <cellStyle name="Normal 16 2 2 3" xfId="10736" xr:uid="{A68A4B44-9BD8-49BC-A6AF-5D39658EF779}"/>
    <cellStyle name="Normal 16 2 3" xfId="10737" xr:uid="{B65AA33D-5070-45FF-970A-80E79FE5BE7D}"/>
    <cellStyle name="Normal 16 2 4" xfId="10738" xr:uid="{4BDDDAF2-57FA-420D-B3EC-080159D49DBD}"/>
    <cellStyle name="Normal 16 20" xfId="10739" xr:uid="{653090B3-C6BC-4AC0-BF1B-6835EFC493C4}"/>
    <cellStyle name="Normal 16 21" xfId="10740" xr:uid="{7F3BC4B3-9057-4D3C-A5E3-1580F73060FB}"/>
    <cellStyle name="Normal 16 22" xfId="10741" xr:uid="{7D8206EE-C8C0-418A-B89A-103C7EF90C7D}"/>
    <cellStyle name="Normal 16 23" xfId="10742" xr:uid="{CACE4A6E-12FB-4B1F-9BDC-C5AA14E49D62}"/>
    <cellStyle name="Normal 16 24" xfId="10743" xr:uid="{F4816C46-7C15-4D4C-AFF4-640DEE43481A}"/>
    <cellStyle name="Normal 16 25" xfId="10744" xr:uid="{22A420CE-DC77-4925-B0C9-A7A7EC912B48}"/>
    <cellStyle name="Normal 16 26" xfId="10745" xr:uid="{9E899B99-A4C6-4CB7-84D1-E7AE16116F0A}"/>
    <cellStyle name="Normal 16 27" xfId="10746" xr:uid="{14CFD14C-2598-4E54-89EE-4AE544A3F008}"/>
    <cellStyle name="Normal 16 28" xfId="10747" xr:uid="{F3C6B183-A526-44EA-ACCF-8F1D401E2562}"/>
    <cellStyle name="Normal 16 29" xfId="10748" xr:uid="{2B359882-978A-42B1-BCDC-40E9474BA8C8}"/>
    <cellStyle name="Normal 16 3" xfId="10749" xr:uid="{2D190D95-DD8B-4B3F-85D1-ABBF33693A55}"/>
    <cellStyle name="Normal 16 3 2" xfId="10750" xr:uid="{BF07BF53-E1AE-44D5-989F-479C74C4406A}"/>
    <cellStyle name="Normal 16 30" xfId="10751" xr:uid="{FE5196BA-3490-4754-B721-5390503E6E9A}"/>
    <cellStyle name="Normal 16 31" xfId="10752" xr:uid="{FE6C4C8C-8253-408A-9AE2-1E4A700C0C00}"/>
    <cellStyle name="Normal 16 32" xfId="10753" xr:uid="{B03E66C7-D611-45CF-9FBE-54FE4A2887A3}"/>
    <cellStyle name="Normal 16 33" xfId="10754" xr:uid="{CC705FB8-B7E9-4D2F-8327-733C4CAF4FDE}"/>
    <cellStyle name="Normal 16 34" xfId="10755" xr:uid="{4B1D86D6-4672-45A1-829E-1CB1C3CB4AE4}"/>
    <cellStyle name="Normal 16 35" xfId="10756" xr:uid="{0667EB35-29C1-46FC-B42F-A8D67E9B63C7}"/>
    <cellStyle name="Normal 16 36" xfId="10757" xr:uid="{BF6FA46F-8A0C-42D8-B2AB-7864E67CBBFA}"/>
    <cellStyle name="Normal 16 37" xfId="10758" xr:uid="{F20BE462-9BEC-41E7-908B-B6D5E8706445}"/>
    <cellStyle name="Normal 16 38" xfId="10759" xr:uid="{F22FBF6B-E9FD-475E-8794-1AE79230D545}"/>
    <cellStyle name="Normal 16 39" xfId="10760" xr:uid="{D8BF097C-9FC0-4EC9-93A8-F5ECFE4E5638}"/>
    <cellStyle name="Normal 16 4" xfId="10761" xr:uid="{D0B95514-FF7E-459B-9DE7-656DCF5E00E2}"/>
    <cellStyle name="Normal 16 40" xfId="10762" xr:uid="{FB33CC07-E77F-4600-99B5-84AD567DB54F}"/>
    <cellStyle name="Normal 16 41" xfId="10763" xr:uid="{407CBFFA-A002-464E-8414-018323C45984}"/>
    <cellStyle name="Normal 16 42" xfId="10764" xr:uid="{DAC60E34-764A-487B-BB6F-CA8FFE01B7B7}"/>
    <cellStyle name="Normal 16 43" xfId="10765" xr:uid="{1E8F30AA-E80A-4EAD-A652-5CA7DF93E7F4}"/>
    <cellStyle name="Normal 16 44" xfId="10766" xr:uid="{00B06197-C2EB-4692-838A-5AD22DAAA4F1}"/>
    <cellStyle name="Normal 16 45" xfId="10767" xr:uid="{F957317B-77D2-4FB9-BC7C-B48397F4211B}"/>
    <cellStyle name="Normal 16 5" xfId="10768" xr:uid="{C3536BB2-BAD3-4729-96F6-1CCA9C9AB693}"/>
    <cellStyle name="Normal 16 6" xfId="10769" xr:uid="{560625CB-AB58-48D8-A8C6-04AA0DCD4FAC}"/>
    <cellStyle name="Normal 16 7" xfId="10770" xr:uid="{8B438AAC-A37A-4906-BBEA-8E60C88C2C21}"/>
    <cellStyle name="Normal 16 8" xfId="10771" xr:uid="{63D255B0-24E7-42DB-B66E-D95775E57B78}"/>
    <cellStyle name="Normal 16 9" xfId="10772" xr:uid="{BF8F3D96-AC1E-4C5C-86A1-6426035E9A77}"/>
    <cellStyle name="Normal 160" xfId="42528" xr:uid="{7ED81E6A-F5FC-4CE1-8F0E-FBDCDAFBA64A}"/>
    <cellStyle name="Normal 161" xfId="42529" xr:uid="{76E1696E-F395-49B2-9889-A375972208F4}"/>
    <cellStyle name="Normal 162" xfId="42530" xr:uid="{A4385712-66C2-48B2-975F-841B25417484}"/>
    <cellStyle name="Normal 163" xfId="42531" xr:uid="{03E185FD-E8EE-4346-9D0C-451E69CC9509}"/>
    <cellStyle name="Normal 164" xfId="42532" xr:uid="{F7CAB920-D48B-441C-B08C-38F204F25106}"/>
    <cellStyle name="Normal 165" xfId="42533" xr:uid="{C6046FAB-CBF1-4E21-8387-BB3D81F9A04B}"/>
    <cellStyle name="Normal 166" xfId="42559" xr:uid="{36EB5039-E6D0-46F5-B531-2138EA8A4E90}"/>
    <cellStyle name="Normal 166 2" xfId="42562" xr:uid="{EE629335-8A5F-4498-BDC7-EA74DC28EEEB}"/>
    <cellStyle name="Normal 166 2 2" xfId="43965" xr:uid="{D7B389C6-85F9-40BD-B4FA-CECAE85BCD28}"/>
    <cellStyle name="Normal 167" xfId="43575" xr:uid="{439265F6-5C52-45CE-853F-9CE0F4C4FCA9}"/>
    <cellStyle name="Normal 168" xfId="43576" xr:uid="{15C15502-323F-4926-BFE1-2DC077775E39}"/>
    <cellStyle name="Normal 169" xfId="43577" xr:uid="{8F4523C9-05A9-4F0B-B50B-2E94566AFDFD}"/>
    <cellStyle name="Normal 17" xfId="1072" xr:uid="{4F9FEBC3-BA17-4447-9071-09717CC285AB}"/>
    <cellStyle name="Normal 17 10" xfId="10773" xr:uid="{D6122F9D-6906-4A95-A8E3-018C419EAFB1}"/>
    <cellStyle name="Normal 17 11" xfId="10774" xr:uid="{6E00224A-D7BB-458F-9E82-E947D2DF5A8F}"/>
    <cellStyle name="Normal 17 12" xfId="10775" xr:uid="{6BF5DFE3-91F2-4B08-A9A2-4D32EDEBAF5C}"/>
    <cellStyle name="Normal 17 13" xfId="10776" xr:uid="{D38D0944-DEA8-441D-9A10-CD9CE2F31C7F}"/>
    <cellStyle name="Normal 17 14" xfId="10777" xr:uid="{81B6DC98-719A-49F7-AA20-2330E3EA9C9A}"/>
    <cellStyle name="Normal 17 15" xfId="10778" xr:uid="{CFACE0FA-B7E6-4705-A115-12FBD1D92DD9}"/>
    <cellStyle name="Normal 17 16" xfId="10779" xr:uid="{D72E7C4D-08A4-4660-8CCA-64CE7EE19C9A}"/>
    <cellStyle name="Normal 17 17" xfId="10780" xr:uid="{DF658BE9-5072-45D9-AAD1-059DE2BA7D6C}"/>
    <cellStyle name="Normal 17 18" xfId="10781" xr:uid="{35D23516-E022-4F27-A6C0-2F81C32D55B0}"/>
    <cellStyle name="Normal 17 19" xfId="10782" xr:uid="{6823DD97-00C4-4EE7-87EE-F1D167ABB567}"/>
    <cellStyle name="Normal 17 2" xfId="1685" xr:uid="{70DDF1E4-A71D-498E-A26F-CB8ED92DF03D}"/>
    <cellStyle name="Normal 17 20" xfId="10783" xr:uid="{E54DB93A-5AC3-46A7-9BE9-CC0734355E39}"/>
    <cellStyle name="Normal 17 21" xfId="10784" xr:uid="{6C45BD23-5D4A-4099-83B9-755E8950E5FF}"/>
    <cellStyle name="Normal 17 22" xfId="10785" xr:uid="{C10D3662-3E8B-45DD-9156-400D140EEBAA}"/>
    <cellStyle name="Normal 17 23" xfId="10786" xr:uid="{84730126-1AFB-42B4-95A8-C2E241258A2A}"/>
    <cellStyle name="Normal 17 24" xfId="10787" xr:uid="{82155909-021A-4698-A030-D1BA91B0E97F}"/>
    <cellStyle name="Normal 17 25" xfId="10788" xr:uid="{30797FAA-B565-4159-9977-4C763127BD77}"/>
    <cellStyle name="Normal 17 26" xfId="10789" xr:uid="{19AF4589-4F66-4E48-BF14-5803DFEF796A}"/>
    <cellStyle name="Normal 17 27" xfId="10790" xr:uid="{5C1DD40C-558F-422D-90A7-A182C1DAC559}"/>
    <cellStyle name="Normal 17 28" xfId="10791" xr:uid="{1676754D-D493-4DE7-9C4F-0E05833E3097}"/>
    <cellStyle name="Normal 17 29" xfId="10792" xr:uid="{A02632A3-0A61-4345-8780-401378E4CB99}"/>
    <cellStyle name="Normal 17 3" xfId="10793" xr:uid="{DD5320AE-8203-40E3-9A01-B33F6A685B9C}"/>
    <cellStyle name="Normal 17 30" xfId="10794" xr:uid="{5B074FF0-4D37-4335-B398-EB7150FD84F8}"/>
    <cellStyle name="Normal 17 31" xfId="10795" xr:uid="{F6E34BCC-05B6-4219-B2A9-96FFF0A4C5A2}"/>
    <cellStyle name="Normal 17 32" xfId="10796" xr:uid="{51D86488-0344-4450-ABE8-CCB5281C97D0}"/>
    <cellStyle name="Normal 17 33" xfId="10797" xr:uid="{E3CD9EBB-6243-4BB3-8EE9-058F6D5E8244}"/>
    <cellStyle name="Normal 17 34" xfId="10798" xr:uid="{C6724316-C34D-4395-B441-42C5B1FD3E1E}"/>
    <cellStyle name="Normal 17 35" xfId="10799" xr:uid="{1FFFC46A-21F9-4600-B5CA-E11121D935F9}"/>
    <cellStyle name="Normal 17 36" xfId="10800" xr:uid="{C3AB096F-CC99-4E7F-80DB-5CB4DAEA27CF}"/>
    <cellStyle name="Normal 17 37" xfId="10801" xr:uid="{D72C43AF-1396-4861-8B7B-CCD2E989C8A6}"/>
    <cellStyle name="Normal 17 38" xfId="10802" xr:uid="{4069E9F1-57CC-4561-88A3-7A042EAA2B98}"/>
    <cellStyle name="Normal 17 39" xfId="10803" xr:uid="{740218CE-8DCA-45B8-8EB6-C7E89A00B9BE}"/>
    <cellStyle name="Normal 17 4" xfId="10804" xr:uid="{C6F61BC6-5AE6-49C3-ABDE-3D90BDE8809E}"/>
    <cellStyle name="Normal 17 40" xfId="10805" xr:uid="{50802563-C7D9-4A19-A152-D1DDBBE32890}"/>
    <cellStyle name="Normal 17 41" xfId="10806" xr:uid="{92719C0B-4A5E-4B93-987B-F393A284B1F7}"/>
    <cellStyle name="Normal 17 42" xfId="10807" xr:uid="{9BC46047-4B1A-4BC6-8B42-1CF6689F88B9}"/>
    <cellStyle name="Normal 17 43" xfId="10808" xr:uid="{CB166401-046F-47A8-A37F-C76246A888DB}"/>
    <cellStyle name="Normal 17 44" xfId="10809" xr:uid="{3837A5EE-F0AA-41B9-9CD1-983BA66F6C31}"/>
    <cellStyle name="Normal 17 5" xfId="10810" xr:uid="{54093E99-771D-4EC0-810D-116F7B06CC18}"/>
    <cellStyle name="Normal 17 6" xfId="10811" xr:uid="{902D25C5-B978-402E-AD5C-D6BD4079EFC2}"/>
    <cellStyle name="Normal 17 7" xfId="10812" xr:uid="{AE3A883D-F3E4-4C66-9A72-3B82C14D5BE9}"/>
    <cellStyle name="Normal 17 8" xfId="10813" xr:uid="{15BEF569-1D01-4D33-8049-B1B5BE36ADF9}"/>
    <cellStyle name="Normal 17 9" xfId="10814" xr:uid="{4151C90C-2C64-4FA3-9073-52397E5E79D9}"/>
    <cellStyle name="Normal 170" xfId="43578" xr:uid="{5FD8651A-8A47-4BBF-A555-AD4746705465}"/>
    <cellStyle name="Normal 171" xfId="43579" xr:uid="{B2CCD40F-92EC-41AA-B9C5-CCCCDCC6039B}"/>
    <cellStyle name="Normal 171 2" xfId="43580" xr:uid="{18157D3B-ABB4-40E5-A8E0-5A98955EADDF}"/>
    <cellStyle name="Normal 172" xfId="43581" xr:uid="{BD84EEE3-F94C-46EA-98FE-F4D3FE6E534B}"/>
    <cellStyle name="Normal 173" xfId="42569" xr:uid="{30BD1F46-8113-465C-B926-AB91EC11C734}"/>
    <cellStyle name="Normal 174" xfId="43954" xr:uid="{D130D748-0406-40D1-B696-8A9C0FBFF02E}"/>
    <cellStyle name="Normal 174 2" xfId="43966" xr:uid="{A198702E-66EF-4335-AE4A-19431BBADB5D}"/>
    <cellStyle name="Normal 175" xfId="43963" xr:uid="{E1EBFDD8-A081-4095-BB7B-20982CA247F2}"/>
    <cellStyle name="Normal 175 2" xfId="43980" xr:uid="{29A94BDB-5471-4067-A1B3-F90D046084A3}"/>
    <cellStyle name="Normal 176" xfId="43964" xr:uid="{61371CB0-D0AE-46A6-9D55-5916F2B174A4}"/>
    <cellStyle name="Normal 176 2" xfId="43962" xr:uid="{A31F17CB-F28C-4273-912B-5C4E84BDCEC1}"/>
    <cellStyle name="Normal 177" xfId="30" xr:uid="{B562E182-B84D-46FB-BB71-737EEBF7995F}"/>
    <cellStyle name="Normal 177 2" xfId="43974" xr:uid="{71144A53-AE67-42C2-AAC8-983E5CCB1C9D}"/>
    <cellStyle name="Normal 178" xfId="43985" xr:uid="{09A309B2-7349-4305-9BC4-A672D4CEA3BD}"/>
    <cellStyle name="Normal 18" xfId="1073" xr:uid="{E7963FB0-F71F-411D-9B63-194911AB807F}"/>
    <cellStyle name="Normal 18 10" xfId="10815" xr:uid="{B5F4EDD1-E1E6-4ED4-8BC0-114B95FA601B}"/>
    <cellStyle name="Normal 18 10 10" xfId="10816" xr:uid="{672137DA-8FDF-4011-9D10-B39E359D662C}"/>
    <cellStyle name="Normal 18 10 11" xfId="10817" xr:uid="{6A96BCAA-DF9B-4779-947D-8DFB18595549}"/>
    <cellStyle name="Normal 18 10 12" xfId="10818" xr:uid="{3F407A8E-75AB-47E6-9E15-08DDA43D60C0}"/>
    <cellStyle name="Normal 18 10 13" xfId="10819" xr:uid="{E2762DD6-7A02-4BD3-8B31-000575AE4FAF}"/>
    <cellStyle name="Normal 18 10 2" xfId="10820" xr:uid="{7A5AA43B-CAE0-40C5-B0C2-53DD3214990D}"/>
    <cellStyle name="Normal 18 10 2 2" xfId="10821" xr:uid="{56086637-9E13-453D-A028-8C8F11D0F356}"/>
    <cellStyle name="Normal 18 10 2 3" xfId="10822" xr:uid="{0D94A291-9355-4328-9033-970EA61A19BB}"/>
    <cellStyle name="Normal 18 10 2 4" xfId="10823" xr:uid="{2EF9CAF0-6D9E-4DB3-A5E3-F3B764A8408C}"/>
    <cellStyle name="Normal 18 10 2 5" xfId="10824" xr:uid="{4537D1F6-C9D5-47E8-A2DA-C325847A448D}"/>
    <cellStyle name="Normal 18 10 2 6" xfId="10825" xr:uid="{690E7A02-3069-4138-B079-C03D24E254FD}"/>
    <cellStyle name="Normal 18 10 3" xfId="10826" xr:uid="{503B6406-4C00-4612-A80E-C3CF0D4D4245}"/>
    <cellStyle name="Normal 18 10 3 2" xfId="10827" xr:uid="{3AB36730-012D-46AD-9E72-A47BC65E0839}"/>
    <cellStyle name="Normal 18 10 3 3" xfId="10828" xr:uid="{9C12356E-CB3A-473B-A6CB-F2DA4DB490D2}"/>
    <cellStyle name="Normal 18 10 3 4" xfId="10829" xr:uid="{53CEF946-2149-4CCB-A22E-818E5906CD38}"/>
    <cellStyle name="Normal 18 10 3 5" xfId="10830" xr:uid="{A5E0353E-3575-4AB2-B745-7AD641750244}"/>
    <cellStyle name="Normal 18 10 3 6" xfId="10831" xr:uid="{D9BD8A98-B9E3-4275-BAF2-114B5A034641}"/>
    <cellStyle name="Normal 18 10 4" xfId="10832" xr:uid="{F262A188-9B30-4D7A-A0AA-DBB91C56FB5C}"/>
    <cellStyle name="Normal 18 10 4 2" xfId="10833" xr:uid="{2F748C80-CAED-46E4-8CF4-6E4A2F253CCE}"/>
    <cellStyle name="Normal 18 10 4 3" xfId="10834" xr:uid="{3E8179A2-8E6D-403D-B035-2BD021650203}"/>
    <cellStyle name="Normal 18 10 4 4" xfId="10835" xr:uid="{641D0380-B7F9-467B-8387-E173221B8E84}"/>
    <cellStyle name="Normal 18 10 4 5" xfId="10836" xr:uid="{CD9B581B-F8DC-448C-B946-85F8A8C42241}"/>
    <cellStyle name="Normal 18 10 4 6" xfId="10837" xr:uid="{47186EE4-6114-4562-85D0-7C97BB48096F}"/>
    <cellStyle name="Normal 18 10 5" xfId="10838" xr:uid="{4AEEC9BB-BEDD-4381-9346-7DDE60B5567E}"/>
    <cellStyle name="Normal 18 10 5 2" xfId="10839" xr:uid="{3967DF15-ED2A-4428-AA81-DA0DC38E833A}"/>
    <cellStyle name="Normal 18 10 5 3" xfId="10840" xr:uid="{B44D35E0-855B-4A0B-9DEE-051F1608DD8D}"/>
    <cellStyle name="Normal 18 10 5 4" xfId="10841" xr:uid="{673BAF3D-C88A-4873-B0FE-B99F8A750A95}"/>
    <cellStyle name="Normal 18 10 5 5" xfId="10842" xr:uid="{8E626228-8DDD-4BB5-B959-80539D44B66F}"/>
    <cellStyle name="Normal 18 10 5 6" xfId="10843" xr:uid="{1E22A4D1-28F1-4693-96B5-2C10E4544AE6}"/>
    <cellStyle name="Normal 18 10 6" xfId="10844" xr:uid="{BCC44489-0779-4D32-929B-C6566979DA1A}"/>
    <cellStyle name="Normal 18 10 6 2" xfId="10845" xr:uid="{4979F1FB-58F0-4C3C-BDC2-097EFD8CE9FB}"/>
    <cellStyle name="Normal 18 10 6 3" xfId="10846" xr:uid="{65767BBB-C2E4-4906-B2ED-487F7CE5C7FC}"/>
    <cellStyle name="Normal 18 10 6 4" xfId="10847" xr:uid="{FFC3178E-41BD-4473-BB99-9AD45C3E0BE1}"/>
    <cellStyle name="Normal 18 10 6 5" xfId="10848" xr:uid="{2420B31B-748B-43E7-931E-451DBEA008BD}"/>
    <cellStyle name="Normal 18 10 6 6" xfId="10849" xr:uid="{ECA2D3CF-721E-4AB0-AD03-BBA37580A857}"/>
    <cellStyle name="Normal 18 10 7" xfId="10850" xr:uid="{16C8A950-1276-41EB-BF78-4BAE01CA204A}"/>
    <cellStyle name="Normal 18 10 7 2" xfId="10851" xr:uid="{8D97D32A-1791-4ADC-9182-323F312ACCA6}"/>
    <cellStyle name="Normal 18 10 7 3" xfId="10852" xr:uid="{2E1DA7EA-BBC1-4EFC-92D5-0F0FF06F3527}"/>
    <cellStyle name="Normal 18 10 7 4" xfId="10853" xr:uid="{AB1C884C-485D-4B8A-B75B-5B3ED01AE4ED}"/>
    <cellStyle name="Normal 18 10 7 5" xfId="10854" xr:uid="{0A429F15-D0EC-4C6F-895F-FE143C1743CC}"/>
    <cellStyle name="Normal 18 10 7 6" xfId="10855" xr:uid="{CD17E1B8-A482-4C32-B3DB-6A414C0E8E02}"/>
    <cellStyle name="Normal 18 10 8" xfId="10856" xr:uid="{D305FE60-5DAB-454C-AC38-D0BAEA0C8258}"/>
    <cellStyle name="Normal 18 10 8 2" xfId="10857" xr:uid="{EE3688B3-2E55-48C4-B380-7F49F963B82F}"/>
    <cellStyle name="Normal 18 10 8 3" xfId="10858" xr:uid="{33B0FD30-EA9D-4512-894B-2FA03871293D}"/>
    <cellStyle name="Normal 18 10 8 4" xfId="10859" xr:uid="{96E0CD66-2199-4EE9-ADC3-2E2C5F3E6694}"/>
    <cellStyle name="Normal 18 10 8 5" xfId="10860" xr:uid="{668B24E9-FCC6-4291-98D5-6EA726D9D45A}"/>
    <cellStyle name="Normal 18 10 8 6" xfId="10861" xr:uid="{E5D0B067-21AE-484F-8575-4F492A7B143E}"/>
    <cellStyle name="Normal 18 10 9" xfId="10862" xr:uid="{7C221367-BFE2-4025-BE7F-27B4CD046D4F}"/>
    <cellStyle name="Normal 18 11" xfId="10863" xr:uid="{268BA6E0-B313-4FD0-A761-E4DECFA9F78F}"/>
    <cellStyle name="Normal 18 11 10" xfId="10864" xr:uid="{A2C53B87-675D-4E88-A2FF-8BC0EA45FA73}"/>
    <cellStyle name="Normal 18 11 11" xfId="10865" xr:uid="{C95CF714-274A-4D18-9C28-8C1DA1E5A9FF}"/>
    <cellStyle name="Normal 18 11 12" xfId="10866" xr:uid="{DF574B26-C8AC-4407-801A-B5592F8604FA}"/>
    <cellStyle name="Normal 18 11 13" xfId="10867" xr:uid="{1F6F0830-A4BB-4FA6-AD73-A9B4D0E0255E}"/>
    <cellStyle name="Normal 18 11 2" xfId="10868" xr:uid="{369C07E9-ECD8-4DE9-BB99-ED35D95BE1CB}"/>
    <cellStyle name="Normal 18 11 2 2" xfId="10869" xr:uid="{8472C687-6F81-4A17-AE15-2BC6D5CF8B2E}"/>
    <cellStyle name="Normal 18 11 2 3" xfId="10870" xr:uid="{E624D096-3CB9-4A1A-B69D-AA43973887A6}"/>
    <cellStyle name="Normal 18 11 2 4" xfId="10871" xr:uid="{4518E619-B024-430C-8735-E9518A02C331}"/>
    <cellStyle name="Normal 18 11 2 5" xfId="10872" xr:uid="{27D02166-60A9-4E0A-BA9F-F2AD767545D9}"/>
    <cellStyle name="Normal 18 11 2 6" xfId="10873" xr:uid="{08DB3EAE-FFE9-4B45-85C6-0B53097F64E7}"/>
    <cellStyle name="Normal 18 11 3" xfId="10874" xr:uid="{84FDF190-E936-4424-98E2-293DCA3437A2}"/>
    <cellStyle name="Normal 18 11 3 2" xfId="10875" xr:uid="{632B0932-876F-4247-8913-B15472F9F181}"/>
    <cellStyle name="Normal 18 11 3 3" xfId="10876" xr:uid="{3E5FBAF8-D3C0-45E6-9D08-8597FDCAAE01}"/>
    <cellStyle name="Normal 18 11 3 4" xfId="10877" xr:uid="{2D348A2E-4C94-4B4C-92ED-51BC0A134742}"/>
    <cellStyle name="Normal 18 11 3 5" xfId="10878" xr:uid="{B9BBF079-C356-4FFA-950D-650FD9B45A4D}"/>
    <cellStyle name="Normal 18 11 3 6" xfId="10879" xr:uid="{1A573D0A-26AC-47E2-A58F-BBCB5D51F594}"/>
    <cellStyle name="Normal 18 11 4" xfId="10880" xr:uid="{EC792FB7-6F3E-4B2A-ABCD-EFCC46FFEB11}"/>
    <cellStyle name="Normal 18 11 4 2" xfId="10881" xr:uid="{9644A391-913F-4385-A19A-AEA37CBF77FE}"/>
    <cellStyle name="Normal 18 11 4 3" xfId="10882" xr:uid="{3D182B21-8A5A-4752-977A-0FCC4786B784}"/>
    <cellStyle name="Normal 18 11 4 4" xfId="10883" xr:uid="{C458EAC1-E38B-4A23-8FB0-012106086022}"/>
    <cellStyle name="Normal 18 11 4 5" xfId="10884" xr:uid="{60963C88-6EE9-43F6-91F2-888E105861D8}"/>
    <cellStyle name="Normal 18 11 4 6" xfId="10885" xr:uid="{38C0CA33-FAE9-44BB-8020-EC22B1F939FD}"/>
    <cellStyle name="Normal 18 11 5" xfId="10886" xr:uid="{E13C99EC-0F57-4B8E-A4F7-E24181EB59E8}"/>
    <cellStyle name="Normal 18 11 5 2" xfId="10887" xr:uid="{E2DE4F0D-B100-48D7-9C09-DEC95362E738}"/>
    <cellStyle name="Normal 18 11 5 3" xfId="10888" xr:uid="{98095562-6DC2-46AB-9485-655F7A1BE2E4}"/>
    <cellStyle name="Normal 18 11 5 4" xfId="10889" xr:uid="{9A353C99-5E09-43B4-9C95-CF0348EEACCE}"/>
    <cellStyle name="Normal 18 11 5 5" xfId="10890" xr:uid="{287C4F26-25A4-4500-8C85-B701FCFC9E87}"/>
    <cellStyle name="Normal 18 11 5 6" xfId="10891" xr:uid="{DABE95A1-313B-4F8B-A1A0-867B40460327}"/>
    <cellStyle name="Normal 18 11 6" xfId="10892" xr:uid="{54CDDC50-42FF-4E93-84C6-E6A14934A273}"/>
    <cellStyle name="Normal 18 11 6 2" xfId="10893" xr:uid="{D1E90735-22F2-4B49-A242-2C0052DFB148}"/>
    <cellStyle name="Normal 18 11 6 3" xfId="10894" xr:uid="{02355D10-30E2-4FF0-8827-106C1E9D09E3}"/>
    <cellStyle name="Normal 18 11 6 4" xfId="10895" xr:uid="{470F4D9D-AE37-4178-B31E-1E1636280BF3}"/>
    <cellStyle name="Normal 18 11 6 5" xfId="10896" xr:uid="{A43328BF-AD92-4588-94C1-4E6D2EACD7E0}"/>
    <cellStyle name="Normal 18 11 6 6" xfId="10897" xr:uid="{7D055ED8-6054-4875-9B6C-64F651ADDB89}"/>
    <cellStyle name="Normal 18 11 7" xfId="10898" xr:uid="{B9E0B91C-4B84-49C6-A259-3505DEDF82FF}"/>
    <cellStyle name="Normal 18 11 7 2" xfId="10899" xr:uid="{4E26FA29-1EF7-435B-BAA5-C765B3A2E05C}"/>
    <cellStyle name="Normal 18 11 7 3" xfId="10900" xr:uid="{6C68EA35-EEEB-4FC6-9E15-032BCB352275}"/>
    <cellStyle name="Normal 18 11 7 4" xfId="10901" xr:uid="{43E3C3B2-4F6E-46D2-9F3C-85FEFFB489C9}"/>
    <cellStyle name="Normal 18 11 7 5" xfId="10902" xr:uid="{89D2B455-AC6B-4613-910B-69257D502A72}"/>
    <cellStyle name="Normal 18 11 7 6" xfId="10903" xr:uid="{174DDEAB-CEC2-4729-A4CF-4FC822659B05}"/>
    <cellStyle name="Normal 18 11 8" xfId="10904" xr:uid="{54223016-5E21-4B3F-BC9B-2971F8B41187}"/>
    <cellStyle name="Normal 18 11 8 2" xfId="10905" xr:uid="{C5FC9813-1F79-463C-8852-927F4822BC19}"/>
    <cellStyle name="Normal 18 11 8 3" xfId="10906" xr:uid="{A9B90066-5851-4DD2-80BF-27498930A72B}"/>
    <cellStyle name="Normal 18 11 8 4" xfId="10907" xr:uid="{DBA1C801-02C2-4C1D-A332-4338F33162E9}"/>
    <cellStyle name="Normal 18 11 8 5" xfId="10908" xr:uid="{7F88E487-2889-4088-8B0F-062B640E328D}"/>
    <cellStyle name="Normal 18 11 8 6" xfId="10909" xr:uid="{D5AC8B58-00D8-45D1-8832-DAA952238E2D}"/>
    <cellStyle name="Normal 18 11 9" xfId="10910" xr:uid="{D5ACC4EC-4724-4D5C-92E0-9AE96B84B5C3}"/>
    <cellStyle name="Normal 18 12" xfId="10911" xr:uid="{953840CC-8FB9-4C69-BB28-9099A31A1839}"/>
    <cellStyle name="Normal 18 12 10" xfId="10912" xr:uid="{E97670E6-9126-44F0-A772-72B57676A91E}"/>
    <cellStyle name="Normal 18 12 11" xfId="10913" xr:uid="{D09B2313-72C4-4C88-8241-A84EFA0650CE}"/>
    <cellStyle name="Normal 18 12 12" xfId="10914" xr:uid="{FDDE0EE1-7883-4AE7-82B8-CF5E4FBC163D}"/>
    <cellStyle name="Normal 18 12 13" xfId="10915" xr:uid="{DB04A6F9-5934-4C71-B5C0-C8EB62215079}"/>
    <cellStyle name="Normal 18 12 2" xfId="10916" xr:uid="{AA1E3BE3-8930-4B48-9440-CC8470458083}"/>
    <cellStyle name="Normal 18 12 2 2" xfId="10917" xr:uid="{8614955A-0A23-4CA5-9A05-F1C8EC2A598F}"/>
    <cellStyle name="Normal 18 12 2 3" xfId="10918" xr:uid="{6F1B2EF0-DC02-400E-9A5B-880D066EE504}"/>
    <cellStyle name="Normal 18 12 2 4" xfId="10919" xr:uid="{6E0C38DD-CD3E-47C1-9E5A-26CF80A5F964}"/>
    <cellStyle name="Normal 18 12 2 5" xfId="10920" xr:uid="{3C9C1B4F-1B06-4546-A5D4-417303061DD7}"/>
    <cellStyle name="Normal 18 12 2 6" xfId="10921" xr:uid="{A70D509C-1137-43AB-AC84-36CB04E60E17}"/>
    <cellStyle name="Normal 18 12 3" xfId="10922" xr:uid="{B4D5C262-CD42-473F-BCC6-4F5790D9BB2F}"/>
    <cellStyle name="Normal 18 12 3 2" xfId="10923" xr:uid="{62DA7D41-6AD5-4F19-A972-873B88EDB1A4}"/>
    <cellStyle name="Normal 18 12 3 3" xfId="10924" xr:uid="{12B0D7C2-D93B-4C90-BD52-1BEA263C2CBB}"/>
    <cellStyle name="Normal 18 12 3 4" xfId="10925" xr:uid="{A4A6BB91-C435-4066-8F36-6EDE131C5E57}"/>
    <cellStyle name="Normal 18 12 3 5" xfId="10926" xr:uid="{F29F6C32-5E92-43BC-ADAB-8D01B1440C1D}"/>
    <cellStyle name="Normal 18 12 3 6" xfId="10927" xr:uid="{E8DDA3D3-51D8-4372-BA00-046E9B8116FB}"/>
    <cellStyle name="Normal 18 12 4" xfId="10928" xr:uid="{EE32464B-F142-47FF-BF15-6C5C0F1A5A5C}"/>
    <cellStyle name="Normal 18 12 4 2" xfId="10929" xr:uid="{44D59D3A-7F2C-4E42-83E3-5BF6727DF632}"/>
    <cellStyle name="Normal 18 12 4 3" xfId="10930" xr:uid="{0201C74B-4E0B-488E-AA36-5C1668A812C0}"/>
    <cellStyle name="Normal 18 12 4 4" xfId="10931" xr:uid="{6681041F-380B-4E11-AAB3-31B1B6B21C01}"/>
    <cellStyle name="Normal 18 12 4 5" xfId="10932" xr:uid="{2441443F-6291-4E09-923F-F733422B40AD}"/>
    <cellStyle name="Normal 18 12 4 6" xfId="10933" xr:uid="{CFB9B31C-3288-40F8-B0A6-BD6EB59196AE}"/>
    <cellStyle name="Normal 18 12 5" xfId="10934" xr:uid="{DCD4863D-CB93-465D-BD2D-46106C635468}"/>
    <cellStyle name="Normal 18 12 5 2" xfId="10935" xr:uid="{72585EB2-AEF5-4532-A86C-E51B8D27A0A0}"/>
    <cellStyle name="Normal 18 12 5 3" xfId="10936" xr:uid="{E29CA8C7-4ECA-43BD-8A71-832F0527507D}"/>
    <cellStyle name="Normal 18 12 5 4" xfId="10937" xr:uid="{A08F79AC-7962-4881-80B0-878F660B85F2}"/>
    <cellStyle name="Normal 18 12 5 5" xfId="10938" xr:uid="{33F09638-AA12-4401-81DF-D2FBC6B19745}"/>
    <cellStyle name="Normal 18 12 5 6" xfId="10939" xr:uid="{ACED6EE9-57CA-4595-BD77-DF99679C6415}"/>
    <cellStyle name="Normal 18 12 6" xfId="10940" xr:uid="{654B7BE9-206D-43D8-8A29-7B0AECF7C0BB}"/>
    <cellStyle name="Normal 18 12 6 2" xfId="10941" xr:uid="{DC7BE4DC-0068-496F-987B-592A5D749DF1}"/>
    <cellStyle name="Normal 18 12 6 3" xfId="10942" xr:uid="{864FD73B-6870-4784-BEEE-7D9E8E000B99}"/>
    <cellStyle name="Normal 18 12 6 4" xfId="10943" xr:uid="{B620721E-5C0D-4F2B-980C-C31B23D4271C}"/>
    <cellStyle name="Normal 18 12 6 5" xfId="10944" xr:uid="{0D22827C-069F-4BE8-A56F-E8F2FF40D51E}"/>
    <cellStyle name="Normal 18 12 6 6" xfId="10945" xr:uid="{8265D8E9-7021-4980-A809-E0E7139BD541}"/>
    <cellStyle name="Normal 18 12 7" xfId="10946" xr:uid="{8C53780A-667E-4159-B054-2757EF7AD0E8}"/>
    <cellStyle name="Normal 18 12 7 2" xfId="10947" xr:uid="{C8021C59-E599-4653-8F6D-D93782A01D0F}"/>
    <cellStyle name="Normal 18 12 7 3" xfId="10948" xr:uid="{A05152CE-D69D-4356-A5A5-2F133353EBC0}"/>
    <cellStyle name="Normal 18 12 7 4" xfId="10949" xr:uid="{EBEFFBF4-AB46-4C61-9F32-69181F543B4C}"/>
    <cellStyle name="Normal 18 12 7 5" xfId="10950" xr:uid="{3E04F75F-E499-448A-A9A3-228EA578C3E2}"/>
    <cellStyle name="Normal 18 12 7 6" xfId="10951" xr:uid="{EA1D027F-7838-4297-BFDD-BE4AC9E9BE4C}"/>
    <cellStyle name="Normal 18 12 8" xfId="10952" xr:uid="{1771FD61-875E-4C6F-9EA1-5D568CB41951}"/>
    <cellStyle name="Normal 18 12 8 2" xfId="10953" xr:uid="{A6ABEB5E-9891-47B8-AD0C-6029C55E3AA8}"/>
    <cellStyle name="Normal 18 12 8 3" xfId="10954" xr:uid="{FF5ED69D-5F26-4E5A-9F58-50E446C72264}"/>
    <cellStyle name="Normal 18 12 8 4" xfId="10955" xr:uid="{950E9F62-BC70-43CB-8E65-D746BF948D5E}"/>
    <cellStyle name="Normal 18 12 8 5" xfId="10956" xr:uid="{4C575F1F-BFB9-4C7F-B9B6-FD4B5E90D458}"/>
    <cellStyle name="Normal 18 12 8 6" xfId="10957" xr:uid="{E595516B-1610-4E93-AE40-ECA7CB7403FE}"/>
    <cellStyle name="Normal 18 12 9" xfId="10958" xr:uid="{01205065-2C80-402C-AF47-3A4F0BE76B0F}"/>
    <cellStyle name="Normal 18 13" xfId="10959" xr:uid="{7665F50E-4901-4F50-ABEB-45ABCB5F4DD7}"/>
    <cellStyle name="Normal 18 13 10" xfId="10960" xr:uid="{EB9A23C2-C323-40BD-A2E7-7438929A8168}"/>
    <cellStyle name="Normal 18 13 11" xfId="10961" xr:uid="{6157642A-A99C-452E-9853-2F32AC0EB802}"/>
    <cellStyle name="Normal 18 13 12" xfId="10962" xr:uid="{ED86AF4E-06AF-4460-8B8B-866401C4525D}"/>
    <cellStyle name="Normal 18 13 13" xfId="10963" xr:uid="{BB1721CA-EBD8-46DD-BA74-206BF374DA5C}"/>
    <cellStyle name="Normal 18 13 2" xfId="10964" xr:uid="{3F8A371A-B4B8-453A-B0C1-2015B157A810}"/>
    <cellStyle name="Normal 18 13 2 2" xfId="10965" xr:uid="{40F03EE7-5CE5-42E0-91C9-6FE523095B13}"/>
    <cellStyle name="Normal 18 13 2 3" xfId="10966" xr:uid="{7178CFDB-58C6-47DB-A6EC-7CE1109368C0}"/>
    <cellStyle name="Normal 18 13 2 4" xfId="10967" xr:uid="{44D490DC-B507-49EB-BBE8-0FDE41B830B9}"/>
    <cellStyle name="Normal 18 13 2 5" xfId="10968" xr:uid="{BD0530D9-95F0-4473-86C1-CB2096DCFFD4}"/>
    <cellStyle name="Normal 18 13 2 6" xfId="10969" xr:uid="{214F5AB9-E9A0-4FEB-AAE7-658BF930C929}"/>
    <cellStyle name="Normal 18 13 3" xfId="10970" xr:uid="{7C54E183-844E-41B8-835A-0E7D46769D31}"/>
    <cellStyle name="Normal 18 13 3 2" xfId="10971" xr:uid="{DF7918DE-79E0-40C1-9965-E9756B04A474}"/>
    <cellStyle name="Normal 18 13 3 3" xfId="10972" xr:uid="{03857482-AF79-4E4C-9C94-5C135479661D}"/>
    <cellStyle name="Normal 18 13 3 4" xfId="10973" xr:uid="{A8DE13A5-D315-48BC-8739-ACADA0BAE042}"/>
    <cellStyle name="Normal 18 13 3 5" xfId="10974" xr:uid="{C8BEF857-A8E9-4ED9-93A0-C7BC50D8DA9E}"/>
    <cellStyle name="Normal 18 13 3 6" xfId="10975" xr:uid="{219352AA-985F-42F9-A366-B34C7F497487}"/>
    <cellStyle name="Normal 18 13 4" xfId="10976" xr:uid="{0D91E7B5-5802-45D7-8FCC-243F5D488CDF}"/>
    <cellStyle name="Normal 18 13 4 2" xfId="10977" xr:uid="{B97E38A6-0689-4783-9B4C-4E5D0CB5384A}"/>
    <cellStyle name="Normal 18 13 4 3" xfId="10978" xr:uid="{CFDB8378-3785-4BE5-A457-47341C3AEEC2}"/>
    <cellStyle name="Normal 18 13 4 4" xfId="10979" xr:uid="{0123242A-1F56-44EB-92C3-285340248268}"/>
    <cellStyle name="Normal 18 13 4 5" xfId="10980" xr:uid="{37FDD43B-303B-4BB1-BAFD-DC4C4F6B7C14}"/>
    <cellStyle name="Normal 18 13 4 6" xfId="10981" xr:uid="{3561A4C7-205B-4592-AC15-7435A0B07BA6}"/>
    <cellStyle name="Normal 18 13 5" xfId="10982" xr:uid="{F1631751-FB8B-4ECF-AEBF-66C77F60033F}"/>
    <cellStyle name="Normal 18 13 5 2" xfId="10983" xr:uid="{0F34FBFD-F6FA-42AB-BBD7-8383788EE355}"/>
    <cellStyle name="Normal 18 13 5 3" xfId="10984" xr:uid="{222EE785-0451-430E-ACB4-E479B0465FFC}"/>
    <cellStyle name="Normal 18 13 5 4" xfId="10985" xr:uid="{B9398B7D-8106-419B-BFD0-9DD2C9B543E0}"/>
    <cellStyle name="Normal 18 13 5 5" xfId="10986" xr:uid="{1DB79B4E-ECC9-458E-9320-28E2929FFF8C}"/>
    <cellStyle name="Normal 18 13 5 6" xfId="10987" xr:uid="{02A7B203-8D99-4323-B31D-7844C942515D}"/>
    <cellStyle name="Normal 18 13 6" xfId="10988" xr:uid="{309F4578-0DC0-4750-85E5-431061E4B95C}"/>
    <cellStyle name="Normal 18 13 6 2" xfId="10989" xr:uid="{7D74C924-33EE-406D-9C09-E820D313686B}"/>
    <cellStyle name="Normal 18 13 6 3" xfId="10990" xr:uid="{B8A44E8F-DC28-4C4E-A798-405415FBA5D9}"/>
    <cellStyle name="Normal 18 13 6 4" xfId="10991" xr:uid="{D79882CB-83CC-46C0-A08E-B1E7AA0F5F4C}"/>
    <cellStyle name="Normal 18 13 6 5" xfId="10992" xr:uid="{6BF3E827-9B24-4757-9D11-2DE970D64FDF}"/>
    <cellStyle name="Normal 18 13 6 6" xfId="10993" xr:uid="{D22B1737-3C7B-454B-AE6F-6087A6F0E1AA}"/>
    <cellStyle name="Normal 18 13 7" xfId="10994" xr:uid="{9EA1307B-D482-43CA-AA94-CFF4061CC230}"/>
    <cellStyle name="Normal 18 13 7 2" xfId="10995" xr:uid="{25F7C896-F41D-4B03-A375-EC511DCA76C4}"/>
    <cellStyle name="Normal 18 13 7 3" xfId="10996" xr:uid="{F4836D4A-CE5C-4224-9A98-84D548F3CA59}"/>
    <cellStyle name="Normal 18 13 7 4" xfId="10997" xr:uid="{919FBADD-9D9B-4F1A-98E9-BF3FACCF95E9}"/>
    <cellStyle name="Normal 18 13 7 5" xfId="10998" xr:uid="{4D833857-9EC7-4498-AD94-8CFEBE874A01}"/>
    <cellStyle name="Normal 18 13 7 6" xfId="10999" xr:uid="{CCBF1CFA-E2F2-4A79-ABEF-C001DE90D112}"/>
    <cellStyle name="Normal 18 13 8" xfId="11000" xr:uid="{EDED0837-287D-4CED-9851-F6A75BC1BE76}"/>
    <cellStyle name="Normal 18 13 8 2" xfId="11001" xr:uid="{688B3279-55BD-4D74-94E6-57AFF1A1BC91}"/>
    <cellStyle name="Normal 18 13 8 3" xfId="11002" xr:uid="{E27B7434-3ADA-4942-8089-EB11158E13A7}"/>
    <cellStyle name="Normal 18 13 8 4" xfId="11003" xr:uid="{E007A704-A112-4C91-9D06-23ED71ED5A9A}"/>
    <cellStyle name="Normal 18 13 8 5" xfId="11004" xr:uid="{0BD3C25A-477F-486D-B0A9-34A5CCADDFB8}"/>
    <cellStyle name="Normal 18 13 8 6" xfId="11005" xr:uid="{506D4E68-3DD1-445D-BBC5-D5A7432827DF}"/>
    <cellStyle name="Normal 18 13 9" xfId="11006" xr:uid="{E4858385-18B9-4375-9A20-5233F36FFA2E}"/>
    <cellStyle name="Normal 18 14" xfId="11007" xr:uid="{51A79F25-FF10-4827-A9A5-C9DD41EF1143}"/>
    <cellStyle name="Normal 18 14 10" xfId="11008" xr:uid="{8C3B109E-3BE3-4C65-9545-0E3A4F4932AF}"/>
    <cellStyle name="Normal 18 14 11" xfId="11009" xr:uid="{2F449837-53AB-4AF9-A57E-C1113010F858}"/>
    <cellStyle name="Normal 18 14 12" xfId="11010" xr:uid="{A35245B0-3901-4C65-813E-D7DB4E638E0F}"/>
    <cellStyle name="Normal 18 14 13" xfId="11011" xr:uid="{A2BD3E79-BB4E-4D24-BA06-1800D39CFE3B}"/>
    <cellStyle name="Normal 18 14 2" xfId="11012" xr:uid="{51115520-6446-4805-8ABD-605BB441B38F}"/>
    <cellStyle name="Normal 18 14 2 2" xfId="11013" xr:uid="{A6E4E61B-723D-4F60-9537-2C031B123151}"/>
    <cellStyle name="Normal 18 14 2 3" xfId="11014" xr:uid="{6AE55046-65C1-444F-851C-834177807C4B}"/>
    <cellStyle name="Normal 18 14 2 4" xfId="11015" xr:uid="{7D3F32C6-A954-4B9B-9171-05591E565C8F}"/>
    <cellStyle name="Normal 18 14 2 5" xfId="11016" xr:uid="{8C763EC2-979B-4A03-A0BD-CAC071C71C92}"/>
    <cellStyle name="Normal 18 14 2 6" xfId="11017" xr:uid="{326A903E-AB07-4D43-9214-83FF5FB0F193}"/>
    <cellStyle name="Normal 18 14 3" xfId="11018" xr:uid="{C199F5C3-0F7E-4EE8-92BE-F4228E522DBF}"/>
    <cellStyle name="Normal 18 14 3 2" xfId="11019" xr:uid="{94630E05-4EF7-4C99-AAE9-1BAA692113EC}"/>
    <cellStyle name="Normal 18 14 3 3" xfId="11020" xr:uid="{D937A2FC-9966-4C8C-B49D-A8C4589FBA81}"/>
    <cellStyle name="Normal 18 14 3 4" xfId="11021" xr:uid="{55AC5622-1C22-4A12-8148-6A63240126EC}"/>
    <cellStyle name="Normal 18 14 3 5" xfId="11022" xr:uid="{EB4E8C6B-F233-4689-B0D0-890BC7F3FA87}"/>
    <cellStyle name="Normal 18 14 3 6" xfId="11023" xr:uid="{D13DCBEA-7EFA-46AC-85DC-33600AD643E7}"/>
    <cellStyle name="Normal 18 14 4" xfId="11024" xr:uid="{E4837D73-B304-4015-9B20-FCD4A1474641}"/>
    <cellStyle name="Normal 18 14 4 2" xfId="11025" xr:uid="{FB589093-AD90-4F2D-A4FB-B86F39E48752}"/>
    <cellStyle name="Normal 18 14 4 3" xfId="11026" xr:uid="{E7D795E0-368C-4618-B760-63F560893A82}"/>
    <cellStyle name="Normal 18 14 4 4" xfId="11027" xr:uid="{E5C1663B-32AB-4EAF-B6EA-863C25992593}"/>
    <cellStyle name="Normal 18 14 4 5" xfId="11028" xr:uid="{85BE6BB4-B95D-4457-9D8F-361A300F7553}"/>
    <cellStyle name="Normal 18 14 4 6" xfId="11029" xr:uid="{A85EE0BC-56C4-4161-B6DA-4DA150C01808}"/>
    <cellStyle name="Normal 18 14 5" xfId="11030" xr:uid="{E65D5E0D-10DE-447D-8693-603DE8059C80}"/>
    <cellStyle name="Normal 18 14 5 2" xfId="11031" xr:uid="{AA663950-DEF0-4B9D-969F-13F6148EDEA1}"/>
    <cellStyle name="Normal 18 14 5 3" xfId="11032" xr:uid="{A2BA131D-A278-40FB-9E86-3F84E3382CD6}"/>
    <cellStyle name="Normal 18 14 5 4" xfId="11033" xr:uid="{38DD90C6-58D2-4743-8A62-3B96BE7B431E}"/>
    <cellStyle name="Normal 18 14 5 5" xfId="11034" xr:uid="{488BD51A-E81B-419E-9056-9E3F5EFD6E64}"/>
    <cellStyle name="Normal 18 14 5 6" xfId="11035" xr:uid="{C59A410E-4BDE-4DEA-98D2-34C9FA68B463}"/>
    <cellStyle name="Normal 18 14 6" xfId="11036" xr:uid="{6BD9A5F5-E91A-46BA-BD62-EDCE356EB836}"/>
    <cellStyle name="Normal 18 14 6 2" xfId="11037" xr:uid="{5571B34D-50D2-436E-BF6B-90F34DCB741B}"/>
    <cellStyle name="Normal 18 14 6 3" xfId="11038" xr:uid="{258C03E3-35BE-448B-94FE-0B219D90EBE9}"/>
    <cellStyle name="Normal 18 14 6 4" xfId="11039" xr:uid="{5C7AA3D0-F372-4962-B0F6-B3DBFBB34F0B}"/>
    <cellStyle name="Normal 18 14 6 5" xfId="11040" xr:uid="{D89261F4-918E-44EA-83E3-FF569B5EBA8D}"/>
    <cellStyle name="Normal 18 14 6 6" xfId="11041" xr:uid="{E10C1549-3879-4E58-A8FD-FC3B4A6DCBD4}"/>
    <cellStyle name="Normal 18 14 7" xfId="11042" xr:uid="{29980C98-4950-45A9-8A67-FE652FEFCCC1}"/>
    <cellStyle name="Normal 18 14 7 2" xfId="11043" xr:uid="{DFC15383-8832-48C5-AFA8-CBA50D7A3C40}"/>
    <cellStyle name="Normal 18 14 7 3" xfId="11044" xr:uid="{EBA78C95-6A63-405C-99DF-5E3008D0B6E7}"/>
    <cellStyle name="Normal 18 14 7 4" xfId="11045" xr:uid="{138F80A1-6C54-4D25-BA69-E0B2D4BA3BF6}"/>
    <cellStyle name="Normal 18 14 7 5" xfId="11046" xr:uid="{D49605D5-7026-4B74-AB25-E09DE3FE2486}"/>
    <cellStyle name="Normal 18 14 7 6" xfId="11047" xr:uid="{D704D22B-30F4-4A85-A2B6-3522FB3F28A0}"/>
    <cellStyle name="Normal 18 14 8" xfId="11048" xr:uid="{9118FC37-43F7-4B91-A9D7-C2B6E3B97B20}"/>
    <cellStyle name="Normal 18 14 8 2" xfId="11049" xr:uid="{0DF4008B-0B5E-4ED2-A5AE-4EDDC57FFC7E}"/>
    <cellStyle name="Normal 18 14 8 3" xfId="11050" xr:uid="{A17C6F68-502F-4537-A33F-931417A21CD0}"/>
    <cellStyle name="Normal 18 14 8 4" xfId="11051" xr:uid="{80EE1867-F772-4825-A51E-C101EA6BFDE7}"/>
    <cellStyle name="Normal 18 14 8 5" xfId="11052" xr:uid="{E7E068D3-7F3A-47EC-A88A-499A9EF0E009}"/>
    <cellStyle name="Normal 18 14 8 6" xfId="11053" xr:uid="{5C467863-C771-45DC-AE4D-F75C477C3702}"/>
    <cellStyle name="Normal 18 14 9" xfId="11054" xr:uid="{B59E657D-EDC2-4851-BFA0-57C65F7A40DE}"/>
    <cellStyle name="Normal 18 15" xfId="11055" xr:uid="{32A8D8CD-B7BE-4D7F-96E3-122E642D0DBD}"/>
    <cellStyle name="Normal 18 15 10" xfId="11056" xr:uid="{04584128-8F20-41B6-9B70-42A3CB8F0D04}"/>
    <cellStyle name="Normal 18 15 11" xfId="11057" xr:uid="{93AE97F7-8E66-47EB-BFCE-0D52E37F35B1}"/>
    <cellStyle name="Normal 18 15 12" xfId="11058" xr:uid="{E3215323-5A0A-4AC5-B991-65CB26C38776}"/>
    <cellStyle name="Normal 18 15 13" xfId="11059" xr:uid="{36FE4B60-B0DB-4ACF-AFEB-0645B7DBD2D5}"/>
    <cellStyle name="Normal 18 15 2" xfId="11060" xr:uid="{9F0A2DF5-54EF-4887-9F81-9B809E43DF22}"/>
    <cellStyle name="Normal 18 15 2 2" xfId="11061" xr:uid="{CC0C7817-0B94-4441-85BE-F8DF51C6C8BF}"/>
    <cellStyle name="Normal 18 15 2 3" xfId="11062" xr:uid="{2CB386BD-AC67-4613-BCB2-864964648D5A}"/>
    <cellStyle name="Normal 18 15 2 4" xfId="11063" xr:uid="{CCDAF09E-6A66-4218-AECB-28A7FADB944D}"/>
    <cellStyle name="Normal 18 15 2 5" xfId="11064" xr:uid="{829D8F48-94D9-4851-A9DE-3FBB4E7BF42C}"/>
    <cellStyle name="Normal 18 15 2 6" xfId="11065" xr:uid="{694C240E-0EDC-4C8D-8BD2-A38A6CF126E4}"/>
    <cellStyle name="Normal 18 15 3" xfId="11066" xr:uid="{159FEB95-9122-4D59-BF54-863424F1F635}"/>
    <cellStyle name="Normal 18 15 3 2" xfId="11067" xr:uid="{74A54ACF-A86F-432D-98D3-5EA76752EFAC}"/>
    <cellStyle name="Normal 18 15 3 3" xfId="11068" xr:uid="{76D7F89E-70FF-4689-B7A2-09D922B384CB}"/>
    <cellStyle name="Normal 18 15 3 4" xfId="11069" xr:uid="{09177B45-4157-464B-80A7-3E26ABA182F4}"/>
    <cellStyle name="Normal 18 15 3 5" xfId="11070" xr:uid="{F881C859-DD18-415D-BE1E-5E0C13336EAD}"/>
    <cellStyle name="Normal 18 15 3 6" xfId="11071" xr:uid="{1157493E-3C40-4F5F-A05B-D3FAC3993EB0}"/>
    <cellStyle name="Normal 18 15 4" xfId="11072" xr:uid="{D8DC83D6-B758-47EB-BD87-F738598C4152}"/>
    <cellStyle name="Normal 18 15 4 2" xfId="11073" xr:uid="{715F3457-6F70-46C9-94AF-FB6DC5598A99}"/>
    <cellStyle name="Normal 18 15 4 3" xfId="11074" xr:uid="{70D14682-7529-4104-A7AE-9EABF0C36DC6}"/>
    <cellStyle name="Normal 18 15 4 4" xfId="11075" xr:uid="{7A2446CD-BCB2-4E29-AE71-3C8408DDAD9B}"/>
    <cellStyle name="Normal 18 15 4 5" xfId="11076" xr:uid="{516F93C6-19AB-4FCD-9AAC-1E52413A4611}"/>
    <cellStyle name="Normal 18 15 4 6" xfId="11077" xr:uid="{4CB63B6B-88F5-42B9-B8E6-EF27008FFE75}"/>
    <cellStyle name="Normal 18 15 5" xfId="11078" xr:uid="{A879A81B-B363-4B9E-81CE-E222DB7BA2D3}"/>
    <cellStyle name="Normal 18 15 5 2" xfId="11079" xr:uid="{AC2CC17E-572E-4245-A9DF-193F228BA39F}"/>
    <cellStyle name="Normal 18 15 5 3" xfId="11080" xr:uid="{EC4BF56C-DFEF-49E7-BB35-9DB37CAD95C4}"/>
    <cellStyle name="Normal 18 15 5 4" xfId="11081" xr:uid="{42B37A49-1880-4399-A0E8-5BD79DB28755}"/>
    <cellStyle name="Normal 18 15 5 5" xfId="11082" xr:uid="{608A3299-3825-4B76-B5C7-9ACCBA9D35CC}"/>
    <cellStyle name="Normal 18 15 5 6" xfId="11083" xr:uid="{D047A444-5475-4B1F-994C-ABA5A9D534D3}"/>
    <cellStyle name="Normal 18 15 6" xfId="11084" xr:uid="{1D057D7B-1D93-4AA4-8454-B13CB6F31D3A}"/>
    <cellStyle name="Normal 18 15 6 2" xfId="11085" xr:uid="{F81D9AFA-DBAC-482C-8E28-C1E2B9D519D6}"/>
    <cellStyle name="Normal 18 15 6 3" xfId="11086" xr:uid="{9526ABF6-B95C-4C3D-89CB-D1E6364FC2C4}"/>
    <cellStyle name="Normal 18 15 6 4" xfId="11087" xr:uid="{6E1F27DA-AC1E-42E5-8998-F1DC316A9BB9}"/>
    <cellStyle name="Normal 18 15 6 5" xfId="11088" xr:uid="{97A636CD-A64B-4A44-BE63-8A1C99734CCF}"/>
    <cellStyle name="Normal 18 15 6 6" xfId="11089" xr:uid="{0E668409-AE9D-4B2B-88ED-557601FB103D}"/>
    <cellStyle name="Normal 18 15 7" xfId="11090" xr:uid="{E654FD0E-341B-43BD-9799-C33FCAA19078}"/>
    <cellStyle name="Normal 18 15 7 2" xfId="11091" xr:uid="{0C034F69-773D-488B-B777-2CFCBD78F0F4}"/>
    <cellStyle name="Normal 18 15 7 3" xfId="11092" xr:uid="{A012D195-68F4-438C-A639-018AC79720BE}"/>
    <cellStyle name="Normal 18 15 7 4" xfId="11093" xr:uid="{3BEA8977-B475-41DA-97CC-FADB16E1EAAC}"/>
    <cellStyle name="Normal 18 15 7 5" xfId="11094" xr:uid="{92128972-EEC7-4D65-B1E2-0638EDD59DFC}"/>
    <cellStyle name="Normal 18 15 7 6" xfId="11095" xr:uid="{7588EB03-64E0-45B7-A41D-7AEEBD75A8E4}"/>
    <cellStyle name="Normal 18 15 8" xfId="11096" xr:uid="{B3D0DCB3-6A1A-48B2-9C8F-2BE2BADE5726}"/>
    <cellStyle name="Normal 18 15 8 2" xfId="11097" xr:uid="{96124945-1A21-4444-A8ED-06035B4D5D3F}"/>
    <cellStyle name="Normal 18 15 8 3" xfId="11098" xr:uid="{1BC2DD6E-DABE-462F-8248-9F9441E90858}"/>
    <cellStyle name="Normal 18 15 8 4" xfId="11099" xr:uid="{1F30509F-F970-4D3E-ACBD-8D65A0ABB268}"/>
    <cellStyle name="Normal 18 15 8 5" xfId="11100" xr:uid="{6C424576-8D3F-41F9-96BB-95403A5CE848}"/>
    <cellStyle name="Normal 18 15 8 6" xfId="11101" xr:uid="{1E7BCFE2-ED7C-4EBF-B6CE-C320BB005FAF}"/>
    <cellStyle name="Normal 18 15 9" xfId="11102" xr:uid="{0C17CE54-B8B7-47EA-8074-58616A64CD40}"/>
    <cellStyle name="Normal 18 16" xfId="11103" xr:uid="{0B1CE449-B13D-4822-A789-D8ACF94AF5DE}"/>
    <cellStyle name="Normal 18 16 10" xfId="11104" xr:uid="{56A6A251-C3C3-4664-B23E-BD2DAA398C65}"/>
    <cellStyle name="Normal 18 16 11" xfId="11105" xr:uid="{CFF55484-D06A-4A01-A8C3-E569FF02FA69}"/>
    <cellStyle name="Normal 18 16 12" xfId="11106" xr:uid="{34922B58-2EB3-41EA-BF14-11A5963AC8FB}"/>
    <cellStyle name="Normal 18 16 13" xfId="11107" xr:uid="{8AAB0A0E-A8CA-4C3E-8569-C6714D5C24DD}"/>
    <cellStyle name="Normal 18 16 2" xfId="11108" xr:uid="{655055DF-3302-4FFD-96C0-8500D1AA009A}"/>
    <cellStyle name="Normal 18 16 2 2" xfId="11109" xr:uid="{ABC2802D-1951-4A4E-884D-6B9B697D5753}"/>
    <cellStyle name="Normal 18 16 2 3" xfId="11110" xr:uid="{A3F926E6-CE0D-4C9D-9A89-BE9F3537CDD9}"/>
    <cellStyle name="Normal 18 16 2 4" xfId="11111" xr:uid="{0D77AA91-50AF-4003-B695-4BE57672E832}"/>
    <cellStyle name="Normal 18 16 2 5" xfId="11112" xr:uid="{92E364CE-C83A-4C19-9BDB-39B7C0D8A6F1}"/>
    <cellStyle name="Normal 18 16 2 6" xfId="11113" xr:uid="{7D66B010-F174-412F-B071-D843B7AC61DF}"/>
    <cellStyle name="Normal 18 16 3" xfId="11114" xr:uid="{7B64D493-53E2-47BC-8958-E739F4E6D701}"/>
    <cellStyle name="Normal 18 16 3 2" xfId="11115" xr:uid="{1F2C1C08-7272-4F53-B0AC-B0E03A808EBB}"/>
    <cellStyle name="Normal 18 16 3 3" xfId="11116" xr:uid="{18E65395-0FFA-48E9-9CAE-952A28ABF895}"/>
    <cellStyle name="Normal 18 16 3 4" xfId="11117" xr:uid="{65F19C91-BEC6-44CB-BFEC-6727D97EC24C}"/>
    <cellStyle name="Normal 18 16 3 5" xfId="11118" xr:uid="{21995765-0DAE-4ED9-84CD-542286D98B74}"/>
    <cellStyle name="Normal 18 16 3 6" xfId="11119" xr:uid="{8F7AA02F-4881-4B83-A8E9-0EE0BB696C25}"/>
    <cellStyle name="Normal 18 16 4" xfId="11120" xr:uid="{CCF07A62-DE27-448E-BE1E-0ECD2A280004}"/>
    <cellStyle name="Normal 18 16 4 2" xfId="11121" xr:uid="{73CEE960-81B2-42A2-8E19-901FA4F4AE45}"/>
    <cellStyle name="Normal 18 16 4 3" xfId="11122" xr:uid="{0F434AFC-1ABC-474B-95FE-800489A47070}"/>
    <cellStyle name="Normal 18 16 4 4" xfId="11123" xr:uid="{3C4BD588-5261-48EC-A32C-8C4D05B13F45}"/>
    <cellStyle name="Normal 18 16 4 5" xfId="11124" xr:uid="{067CB572-3B27-4D88-AC25-04E291A8CA1E}"/>
    <cellStyle name="Normal 18 16 4 6" xfId="11125" xr:uid="{157E5A15-392B-4025-8619-C7299E5BD5B9}"/>
    <cellStyle name="Normal 18 16 5" xfId="11126" xr:uid="{B702967C-A1AE-4667-84D1-12C0611486D9}"/>
    <cellStyle name="Normal 18 16 5 2" xfId="11127" xr:uid="{CBEA335B-4926-4E5D-B063-27539FB21209}"/>
    <cellStyle name="Normal 18 16 5 3" xfId="11128" xr:uid="{7601AE91-D358-4616-81F7-628D6C0ED17D}"/>
    <cellStyle name="Normal 18 16 5 4" xfId="11129" xr:uid="{7ED40CE6-1475-4ECD-9982-34A862AAC24F}"/>
    <cellStyle name="Normal 18 16 5 5" xfId="11130" xr:uid="{DAD74EDE-58B4-4D9A-8CBE-94A45E442246}"/>
    <cellStyle name="Normal 18 16 5 6" xfId="11131" xr:uid="{D140D370-35CB-4039-B59E-611305CBB69B}"/>
    <cellStyle name="Normal 18 16 6" xfId="11132" xr:uid="{A2EF3814-EDEE-4440-878C-78BD758BBA79}"/>
    <cellStyle name="Normal 18 16 6 2" xfId="11133" xr:uid="{1CC6682D-EA7E-4BD6-9EA5-EE4F294497E1}"/>
    <cellStyle name="Normal 18 16 6 3" xfId="11134" xr:uid="{44235AD2-8C71-483D-A041-42710D2ABF74}"/>
    <cellStyle name="Normal 18 16 6 4" xfId="11135" xr:uid="{D6A6DA67-6019-45BB-83C5-415A71D6BBA9}"/>
    <cellStyle name="Normal 18 16 6 5" xfId="11136" xr:uid="{BB96177C-2FF9-41A3-A4FA-DF3C92438F39}"/>
    <cellStyle name="Normal 18 16 6 6" xfId="11137" xr:uid="{70F332D6-FB50-4689-86D4-BD8400ECC73E}"/>
    <cellStyle name="Normal 18 16 7" xfId="11138" xr:uid="{04C47633-5A5F-4358-A36C-5AA5F3AA927F}"/>
    <cellStyle name="Normal 18 16 7 2" xfId="11139" xr:uid="{C3CFAA95-4062-4732-BD88-91A76845D7F0}"/>
    <cellStyle name="Normal 18 16 7 3" xfId="11140" xr:uid="{D2F6A02E-B87F-4E46-9B77-61FF0567BDAA}"/>
    <cellStyle name="Normal 18 16 7 4" xfId="11141" xr:uid="{F26702DD-B9EB-4FAB-8480-68252DC6F592}"/>
    <cellStyle name="Normal 18 16 7 5" xfId="11142" xr:uid="{28E22D67-4E98-4A95-B1EF-667ADE5B46C1}"/>
    <cellStyle name="Normal 18 16 7 6" xfId="11143" xr:uid="{BD0D1295-1C66-4E49-BB60-E499A2FEEE37}"/>
    <cellStyle name="Normal 18 16 8" xfId="11144" xr:uid="{44FF2E31-F4F2-4D02-BA3B-B6E4451B0FE8}"/>
    <cellStyle name="Normal 18 16 8 2" xfId="11145" xr:uid="{D1608F6F-300D-4E6E-B26C-CA17BB73303B}"/>
    <cellStyle name="Normal 18 16 8 3" xfId="11146" xr:uid="{E9FDDB3A-4733-4332-BFBC-5676A7E419F9}"/>
    <cellStyle name="Normal 18 16 8 4" xfId="11147" xr:uid="{4D21EF3C-04DC-4473-BEB1-820F27C1F2C7}"/>
    <cellStyle name="Normal 18 16 8 5" xfId="11148" xr:uid="{FDFB760E-6BF0-45CA-809D-EE3A69C4F34C}"/>
    <cellStyle name="Normal 18 16 8 6" xfId="11149" xr:uid="{0C6BB949-4F5A-4074-9A74-A8F04B125F67}"/>
    <cellStyle name="Normal 18 16 9" xfId="11150" xr:uid="{C81A9B72-D0CB-498E-8B3F-A934D429C45C}"/>
    <cellStyle name="Normal 18 17" xfId="11151" xr:uid="{0693B5FD-0A53-4461-B593-7C93772008C8}"/>
    <cellStyle name="Normal 18 17 10" xfId="11152" xr:uid="{B433B21B-D65A-4704-A8EC-B6C9BA9853C7}"/>
    <cellStyle name="Normal 18 17 11" xfId="11153" xr:uid="{E6E00066-0B4D-41DF-8169-DD585ACAE291}"/>
    <cellStyle name="Normal 18 17 12" xfId="11154" xr:uid="{99CD45F8-EE00-4400-832C-83DB6A5AD644}"/>
    <cellStyle name="Normal 18 17 13" xfId="11155" xr:uid="{DAD4474B-9EE9-4070-96D0-217714CEC5A8}"/>
    <cellStyle name="Normal 18 17 2" xfId="11156" xr:uid="{3242661B-151C-4944-8BAF-653CA7BA2091}"/>
    <cellStyle name="Normal 18 17 2 2" xfId="11157" xr:uid="{47BC9A9A-A472-432E-AD2E-53EF0D3359B6}"/>
    <cellStyle name="Normal 18 17 2 3" xfId="11158" xr:uid="{32FF885A-0036-4ABC-A18B-4FE4990BDDEA}"/>
    <cellStyle name="Normal 18 17 2 4" xfId="11159" xr:uid="{13B3564A-B501-455C-9231-349469FC9320}"/>
    <cellStyle name="Normal 18 17 2 5" xfId="11160" xr:uid="{B30781C8-DCFB-406E-B3C8-A2B8B78F9DA8}"/>
    <cellStyle name="Normal 18 17 2 6" xfId="11161" xr:uid="{987570BB-FA49-46E0-8398-CCDF3C682F3F}"/>
    <cellStyle name="Normal 18 17 3" xfId="11162" xr:uid="{CCB5FAC8-DED5-426D-8BAD-C05EA0C90926}"/>
    <cellStyle name="Normal 18 17 3 2" xfId="11163" xr:uid="{7BFFC644-168F-4ADA-AC90-EDF5C044FCE4}"/>
    <cellStyle name="Normal 18 17 3 3" xfId="11164" xr:uid="{C49DF5B8-4A84-463D-9AA4-01E75066A84D}"/>
    <cellStyle name="Normal 18 17 3 4" xfId="11165" xr:uid="{A3444DB2-4B76-4C86-8739-B1D1E6D78FB3}"/>
    <cellStyle name="Normal 18 17 3 5" xfId="11166" xr:uid="{FA78478C-6EBC-43BD-A563-FEB366D2E4F3}"/>
    <cellStyle name="Normal 18 17 3 6" xfId="11167" xr:uid="{A39D9879-248C-4920-9530-376063824215}"/>
    <cellStyle name="Normal 18 17 4" xfId="11168" xr:uid="{077CC785-FB06-4A73-890E-34A3222ADF38}"/>
    <cellStyle name="Normal 18 17 4 2" xfId="11169" xr:uid="{44AD1F35-2FFD-4910-90FD-577E166B8F50}"/>
    <cellStyle name="Normal 18 17 4 3" xfId="11170" xr:uid="{1BA3325A-1B51-4283-B78E-705535E96A0D}"/>
    <cellStyle name="Normal 18 17 4 4" xfId="11171" xr:uid="{B1176F5F-CD12-4DA5-9D25-03C1331D9790}"/>
    <cellStyle name="Normal 18 17 4 5" xfId="11172" xr:uid="{F9F12FAE-7AAC-4F44-943E-70D46CC944FD}"/>
    <cellStyle name="Normal 18 17 4 6" xfId="11173" xr:uid="{C1AC81BE-F352-42C5-91F2-02B0C74DA045}"/>
    <cellStyle name="Normal 18 17 5" xfId="11174" xr:uid="{FC323CAE-533A-4F96-BE65-8E4B92FDB658}"/>
    <cellStyle name="Normal 18 17 5 2" xfId="11175" xr:uid="{57E33B5F-788E-4C7A-97E2-9ED26680B618}"/>
    <cellStyle name="Normal 18 17 5 3" xfId="11176" xr:uid="{79A22708-CD84-4E63-B419-044B7B38A28B}"/>
    <cellStyle name="Normal 18 17 5 4" xfId="11177" xr:uid="{B18BB09B-C3B6-4194-9359-B7472D263477}"/>
    <cellStyle name="Normal 18 17 5 5" xfId="11178" xr:uid="{5AE3E484-6D6D-4BE6-8C3E-50C4101B716C}"/>
    <cellStyle name="Normal 18 17 5 6" xfId="11179" xr:uid="{50F7EB75-1AB1-4CC4-865B-3837B4B06E76}"/>
    <cellStyle name="Normal 18 17 6" xfId="11180" xr:uid="{727A5F2C-80A6-44D8-BFAC-95DF8927251E}"/>
    <cellStyle name="Normal 18 17 6 2" xfId="11181" xr:uid="{97A5F185-3102-47BD-8549-1824DE3B6E50}"/>
    <cellStyle name="Normal 18 17 6 3" xfId="11182" xr:uid="{F0979043-C9D3-47EA-9DD8-3D69A44B443F}"/>
    <cellStyle name="Normal 18 17 6 4" xfId="11183" xr:uid="{4ECBC5CB-B858-4943-8533-AA57E081F30B}"/>
    <cellStyle name="Normal 18 17 6 5" xfId="11184" xr:uid="{9E83093B-1DC7-4707-977E-876F36B96994}"/>
    <cellStyle name="Normal 18 17 6 6" xfId="11185" xr:uid="{0B6281B6-8F9F-42B4-9AD1-A304598C9BB9}"/>
    <cellStyle name="Normal 18 17 7" xfId="11186" xr:uid="{28AE650E-7980-4533-ABB8-97B8E84FC34E}"/>
    <cellStyle name="Normal 18 17 7 2" xfId="11187" xr:uid="{A0419C90-1DB0-44EC-B5FC-567E2EFC1FAA}"/>
    <cellStyle name="Normal 18 17 7 3" xfId="11188" xr:uid="{03412FD5-D419-4E6B-AA2B-95C008DFF778}"/>
    <cellStyle name="Normal 18 17 7 4" xfId="11189" xr:uid="{E03F15BE-6D6F-41C5-8DFB-BBEC3E56B1D6}"/>
    <cellStyle name="Normal 18 17 7 5" xfId="11190" xr:uid="{7F58076C-D9E7-4FD1-B26A-BAB85D06AADA}"/>
    <cellStyle name="Normal 18 17 7 6" xfId="11191" xr:uid="{51EA2D74-CB1A-48A1-8816-E999D3EE2C62}"/>
    <cellStyle name="Normal 18 17 8" xfId="11192" xr:uid="{E905C660-83F2-4DC6-AEA6-83E6BD3C03A7}"/>
    <cellStyle name="Normal 18 17 8 2" xfId="11193" xr:uid="{6133A7F7-A20A-4C08-911B-AA31D4D5B100}"/>
    <cellStyle name="Normal 18 17 8 3" xfId="11194" xr:uid="{5EDA442C-49F7-4162-90CE-5DE87BAF9C47}"/>
    <cellStyle name="Normal 18 17 8 4" xfId="11195" xr:uid="{2590416D-1E53-47D8-92FC-08FE3BBE46F9}"/>
    <cellStyle name="Normal 18 17 8 5" xfId="11196" xr:uid="{65209DF8-ACF9-4C82-AC2E-63E017BCA842}"/>
    <cellStyle name="Normal 18 17 8 6" xfId="11197" xr:uid="{FDA60A86-8926-40F9-BE32-BF1588793E25}"/>
    <cellStyle name="Normal 18 17 9" xfId="11198" xr:uid="{55C35D39-FECE-47BA-B31E-A5C8B2F84B9F}"/>
    <cellStyle name="Normal 18 18" xfId="11199" xr:uid="{071127A9-1A84-474D-AEC5-C107F5BA96EF}"/>
    <cellStyle name="Normal 18 18 10" xfId="11200" xr:uid="{63055A33-FFDA-4DC3-B18D-7F7E0FBEC4AD}"/>
    <cellStyle name="Normal 18 18 11" xfId="11201" xr:uid="{56A09EEB-AE97-4E9F-8B3F-25953C4F958D}"/>
    <cellStyle name="Normal 18 18 12" xfId="11202" xr:uid="{A3C79BF8-CD85-427F-8DCA-A131506BD838}"/>
    <cellStyle name="Normal 18 18 13" xfId="11203" xr:uid="{625C44D3-AB2B-47FA-A1B8-4ABADADAF861}"/>
    <cellStyle name="Normal 18 18 2" xfId="11204" xr:uid="{8685BB2D-3910-4A13-B51D-A343732D40D8}"/>
    <cellStyle name="Normal 18 18 2 2" xfId="11205" xr:uid="{2F893609-5000-45A7-8EA3-AF1E2123EF8A}"/>
    <cellStyle name="Normal 18 18 2 3" xfId="11206" xr:uid="{DF2C913A-CB49-47F7-A496-90E5D34857BA}"/>
    <cellStyle name="Normal 18 18 2 4" xfId="11207" xr:uid="{A6EEF100-05E0-46D4-9393-012E9791A760}"/>
    <cellStyle name="Normal 18 18 2 5" xfId="11208" xr:uid="{24E7DC71-5AE4-4CD0-B302-51B015FE1402}"/>
    <cellStyle name="Normal 18 18 2 6" xfId="11209" xr:uid="{47837864-FCC1-4E29-89F5-3405E730DD39}"/>
    <cellStyle name="Normal 18 18 3" xfId="11210" xr:uid="{93DFFD60-C492-4802-9DC5-67648D0599A4}"/>
    <cellStyle name="Normal 18 18 3 2" xfId="11211" xr:uid="{220AD31B-EF2E-416D-BDE6-CCBD0DBBFFC2}"/>
    <cellStyle name="Normal 18 18 3 3" xfId="11212" xr:uid="{B06D239A-1D7B-4D2F-B415-CD0A4D154215}"/>
    <cellStyle name="Normal 18 18 3 4" xfId="11213" xr:uid="{5C66A05B-C45A-4C59-8C92-6ECE5C28B7F7}"/>
    <cellStyle name="Normal 18 18 3 5" xfId="11214" xr:uid="{DC3025C9-D0EB-4DA4-B551-44EF77C92923}"/>
    <cellStyle name="Normal 18 18 3 6" xfId="11215" xr:uid="{2F528C7B-FB6E-46C6-9A61-6B3F6A2E5B4D}"/>
    <cellStyle name="Normal 18 18 4" xfId="11216" xr:uid="{118176F2-1011-4320-8BD0-8F52BEA21DDA}"/>
    <cellStyle name="Normal 18 18 4 2" xfId="11217" xr:uid="{68023DF0-6E65-4386-A944-DF6AAAB16C0C}"/>
    <cellStyle name="Normal 18 18 4 3" xfId="11218" xr:uid="{941D4D44-EDB5-4C60-94CC-739808367296}"/>
    <cellStyle name="Normal 18 18 4 4" xfId="11219" xr:uid="{ADCFFFC8-BDE7-4F3A-B8D2-D720A064A61F}"/>
    <cellStyle name="Normal 18 18 4 5" xfId="11220" xr:uid="{52D1D7F9-BED9-41FA-8539-CF4E6C8FD0B5}"/>
    <cellStyle name="Normal 18 18 4 6" xfId="11221" xr:uid="{140B1C44-0440-49FC-9F51-E9220D47EB7B}"/>
    <cellStyle name="Normal 18 18 5" xfId="11222" xr:uid="{3658CF4E-3C30-4D2F-9974-1EA670460EAC}"/>
    <cellStyle name="Normal 18 18 5 2" xfId="11223" xr:uid="{B7137DA4-53DE-4884-8C4C-3A8BBD528537}"/>
    <cellStyle name="Normal 18 18 5 3" xfId="11224" xr:uid="{9EE6BFBE-FCBB-43A2-B65F-6377330143E9}"/>
    <cellStyle name="Normal 18 18 5 4" xfId="11225" xr:uid="{2902F24F-E5A6-4A1F-8C19-A54D51BF96A4}"/>
    <cellStyle name="Normal 18 18 5 5" xfId="11226" xr:uid="{A3F1D4E3-E3D6-4722-8E40-E3E692F68AA4}"/>
    <cellStyle name="Normal 18 18 5 6" xfId="11227" xr:uid="{6316DED4-7EEF-4675-A7D1-B09A02EF314B}"/>
    <cellStyle name="Normal 18 18 6" xfId="11228" xr:uid="{6AA875B4-E96C-4A5B-A0BD-0AC3140859F4}"/>
    <cellStyle name="Normal 18 18 6 2" xfId="11229" xr:uid="{49A33FAA-8AFF-4618-AAC7-A7281F28732B}"/>
    <cellStyle name="Normal 18 18 6 3" xfId="11230" xr:uid="{69757B81-BA7E-411B-8503-7010AABA39BE}"/>
    <cellStyle name="Normal 18 18 6 4" xfId="11231" xr:uid="{9AC29899-5723-413A-9D6E-8F836CBC2353}"/>
    <cellStyle name="Normal 18 18 6 5" xfId="11232" xr:uid="{763C2804-649A-4DF5-A09A-4ED21C45BEAA}"/>
    <cellStyle name="Normal 18 18 6 6" xfId="11233" xr:uid="{0F0511CE-232C-4C4F-9EE0-DAFDDED21308}"/>
    <cellStyle name="Normal 18 18 7" xfId="11234" xr:uid="{F498319D-E58B-42B8-8AEA-6545AC526070}"/>
    <cellStyle name="Normal 18 18 7 2" xfId="11235" xr:uid="{5E0A6351-EA8E-49AD-B7D0-8AE5882D984D}"/>
    <cellStyle name="Normal 18 18 7 3" xfId="11236" xr:uid="{EDF4659E-F1B0-4155-97D3-711E4DD79FE0}"/>
    <cellStyle name="Normal 18 18 7 4" xfId="11237" xr:uid="{9F37EE46-58B6-4872-9ECF-EE0BA574F224}"/>
    <cellStyle name="Normal 18 18 7 5" xfId="11238" xr:uid="{5B9111E9-F14B-4D83-84EE-C87326512BF0}"/>
    <cellStyle name="Normal 18 18 7 6" xfId="11239" xr:uid="{E02BF993-BE86-44FC-B11B-A7DD9B0C8D1F}"/>
    <cellStyle name="Normal 18 18 8" xfId="11240" xr:uid="{202B0BCF-13F8-4634-9485-EA94E08F606F}"/>
    <cellStyle name="Normal 18 18 8 2" xfId="11241" xr:uid="{794187F3-E090-4215-B590-5CAF96CD14C8}"/>
    <cellStyle name="Normal 18 18 8 3" xfId="11242" xr:uid="{E244A793-3071-4271-B811-2882A45D8F23}"/>
    <cellStyle name="Normal 18 18 8 4" xfId="11243" xr:uid="{26F68DF4-AA18-4548-9268-BAA3C419B604}"/>
    <cellStyle name="Normal 18 18 8 5" xfId="11244" xr:uid="{24C0AC98-BBC3-402C-A199-4208E8EE3B6C}"/>
    <cellStyle name="Normal 18 18 8 6" xfId="11245" xr:uid="{F0172884-5FBB-4740-AF6D-CF3DAE3797B9}"/>
    <cellStyle name="Normal 18 18 9" xfId="11246" xr:uid="{FEFC217D-0FE8-4B86-BB23-03AF6461FEE4}"/>
    <cellStyle name="Normal 18 19" xfId="11247" xr:uid="{D0CAB69F-B6C3-4561-845B-974510452AB6}"/>
    <cellStyle name="Normal 18 19 10" xfId="11248" xr:uid="{348FDBF2-7F50-49F0-9500-C4CB92CD57ED}"/>
    <cellStyle name="Normal 18 19 11" xfId="11249" xr:uid="{42705796-EC38-4EE8-B328-FAE91D61B2A3}"/>
    <cellStyle name="Normal 18 19 12" xfId="11250" xr:uid="{8F2169F8-3306-4D9B-8844-3BCAB483A109}"/>
    <cellStyle name="Normal 18 19 13" xfId="11251" xr:uid="{E7C6B1E5-C43A-4C86-9A0F-2ACFA7EA84F9}"/>
    <cellStyle name="Normal 18 19 2" xfId="11252" xr:uid="{7643B6F6-47C7-43EB-A950-5C7671835C7B}"/>
    <cellStyle name="Normal 18 19 2 2" xfId="11253" xr:uid="{444D6003-96B3-4A34-ADC5-F518385F15C8}"/>
    <cellStyle name="Normal 18 19 2 3" xfId="11254" xr:uid="{0ADE8261-41A2-4954-9236-DFDDF3DA10E4}"/>
    <cellStyle name="Normal 18 19 2 4" xfId="11255" xr:uid="{25DA7304-5FBA-4DD4-9206-B86A3F7A7AC1}"/>
    <cellStyle name="Normal 18 19 2 5" xfId="11256" xr:uid="{854C97E7-2F5D-427A-95F9-A8178E6861BB}"/>
    <cellStyle name="Normal 18 19 2 6" xfId="11257" xr:uid="{5800EE4F-FAE8-4444-B3B4-FA517A743CF9}"/>
    <cellStyle name="Normal 18 19 3" xfId="11258" xr:uid="{38D51912-778C-4BAD-9EDF-F4CA77AC59CE}"/>
    <cellStyle name="Normal 18 19 3 2" xfId="11259" xr:uid="{EFF9C121-9D72-4A8C-ABA4-3E324DD81EFB}"/>
    <cellStyle name="Normal 18 19 3 3" xfId="11260" xr:uid="{9EA11630-DB69-400D-9F54-B91B37DCF8F9}"/>
    <cellStyle name="Normal 18 19 3 4" xfId="11261" xr:uid="{7ECD6E24-9EB1-4E9C-9C85-A873311C6927}"/>
    <cellStyle name="Normal 18 19 3 5" xfId="11262" xr:uid="{7C0E0447-477C-467F-B470-FED3816626FC}"/>
    <cellStyle name="Normal 18 19 3 6" xfId="11263" xr:uid="{444BB8E2-33FF-4367-8FD9-3DD3C30E3CBA}"/>
    <cellStyle name="Normal 18 19 4" xfId="11264" xr:uid="{98D6E45E-E1D9-4C85-86A7-E9CCB2142C69}"/>
    <cellStyle name="Normal 18 19 4 2" xfId="11265" xr:uid="{13075068-963C-4F29-B2C7-E8B751DCFA82}"/>
    <cellStyle name="Normal 18 19 4 3" xfId="11266" xr:uid="{82B8458B-716E-4A81-8D21-55203E2F1152}"/>
    <cellStyle name="Normal 18 19 4 4" xfId="11267" xr:uid="{255AE63A-70A0-4245-BC80-5D8CAED81561}"/>
    <cellStyle name="Normal 18 19 4 5" xfId="11268" xr:uid="{6C83ADCC-219C-4FB8-B337-19DAB2EAD46D}"/>
    <cellStyle name="Normal 18 19 4 6" xfId="11269" xr:uid="{92EBDFF0-36DF-4468-A5BA-68BA522E9E94}"/>
    <cellStyle name="Normal 18 19 5" xfId="11270" xr:uid="{E1897F85-A378-4756-BA48-F7B38249C34D}"/>
    <cellStyle name="Normal 18 19 5 2" xfId="11271" xr:uid="{789C1A47-3BC3-4464-A6D3-FBB6CE3A2F95}"/>
    <cellStyle name="Normal 18 19 5 3" xfId="11272" xr:uid="{C5BCE463-221C-4542-B9BC-9FEC678867DE}"/>
    <cellStyle name="Normal 18 19 5 4" xfId="11273" xr:uid="{60C139BA-B7FC-4EED-BBE7-DBFFD5AFF555}"/>
    <cellStyle name="Normal 18 19 5 5" xfId="11274" xr:uid="{40727FB3-CE5B-4C55-B7C0-05D7A144A966}"/>
    <cellStyle name="Normal 18 19 5 6" xfId="11275" xr:uid="{BBA7ECCA-7BDE-436A-8990-F2042329F971}"/>
    <cellStyle name="Normal 18 19 6" xfId="11276" xr:uid="{7950A4A1-7822-4A14-8E23-FAEFD2ED7F44}"/>
    <cellStyle name="Normal 18 19 6 2" xfId="11277" xr:uid="{61BEB225-2266-424F-BA9C-200E5DCC7B84}"/>
    <cellStyle name="Normal 18 19 6 3" xfId="11278" xr:uid="{5A8B4205-7F74-4C4F-AC2C-10C4E724D435}"/>
    <cellStyle name="Normal 18 19 6 4" xfId="11279" xr:uid="{02DD448D-85D4-4816-A354-538B8FD28E97}"/>
    <cellStyle name="Normal 18 19 6 5" xfId="11280" xr:uid="{B544E5DE-8B1B-4480-B3B6-953365289258}"/>
    <cellStyle name="Normal 18 19 6 6" xfId="11281" xr:uid="{BDC9FBD2-3D97-45B6-B6CC-AB8D9FA38C86}"/>
    <cellStyle name="Normal 18 19 7" xfId="11282" xr:uid="{5A4617DB-375E-4BDE-9A36-B53189F7EAFA}"/>
    <cellStyle name="Normal 18 19 7 2" xfId="11283" xr:uid="{F15E2595-069D-4E7C-8BC3-5E7F47F5F83F}"/>
    <cellStyle name="Normal 18 19 7 3" xfId="11284" xr:uid="{2FE55FE3-1329-4F57-A505-7EF2D55B0593}"/>
    <cellStyle name="Normal 18 19 7 4" xfId="11285" xr:uid="{D9D15CAC-98CE-454C-8A07-213E31525EE6}"/>
    <cellStyle name="Normal 18 19 7 5" xfId="11286" xr:uid="{4592777A-F3FC-4753-A87C-21D8616BEAEF}"/>
    <cellStyle name="Normal 18 19 7 6" xfId="11287" xr:uid="{CFB80BAB-AC7A-45E2-A74B-0F6DD85B6251}"/>
    <cellStyle name="Normal 18 19 8" xfId="11288" xr:uid="{2A5723CF-15E7-4F77-AF88-FC1729DAB4FD}"/>
    <cellStyle name="Normal 18 19 8 2" xfId="11289" xr:uid="{2E90111F-D629-401E-954F-5A474B2ECE22}"/>
    <cellStyle name="Normal 18 19 8 3" xfId="11290" xr:uid="{F64BF7E0-1B93-4AA2-A260-4D6B156CC540}"/>
    <cellStyle name="Normal 18 19 8 4" xfId="11291" xr:uid="{C17CFD19-D17D-4238-A2C5-1CF7BFDCEEE1}"/>
    <cellStyle name="Normal 18 19 8 5" xfId="11292" xr:uid="{9D398032-F5DF-4EF1-B5C9-3418A1E34B7A}"/>
    <cellStyle name="Normal 18 19 8 6" xfId="11293" xr:uid="{46C26250-293B-4D40-9FB1-FC886DC291AD}"/>
    <cellStyle name="Normal 18 19 9" xfId="11294" xr:uid="{63046245-DE94-42A9-8B88-BC60F29E1BDA}"/>
    <cellStyle name="Normal 18 2" xfId="1686" xr:uid="{7801F66A-8CE6-4243-9A6A-F3F4A83A50F7}"/>
    <cellStyle name="Normal 18 2 10" xfId="11295" xr:uid="{AA68A3AC-79DB-497E-9BF3-70D82DB04EC3}"/>
    <cellStyle name="Normal 18 2 11" xfId="11296" xr:uid="{DD46C4C7-4B7E-4F05-A0E7-6DB6904B9B13}"/>
    <cellStyle name="Normal 18 2 12" xfId="11297" xr:uid="{7BE7575F-1343-49BA-9C86-80F22A59D97E}"/>
    <cellStyle name="Normal 18 2 13" xfId="11298" xr:uid="{62509087-C712-4C7F-957F-AD2D168D950E}"/>
    <cellStyle name="Normal 18 2 2" xfId="11299" xr:uid="{C24C2078-71DB-4577-B9A0-F0207BE364B9}"/>
    <cellStyle name="Normal 18 2 2 2" xfId="11300" xr:uid="{480620DD-40BE-4663-9140-F5BD4F7F9371}"/>
    <cellStyle name="Normal 18 2 2 3" xfId="11301" xr:uid="{D958C672-D000-494D-A0E3-536E4AC0C30A}"/>
    <cellStyle name="Normal 18 2 2 4" xfId="11302" xr:uid="{712D71D6-025B-4F31-B0DE-3EEEFAFCE89E}"/>
    <cellStyle name="Normal 18 2 2 5" xfId="11303" xr:uid="{F198C78C-703C-4098-9EFB-8BFE46F89E58}"/>
    <cellStyle name="Normal 18 2 2 6" xfId="11304" xr:uid="{CF390078-FE05-4F7A-A4A4-1FE21359A960}"/>
    <cellStyle name="Normal 18 2 3" xfId="11305" xr:uid="{852A4B72-6CDF-43BD-9071-0EB6237B0D76}"/>
    <cellStyle name="Normal 18 2 3 2" xfId="11306" xr:uid="{53D04184-1737-4523-B06F-2DCB90326FDA}"/>
    <cellStyle name="Normal 18 2 3 3" xfId="11307" xr:uid="{91970DA4-4680-4B06-ABF5-1CD5FCBAFD42}"/>
    <cellStyle name="Normal 18 2 3 4" xfId="11308" xr:uid="{374587EB-0304-49AF-9168-F31D4700B503}"/>
    <cellStyle name="Normal 18 2 3 5" xfId="11309" xr:uid="{B57107EB-F80C-46C7-BA8A-4C62B26E6163}"/>
    <cellStyle name="Normal 18 2 3 6" xfId="11310" xr:uid="{E327A8EC-F449-444B-AA8A-2D4DED016C81}"/>
    <cellStyle name="Normal 18 2 4" xfId="11311" xr:uid="{AF809190-F23F-435A-9035-7ACBC323C3A4}"/>
    <cellStyle name="Normal 18 2 4 2" xfId="11312" xr:uid="{6874F6F9-9B5F-4066-B392-A78081794BF4}"/>
    <cellStyle name="Normal 18 2 4 3" xfId="11313" xr:uid="{46CA6BAE-EBE4-4355-8543-C118104E2F09}"/>
    <cellStyle name="Normal 18 2 4 4" xfId="11314" xr:uid="{7C9951EA-2FA4-4F96-93A1-0EBACA50D074}"/>
    <cellStyle name="Normal 18 2 4 5" xfId="11315" xr:uid="{4AC313A0-7AC1-4586-826D-18BEB433E4C2}"/>
    <cellStyle name="Normal 18 2 4 6" xfId="11316" xr:uid="{A166EB27-9518-46A6-9B44-09FC3D587499}"/>
    <cellStyle name="Normal 18 2 5" xfId="11317" xr:uid="{DE158FFD-8403-4D4C-B404-0EF49927D71A}"/>
    <cellStyle name="Normal 18 2 5 2" xfId="11318" xr:uid="{21C8A13A-DEB5-47FA-AA7A-932447831CFC}"/>
    <cellStyle name="Normal 18 2 5 3" xfId="11319" xr:uid="{84CD722F-40A0-4DA4-ABA6-270B5E9125A2}"/>
    <cellStyle name="Normal 18 2 5 4" xfId="11320" xr:uid="{1569EC93-6220-44E1-86E5-9EF19F61578D}"/>
    <cellStyle name="Normal 18 2 5 5" xfId="11321" xr:uid="{7220A544-2E10-4DE0-AED4-96A655F25C0C}"/>
    <cellStyle name="Normal 18 2 5 6" xfId="11322" xr:uid="{5C83D5B1-93D7-425B-964A-95B7AC402C75}"/>
    <cellStyle name="Normal 18 2 6" xfId="11323" xr:uid="{BEB66DD1-CA96-4E8F-B026-7740133990AB}"/>
    <cellStyle name="Normal 18 2 6 2" xfId="11324" xr:uid="{695C116C-4E2D-4269-AC80-5F86551B68E9}"/>
    <cellStyle name="Normal 18 2 6 3" xfId="11325" xr:uid="{CE010EF4-5269-4A91-8ECE-331E486E0E1F}"/>
    <cellStyle name="Normal 18 2 6 4" xfId="11326" xr:uid="{6459205B-A9B2-4346-9C2D-6243A5726EB0}"/>
    <cellStyle name="Normal 18 2 6 5" xfId="11327" xr:uid="{B63B2108-A204-4EF6-86E1-BB47D226E222}"/>
    <cellStyle name="Normal 18 2 6 6" xfId="11328" xr:uid="{FA19EEF7-5EF0-4DAD-A345-3E0FCE2EFDBA}"/>
    <cellStyle name="Normal 18 2 7" xfId="11329" xr:uid="{53112F01-7FF2-4DC0-8B1E-7EF3DBF06D22}"/>
    <cellStyle name="Normal 18 2 7 2" xfId="11330" xr:uid="{A520F59B-AD26-4B9F-BB99-27A3E1DD89BB}"/>
    <cellStyle name="Normal 18 2 7 3" xfId="11331" xr:uid="{259D31D0-FDF4-40DA-99A5-41CF01BBC0A2}"/>
    <cellStyle name="Normal 18 2 7 4" xfId="11332" xr:uid="{2F50839C-44A9-4FD5-8443-D204FEA5CF96}"/>
    <cellStyle name="Normal 18 2 7 5" xfId="11333" xr:uid="{08541BC7-02EA-4B3F-A3F6-7647347FEB70}"/>
    <cellStyle name="Normal 18 2 7 6" xfId="11334" xr:uid="{D0AFAB4C-E7BC-4ED5-8BD7-B44391A621C5}"/>
    <cellStyle name="Normal 18 2 8" xfId="11335" xr:uid="{9C1A76FC-58F4-452C-9E2A-10A913D8F507}"/>
    <cellStyle name="Normal 18 2 8 2" xfId="11336" xr:uid="{D28584F6-F963-40EC-A685-11E0933FAB1B}"/>
    <cellStyle name="Normal 18 2 8 3" xfId="11337" xr:uid="{6A1BDD1A-05D1-4209-8BBB-B0D27DD2BD3E}"/>
    <cellStyle name="Normal 18 2 8 4" xfId="11338" xr:uid="{680DB4D4-F128-4229-A6BC-528F787579C5}"/>
    <cellStyle name="Normal 18 2 8 5" xfId="11339" xr:uid="{FC41F4ED-399A-40CA-9167-2F733FE7EA1C}"/>
    <cellStyle name="Normal 18 2 8 6" xfId="11340" xr:uid="{83AD6191-492A-4C7D-A6B1-2A0BB3EF4476}"/>
    <cellStyle name="Normal 18 2 9" xfId="11341" xr:uid="{8A993DF7-A6A5-4AAF-8E1C-53D717189B28}"/>
    <cellStyle name="Normal 18 20" xfId="11342" xr:uid="{4E712915-DFAF-4904-AAC0-B03D8FC4B109}"/>
    <cellStyle name="Normal 18 20 10" xfId="11343" xr:uid="{7B4B5FBC-CC99-40F5-A24E-1BA3B2941014}"/>
    <cellStyle name="Normal 18 20 11" xfId="11344" xr:uid="{53FAE7DB-CB42-48D6-ACD3-92380A4C589C}"/>
    <cellStyle name="Normal 18 20 12" xfId="11345" xr:uid="{DB5E9B5F-1222-4B86-B761-9B3FFCA253FE}"/>
    <cellStyle name="Normal 18 20 13" xfId="11346" xr:uid="{C84489A8-74D7-4C49-A2C8-42DF706A1AD1}"/>
    <cellStyle name="Normal 18 20 2" xfId="11347" xr:uid="{EDD39175-7B09-4077-8798-06D94E60A2C6}"/>
    <cellStyle name="Normal 18 20 2 2" xfId="11348" xr:uid="{040F0904-6EF6-4085-8352-72EB068688EE}"/>
    <cellStyle name="Normal 18 20 2 3" xfId="11349" xr:uid="{157765BC-B9C6-46C3-8ACC-91AF19FCF80B}"/>
    <cellStyle name="Normal 18 20 2 4" xfId="11350" xr:uid="{1F82CE93-7863-41A5-9853-46CE1504B249}"/>
    <cellStyle name="Normal 18 20 2 5" xfId="11351" xr:uid="{123E77B0-142F-4D21-A72E-52A0D9FF000B}"/>
    <cellStyle name="Normal 18 20 2 6" xfId="11352" xr:uid="{585162B9-9A8D-4247-91F0-BD763C18E733}"/>
    <cellStyle name="Normal 18 20 3" xfId="11353" xr:uid="{BE45E7CE-7527-4C3E-BE82-C6C0BAA9E1FB}"/>
    <cellStyle name="Normal 18 20 3 2" xfId="11354" xr:uid="{C57B0EA4-67C2-493D-A76F-8AD9CD8BB6DD}"/>
    <cellStyle name="Normal 18 20 3 3" xfId="11355" xr:uid="{F11799F2-22B6-4E10-A1EF-A9AB753989C3}"/>
    <cellStyle name="Normal 18 20 3 4" xfId="11356" xr:uid="{3A7A2A6B-3B84-4596-825B-99A85CB3F3E3}"/>
    <cellStyle name="Normal 18 20 3 5" xfId="11357" xr:uid="{C986A469-FAA4-4767-8541-FB2D8FA89AE9}"/>
    <cellStyle name="Normal 18 20 3 6" xfId="11358" xr:uid="{655073C2-ECF8-4A4C-BA8B-27F7101457F8}"/>
    <cellStyle name="Normal 18 20 4" xfId="11359" xr:uid="{27AE497A-61FB-49FC-AADD-77AA56C9BC4D}"/>
    <cellStyle name="Normal 18 20 4 2" xfId="11360" xr:uid="{A6F03408-0091-4A05-BBF5-9EFA761397E3}"/>
    <cellStyle name="Normal 18 20 4 3" xfId="11361" xr:uid="{7EB6B6DE-B500-4438-9A16-6BD6C2AE8376}"/>
    <cellStyle name="Normal 18 20 4 4" xfId="11362" xr:uid="{52CB7176-2197-43BD-8B8E-F4508A63E4A6}"/>
    <cellStyle name="Normal 18 20 4 5" xfId="11363" xr:uid="{14E3EBAE-D62E-4C17-A799-13F2BED97E5C}"/>
    <cellStyle name="Normal 18 20 4 6" xfId="11364" xr:uid="{A1F0B0A9-4ABF-48E2-B5F0-3266A98E22B8}"/>
    <cellStyle name="Normal 18 20 5" xfId="11365" xr:uid="{47EC089F-99BC-4ADA-892E-E17B7273E5C8}"/>
    <cellStyle name="Normal 18 20 5 2" xfId="11366" xr:uid="{11F8EC3A-0059-4F85-A4CB-46F9533DCC30}"/>
    <cellStyle name="Normal 18 20 5 3" xfId="11367" xr:uid="{794A4311-8745-4C9F-9593-3F2561556265}"/>
    <cellStyle name="Normal 18 20 5 4" xfId="11368" xr:uid="{0828AAE7-C9AE-4EA9-9762-597A1DFFC665}"/>
    <cellStyle name="Normal 18 20 5 5" xfId="11369" xr:uid="{B3024934-4036-4F3A-AB11-92A6ECE7003E}"/>
    <cellStyle name="Normal 18 20 5 6" xfId="11370" xr:uid="{229536B9-97CD-4DF6-BB70-6A14C7FB1F26}"/>
    <cellStyle name="Normal 18 20 6" xfId="11371" xr:uid="{B34B8CCA-C1F0-4BB1-9C14-1F2CA5CFB614}"/>
    <cellStyle name="Normal 18 20 6 2" xfId="11372" xr:uid="{6CFA8839-7658-49B7-9BCA-6CD5B6A6CFDF}"/>
    <cellStyle name="Normal 18 20 6 3" xfId="11373" xr:uid="{6D98AFDB-A9F2-4CCD-9815-7A1993FBC613}"/>
    <cellStyle name="Normal 18 20 6 4" xfId="11374" xr:uid="{A45144E7-C014-4047-8F4B-336E2F3F9105}"/>
    <cellStyle name="Normal 18 20 6 5" xfId="11375" xr:uid="{04C8333A-F8D7-4CB8-8F4B-8896F25E6FCF}"/>
    <cellStyle name="Normal 18 20 6 6" xfId="11376" xr:uid="{30FB9014-CB7C-4BB8-8A7F-A7D8B74BE44E}"/>
    <cellStyle name="Normal 18 20 7" xfId="11377" xr:uid="{52ECE6F8-F4FC-4C9A-8A0F-42F196C86253}"/>
    <cellStyle name="Normal 18 20 7 2" xfId="11378" xr:uid="{0D7480E3-C6C0-43E7-8097-2B53E36E9541}"/>
    <cellStyle name="Normal 18 20 7 3" xfId="11379" xr:uid="{6D976E90-9568-4BBB-90F8-A55551F4CF86}"/>
    <cellStyle name="Normal 18 20 7 4" xfId="11380" xr:uid="{226DEE2C-D63C-4721-A575-DB1CC9B4AFAD}"/>
    <cellStyle name="Normal 18 20 7 5" xfId="11381" xr:uid="{3DBC6E4A-E807-4D81-BA0B-52DEB515337D}"/>
    <cellStyle name="Normal 18 20 7 6" xfId="11382" xr:uid="{DD144BC4-AAF3-4418-9818-058E30558728}"/>
    <cellStyle name="Normal 18 20 8" xfId="11383" xr:uid="{EBB15F08-F02E-4885-95A9-E2966D2CBFA9}"/>
    <cellStyle name="Normal 18 20 8 2" xfId="11384" xr:uid="{ACD1C1FB-806C-474E-A281-591810784468}"/>
    <cellStyle name="Normal 18 20 8 3" xfId="11385" xr:uid="{9E5E569F-40A0-47C0-9822-11789F0A30C3}"/>
    <cellStyle name="Normal 18 20 8 4" xfId="11386" xr:uid="{17C068D3-985E-4E3B-95B3-1CB8A5267BA2}"/>
    <cellStyle name="Normal 18 20 8 5" xfId="11387" xr:uid="{7C6A57B2-F998-45C7-A457-9B2E4A97B6DA}"/>
    <cellStyle name="Normal 18 20 8 6" xfId="11388" xr:uid="{92BD240F-7A02-44B0-91D9-5A36B1DCE405}"/>
    <cellStyle name="Normal 18 20 9" xfId="11389" xr:uid="{D2E8EC1B-DAE7-4E14-8BC6-EAD070F2604B}"/>
    <cellStyle name="Normal 18 21" xfId="11390" xr:uid="{7E7DE87B-DC4E-4B5D-9D24-42EB3E5C386F}"/>
    <cellStyle name="Normal 18 21 10" xfId="11391" xr:uid="{9D58FB6B-3984-43C2-B5E2-F7E5E6A086B1}"/>
    <cellStyle name="Normal 18 21 11" xfId="11392" xr:uid="{72DEA7D9-C8F0-4A54-938F-9E0A160C93FA}"/>
    <cellStyle name="Normal 18 21 12" xfId="11393" xr:uid="{8266A04D-5D2B-4BFF-9A64-9338A3BB3D1E}"/>
    <cellStyle name="Normal 18 21 13" xfId="11394" xr:uid="{1A48B6EC-83AA-4B86-A9E6-E86B6E4AD577}"/>
    <cellStyle name="Normal 18 21 2" xfId="11395" xr:uid="{960EBE80-23FF-40C7-9855-4EB96017369A}"/>
    <cellStyle name="Normal 18 21 2 2" xfId="11396" xr:uid="{51B98FCA-45A9-4DD3-BF73-9E69CF6484AC}"/>
    <cellStyle name="Normal 18 21 2 3" xfId="11397" xr:uid="{170D7DFA-FF65-41EB-89DD-D99598B7660A}"/>
    <cellStyle name="Normal 18 21 2 4" xfId="11398" xr:uid="{7A07DB5F-1D3E-4B88-8F0B-D920497C1313}"/>
    <cellStyle name="Normal 18 21 2 5" xfId="11399" xr:uid="{DA8865A6-8462-4A77-AFFB-5B327F7D26CD}"/>
    <cellStyle name="Normal 18 21 2 6" xfId="11400" xr:uid="{BAED9884-D6A0-4E34-AFC6-66DC2477F31E}"/>
    <cellStyle name="Normal 18 21 3" xfId="11401" xr:uid="{93D0F83A-5A8E-4D55-A9A6-4C2DB23D5FF1}"/>
    <cellStyle name="Normal 18 21 3 2" xfId="11402" xr:uid="{668DA350-F0DD-4EC7-9A40-08B3B8191F7C}"/>
    <cellStyle name="Normal 18 21 3 3" xfId="11403" xr:uid="{4B88631E-20EE-4EA3-8074-1E2A0C2D0153}"/>
    <cellStyle name="Normal 18 21 3 4" xfId="11404" xr:uid="{CDA67094-7C03-4F2D-ACB7-4CA3B403BA8D}"/>
    <cellStyle name="Normal 18 21 3 5" xfId="11405" xr:uid="{463D823D-5F4A-43A4-BBD9-37810B96463A}"/>
    <cellStyle name="Normal 18 21 3 6" xfId="11406" xr:uid="{6E7F52E0-B162-4910-80E1-840CF3E08DDA}"/>
    <cellStyle name="Normal 18 21 4" xfId="11407" xr:uid="{350C17BC-F2D4-49EB-B325-3127CA63BB2D}"/>
    <cellStyle name="Normal 18 21 4 2" xfId="11408" xr:uid="{5FA1B97D-9069-406B-B0BF-301C6F5063ED}"/>
    <cellStyle name="Normal 18 21 4 3" xfId="11409" xr:uid="{1AB12209-E844-4687-B287-C19487A84E98}"/>
    <cellStyle name="Normal 18 21 4 4" xfId="11410" xr:uid="{4E139190-5635-46CF-AFB8-FE91A003B2F1}"/>
    <cellStyle name="Normal 18 21 4 5" xfId="11411" xr:uid="{E78F75AD-8CF1-4570-8320-A62CC1D98DD4}"/>
    <cellStyle name="Normal 18 21 4 6" xfId="11412" xr:uid="{97E9105C-CCDB-4478-8D95-CF7B75AEF786}"/>
    <cellStyle name="Normal 18 21 5" xfId="11413" xr:uid="{45EA1BCC-B6A7-4BA5-B6B1-CDBCF0A0B1E1}"/>
    <cellStyle name="Normal 18 21 5 2" xfId="11414" xr:uid="{C4A20945-769E-4475-8955-E6D0F70632FF}"/>
    <cellStyle name="Normal 18 21 5 3" xfId="11415" xr:uid="{1941E326-DCB5-41A7-AE15-9BDA96948575}"/>
    <cellStyle name="Normal 18 21 5 4" xfId="11416" xr:uid="{0F502A65-F8E2-4350-BB4E-B18DB7EFF947}"/>
    <cellStyle name="Normal 18 21 5 5" xfId="11417" xr:uid="{6D240EA7-13AE-4305-932B-F686CE5E7A4F}"/>
    <cellStyle name="Normal 18 21 5 6" xfId="11418" xr:uid="{F2A312B4-E794-46A7-AC9D-EFE3CAF04927}"/>
    <cellStyle name="Normal 18 21 6" xfId="11419" xr:uid="{BC14C3A6-4E1A-46DF-90C9-E6010E2311F9}"/>
    <cellStyle name="Normal 18 21 6 2" xfId="11420" xr:uid="{E4391BCE-A9A6-4F87-8F5E-2F9BF11FEC89}"/>
    <cellStyle name="Normal 18 21 6 3" xfId="11421" xr:uid="{6AD799EF-6F57-4EF7-A2B6-AC833511E77C}"/>
    <cellStyle name="Normal 18 21 6 4" xfId="11422" xr:uid="{E59126DA-0FA7-4DDF-9A16-5CCE4F074A7D}"/>
    <cellStyle name="Normal 18 21 6 5" xfId="11423" xr:uid="{EC47090F-33EC-4344-AFB2-7442FE5EBF00}"/>
    <cellStyle name="Normal 18 21 6 6" xfId="11424" xr:uid="{5B8C60BE-5B54-4538-B1AB-B147618D849B}"/>
    <cellStyle name="Normal 18 21 7" xfId="11425" xr:uid="{52D6D057-EF88-4B66-B08E-DAC511824FD5}"/>
    <cellStyle name="Normal 18 21 7 2" xfId="11426" xr:uid="{B787C5DB-0090-4F7A-B1BE-ABA2B79A6BE6}"/>
    <cellStyle name="Normal 18 21 7 3" xfId="11427" xr:uid="{4F855BD7-97FC-4F79-A092-167B40EFDD3C}"/>
    <cellStyle name="Normal 18 21 7 4" xfId="11428" xr:uid="{CD83369F-8890-4910-9AB3-9EB7596CEA85}"/>
    <cellStyle name="Normal 18 21 7 5" xfId="11429" xr:uid="{C2D99360-0276-42A8-8CF8-3C8BAE6032D6}"/>
    <cellStyle name="Normal 18 21 7 6" xfId="11430" xr:uid="{D726C257-73D6-4C30-8281-89C1C3B0C683}"/>
    <cellStyle name="Normal 18 21 8" xfId="11431" xr:uid="{056474CF-3FAD-4B92-ADD8-0B95019E2504}"/>
    <cellStyle name="Normal 18 21 8 2" xfId="11432" xr:uid="{C90D2E94-7496-40C4-B0D4-900EDBE87E2A}"/>
    <cellStyle name="Normal 18 21 8 3" xfId="11433" xr:uid="{7ACD8657-5E7C-47BC-B89F-E65413929AA2}"/>
    <cellStyle name="Normal 18 21 8 4" xfId="11434" xr:uid="{A5CDAE5C-F924-41EC-9050-68B8ED1BF7ED}"/>
    <cellStyle name="Normal 18 21 8 5" xfId="11435" xr:uid="{FFEB4DF7-0833-4ACF-888E-5CA5433A9305}"/>
    <cellStyle name="Normal 18 21 8 6" xfId="11436" xr:uid="{A99AE545-6D2D-4008-8513-CFD1C174B47E}"/>
    <cellStyle name="Normal 18 21 9" xfId="11437" xr:uid="{FCDDDA43-C95A-4CC6-AAC2-47A65E3BEF5A}"/>
    <cellStyle name="Normal 18 22" xfId="11438" xr:uid="{17265C37-6A8B-43B1-A869-5D7C1ACB76E2}"/>
    <cellStyle name="Normal 18 22 10" xfId="11439" xr:uid="{D7C31E03-D607-4B13-AD82-2979623EE7F4}"/>
    <cellStyle name="Normal 18 22 11" xfId="11440" xr:uid="{F2C469EE-3597-4A32-989E-D9327D83824D}"/>
    <cellStyle name="Normal 18 22 12" xfId="11441" xr:uid="{098FFB60-BAED-4AA0-8A8C-4D72F1F14198}"/>
    <cellStyle name="Normal 18 22 13" xfId="11442" xr:uid="{56F747A7-1E4F-4E69-85FC-EE158492E5FD}"/>
    <cellStyle name="Normal 18 22 2" xfId="11443" xr:uid="{6815552D-007B-41AA-8D5F-C446BEC223BA}"/>
    <cellStyle name="Normal 18 22 2 2" xfId="11444" xr:uid="{7A439649-03B0-4AE5-AD0B-34B0704441EE}"/>
    <cellStyle name="Normal 18 22 2 3" xfId="11445" xr:uid="{3BEA4D64-530A-414A-B6BD-2EFF004B4B2E}"/>
    <cellStyle name="Normal 18 22 2 4" xfId="11446" xr:uid="{1FED1D5D-BB0A-4C5C-B6DC-AFAA8EDE02D0}"/>
    <cellStyle name="Normal 18 22 2 5" xfId="11447" xr:uid="{763FE2F1-77D0-47B5-8900-66ED059820BD}"/>
    <cellStyle name="Normal 18 22 2 6" xfId="11448" xr:uid="{1B340125-0031-4EF5-A12E-2E7257B27308}"/>
    <cellStyle name="Normal 18 22 3" xfId="11449" xr:uid="{7C3D0B03-332B-436D-B5C3-D11D714CF442}"/>
    <cellStyle name="Normal 18 22 3 2" xfId="11450" xr:uid="{5D7C8D3F-2989-4FC0-9742-98E074FB3BA4}"/>
    <cellStyle name="Normal 18 22 3 3" xfId="11451" xr:uid="{23D954F3-A91C-4E2F-A5C0-C38C8D18C69D}"/>
    <cellStyle name="Normal 18 22 3 4" xfId="11452" xr:uid="{DD3BA269-1654-402D-8476-EE6AA2B2FD86}"/>
    <cellStyle name="Normal 18 22 3 5" xfId="11453" xr:uid="{630827C6-EC8B-4586-AA5B-9466EA36D429}"/>
    <cellStyle name="Normal 18 22 3 6" xfId="11454" xr:uid="{A8CA587A-5878-4394-B00E-71F89F78FD13}"/>
    <cellStyle name="Normal 18 22 4" xfId="11455" xr:uid="{9B0DAF60-B9CD-4544-854E-EA4E23FE1277}"/>
    <cellStyle name="Normal 18 22 4 2" xfId="11456" xr:uid="{CA9183A4-1E85-4D9E-AFE0-35D7770FCE73}"/>
    <cellStyle name="Normal 18 22 4 3" xfId="11457" xr:uid="{C7756820-6C88-41E2-9FED-5A9FF81B5C76}"/>
    <cellStyle name="Normal 18 22 4 4" xfId="11458" xr:uid="{7560B17E-F130-4CCC-B8AF-18DEBEEEF4FE}"/>
    <cellStyle name="Normal 18 22 4 5" xfId="11459" xr:uid="{A654CC13-02A9-4D91-9BA0-6CA04F7D4367}"/>
    <cellStyle name="Normal 18 22 4 6" xfId="11460" xr:uid="{AE114145-47AC-47BF-B733-69BD5EFF99E7}"/>
    <cellStyle name="Normal 18 22 5" xfId="11461" xr:uid="{2F39860E-F4E8-4E2F-A907-46A90193559B}"/>
    <cellStyle name="Normal 18 22 5 2" xfId="11462" xr:uid="{6C86B2F6-5C01-4E93-B64A-850D6B04B259}"/>
    <cellStyle name="Normal 18 22 5 3" xfId="11463" xr:uid="{6D3F5D09-7001-4EE3-9834-66E96E35D0F0}"/>
    <cellStyle name="Normal 18 22 5 4" xfId="11464" xr:uid="{130CAD53-3633-4945-9CA1-4821AF5D8FB2}"/>
    <cellStyle name="Normal 18 22 5 5" xfId="11465" xr:uid="{E199A2D9-B73F-4CA3-A3F8-8C48CE4356AF}"/>
    <cellStyle name="Normal 18 22 5 6" xfId="11466" xr:uid="{86275CA2-2416-4589-87BA-E484039CDDDE}"/>
    <cellStyle name="Normal 18 22 6" xfId="11467" xr:uid="{8EFA4501-B679-4196-9B6B-F420A93A2049}"/>
    <cellStyle name="Normal 18 22 6 2" xfId="11468" xr:uid="{674DC69F-C22F-40EA-80EA-123F0CF8AFA4}"/>
    <cellStyle name="Normal 18 22 6 3" xfId="11469" xr:uid="{61C634D0-DA6D-49C2-AD67-688E5849E3AC}"/>
    <cellStyle name="Normal 18 22 6 4" xfId="11470" xr:uid="{BC95239A-D381-4B63-983D-AAA7F139118B}"/>
    <cellStyle name="Normal 18 22 6 5" xfId="11471" xr:uid="{EB9DBE7C-F906-4CB3-A7E9-1FF22185C679}"/>
    <cellStyle name="Normal 18 22 6 6" xfId="11472" xr:uid="{239B2765-EE34-4885-82A8-F521A3D8D696}"/>
    <cellStyle name="Normal 18 22 7" xfId="11473" xr:uid="{5A9737C4-AE13-48C6-96B4-18F8E9ADF350}"/>
    <cellStyle name="Normal 18 22 7 2" xfId="11474" xr:uid="{27D69421-F1E8-4084-B6BC-1F3477E86A87}"/>
    <cellStyle name="Normal 18 22 7 3" xfId="11475" xr:uid="{0C7F3BAC-8F76-4929-970F-B7C260678688}"/>
    <cellStyle name="Normal 18 22 7 4" xfId="11476" xr:uid="{B3E0CD65-863D-4D94-9BCB-005A1436E072}"/>
    <cellStyle name="Normal 18 22 7 5" xfId="11477" xr:uid="{800A702F-CE55-4EAF-880C-CAC4F826A9D1}"/>
    <cellStyle name="Normal 18 22 7 6" xfId="11478" xr:uid="{56C607BD-7E46-4E2A-BE37-2D73627E66EE}"/>
    <cellStyle name="Normal 18 22 8" xfId="11479" xr:uid="{8C87AACA-7303-494C-93F2-6C7A818DE010}"/>
    <cellStyle name="Normal 18 22 8 2" xfId="11480" xr:uid="{2953D780-598F-45A7-AD53-27E57476B0DE}"/>
    <cellStyle name="Normal 18 22 8 3" xfId="11481" xr:uid="{361BA301-C01B-4DBF-9F6C-F6265220D38C}"/>
    <cellStyle name="Normal 18 22 8 4" xfId="11482" xr:uid="{72F4DFF7-47F6-43D7-9947-477AA0339133}"/>
    <cellStyle name="Normal 18 22 8 5" xfId="11483" xr:uid="{7B726AD3-E2F4-47F5-B46A-98FBE77DF42A}"/>
    <cellStyle name="Normal 18 22 8 6" xfId="11484" xr:uid="{B675D56C-055B-4465-8BC3-2DF28BB47DCF}"/>
    <cellStyle name="Normal 18 22 9" xfId="11485" xr:uid="{22D5F37C-2538-4893-81E2-68D33AD565EB}"/>
    <cellStyle name="Normal 18 23" xfId="11486" xr:uid="{B0005CB5-1CD6-4AA6-B141-683E8CDB9D0E}"/>
    <cellStyle name="Normal 18 23 10" xfId="11487" xr:uid="{AE8032A7-A692-43DF-B0B1-FC93E86F4B9C}"/>
    <cellStyle name="Normal 18 23 11" xfId="11488" xr:uid="{8856640F-808E-48C6-8766-C29587FC9FB9}"/>
    <cellStyle name="Normal 18 23 12" xfId="11489" xr:uid="{64F0ECA8-AD47-4AF4-BDCF-03750E72F9DD}"/>
    <cellStyle name="Normal 18 23 13" xfId="11490" xr:uid="{CB6A93F8-4813-4948-9BB9-B560EDC528FC}"/>
    <cellStyle name="Normal 18 23 2" xfId="11491" xr:uid="{F0F870A8-9969-40F3-8422-45F1079924A3}"/>
    <cellStyle name="Normal 18 23 2 2" xfId="11492" xr:uid="{CBAE922B-5744-4EC8-BCBD-ED4B56BC06FD}"/>
    <cellStyle name="Normal 18 23 2 3" xfId="11493" xr:uid="{3A65D849-4AB4-472D-A42B-48CE62C45BE8}"/>
    <cellStyle name="Normal 18 23 2 4" xfId="11494" xr:uid="{CB03894E-EAD5-4102-871C-3969C5160EA6}"/>
    <cellStyle name="Normal 18 23 2 5" xfId="11495" xr:uid="{6483396B-8E5B-4A5A-82F6-131608276371}"/>
    <cellStyle name="Normal 18 23 2 6" xfId="11496" xr:uid="{E3DE5C9E-53FA-4D0A-A008-58508547EBB3}"/>
    <cellStyle name="Normal 18 23 3" xfId="11497" xr:uid="{8B401E4C-62AA-4A7B-8BFA-14DBE2617F26}"/>
    <cellStyle name="Normal 18 23 3 2" xfId="11498" xr:uid="{CF1027B3-18EC-430A-98CE-21169BE2E7F2}"/>
    <cellStyle name="Normal 18 23 3 3" xfId="11499" xr:uid="{5A13C729-5588-471B-AC2A-CBF747EAD022}"/>
    <cellStyle name="Normal 18 23 3 4" xfId="11500" xr:uid="{EE722C5A-ED84-414E-8AF3-08E13456A821}"/>
    <cellStyle name="Normal 18 23 3 5" xfId="11501" xr:uid="{619BE06D-F527-4096-B24A-9F0031538B59}"/>
    <cellStyle name="Normal 18 23 3 6" xfId="11502" xr:uid="{6E9F63A2-6A04-40E2-8A38-0292963A9014}"/>
    <cellStyle name="Normal 18 23 4" xfId="11503" xr:uid="{F737C97A-42BB-4A72-8CDF-5D301FB71C72}"/>
    <cellStyle name="Normal 18 23 4 2" xfId="11504" xr:uid="{B6E97753-46CB-4786-A909-9AB6887EBB7C}"/>
    <cellStyle name="Normal 18 23 4 3" xfId="11505" xr:uid="{4C5E843B-EB48-41BC-9A2B-10690F54CEFF}"/>
    <cellStyle name="Normal 18 23 4 4" xfId="11506" xr:uid="{7B8465D0-6847-45FC-9781-DB13B7255018}"/>
    <cellStyle name="Normal 18 23 4 5" xfId="11507" xr:uid="{6F1B8DD6-D705-4B61-B988-70F25CA66DE4}"/>
    <cellStyle name="Normal 18 23 4 6" xfId="11508" xr:uid="{81972F2B-2C49-4522-8068-36CCCF376651}"/>
    <cellStyle name="Normal 18 23 5" xfId="11509" xr:uid="{AA01165C-318D-4DCD-B73E-ED564AA97448}"/>
    <cellStyle name="Normal 18 23 5 2" xfId="11510" xr:uid="{C741E9D8-A266-48D9-A4C1-A84754F0AB56}"/>
    <cellStyle name="Normal 18 23 5 3" xfId="11511" xr:uid="{5C46F85F-7C30-4E52-B873-F9284ED82941}"/>
    <cellStyle name="Normal 18 23 5 4" xfId="11512" xr:uid="{E09912E0-AE8C-4B9D-A4B3-49EADEFC7AE7}"/>
    <cellStyle name="Normal 18 23 5 5" xfId="11513" xr:uid="{FFFB2849-7F5C-4B8E-8832-87C758C68838}"/>
    <cellStyle name="Normal 18 23 5 6" xfId="11514" xr:uid="{48AB78AA-FA2C-4C6B-9CA5-F13E65E8171B}"/>
    <cellStyle name="Normal 18 23 6" xfId="11515" xr:uid="{353C28D3-EDB6-46D7-A343-4834E8D29F01}"/>
    <cellStyle name="Normal 18 23 6 2" xfId="11516" xr:uid="{0FA53807-DE33-4CB5-BDD6-335B4D8A69E0}"/>
    <cellStyle name="Normal 18 23 6 3" xfId="11517" xr:uid="{2EB92D5A-2CA2-44AD-91E0-9D27C39EE56F}"/>
    <cellStyle name="Normal 18 23 6 4" xfId="11518" xr:uid="{6DABE492-3D90-434E-85D3-D7E4532DA345}"/>
    <cellStyle name="Normal 18 23 6 5" xfId="11519" xr:uid="{2BDB8D86-CCE1-4E1E-A5CA-2B28DF85D3C0}"/>
    <cellStyle name="Normal 18 23 6 6" xfId="11520" xr:uid="{F814D163-5D50-454C-84A4-D94A37C1CAE1}"/>
    <cellStyle name="Normal 18 23 7" xfId="11521" xr:uid="{B2C8B4C3-26EB-4D6B-9795-891452B2EC04}"/>
    <cellStyle name="Normal 18 23 7 2" xfId="11522" xr:uid="{3BEA371B-1A6B-435A-B60A-B3D65A7552C8}"/>
    <cellStyle name="Normal 18 23 7 3" xfId="11523" xr:uid="{668EFCDA-EE43-4B3A-9DB8-A741F273BAA2}"/>
    <cellStyle name="Normal 18 23 7 4" xfId="11524" xr:uid="{73DDDDA6-C961-48CE-A628-778F95126163}"/>
    <cellStyle name="Normal 18 23 7 5" xfId="11525" xr:uid="{AE3A32F8-B7B8-467D-98B0-CEFCDC2276C0}"/>
    <cellStyle name="Normal 18 23 7 6" xfId="11526" xr:uid="{B5AFB624-4CD3-4A3C-BD86-D975574E529B}"/>
    <cellStyle name="Normal 18 23 8" xfId="11527" xr:uid="{47152986-CBD0-4508-B42C-DD8F4DF0E7AA}"/>
    <cellStyle name="Normal 18 23 8 2" xfId="11528" xr:uid="{09C41558-35B0-4186-8E14-42605BDBF3AA}"/>
    <cellStyle name="Normal 18 23 8 3" xfId="11529" xr:uid="{92E35B34-BA3C-41F9-9D83-9EA5DAFCBE58}"/>
    <cellStyle name="Normal 18 23 8 4" xfId="11530" xr:uid="{0B036959-9B8C-4194-8D29-BAFD4FB9C7D8}"/>
    <cellStyle name="Normal 18 23 8 5" xfId="11531" xr:uid="{56AFFCBA-5B05-4C5D-BA8E-A0E3B981BDC3}"/>
    <cellStyle name="Normal 18 23 8 6" xfId="11532" xr:uid="{A44BDD81-0D33-449C-B1E6-9C95353DC266}"/>
    <cellStyle name="Normal 18 23 9" xfId="11533" xr:uid="{1A003413-927C-406F-B060-DF065E2BFD9D}"/>
    <cellStyle name="Normal 18 24" xfId="11534" xr:uid="{1042D1AD-6C98-4A81-8ACD-0091E3B4C4A0}"/>
    <cellStyle name="Normal 18 24 10" xfId="11535" xr:uid="{90C2DE41-BC97-48CE-B0CC-BDB061D16B67}"/>
    <cellStyle name="Normal 18 24 11" xfId="11536" xr:uid="{3225A83E-6439-4239-8A26-2EFF599A2F9D}"/>
    <cellStyle name="Normal 18 24 12" xfId="11537" xr:uid="{837747A8-0ECB-46D0-8583-4544A5A84B77}"/>
    <cellStyle name="Normal 18 24 13" xfId="11538" xr:uid="{38E5367F-EF78-4D1A-B4D2-9260A5FCDEBD}"/>
    <cellStyle name="Normal 18 24 2" xfId="11539" xr:uid="{996F26A8-AB81-4B82-B496-81A3AB32A141}"/>
    <cellStyle name="Normal 18 24 2 2" xfId="11540" xr:uid="{D9F67882-9A1C-4DE1-9F12-1D1814FE527C}"/>
    <cellStyle name="Normal 18 24 2 3" xfId="11541" xr:uid="{52492B2A-BBAE-4342-820D-CE684CECE97A}"/>
    <cellStyle name="Normal 18 24 2 4" xfId="11542" xr:uid="{C7DFFD6E-DDAE-47BB-B36F-C2FBC1637D90}"/>
    <cellStyle name="Normal 18 24 2 5" xfId="11543" xr:uid="{F5CCC469-C853-47FC-A15E-145CDB8C5581}"/>
    <cellStyle name="Normal 18 24 2 6" xfId="11544" xr:uid="{E29FA99E-B2F3-4140-A359-AC959C9C2D3B}"/>
    <cellStyle name="Normal 18 24 3" xfId="11545" xr:uid="{E96CF748-5B81-446B-B423-17D327E788EA}"/>
    <cellStyle name="Normal 18 24 3 2" xfId="11546" xr:uid="{35E9DB9E-22DB-4DF3-9D09-539E5FC7B983}"/>
    <cellStyle name="Normal 18 24 3 3" xfId="11547" xr:uid="{3F4F6F73-AA27-450A-91A9-25357FE6A189}"/>
    <cellStyle name="Normal 18 24 3 4" xfId="11548" xr:uid="{2158C53D-5DE8-4402-9EAD-2E238895DF45}"/>
    <cellStyle name="Normal 18 24 3 5" xfId="11549" xr:uid="{2A33A6DB-F669-44F7-AC2A-9E7D169ADD26}"/>
    <cellStyle name="Normal 18 24 3 6" xfId="11550" xr:uid="{FAE608B9-E4DB-485F-8D96-49ABE3C9DA5C}"/>
    <cellStyle name="Normal 18 24 4" xfId="11551" xr:uid="{3D97DE12-7093-4842-A205-19C03613A258}"/>
    <cellStyle name="Normal 18 24 4 2" xfId="11552" xr:uid="{10694B7C-5A23-49E3-9C86-35897AD94B3F}"/>
    <cellStyle name="Normal 18 24 4 3" xfId="11553" xr:uid="{5787F2DD-C102-4FED-AB68-4E4910DFEEB1}"/>
    <cellStyle name="Normal 18 24 4 4" xfId="11554" xr:uid="{FFE109EE-0EE3-412E-85A6-50E9C33A54A4}"/>
    <cellStyle name="Normal 18 24 4 5" xfId="11555" xr:uid="{AD9F5AD0-B202-41D8-BC5A-CA93F83BB972}"/>
    <cellStyle name="Normal 18 24 4 6" xfId="11556" xr:uid="{5B786FFD-A989-40FD-BE82-C3A32D32EF99}"/>
    <cellStyle name="Normal 18 24 5" xfId="11557" xr:uid="{B8EE8B2F-9C6B-4D3D-A38B-3DECC9A99D44}"/>
    <cellStyle name="Normal 18 24 5 2" xfId="11558" xr:uid="{3B03B2CD-2610-498D-B3A2-DB5F594C374B}"/>
    <cellStyle name="Normal 18 24 5 3" xfId="11559" xr:uid="{B572B37B-43E8-4DA1-84BC-4034C12E6964}"/>
    <cellStyle name="Normal 18 24 5 4" xfId="11560" xr:uid="{9D91FACD-D922-42A9-ADF2-089FB5931A5A}"/>
    <cellStyle name="Normal 18 24 5 5" xfId="11561" xr:uid="{7F110655-FD7C-4A7F-BD27-2F01E1605431}"/>
    <cellStyle name="Normal 18 24 5 6" xfId="11562" xr:uid="{7A9C9F2B-9E61-409F-9542-E36140BDCD1A}"/>
    <cellStyle name="Normal 18 24 6" xfId="11563" xr:uid="{C3AA170A-3B07-46F5-9471-FC3F4C23B2EE}"/>
    <cellStyle name="Normal 18 24 6 2" xfId="11564" xr:uid="{B22B7E2B-4C07-47C2-9D5E-A54A826492EB}"/>
    <cellStyle name="Normal 18 24 6 3" xfId="11565" xr:uid="{A73AACF4-A050-47F4-88A4-18D91464B1B5}"/>
    <cellStyle name="Normal 18 24 6 4" xfId="11566" xr:uid="{AA58C11B-6BE2-499A-939A-A1D092EF77A4}"/>
    <cellStyle name="Normal 18 24 6 5" xfId="11567" xr:uid="{270733D2-BDF7-4749-92C3-65F179CE4B83}"/>
    <cellStyle name="Normal 18 24 6 6" xfId="11568" xr:uid="{FD6366C5-AC08-4908-8198-B4B3390EF195}"/>
    <cellStyle name="Normal 18 24 7" xfId="11569" xr:uid="{63B2F152-DF6F-4329-BE53-92BB70B88B9B}"/>
    <cellStyle name="Normal 18 24 7 2" xfId="11570" xr:uid="{1508D32F-EF80-4CE1-BF9B-0D6C68A90560}"/>
    <cellStyle name="Normal 18 24 7 3" xfId="11571" xr:uid="{563BEE8F-FA9B-477C-BD67-EBADC0CD3702}"/>
    <cellStyle name="Normal 18 24 7 4" xfId="11572" xr:uid="{5121A218-1345-4AF4-BF8B-EE5171DE721E}"/>
    <cellStyle name="Normal 18 24 7 5" xfId="11573" xr:uid="{E665C340-0C5E-43E0-8885-12FDBD198826}"/>
    <cellStyle name="Normal 18 24 7 6" xfId="11574" xr:uid="{98DF1C5B-4058-44BA-84D8-3FC607354D67}"/>
    <cellStyle name="Normal 18 24 8" xfId="11575" xr:uid="{027CA3B3-686B-414F-AB72-612D63C9F122}"/>
    <cellStyle name="Normal 18 24 8 2" xfId="11576" xr:uid="{2161CB0E-E578-4C53-831C-36E30BD1CB24}"/>
    <cellStyle name="Normal 18 24 8 3" xfId="11577" xr:uid="{70398FB0-448B-4B3F-BFF2-60EAC10B5268}"/>
    <cellStyle name="Normal 18 24 8 4" xfId="11578" xr:uid="{0AA57113-AF2A-4DC4-B53D-8B2AC5485ABB}"/>
    <cellStyle name="Normal 18 24 8 5" xfId="11579" xr:uid="{FDFC7340-774B-4A32-AAF7-9987D6EFC8FE}"/>
    <cellStyle name="Normal 18 24 8 6" xfId="11580" xr:uid="{707E77E0-52FE-4BB0-9A28-1C9CDA3A344D}"/>
    <cellStyle name="Normal 18 24 9" xfId="11581" xr:uid="{C15ED320-86F5-4334-BBC4-D11E3540B978}"/>
    <cellStyle name="Normal 18 25" xfId="11582" xr:uid="{E4CCC294-9115-40BE-8758-53AB651C69D1}"/>
    <cellStyle name="Normal 18 25 2" xfId="11583" xr:uid="{5CE2B700-B2B9-43D5-95E1-2F061A03F626}"/>
    <cellStyle name="Normal 18 25 3" xfId="11584" xr:uid="{7C2B2AB3-2931-4174-AD5A-DB2E12029724}"/>
    <cellStyle name="Normal 18 25 4" xfId="11585" xr:uid="{A0FE3F7B-B679-49CD-A180-D7C46C050465}"/>
    <cellStyle name="Normal 18 25 5" xfId="11586" xr:uid="{3B63059F-6FDB-4710-B8FC-B469ADB0508D}"/>
    <cellStyle name="Normal 18 25 6" xfId="11587" xr:uid="{BC7AD128-36AC-46D6-B425-98A3C3A22FDD}"/>
    <cellStyle name="Normal 18 26" xfId="11588" xr:uid="{B4E1F492-BC81-4847-8BDA-CA0A957F2CC9}"/>
    <cellStyle name="Normal 18 26 2" xfId="11589" xr:uid="{132788F9-997D-484B-87C7-ABC90A6B0E39}"/>
    <cellStyle name="Normal 18 26 3" xfId="11590" xr:uid="{993928D7-035A-4B7B-A366-C0A0C38E3310}"/>
    <cellStyle name="Normal 18 26 4" xfId="11591" xr:uid="{B7AED256-9C54-4192-BF5D-E643494B2BA2}"/>
    <cellStyle name="Normal 18 26 5" xfId="11592" xr:uid="{55B5CD6C-D80A-4A89-8445-6302041D2DCE}"/>
    <cellStyle name="Normal 18 26 6" xfId="11593" xr:uid="{35664A06-7477-44A8-B1D8-F19C3F9E87F1}"/>
    <cellStyle name="Normal 18 27" xfId="11594" xr:uid="{E7D55971-B007-49E3-AF1E-5176E647664F}"/>
    <cellStyle name="Normal 18 27 2" xfId="11595" xr:uid="{6EE1DC0C-D7BC-4972-BBBC-97C7FA9F4B7E}"/>
    <cellStyle name="Normal 18 27 3" xfId="11596" xr:uid="{883E3D2B-B38D-4333-BDE1-EB8F7E1B8CB8}"/>
    <cellStyle name="Normal 18 27 4" xfId="11597" xr:uid="{70A2D48D-E5D4-4B38-BE70-D737DAC91E21}"/>
    <cellStyle name="Normal 18 27 5" xfId="11598" xr:uid="{287C4AA0-2BA1-4D98-9183-4186A8AF0852}"/>
    <cellStyle name="Normal 18 27 6" xfId="11599" xr:uid="{A4D0FE84-0C03-4EE5-ACDC-58AA69A26D47}"/>
    <cellStyle name="Normal 18 28" xfId="11600" xr:uid="{49F7B408-5DC8-4002-82D2-4914D153C7FA}"/>
    <cellStyle name="Normal 18 28 2" xfId="11601" xr:uid="{C62ECC1A-7C9F-408A-9E62-9DD9C1E62749}"/>
    <cellStyle name="Normal 18 28 3" xfId="11602" xr:uid="{37801095-F5E9-4A67-A3F4-0A32972F8123}"/>
    <cellStyle name="Normal 18 28 4" xfId="11603" xr:uid="{E0E72C9B-E63C-4C81-89F3-B888EBDEAE98}"/>
    <cellStyle name="Normal 18 28 5" xfId="11604" xr:uid="{DF102454-5064-4DFE-BC1C-824AC7FDB206}"/>
    <cellStyle name="Normal 18 28 6" xfId="11605" xr:uid="{4300EFA9-5893-4391-8A3D-75BF2CEAA3D8}"/>
    <cellStyle name="Normal 18 29" xfId="11606" xr:uid="{0C6DC92A-42DC-4976-A878-A99A64F84999}"/>
    <cellStyle name="Normal 18 29 2" xfId="11607" xr:uid="{05817C12-2512-463A-8259-D77C3584A4E7}"/>
    <cellStyle name="Normal 18 29 3" xfId="11608" xr:uid="{5D8A923A-A6D5-42C6-89D7-E79F179AF4D7}"/>
    <cellStyle name="Normal 18 29 4" xfId="11609" xr:uid="{CECDEBFC-0B87-4C6F-BBF7-24262169EB53}"/>
    <cellStyle name="Normal 18 29 5" xfId="11610" xr:uid="{0F72F9E9-39B5-48ED-98F7-7C86DE5338BD}"/>
    <cellStyle name="Normal 18 29 6" xfId="11611" xr:uid="{1187AB0E-A6AD-4A5D-AFA0-7847E7D67A58}"/>
    <cellStyle name="Normal 18 3" xfId="11612" xr:uid="{DB48ABA4-4CFE-4EA3-8F60-C4AE638D6106}"/>
    <cellStyle name="Normal 18 3 10" xfId="11613" xr:uid="{06D69F44-A39B-4445-BBC6-27256233BDE1}"/>
    <cellStyle name="Normal 18 3 11" xfId="11614" xr:uid="{C7D74B71-FDBD-48A9-A595-E61E6ABE44EB}"/>
    <cellStyle name="Normal 18 3 12" xfId="11615" xr:uid="{D976D005-B709-4706-B8AF-59DBCE7DFD78}"/>
    <cellStyle name="Normal 18 3 13" xfId="11616" xr:uid="{781A47FA-60D6-4148-9F1A-0429F82431DF}"/>
    <cellStyle name="Normal 18 3 2" xfId="11617" xr:uid="{401154A9-3915-4F8C-A766-32AAB3250202}"/>
    <cellStyle name="Normal 18 3 2 2" xfId="11618" xr:uid="{5291AC9A-7A8E-49CA-B8E4-EB573349DA26}"/>
    <cellStyle name="Normal 18 3 2 3" xfId="11619" xr:uid="{C3C8BBCE-78D8-46CE-AE2A-43277A1B872C}"/>
    <cellStyle name="Normal 18 3 2 4" xfId="11620" xr:uid="{5BC9E3AC-A7EC-4DB1-87FC-CD166BA32AC8}"/>
    <cellStyle name="Normal 18 3 2 5" xfId="11621" xr:uid="{F4AAC60C-B2E6-4B95-BE89-DCDCF2FE3559}"/>
    <cellStyle name="Normal 18 3 2 6" xfId="11622" xr:uid="{3F5D1166-13E5-4D64-B0CE-70D921585A1F}"/>
    <cellStyle name="Normal 18 3 3" xfId="11623" xr:uid="{36EFA279-BD33-4A8A-8487-2F2D8F6BFD0D}"/>
    <cellStyle name="Normal 18 3 3 2" xfId="11624" xr:uid="{401D3B5D-6AC8-4993-89D8-6D6D2F531A95}"/>
    <cellStyle name="Normal 18 3 3 3" xfId="11625" xr:uid="{D3544FE4-2702-4889-B7F1-6D9BC911C806}"/>
    <cellStyle name="Normal 18 3 3 4" xfId="11626" xr:uid="{F116EE6A-BB69-4004-9375-3DEEF8E79610}"/>
    <cellStyle name="Normal 18 3 3 5" xfId="11627" xr:uid="{9106A6F9-2098-4940-975E-B154849C27AF}"/>
    <cellStyle name="Normal 18 3 3 6" xfId="11628" xr:uid="{179FDC60-2363-454B-89B4-88C3EAE77B3F}"/>
    <cellStyle name="Normal 18 3 4" xfId="11629" xr:uid="{CC8818CA-0E25-4E87-B048-1E5A1DC18AAC}"/>
    <cellStyle name="Normal 18 3 4 2" xfId="11630" xr:uid="{222EBBBA-1B07-4CE4-966F-0E6147F5FB7B}"/>
    <cellStyle name="Normal 18 3 4 3" xfId="11631" xr:uid="{ED4421F9-E8C8-4C36-A671-B4EBE53B0D92}"/>
    <cellStyle name="Normal 18 3 4 4" xfId="11632" xr:uid="{1748DD1C-0C14-4582-8046-942D3CF73FBA}"/>
    <cellStyle name="Normal 18 3 4 5" xfId="11633" xr:uid="{7C24CC67-8DF1-413D-8E38-1237CC9EFE40}"/>
    <cellStyle name="Normal 18 3 4 6" xfId="11634" xr:uid="{517FCB81-BFCD-47E6-8F74-B77AD2A544DA}"/>
    <cellStyle name="Normal 18 3 5" xfId="11635" xr:uid="{3FDCE580-600A-466F-A56A-E104618E1FE0}"/>
    <cellStyle name="Normal 18 3 5 2" xfId="11636" xr:uid="{7430F94B-A688-4E89-8421-4D15A469D392}"/>
    <cellStyle name="Normal 18 3 5 3" xfId="11637" xr:uid="{B64A0582-84E3-4B5F-93C1-DAF5A3298B7D}"/>
    <cellStyle name="Normal 18 3 5 4" xfId="11638" xr:uid="{C3AAD21F-CC42-4434-BC8A-EAD2F80DFB1F}"/>
    <cellStyle name="Normal 18 3 5 5" xfId="11639" xr:uid="{18F8A1D7-DDAF-414A-837B-8431D72BFB59}"/>
    <cellStyle name="Normal 18 3 5 6" xfId="11640" xr:uid="{68F2EC37-3DF0-4F03-A970-EE84AC2BCCCD}"/>
    <cellStyle name="Normal 18 3 6" xfId="11641" xr:uid="{9A9F74CA-9C23-4464-B975-3AE8DE13577E}"/>
    <cellStyle name="Normal 18 3 6 2" xfId="11642" xr:uid="{76225D4B-748D-46E4-8A06-62C47E83B76C}"/>
    <cellStyle name="Normal 18 3 6 3" xfId="11643" xr:uid="{982F85CC-051D-48BD-A0D0-D77148209F52}"/>
    <cellStyle name="Normal 18 3 6 4" xfId="11644" xr:uid="{DBE65FF5-6208-42F2-8C4B-1373B837C232}"/>
    <cellStyle name="Normal 18 3 6 5" xfId="11645" xr:uid="{BC5754F8-93C2-4167-825A-4B4B8DB4AB38}"/>
    <cellStyle name="Normal 18 3 6 6" xfId="11646" xr:uid="{1E84A3DC-E2D9-4B9B-A88C-8B7E09168C81}"/>
    <cellStyle name="Normal 18 3 7" xfId="11647" xr:uid="{A75F2888-7911-414A-9E3C-38FEEF62EDCE}"/>
    <cellStyle name="Normal 18 3 7 2" xfId="11648" xr:uid="{D06E3734-E53D-426A-AC29-09C01B3F48A5}"/>
    <cellStyle name="Normal 18 3 7 3" xfId="11649" xr:uid="{4709F3C7-EF3C-45EE-8EB2-38625AF188F6}"/>
    <cellStyle name="Normal 18 3 7 4" xfId="11650" xr:uid="{EC6C30F4-DED2-43CE-A880-AF7BF497D2EF}"/>
    <cellStyle name="Normal 18 3 7 5" xfId="11651" xr:uid="{2F1058D7-4C84-4F4A-BF92-EEDF3544D387}"/>
    <cellStyle name="Normal 18 3 7 6" xfId="11652" xr:uid="{83A4C45D-AFD8-4E3D-955D-210F17887203}"/>
    <cellStyle name="Normal 18 3 8" xfId="11653" xr:uid="{263F5F57-95DA-44F3-92EA-0D422AFA80F4}"/>
    <cellStyle name="Normal 18 3 8 2" xfId="11654" xr:uid="{0C066BD8-3966-4AEF-AEB7-9D1CF66DD674}"/>
    <cellStyle name="Normal 18 3 8 3" xfId="11655" xr:uid="{6901E2AD-5409-468A-A39A-FC05E0F390C1}"/>
    <cellStyle name="Normal 18 3 8 4" xfId="11656" xr:uid="{BCAAA728-3D99-44FE-AF3F-6AA6758FC975}"/>
    <cellStyle name="Normal 18 3 8 5" xfId="11657" xr:uid="{3560A1EE-2FD6-47F5-A244-E61E990FE258}"/>
    <cellStyle name="Normal 18 3 8 6" xfId="11658" xr:uid="{FC2F5A99-C141-473E-B318-67DD8A25B276}"/>
    <cellStyle name="Normal 18 3 9" xfId="11659" xr:uid="{F55D8CF3-E919-48E2-95E2-70B28F49060C}"/>
    <cellStyle name="Normal 18 30" xfId="11660" xr:uid="{AC54C93A-EF1A-42F9-9CA8-160E87977745}"/>
    <cellStyle name="Normal 18 30 2" xfId="11661" xr:uid="{837FAAE6-3B09-4322-B694-C2B46AE6FCA2}"/>
    <cellStyle name="Normal 18 30 3" xfId="11662" xr:uid="{B0E2F865-AE40-407D-A8BA-F2F2FC9FD325}"/>
    <cellStyle name="Normal 18 30 4" xfId="11663" xr:uid="{04839E68-3D3A-4DFB-9C5C-91828F730EBF}"/>
    <cellStyle name="Normal 18 30 5" xfId="11664" xr:uid="{CEDD2064-937F-4FDB-BF0D-109E77407E6B}"/>
    <cellStyle name="Normal 18 30 6" xfId="11665" xr:uid="{5F4C43C1-ED02-4924-AE08-95C87B939680}"/>
    <cellStyle name="Normal 18 31" xfId="11666" xr:uid="{A0CC5D16-10DD-40F4-8309-4BEABA1A8B0D}"/>
    <cellStyle name="Normal 18 31 2" xfId="11667" xr:uid="{6E36E1A3-63E3-46C9-A0D9-4CE51A62B971}"/>
    <cellStyle name="Normal 18 31 3" xfId="11668" xr:uid="{582138D2-1FF8-452B-9D7B-C67A3D98FE2B}"/>
    <cellStyle name="Normal 18 31 4" xfId="11669" xr:uid="{EFA45F23-C91C-4098-A85C-9E263431C977}"/>
    <cellStyle name="Normal 18 31 5" xfId="11670" xr:uid="{8186222F-686E-4901-80CF-8595A153E025}"/>
    <cellStyle name="Normal 18 31 6" xfId="11671" xr:uid="{6E9F6021-DE1F-4AF1-A6FA-9BA163F53F07}"/>
    <cellStyle name="Normal 18 32" xfId="11672" xr:uid="{069226C4-9B70-4A9C-9A81-ECA2145565FF}"/>
    <cellStyle name="Normal 18 33" xfId="11673" xr:uid="{6086451E-58B8-4770-BE08-9378B1580D83}"/>
    <cellStyle name="Normal 18 34" xfId="11674" xr:uid="{48338281-D5F7-4480-87CF-F5F85729E69F}"/>
    <cellStyle name="Normal 18 35" xfId="11675" xr:uid="{9C245448-CB7F-468F-90EF-541533AA2007}"/>
    <cellStyle name="Normal 18 36" xfId="11676" xr:uid="{6454D5D2-F667-4A1B-89BF-2E2C9EBAD8C5}"/>
    <cellStyle name="Normal 18 4" xfId="11677" xr:uid="{E3B48A8A-6B65-4686-B48F-C8487AA78BD7}"/>
    <cellStyle name="Normal 18 4 10" xfId="11678" xr:uid="{B78642FD-40C3-454B-9433-E05EAF9548C6}"/>
    <cellStyle name="Normal 18 4 11" xfId="11679" xr:uid="{F0B40CCF-7A9B-4749-996D-78500A4D7653}"/>
    <cellStyle name="Normal 18 4 12" xfId="11680" xr:uid="{A8BB86CD-3D42-4D15-B163-4D47FEB0CDF6}"/>
    <cellStyle name="Normal 18 4 13" xfId="11681" xr:uid="{73CD347A-7812-401D-84D6-25F29BE7D080}"/>
    <cellStyle name="Normal 18 4 2" xfId="11682" xr:uid="{BA79720D-70F3-4235-9291-244653557832}"/>
    <cellStyle name="Normal 18 4 2 2" xfId="11683" xr:uid="{08AE2149-2D3C-48F7-8793-BA6407D655AC}"/>
    <cellStyle name="Normal 18 4 2 3" xfId="11684" xr:uid="{7C38D05C-AAD6-4F4D-BC79-ED21490462D8}"/>
    <cellStyle name="Normal 18 4 2 4" xfId="11685" xr:uid="{17307846-7932-4633-9961-0756FF3FE2E5}"/>
    <cellStyle name="Normal 18 4 2 5" xfId="11686" xr:uid="{11A4B551-CD18-41FC-9190-493D4092D654}"/>
    <cellStyle name="Normal 18 4 2 6" xfId="11687" xr:uid="{106223C5-9327-4E12-90F7-72F748C5E3DC}"/>
    <cellStyle name="Normal 18 4 3" xfId="11688" xr:uid="{16420493-9547-46DB-801D-E132A0749374}"/>
    <cellStyle name="Normal 18 4 3 2" xfId="11689" xr:uid="{ED30AF06-FE0D-4EBA-862F-5CB66F419BF3}"/>
    <cellStyle name="Normal 18 4 3 3" xfId="11690" xr:uid="{CE794550-A253-4E09-AABE-C5A94128F27B}"/>
    <cellStyle name="Normal 18 4 3 4" xfId="11691" xr:uid="{8CB291C9-15CC-4BC9-B69B-2ADE42BE39C5}"/>
    <cellStyle name="Normal 18 4 3 5" xfId="11692" xr:uid="{5FDA65AF-3A58-45D8-9E77-8959DA32EEB3}"/>
    <cellStyle name="Normal 18 4 3 6" xfId="11693" xr:uid="{D4D56F14-A90E-4B06-9B15-CFCF778EA795}"/>
    <cellStyle name="Normal 18 4 4" xfId="11694" xr:uid="{896264B9-3D3E-4725-90C8-CC298783D97C}"/>
    <cellStyle name="Normal 18 4 4 2" xfId="11695" xr:uid="{DD90DBAD-3F40-4492-8E2F-2BE9327A9419}"/>
    <cellStyle name="Normal 18 4 4 3" xfId="11696" xr:uid="{A96863F9-5316-46EE-AE00-3A39A7CAF9A1}"/>
    <cellStyle name="Normal 18 4 4 4" xfId="11697" xr:uid="{8985796C-0BBE-48E3-9026-FC0C5B0380C3}"/>
    <cellStyle name="Normal 18 4 4 5" xfId="11698" xr:uid="{1C21AAEF-63B2-475C-9993-1B5BF061B5D5}"/>
    <cellStyle name="Normal 18 4 4 6" xfId="11699" xr:uid="{301461D1-1EE6-4630-A54C-CDD9E52340FB}"/>
    <cellStyle name="Normal 18 4 5" xfId="11700" xr:uid="{6F3C4F8D-9723-42C4-AEAB-319F8F368E6B}"/>
    <cellStyle name="Normal 18 4 5 2" xfId="11701" xr:uid="{EE044619-55C3-4D91-BB02-60561E10C27F}"/>
    <cellStyle name="Normal 18 4 5 3" xfId="11702" xr:uid="{B1D1F645-42C8-4BC4-862E-696009BA8289}"/>
    <cellStyle name="Normal 18 4 5 4" xfId="11703" xr:uid="{27A28C71-9F0A-4821-8132-4567BDCC67FD}"/>
    <cellStyle name="Normal 18 4 5 5" xfId="11704" xr:uid="{958E2803-2065-46C0-B641-BBDED84CA45B}"/>
    <cellStyle name="Normal 18 4 5 6" xfId="11705" xr:uid="{DDF2547B-639D-4881-A3F3-A94D7FD2A7C7}"/>
    <cellStyle name="Normal 18 4 6" xfId="11706" xr:uid="{CDEB9E2B-5C64-4D70-8DC8-FC06FABCA4AE}"/>
    <cellStyle name="Normal 18 4 6 2" xfId="11707" xr:uid="{84D0DE69-4EBC-45FD-8610-BC0E118CCE34}"/>
    <cellStyle name="Normal 18 4 6 3" xfId="11708" xr:uid="{D584D5BA-18A1-4F7E-BD6D-1CD1192E49D1}"/>
    <cellStyle name="Normal 18 4 6 4" xfId="11709" xr:uid="{BD584B29-3092-4559-971E-E927DF44ABD4}"/>
    <cellStyle name="Normal 18 4 6 5" xfId="11710" xr:uid="{4C1740F4-ACE1-495F-ACFD-D0602BA146ED}"/>
    <cellStyle name="Normal 18 4 6 6" xfId="11711" xr:uid="{55A2DD67-95B9-4F73-976E-EB7F6266B4E4}"/>
    <cellStyle name="Normal 18 4 7" xfId="11712" xr:uid="{A875AFC2-56AB-42EE-99B5-18D3281BEB4E}"/>
    <cellStyle name="Normal 18 4 7 2" xfId="11713" xr:uid="{B76E4877-C293-4FA8-A176-1529F820675E}"/>
    <cellStyle name="Normal 18 4 7 3" xfId="11714" xr:uid="{70731576-4A4D-4CAB-BAD4-D3490620D5C3}"/>
    <cellStyle name="Normal 18 4 7 4" xfId="11715" xr:uid="{F3D86A00-6894-4D1F-B35F-E446F2CBC249}"/>
    <cellStyle name="Normal 18 4 7 5" xfId="11716" xr:uid="{FB97B6AB-993B-4387-B200-3CB8343323B4}"/>
    <cellStyle name="Normal 18 4 7 6" xfId="11717" xr:uid="{3F876476-5E8A-42E2-AC52-D23D17F071C8}"/>
    <cellStyle name="Normal 18 4 8" xfId="11718" xr:uid="{7C0E47B3-7262-402C-9893-B283EDB2F659}"/>
    <cellStyle name="Normal 18 4 8 2" xfId="11719" xr:uid="{0C2114AD-7D17-416F-A481-D2B8E4AB14C0}"/>
    <cellStyle name="Normal 18 4 8 3" xfId="11720" xr:uid="{66B800C0-8BC1-4D46-9E00-4D951578A87A}"/>
    <cellStyle name="Normal 18 4 8 4" xfId="11721" xr:uid="{28DC01D7-82B1-4506-841E-64A84E8507BA}"/>
    <cellStyle name="Normal 18 4 8 5" xfId="11722" xr:uid="{2622696C-0358-4D59-BE74-47AB38E52276}"/>
    <cellStyle name="Normal 18 4 8 6" xfId="11723" xr:uid="{90F130FB-6D08-4BCF-A6B3-5C624CDB622D}"/>
    <cellStyle name="Normal 18 4 9" xfId="11724" xr:uid="{717698F7-46A4-463E-9FF4-EAF231378C36}"/>
    <cellStyle name="Normal 18 5" xfId="11725" xr:uid="{6DD06279-6012-46C7-A0C4-832B8AEF22A6}"/>
    <cellStyle name="Normal 18 5 10" xfId="11726" xr:uid="{1A04C949-24CE-4989-9CD7-6D94D04E64A9}"/>
    <cellStyle name="Normal 18 5 11" xfId="11727" xr:uid="{08390B1B-C486-4A2F-9B94-270963A7FBE1}"/>
    <cellStyle name="Normal 18 5 12" xfId="11728" xr:uid="{7098FD05-A29D-4D16-92E6-0961ACDEAFDD}"/>
    <cellStyle name="Normal 18 5 13" xfId="11729" xr:uid="{A8351598-D43C-48EB-B4C0-943B42C16F6B}"/>
    <cellStyle name="Normal 18 5 2" xfId="11730" xr:uid="{C5CF3895-2F56-4391-8592-62637969002A}"/>
    <cellStyle name="Normal 18 5 2 2" xfId="11731" xr:uid="{1B028656-12CA-4C13-89FD-897154A0B9C4}"/>
    <cellStyle name="Normal 18 5 2 3" xfId="11732" xr:uid="{616170BC-70BD-432F-AA6A-6BC954032603}"/>
    <cellStyle name="Normal 18 5 2 4" xfId="11733" xr:uid="{134D7946-C37E-45F2-8236-03E6CF049520}"/>
    <cellStyle name="Normal 18 5 2 5" xfId="11734" xr:uid="{A6CBFFAD-3D25-4F3D-8816-313503A0F7D0}"/>
    <cellStyle name="Normal 18 5 2 6" xfId="11735" xr:uid="{553E20B1-5239-41BE-B923-0607BC3BDA56}"/>
    <cellStyle name="Normal 18 5 3" xfId="11736" xr:uid="{BF672782-FC08-40B7-8BF7-39E211EE5153}"/>
    <cellStyle name="Normal 18 5 3 2" xfId="11737" xr:uid="{DA165040-A072-4EE3-8C54-0E545D4EA48A}"/>
    <cellStyle name="Normal 18 5 3 3" xfId="11738" xr:uid="{A5779FA1-A6A8-45AE-809D-9E6170E52D88}"/>
    <cellStyle name="Normal 18 5 3 4" xfId="11739" xr:uid="{CE72C109-301D-4E66-A5C9-2DF6BBDBF89E}"/>
    <cellStyle name="Normal 18 5 3 5" xfId="11740" xr:uid="{262D889C-C9CD-49C7-9F77-107525B63A12}"/>
    <cellStyle name="Normal 18 5 3 6" xfId="11741" xr:uid="{FD14B431-B97E-43D1-8606-AC3A11C0A7F7}"/>
    <cellStyle name="Normal 18 5 4" xfId="11742" xr:uid="{51C1A3CF-0836-48D6-9356-632291F23507}"/>
    <cellStyle name="Normal 18 5 4 2" xfId="11743" xr:uid="{7E88AA39-D3A5-42F9-99E0-DCDC7FCB8CE1}"/>
    <cellStyle name="Normal 18 5 4 3" xfId="11744" xr:uid="{2F605AB6-F18F-4C69-8951-B220C5C02E8C}"/>
    <cellStyle name="Normal 18 5 4 4" xfId="11745" xr:uid="{891A9DF0-1F06-4A03-B07E-4690D28EE257}"/>
    <cellStyle name="Normal 18 5 4 5" xfId="11746" xr:uid="{C8B331F9-8987-4B78-A601-47774E03EC44}"/>
    <cellStyle name="Normal 18 5 4 6" xfId="11747" xr:uid="{011B0F64-D281-4704-A864-A9B9F17C00C0}"/>
    <cellStyle name="Normal 18 5 5" xfId="11748" xr:uid="{F68BBC4F-2DDB-4B2B-8D14-52E08BB169B6}"/>
    <cellStyle name="Normal 18 5 5 2" xfId="11749" xr:uid="{B4AD2A0D-19B1-445E-B467-8D4EDDE5152C}"/>
    <cellStyle name="Normal 18 5 5 3" xfId="11750" xr:uid="{9D345E42-DA6D-4DC4-98E3-BF097E8FA182}"/>
    <cellStyle name="Normal 18 5 5 4" xfId="11751" xr:uid="{53D98315-3362-4E59-AC86-7A55EC201F80}"/>
    <cellStyle name="Normal 18 5 5 5" xfId="11752" xr:uid="{279CDA25-BA6D-4E84-BAAD-B36365F0EC54}"/>
    <cellStyle name="Normal 18 5 5 6" xfId="11753" xr:uid="{6BF36A68-A762-4627-8889-18A9AB1900E6}"/>
    <cellStyle name="Normal 18 5 6" xfId="11754" xr:uid="{41CA7BAC-7B25-4F18-ADFF-A386F1297243}"/>
    <cellStyle name="Normal 18 5 6 2" xfId="11755" xr:uid="{23FD9505-9038-40A8-A368-AF95F17AE9E7}"/>
    <cellStyle name="Normal 18 5 6 3" xfId="11756" xr:uid="{43A63C96-26AB-4D06-8404-3379F2DFC6D1}"/>
    <cellStyle name="Normal 18 5 6 4" xfId="11757" xr:uid="{6C74A0E2-B8D1-4D5C-A1CC-BC9C703766BE}"/>
    <cellStyle name="Normal 18 5 6 5" xfId="11758" xr:uid="{7AF6942F-20AA-4EA6-AE9E-F06FF055BCE8}"/>
    <cellStyle name="Normal 18 5 6 6" xfId="11759" xr:uid="{21886F18-E248-4DF4-A484-C6E299AD3056}"/>
    <cellStyle name="Normal 18 5 7" xfId="11760" xr:uid="{2AFC5853-B298-4AE3-B762-D06ED6BCD27A}"/>
    <cellStyle name="Normal 18 5 7 2" xfId="11761" xr:uid="{E6F11152-3117-42E9-B754-C871BFF76DF8}"/>
    <cellStyle name="Normal 18 5 7 3" xfId="11762" xr:uid="{31AF3311-2A08-485B-B1B8-3AA2C12B01AB}"/>
    <cellStyle name="Normal 18 5 7 4" xfId="11763" xr:uid="{0B877DD4-A280-49BF-9739-3237483AEDF8}"/>
    <cellStyle name="Normal 18 5 7 5" xfId="11764" xr:uid="{323FC783-55E6-49A8-B0CE-1E8DCDA37F1D}"/>
    <cellStyle name="Normal 18 5 7 6" xfId="11765" xr:uid="{31A4100D-F03B-4BE1-A922-13B25B72E975}"/>
    <cellStyle name="Normal 18 5 8" xfId="11766" xr:uid="{AE1329D3-FAE1-4819-AE4C-194AF66A95A1}"/>
    <cellStyle name="Normal 18 5 8 2" xfId="11767" xr:uid="{76E176E8-95EB-4D69-8A6E-0BA44BC4128A}"/>
    <cellStyle name="Normal 18 5 8 3" xfId="11768" xr:uid="{23DB21DE-2295-4950-8239-3BF229DAEB0A}"/>
    <cellStyle name="Normal 18 5 8 4" xfId="11769" xr:uid="{4623755E-C392-45CB-9A6B-AA7061618DEB}"/>
    <cellStyle name="Normal 18 5 8 5" xfId="11770" xr:uid="{FB2C287D-5868-434F-B5A0-867137482375}"/>
    <cellStyle name="Normal 18 5 8 6" xfId="11771" xr:uid="{D709E2B2-661A-4D1C-8EDF-D3C8911A6278}"/>
    <cellStyle name="Normal 18 5 9" xfId="11772" xr:uid="{7A3F480E-C3B4-4D78-A3BE-A854B44F441C}"/>
    <cellStyle name="Normal 18 6" xfId="11773" xr:uid="{E50C7018-DA61-45F9-A4D0-CEC6A604F5FB}"/>
    <cellStyle name="Normal 18 6 10" xfId="11774" xr:uid="{AAA66506-59E5-48FF-AC3A-D45886AA7EAD}"/>
    <cellStyle name="Normal 18 6 11" xfId="11775" xr:uid="{905C3E9C-F778-439F-9217-C34CDBA3E8F0}"/>
    <cellStyle name="Normal 18 6 12" xfId="11776" xr:uid="{590C9756-5452-4D2B-AA7A-4D06460107C7}"/>
    <cellStyle name="Normal 18 6 13" xfId="11777" xr:uid="{680A268D-7CA6-4C45-9B61-825131152B5F}"/>
    <cellStyle name="Normal 18 6 2" xfId="11778" xr:uid="{0D16182E-71E5-431B-8516-2F6D1929A89D}"/>
    <cellStyle name="Normal 18 6 2 2" xfId="11779" xr:uid="{901E053D-B533-4AB5-99F8-D6314B14862B}"/>
    <cellStyle name="Normal 18 6 2 3" xfId="11780" xr:uid="{E4B0B123-529E-48D9-A99D-5CC1A61D558B}"/>
    <cellStyle name="Normal 18 6 2 4" xfId="11781" xr:uid="{236C42DF-BF8A-4A52-9737-0741D164FA9B}"/>
    <cellStyle name="Normal 18 6 2 5" xfId="11782" xr:uid="{D71588FA-860E-4C5A-BA48-B1849B400DA5}"/>
    <cellStyle name="Normal 18 6 2 6" xfId="11783" xr:uid="{6C7EBE4B-4DB1-4ACC-A48B-0170002507C8}"/>
    <cellStyle name="Normal 18 6 3" xfId="11784" xr:uid="{35AFD1F7-EC6D-45BC-A292-A48BC2767B3B}"/>
    <cellStyle name="Normal 18 6 3 2" xfId="11785" xr:uid="{25975CB8-E7B6-4918-8F77-B908A7B9E520}"/>
    <cellStyle name="Normal 18 6 3 3" xfId="11786" xr:uid="{10F32FF1-FF3E-414B-B2E8-1892F5EA5803}"/>
    <cellStyle name="Normal 18 6 3 4" xfId="11787" xr:uid="{D67FDEE5-F72E-47D5-BD8D-0487C0B49731}"/>
    <cellStyle name="Normal 18 6 3 5" xfId="11788" xr:uid="{8BAC2D2E-9AF1-44B5-9AF8-AEC1B8F404FF}"/>
    <cellStyle name="Normal 18 6 3 6" xfId="11789" xr:uid="{87ACFB8C-3EBE-4B1C-B2D1-D5CCCD13011A}"/>
    <cellStyle name="Normal 18 6 4" xfId="11790" xr:uid="{BB07D3F5-7BF8-4659-B0A2-13E194646AB2}"/>
    <cellStyle name="Normal 18 6 4 2" xfId="11791" xr:uid="{965DA95C-E6D6-40B3-8764-F5DACCA687B8}"/>
    <cellStyle name="Normal 18 6 4 3" xfId="11792" xr:uid="{820DE906-B8CB-48EA-9109-D03B4392C5B9}"/>
    <cellStyle name="Normal 18 6 4 4" xfId="11793" xr:uid="{2886AEC2-74EC-412F-9A56-AD1A295F22C5}"/>
    <cellStyle name="Normal 18 6 4 5" xfId="11794" xr:uid="{15B6826B-7972-4724-AB6A-A57E06CC930E}"/>
    <cellStyle name="Normal 18 6 4 6" xfId="11795" xr:uid="{66F5D59D-402F-425C-85D5-AE492140743A}"/>
    <cellStyle name="Normal 18 6 5" xfId="11796" xr:uid="{945A6035-E389-4798-81A6-55D3B4BE04B2}"/>
    <cellStyle name="Normal 18 6 5 2" xfId="11797" xr:uid="{A0E6C828-1FFA-4BC3-88DD-4C8D407492AC}"/>
    <cellStyle name="Normal 18 6 5 3" xfId="11798" xr:uid="{D05D95D2-9A1E-4131-B0BD-F27DD6093A0A}"/>
    <cellStyle name="Normal 18 6 5 4" xfId="11799" xr:uid="{E05B13B5-343F-4A9E-A6DB-C56E5DBB31BD}"/>
    <cellStyle name="Normal 18 6 5 5" xfId="11800" xr:uid="{77B9C2EE-C8F3-4CDF-A5BA-1F7EBB452AE2}"/>
    <cellStyle name="Normal 18 6 5 6" xfId="11801" xr:uid="{D01737C4-69B9-484D-99A8-0C15CFD6703D}"/>
    <cellStyle name="Normal 18 6 6" xfId="11802" xr:uid="{1AF6CC34-6769-43DB-8484-048BEB42ADC8}"/>
    <cellStyle name="Normal 18 6 6 2" xfId="11803" xr:uid="{0A363BCB-35D8-49BD-B463-22A3DF1C6EFE}"/>
    <cellStyle name="Normal 18 6 6 3" xfId="11804" xr:uid="{B698C5DC-919F-4B12-898C-FA242D695EC7}"/>
    <cellStyle name="Normal 18 6 6 4" xfId="11805" xr:uid="{557E0120-BE81-448B-9172-E644AC789EEF}"/>
    <cellStyle name="Normal 18 6 6 5" xfId="11806" xr:uid="{34B10F37-6A0C-442C-A22F-9416E6A85362}"/>
    <cellStyle name="Normal 18 6 6 6" xfId="11807" xr:uid="{32116075-0E1D-471B-8952-FD4CBC8B8387}"/>
    <cellStyle name="Normal 18 6 7" xfId="11808" xr:uid="{A0B7C133-1E30-4C74-97B2-1D5B10F5A9A7}"/>
    <cellStyle name="Normal 18 6 7 2" xfId="11809" xr:uid="{5C8773BD-45EF-4933-A6C5-3104170E51D9}"/>
    <cellStyle name="Normal 18 6 7 3" xfId="11810" xr:uid="{EC5DA697-F4FB-4495-A4F1-7C64C751A1FA}"/>
    <cellStyle name="Normal 18 6 7 4" xfId="11811" xr:uid="{629B2846-07E9-4F81-BBAA-AF1FA3434134}"/>
    <cellStyle name="Normal 18 6 7 5" xfId="11812" xr:uid="{25F3A73E-C89D-4AAA-B5EE-7FA31FB5E08C}"/>
    <cellStyle name="Normal 18 6 7 6" xfId="11813" xr:uid="{571F9D8D-518C-4368-9CA0-B5E9437AE6A3}"/>
    <cellStyle name="Normal 18 6 8" xfId="11814" xr:uid="{DD8C04E2-DF6A-4B4E-AAA3-BD22A061483C}"/>
    <cellStyle name="Normal 18 6 8 2" xfId="11815" xr:uid="{009F762F-6BC7-465D-B347-E7E895BB20B0}"/>
    <cellStyle name="Normal 18 6 8 3" xfId="11816" xr:uid="{CEA24A00-32D7-4E32-AA90-4D433366EA18}"/>
    <cellStyle name="Normal 18 6 8 4" xfId="11817" xr:uid="{FFD7593E-012F-481F-80D2-4093CE44DFCB}"/>
    <cellStyle name="Normal 18 6 8 5" xfId="11818" xr:uid="{43E6C021-213B-48EF-A47B-830D7FC4ECDF}"/>
    <cellStyle name="Normal 18 6 8 6" xfId="11819" xr:uid="{9381F4AF-28C0-4BE6-B0CC-E11EC52570F1}"/>
    <cellStyle name="Normal 18 6 9" xfId="11820" xr:uid="{6B666F0E-F633-4DFD-A9B1-38FDDDCBDAC9}"/>
    <cellStyle name="Normal 18 7" xfId="11821" xr:uid="{05E81624-9771-4638-B077-D591DE47EB8F}"/>
    <cellStyle name="Normal 18 7 10" xfId="11822" xr:uid="{3B9DBA69-3064-4918-BFB3-F263C66361B2}"/>
    <cellStyle name="Normal 18 7 11" xfId="11823" xr:uid="{C7AB1F9B-5C5A-4480-8675-D942D886D01D}"/>
    <cellStyle name="Normal 18 7 12" xfId="11824" xr:uid="{0F496F6C-44E7-4D33-913A-53424DF2AD35}"/>
    <cellStyle name="Normal 18 7 13" xfId="11825" xr:uid="{74C56C74-605A-43FC-A178-590AF5C39A95}"/>
    <cellStyle name="Normal 18 7 2" xfId="11826" xr:uid="{B811EE57-1650-4D10-BE7E-A04E2CDD56FB}"/>
    <cellStyle name="Normal 18 7 2 2" xfId="11827" xr:uid="{6BA315CE-9E41-4F57-AB5C-78179AAB45ED}"/>
    <cellStyle name="Normal 18 7 2 3" xfId="11828" xr:uid="{F3F5CCC3-A461-48CA-8DBD-D40A0D50CF0C}"/>
    <cellStyle name="Normal 18 7 2 4" xfId="11829" xr:uid="{97C57AE3-50F5-4C88-97A5-C7E5FCD82F7C}"/>
    <cellStyle name="Normal 18 7 2 5" xfId="11830" xr:uid="{A153325B-A40F-4CB1-8D44-6FD0EDE634FF}"/>
    <cellStyle name="Normal 18 7 2 6" xfId="11831" xr:uid="{E9A6D45E-A252-4100-8200-22AF745F6467}"/>
    <cellStyle name="Normal 18 7 3" xfId="11832" xr:uid="{65D3BCBE-FD11-412F-AA73-69DEE77A863D}"/>
    <cellStyle name="Normal 18 7 3 2" xfId="11833" xr:uid="{FCD29AED-7639-40BE-A786-7E088E61F994}"/>
    <cellStyle name="Normal 18 7 3 3" xfId="11834" xr:uid="{0594F6AD-766F-4DE1-9042-6F960B1E1CB5}"/>
    <cellStyle name="Normal 18 7 3 4" xfId="11835" xr:uid="{4930FEC5-6708-4206-91BD-B90C0DA6C02B}"/>
    <cellStyle name="Normal 18 7 3 5" xfId="11836" xr:uid="{C3220FD7-6143-41C7-A39E-0AB5655E2A9E}"/>
    <cellStyle name="Normal 18 7 3 6" xfId="11837" xr:uid="{94EEBFB3-2950-4148-AB05-DA6083993E4A}"/>
    <cellStyle name="Normal 18 7 4" xfId="11838" xr:uid="{8B02FBC5-D3C1-40C2-AD97-3E6DCFB93BE4}"/>
    <cellStyle name="Normal 18 7 4 2" xfId="11839" xr:uid="{76FAE6FF-8A02-45D7-8DB9-68580BDCF6C8}"/>
    <cellStyle name="Normal 18 7 4 3" xfId="11840" xr:uid="{F3997DD9-F415-4DC8-87AB-607820AD5CE2}"/>
    <cellStyle name="Normal 18 7 4 4" xfId="11841" xr:uid="{DA5042D9-60E4-41E5-BF10-CF5EE1F3FA2B}"/>
    <cellStyle name="Normal 18 7 4 5" xfId="11842" xr:uid="{F3A1345F-B562-4EA6-A448-4CA1B584A2E9}"/>
    <cellStyle name="Normal 18 7 4 6" xfId="11843" xr:uid="{0B56B446-168D-43C4-AB47-63C5B4B5BFEE}"/>
    <cellStyle name="Normal 18 7 5" xfId="11844" xr:uid="{AD125534-3C6C-4229-A577-9023F3B60860}"/>
    <cellStyle name="Normal 18 7 5 2" xfId="11845" xr:uid="{FF339F24-39FA-43F3-B3BF-2D09D1CA2A5C}"/>
    <cellStyle name="Normal 18 7 5 3" xfId="11846" xr:uid="{B1430AD4-BC2D-4B88-BEAB-031142D1BE4F}"/>
    <cellStyle name="Normal 18 7 5 4" xfId="11847" xr:uid="{585D2E32-89E4-4B7F-9D83-77995981ED55}"/>
    <cellStyle name="Normal 18 7 5 5" xfId="11848" xr:uid="{D05F4091-E59F-45D6-A918-6C4DD05B0F86}"/>
    <cellStyle name="Normal 18 7 5 6" xfId="11849" xr:uid="{4C63F522-9C82-454E-8DDB-7E633ACA93B0}"/>
    <cellStyle name="Normal 18 7 6" xfId="11850" xr:uid="{7CD56265-1DDE-41DA-AA4B-3C03FCF3D4F4}"/>
    <cellStyle name="Normal 18 7 6 2" xfId="11851" xr:uid="{71A5FDC2-F9E7-4D83-B19D-C3F526E4564F}"/>
    <cellStyle name="Normal 18 7 6 3" xfId="11852" xr:uid="{76BF945F-EAFE-44FE-A539-35A5D35321F5}"/>
    <cellStyle name="Normal 18 7 6 4" xfId="11853" xr:uid="{95B1DD0D-3D55-4FB2-922E-356CD307D62E}"/>
    <cellStyle name="Normal 18 7 6 5" xfId="11854" xr:uid="{386DF3F5-5FDB-4939-9D20-3AD409CDC47F}"/>
    <cellStyle name="Normal 18 7 6 6" xfId="11855" xr:uid="{4DF82622-54FE-4CDD-9590-9FF031B51823}"/>
    <cellStyle name="Normal 18 7 7" xfId="11856" xr:uid="{C44EE806-1E26-4E51-BBC3-4587C2AAD410}"/>
    <cellStyle name="Normal 18 7 7 2" xfId="11857" xr:uid="{3EC8D12C-6F8E-491A-813D-B14F76C2183D}"/>
    <cellStyle name="Normal 18 7 7 3" xfId="11858" xr:uid="{84F94932-606E-48CE-ACAC-DBF92C1BB79A}"/>
    <cellStyle name="Normal 18 7 7 4" xfId="11859" xr:uid="{EBB63356-A781-42AB-BEE7-859DA13D99DC}"/>
    <cellStyle name="Normal 18 7 7 5" xfId="11860" xr:uid="{27CED6ED-4D9E-4199-8199-1C904A9B0FEA}"/>
    <cellStyle name="Normal 18 7 7 6" xfId="11861" xr:uid="{951EBEF8-375E-49AD-8784-B160DF8B0C05}"/>
    <cellStyle name="Normal 18 7 8" xfId="11862" xr:uid="{C1CCA046-EC4A-4096-9719-BAC068FC62EC}"/>
    <cellStyle name="Normal 18 7 8 2" xfId="11863" xr:uid="{CCB82188-F01F-450B-961A-54BA4B2A000A}"/>
    <cellStyle name="Normal 18 7 8 3" xfId="11864" xr:uid="{D68C23A4-01E0-4B6C-B433-B5BEEDC93BF6}"/>
    <cellStyle name="Normal 18 7 8 4" xfId="11865" xr:uid="{2AADA034-A2F6-4586-9123-DDC67F4C513A}"/>
    <cellStyle name="Normal 18 7 8 5" xfId="11866" xr:uid="{F89EE22D-976A-4BD8-B03E-5328B0B07107}"/>
    <cellStyle name="Normal 18 7 8 6" xfId="11867" xr:uid="{89047908-101E-4533-B7AF-EA161094BA4B}"/>
    <cellStyle name="Normal 18 7 9" xfId="11868" xr:uid="{48BE4F99-9C30-4129-8DAE-9F08BD79EA68}"/>
    <cellStyle name="Normal 18 8" xfId="11869" xr:uid="{882E1AD3-418F-4791-91AA-D5E78B75BF37}"/>
    <cellStyle name="Normal 18 8 10" xfId="11870" xr:uid="{42875FC1-FA97-4B70-A88C-E13C9DFF64B1}"/>
    <cellStyle name="Normal 18 8 11" xfId="11871" xr:uid="{AF352870-04DB-4082-8493-BACB3FEFA2A4}"/>
    <cellStyle name="Normal 18 8 12" xfId="11872" xr:uid="{A9F7B4C2-A610-4668-AA5A-442CB846D127}"/>
    <cellStyle name="Normal 18 8 13" xfId="11873" xr:uid="{ADA8CD40-6CCA-48C7-8DB5-20CED866EF7F}"/>
    <cellStyle name="Normal 18 8 2" xfId="11874" xr:uid="{3D5ABC65-AA13-4704-975F-AA0196AB3120}"/>
    <cellStyle name="Normal 18 8 2 2" xfId="11875" xr:uid="{E58E186E-A5C5-4D8F-B029-E6C014F8AC1E}"/>
    <cellStyle name="Normal 18 8 2 3" xfId="11876" xr:uid="{B5480278-AA4F-4D3E-A196-A7F5149738B4}"/>
    <cellStyle name="Normal 18 8 2 4" xfId="11877" xr:uid="{CE2FA526-A187-45D0-A81B-8B1947A68382}"/>
    <cellStyle name="Normal 18 8 2 5" xfId="11878" xr:uid="{83B8AC5E-0385-4152-92BA-395F9A753137}"/>
    <cellStyle name="Normal 18 8 2 6" xfId="11879" xr:uid="{0B9A5994-F56A-4121-970A-3EC58A51474E}"/>
    <cellStyle name="Normal 18 8 3" xfId="11880" xr:uid="{E92C09F4-1B0C-4682-B388-584F77A8AD16}"/>
    <cellStyle name="Normal 18 8 3 2" xfId="11881" xr:uid="{88DEB804-98B0-48DD-A8C6-781F44C63B54}"/>
    <cellStyle name="Normal 18 8 3 3" xfId="11882" xr:uid="{DA1E228A-F7A1-4A6E-8A07-0711E78BB6BE}"/>
    <cellStyle name="Normal 18 8 3 4" xfId="11883" xr:uid="{B82D57E7-7AAA-474E-8C9A-34EC6B0DAA5A}"/>
    <cellStyle name="Normal 18 8 3 5" xfId="11884" xr:uid="{475F5108-F7F5-458F-BADF-16FDF3F3B27A}"/>
    <cellStyle name="Normal 18 8 3 6" xfId="11885" xr:uid="{E75D7F3A-776A-4791-9B44-D7B8B3E877A5}"/>
    <cellStyle name="Normal 18 8 4" xfId="11886" xr:uid="{EA044F41-4FE8-4D12-B247-9150B0467E64}"/>
    <cellStyle name="Normal 18 8 4 2" xfId="11887" xr:uid="{7EF0FA41-B70E-40E7-8213-0A285D95A14B}"/>
    <cellStyle name="Normal 18 8 4 3" xfId="11888" xr:uid="{EA4FDF01-EB05-4CED-A31C-19645A1A2EBA}"/>
    <cellStyle name="Normal 18 8 4 4" xfId="11889" xr:uid="{B7C59EAD-1D57-451C-B4EA-DBC4453CAF12}"/>
    <cellStyle name="Normal 18 8 4 5" xfId="11890" xr:uid="{7921AE5D-FA57-44DA-BDF8-F0889246FEB2}"/>
    <cellStyle name="Normal 18 8 4 6" xfId="11891" xr:uid="{1367301A-7080-429C-9D31-0055E44DB5D5}"/>
    <cellStyle name="Normal 18 8 5" xfId="11892" xr:uid="{A5267785-6E37-4604-839E-B3F1B995C4C5}"/>
    <cellStyle name="Normal 18 8 5 2" xfId="11893" xr:uid="{40604E5A-F7C8-4345-8F44-899BBD74CA9D}"/>
    <cellStyle name="Normal 18 8 5 3" xfId="11894" xr:uid="{C4C2BB32-F05E-46CC-94D4-E809609E6FA2}"/>
    <cellStyle name="Normal 18 8 5 4" xfId="11895" xr:uid="{1F25533E-F35A-47A7-92FE-E3DAC2FDF374}"/>
    <cellStyle name="Normal 18 8 5 5" xfId="11896" xr:uid="{4B999D18-7252-4FC6-A967-8F284845DCBF}"/>
    <cellStyle name="Normal 18 8 5 6" xfId="11897" xr:uid="{243FB0BD-3A21-4C7B-80C0-C18D5EF215D2}"/>
    <cellStyle name="Normal 18 8 6" xfId="11898" xr:uid="{53238E74-50A3-46C8-A143-2B899EE611E3}"/>
    <cellStyle name="Normal 18 8 6 2" xfId="11899" xr:uid="{ECD1DF58-F4BF-4751-A300-917E12F900DF}"/>
    <cellStyle name="Normal 18 8 6 3" xfId="11900" xr:uid="{D348C1B9-E9A2-4A5A-9743-03CD6095354A}"/>
    <cellStyle name="Normal 18 8 6 4" xfId="11901" xr:uid="{95F540F6-189F-401A-8305-FBE2129C97EF}"/>
    <cellStyle name="Normal 18 8 6 5" xfId="11902" xr:uid="{A5911D90-BE85-41CF-8102-29A09894FB8C}"/>
    <cellStyle name="Normal 18 8 6 6" xfId="11903" xr:uid="{E4D97146-0F41-470A-8CEE-B20FC47E4351}"/>
    <cellStyle name="Normal 18 8 7" xfId="11904" xr:uid="{690C2583-9DC9-4E3E-8A67-3B6F378001BB}"/>
    <cellStyle name="Normal 18 8 7 2" xfId="11905" xr:uid="{78A13360-71ED-4EA3-8EDE-5DFEAE0A2D08}"/>
    <cellStyle name="Normal 18 8 7 3" xfId="11906" xr:uid="{A64307AC-3525-455C-94D7-086DD42BD15B}"/>
    <cellStyle name="Normal 18 8 7 4" xfId="11907" xr:uid="{0F164CE7-CC09-42DE-8D2E-DADE16A51F6F}"/>
    <cellStyle name="Normal 18 8 7 5" xfId="11908" xr:uid="{555C6E2F-3EA0-4377-9A72-6EA26F91D907}"/>
    <cellStyle name="Normal 18 8 7 6" xfId="11909" xr:uid="{0FBB95ED-76BA-4265-AAC4-9BA9B4687F51}"/>
    <cellStyle name="Normal 18 8 8" xfId="11910" xr:uid="{A02E09B0-C789-474C-8491-3D660FA8A49B}"/>
    <cellStyle name="Normal 18 8 8 2" xfId="11911" xr:uid="{D6E11DBB-8597-4AD2-81BF-E0A814062BBD}"/>
    <cellStyle name="Normal 18 8 8 3" xfId="11912" xr:uid="{8E3A97A2-BC30-451D-BBF8-1EF250F17554}"/>
    <cellStyle name="Normal 18 8 8 4" xfId="11913" xr:uid="{28D7EE87-B55B-4E80-A60B-3241634A6496}"/>
    <cellStyle name="Normal 18 8 8 5" xfId="11914" xr:uid="{7EAC7658-3012-4228-B773-279740EDD05D}"/>
    <cellStyle name="Normal 18 8 8 6" xfId="11915" xr:uid="{422C5609-289E-4C1D-9BE5-FA5CAB86B32D}"/>
    <cellStyle name="Normal 18 8 9" xfId="11916" xr:uid="{95AFCF42-EF94-4755-9A69-0748D95CDC82}"/>
    <cellStyle name="Normal 18 9" xfId="11917" xr:uid="{DE0E93AE-A584-4D27-B2B4-6163DFE3090C}"/>
    <cellStyle name="Normal 18 9 10" xfId="11918" xr:uid="{D3309541-87DA-4E19-93D7-FCD08F99E253}"/>
    <cellStyle name="Normal 18 9 11" xfId="11919" xr:uid="{3930FF02-A14E-4494-AAAA-8F038667568B}"/>
    <cellStyle name="Normal 18 9 12" xfId="11920" xr:uid="{07D3F5F5-BA9A-43A1-8B94-DE4DC58F8AB8}"/>
    <cellStyle name="Normal 18 9 13" xfId="11921" xr:uid="{4110B19C-35A5-4FC0-9631-B83AC4C78DAE}"/>
    <cellStyle name="Normal 18 9 2" xfId="11922" xr:uid="{47E40118-366F-4E3C-B8FB-995692D24C4A}"/>
    <cellStyle name="Normal 18 9 2 2" xfId="11923" xr:uid="{44096058-6D91-4D02-BF44-962DEC854E8E}"/>
    <cellStyle name="Normal 18 9 2 3" xfId="11924" xr:uid="{702284D1-F1A6-4B22-BCED-DAD83131F73A}"/>
    <cellStyle name="Normal 18 9 2 4" xfId="11925" xr:uid="{BF9D70DE-5399-4FD7-A70F-02AD94871946}"/>
    <cellStyle name="Normal 18 9 2 5" xfId="11926" xr:uid="{121BC400-BA86-4C96-BD20-65614BE55A17}"/>
    <cellStyle name="Normal 18 9 2 6" xfId="11927" xr:uid="{264288B3-939B-43CF-8B90-68AC25672C96}"/>
    <cellStyle name="Normal 18 9 3" xfId="11928" xr:uid="{5799423D-5173-4BA2-BD0E-C318AAC8BF31}"/>
    <cellStyle name="Normal 18 9 3 2" xfId="11929" xr:uid="{91541605-A884-4D01-B7B1-CE42B9DF0C5B}"/>
    <cellStyle name="Normal 18 9 3 3" xfId="11930" xr:uid="{B0768D78-2DF9-4692-AB98-DFD976C66697}"/>
    <cellStyle name="Normal 18 9 3 4" xfId="11931" xr:uid="{C0EAF7CA-5FEB-45E6-9DC7-5377DFE8460A}"/>
    <cellStyle name="Normal 18 9 3 5" xfId="11932" xr:uid="{8FA268CC-6CC4-44B2-8D96-BDB4E9B67461}"/>
    <cellStyle name="Normal 18 9 3 6" xfId="11933" xr:uid="{B2F1D88C-6394-4B60-872E-6E275C7D6C7D}"/>
    <cellStyle name="Normal 18 9 4" xfId="11934" xr:uid="{D4DED191-3E8E-4A9C-A0BA-127C226CAED1}"/>
    <cellStyle name="Normal 18 9 4 2" xfId="11935" xr:uid="{EB41D96E-F10B-47A8-A51C-FBF04608A505}"/>
    <cellStyle name="Normal 18 9 4 3" xfId="11936" xr:uid="{386EA260-C4A2-4D67-AE68-757F9B1CE8AE}"/>
    <cellStyle name="Normal 18 9 4 4" xfId="11937" xr:uid="{14220E7B-9C49-4E36-9A88-A626E6EC3DBB}"/>
    <cellStyle name="Normal 18 9 4 5" xfId="11938" xr:uid="{101EDA14-24A5-4CA2-8D85-A0522C65FD09}"/>
    <cellStyle name="Normal 18 9 4 6" xfId="11939" xr:uid="{A1B1E5E1-1A23-4BB3-A3AF-80CFAFE09D96}"/>
    <cellStyle name="Normal 18 9 5" xfId="11940" xr:uid="{3A557908-82B6-4F7A-A969-AE8128E88E42}"/>
    <cellStyle name="Normal 18 9 5 2" xfId="11941" xr:uid="{89D32581-B480-46D8-A811-3D727B392027}"/>
    <cellStyle name="Normal 18 9 5 3" xfId="11942" xr:uid="{62B4B904-EEE8-4DF5-964E-31494AA59AE5}"/>
    <cellStyle name="Normal 18 9 5 4" xfId="11943" xr:uid="{F25F5567-A4E4-40C7-AC1D-7C74764CFFA9}"/>
    <cellStyle name="Normal 18 9 5 5" xfId="11944" xr:uid="{D22E5D50-840D-4E2F-B330-8D77DCE779EB}"/>
    <cellStyle name="Normal 18 9 5 6" xfId="11945" xr:uid="{56AA88C5-706B-4A84-BD2C-1D8F7314FDC0}"/>
    <cellStyle name="Normal 18 9 6" xfId="11946" xr:uid="{2E0E6B50-428C-4E92-A4B8-B477438EF8AF}"/>
    <cellStyle name="Normal 18 9 6 2" xfId="11947" xr:uid="{1C6ED180-AD2B-42B4-9024-121173CB2774}"/>
    <cellStyle name="Normal 18 9 6 3" xfId="11948" xr:uid="{C378F799-82D3-43C4-AB3A-B60E2DE4CC68}"/>
    <cellStyle name="Normal 18 9 6 4" xfId="11949" xr:uid="{E3C77189-9012-49F7-9E6C-EAE621CFB352}"/>
    <cellStyle name="Normal 18 9 6 5" xfId="11950" xr:uid="{6241DFD3-3388-48A2-8DFA-58F4D72B144D}"/>
    <cellStyle name="Normal 18 9 6 6" xfId="11951" xr:uid="{AECE0679-21C1-48F9-AC19-D29E44D931AB}"/>
    <cellStyle name="Normal 18 9 7" xfId="11952" xr:uid="{965951A8-C2DB-46B8-B3C4-444534BE7C0E}"/>
    <cellStyle name="Normal 18 9 7 2" xfId="11953" xr:uid="{5463A098-D07A-48EC-9E8D-85035207B05B}"/>
    <cellStyle name="Normal 18 9 7 3" xfId="11954" xr:uid="{F6ECDF36-95A7-49A2-B926-24B49DE902EF}"/>
    <cellStyle name="Normal 18 9 7 4" xfId="11955" xr:uid="{23FC3E90-C058-4C27-AE74-4C789C8B296C}"/>
    <cellStyle name="Normal 18 9 7 5" xfId="11956" xr:uid="{BFF62B42-8991-44A7-ACF3-CEB38AE9E7E5}"/>
    <cellStyle name="Normal 18 9 7 6" xfId="11957" xr:uid="{5874D298-3270-4244-82BB-2258A94DF1B2}"/>
    <cellStyle name="Normal 18 9 8" xfId="11958" xr:uid="{71C225CC-C409-4500-817D-251D9F4A04C4}"/>
    <cellStyle name="Normal 18 9 8 2" xfId="11959" xr:uid="{4A08D170-0472-42E1-A2F8-AE0C23C9C08E}"/>
    <cellStyle name="Normal 18 9 8 3" xfId="11960" xr:uid="{4DDD2A2B-DDA6-473E-9211-039B39A3D104}"/>
    <cellStyle name="Normal 18 9 8 4" xfId="11961" xr:uid="{60B02C85-1DBA-49A1-B16D-C6AA84A1B97D}"/>
    <cellStyle name="Normal 18 9 8 5" xfId="11962" xr:uid="{96DC9765-B595-4EED-BC29-B0D85A29999A}"/>
    <cellStyle name="Normal 18 9 8 6" xfId="11963" xr:uid="{E59200A3-3ED6-4D7B-AD1F-0CD983E076CB}"/>
    <cellStyle name="Normal 18 9 9" xfId="11964" xr:uid="{2135FBD9-D945-4457-B625-3D2330FDC55F}"/>
    <cellStyle name="Normal 181" xfId="43978" xr:uid="{768F998A-1879-46F2-880E-F9A0911559FC}"/>
    <cellStyle name="Normal 181 2" xfId="43973" xr:uid="{C6AB1B2D-DD68-47D4-85BE-673C7980D8DF}"/>
    <cellStyle name="Normal 183" xfId="43986" xr:uid="{3DDAAFFE-DF5C-41FF-9FD3-556589F8CC4F}"/>
    <cellStyle name="Normal 183 2" xfId="43988" xr:uid="{AD1A2B68-C847-44B1-BB95-2057D3ED743E}"/>
    <cellStyle name="Normal 19" xfId="1074" xr:uid="{AC100F45-E4AD-4859-8A20-14D637BC53B7}"/>
    <cellStyle name="Normal 19 10" xfId="11965" xr:uid="{0DBD8F8E-AFF1-48EE-8603-CD178BD030AD}"/>
    <cellStyle name="Normal 19 10 10" xfId="11966" xr:uid="{560F821D-297A-4C04-BB79-983C535FB0D1}"/>
    <cellStyle name="Normal 19 10 11" xfId="11967" xr:uid="{64A536C6-A119-40BF-A671-494FB404A452}"/>
    <cellStyle name="Normal 19 10 12" xfId="11968" xr:uid="{C48495E0-4D9F-43D4-81C7-81D6425C71E8}"/>
    <cellStyle name="Normal 19 10 13" xfId="11969" xr:uid="{5DC614DD-851E-453D-AF3F-8E3CDFEB334C}"/>
    <cellStyle name="Normal 19 10 2" xfId="11970" xr:uid="{9D57FF7A-3263-463D-ACE1-B877B58230A6}"/>
    <cellStyle name="Normal 19 10 2 2" xfId="11971" xr:uid="{849E9BE3-0241-4263-89E2-F2BA714863AF}"/>
    <cellStyle name="Normal 19 10 2 3" xfId="11972" xr:uid="{C04E9A41-144A-4DF4-93F4-EEE5099CE29A}"/>
    <cellStyle name="Normal 19 10 2 4" xfId="11973" xr:uid="{C4475DF6-5C17-4B4D-AF46-4BAD6D8BF684}"/>
    <cellStyle name="Normal 19 10 2 5" xfId="11974" xr:uid="{0DB56E69-9C8F-40B7-B9D9-46C445A584C6}"/>
    <cellStyle name="Normal 19 10 2 6" xfId="11975" xr:uid="{EF9151BF-048C-4878-B482-CE8856FE304A}"/>
    <cellStyle name="Normal 19 10 3" xfId="11976" xr:uid="{048B7666-73CC-43C4-AB0F-7F061DEA86B8}"/>
    <cellStyle name="Normal 19 10 3 2" xfId="11977" xr:uid="{BF28FB94-5990-4DCE-AE65-51F4A931D33A}"/>
    <cellStyle name="Normal 19 10 3 3" xfId="11978" xr:uid="{6EFE9A6B-C049-4CB0-8283-20F3D4C63B30}"/>
    <cellStyle name="Normal 19 10 3 4" xfId="11979" xr:uid="{98C31CAF-6B11-4AE1-9B99-F71BDFF92012}"/>
    <cellStyle name="Normal 19 10 3 5" xfId="11980" xr:uid="{64A5F7CF-2F9F-481B-BC0E-1B85760EAA0B}"/>
    <cellStyle name="Normal 19 10 3 6" xfId="11981" xr:uid="{249BE8F6-F929-4B19-94FE-B3B4AC02E8B1}"/>
    <cellStyle name="Normal 19 10 4" xfId="11982" xr:uid="{796BF128-C5E8-4688-9A8F-67B3FDFEBC6A}"/>
    <cellStyle name="Normal 19 10 4 2" xfId="11983" xr:uid="{4B80A976-1628-42E0-B984-19205A67AF07}"/>
    <cellStyle name="Normal 19 10 4 3" xfId="11984" xr:uid="{2FE42731-55E8-4E0F-98A8-21D842100DCC}"/>
    <cellStyle name="Normal 19 10 4 4" xfId="11985" xr:uid="{6FE7A5D0-54F6-424B-9AA7-63955AA29816}"/>
    <cellStyle name="Normal 19 10 4 5" xfId="11986" xr:uid="{E9C15E42-C187-409B-8019-51CA28316621}"/>
    <cellStyle name="Normal 19 10 4 6" xfId="11987" xr:uid="{9B4A3A6F-E692-44B9-85B5-2800895689A4}"/>
    <cellStyle name="Normal 19 10 5" xfId="11988" xr:uid="{FD90473F-3FAE-4F2F-B854-20DD3CFA37E5}"/>
    <cellStyle name="Normal 19 10 5 2" xfId="11989" xr:uid="{DB8035C2-F4CF-47AA-9EB2-89878C80A260}"/>
    <cellStyle name="Normal 19 10 5 3" xfId="11990" xr:uid="{DCC4D627-AD38-4DA9-9A4D-198BE07E56EB}"/>
    <cellStyle name="Normal 19 10 5 4" xfId="11991" xr:uid="{93203557-0A28-4BE8-8727-DD0E49082DC4}"/>
    <cellStyle name="Normal 19 10 5 5" xfId="11992" xr:uid="{35192095-13B0-4DEF-A7DE-B693E5134870}"/>
    <cellStyle name="Normal 19 10 5 6" xfId="11993" xr:uid="{CD56FFA1-1CF7-4D33-B453-2155894F00C2}"/>
    <cellStyle name="Normal 19 10 6" xfId="11994" xr:uid="{1D42E335-BA84-43ED-B3E5-EB14938E51CC}"/>
    <cellStyle name="Normal 19 10 6 2" xfId="11995" xr:uid="{503A2124-BD95-47AD-9506-62941CB9FA43}"/>
    <cellStyle name="Normal 19 10 6 3" xfId="11996" xr:uid="{23CCF5C9-366B-4F40-977D-4A7E703761DF}"/>
    <cellStyle name="Normal 19 10 6 4" xfId="11997" xr:uid="{608679D9-A15B-4895-9725-2E757F7C408D}"/>
    <cellStyle name="Normal 19 10 6 5" xfId="11998" xr:uid="{CF8D4F7F-F1B5-4702-9158-03BE6F136D97}"/>
    <cellStyle name="Normal 19 10 6 6" xfId="11999" xr:uid="{69AA3853-AD37-493B-81AE-76559F5C286F}"/>
    <cellStyle name="Normal 19 10 7" xfId="12000" xr:uid="{69FD6053-477B-4120-B5A4-45537774BB4C}"/>
    <cellStyle name="Normal 19 10 7 2" xfId="12001" xr:uid="{16AA4429-89C9-4CB9-B0BD-A54AE0EA126F}"/>
    <cellStyle name="Normal 19 10 7 3" xfId="12002" xr:uid="{5B307847-083D-435D-9928-ED77545EF36C}"/>
    <cellStyle name="Normal 19 10 7 4" xfId="12003" xr:uid="{EA347302-A4A9-418B-A3A1-F47BA85E2666}"/>
    <cellStyle name="Normal 19 10 7 5" xfId="12004" xr:uid="{27126CE8-4D84-4D38-A8E8-9EED7BC82A05}"/>
    <cellStyle name="Normal 19 10 7 6" xfId="12005" xr:uid="{982A37E6-D5CE-4A8B-9B37-6A52B8A90ABC}"/>
    <cellStyle name="Normal 19 10 8" xfId="12006" xr:uid="{8772CD1A-AC25-446A-93E0-40AE7FC43CAD}"/>
    <cellStyle name="Normal 19 10 8 2" xfId="12007" xr:uid="{5C41F8C7-9FC5-49DD-9F12-7F96ABA8DF51}"/>
    <cellStyle name="Normal 19 10 8 3" xfId="12008" xr:uid="{E9FEA7B5-0CF1-44F4-9A7B-77C857774E50}"/>
    <cellStyle name="Normal 19 10 8 4" xfId="12009" xr:uid="{352BFF88-F29D-47D0-944A-E17126CBED1D}"/>
    <cellStyle name="Normal 19 10 8 5" xfId="12010" xr:uid="{E8739356-849A-4771-80F5-C7919AE2DE93}"/>
    <cellStyle name="Normal 19 10 8 6" xfId="12011" xr:uid="{148C1F19-B8DB-48F6-96B1-EE48ED8827AD}"/>
    <cellStyle name="Normal 19 10 9" xfId="12012" xr:uid="{BCF1F564-4D78-47C8-BA71-AE63ABF71185}"/>
    <cellStyle name="Normal 19 11" xfId="12013" xr:uid="{4C737783-3D1C-41BE-9132-C731521C2D65}"/>
    <cellStyle name="Normal 19 11 10" xfId="12014" xr:uid="{08A7C020-D688-487A-89DF-91170DB207D9}"/>
    <cellStyle name="Normal 19 11 11" xfId="12015" xr:uid="{74593173-2502-49A8-83C8-D522E8D395FA}"/>
    <cellStyle name="Normal 19 11 12" xfId="12016" xr:uid="{6B276542-C944-4AB2-86DA-FE0BA08AC842}"/>
    <cellStyle name="Normal 19 11 13" xfId="12017" xr:uid="{24625A76-B473-4814-9CBC-F82FD09FEB68}"/>
    <cellStyle name="Normal 19 11 2" xfId="12018" xr:uid="{1FCAFED5-BF61-4D12-B10D-5EDE971F6BFD}"/>
    <cellStyle name="Normal 19 11 2 2" xfId="12019" xr:uid="{3F3DDB40-AEE6-436B-BDD0-37BF2753E3B4}"/>
    <cellStyle name="Normal 19 11 2 3" xfId="12020" xr:uid="{DAD569BC-E583-49E7-B500-FA7EF9C142F5}"/>
    <cellStyle name="Normal 19 11 2 4" xfId="12021" xr:uid="{7ADCC6A8-7EB3-4F3B-95D3-E4C2C2A97CE2}"/>
    <cellStyle name="Normal 19 11 2 5" xfId="12022" xr:uid="{93FDBC28-3C56-4BE1-AD2C-C194D6E3604E}"/>
    <cellStyle name="Normal 19 11 2 6" xfId="12023" xr:uid="{283B78E7-37E3-4544-AB52-0B4D5B0F2476}"/>
    <cellStyle name="Normal 19 11 3" xfId="12024" xr:uid="{69C24B6F-B4AC-42A7-A504-38C3F967E95B}"/>
    <cellStyle name="Normal 19 11 3 2" xfId="12025" xr:uid="{4F053B98-7950-4870-A989-137ED7B89D05}"/>
    <cellStyle name="Normal 19 11 3 3" xfId="12026" xr:uid="{5FA5D957-6B91-4417-90BB-8C10A4705A10}"/>
    <cellStyle name="Normal 19 11 3 4" xfId="12027" xr:uid="{7ADFC47B-7004-41FC-9221-B24D776F0BB3}"/>
    <cellStyle name="Normal 19 11 3 5" xfId="12028" xr:uid="{740B6455-5E89-4ACC-9BA7-16262FF9AE65}"/>
    <cellStyle name="Normal 19 11 3 6" xfId="12029" xr:uid="{B4C14D7D-9146-4C26-A8C0-26FD24A3105D}"/>
    <cellStyle name="Normal 19 11 4" xfId="12030" xr:uid="{73DD00E6-8757-4A7B-94AF-DE23C7BAE66B}"/>
    <cellStyle name="Normal 19 11 4 2" xfId="12031" xr:uid="{AFAE3BEB-5759-4A93-A6AB-40701C1046B4}"/>
    <cellStyle name="Normal 19 11 4 3" xfId="12032" xr:uid="{D425357B-C8C4-4F42-9370-5AF01ABFE22D}"/>
    <cellStyle name="Normal 19 11 4 4" xfId="12033" xr:uid="{CE189898-A461-4244-8F3E-15177260DAD3}"/>
    <cellStyle name="Normal 19 11 4 5" xfId="12034" xr:uid="{29E2BC7D-A34E-45DF-86AE-A1F5F8008DC3}"/>
    <cellStyle name="Normal 19 11 4 6" xfId="12035" xr:uid="{1C46DBAF-D38A-4EA3-BB9D-74E27BFC5A46}"/>
    <cellStyle name="Normal 19 11 5" xfId="12036" xr:uid="{CE408FB3-CF56-462B-8F02-BA74643D5055}"/>
    <cellStyle name="Normal 19 11 5 2" xfId="12037" xr:uid="{E3640BBE-6F51-446A-9EC8-778E8CB372D1}"/>
    <cellStyle name="Normal 19 11 5 3" xfId="12038" xr:uid="{81413ED3-3791-4621-BEF6-CB9C29751DEF}"/>
    <cellStyle name="Normal 19 11 5 4" xfId="12039" xr:uid="{895E488A-BA47-4B32-A610-6C462BCCE11E}"/>
    <cellStyle name="Normal 19 11 5 5" xfId="12040" xr:uid="{9326AC76-37BA-4E4E-8554-2FA8BFDB272B}"/>
    <cellStyle name="Normal 19 11 5 6" xfId="12041" xr:uid="{3804F2BE-17A2-4573-AFAA-AB032268A0CE}"/>
    <cellStyle name="Normal 19 11 6" xfId="12042" xr:uid="{22AF6E51-8447-4C23-8B18-514B9F7693D8}"/>
    <cellStyle name="Normal 19 11 6 2" xfId="12043" xr:uid="{B9938682-2486-480E-9E58-44491A1E08D3}"/>
    <cellStyle name="Normal 19 11 6 3" xfId="12044" xr:uid="{471FDA87-ABEA-4FA0-880D-371CC94242C3}"/>
    <cellStyle name="Normal 19 11 6 4" xfId="12045" xr:uid="{7E6A6B48-4BB6-4978-BFCF-F393A4895C9B}"/>
    <cellStyle name="Normal 19 11 6 5" xfId="12046" xr:uid="{7F80B972-4A5B-4BCA-B34C-23DB520F3F22}"/>
    <cellStyle name="Normal 19 11 6 6" xfId="12047" xr:uid="{D6DD606C-3120-4C52-878F-65D5F7B2364C}"/>
    <cellStyle name="Normal 19 11 7" xfId="12048" xr:uid="{AEE9DD35-D1DC-4F6B-8E58-AD516ADE76C2}"/>
    <cellStyle name="Normal 19 11 7 2" xfId="12049" xr:uid="{385A6DBC-9448-4C29-95E1-30BE3A8845B8}"/>
    <cellStyle name="Normal 19 11 7 3" xfId="12050" xr:uid="{C2D305F2-B994-4AED-AD9B-7D245841DA09}"/>
    <cellStyle name="Normal 19 11 7 4" xfId="12051" xr:uid="{3FB77831-E22C-4914-B487-4A2A0394E35B}"/>
    <cellStyle name="Normal 19 11 7 5" xfId="12052" xr:uid="{41131CBC-47A7-4122-842B-BF08BE39B6E1}"/>
    <cellStyle name="Normal 19 11 7 6" xfId="12053" xr:uid="{A20BDD49-4331-4DEC-B3C6-8CE7FCE9ED35}"/>
    <cellStyle name="Normal 19 11 8" xfId="12054" xr:uid="{5E7D651B-F9CE-4D43-8C33-3C989DAF14C9}"/>
    <cellStyle name="Normal 19 11 8 2" xfId="12055" xr:uid="{F9110D7B-EC43-48C9-AFA7-5707CFD433E4}"/>
    <cellStyle name="Normal 19 11 8 3" xfId="12056" xr:uid="{38CA0EED-6FCC-46EF-9AB0-E7051C5F9F71}"/>
    <cellStyle name="Normal 19 11 8 4" xfId="12057" xr:uid="{FCE969D5-B14A-44EC-8A3D-7CB0744A8E8E}"/>
    <cellStyle name="Normal 19 11 8 5" xfId="12058" xr:uid="{11B522CA-593F-4561-8BD1-44FAE03B8263}"/>
    <cellStyle name="Normal 19 11 8 6" xfId="12059" xr:uid="{545D2FB0-E519-484F-989A-0266A4DF1A56}"/>
    <cellStyle name="Normal 19 11 9" xfId="12060" xr:uid="{7E1E5C5D-84DA-47E2-9904-4FB3F61CA930}"/>
    <cellStyle name="Normal 19 12" xfId="12061" xr:uid="{762CC411-5A81-4D4D-83B1-8D18218209DD}"/>
    <cellStyle name="Normal 19 12 10" xfId="12062" xr:uid="{FA6F568B-787A-48D4-81F7-54D54A6D3651}"/>
    <cellStyle name="Normal 19 12 11" xfId="12063" xr:uid="{8FBF1AD5-00FB-4F7E-87E0-EBCFD5E24E8C}"/>
    <cellStyle name="Normal 19 12 12" xfId="12064" xr:uid="{3A8492C6-7C2D-4E73-936A-E6421BCB0D56}"/>
    <cellStyle name="Normal 19 12 13" xfId="12065" xr:uid="{C446B3F6-C906-479F-BBE7-46D99B4E8AB5}"/>
    <cellStyle name="Normal 19 12 2" xfId="12066" xr:uid="{7217F732-10AE-4B8E-AB2D-1902F0306B47}"/>
    <cellStyle name="Normal 19 12 2 2" xfId="12067" xr:uid="{4A91AF11-8CA4-44D4-BA63-E1F9A4B8E8BA}"/>
    <cellStyle name="Normal 19 12 2 3" xfId="12068" xr:uid="{2B71DB1B-31DC-4D64-9F8F-4195F3528319}"/>
    <cellStyle name="Normal 19 12 2 4" xfId="12069" xr:uid="{2210D04A-6C7F-4F70-A19A-5062F12F6A1D}"/>
    <cellStyle name="Normal 19 12 2 5" xfId="12070" xr:uid="{EF1C2751-5E27-413F-8BC1-891A939C3A11}"/>
    <cellStyle name="Normal 19 12 2 6" xfId="12071" xr:uid="{6144BA37-DAE2-41E8-A4CE-41B49709B480}"/>
    <cellStyle name="Normal 19 12 3" xfId="12072" xr:uid="{9A139E6B-8593-443F-AC04-457FFE697584}"/>
    <cellStyle name="Normal 19 12 3 2" xfId="12073" xr:uid="{86A32309-66DD-4429-BEC3-6911594D3EC6}"/>
    <cellStyle name="Normal 19 12 3 3" xfId="12074" xr:uid="{640B45E6-C430-4308-A569-EC3D3C3C8BE4}"/>
    <cellStyle name="Normal 19 12 3 4" xfId="12075" xr:uid="{B83AE946-10B5-4644-852D-D1F7C1366822}"/>
    <cellStyle name="Normal 19 12 3 5" xfId="12076" xr:uid="{A3E9A7CF-E8AE-4995-9003-73F5C403EFF9}"/>
    <cellStyle name="Normal 19 12 3 6" xfId="12077" xr:uid="{9E6C5F4F-6091-40FB-8B2B-7296B9424A34}"/>
    <cellStyle name="Normal 19 12 4" xfId="12078" xr:uid="{6BDECE15-781F-4D75-BA46-BCC9CA93FE45}"/>
    <cellStyle name="Normal 19 12 4 2" xfId="12079" xr:uid="{75270E0A-3D84-4840-BEE1-D9EBD8826CE7}"/>
    <cellStyle name="Normal 19 12 4 3" xfId="12080" xr:uid="{832928AF-5BB0-4ADB-95E5-CA846CD4E529}"/>
    <cellStyle name="Normal 19 12 4 4" xfId="12081" xr:uid="{08699FAD-AA6C-4D0A-B3BA-783EF7E0A912}"/>
    <cellStyle name="Normal 19 12 4 5" xfId="12082" xr:uid="{BF069676-AF42-4949-B941-93E8DC42B0DF}"/>
    <cellStyle name="Normal 19 12 4 6" xfId="12083" xr:uid="{CDAF315F-5A0B-4C89-9F09-18574D5CEF04}"/>
    <cellStyle name="Normal 19 12 5" xfId="12084" xr:uid="{38857ABF-D455-4733-AE81-BD448C44822F}"/>
    <cellStyle name="Normal 19 12 5 2" xfId="12085" xr:uid="{0C872C1C-BC4D-4B5C-BAAD-5B27AA67A9D1}"/>
    <cellStyle name="Normal 19 12 5 3" xfId="12086" xr:uid="{B548C0DF-5C5D-42A8-B85F-7EE959E60A15}"/>
    <cellStyle name="Normal 19 12 5 4" xfId="12087" xr:uid="{BE8F7205-5E45-4A32-A32B-C605E2E5E50B}"/>
    <cellStyle name="Normal 19 12 5 5" xfId="12088" xr:uid="{7E924E1A-0321-43C3-B514-82922FEC6129}"/>
    <cellStyle name="Normal 19 12 5 6" xfId="12089" xr:uid="{35C735A1-CE6D-4C54-8198-8F2F1D2BBDA9}"/>
    <cellStyle name="Normal 19 12 6" xfId="12090" xr:uid="{56454031-7662-4F1D-9960-B60EB438DE1A}"/>
    <cellStyle name="Normal 19 12 6 2" xfId="12091" xr:uid="{806593DE-37A3-4DAE-8D16-F59350BEEAE4}"/>
    <cellStyle name="Normal 19 12 6 3" xfId="12092" xr:uid="{BDF18D79-0476-4F5B-B723-601CF16D28D8}"/>
    <cellStyle name="Normal 19 12 6 4" xfId="12093" xr:uid="{B8E7F494-7418-4A73-A434-7C5C814A6A85}"/>
    <cellStyle name="Normal 19 12 6 5" xfId="12094" xr:uid="{EB982470-2C1C-4DC8-BEB6-9E535CE07EEB}"/>
    <cellStyle name="Normal 19 12 6 6" xfId="12095" xr:uid="{2E675CB1-C482-4273-95B6-53D495AEBD9A}"/>
    <cellStyle name="Normal 19 12 7" xfId="12096" xr:uid="{FB6CDB5F-E47D-4C40-9EFB-012BE96A1B01}"/>
    <cellStyle name="Normal 19 12 7 2" xfId="12097" xr:uid="{C323E7BF-1589-46AB-894D-B4E7195DF2B7}"/>
    <cellStyle name="Normal 19 12 7 3" xfId="12098" xr:uid="{F23D0329-09AF-4B2F-A3CF-9682D9D14E4B}"/>
    <cellStyle name="Normal 19 12 7 4" xfId="12099" xr:uid="{44D7D3F8-DE46-4575-AF4B-3B85A10BF5D9}"/>
    <cellStyle name="Normal 19 12 7 5" xfId="12100" xr:uid="{CA15F7B6-6769-457A-9082-184B5CDFAED8}"/>
    <cellStyle name="Normal 19 12 7 6" xfId="12101" xr:uid="{B5FAB3BF-F739-431D-B6D7-5AD01EC200AD}"/>
    <cellStyle name="Normal 19 12 8" xfId="12102" xr:uid="{D6226109-F997-4F46-8CDE-928DC7709EA9}"/>
    <cellStyle name="Normal 19 12 8 2" xfId="12103" xr:uid="{2ABA6BF6-FBD3-4D1F-A48A-AF2D40E744D3}"/>
    <cellStyle name="Normal 19 12 8 3" xfId="12104" xr:uid="{7440330E-6D4A-4904-B7AB-F0A6107C94BC}"/>
    <cellStyle name="Normal 19 12 8 4" xfId="12105" xr:uid="{52EE72D7-7295-4053-B334-D6979417AE5E}"/>
    <cellStyle name="Normal 19 12 8 5" xfId="12106" xr:uid="{EDA3C5D9-FE71-4D1E-A2DB-637964DBC696}"/>
    <cellStyle name="Normal 19 12 8 6" xfId="12107" xr:uid="{0B3FE809-5FBD-45D9-89BE-65F3008ADBAB}"/>
    <cellStyle name="Normal 19 12 9" xfId="12108" xr:uid="{8B31070C-578F-4377-82AB-37A6B03AA5D6}"/>
    <cellStyle name="Normal 19 13" xfId="12109" xr:uid="{76D3D224-9DAF-46E9-A435-D985F1D5D445}"/>
    <cellStyle name="Normal 19 13 10" xfId="12110" xr:uid="{BE41A0E7-D853-4A7C-A3FC-4570008B6F3E}"/>
    <cellStyle name="Normal 19 13 11" xfId="12111" xr:uid="{772FC303-D6D0-45F4-AF6E-AE0E2B38B458}"/>
    <cellStyle name="Normal 19 13 12" xfId="12112" xr:uid="{202DD6D7-B671-4AEF-8A48-8BA218087EE9}"/>
    <cellStyle name="Normal 19 13 13" xfId="12113" xr:uid="{A7A85292-2629-4D0E-9FA9-E1B7EB68AD2A}"/>
    <cellStyle name="Normal 19 13 2" xfId="12114" xr:uid="{15B95C21-7C00-4AA3-A2B9-F0013E6836BF}"/>
    <cellStyle name="Normal 19 13 2 2" xfId="12115" xr:uid="{80C7C1ED-DC29-4B5B-A580-B0B0507E67D7}"/>
    <cellStyle name="Normal 19 13 2 3" xfId="12116" xr:uid="{9663402D-39E1-4540-8AC9-D0B8A018766C}"/>
    <cellStyle name="Normal 19 13 2 4" xfId="12117" xr:uid="{0403DE9F-EA6E-4041-A24F-694E336DDC21}"/>
    <cellStyle name="Normal 19 13 2 5" xfId="12118" xr:uid="{2B50400C-AFD5-4BD3-B106-0CC9442AA958}"/>
    <cellStyle name="Normal 19 13 2 6" xfId="12119" xr:uid="{DCCC6D24-6D1B-4F6F-8477-E861547852A3}"/>
    <cellStyle name="Normal 19 13 3" xfId="12120" xr:uid="{061C9200-E627-4BBB-9CD8-6DE7158C39F0}"/>
    <cellStyle name="Normal 19 13 3 2" xfId="12121" xr:uid="{7083A264-5398-4E14-867C-93D8EC6FFFAE}"/>
    <cellStyle name="Normal 19 13 3 3" xfId="12122" xr:uid="{05434F23-EDDE-4602-AEC5-09D758C7BDFB}"/>
    <cellStyle name="Normal 19 13 3 4" xfId="12123" xr:uid="{2D2C34EA-902B-4E72-873E-06446250FCFA}"/>
    <cellStyle name="Normal 19 13 3 5" xfId="12124" xr:uid="{602CDA6A-8BC9-48F9-B35E-DDC57F4D464B}"/>
    <cellStyle name="Normal 19 13 3 6" xfId="12125" xr:uid="{47CAB118-5F9B-4703-B61F-504F13D1E1AA}"/>
    <cellStyle name="Normal 19 13 4" xfId="12126" xr:uid="{0B599906-BA13-4851-8E90-AFD77C1DE86F}"/>
    <cellStyle name="Normal 19 13 4 2" xfId="12127" xr:uid="{5029037A-D03A-40C2-8233-DE12DF2B39FA}"/>
    <cellStyle name="Normal 19 13 4 3" xfId="12128" xr:uid="{3D63A43E-EDE5-4BEC-8451-B2A0596A90AE}"/>
    <cellStyle name="Normal 19 13 4 4" xfId="12129" xr:uid="{7A681828-C503-4506-88B6-6D6944EF4EEB}"/>
    <cellStyle name="Normal 19 13 4 5" xfId="12130" xr:uid="{227FF7AE-8EC8-46BF-AC9D-818CD7B040D3}"/>
    <cellStyle name="Normal 19 13 4 6" xfId="12131" xr:uid="{B727AB54-C8AA-4AC7-A978-23B91A5B5FBC}"/>
    <cellStyle name="Normal 19 13 5" xfId="12132" xr:uid="{BB5BEC33-48CF-4445-BBBF-BB89D1869668}"/>
    <cellStyle name="Normal 19 13 5 2" xfId="12133" xr:uid="{83385BB2-4D31-4AC3-AF24-42743D9D24F7}"/>
    <cellStyle name="Normal 19 13 5 3" xfId="12134" xr:uid="{728DF6DF-35BC-491B-82A0-DCDAF06A833B}"/>
    <cellStyle name="Normal 19 13 5 4" xfId="12135" xr:uid="{15284076-351E-40CA-ADE4-9F1C69048332}"/>
    <cellStyle name="Normal 19 13 5 5" xfId="12136" xr:uid="{B6164AB2-0D88-4FF5-A339-F34E04440CCB}"/>
    <cellStyle name="Normal 19 13 5 6" xfId="12137" xr:uid="{BE7CCE3E-95D2-44FE-A963-BF023F796FDA}"/>
    <cellStyle name="Normal 19 13 6" xfId="12138" xr:uid="{8195FA46-2B80-41B0-8D41-E070DBBECB61}"/>
    <cellStyle name="Normal 19 13 6 2" xfId="12139" xr:uid="{73B896F6-EE74-4712-9696-54422F654BCC}"/>
    <cellStyle name="Normal 19 13 6 3" xfId="12140" xr:uid="{D4F7F7DC-4202-4355-B830-E89F1FB782CB}"/>
    <cellStyle name="Normal 19 13 6 4" xfId="12141" xr:uid="{080D38A0-340D-4E7D-9C70-B55384321C13}"/>
    <cellStyle name="Normal 19 13 6 5" xfId="12142" xr:uid="{278809FE-419C-407D-9E70-D9E6EE1527AF}"/>
    <cellStyle name="Normal 19 13 6 6" xfId="12143" xr:uid="{D767073C-8AB6-4B18-99D6-3B9CD7E46711}"/>
    <cellStyle name="Normal 19 13 7" xfId="12144" xr:uid="{A7ECEC3F-DF31-414F-A55C-F473A4528D9E}"/>
    <cellStyle name="Normal 19 13 7 2" xfId="12145" xr:uid="{2D4D3B90-F378-48F3-8B51-8CDBA3816D17}"/>
    <cellStyle name="Normal 19 13 7 3" xfId="12146" xr:uid="{D3F5F1FA-7CDD-435B-B13F-7A36AB538EC7}"/>
    <cellStyle name="Normal 19 13 7 4" xfId="12147" xr:uid="{40C55BD2-1AE8-491D-8D6E-A664847C5E30}"/>
    <cellStyle name="Normal 19 13 7 5" xfId="12148" xr:uid="{C5A85716-AB71-4FC2-A9C1-4632C5477180}"/>
    <cellStyle name="Normal 19 13 7 6" xfId="12149" xr:uid="{A83AB6AA-E046-4C01-832C-3113BCB7CEFE}"/>
    <cellStyle name="Normal 19 13 8" xfId="12150" xr:uid="{7C8D2FDD-E4C8-40A2-9696-D6BEACC4B594}"/>
    <cellStyle name="Normal 19 13 8 2" xfId="12151" xr:uid="{60940EEE-E005-4955-B8EC-03A269D4AC70}"/>
    <cellStyle name="Normal 19 13 8 3" xfId="12152" xr:uid="{9AD53C99-8EF1-4BDD-82BE-867F4A2B299A}"/>
    <cellStyle name="Normal 19 13 8 4" xfId="12153" xr:uid="{2C7E9A3F-990E-4D09-9FED-217B35386100}"/>
    <cellStyle name="Normal 19 13 8 5" xfId="12154" xr:uid="{91517D34-4C94-4CE6-B436-EAA15A5BFFC2}"/>
    <cellStyle name="Normal 19 13 8 6" xfId="12155" xr:uid="{9F7EBA9D-D2A0-412E-9804-824262297411}"/>
    <cellStyle name="Normal 19 13 9" xfId="12156" xr:uid="{7A6CFDB9-BE18-4A4E-9E08-5F806AE18225}"/>
    <cellStyle name="Normal 19 14" xfId="12157" xr:uid="{C9279E67-D1A8-4933-9487-104D6D5B7EA7}"/>
    <cellStyle name="Normal 19 14 10" xfId="12158" xr:uid="{EA25E1B4-DF6D-415F-B470-9EB03E529AE7}"/>
    <cellStyle name="Normal 19 14 11" xfId="12159" xr:uid="{DE36E19D-CBFC-4294-AD14-EC69116BA31C}"/>
    <cellStyle name="Normal 19 14 12" xfId="12160" xr:uid="{9EC70486-F13E-403E-B4BE-B467AEF34EC7}"/>
    <cellStyle name="Normal 19 14 13" xfId="12161" xr:uid="{6DF10F47-B565-4D1E-94B9-47C4574309E7}"/>
    <cellStyle name="Normal 19 14 2" xfId="12162" xr:uid="{1F951CCD-140B-4A28-AC1B-6D2A21ABA572}"/>
    <cellStyle name="Normal 19 14 2 2" xfId="12163" xr:uid="{FDB76DB3-92B7-4F8F-992E-EA9CF15E1F68}"/>
    <cellStyle name="Normal 19 14 2 3" xfId="12164" xr:uid="{F85AC0FA-E56A-4251-A214-72565AF923B4}"/>
    <cellStyle name="Normal 19 14 2 4" xfId="12165" xr:uid="{7B81E5A2-0C4D-4D8B-8133-836C936F10EA}"/>
    <cellStyle name="Normal 19 14 2 5" xfId="12166" xr:uid="{04012AE0-275B-4C67-A060-9DFA3B154723}"/>
    <cellStyle name="Normal 19 14 2 6" xfId="12167" xr:uid="{4398F669-509C-45D7-8E8C-ECC342A43B21}"/>
    <cellStyle name="Normal 19 14 3" xfId="12168" xr:uid="{2C2AABCD-B881-43F0-A966-39AD45081073}"/>
    <cellStyle name="Normal 19 14 3 2" xfId="12169" xr:uid="{A62489F2-6770-4CDD-9C74-6B45D9993B18}"/>
    <cellStyle name="Normal 19 14 3 3" xfId="12170" xr:uid="{86F9E97D-2BDC-42E0-A455-3A50DE3C2D40}"/>
    <cellStyle name="Normal 19 14 3 4" xfId="12171" xr:uid="{C40F51DB-C867-4FE1-BFF0-1FA03A1F8245}"/>
    <cellStyle name="Normal 19 14 3 5" xfId="12172" xr:uid="{36B89B95-8222-4369-B87C-051573CEE23E}"/>
    <cellStyle name="Normal 19 14 3 6" xfId="12173" xr:uid="{4C7C6DC8-800B-4489-A705-F02105C1D36C}"/>
    <cellStyle name="Normal 19 14 4" xfId="12174" xr:uid="{0C842234-0F95-40DD-8FDC-647991278C1C}"/>
    <cellStyle name="Normal 19 14 4 2" xfId="12175" xr:uid="{BBE5DCBC-018B-4184-973A-4EF953CAD8C9}"/>
    <cellStyle name="Normal 19 14 4 3" xfId="12176" xr:uid="{CECC3CA8-5E64-414E-BACB-8CC9B2B92026}"/>
    <cellStyle name="Normal 19 14 4 4" xfId="12177" xr:uid="{A79E4B2D-7F01-456C-B1A2-D8AEF5238654}"/>
    <cellStyle name="Normal 19 14 4 5" xfId="12178" xr:uid="{30B9F77D-6B31-43DE-82EC-49F60F4AA4F7}"/>
    <cellStyle name="Normal 19 14 4 6" xfId="12179" xr:uid="{5925C49C-4908-4B6E-AECC-E9A0B810A27D}"/>
    <cellStyle name="Normal 19 14 5" xfId="12180" xr:uid="{98E09623-AFC7-4198-9C30-6BF0C2AFA102}"/>
    <cellStyle name="Normal 19 14 5 2" xfId="12181" xr:uid="{8E547674-0461-49C9-8C7A-2DE86DAAC942}"/>
    <cellStyle name="Normal 19 14 5 3" xfId="12182" xr:uid="{3367C4C8-A423-4855-B30E-257B80661F7B}"/>
    <cellStyle name="Normal 19 14 5 4" xfId="12183" xr:uid="{5F25564F-CCEF-4DA9-B525-B9F1B689268B}"/>
    <cellStyle name="Normal 19 14 5 5" xfId="12184" xr:uid="{6D7EB77E-4BD8-486B-9935-ECB7B42C1417}"/>
    <cellStyle name="Normal 19 14 5 6" xfId="12185" xr:uid="{3F8DE4F7-86CF-4436-AA8F-36D09E2ADFD8}"/>
    <cellStyle name="Normal 19 14 6" xfId="12186" xr:uid="{14B2D667-C57E-4576-9C47-8F438DFA4033}"/>
    <cellStyle name="Normal 19 14 6 2" xfId="12187" xr:uid="{0F84E44C-E93E-47E1-8180-91170316E76F}"/>
    <cellStyle name="Normal 19 14 6 3" xfId="12188" xr:uid="{E315A812-89BB-4141-ACCD-94E247F3FA8B}"/>
    <cellStyle name="Normal 19 14 6 4" xfId="12189" xr:uid="{50A813F3-327C-4D2D-970A-A23BF045E272}"/>
    <cellStyle name="Normal 19 14 6 5" xfId="12190" xr:uid="{9A062936-7863-43D1-B250-53DFC52BBA9A}"/>
    <cellStyle name="Normal 19 14 6 6" xfId="12191" xr:uid="{5B161E6B-853E-4017-A881-C253FFF0BC2D}"/>
    <cellStyle name="Normal 19 14 7" xfId="12192" xr:uid="{B42E3BD7-5628-43AF-89AD-F97CA1780179}"/>
    <cellStyle name="Normal 19 14 7 2" xfId="12193" xr:uid="{F8C4886E-803B-4D43-A19A-930C88E0A6AC}"/>
    <cellStyle name="Normal 19 14 7 3" xfId="12194" xr:uid="{EB4D9241-EA11-489D-8074-1F5D3267216A}"/>
    <cellStyle name="Normal 19 14 7 4" xfId="12195" xr:uid="{6967A9F9-E3BC-4385-8BDF-0E5D0A76CB5C}"/>
    <cellStyle name="Normal 19 14 7 5" xfId="12196" xr:uid="{572FF385-4BDA-4756-9623-7E260954E962}"/>
    <cellStyle name="Normal 19 14 7 6" xfId="12197" xr:uid="{9B3873FD-8EE6-4167-A67F-D3102DD04B88}"/>
    <cellStyle name="Normal 19 14 8" xfId="12198" xr:uid="{F39165AC-2CD4-4109-B44F-3793401E9FBA}"/>
    <cellStyle name="Normal 19 14 8 2" xfId="12199" xr:uid="{9ADD46EE-4B90-4310-95C4-7B63FBDEFC54}"/>
    <cellStyle name="Normal 19 14 8 3" xfId="12200" xr:uid="{CF36FBEE-C520-438B-879A-CAE339F13D57}"/>
    <cellStyle name="Normal 19 14 8 4" xfId="12201" xr:uid="{76C3F07B-5686-46C6-BAC9-B61B8DF9AD4F}"/>
    <cellStyle name="Normal 19 14 8 5" xfId="12202" xr:uid="{90C6C999-DEA6-435B-B1C6-6C9B7AB9F332}"/>
    <cellStyle name="Normal 19 14 8 6" xfId="12203" xr:uid="{04B5DD0B-0B2A-4054-8279-2B09D6C39DAA}"/>
    <cellStyle name="Normal 19 14 9" xfId="12204" xr:uid="{31F1FBDE-F6DC-468C-B35D-B94872409B92}"/>
    <cellStyle name="Normal 19 15" xfId="12205" xr:uid="{7DD27C0E-B9B9-4A6D-85E3-B10BB02A97F8}"/>
    <cellStyle name="Normal 19 15 10" xfId="12206" xr:uid="{72B66BD1-888E-41BD-ACA2-9890CE5FA503}"/>
    <cellStyle name="Normal 19 15 11" xfId="12207" xr:uid="{B4685E94-CC1D-4C2F-8567-1DF7E1F664B4}"/>
    <cellStyle name="Normal 19 15 12" xfId="12208" xr:uid="{613184BD-CE5C-4EA3-BE33-5ACA317D7067}"/>
    <cellStyle name="Normal 19 15 13" xfId="12209" xr:uid="{EF90027C-B7AD-46B7-9BD1-114C84B62D71}"/>
    <cellStyle name="Normal 19 15 2" xfId="12210" xr:uid="{3B791BC6-BC91-43C4-8944-A77EED1FACAD}"/>
    <cellStyle name="Normal 19 15 2 2" xfId="12211" xr:uid="{477E57ED-1CF9-4FB2-924F-5545994BABAA}"/>
    <cellStyle name="Normal 19 15 2 3" xfId="12212" xr:uid="{C4A18726-9DD9-4EA2-85A2-E0769D5DA226}"/>
    <cellStyle name="Normal 19 15 2 4" xfId="12213" xr:uid="{8346AC4F-8CFD-4652-B3F2-3027CC99949D}"/>
    <cellStyle name="Normal 19 15 2 5" xfId="12214" xr:uid="{C628B3B1-2F6B-4A39-905F-1A3E95A628B7}"/>
    <cellStyle name="Normal 19 15 2 6" xfId="12215" xr:uid="{3A284295-85ED-4B1F-839F-7494159FF8B4}"/>
    <cellStyle name="Normal 19 15 3" xfId="12216" xr:uid="{F6AEE30F-A599-4FE9-B419-7D2D7A5A124F}"/>
    <cellStyle name="Normal 19 15 3 2" xfId="12217" xr:uid="{034A4661-0D8C-4583-BC91-76E431EDF72F}"/>
    <cellStyle name="Normal 19 15 3 3" xfId="12218" xr:uid="{B55918BC-3F32-45A6-B47C-328DBEB5FBDD}"/>
    <cellStyle name="Normal 19 15 3 4" xfId="12219" xr:uid="{240CFE81-DAE9-4A0C-BC10-5FDD011A3279}"/>
    <cellStyle name="Normal 19 15 3 5" xfId="12220" xr:uid="{30DE98C0-52D8-4E78-B306-D166481C9DA0}"/>
    <cellStyle name="Normal 19 15 3 6" xfId="12221" xr:uid="{56AD43AA-490C-4C4D-B26B-B1A2F3C92972}"/>
    <cellStyle name="Normal 19 15 4" xfId="12222" xr:uid="{B4480841-43E9-41EE-AF3D-51B40912A89D}"/>
    <cellStyle name="Normal 19 15 4 2" xfId="12223" xr:uid="{F620F65F-9940-414A-AB06-75DBE130B309}"/>
    <cellStyle name="Normal 19 15 4 3" xfId="12224" xr:uid="{17903192-2DE5-484C-9AF9-C1CFA7849F6B}"/>
    <cellStyle name="Normal 19 15 4 4" xfId="12225" xr:uid="{7B34D5F4-F3D9-42C2-841D-52639E23C00A}"/>
    <cellStyle name="Normal 19 15 4 5" xfId="12226" xr:uid="{9ED889FD-D3FB-4B68-B0CF-71C76E68D35B}"/>
    <cellStyle name="Normal 19 15 4 6" xfId="12227" xr:uid="{A6871C31-1A23-4668-87E6-EE14902C3ACE}"/>
    <cellStyle name="Normal 19 15 5" xfId="12228" xr:uid="{34E482E0-FF02-4BE1-B140-16359EF45C6F}"/>
    <cellStyle name="Normal 19 15 5 2" xfId="12229" xr:uid="{4E3C1170-03EC-4E3D-90BF-508954D24D5C}"/>
    <cellStyle name="Normal 19 15 5 3" xfId="12230" xr:uid="{7C530972-3587-4E97-9E03-EC7CA6205A81}"/>
    <cellStyle name="Normal 19 15 5 4" xfId="12231" xr:uid="{CFC80F58-43A5-4639-B765-1CED4F3F626E}"/>
    <cellStyle name="Normal 19 15 5 5" xfId="12232" xr:uid="{3298172F-8CE4-4F45-BD6F-29D8693C4E23}"/>
    <cellStyle name="Normal 19 15 5 6" xfId="12233" xr:uid="{4B60515F-6F44-4CE3-B3AD-C2AF6F9AD929}"/>
    <cellStyle name="Normal 19 15 6" xfId="12234" xr:uid="{49954B17-4840-48E6-BDB2-163B6AF67136}"/>
    <cellStyle name="Normal 19 15 6 2" xfId="12235" xr:uid="{2AF356A3-C71A-458F-90B0-3EA2C9081C35}"/>
    <cellStyle name="Normal 19 15 6 3" xfId="12236" xr:uid="{E2299827-2B76-4A79-8133-AA4FBBA0ADC3}"/>
    <cellStyle name="Normal 19 15 6 4" xfId="12237" xr:uid="{6E8E04A3-2624-47C7-BFCE-08CFDE82C630}"/>
    <cellStyle name="Normal 19 15 6 5" xfId="12238" xr:uid="{87DCAC7B-18F3-43B3-BAE8-52B9E8DFC1EB}"/>
    <cellStyle name="Normal 19 15 6 6" xfId="12239" xr:uid="{4CC7F22C-280E-4542-9B37-AF281A77C25C}"/>
    <cellStyle name="Normal 19 15 7" xfId="12240" xr:uid="{66AB76DB-FB41-4353-A8C7-F236BB07348B}"/>
    <cellStyle name="Normal 19 15 7 2" xfId="12241" xr:uid="{6C0C3B41-4176-4797-84E5-75D3744E9F48}"/>
    <cellStyle name="Normal 19 15 7 3" xfId="12242" xr:uid="{CE8BCD16-F937-406B-B08A-12A3AE263F30}"/>
    <cellStyle name="Normal 19 15 7 4" xfId="12243" xr:uid="{89DE796D-914D-4FAC-8154-E693C13A0738}"/>
    <cellStyle name="Normal 19 15 7 5" xfId="12244" xr:uid="{384FD952-146A-45AB-ADA2-189E9003A5B5}"/>
    <cellStyle name="Normal 19 15 7 6" xfId="12245" xr:uid="{7DF17618-7CD9-4D90-8B18-FAF5154A112F}"/>
    <cellStyle name="Normal 19 15 8" xfId="12246" xr:uid="{E606A1E7-4FC9-4BCF-AB15-E4D700BFC95A}"/>
    <cellStyle name="Normal 19 15 8 2" xfId="12247" xr:uid="{F07F603B-A13C-4680-8AB4-EBCF89829A4B}"/>
    <cellStyle name="Normal 19 15 8 3" xfId="12248" xr:uid="{B5D46EF0-79E0-4F1E-83C0-267D39515641}"/>
    <cellStyle name="Normal 19 15 8 4" xfId="12249" xr:uid="{76EE0D04-83C8-4AE5-8C51-2AD1735C5FCE}"/>
    <cellStyle name="Normal 19 15 8 5" xfId="12250" xr:uid="{BC4BF2CB-6CA5-4C9B-B064-E0B4D74E1245}"/>
    <cellStyle name="Normal 19 15 8 6" xfId="12251" xr:uid="{29AAAF2D-5BED-42BB-B93A-9BB13418FBB0}"/>
    <cellStyle name="Normal 19 15 9" xfId="12252" xr:uid="{0C113348-7696-4869-A24C-623A99A04556}"/>
    <cellStyle name="Normal 19 16" xfId="12253" xr:uid="{392D2B6C-C796-4127-A7C9-FD4FCBAE13D3}"/>
    <cellStyle name="Normal 19 16 10" xfId="12254" xr:uid="{6A65D223-34DE-4C82-A9CC-9AB85772D28F}"/>
    <cellStyle name="Normal 19 16 11" xfId="12255" xr:uid="{187D74AF-88E6-4452-A042-09913DD5B16F}"/>
    <cellStyle name="Normal 19 16 12" xfId="12256" xr:uid="{70567006-88A3-469C-9361-357D47367255}"/>
    <cellStyle name="Normal 19 16 13" xfId="12257" xr:uid="{F0A7F426-F274-4D53-9B98-E6070F8449B5}"/>
    <cellStyle name="Normal 19 16 2" xfId="12258" xr:uid="{82AFEE50-C4CE-4EB9-AD5D-720CCC876071}"/>
    <cellStyle name="Normal 19 16 2 2" xfId="12259" xr:uid="{9BE90897-89F4-4005-80DB-BECEF3625615}"/>
    <cellStyle name="Normal 19 16 2 3" xfId="12260" xr:uid="{36454F49-C2AD-4F35-8D31-BCECE6D84AED}"/>
    <cellStyle name="Normal 19 16 2 4" xfId="12261" xr:uid="{594E14BF-FCFB-4DE0-8778-502C7FABCF47}"/>
    <cellStyle name="Normal 19 16 2 5" xfId="12262" xr:uid="{96C7E404-54D1-4640-9E26-77CA2ACE007B}"/>
    <cellStyle name="Normal 19 16 2 6" xfId="12263" xr:uid="{BD0AA1D2-5209-48F1-8C2F-FF50DC2B87EA}"/>
    <cellStyle name="Normal 19 16 3" xfId="12264" xr:uid="{35C13179-80BF-4925-BF16-F86223BAC99C}"/>
    <cellStyle name="Normal 19 16 3 2" xfId="12265" xr:uid="{AC0727CA-32B5-4BF8-889D-BD2774E3E10B}"/>
    <cellStyle name="Normal 19 16 3 3" xfId="12266" xr:uid="{588C6056-A3EA-4A5A-B60A-2D450A1385A5}"/>
    <cellStyle name="Normal 19 16 3 4" xfId="12267" xr:uid="{0B314B4E-1C27-42E9-8494-6840F408A33B}"/>
    <cellStyle name="Normal 19 16 3 5" xfId="12268" xr:uid="{770BB218-CB89-484A-8A03-E89890B08A35}"/>
    <cellStyle name="Normal 19 16 3 6" xfId="12269" xr:uid="{EFECA5B9-041F-48EA-AF12-61BF176861E9}"/>
    <cellStyle name="Normal 19 16 4" xfId="12270" xr:uid="{E0EDDC28-4804-4866-9C33-1B19D2EBD4AD}"/>
    <cellStyle name="Normal 19 16 4 2" xfId="12271" xr:uid="{DE82023F-8657-421D-A119-BBA44826B59A}"/>
    <cellStyle name="Normal 19 16 4 3" xfId="12272" xr:uid="{4EBCB2B7-19BA-4431-B3CA-A45E884C7C07}"/>
    <cellStyle name="Normal 19 16 4 4" xfId="12273" xr:uid="{E290E69D-5031-41BE-8871-1B5145E97D32}"/>
    <cellStyle name="Normal 19 16 4 5" xfId="12274" xr:uid="{D55FA083-6404-47F0-A20D-BB711F7A2EFD}"/>
    <cellStyle name="Normal 19 16 4 6" xfId="12275" xr:uid="{FF80AC35-7B48-4365-840C-CA1136BF611E}"/>
    <cellStyle name="Normal 19 16 5" xfId="12276" xr:uid="{E8D1FB64-12F4-4591-8218-A330B77F4F61}"/>
    <cellStyle name="Normal 19 16 5 2" xfId="12277" xr:uid="{07CB5D88-4C9E-4C42-BFB1-158A041FF95A}"/>
    <cellStyle name="Normal 19 16 5 3" xfId="12278" xr:uid="{979665B0-B1CE-4422-82EC-40B74437D778}"/>
    <cellStyle name="Normal 19 16 5 4" xfId="12279" xr:uid="{87DC6B09-9E38-4C4F-BA5C-9644B18147CC}"/>
    <cellStyle name="Normal 19 16 5 5" xfId="12280" xr:uid="{2832EAE8-2C01-4F6F-9CAF-3ADC2CFF978A}"/>
    <cellStyle name="Normal 19 16 5 6" xfId="12281" xr:uid="{3723231A-CFB1-4FDF-9008-10F74E1CCA59}"/>
    <cellStyle name="Normal 19 16 6" xfId="12282" xr:uid="{34DC23D8-DEB0-4C68-8AE7-FD375FFEE8E7}"/>
    <cellStyle name="Normal 19 16 6 2" xfId="12283" xr:uid="{F4D0A6D3-E5CE-44DE-A11D-4B836C2F832D}"/>
    <cellStyle name="Normal 19 16 6 3" xfId="12284" xr:uid="{6D1FC16B-81C7-4BB6-AAEE-4129FC5F2B10}"/>
    <cellStyle name="Normal 19 16 6 4" xfId="12285" xr:uid="{74AC71BB-3BBA-4217-BB05-C13D6357EACD}"/>
    <cellStyle name="Normal 19 16 6 5" xfId="12286" xr:uid="{938A6A9C-DADD-4C74-B7CD-4F6336286F92}"/>
    <cellStyle name="Normal 19 16 6 6" xfId="12287" xr:uid="{0827AFD4-9039-4159-97AE-477D1E0B5912}"/>
    <cellStyle name="Normal 19 16 7" xfId="12288" xr:uid="{5930136C-3C5F-4D89-A270-0A9731AD0C55}"/>
    <cellStyle name="Normal 19 16 7 2" xfId="12289" xr:uid="{23A9BE67-5BCA-4E06-B655-BD66FD16BD2E}"/>
    <cellStyle name="Normal 19 16 7 3" xfId="12290" xr:uid="{FA9CBC40-6156-47D0-BDD0-81247A203533}"/>
    <cellStyle name="Normal 19 16 7 4" xfId="12291" xr:uid="{7F5D9D8D-1692-4023-930D-83ADD8BB33C1}"/>
    <cellStyle name="Normal 19 16 7 5" xfId="12292" xr:uid="{435C630A-2C9B-4B69-986D-6B524CF9616E}"/>
    <cellStyle name="Normal 19 16 7 6" xfId="12293" xr:uid="{954F6DB3-530E-434A-9E41-39FB692247AF}"/>
    <cellStyle name="Normal 19 16 8" xfId="12294" xr:uid="{72566CFF-3878-4B76-A4A2-7DC66B7F3D3F}"/>
    <cellStyle name="Normal 19 16 8 2" xfId="12295" xr:uid="{07593C13-8CFB-4A98-92D0-A2910C766DFE}"/>
    <cellStyle name="Normal 19 16 8 3" xfId="12296" xr:uid="{4C2C22A8-7BA6-4109-B6E3-C2EF0E41D520}"/>
    <cellStyle name="Normal 19 16 8 4" xfId="12297" xr:uid="{4FD0FF3F-B33D-45DF-871C-05A5399681FB}"/>
    <cellStyle name="Normal 19 16 8 5" xfId="12298" xr:uid="{CBDAEA78-D408-49FB-80D4-3A751DD98E5C}"/>
    <cellStyle name="Normal 19 16 8 6" xfId="12299" xr:uid="{52D8C595-411D-4EE0-A54A-B55B431D1B0E}"/>
    <cellStyle name="Normal 19 16 9" xfId="12300" xr:uid="{B923A414-40F9-48EA-B925-F7E2E3EF9765}"/>
    <cellStyle name="Normal 19 17" xfId="12301" xr:uid="{8708FFD0-EFEC-4E06-8EDD-F94ECEDAE70C}"/>
    <cellStyle name="Normal 19 17 10" xfId="12302" xr:uid="{713E0962-52F9-4742-8467-95842B56D776}"/>
    <cellStyle name="Normal 19 17 11" xfId="12303" xr:uid="{C65D23D8-7446-4610-B56F-C9A4824B2A7E}"/>
    <cellStyle name="Normal 19 17 12" xfId="12304" xr:uid="{10A9A77D-5048-4B97-812B-596EA562E81E}"/>
    <cellStyle name="Normal 19 17 13" xfId="12305" xr:uid="{ACE4377C-BB65-4826-93D8-57CCD63F98CE}"/>
    <cellStyle name="Normal 19 17 2" xfId="12306" xr:uid="{4A281594-A687-403B-A706-70D0E6D7C0A5}"/>
    <cellStyle name="Normal 19 17 2 2" xfId="12307" xr:uid="{9ABFA8A6-FE18-469F-B044-2FD2ACC5E5D3}"/>
    <cellStyle name="Normal 19 17 2 3" xfId="12308" xr:uid="{23C8E0EA-BA43-45FE-AF88-D97C704043C7}"/>
    <cellStyle name="Normal 19 17 2 4" xfId="12309" xr:uid="{12153248-43EE-4C35-9FDC-59E773F35D69}"/>
    <cellStyle name="Normal 19 17 2 5" xfId="12310" xr:uid="{3AC50EB0-59E0-4B66-ABF8-0038A5E9D2C1}"/>
    <cellStyle name="Normal 19 17 2 6" xfId="12311" xr:uid="{5706228D-EA75-41F8-8981-09B884B48D9E}"/>
    <cellStyle name="Normal 19 17 3" xfId="12312" xr:uid="{D5F73241-D957-4C43-B40E-7FB4B8511643}"/>
    <cellStyle name="Normal 19 17 3 2" xfId="12313" xr:uid="{3821442A-3ECF-4772-B632-37E34E3B8FEC}"/>
    <cellStyle name="Normal 19 17 3 3" xfId="12314" xr:uid="{5CC3851F-4229-4522-8A6C-AC82D7CE46C1}"/>
    <cellStyle name="Normal 19 17 3 4" xfId="12315" xr:uid="{AFB3740F-973A-44BE-A289-E6F465D7A01A}"/>
    <cellStyle name="Normal 19 17 3 5" xfId="12316" xr:uid="{6A5A7D16-1E1F-4CD6-84AB-16CCAFEF66B4}"/>
    <cellStyle name="Normal 19 17 3 6" xfId="12317" xr:uid="{E3CADB2B-D185-4926-9D97-A77949B907F4}"/>
    <cellStyle name="Normal 19 17 4" xfId="12318" xr:uid="{F3675F75-5787-4622-960E-DE58DC87F98B}"/>
    <cellStyle name="Normal 19 17 4 2" xfId="12319" xr:uid="{89D08B12-2437-4D82-B512-74ADD8B219DF}"/>
    <cellStyle name="Normal 19 17 4 3" xfId="12320" xr:uid="{257C6385-E5FD-49A9-9EED-A444D5CE2353}"/>
    <cellStyle name="Normal 19 17 4 4" xfId="12321" xr:uid="{86CE914B-DE0F-4FA2-93AB-B9FB437F104D}"/>
    <cellStyle name="Normal 19 17 4 5" xfId="12322" xr:uid="{9DE7543E-0833-4875-9783-82B8EFA68F4F}"/>
    <cellStyle name="Normal 19 17 4 6" xfId="12323" xr:uid="{754A4645-FDF8-45BF-9780-27B264C1D06E}"/>
    <cellStyle name="Normal 19 17 5" xfId="12324" xr:uid="{1DF778F6-EC35-45E9-8AFD-7A29F8542082}"/>
    <cellStyle name="Normal 19 17 5 2" xfId="12325" xr:uid="{C87FD42A-AA2E-48BA-AC1D-05F03FC1CFD9}"/>
    <cellStyle name="Normal 19 17 5 3" xfId="12326" xr:uid="{01ECFE1B-EECB-44E8-A197-75BF346EF440}"/>
    <cellStyle name="Normal 19 17 5 4" xfId="12327" xr:uid="{236D107B-D27C-45A7-8696-9C0119022EFC}"/>
    <cellStyle name="Normal 19 17 5 5" xfId="12328" xr:uid="{9B409A56-9492-4796-A26B-C9E45E536101}"/>
    <cellStyle name="Normal 19 17 5 6" xfId="12329" xr:uid="{1AADE2A8-E65C-413D-B681-A64BCC1EEA8C}"/>
    <cellStyle name="Normal 19 17 6" xfId="12330" xr:uid="{BB08775D-5F45-4EA7-A2E4-101305A169A5}"/>
    <cellStyle name="Normal 19 17 6 2" xfId="12331" xr:uid="{6E8AC8EF-736C-4F66-A649-1B691070EA18}"/>
    <cellStyle name="Normal 19 17 6 3" xfId="12332" xr:uid="{BB20DA36-BE7B-4740-863B-4AAAD7EB861F}"/>
    <cellStyle name="Normal 19 17 6 4" xfId="12333" xr:uid="{B8610A0A-A1B6-499D-9A54-3C24B76C2823}"/>
    <cellStyle name="Normal 19 17 6 5" xfId="12334" xr:uid="{5F2EDDD5-3558-446D-A35B-8887EA371676}"/>
    <cellStyle name="Normal 19 17 6 6" xfId="12335" xr:uid="{8F8B1D3D-EDA9-4965-8BEC-7679C4C49C22}"/>
    <cellStyle name="Normal 19 17 7" xfId="12336" xr:uid="{A578EC3C-0986-4EA8-8920-F5FF6B167D70}"/>
    <cellStyle name="Normal 19 17 7 2" xfId="12337" xr:uid="{229D7B29-0284-468E-9E3B-58C96F1AC557}"/>
    <cellStyle name="Normal 19 17 7 3" xfId="12338" xr:uid="{30CF27C6-13D6-4396-80F5-42EA13193F79}"/>
    <cellStyle name="Normal 19 17 7 4" xfId="12339" xr:uid="{871DB225-F328-4605-A212-56B81A365288}"/>
    <cellStyle name="Normal 19 17 7 5" xfId="12340" xr:uid="{C359C59E-BF3F-45B4-A4A2-1561D0DCEDC2}"/>
    <cellStyle name="Normal 19 17 7 6" xfId="12341" xr:uid="{1DECE1E7-9633-410C-AB74-B8FAD0C79F25}"/>
    <cellStyle name="Normal 19 17 8" xfId="12342" xr:uid="{B848C90D-ADE5-4224-982C-D7A2234D7999}"/>
    <cellStyle name="Normal 19 17 8 2" xfId="12343" xr:uid="{14A0931F-1BBA-4376-8F9F-3D35CBEA1091}"/>
    <cellStyle name="Normal 19 17 8 3" xfId="12344" xr:uid="{6998B89D-9CF4-404D-B55B-21C22CDDC8A3}"/>
    <cellStyle name="Normal 19 17 8 4" xfId="12345" xr:uid="{1BA79C71-189B-4138-83CE-44082BBCA1BC}"/>
    <cellStyle name="Normal 19 17 8 5" xfId="12346" xr:uid="{8B4A9489-C078-446E-BB48-9C49C61F32F8}"/>
    <cellStyle name="Normal 19 17 8 6" xfId="12347" xr:uid="{3CCF7241-FFD2-4758-9607-1384217F754B}"/>
    <cellStyle name="Normal 19 17 9" xfId="12348" xr:uid="{693C664D-8310-4C09-83E5-0B4566020883}"/>
    <cellStyle name="Normal 19 18" xfId="12349" xr:uid="{8611BB95-976E-4018-BF8A-AF75207E3134}"/>
    <cellStyle name="Normal 19 18 10" xfId="12350" xr:uid="{8271A0E7-CD98-491E-9AAF-8C367445201F}"/>
    <cellStyle name="Normal 19 18 11" xfId="12351" xr:uid="{8400D8D1-5139-4494-BC53-0EC384F546C8}"/>
    <cellStyle name="Normal 19 18 12" xfId="12352" xr:uid="{E7A8A873-7790-4F46-AE63-5636CA56D24E}"/>
    <cellStyle name="Normal 19 18 13" xfId="12353" xr:uid="{8060E737-D6CA-4EB1-A7D4-317D92C02E00}"/>
    <cellStyle name="Normal 19 18 2" xfId="12354" xr:uid="{4673C3CB-6CC3-4700-953B-B7695E7F45BA}"/>
    <cellStyle name="Normal 19 18 2 2" xfId="12355" xr:uid="{B2ECD3BB-DD2F-49E8-A765-536B40D6AA26}"/>
    <cellStyle name="Normal 19 18 2 3" xfId="12356" xr:uid="{5812DE34-B3B2-46D7-982A-50C993A85C21}"/>
    <cellStyle name="Normal 19 18 2 4" xfId="12357" xr:uid="{E20A223D-A685-4A07-83E0-2AD805D4D4FC}"/>
    <cellStyle name="Normal 19 18 2 5" xfId="12358" xr:uid="{1242C6B8-0499-47B8-82E2-14BD61376CB5}"/>
    <cellStyle name="Normal 19 18 2 6" xfId="12359" xr:uid="{48A3B7E3-4FC2-412F-AE20-2D1A3A6576E9}"/>
    <cellStyle name="Normal 19 18 3" xfId="12360" xr:uid="{1D0F9687-9E7E-4A9D-9AE4-A40A33AF3743}"/>
    <cellStyle name="Normal 19 18 3 2" xfId="12361" xr:uid="{81024A7D-D11D-49AB-B77D-ED19EB5155F3}"/>
    <cellStyle name="Normal 19 18 3 3" xfId="12362" xr:uid="{3D79EFEB-FD27-494C-AD71-CF9B5D42E03F}"/>
    <cellStyle name="Normal 19 18 3 4" xfId="12363" xr:uid="{F1215207-BF80-4D3E-92CA-7FC5156A6C2A}"/>
    <cellStyle name="Normal 19 18 3 5" xfId="12364" xr:uid="{CF70F398-1A64-4D46-8075-AF2998852D9D}"/>
    <cellStyle name="Normal 19 18 3 6" xfId="12365" xr:uid="{5C3BFB0E-19B9-4C5C-944B-FB4C2FD036FB}"/>
    <cellStyle name="Normal 19 18 4" xfId="12366" xr:uid="{05397376-9FF7-4227-B9B8-0D1CBBBC7C82}"/>
    <cellStyle name="Normal 19 18 4 2" xfId="12367" xr:uid="{18517141-9FD6-4C12-84AC-B139DE2B6203}"/>
    <cellStyle name="Normal 19 18 4 3" xfId="12368" xr:uid="{FEA4BE03-65DC-46F6-8338-4582112A6157}"/>
    <cellStyle name="Normal 19 18 4 4" xfId="12369" xr:uid="{DAE9571F-049A-470A-B81C-C4EE0B558B15}"/>
    <cellStyle name="Normal 19 18 4 5" xfId="12370" xr:uid="{64526330-1360-40D6-B9AD-8944C58025AC}"/>
    <cellStyle name="Normal 19 18 4 6" xfId="12371" xr:uid="{C3CAC05F-3976-4F97-976E-EA0C4EE6891F}"/>
    <cellStyle name="Normal 19 18 5" xfId="12372" xr:uid="{815DFAEF-710E-43A9-9CE7-E8F7AE801397}"/>
    <cellStyle name="Normal 19 18 5 2" xfId="12373" xr:uid="{B56F85C1-6694-40F9-BF49-D308FB254761}"/>
    <cellStyle name="Normal 19 18 5 3" xfId="12374" xr:uid="{6B5F0833-6A19-4FBE-9C66-3DC9E3B23483}"/>
    <cellStyle name="Normal 19 18 5 4" xfId="12375" xr:uid="{446E05AB-E9C3-4040-96E4-2C8ACE81C9AD}"/>
    <cellStyle name="Normal 19 18 5 5" xfId="12376" xr:uid="{9FA9EF78-E251-441D-9E4C-43E91C96B0EF}"/>
    <cellStyle name="Normal 19 18 5 6" xfId="12377" xr:uid="{5E70AEB9-E486-41D9-8A3B-55D313E2453B}"/>
    <cellStyle name="Normal 19 18 6" xfId="12378" xr:uid="{C5AF2B33-636B-4C11-9CAF-8AC3E265FB6B}"/>
    <cellStyle name="Normal 19 18 6 2" xfId="12379" xr:uid="{2DA44F27-BAFD-4640-9EC1-E8137106C453}"/>
    <cellStyle name="Normal 19 18 6 3" xfId="12380" xr:uid="{77DDDE28-F0D5-4B76-AB42-5E505A1FD942}"/>
    <cellStyle name="Normal 19 18 6 4" xfId="12381" xr:uid="{6955F0D9-03A2-4D5D-9651-411ED904ADD8}"/>
    <cellStyle name="Normal 19 18 6 5" xfId="12382" xr:uid="{50F963FD-BD53-4189-BA59-3CA71402B4D1}"/>
    <cellStyle name="Normal 19 18 6 6" xfId="12383" xr:uid="{6112B29E-5A3B-48FA-BD0F-46C04A43EA60}"/>
    <cellStyle name="Normal 19 18 7" xfId="12384" xr:uid="{F0B0335B-377F-47BB-A027-EDDBA6B891AF}"/>
    <cellStyle name="Normal 19 18 7 2" xfId="12385" xr:uid="{9A7A7C37-27D3-4D5B-839E-B1C3E0932372}"/>
    <cellStyle name="Normal 19 18 7 3" xfId="12386" xr:uid="{09263095-CE26-49DD-82C0-8E7A666D3A73}"/>
    <cellStyle name="Normal 19 18 7 4" xfId="12387" xr:uid="{E8F9F7B7-281D-4A22-9080-8F1B70272BBE}"/>
    <cellStyle name="Normal 19 18 7 5" xfId="12388" xr:uid="{3A142F3E-6F7A-4CFF-88F0-A8BCD3A6FD7A}"/>
    <cellStyle name="Normal 19 18 7 6" xfId="12389" xr:uid="{C7A5BDAC-995B-4883-B8F1-84C075679BD2}"/>
    <cellStyle name="Normal 19 18 8" xfId="12390" xr:uid="{3CD69DFF-0017-4526-AC4C-4D8B0FE8AD80}"/>
    <cellStyle name="Normal 19 18 8 2" xfId="12391" xr:uid="{239D266C-4301-4DCB-BE04-906B508C500F}"/>
    <cellStyle name="Normal 19 18 8 3" xfId="12392" xr:uid="{90473E48-8398-4079-86E1-B4A2EC45A7BA}"/>
    <cellStyle name="Normal 19 18 8 4" xfId="12393" xr:uid="{C42E2932-D29E-4421-83CE-D0375C777947}"/>
    <cellStyle name="Normal 19 18 8 5" xfId="12394" xr:uid="{BFDDA033-98AB-4713-A2B7-6596861B02DB}"/>
    <cellStyle name="Normal 19 18 8 6" xfId="12395" xr:uid="{FEEE6E8A-51F4-485A-82AA-DFFDE14ED514}"/>
    <cellStyle name="Normal 19 18 9" xfId="12396" xr:uid="{C1503335-CFA8-4344-86E5-E88EBF252413}"/>
    <cellStyle name="Normal 19 19" xfId="12397" xr:uid="{A309E225-D593-491B-86D7-275D47CD4492}"/>
    <cellStyle name="Normal 19 19 10" xfId="12398" xr:uid="{6CB7C192-D3BF-4E0E-8C9F-904EC9344837}"/>
    <cellStyle name="Normal 19 19 11" xfId="12399" xr:uid="{CDC433CD-131C-4C8B-A73A-4A6F073B0A71}"/>
    <cellStyle name="Normal 19 19 12" xfId="12400" xr:uid="{79068EA9-CA0A-46D7-8951-B8306FCBE927}"/>
    <cellStyle name="Normal 19 19 13" xfId="12401" xr:uid="{EF17E5B1-2180-414C-9F84-E254AB88E209}"/>
    <cellStyle name="Normal 19 19 2" xfId="12402" xr:uid="{7A5EC7D0-E74F-4BAC-90A4-E1F1DD530D55}"/>
    <cellStyle name="Normal 19 19 2 2" xfId="12403" xr:uid="{631165CF-8509-41EC-AEBA-5AF5A23F755D}"/>
    <cellStyle name="Normal 19 19 2 3" xfId="12404" xr:uid="{4AFDA472-A698-46AF-B898-6B695A2F3FB0}"/>
    <cellStyle name="Normal 19 19 2 4" xfId="12405" xr:uid="{1E361563-DF90-4D62-899B-9E5D10374A6B}"/>
    <cellStyle name="Normal 19 19 2 5" xfId="12406" xr:uid="{0CC0E24E-F3B7-4913-9F82-DF0510152B38}"/>
    <cellStyle name="Normal 19 19 2 6" xfId="12407" xr:uid="{BFA46CC7-3811-4E4D-8686-5AE346BA0B35}"/>
    <cellStyle name="Normal 19 19 3" xfId="12408" xr:uid="{F8669C0D-6B3B-4692-84F7-28F08DAD9697}"/>
    <cellStyle name="Normal 19 19 3 2" xfId="12409" xr:uid="{3962F3DD-37DD-413C-A044-1FB54C863F4A}"/>
    <cellStyle name="Normal 19 19 3 3" xfId="12410" xr:uid="{7D6A2688-037C-4CC3-8B20-EE1BA1472141}"/>
    <cellStyle name="Normal 19 19 3 4" xfId="12411" xr:uid="{EB329CA0-EEA5-432D-989A-4887427A2A2B}"/>
    <cellStyle name="Normal 19 19 3 5" xfId="12412" xr:uid="{484AD4D7-D0C7-4499-9AB7-5DECB9E2DAB1}"/>
    <cellStyle name="Normal 19 19 3 6" xfId="12413" xr:uid="{A9EE1B15-CB08-4617-9962-7EAA12800E15}"/>
    <cellStyle name="Normal 19 19 4" xfId="12414" xr:uid="{94BBABFF-6C58-4BB6-9B47-105D85FC6020}"/>
    <cellStyle name="Normal 19 19 4 2" xfId="12415" xr:uid="{0BCC5FC2-DF71-4199-ACA1-F095A6B6CEF1}"/>
    <cellStyle name="Normal 19 19 4 3" xfId="12416" xr:uid="{89BA8397-74AD-410D-859F-B16D2E6651B9}"/>
    <cellStyle name="Normal 19 19 4 4" xfId="12417" xr:uid="{EB93117B-B340-4F56-A547-BF09C52402A7}"/>
    <cellStyle name="Normal 19 19 4 5" xfId="12418" xr:uid="{B732C4A9-E498-49B5-9DA0-CD9090C4B544}"/>
    <cellStyle name="Normal 19 19 4 6" xfId="12419" xr:uid="{2992A9EF-95B5-480D-AE37-613527C1088F}"/>
    <cellStyle name="Normal 19 19 5" xfId="12420" xr:uid="{A4505196-A90A-486C-A0EB-74605BBC25C9}"/>
    <cellStyle name="Normal 19 19 5 2" xfId="12421" xr:uid="{A571617F-C252-4409-87BC-17CB206CC7A9}"/>
    <cellStyle name="Normal 19 19 5 3" xfId="12422" xr:uid="{504C7CFD-B1DF-45C1-94FE-4CEC9C8FD99B}"/>
    <cellStyle name="Normal 19 19 5 4" xfId="12423" xr:uid="{85B174C2-FF67-4F24-93A3-65EBCD0F05C9}"/>
    <cellStyle name="Normal 19 19 5 5" xfId="12424" xr:uid="{74E786FC-3E83-4422-9ECB-246AA106B154}"/>
    <cellStyle name="Normal 19 19 5 6" xfId="12425" xr:uid="{5584843D-619B-422D-8D19-259057794CE5}"/>
    <cellStyle name="Normal 19 19 6" xfId="12426" xr:uid="{70C878CA-CEBB-4F19-8651-858EE9A16EEB}"/>
    <cellStyle name="Normal 19 19 6 2" xfId="12427" xr:uid="{04A95358-6D0A-4D63-A0D8-0B29B71CC316}"/>
    <cellStyle name="Normal 19 19 6 3" xfId="12428" xr:uid="{790A14CF-9B77-406D-953B-8DCBD5729DEE}"/>
    <cellStyle name="Normal 19 19 6 4" xfId="12429" xr:uid="{45C598D1-1067-401B-85D3-BE8A76741017}"/>
    <cellStyle name="Normal 19 19 6 5" xfId="12430" xr:uid="{9F30E023-E8D2-48CF-BC31-3CF8A548FF1A}"/>
    <cellStyle name="Normal 19 19 6 6" xfId="12431" xr:uid="{C561B6BB-D085-47D6-913E-79C3E3861F40}"/>
    <cellStyle name="Normal 19 19 7" xfId="12432" xr:uid="{BB385B8A-EE99-427D-8D7D-B66B7053FD4F}"/>
    <cellStyle name="Normal 19 19 7 2" xfId="12433" xr:uid="{B4080BF3-C137-485A-A668-2A32E66DA3DB}"/>
    <cellStyle name="Normal 19 19 7 3" xfId="12434" xr:uid="{B064D5CF-EFBA-40AC-A960-963ADD58F2F8}"/>
    <cellStyle name="Normal 19 19 7 4" xfId="12435" xr:uid="{B9C4FD3B-34CE-4B71-AA27-679BA016EA30}"/>
    <cellStyle name="Normal 19 19 7 5" xfId="12436" xr:uid="{338B85E0-2C47-43EA-959C-8523A8687D0E}"/>
    <cellStyle name="Normal 19 19 7 6" xfId="12437" xr:uid="{8DEB6FA7-12C5-45D1-B20D-74A21BE32D1F}"/>
    <cellStyle name="Normal 19 19 8" xfId="12438" xr:uid="{6D2CB869-7D41-4F96-A65C-8BE49D5EF4C3}"/>
    <cellStyle name="Normal 19 19 8 2" xfId="12439" xr:uid="{9F22FF29-759B-4002-A992-C6A2419425BE}"/>
    <cellStyle name="Normal 19 19 8 3" xfId="12440" xr:uid="{02402556-E00F-440C-9582-3944E2A5653A}"/>
    <cellStyle name="Normal 19 19 8 4" xfId="12441" xr:uid="{73EF11F4-DE7B-4FB7-8679-0166FE8AE583}"/>
    <cellStyle name="Normal 19 19 8 5" xfId="12442" xr:uid="{8C902A99-71B1-436A-90B6-B1B9B569A8C9}"/>
    <cellStyle name="Normal 19 19 8 6" xfId="12443" xr:uid="{3DE556B0-D1B1-4C1D-BBF3-DFD8F879B6E5}"/>
    <cellStyle name="Normal 19 19 9" xfId="12444" xr:uid="{DBADF44F-E942-44FA-9633-2E27725EBAA9}"/>
    <cellStyle name="Normal 19 2" xfId="12445" xr:uid="{F4DC8415-493A-4DAC-B664-B4C341EFDA92}"/>
    <cellStyle name="Normal 19 2 10" xfId="12446" xr:uid="{D8B7C271-C703-4956-AC54-0BCBBF55AEBD}"/>
    <cellStyle name="Normal 19 2 11" xfId="12447" xr:uid="{A052719D-2530-4077-921D-824859102180}"/>
    <cellStyle name="Normal 19 2 12" xfId="12448" xr:uid="{9807F628-4545-436E-8AB2-F2EA6E5A11C7}"/>
    <cellStyle name="Normal 19 2 13" xfId="12449" xr:uid="{2C4BA0FC-6E8D-4A1C-BF95-26D054202257}"/>
    <cellStyle name="Normal 19 2 14" xfId="42566" xr:uid="{8A50E76C-2DFF-4AE2-A425-5AC27E90AA6D}"/>
    <cellStyle name="Normal 19 2 14 2" xfId="43582" xr:uid="{28CEB88C-9D03-4786-9BCA-7A4DADA0B473}"/>
    <cellStyle name="Normal 19 2 2" xfId="12450" xr:uid="{0118E43F-1DFC-4193-9815-71265D83BFA5}"/>
    <cellStyle name="Normal 19 2 2 2" xfId="12451" xr:uid="{05AC84C3-6A4F-435D-A67C-C97F580A4939}"/>
    <cellStyle name="Normal 19 2 2 3" xfId="12452" xr:uid="{D9695499-A0E7-4551-94D1-AACF10437098}"/>
    <cellStyle name="Normal 19 2 2 4" xfId="12453" xr:uid="{65CE0BAE-D50B-4DC0-92EF-92BB6DEAE09E}"/>
    <cellStyle name="Normal 19 2 2 5" xfId="12454" xr:uid="{6D23E465-F001-4B8B-8C9D-2E5F6CEC5530}"/>
    <cellStyle name="Normal 19 2 2 6" xfId="12455" xr:uid="{3E9F368A-8587-424C-9CE3-7D068162AB1C}"/>
    <cellStyle name="Normal 19 2 3" xfId="12456" xr:uid="{1FC2745B-5C99-46E4-AEF1-5E24987358EC}"/>
    <cellStyle name="Normal 19 2 3 2" xfId="12457" xr:uid="{53C15CD7-2A5F-451C-9D89-24EA9C40C74A}"/>
    <cellStyle name="Normal 19 2 3 3" xfId="12458" xr:uid="{E915EAC1-D66D-491D-8911-B8966F7B5C3C}"/>
    <cellStyle name="Normal 19 2 3 4" xfId="12459" xr:uid="{34007111-662C-419C-A562-587943B4AF51}"/>
    <cellStyle name="Normal 19 2 3 5" xfId="12460" xr:uid="{19FCE869-09F2-4574-A988-39743B6F1D3B}"/>
    <cellStyle name="Normal 19 2 3 6" xfId="12461" xr:uid="{46CA0763-86CC-410C-B804-F6E860AD274A}"/>
    <cellStyle name="Normal 19 2 4" xfId="12462" xr:uid="{EB1F78A5-3660-4F6C-ADA5-39ED413C3F4E}"/>
    <cellStyle name="Normal 19 2 4 2" xfId="12463" xr:uid="{8E192490-7A61-4134-A549-97C965B935B1}"/>
    <cellStyle name="Normal 19 2 4 3" xfId="12464" xr:uid="{3700E704-37DD-4B9F-9D34-C2D872ECAC91}"/>
    <cellStyle name="Normal 19 2 4 4" xfId="12465" xr:uid="{E7B55708-5780-46A7-9A36-11AF93F11DA5}"/>
    <cellStyle name="Normal 19 2 4 5" xfId="12466" xr:uid="{098C0C43-DAB0-44A5-B9C7-A3FC1E028CD9}"/>
    <cellStyle name="Normal 19 2 4 6" xfId="12467" xr:uid="{D2A56A45-8152-4782-9B04-5D160C93867A}"/>
    <cellStyle name="Normal 19 2 5" xfId="12468" xr:uid="{114C0760-1457-4EA5-94F9-1645A47FF5DB}"/>
    <cellStyle name="Normal 19 2 5 2" xfId="12469" xr:uid="{374A737C-E3F5-41F5-ABFF-D3B49CFBFFD1}"/>
    <cellStyle name="Normal 19 2 5 3" xfId="12470" xr:uid="{4AE32655-6E3F-46DD-80B8-1B3A1E7954E5}"/>
    <cellStyle name="Normal 19 2 5 4" xfId="12471" xr:uid="{C467A893-0572-42C8-AD95-CA84CD74292F}"/>
    <cellStyle name="Normal 19 2 5 5" xfId="12472" xr:uid="{C30A13BE-5EF3-41D2-9E98-90F22EFB30C1}"/>
    <cellStyle name="Normal 19 2 5 6" xfId="12473" xr:uid="{23B3506A-11B8-4CDB-86B9-8FA0FE6F7BD2}"/>
    <cellStyle name="Normal 19 2 6" xfId="12474" xr:uid="{8F54B428-3B91-412E-9F17-B9AB39719602}"/>
    <cellStyle name="Normal 19 2 6 2" xfId="12475" xr:uid="{2D704A5E-E1E6-48DD-9E81-445409016691}"/>
    <cellStyle name="Normal 19 2 6 3" xfId="12476" xr:uid="{9315D097-1FC5-4A1B-A28E-FAE319D9D1CC}"/>
    <cellStyle name="Normal 19 2 6 4" xfId="12477" xr:uid="{D96FB9F3-5925-4DE8-AE56-9020962AE66A}"/>
    <cellStyle name="Normal 19 2 6 5" xfId="12478" xr:uid="{A35361E1-6807-4658-9E08-5F6A7CB92607}"/>
    <cellStyle name="Normal 19 2 6 6" xfId="12479" xr:uid="{3C132483-2ED8-48F3-B957-BA54A1755655}"/>
    <cellStyle name="Normal 19 2 7" xfId="12480" xr:uid="{070FDDD2-F190-41A1-BEE6-990784B5250A}"/>
    <cellStyle name="Normal 19 2 7 2" xfId="12481" xr:uid="{1E49677F-0D36-426C-806D-BD488087E385}"/>
    <cellStyle name="Normal 19 2 7 3" xfId="12482" xr:uid="{33CBBF2D-4E85-4C97-BD7E-45AE6B5157A9}"/>
    <cellStyle name="Normal 19 2 7 4" xfId="12483" xr:uid="{5AF79CD4-D52B-4A66-9DA8-6D727B15A0B3}"/>
    <cellStyle name="Normal 19 2 7 5" xfId="12484" xr:uid="{878D86D1-C108-455B-AA09-223C0C9B334E}"/>
    <cellStyle name="Normal 19 2 7 6" xfId="12485" xr:uid="{9F1D1BA5-0190-4792-A775-ECEE7259C5D0}"/>
    <cellStyle name="Normal 19 2 8" xfId="12486" xr:uid="{403D8846-2C3C-43B0-B275-FCE6544F0B99}"/>
    <cellStyle name="Normal 19 2 8 2" xfId="12487" xr:uid="{35B114AD-56A1-408C-9686-69D0B0F3EBEE}"/>
    <cellStyle name="Normal 19 2 8 3" xfId="12488" xr:uid="{9B872727-659C-49CF-B566-329D375AF1CB}"/>
    <cellStyle name="Normal 19 2 8 4" xfId="12489" xr:uid="{EC80A8D1-3D43-4302-8660-E2CC6B7BD254}"/>
    <cellStyle name="Normal 19 2 8 5" xfId="12490" xr:uid="{2631FE2F-9DC9-4FCA-A80B-DACB492E823E}"/>
    <cellStyle name="Normal 19 2 8 6" xfId="12491" xr:uid="{2D23D930-30F0-49A9-9B1F-2F8C6BDC4EB8}"/>
    <cellStyle name="Normal 19 2 9" xfId="12492" xr:uid="{23C79C65-5E9B-4073-AC2C-29BE2980AE69}"/>
    <cellStyle name="Normal 19 20" xfId="12493" xr:uid="{0276A2C4-03D3-4D51-8C58-FCBB7EFFE0CF}"/>
    <cellStyle name="Normal 19 20 10" xfId="12494" xr:uid="{D969270C-BDA1-40F6-97F7-999AD2D540D2}"/>
    <cellStyle name="Normal 19 20 11" xfId="12495" xr:uid="{BB5F9A51-5224-445B-AC73-4167B3424AC6}"/>
    <cellStyle name="Normal 19 20 12" xfId="12496" xr:uid="{E36518C5-A428-4307-B41D-6C71F8C6C653}"/>
    <cellStyle name="Normal 19 20 13" xfId="12497" xr:uid="{688C567E-0A77-4A73-BAD3-51EC8F05616E}"/>
    <cellStyle name="Normal 19 20 2" xfId="12498" xr:uid="{2400871E-AB2B-456B-B583-E726F9AEA271}"/>
    <cellStyle name="Normal 19 20 2 2" xfId="12499" xr:uid="{D9014794-0F53-44A6-A1C5-88312A161573}"/>
    <cellStyle name="Normal 19 20 2 3" xfId="12500" xr:uid="{34B6D1D1-1CB2-47DE-9E0C-E3717F4F9CE6}"/>
    <cellStyle name="Normal 19 20 2 4" xfId="12501" xr:uid="{1E7F1B88-8C6F-401D-91BF-47347909D973}"/>
    <cellStyle name="Normal 19 20 2 5" xfId="12502" xr:uid="{5F05555D-C65B-4970-B02C-FF63CE73176B}"/>
    <cellStyle name="Normal 19 20 2 6" xfId="12503" xr:uid="{50F2F07B-7EB7-464B-AA54-E3662D63EE08}"/>
    <cellStyle name="Normal 19 20 3" xfId="12504" xr:uid="{3408294E-F6DB-4724-94B7-51C0C73C9E04}"/>
    <cellStyle name="Normal 19 20 3 2" xfId="12505" xr:uid="{0AF5D759-663C-4301-A376-56E802D45153}"/>
    <cellStyle name="Normal 19 20 3 3" xfId="12506" xr:uid="{8BCD9ACA-B061-4600-B1E1-CC278A21AD70}"/>
    <cellStyle name="Normal 19 20 3 4" xfId="12507" xr:uid="{38E4090C-23DF-4601-90B3-3DE06B80EEE5}"/>
    <cellStyle name="Normal 19 20 3 5" xfId="12508" xr:uid="{08389ECB-848A-4E26-A192-7699ADA88A0F}"/>
    <cellStyle name="Normal 19 20 3 6" xfId="12509" xr:uid="{7690090C-4E5B-463D-BF16-60CD08ACF287}"/>
    <cellStyle name="Normal 19 20 4" xfId="12510" xr:uid="{82D23D71-EDB4-43F7-93F5-CCB12D961A54}"/>
    <cellStyle name="Normal 19 20 4 2" xfId="12511" xr:uid="{6315E26C-7118-44BE-ADED-EB2F72698999}"/>
    <cellStyle name="Normal 19 20 4 3" xfId="12512" xr:uid="{F28867A8-C349-403A-BB3C-A42B9A9F5C0D}"/>
    <cellStyle name="Normal 19 20 4 4" xfId="12513" xr:uid="{9A2E04B0-BA39-4705-B2C8-F1592B66C6BA}"/>
    <cellStyle name="Normal 19 20 4 5" xfId="12514" xr:uid="{9F8D860B-A251-48B2-90A7-3ADCE440DD5F}"/>
    <cellStyle name="Normal 19 20 4 6" xfId="12515" xr:uid="{E1037F44-18D8-4374-9482-3E893E178768}"/>
    <cellStyle name="Normal 19 20 5" xfId="12516" xr:uid="{F296557F-F859-43E1-B17F-F258EBF08222}"/>
    <cellStyle name="Normal 19 20 5 2" xfId="12517" xr:uid="{2113DA50-683B-4129-9E23-8294A9537DF2}"/>
    <cellStyle name="Normal 19 20 5 3" xfId="12518" xr:uid="{47621479-11DF-48A1-AD13-254260E634AD}"/>
    <cellStyle name="Normal 19 20 5 4" xfId="12519" xr:uid="{F9220734-1BA5-4C2F-9DF3-DFA5A00791F7}"/>
    <cellStyle name="Normal 19 20 5 5" xfId="12520" xr:uid="{326D7B1D-EA62-4DD9-A9C7-C8B0753D5090}"/>
    <cellStyle name="Normal 19 20 5 6" xfId="12521" xr:uid="{F0DC4FFB-3D7D-4446-8A41-84D0B8754BF7}"/>
    <cellStyle name="Normal 19 20 6" xfId="12522" xr:uid="{7B3EB6BC-8411-42AC-852A-A52474A3DF99}"/>
    <cellStyle name="Normal 19 20 6 2" xfId="12523" xr:uid="{C2EC3E40-84AF-4F65-8C57-B10C4E07AAA3}"/>
    <cellStyle name="Normal 19 20 6 3" xfId="12524" xr:uid="{729D1E59-753B-4AD0-9707-CF2746D63564}"/>
    <cellStyle name="Normal 19 20 6 4" xfId="12525" xr:uid="{CD0B59FD-67F8-47D3-941D-A39DF97124EE}"/>
    <cellStyle name="Normal 19 20 6 5" xfId="12526" xr:uid="{3A9BD0E7-5CA2-4CB6-9BD2-170E3DAE07AD}"/>
    <cellStyle name="Normal 19 20 6 6" xfId="12527" xr:uid="{EDE9FEA0-3E6E-4BD9-A0E1-3DEE7CE6D440}"/>
    <cellStyle name="Normal 19 20 7" xfId="12528" xr:uid="{6289B493-F1A6-4808-AC8F-7916564028C8}"/>
    <cellStyle name="Normal 19 20 7 2" xfId="12529" xr:uid="{047D7B85-172B-4BA3-9827-2EF91C98AA83}"/>
    <cellStyle name="Normal 19 20 7 3" xfId="12530" xr:uid="{E6AD1B8B-5ACF-4EFE-A148-B9181490CBFD}"/>
    <cellStyle name="Normal 19 20 7 4" xfId="12531" xr:uid="{3B898D80-3198-4E60-A897-6AFB58E17D34}"/>
    <cellStyle name="Normal 19 20 7 5" xfId="12532" xr:uid="{DA69A2E9-D20A-42E5-A559-7D9F66310625}"/>
    <cellStyle name="Normal 19 20 7 6" xfId="12533" xr:uid="{DB443FF7-90F5-40CD-B044-A9E89E575BD5}"/>
    <cellStyle name="Normal 19 20 8" xfId="12534" xr:uid="{5BF13FD2-29CF-478B-A8A6-6C90197595F8}"/>
    <cellStyle name="Normal 19 20 8 2" xfId="12535" xr:uid="{56AEB4B4-DCEF-45CE-A479-5CD5AC01E9AD}"/>
    <cellStyle name="Normal 19 20 8 3" xfId="12536" xr:uid="{FE5F3025-1F2F-4C2F-9307-40BBEB0869FC}"/>
    <cellStyle name="Normal 19 20 8 4" xfId="12537" xr:uid="{BFE192C8-54D0-405E-AACC-6F7E824A1B40}"/>
    <cellStyle name="Normal 19 20 8 5" xfId="12538" xr:uid="{C8390B72-A0FC-4767-8FEF-612623D71439}"/>
    <cellStyle name="Normal 19 20 8 6" xfId="12539" xr:uid="{531C3A0D-7125-436A-B505-EB85FA4977D5}"/>
    <cellStyle name="Normal 19 20 9" xfId="12540" xr:uid="{0DB28168-FF7C-4083-BBF5-92D2D460B8B8}"/>
    <cellStyle name="Normal 19 21" xfId="12541" xr:uid="{791326DD-8BC5-436E-97FC-3472161E4849}"/>
    <cellStyle name="Normal 19 21 10" xfId="12542" xr:uid="{E44D6C2D-7F47-4DEF-96B2-EF3603B06743}"/>
    <cellStyle name="Normal 19 21 11" xfId="12543" xr:uid="{AC1DDA4B-1D51-44A1-995C-86ACBC212FE9}"/>
    <cellStyle name="Normal 19 21 12" xfId="12544" xr:uid="{78548BE4-6C5B-46DB-803D-8DA8FE7FB237}"/>
    <cellStyle name="Normal 19 21 13" xfId="12545" xr:uid="{83A62005-CC7D-4A5D-BED9-229A91C3CA90}"/>
    <cellStyle name="Normal 19 21 2" xfId="12546" xr:uid="{0DA1416B-DCCE-4E4B-B729-DBD2B49D453E}"/>
    <cellStyle name="Normal 19 21 2 2" xfId="12547" xr:uid="{6A81575A-0820-4157-8EBC-7E1A06E38F8D}"/>
    <cellStyle name="Normal 19 21 2 3" xfId="12548" xr:uid="{98D7AAEF-DCC9-4A25-86B8-0F5A2D0EA481}"/>
    <cellStyle name="Normal 19 21 2 4" xfId="12549" xr:uid="{E52098F6-C76C-4517-8E7B-02DD19EADA09}"/>
    <cellStyle name="Normal 19 21 2 5" xfId="12550" xr:uid="{27196787-5F7B-4161-A41F-D359E5082EFB}"/>
    <cellStyle name="Normal 19 21 2 6" xfId="12551" xr:uid="{95D07261-5CE6-458F-A5C5-CC247F608CF0}"/>
    <cellStyle name="Normal 19 21 3" xfId="12552" xr:uid="{CD65357B-66FC-4887-9D12-C13F4F1992F2}"/>
    <cellStyle name="Normal 19 21 3 2" xfId="12553" xr:uid="{5B91B83B-854D-448E-804F-882379ECEE35}"/>
    <cellStyle name="Normal 19 21 3 3" xfId="12554" xr:uid="{43ED93AE-0D76-44A9-8AF1-58BA34448B31}"/>
    <cellStyle name="Normal 19 21 3 4" xfId="12555" xr:uid="{1CE48A22-8F55-4CD6-8857-CF974C431F24}"/>
    <cellStyle name="Normal 19 21 3 5" xfId="12556" xr:uid="{F26F35AD-4989-48EB-B757-BF54C30D4A69}"/>
    <cellStyle name="Normal 19 21 3 6" xfId="12557" xr:uid="{7151D9F5-044B-4A8E-8B91-B372C2FC63FC}"/>
    <cellStyle name="Normal 19 21 4" xfId="12558" xr:uid="{1E74A145-FA9B-4F9F-8C4D-4B5F792E7C4B}"/>
    <cellStyle name="Normal 19 21 4 2" xfId="12559" xr:uid="{0AE488D7-7615-479A-AD83-0B1679830F8C}"/>
    <cellStyle name="Normal 19 21 4 3" xfId="12560" xr:uid="{6FEC0641-990C-440F-9102-A648FD186E3A}"/>
    <cellStyle name="Normal 19 21 4 4" xfId="12561" xr:uid="{D401D91F-114D-4B9A-81EC-90E4F13BC4F7}"/>
    <cellStyle name="Normal 19 21 4 5" xfId="12562" xr:uid="{45F4B671-00CF-4D8B-9598-93977C6AE543}"/>
    <cellStyle name="Normal 19 21 4 6" xfId="12563" xr:uid="{C06AF9FB-EC93-48AD-AF93-69512A9A7A67}"/>
    <cellStyle name="Normal 19 21 5" xfId="12564" xr:uid="{1C6B27C1-C450-4F65-AEF1-E8277525A2FE}"/>
    <cellStyle name="Normal 19 21 5 2" xfId="12565" xr:uid="{30D54207-EBC7-4BAF-9571-1CC45762CE25}"/>
    <cellStyle name="Normal 19 21 5 3" xfId="12566" xr:uid="{4D0E7AD0-62DD-4EF2-975C-F54ED228B1BF}"/>
    <cellStyle name="Normal 19 21 5 4" xfId="12567" xr:uid="{BA567781-4D74-46F5-95B2-B629A586E1C3}"/>
    <cellStyle name="Normal 19 21 5 5" xfId="12568" xr:uid="{BC723B76-0D99-4ACB-92A2-5CEAB6943295}"/>
    <cellStyle name="Normal 19 21 5 6" xfId="12569" xr:uid="{F0398DD2-3F2F-4A95-B243-737C562BA925}"/>
    <cellStyle name="Normal 19 21 6" xfId="12570" xr:uid="{78433376-F4C0-4DE6-863C-157048FB2828}"/>
    <cellStyle name="Normal 19 21 6 2" xfId="12571" xr:uid="{0BCB7EE9-C505-4A1A-B19E-070441FFD442}"/>
    <cellStyle name="Normal 19 21 6 3" xfId="12572" xr:uid="{1C919547-115B-4518-BF2F-C6F0E5643D06}"/>
    <cellStyle name="Normal 19 21 6 4" xfId="12573" xr:uid="{7269831E-8639-418E-8589-537F56D23E97}"/>
    <cellStyle name="Normal 19 21 6 5" xfId="12574" xr:uid="{29D28A7F-1CB7-42CC-86AD-0A86BA163524}"/>
    <cellStyle name="Normal 19 21 6 6" xfId="12575" xr:uid="{ADAB19A6-1C26-41C7-BB17-6F3E3D664504}"/>
    <cellStyle name="Normal 19 21 7" xfId="12576" xr:uid="{EF28732B-AE78-4796-8F91-8975FFEC8DBD}"/>
    <cellStyle name="Normal 19 21 7 2" xfId="12577" xr:uid="{507C4B49-795A-4DDB-A45B-412B69E7B527}"/>
    <cellStyle name="Normal 19 21 7 3" xfId="12578" xr:uid="{09C7FDF1-9865-4540-B759-37D0AAB265A8}"/>
    <cellStyle name="Normal 19 21 7 4" xfId="12579" xr:uid="{1B01EF4F-2E8D-4B40-897F-3D8A02DE114C}"/>
    <cellStyle name="Normal 19 21 7 5" xfId="12580" xr:uid="{C32EC961-5D67-45E9-B97F-9A88140E325D}"/>
    <cellStyle name="Normal 19 21 7 6" xfId="12581" xr:uid="{5C4BBE77-4883-4B45-AA80-6B000D12412D}"/>
    <cellStyle name="Normal 19 21 8" xfId="12582" xr:uid="{7C3FFAD7-DD1D-40A3-865D-09A8674A566B}"/>
    <cellStyle name="Normal 19 21 8 2" xfId="12583" xr:uid="{534E20C7-C295-423C-9FFC-3CDA524A92AC}"/>
    <cellStyle name="Normal 19 21 8 3" xfId="12584" xr:uid="{6202E2CE-36E6-442E-AD0F-E948B013E433}"/>
    <cellStyle name="Normal 19 21 8 4" xfId="12585" xr:uid="{D525E68E-9137-418A-840F-68531F1561CA}"/>
    <cellStyle name="Normal 19 21 8 5" xfId="12586" xr:uid="{790B1DCD-70CB-4CB1-9766-C51A0E29E686}"/>
    <cellStyle name="Normal 19 21 8 6" xfId="12587" xr:uid="{CF788594-56E4-4B57-B9DE-DDFBCD269FD0}"/>
    <cellStyle name="Normal 19 21 9" xfId="12588" xr:uid="{C6DDBD52-5A93-4FB5-A5FD-0840FA5E162D}"/>
    <cellStyle name="Normal 19 22" xfId="12589" xr:uid="{99D5CB8E-C7DF-4935-A6BB-9FD63C7E7801}"/>
    <cellStyle name="Normal 19 22 10" xfId="12590" xr:uid="{37DA0ACC-B178-4033-A417-18F14D7F9CFF}"/>
    <cellStyle name="Normal 19 22 11" xfId="12591" xr:uid="{F84E71C8-C4DA-4F9D-BBD0-04E8DE01D5BA}"/>
    <cellStyle name="Normal 19 22 12" xfId="12592" xr:uid="{A17E5393-BD61-40B9-A447-763F8EF44494}"/>
    <cellStyle name="Normal 19 22 13" xfId="12593" xr:uid="{F5DF31BE-2647-429A-A992-65EA18CEBE9E}"/>
    <cellStyle name="Normal 19 22 2" xfId="12594" xr:uid="{1CB9A7CA-01E4-4D59-B183-B965B687979E}"/>
    <cellStyle name="Normal 19 22 2 2" xfId="12595" xr:uid="{AF3C700D-B3B8-4FFA-9344-2F963AA39B9C}"/>
    <cellStyle name="Normal 19 22 2 3" xfId="12596" xr:uid="{38147425-9AD9-4E44-B067-76DA44FB63E9}"/>
    <cellStyle name="Normal 19 22 2 4" xfId="12597" xr:uid="{AE7337E7-54F5-4FD9-A023-F981A5076657}"/>
    <cellStyle name="Normal 19 22 2 5" xfId="12598" xr:uid="{5CF90D32-133D-4D50-A62A-B505DFDECBB9}"/>
    <cellStyle name="Normal 19 22 2 6" xfId="12599" xr:uid="{41029924-8A2A-44EF-8CA1-40725741EF0A}"/>
    <cellStyle name="Normal 19 22 3" xfId="12600" xr:uid="{9FF882CD-E93E-4322-9559-B66247DA8D90}"/>
    <cellStyle name="Normal 19 22 3 2" xfId="12601" xr:uid="{7EFEFEFB-E56F-4B01-99E2-7B47D49C6FF5}"/>
    <cellStyle name="Normal 19 22 3 3" xfId="12602" xr:uid="{F9FF6ED1-76A0-459B-9CC0-3D14E499DA26}"/>
    <cellStyle name="Normal 19 22 3 4" xfId="12603" xr:uid="{86471237-A334-44DD-BB5E-D00A1C7B8F09}"/>
    <cellStyle name="Normal 19 22 3 5" xfId="12604" xr:uid="{C1B030B6-48C1-404B-B622-A970C32A1095}"/>
    <cellStyle name="Normal 19 22 3 6" xfId="12605" xr:uid="{0D84EABE-A54F-4A1A-9672-B9FE8B3AC6F1}"/>
    <cellStyle name="Normal 19 22 4" xfId="12606" xr:uid="{43CB148D-D59F-4B43-9D69-D3007658A3CF}"/>
    <cellStyle name="Normal 19 22 4 2" xfId="12607" xr:uid="{BE08EB5C-31C0-450A-B8B1-CD0DDFA9F479}"/>
    <cellStyle name="Normal 19 22 4 3" xfId="12608" xr:uid="{BB55FDC2-4CD9-48C7-8770-40C86B6A746E}"/>
    <cellStyle name="Normal 19 22 4 4" xfId="12609" xr:uid="{3D145038-B1B8-421B-A26B-C785889448FB}"/>
    <cellStyle name="Normal 19 22 4 5" xfId="12610" xr:uid="{A5396585-8A62-472D-B9FE-08985C955E94}"/>
    <cellStyle name="Normal 19 22 4 6" xfId="12611" xr:uid="{36CD4C8E-DA6F-41AE-8A51-7F12D9BB67E2}"/>
    <cellStyle name="Normal 19 22 5" xfId="12612" xr:uid="{62C4FEE6-4718-4DF4-9B10-B283E1C4FB00}"/>
    <cellStyle name="Normal 19 22 5 2" xfId="12613" xr:uid="{D3112BE1-B087-4705-A7C2-F2C5C52C10A7}"/>
    <cellStyle name="Normal 19 22 5 3" xfId="12614" xr:uid="{506E2841-7E5E-472A-8759-31F366596A57}"/>
    <cellStyle name="Normal 19 22 5 4" xfId="12615" xr:uid="{A5AA2B0D-147C-45C2-8041-BEF5DB1C4891}"/>
    <cellStyle name="Normal 19 22 5 5" xfId="12616" xr:uid="{2CE00B33-CEA5-474C-BF17-F2B785D987EE}"/>
    <cellStyle name="Normal 19 22 5 6" xfId="12617" xr:uid="{2D9FEC37-5A8B-4317-AFC7-AE60A05AF8E9}"/>
    <cellStyle name="Normal 19 22 6" xfId="12618" xr:uid="{DDD8763D-F687-4C1F-B438-4C534094490C}"/>
    <cellStyle name="Normal 19 22 6 2" xfId="12619" xr:uid="{CD7AE5BB-C717-4EB3-BD9A-85939923C73C}"/>
    <cellStyle name="Normal 19 22 6 3" xfId="12620" xr:uid="{137EF65E-A86C-4C2D-AB19-FFA0E6F25135}"/>
    <cellStyle name="Normal 19 22 6 4" xfId="12621" xr:uid="{66E3A7DC-98F8-4C37-A4F2-F7E066A7A945}"/>
    <cellStyle name="Normal 19 22 6 5" xfId="12622" xr:uid="{D0725FC6-EACA-4A88-80FB-EA1D12F14FF1}"/>
    <cellStyle name="Normal 19 22 6 6" xfId="12623" xr:uid="{84F5F014-AF2C-43E3-B785-49E4CDCA3EB9}"/>
    <cellStyle name="Normal 19 22 7" xfId="12624" xr:uid="{2FFA64EE-41DD-40A2-9586-52BDC791D4B2}"/>
    <cellStyle name="Normal 19 22 7 2" xfId="12625" xr:uid="{777B21FA-9F36-4B54-AA3D-A0422E3DBB92}"/>
    <cellStyle name="Normal 19 22 7 3" xfId="12626" xr:uid="{D6DE46CF-A7CA-4AF4-AB8F-05061E7FAAE1}"/>
    <cellStyle name="Normal 19 22 7 4" xfId="12627" xr:uid="{8808DEFB-64E6-46AF-8053-2734B7BA6BFD}"/>
    <cellStyle name="Normal 19 22 7 5" xfId="12628" xr:uid="{8F3B230E-157D-4678-9F33-7DD62C6BA4A7}"/>
    <cellStyle name="Normal 19 22 7 6" xfId="12629" xr:uid="{1F7B4B21-4625-4C24-80F6-B5AAF70B72C2}"/>
    <cellStyle name="Normal 19 22 8" xfId="12630" xr:uid="{1B0B3350-F054-4C01-9137-584CB9C70F0E}"/>
    <cellStyle name="Normal 19 22 8 2" xfId="12631" xr:uid="{69D73676-615F-4BB5-9F3F-FF1CFF0C452A}"/>
    <cellStyle name="Normal 19 22 8 3" xfId="12632" xr:uid="{E8E24C33-B754-49D9-A78F-8E6705552598}"/>
    <cellStyle name="Normal 19 22 8 4" xfId="12633" xr:uid="{EE9416BB-5567-4056-ADEA-06E2E5537C5E}"/>
    <cellStyle name="Normal 19 22 8 5" xfId="12634" xr:uid="{D505851D-669E-4756-8489-0A9981BDDAC6}"/>
    <cellStyle name="Normal 19 22 8 6" xfId="12635" xr:uid="{0594037A-E28E-4EF6-A623-BD9E8E3A9016}"/>
    <cellStyle name="Normal 19 22 9" xfId="12636" xr:uid="{70AC1D66-2932-4DB6-86A4-531B6A22ED30}"/>
    <cellStyle name="Normal 19 23" xfId="12637" xr:uid="{4AE6BAC2-8516-4565-83B8-0E89810A2591}"/>
    <cellStyle name="Normal 19 23 10" xfId="12638" xr:uid="{ED7C1C9C-9DBE-4295-B7CD-7B5EB046A2F9}"/>
    <cellStyle name="Normal 19 23 11" xfId="12639" xr:uid="{2D9381F1-912C-4966-AB4D-E464F3200F67}"/>
    <cellStyle name="Normal 19 23 12" xfId="12640" xr:uid="{C32F0F94-FDD0-47E5-925F-42F59E289AE2}"/>
    <cellStyle name="Normal 19 23 13" xfId="12641" xr:uid="{8619AC84-2F51-48DA-9186-DC18D359D3ED}"/>
    <cellStyle name="Normal 19 23 2" xfId="12642" xr:uid="{0C7B6092-95FC-46E8-B8F2-CF97C007CCDD}"/>
    <cellStyle name="Normal 19 23 2 2" xfId="12643" xr:uid="{97212300-8422-478F-9BB2-B14CEBA72357}"/>
    <cellStyle name="Normal 19 23 2 3" xfId="12644" xr:uid="{23437643-19B0-4EDD-8EAF-B05E5AC05172}"/>
    <cellStyle name="Normal 19 23 2 4" xfId="12645" xr:uid="{550A0C67-7815-4E5C-A556-E99C0393CCC9}"/>
    <cellStyle name="Normal 19 23 2 5" xfId="12646" xr:uid="{2797FD08-58B5-4990-B5D0-B46EB9143024}"/>
    <cellStyle name="Normal 19 23 2 6" xfId="12647" xr:uid="{2DD91612-9239-4F3E-A132-F7232C8B4D9F}"/>
    <cellStyle name="Normal 19 23 3" xfId="12648" xr:uid="{DD349461-03B9-4F1A-AF68-9D1EF3CCDF94}"/>
    <cellStyle name="Normal 19 23 3 2" xfId="12649" xr:uid="{A7DC4FF5-FDF3-403E-9A26-648CF7A341E1}"/>
    <cellStyle name="Normal 19 23 3 3" xfId="12650" xr:uid="{BAD2279D-B933-41BB-87CB-E5FBED7B88DB}"/>
    <cellStyle name="Normal 19 23 3 4" xfId="12651" xr:uid="{7812E6B5-9085-47F1-8A72-88933027DF9B}"/>
    <cellStyle name="Normal 19 23 3 5" xfId="12652" xr:uid="{4D32BC49-A9A6-48DA-AA5A-BA7D54521C51}"/>
    <cellStyle name="Normal 19 23 3 6" xfId="12653" xr:uid="{2281950C-3F7C-4B97-8EBA-C617CB2DFC02}"/>
    <cellStyle name="Normal 19 23 4" xfId="12654" xr:uid="{CABD46B0-A94A-42F1-9F7C-5398F66DCE99}"/>
    <cellStyle name="Normal 19 23 4 2" xfId="12655" xr:uid="{D72DADE2-BC08-4606-8BC8-E0AD56802140}"/>
    <cellStyle name="Normal 19 23 4 3" xfId="12656" xr:uid="{EE070A83-E632-4422-B8A9-A8DB014CE02A}"/>
    <cellStyle name="Normal 19 23 4 4" xfId="12657" xr:uid="{D093D266-C719-4CDA-AF50-8E9228246ED6}"/>
    <cellStyle name="Normal 19 23 4 5" xfId="12658" xr:uid="{05B0B8B6-BD4E-4D22-AEDD-C509A19CFC9B}"/>
    <cellStyle name="Normal 19 23 4 6" xfId="12659" xr:uid="{9173D7D7-FCC6-450D-8C81-1B3FD2C2444E}"/>
    <cellStyle name="Normal 19 23 5" xfId="12660" xr:uid="{A90E6C64-9625-4888-9DFE-C9C0081E2DC2}"/>
    <cellStyle name="Normal 19 23 5 2" xfId="12661" xr:uid="{F4AF19AC-2D98-4775-A2EA-62E529CCE15E}"/>
    <cellStyle name="Normal 19 23 5 3" xfId="12662" xr:uid="{B2EF35B0-1AEA-489D-865C-0FE57253C906}"/>
    <cellStyle name="Normal 19 23 5 4" xfId="12663" xr:uid="{8BB5DC65-66D6-48BD-869A-55769D14C4ED}"/>
    <cellStyle name="Normal 19 23 5 5" xfId="12664" xr:uid="{3A677B0F-E3F7-462D-81E8-7050AA457F2C}"/>
    <cellStyle name="Normal 19 23 5 6" xfId="12665" xr:uid="{A7669188-E9C8-4438-96DD-CE1BAF2CDD52}"/>
    <cellStyle name="Normal 19 23 6" xfId="12666" xr:uid="{9A253D46-9953-4A1E-850C-6FAC08AA369F}"/>
    <cellStyle name="Normal 19 23 6 2" xfId="12667" xr:uid="{DF4BA35F-F6D5-4816-B53F-D170203811F9}"/>
    <cellStyle name="Normal 19 23 6 3" xfId="12668" xr:uid="{28FA067E-B880-4B0D-AB71-0E089F39F67A}"/>
    <cellStyle name="Normal 19 23 6 4" xfId="12669" xr:uid="{348821F7-11B6-4432-BDD4-B54AA6CC9EC2}"/>
    <cellStyle name="Normal 19 23 6 5" xfId="12670" xr:uid="{BFFB907C-B378-4733-A2B5-AB17E63A6AED}"/>
    <cellStyle name="Normal 19 23 6 6" xfId="12671" xr:uid="{A6F3DEB9-1D30-49A8-A0BB-610C2405EB7A}"/>
    <cellStyle name="Normal 19 23 7" xfId="12672" xr:uid="{C3F7FC93-0AD9-4C06-A2E0-984808905487}"/>
    <cellStyle name="Normal 19 23 7 2" xfId="12673" xr:uid="{EE244355-AF15-4A4C-91DE-E8ACF098CBB4}"/>
    <cellStyle name="Normal 19 23 7 3" xfId="12674" xr:uid="{1997E4CE-0D50-4E90-82E0-B7DAFC64131E}"/>
    <cellStyle name="Normal 19 23 7 4" xfId="12675" xr:uid="{23F9ACB3-5D02-4351-BCD8-A652742F6D89}"/>
    <cellStyle name="Normal 19 23 7 5" xfId="12676" xr:uid="{B8DE4B45-D8D1-4ED4-9678-C5A5573CD2B4}"/>
    <cellStyle name="Normal 19 23 7 6" xfId="12677" xr:uid="{25CC9C4B-F66B-4B27-80DD-277B2E455DB2}"/>
    <cellStyle name="Normal 19 23 8" xfId="12678" xr:uid="{A245CC23-4A9C-4915-9888-7A52B86272A5}"/>
    <cellStyle name="Normal 19 23 8 2" xfId="12679" xr:uid="{C17665F1-4FB0-44CB-81C5-4584A04B9102}"/>
    <cellStyle name="Normal 19 23 8 3" xfId="12680" xr:uid="{60965A93-7421-4BC5-90FC-59F35399A922}"/>
    <cellStyle name="Normal 19 23 8 4" xfId="12681" xr:uid="{39D5F26C-74C8-47C8-A469-3739E12A2660}"/>
    <cellStyle name="Normal 19 23 8 5" xfId="12682" xr:uid="{E8057E13-70EC-4EA8-82AA-91275BFC57C8}"/>
    <cellStyle name="Normal 19 23 8 6" xfId="12683" xr:uid="{5701A414-A531-4886-838B-9D0C61536784}"/>
    <cellStyle name="Normal 19 23 9" xfId="12684" xr:uid="{94E88FC1-7162-4319-8680-C7C509451188}"/>
    <cellStyle name="Normal 19 24" xfId="12685" xr:uid="{01EDFB16-5C3D-4DF9-A2CD-90B41B757FE0}"/>
    <cellStyle name="Normal 19 24 10" xfId="12686" xr:uid="{90B00E0C-9E4A-4CE5-AD55-84642022C6B9}"/>
    <cellStyle name="Normal 19 24 11" xfId="12687" xr:uid="{B4FA3BC5-077D-4D43-BC3A-158BAD50C8AD}"/>
    <cellStyle name="Normal 19 24 12" xfId="12688" xr:uid="{1B8AC031-A6A9-44B2-9D7B-18B0FD52DEDA}"/>
    <cellStyle name="Normal 19 24 13" xfId="12689" xr:uid="{EA3F5686-5199-4F71-A274-F6A0371141CD}"/>
    <cellStyle name="Normal 19 24 2" xfId="12690" xr:uid="{396EB474-180A-4C5B-8514-D50A3BB49E88}"/>
    <cellStyle name="Normal 19 24 2 2" xfId="12691" xr:uid="{47CCBD61-2454-4D90-AADF-2CA4CE14D288}"/>
    <cellStyle name="Normal 19 24 2 3" xfId="12692" xr:uid="{E42C4FCD-ACA8-4A4B-852A-401C8C912659}"/>
    <cellStyle name="Normal 19 24 2 4" xfId="12693" xr:uid="{841AA04C-1410-4886-93BF-3F2538EEC883}"/>
    <cellStyle name="Normal 19 24 2 5" xfId="12694" xr:uid="{7436E4A2-713D-46A4-B8C9-4F085C2FF604}"/>
    <cellStyle name="Normal 19 24 2 6" xfId="12695" xr:uid="{8446BAD8-635A-43E1-8B3F-729C471D99AD}"/>
    <cellStyle name="Normal 19 24 3" xfId="12696" xr:uid="{0E9886DB-DBEF-4C0F-9B99-E32E362F600F}"/>
    <cellStyle name="Normal 19 24 3 2" xfId="12697" xr:uid="{F1EFBAD2-3A74-4ACD-AF4E-708023F55ED8}"/>
    <cellStyle name="Normal 19 24 3 3" xfId="12698" xr:uid="{D86EA899-2A79-4161-AE2C-4ECB3087F214}"/>
    <cellStyle name="Normal 19 24 3 4" xfId="12699" xr:uid="{D0694368-E07A-4F80-9D13-5880498E59D4}"/>
    <cellStyle name="Normal 19 24 3 5" xfId="12700" xr:uid="{8DC439C3-B5DC-4BC3-A8D1-15C977BEB676}"/>
    <cellStyle name="Normal 19 24 3 6" xfId="12701" xr:uid="{9DFAF92B-EBE3-40D8-BDE6-0277C03C9C19}"/>
    <cellStyle name="Normal 19 24 4" xfId="12702" xr:uid="{F0D7A2FE-04B3-47E0-82D5-0EB1B36C1FF4}"/>
    <cellStyle name="Normal 19 24 4 2" xfId="12703" xr:uid="{78561A8F-2100-4C9E-A0AA-D06D9CC5A4C0}"/>
    <cellStyle name="Normal 19 24 4 3" xfId="12704" xr:uid="{AA62F812-31F1-4176-BED1-681BB07266EB}"/>
    <cellStyle name="Normal 19 24 4 4" xfId="12705" xr:uid="{7D47BF5F-AC8E-4329-B25E-E6292D36629D}"/>
    <cellStyle name="Normal 19 24 4 5" xfId="12706" xr:uid="{78531A93-4837-474E-92C8-496ED8D7B6CC}"/>
    <cellStyle name="Normal 19 24 4 6" xfId="12707" xr:uid="{1BCF4FD5-F7C0-44A4-A5A7-6C1C41B237D2}"/>
    <cellStyle name="Normal 19 24 5" xfId="12708" xr:uid="{B5AE2BEC-58C8-40F1-AC3A-D12ACDAF8FF7}"/>
    <cellStyle name="Normal 19 24 5 2" xfId="12709" xr:uid="{A9543265-8283-481C-ADA6-F44D92E7FDAE}"/>
    <cellStyle name="Normal 19 24 5 3" xfId="12710" xr:uid="{39C06123-1402-4077-BA39-978721E3DB11}"/>
    <cellStyle name="Normal 19 24 5 4" xfId="12711" xr:uid="{22A14554-045B-4856-B505-1CFBBDEFCED2}"/>
    <cellStyle name="Normal 19 24 5 5" xfId="12712" xr:uid="{9151C8FD-E666-414C-895D-653EB0B1A89B}"/>
    <cellStyle name="Normal 19 24 5 6" xfId="12713" xr:uid="{E888AF51-CC98-4B2B-8C83-40627D1CE23E}"/>
    <cellStyle name="Normal 19 24 6" xfId="12714" xr:uid="{913CAD6A-728E-4EB1-A5A0-A10CA83852E3}"/>
    <cellStyle name="Normal 19 24 6 2" xfId="12715" xr:uid="{7726CB74-00F4-40C8-BBB1-62860BF50F9F}"/>
    <cellStyle name="Normal 19 24 6 3" xfId="12716" xr:uid="{5DCC4F4E-AE65-4A97-8BE7-745673E137CB}"/>
    <cellStyle name="Normal 19 24 6 4" xfId="12717" xr:uid="{4DEA6494-131E-433B-9F79-12CFCF98A254}"/>
    <cellStyle name="Normal 19 24 6 5" xfId="12718" xr:uid="{4BDDFFB8-E4B5-47A3-B432-46CF44817B67}"/>
    <cellStyle name="Normal 19 24 6 6" xfId="12719" xr:uid="{892A0E55-E4B1-40D5-A2CE-F5DF6C48AD6F}"/>
    <cellStyle name="Normal 19 24 7" xfId="12720" xr:uid="{6E18DDF7-EFCC-4EF8-9091-AE4BD6555E4B}"/>
    <cellStyle name="Normal 19 24 7 2" xfId="12721" xr:uid="{21E628D8-BA6F-4218-BB1F-20DD0AFE588E}"/>
    <cellStyle name="Normal 19 24 7 3" xfId="12722" xr:uid="{951AD322-D736-49C0-9310-B94D56B62314}"/>
    <cellStyle name="Normal 19 24 7 4" xfId="12723" xr:uid="{F00D577C-04FD-4937-87F2-40BD615B7AF5}"/>
    <cellStyle name="Normal 19 24 7 5" xfId="12724" xr:uid="{EB755036-FEFB-4207-A71F-7703524F6D8A}"/>
    <cellStyle name="Normal 19 24 7 6" xfId="12725" xr:uid="{2597F2C9-0987-4A3F-896A-367BBDECC6B4}"/>
    <cellStyle name="Normal 19 24 8" xfId="12726" xr:uid="{8C2E4CF6-EDD4-4A7A-AB99-63E85258B1A4}"/>
    <cellStyle name="Normal 19 24 8 2" xfId="12727" xr:uid="{548E0AAF-2D88-46A2-8F73-37DA00A189DC}"/>
    <cellStyle name="Normal 19 24 8 3" xfId="12728" xr:uid="{104ACB2C-809F-413E-944C-EF5D257B8856}"/>
    <cellStyle name="Normal 19 24 8 4" xfId="12729" xr:uid="{FE1A7CC9-18E3-4688-B867-456E9C270D3C}"/>
    <cellStyle name="Normal 19 24 8 5" xfId="12730" xr:uid="{F85B72EE-6263-4B97-958B-EF3D6B185928}"/>
    <cellStyle name="Normal 19 24 8 6" xfId="12731" xr:uid="{F3A02632-890B-4223-A8B6-AF5D815779D3}"/>
    <cellStyle name="Normal 19 24 9" xfId="12732" xr:uid="{0ACDD407-E8D9-4282-82F6-38B729660E6E}"/>
    <cellStyle name="Normal 19 25" xfId="12733" xr:uid="{0D56D718-DBCA-4D7A-926A-F94E31E3E493}"/>
    <cellStyle name="Normal 19 25 2" xfId="12734" xr:uid="{EFC03957-758C-4990-88B4-FE81BAC885A9}"/>
    <cellStyle name="Normal 19 25 3" xfId="12735" xr:uid="{1A6E68D9-21D4-4DD1-829D-4A176BF973CF}"/>
    <cellStyle name="Normal 19 25 4" xfId="12736" xr:uid="{E4C39088-B33A-46D8-A0AB-F344682D1D4E}"/>
    <cellStyle name="Normal 19 25 5" xfId="12737" xr:uid="{3958F004-8508-428F-822B-8600D279E0B8}"/>
    <cellStyle name="Normal 19 25 6" xfId="12738" xr:uid="{8877046B-6E9E-462D-94E6-981E51ABB1BD}"/>
    <cellStyle name="Normal 19 26" xfId="12739" xr:uid="{4B53013A-88E6-44FA-A5D5-D98637C27CCB}"/>
    <cellStyle name="Normal 19 26 2" xfId="12740" xr:uid="{233470BB-3367-4D74-96EF-B004484392CA}"/>
    <cellStyle name="Normal 19 26 3" xfId="12741" xr:uid="{321CC2F6-7461-4F98-9582-8E23798AFA03}"/>
    <cellStyle name="Normal 19 26 4" xfId="12742" xr:uid="{80C344C3-A589-4960-AB7B-0013084EB4B6}"/>
    <cellStyle name="Normal 19 26 5" xfId="12743" xr:uid="{F9F57E2C-8475-4DB1-A8CD-D95D14E2DA65}"/>
    <cellStyle name="Normal 19 26 6" xfId="12744" xr:uid="{A8868219-AE07-4508-9497-7BC5187842E3}"/>
    <cellStyle name="Normal 19 27" xfId="12745" xr:uid="{B89F88E8-746F-438C-9CB6-CCA433090AE7}"/>
    <cellStyle name="Normal 19 27 2" xfId="12746" xr:uid="{C6048852-4D20-4414-89C7-375A4C55B4C5}"/>
    <cellStyle name="Normal 19 27 3" xfId="12747" xr:uid="{46B1DBA0-F032-4113-963E-0E512791F036}"/>
    <cellStyle name="Normal 19 27 4" xfId="12748" xr:uid="{23B1A1E7-29E4-44D7-9369-F53AF27C8399}"/>
    <cellStyle name="Normal 19 27 5" xfId="12749" xr:uid="{8F02FA95-B183-4F94-8295-33D5DC9D7903}"/>
    <cellStyle name="Normal 19 27 6" xfId="12750" xr:uid="{0B68FA19-D4CD-451D-B0C0-F34605D058FE}"/>
    <cellStyle name="Normal 19 28" xfId="12751" xr:uid="{F358454B-B2FB-41A9-984C-93AEF2AA9915}"/>
    <cellStyle name="Normal 19 28 2" xfId="12752" xr:uid="{BC3A1642-712A-46F6-87E0-88A550256007}"/>
    <cellStyle name="Normal 19 28 3" xfId="12753" xr:uid="{D2ABC88A-A1CA-4559-B77C-DB3B8EF017D8}"/>
    <cellStyle name="Normal 19 28 4" xfId="12754" xr:uid="{4E79C53D-08E5-4445-8ADF-7417F0570C0C}"/>
    <cellStyle name="Normal 19 28 5" xfId="12755" xr:uid="{BE4B20A3-2619-4B0C-B1AE-C78A4F7DD5A0}"/>
    <cellStyle name="Normal 19 28 6" xfId="12756" xr:uid="{C432F0D1-F95F-48BD-BFB1-17D05F4B7410}"/>
    <cellStyle name="Normal 19 29" xfId="12757" xr:uid="{D3CE8033-97D6-4047-9B20-16E9058F23A7}"/>
    <cellStyle name="Normal 19 29 2" xfId="12758" xr:uid="{692CD5F5-22B9-47B2-9A03-D38DF06D3575}"/>
    <cellStyle name="Normal 19 29 3" xfId="12759" xr:uid="{2164445A-9111-43E4-AE65-9F601B263FC7}"/>
    <cellStyle name="Normal 19 29 4" xfId="12760" xr:uid="{DA2FC451-8AFE-4025-8A61-0896B3A4475B}"/>
    <cellStyle name="Normal 19 29 5" xfId="12761" xr:uid="{24F96CC3-E666-470C-BD7E-1F723338DED4}"/>
    <cellStyle name="Normal 19 29 6" xfId="12762" xr:uid="{0CEAC572-EC09-4A83-AFD1-257BA63B6097}"/>
    <cellStyle name="Normal 19 3" xfId="12763" xr:uid="{9FB6F1FE-E3EE-4C53-8A14-DFE05EAE1577}"/>
    <cellStyle name="Normal 19 3 10" xfId="12764" xr:uid="{686B1EC9-1C69-47A4-BEDB-ADBBF96516E1}"/>
    <cellStyle name="Normal 19 3 11" xfId="12765" xr:uid="{4109884B-1C48-4AF9-9267-B632F2772993}"/>
    <cellStyle name="Normal 19 3 12" xfId="12766" xr:uid="{59D68992-36F5-4252-B5CD-B9E6F57E73B8}"/>
    <cellStyle name="Normal 19 3 13" xfId="12767" xr:uid="{F50CD8E9-202A-4BA8-8AEB-B4327492D346}"/>
    <cellStyle name="Normal 19 3 2" xfId="12768" xr:uid="{209722B7-CD9A-45FD-A836-672B10EEA6AE}"/>
    <cellStyle name="Normal 19 3 2 2" xfId="12769" xr:uid="{679C940D-6B19-4CE5-9546-AF462E90B6DF}"/>
    <cellStyle name="Normal 19 3 2 3" xfId="12770" xr:uid="{EFF8DC14-DD27-4EC1-A863-7BCAF6D9C310}"/>
    <cellStyle name="Normal 19 3 2 4" xfId="12771" xr:uid="{8288B883-90E6-41CF-98D6-013C0663457A}"/>
    <cellStyle name="Normal 19 3 2 5" xfId="12772" xr:uid="{F91B6DA5-5FC1-4F10-B76B-2DE228646AD3}"/>
    <cellStyle name="Normal 19 3 2 6" xfId="12773" xr:uid="{F8DA3BD7-2098-4C61-9EF6-7E894B9C27B7}"/>
    <cellStyle name="Normal 19 3 3" xfId="12774" xr:uid="{900C7B68-595A-44B0-AF8D-816BB7724895}"/>
    <cellStyle name="Normal 19 3 3 2" xfId="12775" xr:uid="{413D7DE8-8538-4399-A9FE-740780576D87}"/>
    <cellStyle name="Normal 19 3 3 3" xfId="12776" xr:uid="{3261D0B0-0C5C-4A42-805D-728228521295}"/>
    <cellStyle name="Normal 19 3 3 4" xfId="12777" xr:uid="{07BA00C6-437B-4805-A2F1-80248F0C9EB2}"/>
    <cellStyle name="Normal 19 3 3 5" xfId="12778" xr:uid="{44231BFA-7BEE-4263-B75C-765C3B39C2D7}"/>
    <cellStyle name="Normal 19 3 3 6" xfId="12779" xr:uid="{98CD53C0-0C62-45C8-AD45-0B63D8C97EBF}"/>
    <cellStyle name="Normal 19 3 4" xfId="12780" xr:uid="{F0CD18C8-0A52-4D7F-A0A9-7F40C61CC035}"/>
    <cellStyle name="Normal 19 3 4 2" xfId="12781" xr:uid="{6DD2697E-61BF-4E40-AEBC-B25EB8D269DE}"/>
    <cellStyle name="Normal 19 3 4 3" xfId="12782" xr:uid="{536518EE-5CFD-433A-A04D-54CE54C86A20}"/>
    <cellStyle name="Normal 19 3 4 4" xfId="12783" xr:uid="{87C9B4B7-AF9F-47C6-B8C5-1466C7E13DA0}"/>
    <cellStyle name="Normal 19 3 4 5" xfId="12784" xr:uid="{B8F7C726-C371-4D23-99C2-11E515FE8C9A}"/>
    <cellStyle name="Normal 19 3 4 6" xfId="12785" xr:uid="{3DEA6D4C-E225-4662-B11A-52FC49532522}"/>
    <cellStyle name="Normal 19 3 5" xfId="12786" xr:uid="{4809CF22-8ECD-45B1-8994-21BEDD481CB3}"/>
    <cellStyle name="Normal 19 3 5 2" xfId="12787" xr:uid="{25AB8570-B1FC-4B42-A408-D79E1FD2EAFF}"/>
    <cellStyle name="Normal 19 3 5 3" xfId="12788" xr:uid="{185A847E-2CDE-40AF-86B8-56EC4B554A8A}"/>
    <cellStyle name="Normal 19 3 5 4" xfId="12789" xr:uid="{4226A358-67A1-4B19-803F-F70CD86E706C}"/>
    <cellStyle name="Normal 19 3 5 5" xfId="12790" xr:uid="{D40FE276-D1B4-4014-A75B-BA53E40EDA2B}"/>
    <cellStyle name="Normal 19 3 5 6" xfId="12791" xr:uid="{690AF936-6BDE-472B-AEE0-D1DB725D1FAA}"/>
    <cellStyle name="Normal 19 3 6" xfId="12792" xr:uid="{DFDD3B4B-0F22-41CF-B4E4-E67A04F691A5}"/>
    <cellStyle name="Normal 19 3 6 2" xfId="12793" xr:uid="{54DAA4AD-2497-4802-87F9-925167D2EF03}"/>
    <cellStyle name="Normal 19 3 6 3" xfId="12794" xr:uid="{C1245F30-7C76-4EC1-BD41-3C218FB65FA3}"/>
    <cellStyle name="Normal 19 3 6 4" xfId="12795" xr:uid="{907317E2-22D9-423E-AB44-2218934C0A35}"/>
    <cellStyle name="Normal 19 3 6 5" xfId="12796" xr:uid="{B2BB9D24-2784-4B51-AD9A-876D0378A54E}"/>
    <cellStyle name="Normal 19 3 6 6" xfId="12797" xr:uid="{B3D1C053-DD35-4544-8DA6-7F865BF9ED4A}"/>
    <cellStyle name="Normal 19 3 7" xfId="12798" xr:uid="{4E9BBF0A-85D2-481E-886A-1E3611691049}"/>
    <cellStyle name="Normal 19 3 7 2" xfId="12799" xr:uid="{47FD0F6D-A68E-42C0-80B2-6E615D992395}"/>
    <cellStyle name="Normal 19 3 7 3" xfId="12800" xr:uid="{BCA4DBC7-EE0A-4F19-AB43-BE1D785A02EB}"/>
    <cellStyle name="Normal 19 3 7 4" xfId="12801" xr:uid="{281955C3-8ABC-4688-AF1B-6B5ED688EDEE}"/>
    <cellStyle name="Normal 19 3 7 5" xfId="12802" xr:uid="{B506C9AD-04B9-4B3C-9D04-B691CC9217D4}"/>
    <cellStyle name="Normal 19 3 7 6" xfId="12803" xr:uid="{8EEBEAF7-3615-49D1-B861-DB18213A4734}"/>
    <cellStyle name="Normal 19 3 8" xfId="12804" xr:uid="{5C4FB6FB-3CDA-4B89-9856-C5630F07F72E}"/>
    <cellStyle name="Normal 19 3 8 2" xfId="12805" xr:uid="{025A6FF5-2E15-487A-9AA1-CD612759774C}"/>
    <cellStyle name="Normal 19 3 8 3" xfId="12806" xr:uid="{089CBFD3-9814-4433-A126-69D8E7F6907C}"/>
    <cellStyle name="Normal 19 3 8 4" xfId="12807" xr:uid="{95AF4F3C-75C4-466D-97A0-08C900355722}"/>
    <cellStyle name="Normal 19 3 8 5" xfId="12808" xr:uid="{8A114053-1F4A-4D9C-BA9D-51959C07E2C2}"/>
    <cellStyle name="Normal 19 3 8 6" xfId="12809" xr:uid="{96BC0F64-0838-4FDC-8F9D-02CB54E3C586}"/>
    <cellStyle name="Normal 19 3 9" xfId="12810" xr:uid="{C8947729-F279-4DA7-8993-1BBF216BF399}"/>
    <cellStyle name="Normal 19 30" xfId="12811" xr:uid="{9B233FB4-E77E-4198-9C07-45CAD13E4395}"/>
    <cellStyle name="Normal 19 30 2" xfId="12812" xr:uid="{E20904E6-9753-4F19-BE03-5CABF4EEC23D}"/>
    <cellStyle name="Normal 19 30 3" xfId="12813" xr:uid="{CBBB4588-E475-47CF-93DB-2B04695D8373}"/>
    <cellStyle name="Normal 19 30 4" xfId="12814" xr:uid="{9CE4FFC2-BA26-4832-A47B-7AF0F5FAB12C}"/>
    <cellStyle name="Normal 19 30 5" xfId="12815" xr:uid="{F3366D87-93DC-4542-ADC3-0D41D7262E1E}"/>
    <cellStyle name="Normal 19 30 6" xfId="12816" xr:uid="{93AA44F6-C13D-40EA-B7A7-A33601BE4615}"/>
    <cellStyle name="Normal 19 31" xfId="12817" xr:uid="{26042DE9-7388-4BC4-B74F-A6CCC7C0C7F4}"/>
    <cellStyle name="Normal 19 31 2" xfId="12818" xr:uid="{0354FAF8-C907-4522-AFB1-3F9138945EEB}"/>
    <cellStyle name="Normal 19 31 3" xfId="12819" xr:uid="{D465C328-0E9D-403A-8252-CEAF3425B23B}"/>
    <cellStyle name="Normal 19 31 4" xfId="12820" xr:uid="{65091A20-B036-4A84-93A0-9822272C70D4}"/>
    <cellStyle name="Normal 19 31 5" xfId="12821" xr:uid="{35ECDA97-B193-45CC-ABA3-48407DAE338B}"/>
    <cellStyle name="Normal 19 31 6" xfId="12822" xr:uid="{FB5770EE-8A75-4E7C-B164-4F4A1CA94025}"/>
    <cellStyle name="Normal 19 32" xfId="12823" xr:uid="{38D3604C-D6FC-4E89-AD5D-6EB73F01F95E}"/>
    <cellStyle name="Normal 19 33" xfId="12824" xr:uid="{11CE0244-1525-41FE-B7DA-E9CD2316B94F}"/>
    <cellStyle name="Normal 19 34" xfId="12825" xr:uid="{9333483C-D943-42B7-AED8-C7E0D4BF6133}"/>
    <cellStyle name="Normal 19 35" xfId="12826" xr:uid="{F2ABD34D-4A38-4AE0-837B-955E5A7325F4}"/>
    <cellStyle name="Normal 19 36" xfId="12827" xr:uid="{777FE4C0-FD28-4076-83FC-FEDD160297F3}"/>
    <cellStyle name="Normal 19 37" xfId="12828" xr:uid="{13A492E1-8163-4F78-9EB8-F81AE5BBC67A}"/>
    <cellStyle name="Normal 19 4" xfId="12829" xr:uid="{018CEBE7-DBB4-40FB-9671-B143753369B7}"/>
    <cellStyle name="Normal 19 4 10" xfId="12830" xr:uid="{849F8490-05E0-4FF4-A960-598BA4C75647}"/>
    <cellStyle name="Normal 19 4 11" xfId="12831" xr:uid="{19CF47AC-EEB2-4D3F-84DC-C7DDC79B0652}"/>
    <cellStyle name="Normal 19 4 12" xfId="12832" xr:uid="{8C45FDEA-E970-4B56-BBCF-BB7EB051035E}"/>
    <cellStyle name="Normal 19 4 13" xfId="12833" xr:uid="{9FE66F29-250C-4F21-8131-554CEA45918E}"/>
    <cellStyle name="Normal 19 4 2" xfId="12834" xr:uid="{9C1C944B-B979-4927-9FFC-F0E2F3126511}"/>
    <cellStyle name="Normal 19 4 2 2" xfId="12835" xr:uid="{94BC7AAA-C64F-4EDC-ABCA-405C5BE62770}"/>
    <cellStyle name="Normal 19 4 2 3" xfId="12836" xr:uid="{8739D09C-BCED-4688-9D0B-964881B24579}"/>
    <cellStyle name="Normal 19 4 2 4" xfId="12837" xr:uid="{3CEAF3BD-AB3D-485C-884C-57D8BE01712E}"/>
    <cellStyle name="Normal 19 4 2 5" xfId="12838" xr:uid="{C8252A53-3295-42D8-8FD6-ECAD536FE5A0}"/>
    <cellStyle name="Normal 19 4 2 6" xfId="12839" xr:uid="{CEEE0506-7CC4-40A6-A95B-1A0C6DA87C6F}"/>
    <cellStyle name="Normal 19 4 3" xfId="12840" xr:uid="{AD11E247-ACE3-48E1-8E99-A8B68DAE03C9}"/>
    <cellStyle name="Normal 19 4 3 2" xfId="12841" xr:uid="{F82D2FE3-F0F8-49D7-93C0-587611AEC093}"/>
    <cellStyle name="Normal 19 4 3 3" xfId="12842" xr:uid="{2EED7A10-3EDF-4C59-9ED4-CD084B4AA1BF}"/>
    <cellStyle name="Normal 19 4 3 4" xfId="12843" xr:uid="{11C7D54F-E9F6-41D9-869C-3B514FA33303}"/>
    <cellStyle name="Normal 19 4 3 5" xfId="12844" xr:uid="{04CE0918-CD22-49B1-A8A3-249FD5D4663A}"/>
    <cellStyle name="Normal 19 4 3 6" xfId="12845" xr:uid="{C41C98A1-428D-47C0-AEA4-82160FA4BA2C}"/>
    <cellStyle name="Normal 19 4 4" xfId="12846" xr:uid="{E3D538A3-803C-43D2-BDE4-99579E691005}"/>
    <cellStyle name="Normal 19 4 4 2" xfId="12847" xr:uid="{4884D146-197F-4D00-ADA5-E6D9733EDE57}"/>
    <cellStyle name="Normal 19 4 4 3" xfId="12848" xr:uid="{EEE30968-BB63-4291-8893-3B10B62427DE}"/>
    <cellStyle name="Normal 19 4 4 4" xfId="12849" xr:uid="{759FCE14-2971-4411-913F-0DAE46B63148}"/>
    <cellStyle name="Normal 19 4 4 5" xfId="12850" xr:uid="{68267AD7-12DE-484C-BACD-3BF920B39B7E}"/>
    <cellStyle name="Normal 19 4 4 6" xfId="12851" xr:uid="{4B993A10-E035-41F6-B96C-5686E42F9384}"/>
    <cellStyle name="Normal 19 4 5" xfId="12852" xr:uid="{352435B3-02B5-49F4-A280-6F1C8DF8B239}"/>
    <cellStyle name="Normal 19 4 5 2" xfId="12853" xr:uid="{E6AEC0DD-C3DC-4839-A8F6-6D623E2FFFAF}"/>
    <cellStyle name="Normal 19 4 5 3" xfId="12854" xr:uid="{8906D08D-CCA5-4EA0-91B2-7FAB9EFD8369}"/>
    <cellStyle name="Normal 19 4 5 4" xfId="12855" xr:uid="{22EC78FA-30C9-4E66-AEE6-A48B3A2F78D7}"/>
    <cellStyle name="Normal 19 4 5 5" xfId="12856" xr:uid="{71B32FC3-9074-4729-81E5-7B98DAC7D758}"/>
    <cellStyle name="Normal 19 4 5 6" xfId="12857" xr:uid="{33FC6A8A-7D34-4E7D-A9C6-989AE1D4C608}"/>
    <cellStyle name="Normal 19 4 6" xfId="12858" xr:uid="{FD02302E-DEFE-468C-8C4C-62F72D036B4B}"/>
    <cellStyle name="Normal 19 4 6 2" xfId="12859" xr:uid="{496E0641-372A-423F-B8D5-18C7040BC843}"/>
    <cellStyle name="Normal 19 4 6 3" xfId="12860" xr:uid="{50355E02-FD60-41E0-8E14-0894769BBD2B}"/>
    <cellStyle name="Normal 19 4 6 4" xfId="12861" xr:uid="{2C6DA992-2D4A-4162-968D-8019980052ED}"/>
    <cellStyle name="Normal 19 4 6 5" xfId="12862" xr:uid="{1E356645-D797-429E-8A12-8A989C3413DE}"/>
    <cellStyle name="Normal 19 4 6 6" xfId="12863" xr:uid="{5DAA2D6F-56E8-4D3E-82E8-9DE62A43A135}"/>
    <cellStyle name="Normal 19 4 7" xfId="12864" xr:uid="{7EA68FDE-D4A2-4D6D-9FB9-B0CE21D9A300}"/>
    <cellStyle name="Normal 19 4 7 2" xfId="12865" xr:uid="{BF82FE12-4769-4213-A835-C58681AFE8DF}"/>
    <cellStyle name="Normal 19 4 7 3" xfId="12866" xr:uid="{6D127C24-B07E-41B2-B556-676963F87CA5}"/>
    <cellStyle name="Normal 19 4 7 4" xfId="12867" xr:uid="{2CEC125A-623C-4622-8739-36B18C35AE42}"/>
    <cellStyle name="Normal 19 4 7 5" xfId="12868" xr:uid="{7B911BAE-24C2-4EB3-9E16-7157BE8AEFD0}"/>
    <cellStyle name="Normal 19 4 7 6" xfId="12869" xr:uid="{102499AD-6D85-435B-9F24-3E604F9E120D}"/>
    <cellStyle name="Normal 19 4 8" xfId="12870" xr:uid="{20B2CB8C-78AB-4D12-87EB-3E842508263D}"/>
    <cellStyle name="Normal 19 4 8 2" xfId="12871" xr:uid="{16B9447B-B4F0-4F6B-B793-93C1DE987F61}"/>
    <cellStyle name="Normal 19 4 8 3" xfId="12872" xr:uid="{BDD48ACD-93AE-4712-9D39-38171CAA46F7}"/>
    <cellStyle name="Normal 19 4 8 4" xfId="12873" xr:uid="{2D5EDD11-9D23-4802-BA2B-B275EC0F189A}"/>
    <cellStyle name="Normal 19 4 8 5" xfId="12874" xr:uid="{742A1621-1827-4FDD-893C-5B577DFB4B8C}"/>
    <cellStyle name="Normal 19 4 8 6" xfId="12875" xr:uid="{4FAD806E-7A59-4E34-9C5C-A15B4D30A313}"/>
    <cellStyle name="Normal 19 4 9" xfId="12876" xr:uid="{117F0FBE-EB43-4C7E-8E87-2671666DBCB1}"/>
    <cellStyle name="Normal 19 5" xfId="12877" xr:uid="{261B93A4-0E73-484F-AAB4-BA936B0EC287}"/>
    <cellStyle name="Normal 19 5 10" xfId="12878" xr:uid="{DEAEA8A0-ACDB-47F9-A6F3-E5AFF3A5F307}"/>
    <cellStyle name="Normal 19 5 11" xfId="12879" xr:uid="{5CEBD341-63E3-4E9D-8277-A8A8F520C164}"/>
    <cellStyle name="Normal 19 5 12" xfId="12880" xr:uid="{B22166B5-91BD-4420-80D5-1B9C834F0B8B}"/>
    <cellStyle name="Normal 19 5 13" xfId="12881" xr:uid="{9CF98853-DA68-437A-BFD1-4A097F95A781}"/>
    <cellStyle name="Normal 19 5 2" xfId="12882" xr:uid="{BA6F0FC8-3423-4155-87A5-81CCFA931226}"/>
    <cellStyle name="Normal 19 5 2 2" xfId="12883" xr:uid="{EF48BC92-B22A-495B-8A61-3A5DB4D7DF7B}"/>
    <cellStyle name="Normal 19 5 2 3" xfId="12884" xr:uid="{70FA1E4E-0EB8-4EB6-A7F9-98219B33936B}"/>
    <cellStyle name="Normal 19 5 2 4" xfId="12885" xr:uid="{C24A3525-3828-4ED3-A862-B4F78AE6B9EC}"/>
    <cellStyle name="Normal 19 5 2 5" xfId="12886" xr:uid="{352B83D6-00BE-4B8F-9C90-AF4112085826}"/>
    <cellStyle name="Normal 19 5 2 6" xfId="12887" xr:uid="{2E45D585-2279-46A1-BD6A-55245EA5C768}"/>
    <cellStyle name="Normal 19 5 3" xfId="12888" xr:uid="{3EA81EEC-685F-4E31-8D9F-724997030420}"/>
    <cellStyle name="Normal 19 5 3 2" xfId="12889" xr:uid="{22E7C1F8-B22C-427E-98A8-CEBEA6E1D37E}"/>
    <cellStyle name="Normal 19 5 3 3" xfId="12890" xr:uid="{F2AD7109-4864-4664-AE5F-2DE10D4BAF8F}"/>
    <cellStyle name="Normal 19 5 3 4" xfId="12891" xr:uid="{43BFD55B-0913-4BBA-9D89-24E7BA6384DB}"/>
    <cellStyle name="Normal 19 5 3 5" xfId="12892" xr:uid="{2E906CEF-685F-4773-9EB6-CAEE13E76D9C}"/>
    <cellStyle name="Normal 19 5 3 6" xfId="12893" xr:uid="{C32A35C2-BE4B-40B9-8E95-DDF3E2E52578}"/>
    <cellStyle name="Normal 19 5 4" xfId="12894" xr:uid="{9C3C9D97-FE01-45DA-AA2C-BD27A63558D2}"/>
    <cellStyle name="Normal 19 5 4 2" xfId="12895" xr:uid="{97552269-BF94-4233-82CB-7490CD61DCFD}"/>
    <cellStyle name="Normal 19 5 4 3" xfId="12896" xr:uid="{B4F6C71D-60DF-426D-9971-735C63C0F02C}"/>
    <cellStyle name="Normal 19 5 4 4" xfId="12897" xr:uid="{71FCE3E2-A391-4411-B07D-C340904514BE}"/>
    <cellStyle name="Normal 19 5 4 5" xfId="12898" xr:uid="{19B8086C-4958-42C8-AE1C-93010B409C0A}"/>
    <cellStyle name="Normal 19 5 4 6" xfId="12899" xr:uid="{6C9EF55A-C8BF-46E2-8B52-73BFC79E7DD6}"/>
    <cellStyle name="Normal 19 5 5" xfId="12900" xr:uid="{7130C207-9EEB-4E75-AE07-3ACDA531B9C9}"/>
    <cellStyle name="Normal 19 5 5 2" xfId="12901" xr:uid="{2AE01AD9-EE17-4DD5-B2F0-AFD19D611C02}"/>
    <cellStyle name="Normal 19 5 5 3" xfId="12902" xr:uid="{124A35CC-1E1E-4572-BAF8-EFF0C0E1ADB0}"/>
    <cellStyle name="Normal 19 5 5 4" xfId="12903" xr:uid="{6C2E08AB-1189-41E8-89F7-72D40D7A01F4}"/>
    <cellStyle name="Normal 19 5 5 5" xfId="12904" xr:uid="{9B2BABCE-4921-4F8A-97C4-9FDE4F07980B}"/>
    <cellStyle name="Normal 19 5 5 6" xfId="12905" xr:uid="{5D2B7775-5662-45C3-9DF7-70734612B8B0}"/>
    <cellStyle name="Normal 19 5 6" xfId="12906" xr:uid="{CE47E711-F46A-4957-8BF6-13F7C3091B58}"/>
    <cellStyle name="Normal 19 5 6 2" xfId="12907" xr:uid="{3838D932-524A-495A-887F-B64F1FECBB94}"/>
    <cellStyle name="Normal 19 5 6 3" xfId="12908" xr:uid="{D034E268-A2BD-4A9A-9542-4B02A0CA091A}"/>
    <cellStyle name="Normal 19 5 6 4" xfId="12909" xr:uid="{35ECD356-FC80-49E2-99FF-813E9D99263E}"/>
    <cellStyle name="Normal 19 5 6 5" xfId="12910" xr:uid="{8D2753BA-9DDC-4931-9CA1-4177E3DB94D4}"/>
    <cellStyle name="Normal 19 5 6 6" xfId="12911" xr:uid="{3FE63A08-3993-468D-85D8-7159DE1C8CE0}"/>
    <cellStyle name="Normal 19 5 7" xfId="12912" xr:uid="{C2BEA760-ABA2-427A-BBDC-5A0325A06229}"/>
    <cellStyle name="Normal 19 5 7 2" xfId="12913" xr:uid="{7E1359EB-5E08-4828-851A-A7F2B5DBDAE3}"/>
    <cellStyle name="Normal 19 5 7 3" xfId="12914" xr:uid="{D96A4A28-A9F4-49F8-8B31-396462ECD71D}"/>
    <cellStyle name="Normal 19 5 7 4" xfId="12915" xr:uid="{B9AB2B54-251C-4B0E-8FBB-142631AF28F7}"/>
    <cellStyle name="Normal 19 5 7 5" xfId="12916" xr:uid="{190CCDB2-D432-4943-8586-9F5DED2E1505}"/>
    <cellStyle name="Normal 19 5 7 6" xfId="12917" xr:uid="{5A653480-B608-41BD-9AED-D8086EA0A197}"/>
    <cellStyle name="Normal 19 5 8" xfId="12918" xr:uid="{F66ED5A7-A9FA-4F4D-A3AD-2C3B75723360}"/>
    <cellStyle name="Normal 19 5 8 2" xfId="12919" xr:uid="{ACA4E9DA-10D9-46C8-815C-AD34E2CD19EA}"/>
    <cellStyle name="Normal 19 5 8 3" xfId="12920" xr:uid="{25B2F70C-70DE-4C01-B286-4F471CF9AF5E}"/>
    <cellStyle name="Normal 19 5 8 4" xfId="12921" xr:uid="{CC5F5FC5-E344-47C3-A982-E0B6B81EA1B7}"/>
    <cellStyle name="Normal 19 5 8 5" xfId="12922" xr:uid="{FAE92F26-69E1-4431-9A3B-6CCA476EC8A4}"/>
    <cellStyle name="Normal 19 5 8 6" xfId="12923" xr:uid="{FA7A287B-6B5E-4E4E-B77F-FC9A3722F06E}"/>
    <cellStyle name="Normal 19 5 9" xfId="12924" xr:uid="{7E19667F-75E7-4D1C-AE6E-7C689332F58C}"/>
    <cellStyle name="Normal 19 6" xfId="12925" xr:uid="{79CEED1D-6B3A-4D27-A696-5550CAED77C4}"/>
    <cellStyle name="Normal 19 6 10" xfId="12926" xr:uid="{451724B9-0EF5-4856-B824-26DD58E48844}"/>
    <cellStyle name="Normal 19 6 11" xfId="12927" xr:uid="{1DDDF680-D114-443B-BD8C-61E57B975D9B}"/>
    <cellStyle name="Normal 19 6 12" xfId="12928" xr:uid="{C39A2372-E1C9-49BC-A0AE-292E6DD0AD58}"/>
    <cellStyle name="Normal 19 6 13" xfId="12929" xr:uid="{B53BCF25-D519-426D-9CF0-97CA58FA1E22}"/>
    <cellStyle name="Normal 19 6 2" xfId="12930" xr:uid="{9D861B9A-1688-4775-A757-33565AA21E64}"/>
    <cellStyle name="Normal 19 6 2 2" xfId="12931" xr:uid="{A2FE532D-3542-4FCD-A969-68AF6774D3AA}"/>
    <cellStyle name="Normal 19 6 2 3" xfId="12932" xr:uid="{1E64085D-E138-481B-B9A3-0D36ABF11504}"/>
    <cellStyle name="Normal 19 6 2 4" xfId="12933" xr:uid="{8470B87F-4A5D-46A1-B5C6-2C270A78C94E}"/>
    <cellStyle name="Normal 19 6 2 5" xfId="12934" xr:uid="{AE2E285A-EFEC-4C93-BA13-B70661F34CD7}"/>
    <cellStyle name="Normal 19 6 2 6" xfId="12935" xr:uid="{6CC79869-A36C-494A-83C3-3E37F9B8CB77}"/>
    <cellStyle name="Normal 19 6 3" xfId="12936" xr:uid="{ABC3CB7A-A5EA-43C4-8FBC-B316E2DD7D53}"/>
    <cellStyle name="Normal 19 6 3 2" xfId="12937" xr:uid="{B95A1EE8-98E1-4C9C-8E7E-3E8177E6E08C}"/>
    <cellStyle name="Normal 19 6 3 3" xfId="12938" xr:uid="{59686145-D1B0-4A7D-A3E4-E62359F15D2F}"/>
    <cellStyle name="Normal 19 6 3 4" xfId="12939" xr:uid="{C47E5DFA-18A8-4788-812B-75CDE5894AC2}"/>
    <cellStyle name="Normal 19 6 3 5" xfId="12940" xr:uid="{24DA42B2-449D-4A17-B82D-863F4D0F16C3}"/>
    <cellStyle name="Normal 19 6 3 6" xfId="12941" xr:uid="{26B9B3B9-B488-43B6-ACDB-F6424D26B67F}"/>
    <cellStyle name="Normal 19 6 4" xfId="12942" xr:uid="{A494B840-5023-4028-A7C6-7BEE6A3EAA02}"/>
    <cellStyle name="Normal 19 6 4 2" xfId="12943" xr:uid="{DA4D9DF3-0DA1-4EA1-B41B-A5E2DD8D92C5}"/>
    <cellStyle name="Normal 19 6 4 3" xfId="12944" xr:uid="{CF8F7347-9143-4D00-9410-53E87E81C186}"/>
    <cellStyle name="Normal 19 6 4 4" xfId="12945" xr:uid="{72F577F8-CF36-4234-821E-67008BC5530A}"/>
    <cellStyle name="Normal 19 6 4 5" xfId="12946" xr:uid="{D9A60651-C716-4227-8121-44EA01E37D78}"/>
    <cellStyle name="Normal 19 6 4 6" xfId="12947" xr:uid="{A4B11239-3BE4-4052-8952-9A226167BE85}"/>
    <cellStyle name="Normal 19 6 5" xfId="12948" xr:uid="{3D373B43-3126-4B0F-B3D4-4AC5E26162AA}"/>
    <cellStyle name="Normal 19 6 5 2" xfId="12949" xr:uid="{BBF11CAB-7123-45EE-9A67-57D95F60FA2C}"/>
    <cellStyle name="Normal 19 6 5 3" xfId="12950" xr:uid="{163B2AFF-909F-4DDA-A5BF-F817DF7B6E91}"/>
    <cellStyle name="Normal 19 6 5 4" xfId="12951" xr:uid="{91AFC53E-A2B0-48D9-96C5-8E88CC55E17E}"/>
    <cellStyle name="Normal 19 6 5 5" xfId="12952" xr:uid="{2E5F0EAD-7575-4231-9D26-817FF9B0ED8B}"/>
    <cellStyle name="Normal 19 6 5 6" xfId="12953" xr:uid="{36409854-1064-418A-9C0C-D80E6BFA8EF8}"/>
    <cellStyle name="Normal 19 6 6" xfId="12954" xr:uid="{26D1D5DC-2578-4A03-8B86-5287FAD9CB59}"/>
    <cellStyle name="Normal 19 6 6 2" xfId="12955" xr:uid="{5DEE0193-2F6B-4C84-928B-FB537575F1F0}"/>
    <cellStyle name="Normal 19 6 6 3" xfId="12956" xr:uid="{243B7711-AC56-4762-A7ED-DC198F77FFE0}"/>
    <cellStyle name="Normal 19 6 6 4" xfId="12957" xr:uid="{FB8524CA-1ECF-4858-AFA1-8E9FC32C379F}"/>
    <cellStyle name="Normal 19 6 6 5" xfId="12958" xr:uid="{A5857D14-40F3-4D45-AA48-C58C73EA9430}"/>
    <cellStyle name="Normal 19 6 6 6" xfId="12959" xr:uid="{08DE07AC-317E-4413-A21D-6B3CCCC6E8E5}"/>
    <cellStyle name="Normal 19 6 7" xfId="12960" xr:uid="{C6331DF0-9A40-4296-8A8D-0F994C98624A}"/>
    <cellStyle name="Normal 19 6 7 2" xfId="12961" xr:uid="{CA473C17-4FBA-4E3A-AF8F-B4C5041E160F}"/>
    <cellStyle name="Normal 19 6 7 3" xfId="12962" xr:uid="{C7228F2A-399A-498D-9005-50226CBA8BFA}"/>
    <cellStyle name="Normal 19 6 7 4" xfId="12963" xr:uid="{9EA82E86-0719-4F07-8C52-85BCAFDDA427}"/>
    <cellStyle name="Normal 19 6 7 5" xfId="12964" xr:uid="{3E8DF736-5892-4091-B49E-B6FD08291DDC}"/>
    <cellStyle name="Normal 19 6 7 6" xfId="12965" xr:uid="{4F3CD79D-854A-43BB-B02C-E7246CD0232D}"/>
    <cellStyle name="Normal 19 6 8" xfId="12966" xr:uid="{BF0D2A2A-AD7A-4BBD-8091-A0D0AE848BE5}"/>
    <cellStyle name="Normal 19 6 8 2" xfId="12967" xr:uid="{3AC10AD8-9087-4E02-B138-43364434F359}"/>
    <cellStyle name="Normal 19 6 8 3" xfId="12968" xr:uid="{00ABE067-453E-4FEE-BEA4-FE8403E9BF5A}"/>
    <cellStyle name="Normal 19 6 8 4" xfId="12969" xr:uid="{A188280B-A43B-4DB8-A241-A2B544AF81C2}"/>
    <cellStyle name="Normal 19 6 8 5" xfId="12970" xr:uid="{DDE7A348-F4DE-4F68-B790-B329725D1A10}"/>
    <cellStyle name="Normal 19 6 8 6" xfId="12971" xr:uid="{EB9E28AF-F430-4702-8D53-98BE78082097}"/>
    <cellStyle name="Normal 19 6 9" xfId="12972" xr:uid="{4FB314E6-158C-44D6-A679-80A9FE6FB869}"/>
    <cellStyle name="Normal 19 7" xfId="12973" xr:uid="{776EEFE0-1B9C-47F4-AD18-21B7BA26F0BA}"/>
    <cellStyle name="Normal 19 7 10" xfId="12974" xr:uid="{DD574FD8-0389-4492-81CC-F32D29C60B50}"/>
    <cellStyle name="Normal 19 7 11" xfId="12975" xr:uid="{6820CEE9-3E82-4EDE-81A7-5167292FB217}"/>
    <cellStyle name="Normal 19 7 12" xfId="12976" xr:uid="{B7505AF5-2BE2-42D2-98C3-3799D9064CF3}"/>
    <cellStyle name="Normal 19 7 13" xfId="12977" xr:uid="{1BEF9791-4C8A-4A88-9C72-586A7AEA8984}"/>
    <cellStyle name="Normal 19 7 2" xfId="12978" xr:uid="{04DD3DB1-669E-4D04-B732-7D3C16A8680E}"/>
    <cellStyle name="Normal 19 7 2 2" xfId="12979" xr:uid="{63DBBADF-4CB4-4979-9546-807ABFE9D7A4}"/>
    <cellStyle name="Normal 19 7 2 3" xfId="12980" xr:uid="{2D508725-4705-471E-874C-C892F718FDDC}"/>
    <cellStyle name="Normal 19 7 2 4" xfId="12981" xr:uid="{8C354FBA-0F35-450D-B2D7-ACBDAA1DE546}"/>
    <cellStyle name="Normal 19 7 2 5" xfId="12982" xr:uid="{7D527D08-6B80-4EA8-B8E1-1D87EA093D67}"/>
    <cellStyle name="Normal 19 7 2 6" xfId="12983" xr:uid="{14DF2D92-42EF-4F68-BCEB-60928069E2BE}"/>
    <cellStyle name="Normal 19 7 3" xfId="12984" xr:uid="{A3BF5D33-4272-457A-881A-3687859D8353}"/>
    <cellStyle name="Normal 19 7 3 2" xfId="12985" xr:uid="{4FFA7A76-ABCA-4F5D-B0C6-9DA2AEC1C4F3}"/>
    <cellStyle name="Normal 19 7 3 3" xfId="12986" xr:uid="{6EE7AF16-EDA0-42C3-81E4-2CBB3D8F01F4}"/>
    <cellStyle name="Normal 19 7 3 4" xfId="12987" xr:uid="{6B1F098F-08AE-427D-A50C-6A0F9654A031}"/>
    <cellStyle name="Normal 19 7 3 5" xfId="12988" xr:uid="{B32F1211-F7CD-4777-B1C3-227C3311D51B}"/>
    <cellStyle name="Normal 19 7 3 6" xfId="12989" xr:uid="{9D70AB03-CD38-495F-846D-4B290CE47824}"/>
    <cellStyle name="Normal 19 7 4" xfId="12990" xr:uid="{98A24DA8-76E1-441D-9865-2EF78A27302B}"/>
    <cellStyle name="Normal 19 7 4 2" xfId="12991" xr:uid="{27F5B0F3-CD2E-40B9-90EC-655B065C691A}"/>
    <cellStyle name="Normal 19 7 4 3" xfId="12992" xr:uid="{7121741E-3138-4F5A-B1C1-594CB40A43DC}"/>
    <cellStyle name="Normal 19 7 4 4" xfId="12993" xr:uid="{026704AC-4C75-487C-B939-A9606526FA37}"/>
    <cellStyle name="Normal 19 7 4 5" xfId="12994" xr:uid="{AEB43F0F-EF85-4C2D-AF6F-0318E0550115}"/>
    <cellStyle name="Normal 19 7 4 6" xfId="12995" xr:uid="{503674F6-C136-458D-A477-C96FFB97117D}"/>
    <cellStyle name="Normal 19 7 5" xfId="12996" xr:uid="{E0C2CD01-B740-48B6-905C-634C3691009C}"/>
    <cellStyle name="Normal 19 7 5 2" xfId="12997" xr:uid="{1429F9BC-F03A-4D8E-A384-5CDC0C3E0BA9}"/>
    <cellStyle name="Normal 19 7 5 3" xfId="12998" xr:uid="{F91175FA-94D6-4661-8998-12609BCD9B5C}"/>
    <cellStyle name="Normal 19 7 5 4" xfId="12999" xr:uid="{61E563B9-6B1A-448F-AB6E-08B427B3A375}"/>
    <cellStyle name="Normal 19 7 5 5" xfId="13000" xr:uid="{B445D032-7AC2-455E-A0A2-6CAE7BE4156A}"/>
    <cellStyle name="Normal 19 7 5 6" xfId="13001" xr:uid="{94E7AC7A-358C-4860-810A-F0D35D8E93FA}"/>
    <cellStyle name="Normal 19 7 6" xfId="13002" xr:uid="{49719373-4FCC-41A9-A9CA-23CC1B1D50D0}"/>
    <cellStyle name="Normal 19 7 6 2" xfId="13003" xr:uid="{71FB9FD0-1F4F-4BF3-9FB6-4FA29B368112}"/>
    <cellStyle name="Normal 19 7 6 3" xfId="13004" xr:uid="{D09A2496-455E-4F2F-A5E2-2D78206CB9A5}"/>
    <cellStyle name="Normal 19 7 6 4" xfId="13005" xr:uid="{CEB3CC97-B978-4D51-A2DF-088CBF4C9473}"/>
    <cellStyle name="Normal 19 7 6 5" xfId="13006" xr:uid="{5AAF0C31-E2B2-423E-AEE5-9B26B2BE67C1}"/>
    <cellStyle name="Normal 19 7 6 6" xfId="13007" xr:uid="{0EA0E2A5-F021-480D-A4AA-81DBA6FC9643}"/>
    <cellStyle name="Normal 19 7 7" xfId="13008" xr:uid="{CE395355-FE68-4C16-B5BE-FB7773C2013D}"/>
    <cellStyle name="Normal 19 7 7 2" xfId="13009" xr:uid="{39E4AA9C-88DB-48B1-AD1F-C25F8AC1E845}"/>
    <cellStyle name="Normal 19 7 7 3" xfId="13010" xr:uid="{BA386977-E0F7-496A-A395-11F089F23203}"/>
    <cellStyle name="Normal 19 7 7 4" xfId="13011" xr:uid="{60C8B0FF-02BB-41D0-A22F-C674647D3789}"/>
    <cellStyle name="Normal 19 7 7 5" xfId="13012" xr:uid="{D2CB9392-24EB-4003-AC3D-BC00B2213273}"/>
    <cellStyle name="Normal 19 7 7 6" xfId="13013" xr:uid="{3F50C077-0DEF-46C7-8ECD-1B41B9007906}"/>
    <cellStyle name="Normal 19 7 8" xfId="13014" xr:uid="{7B906514-4E1D-4167-8EE6-807938FBB0AC}"/>
    <cellStyle name="Normal 19 7 8 2" xfId="13015" xr:uid="{8047D4B2-13DC-4DAC-8A05-ABE5D94F5AB8}"/>
    <cellStyle name="Normal 19 7 8 3" xfId="13016" xr:uid="{A87D7163-7DD7-4B37-A33C-EE54CE2CDB1B}"/>
    <cellStyle name="Normal 19 7 8 4" xfId="13017" xr:uid="{2E3F7FBE-B8F1-477B-B04E-39902C39F6AE}"/>
    <cellStyle name="Normal 19 7 8 5" xfId="13018" xr:uid="{31ABAC00-ACED-4618-B9A3-F960131CE2CF}"/>
    <cellStyle name="Normal 19 7 8 6" xfId="13019" xr:uid="{38F62195-99C8-4400-9DC1-CA2DD8CAD6FC}"/>
    <cellStyle name="Normal 19 7 9" xfId="13020" xr:uid="{BE3BA97A-0CCD-496C-B599-EDC06E2D5BB1}"/>
    <cellStyle name="Normal 19 8" xfId="13021" xr:uid="{F3277368-4FEC-4791-936F-F3A7E7BD4B60}"/>
    <cellStyle name="Normal 19 8 10" xfId="13022" xr:uid="{BD05E8AC-061F-4A49-85A3-8BED849D6DE9}"/>
    <cellStyle name="Normal 19 8 11" xfId="13023" xr:uid="{E3C6371D-8951-46E2-A770-758102841B93}"/>
    <cellStyle name="Normal 19 8 12" xfId="13024" xr:uid="{FA3D9A01-A483-405A-B73F-1AA7A52554B7}"/>
    <cellStyle name="Normal 19 8 13" xfId="13025" xr:uid="{38A298F5-25F0-4841-A22B-FA8D85894FB7}"/>
    <cellStyle name="Normal 19 8 2" xfId="13026" xr:uid="{BB793560-B5C3-41ED-8177-EA59FA2CB6CD}"/>
    <cellStyle name="Normal 19 8 2 2" xfId="13027" xr:uid="{BE91E831-93EE-450C-890E-75565E6A6B1F}"/>
    <cellStyle name="Normal 19 8 2 3" xfId="13028" xr:uid="{0809D0A4-B936-4D4B-BCD1-9AA0D054A792}"/>
    <cellStyle name="Normal 19 8 2 4" xfId="13029" xr:uid="{448E2DCC-13A9-4621-8192-B424081C6B17}"/>
    <cellStyle name="Normal 19 8 2 5" xfId="13030" xr:uid="{B167F32F-8FFE-4A79-B4BC-2C328FE31AB9}"/>
    <cellStyle name="Normal 19 8 2 6" xfId="13031" xr:uid="{CE97925C-98A9-41FC-8205-3118CC8DE692}"/>
    <cellStyle name="Normal 19 8 3" xfId="13032" xr:uid="{690950B2-0A19-44B2-BFBC-82A4AB6EE41E}"/>
    <cellStyle name="Normal 19 8 3 2" xfId="13033" xr:uid="{EBE2AD81-15DC-4495-9EDE-9A6FA8C7E0C1}"/>
    <cellStyle name="Normal 19 8 3 3" xfId="13034" xr:uid="{6E8F8599-2D23-42D9-8840-832E0FE59A2A}"/>
    <cellStyle name="Normal 19 8 3 4" xfId="13035" xr:uid="{E67F8FE1-5AFB-4456-A688-59538CAEE1B0}"/>
    <cellStyle name="Normal 19 8 3 5" xfId="13036" xr:uid="{42A3C0F0-14F1-4990-B574-B1D5C268AB73}"/>
    <cellStyle name="Normal 19 8 3 6" xfId="13037" xr:uid="{EE89C12E-89F1-491F-AAB6-018263DC23D0}"/>
    <cellStyle name="Normal 19 8 4" xfId="13038" xr:uid="{42407E8B-6FF1-4C48-A8A9-5D6E2288350E}"/>
    <cellStyle name="Normal 19 8 4 2" xfId="13039" xr:uid="{3C52D411-CD00-4074-BE81-223D8DA30CFA}"/>
    <cellStyle name="Normal 19 8 4 3" xfId="13040" xr:uid="{70B77FF5-77F2-44B5-9B80-09E625593015}"/>
    <cellStyle name="Normal 19 8 4 4" xfId="13041" xr:uid="{E60F168D-F5F5-4CCA-896C-F714C93E2C1E}"/>
    <cellStyle name="Normal 19 8 4 5" xfId="13042" xr:uid="{099FF773-EB32-4865-B924-8A558F8C0C03}"/>
    <cellStyle name="Normal 19 8 4 6" xfId="13043" xr:uid="{DCA7C771-133F-4BDA-8717-8C06EB1D99D0}"/>
    <cellStyle name="Normal 19 8 5" xfId="13044" xr:uid="{C6E9EF31-D70E-4F52-8366-99DA63E31BE7}"/>
    <cellStyle name="Normal 19 8 5 2" xfId="13045" xr:uid="{9B9CCD85-6587-4856-829A-B68787BDA6E5}"/>
    <cellStyle name="Normal 19 8 5 3" xfId="13046" xr:uid="{42431F16-216A-4C7C-8E51-B5591BB4286E}"/>
    <cellStyle name="Normal 19 8 5 4" xfId="13047" xr:uid="{B7FF0319-7747-4E00-806F-A11864279AC2}"/>
    <cellStyle name="Normal 19 8 5 5" xfId="13048" xr:uid="{61BA09D1-A178-4527-980F-D8D07D9BF3D8}"/>
    <cellStyle name="Normal 19 8 5 6" xfId="13049" xr:uid="{7ADA808E-D789-4ACC-82DB-FB64C4272817}"/>
    <cellStyle name="Normal 19 8 6" xfId="13050" xr:uid="{E54DD404-4E5A-4FE4-B506-2B612BF80EEA}"/>
    <cellStyle name="Normal 19 8 6 2" xfId="13051" xr:uid="{0601BC58-E919-4B79-A998-265C15FF12BC}"/>
    <cellStyle name="Normal 19 8 6 3" xfId="13052" xr:uid="{CB181043-3A6A-4E73-BC77-AE663B956719}"/>
    <cellStyle name="Normal 19 8 6 4" xfId="13053" xr:uid="{02EE6F83-C918-4D51-B950-4683F1C4700C}"/>
    <cellStyle name="Normal 19 8 6 5" xfId="13054" xr:uid="{2FF04D0C-CB92-47E2-91D4-78E84819E870}"/>
    <cellStyle name="Normal 19 8 6 6" xfId="13055" xr:uid="{BFB02331-C3F2-4E81-8C4E-E4D802279460}"/>
    <cellStyle name="Normal 19 8 7" xfId="13056" xr:uid="{3DC1B0EE-0585-4555-903E-3BDA4423B79C}"/>
    <cellStyle name="Normal 19 8 7 2" xfId="13057" xr:uid="{C5FB28F5-DCFB-48E0-8BE6-F39F1587F27A}"/>
    <cellStyle name="Normal 19 8 7 3" xfId="13058" xr:uid="{56CF2A30-0DDD-475E-814A-8063FB4B8339}"/>
    <cellStyle name="Normal 19 8 7 4" xfId="13059" xr:uid="{F848A36C-7EFB-43F5-B698-F49309A2BD42}"/>
    <cellStyle name="Normal 19 8 7 5" xfId="13060" xr:uid="{430ECD7D-5DCE-4A4A-988E-10E5CE687B51}"/>
    <cellStyle name="Normal 19 8 7 6" xfId="13061" xr:uid="{76D100D6-0AE2-4D45-B002-FAC1821266FF}"/>
    <cellStyle name="Normal 19 8 8" xfId="13062" xr:uid="{1EB2D532-E687-4A14-B594-0285A819DD0B}"/>
    <cellStyle name="Normal 19 8 8 2" xfId="13063" xr:uid="{5828FFA4-360F-4AFD-A1E8-CF8265A569A7}"/>
    <cellStyle name="Normal 19 8 8 3" xfId="13064" xr:uid="{DE496EF6-B1F3-42AC-AD17-005625B5F52A}"/>
    <cellStyle name="Normal 19 8 8 4" xfId="13065" xr:uid="{7AEE1AC3-A7E8-4572-89AD-3C346460DCCF}"/>
    <cellStyle name="Normal 19 8 8 5" xfId="13066" xr:uid="{A6DF431E-5788-4796-ADAD-4FD730167800}"/>
    <cellStyle name="Normal 19 8 8 6" xfId="13067" xr:uid="{006EBF9C-7600-45CB-95EC-FCB1AD6B4F8D}"/>
    <cellStyle name="Normal 19 8 9" xfId="13068" xr:uid="{868E1C5B-9601-4FDF-9E0C-0022195C2358}"/>
    <cellStyle name="Normal 19 9" xfId="13069" xr:uid="{58E5D668-BDB6-4E08-8A1C-2D134DEB0EF7}"/>
    <cellStyle name="Normal 19 9 10" xfId="13070" xr:uid="{F214A56A-7AED-4101-8C8D-F95757038E5D}"/>
    <cellStyle name="Normal 19 9 11" xfId="13071" xr:uid="{86E4813B-2346-407F-B6D3-5275AAE3C85B}"/>
    <cellStyle name="Normal 19 9 12" xfId="13072" xr:uid="{0714E4D3-81E2-4A83-ABAC-7A13A1875088}"/>
    <cellStyle name="Normal 19 9 13" xfId="13073" xr:uid="{4A800124-7D53-4BD3-8C83-DBFAE1B0CEE3}"/>
    <cellStyle name="Normal 19 9 2" xfId="13074" xr:uid="{8DB7307F-4E43-44C9-8E66-38C2F0F96F5E}"/>
    <cellStyle name="Normal 19 9 2 2" xfId="13075" xr:uid="{799DC5DF-AD18-416E-A242-DBC120EA4828}"/>
    <cellStyle name="Normal 19 9 2 3" xfId="13076" xr:uid="{3553FC2B-B4BB-4418-A147-FE5376750F08}"/>
    <cellStyle name="Normal 19 9 2 4" xfId="13077" xr:uid="{553CEB5B-B0F7-4523-880A-B28BDD21518A}"/>
    <cellStyle name="Normal 19 9 2 5" xfId="13078" xr:uid="{11D4BB78-1F8F-4BEE-9F5F-1C6AFC4411DB}"/>
    <cellStyle name="Normal 19 9 2 6" xfId="13079" xr:uid="{D93A7956-E646-4FAB-BAD2-2431FA6C2177}"/>
    <cellStyle name="Normal 19 9 3" xfId="13080" xr:uid="{C4D00B78-71FA-413D-90AD-8E8A746AA45C}"/>
    <cellStyle name="Normal 19 9 3 2" xfId="13081" xr:uid="{58A4BDA5-F421-4DA2-8692-BA588CF39A0F}"/>
    <cellStyle name="Normal 19 9 3 3" xfId="13082" xr:uid="{76669297-32D6-473D-BCEC-EC7C61DD7D33}"/>
    <cellStyle name="Normal 19 9 3 4" xfId="13083" xr:uid="{D390ECDE-1CFB-432B-B6A2-82D85655A381}"/>
    <cellStyle name="Normal 19 9 3 5" xfId="13084" xr:uid="{3A7D3BC2-C71A-4371-B34A-9D76F8C54BB4}"/>
    <cellStyle name="Normal 19 9 3 6" xfId="13085" xr:uid="{541AD3C4-A792-4DB8-BA6E-2EB39252986D}"/>
    <cellStyle name="Normal 19 9 4" xfId="13086" xr:uid="{6D265B0B-BC86-478A-BD0A-E7CFE86DBFFE}"/>
    <cellStyle name="Normal 19 9 4 2" xfId="13087" xr:uid="{E4DA0004-ABFD-44E5-AE6C-BD8FB920CE23}"/>
    <cellStyle name="Normal 19 9 4 3" xfId="13088" xr:uid="{6CB9E8FC-07D9-45B3-8FFD-704E3AE42F52}"/>
    <cellStyle name="Normal 19 9 4 4" xfId="13089" xr:uid="{A0BC84B1-4119-4166-B688-76598E1F9AC8}"/>
    <cellStyle name="Normal 19 9 4 5" xfId="13090" xr:uid="{F21BC721-C609-4FF9-9578-C15EC8CEE319}"/>
    <cellStyle name="Normal 19 9 4 6" xfId="13091" xr:uid="{DC0F8AA6-986B-432A-BF64-9D359B39D850}"/>
    <cellStyle name="Normal 19 9 5" xfId="13092" xr:uid="{D6A40A5E-A114-40F2-B57D-9482266579C6}"/>
    <cellStyle name="Normal 19 9 5 2" xfId="13093" xr:uid="{C8325F03-14C1-46A3-A3F0-E2E31329A9FA}"/>
    <cellStyle name="Normal 19 9 5 3" xfId="13094" xr:uid="{B82076FD-F6D3-4F02-B81F-763BC5B53FE3}"/>
    <cellStyle name="Normal 19 9 5 4" xfId="13095" xr:uid="{A34D75D5-4274-464D-8984-B615D11FCDF9}"/>
    <cellStyle name="Normal 19 9 5 5" xfId="13096" xr:uid="{8939393C-A068-43D9-AC0A-F40D138665E4}"/>
    <cellStyle name="Normal 19 9 5 6" xfId="13097" xr:uid="{086F26FF-2B7E-473E-9FF4-6EFFCD14E727}"/>
    <cellStyle name="Normal 19 9 6" xfId="13098" xr:uid="{C8D63BA8-41BC-4401-A101-930DBDCBE1EE}"/>
    <cellStyle name="Normal 19 9 6 2" xfId="13099" xr:uid="{C845F534-F15A-4C3D-BDDE-0C1F9E50B39A}"/>
    <cellStyle name="Normal 19 9 6 3" xfId="13100" xr:uid="{5D7E8594-AD96-4EEA-8B0E-8CB926D77064}"/>
    <cellStyle name="Normal 19 9 6 4" xfId="13101" xr:uid="{86F98EC2-2ED9-4D70-83BB-F8F8DEAF8329}"/>
    <cellStyle name="Normal 19 9 6 5" xfId="13102" xr:uid="{EF41BBFC-87DA-42ED-8105-F7E21396FC29}"/>
    <cellStyle name="Normal 19 9 6 6" xfId="13103" xr:uid="{026EB648-E6CF-46A0-9BE7-0B3F5D896499}"/>
    <cellStyle name="Normal 19 9 7" xfId="13104" xr:uid="{4DE61BA6-B645-4B09-ABFD-A0C1FA4544A5}"/>
    <cellStyle name="Normal 19 9 7 2" xfId="13105" xr:uid="{D9A95B4F-F010-451D-BFEE-9B9EAB45CDDF}"/>
    <cellStyle name="Normal 19 9 7 3" xfId="13106" xr:uid="{EB87C1C7-AD41-4ACE-A404-6CB44F1215EC}"/>
    <cellStyle name="Normal 19 9 7 4" xfId="13107" xr:uid="{0E5EE231-65D7-4778-A7DB-9421AF64CB61}"/>
    <cellStyle name="Normal 19 9 7 5" xfId="13108" xr:uid="{13735E78-11B5-45C6-914E-9FC8A62FE56B}"/>
    <cellStyle name="Normal 19 9 7 6" xfId="13109" xr:uid="{D6B38566-8CB8-4961-AD2A-B2ED7EE9A6E9}"/>
    <cellStyle name="Normal 19 9 8" xfId="13110" xr:uid="{BE74168C-4519-446B-AEA7-447957F45B38}"/>
    <cellStyle name="Normal 19 9 8 2" xfId="13111" xr:uid="{826919F4-A5E6-4561-AA93-1742728E0148}"/>
    <cellStyle name="Normal 19 9 8 3" xfId="13112" xr:uid="{D35ABF25-EB15-478F-B7CC-6046DC82F8CD}"/>
    <cellStyle name="Normal 19 9 8 4" xfId="13113" xr:uid="{6BE96898-7AC6-4F21-8DEA-CFF3D4F416DE}"/>
    <cellStyle name="Normal 19 9 8 5" xfId="13114" xr:uid="{21A84174-0D04-4D10-B231-98D155088101}"/>
    <cellStyle name="Normal 19 9 8 6" xfId="13115" xr:uid="{6E868E86-B9EF-4673-96BB-DCBF6A1004A3}"/>
    <cellStyle name="Normal 19 9 9" xfId="13116" xr:uid="{008306BE-DEFC-4200-A6A8-B61A8318BA93}"/>
    <cellStyle name="Normal 2" xfId="857" xr:uid="{BA927EF1-3D6B-407F-AC53-9159E5A2F415}"/>
    <cellStyle name="Normal 2 10" xfId="6" xr:uid="{00000000-0005-0000-0000-000007000000}"/>
    <cellStyle name="Normal 2 10 10" xfId="13118" xr:uid="{D112BEBA-F256-4C4E-B29C-7CDA8DD81FDF}"/>
    <cellStyle name="Normal 2 10 11" xfId="13119" xr:uid="{AD396825-4E31-420B-981D-75B1BBB82213}"/>
    <cellStyle name="Normal 2 10 12" xfId="13120" xr:uid="{464D8B81-D0E4-4650-92A4-ACF71A54DBBA}"/>
    <cellStyle name="Normal 2 10 13" xfId="13121" xr:uid="{298D103E-D71E-4456-9E05-26C0F45E48B6}"/>
    <cellStyle name="Normal 2 10 14" xfId="13122" xr:uid="{42F41F1E-5F41-419B-9CE5-704C0516663A}"/>
    <cellStyle name="Normal 2 10 15" xfId="13123" xr:uid="{FD480C51-6B65-49C1-8323-A67D443945A3}"/>
    <cellStyle name="Normal 2 10 16" xfId="13124" xr:uid="{7712694A-377E-4996-993A-D3C2D4E8D4F9}"/>
    <cellStyle name="Normal 2 10 17" xfId="13125" xr:uid="{40FDFFFF-8F06-4E0D-83FB-B58A13981B5C}"/>
    <cellStyle name="Normal 2 10 18" xfId="13126" xr:uid="{341958DC-5C88-452A-9ABA-31DCB5BD63C3}"/>
    <cellStyle name="Normal 2 10 19" xfId="13127" xr:uid="{1CD7A24B-08AC-4F27-8BB6-1F39DB7CD5FF}"/>
    <cellStyle name="Normal 2 10 2" xfId="13128" xr:uid="{D644488C-83EC-4AAB-BBE5-1358C6056F93}"/>
    <cellStyle name="Normal 2 10 2 2" xfId="13129" xr:uid="{33A9F325-7583-440F-8AD7-303221FE1575}"/>
    <cellStyle name="Normal 2 10 2 2 2" xfId="13130" xr:uid="{DE98628D-E2A1-4CB5-B7C2-428F461A95FF}"/>
    <cellStyle name="Normal 2 10 2 2 2 2" xfId="13131" xr:uid="{043EC0A5-16CF-4EFB-BE09-C1BB11693294}"/>
    <cellStyle name="Normal 2 10 2 2 2 3" xfId="13132" xr:uid="{629A5172-B229-4360-9A1E-F9462846847D}"/>
    <cellStyle name="Normal 2 10 20" xfId="13133" xr:uid="{F481BCC9-7CBE-44B8-A745-BC00847A0CC0}"/>
    <cellStyle name="Normal 2 10 21" xfId="13134" xr:uid="{1210E2D0-8BD0-4367-8E9A-F95758E48BA5}"/>
    <cellStyle name="Normal 2 10 22" xfId="13135" xr:uid="{DF09290A-8B2C-44C2-BAA5-96C3CD5C0FFE}"/>
    <cellStyle name="Normal 2 10 23" xfId="13136" xr:uid="{7A7DD788-C190-4232-9206-E53A7BDC6FA4}"/>
    <cellStyle name="Normal 2 10 24" xfId="13137" xr:uid="{7BF359D4-4AF2-45FF-8E74-A05FDD441543}"/>
    <cellStyle name="Normal 2 10 25" xfId="13138" xr:uid="{31B4FD3A-1368-4E97-B23E-DE2CC4C4D241}"/>
    <cellStyle name="Normal 2 10 26" xfId="13139" xr:uid="{90435098-973A-4CEC-A32E-9F5B6EB65355}"/>
    <cellStyle name="Normal 2 10 27" xfId="13140" xr:uid="{4353A8D1-30BA-48DF-B579-E79D4BF9103D}"/>
    <cellStyle name="Normal 2 10 28" xfId="13141" xr:uid="{E609F7AD-1E41-4105-ACCE-BFDF501DDD4C}"/>
    <cellStyle name="Normal 2 10 29" xfId="13142" xr:uid="{11D5E844-8CF3-49CF-955E-ED5F5C9243EA}"/>
    <cellStyle name="Normal 2 10 3" xfId="13143" xr:uid="{D3F26C9E-0771-41DC-9A29-D603ADDC1236}"/>
    <cellStyle name="Normal 2 10 30" xfId="13144" xr:uid="{E19802A4-D836-485E-BEFE-EE8824F2215E}"/>
    <cellStyle name="Normal 2 10 31" xfId="13145" xr:uid="{AADB3186-7A9C-48CE-AED0-67188584DCA9}"/>
    <cellStyle name="Normal 2 10 32" xfId="13146" xr:uid="{3F9DF36D-BFDC-4D39-BFAF-DA4446B3CB7A}"/>
    <cellStyle name="Normal 2 10 33" xfId="13147" xr:uid="{CB85A93B-FC81-458E-9792-EF9362CEE559}"/>
    <cellStyle name="Normal 2 10 34" xfId="13148" xr:uid="{4FE51766-CF78-4374-83FC-E81D73D128EE}"/>
    <cellStyle name="Normal 2 10 35" xfId="13149" xr:uid="{BE8B800F-2181-40ED-A93E-AFE210817529}"/>
    <cellStyle name="Normal 2 10 36" xfId="13150" xr:uid="{25CD0CF8-E941-4EE6-A9DC-9F7EBF4067F1}"/>
    <cellStyle name="Normal 2 10 37" xfId="13151" xr:uid="{3EDC5567-2863-4CD1-8599-194FE74B3994}"/>
    <cellStyle name="Normal 2 10 38" xfId="13152" xr:uid="{02EDB88C-F8EF-4AE5-9ECF-135AA30093AF}"/>
    <cellStyle name="Normal 2 10 39" xfId="13153" xr:uid="{5D2BB339-3016-41C4-922A-7CC1574AE527}"/>
    <cellStyle name="Normal 2 10 4" xfId="13154" xr:uid="{DECF6923-A07C-4E4B-B52C-215204830204}"/>
    <cellStyle name="Normal 2 10 40" xfId="13155" xr:uid="{339EE7DD-7F43-4BEB-91A3-14ABCF045E52}"/>
    <cellStyle name="Normal 2 10 41" xfId="13156" xr:uid="{57ECE07E-882C-428C-9688-23CB2AE8676D}"/>
    <cellStyle name="Normal 2 10 42" xfId="13157" xr:uid="{34D5FC9D-93A2-4E3D-BAB4-01CB4506C72D}"/>
    <cellStyle name="Normal 2 10 43" xfId="13158" xr:uid="{DE411810-3775-4A11-B75B-9652530A740A}"/>
    <cellStyle name="Normal 2 10 44" xfId="13159" xr:uid="{D32A493A-A2EA-4808-AD18-D107C099160F}"/>
    <cellStyle name="Normal 2 10 45" xfId="13160" xr:uid="{1772D1BE-5A06-4C22-9B67-204E27BCBE2E}"/>
    <cellStyle name="Normal 2 10 46" xfId="13161" xr:uid="{2CDF5046-C29B-4756-B78E-156E7D9DDB17}"/>
    <cellStyle name="Normal 2 10 47" xfId="13162" xr:uid="{15AFA9CD-8FEF-431C-8988-297519FFC620}"/>
    <cellStyle name="Normal 2 10 48" xfId="13163" xr:uid="{E84B4E6D-8063-4990-99FA-5C89659FC7FC}"/>
    <cellStyle name="Normal 2 10 49" xfId="13164" xr:uid="{49D16CF0-7C1C-47F2-BF06-0B67B160DA31}"/>
    <cellStyle name="Normal 2 10 5" xfId="13165" xr:uid="{87F5CD02-09B7-4BDC-AB17-66B39BB4DDE2}"/>
    <cellStyle name="Normal 2 10 50" xfId="13166" xr:uid="{B3CC99D5-4995-4061-9913-43D3A5E2F1AC}"/>
    <cellStyle name="Normal 2 10 51" xfId="13167" xr:uid="{2F8D4DCF-87E5-4FE6-9DCB-66F822987E5C}"/>
    <cellStyle name="Normal 2 10 52" xfId="13168" xr:uid="{17263DC4-2129-4087-9FE4-B6738780B44A}"/>
    <cellStyle name="Normal 2 10 53" xfId="13169" xr:uid="{AC17B1BF-7930-403E-93C0-D18A881C2627}"/>
    <cellStyle name="Normal 2 10 54" xfId="13117" xr:uid="{318B9696-E7D7-4B3B-A38A-F8D2901208FE}"/>
    <cellStyle name="Normal 2 10 6" xfId="13170" xr:uid="{F5369C1E-2563-4E72-A480-A23B62074481}"/>
    <cellStyle name="Normal 2 10 7" xfId="13171" xr:uid="{2F3842E8-8A70-4948-AB0D-C6FD9827885B}"/>
    <cellStyle name="Normal 2 10 8" xfId="13172" xr:uid="{40799105-D087-442B-9B9F-985B4DE3B134}"/>
    <cellStyle name="Normal 2 10 9" xfId="13173" xr:uid="{494DEB82-77C7-43CA-A055-E5FF54E021A3}"/>
    <cellStyle name="Normal 2 100" xfId="43583" xr:uid="{B2BDA0A1-5E92-4455-8044-6DC8B84098A0}"/>
    <cellStyle name="Normal 2 101" xfId="43976" xr:uid="{C9152C43-633F-48D3-9E04-F13C5610495D}"/>
    <cellStyle name="Normal 2 11" xfId="13174" xr:uid="{12FBBF3B-037A-4B5F-9B63-EA21E122906F}"/>
    <cellStyle name="Normal 2 11 10" xfId="13175" xr:uid="{DC2BD6B2-6EAF-4160-B836-EA8D2B43D02B}"/>
    <cellStyle name="Normal 2 11 11" xfId="13176" xr:uid="{703AFB95-0215-4097-83F1-98A301B41EB5}"/>
    <cellStyle name="Normal 2 11 12" xfId="13177" xr:uid="{99B7B49D-29DE-494C-87C8-204B482831D5}"/>
    <cellStyle name="Normal 2 11 13" xfId="13178" xr:uid="{F0214C5A-9C8D-4789-9F0E-4FAF97459330}"/>
    <cellStyle name="Normal 2 11 14" xfId="13179" xr:uid="{6BA24C6A-4929-4D5F-AAE9-380DC13B695B}"/>
    <cellStyle name="Normal 2 11 15" xfId="13180" xr:uid="{C8D6986A-89C9-40F9-AE13-06C09AC9A548}"/>
    <cellStyle name="Normal 2 11 16" xfId="13181" xr:uid="{6422C8C3-7206-4ADE-A595-D804B6E4778B}"/>
    <cellStyle name="Normal 2 11 17" xfId="13182" xr:uid="{C6BCD7A9-7575-483F-AD7F-6ECB38785D03}"/>
    <cellStyle name="Normal 2 11 18" xfId="13183" xr:uid="{6CC7BD65-A925-4312-8C2E-A72197F634E9}"/>
    <cellStyle name="Normal 2 11 19" xfId="13184" xr:uid="{4DF191C9-A5F7-498B-A4CB-67DC1410A1BD}"/>
    <cellStyle name="Normal 2 11 2" xfId="13185" xr:uid="{FD672811-B0D9-453C-AE91-39A60F288413}"/>
    <cellStyle name="Normal 2 11 20" xfId="13186" xr:uid="{A918029F-3950-44FD-B798-58EAC0E8C704}"/>
    <cellStyle name="Normal 2 11 21" xfId="13187" xr:uid="{805EAEA5-86F3-428B-9B6A-A32277817A20}"/>
    <cellStyle name="Normal 2 11 22" xfId="13188" xr:uid="{3ED0184C-22D1-41BD-A469-B579EAEEDAF8}"/>
    <cellStyle name="Normal 2 11 23" xfId="13189" xr:uid="{B976F00A-5C6B-45CC-B144-4A53E24A5C0F}"/>
    <cellStyle name="Normal 2 11 24" xfId="13190" xr:uid="{10EA6ADF-BAFC-4FBC-9E40-FF28DAC179D9}"/>
    <cellStyle name="Normal 2 11 25" xfId="13191" xr:uid="{8B8B3BA8-A565-4097-B765-2AF85FD1D964}"/>
    <cellStyle name="Normal 2 11 26" xfId="13192" xr:uid="{A6CC9C2E-5195-461B-80D5-FCD89601638A}"/>
    <cellStyle name="Normal 2 11 27" xfId="13193" xr:uid="{4C9E0988-EB4E-40FD-8635-72F74E61F638}"/>
    <cellStyle name="Normal 2 11 28" xfId="13194" xr:uid="{F8C67D99-7083-47BB-A954-A701FF59BC11}"/>
    <cellStyle name="Normal 2 11 29" xfId="13195" xr:uid="{E979A5A8-7EDE-46E9-8355-2CF7371422C0}"/>
    <cellStyle name="Normal 2 11 3" xfId="13196" xr:uid="{03C7EDE2-F3EE-4C02-A261-ED2328630246}"/>
    <cellStyle name="Normal 2 11 30" xfId="13197" xr:uid="{C870D20F-7280-4D6B-88E9-6B4A532E0B34}"/>
    <cellStyle name="Normal 2 11 31" xfId="13198" xr:uid="{8CD19C38-A33D-4950-A21D-07B5FD221C4F}"/>
    <cellStyle name="Normal 2 11 32" xfId="13199" xr:uid="{7BD3DC6B-A6D7-40A9-BC9B-8CD17D8E094C}"/>
    <cellStyle name="Normal 2 11 33" xfId="13200" xr:uid="{0D325BB2-D97B-4EA1-A8D7-BB6CF76E8129}"/>
    <cellStyle name="Normal 2 11 34" xfId="13201" xr:uid="{2EA36366-D168-4737-B78B-D0AB95CE93F9}"/>
    <cellStyle name="Normal 2 11 35" xfId="13202" xr:uid="{6ACD5093-C5AB-49B7-9446-81AE75DD071B}"/>
    <cellStyle name="Normal 2 11 36" xfId="13203" xr:uid="{E777DF56-9553-408A-9603-752012AC5ED2}"/>
    <cellStyle name="Normal 2 11 37" xfId="13204" xr:uid="{83ABC767-EBC4-48CE-A740-0835F490B608}"/>
    <cellStyle name="Normal 2 11 38" xfId="13205" xr:uid="{42CB2814-0696-43D7-8B25-6022C566F78C}"/>
    <cellStyle name="Normal 2 11 39" xfId="13206" xr:uid="{09DE9DDD-3105-450E-B376-47B4F24FB1D0}"/>
    <cellStyle name="Normal 2 11 4" xfId="13207" xr:uid="{1C4DDD49-D2CF-4188-9020-6F4E5207416A}"/>
    <cellStyle name="Normal 2 11 40" xfId="13208" xr:uid="{3D22190D-46BC-40DC-B235-4612EA0BDC86}"/>
    <cellStyle name="Normal 2 11 41" xfId="13209" xr:uid="{8628D70D-84C0-4A0F-8A9C-A07E90A8904B}"/>
    <cellStyle name="Normal 2 11 42" xfId="13210" xr:uid="{00BC119D-6FF6-4166-ADF8-F9C7BAD3449D}"/>
    <cellStyle name="Normal 2 11 43" xfId="13211" xr:uid="{B7EA3596-82FF-4F6C-A17E-C7288BB76507}"/>
    <cellStyle name="Normal 2 11 44" xfId="13212" xr:uid="{D69D4508-193B-4720-9641-407C87712D60}"/>
    <cellStyle name="Normal 2 11 45" xfId="13213" xr:uid="{C6F3B550-CA46-4585-BBDC-C99284272FE6}"/>
    <cellStyle name="Normal 2 11 46" xfId="13214" xr:uid="{5E5A950D-95CD-4269-BF94-DDE80EE95FC6}"/>
    <cellStyle name="Normal 2 11 47" xfId="13215" xr:uid="{2BAEC58A-7A3F-4713-B7C8-E165E5A40321}"/>
    <cellStyle name="Normal 2 11 48" xfId="13216" xr:uid="{CFE2ADE4-F104-46C2-BECE-E668C534C307}"/>
    <cellStyle name="Normal 2 11 49" xfId="13217" xr:uid="{A51E3534-6199-4D34-A40B-87762AE72297}"/>
    <cellStyle name="Normal 2 11 5" xfId="13218" xr:uid="{B2B2B618-2084-4247-A233-03A340C26CB1}"/>
    <cellStyle name="Normal 2 11 50" xfId="13219" xr:uid="{12D43BA3-BB5F-4585-A72F-E0EFD2A173CE}"/>
    <cellStyle name="Normal 2 11 51" xfId="13220" xr:uid="{63D745A6-41F6-42FE-9E49-9BB4B425A719}"/>
    <cellStyle name="Normal 2 11 52" xfId="13221" xr:uid="{699A531F-9125-4075-AE13-037E81ACEF9F}"/>
    <cellStyle name="Normal 2 11 53" xfId="13222" xr:uid="{1A7D77D6-82CA-40BB-9335-5E86822FAC60}"/>
    <cellStyle name="Normal 2 11 6" xfId="13223" xr:uid="{DA41CF6E-F2F5-4D26-B042-B7C81CA7AEAB}"/>
    <cellStyle name="Normal 2 11 7" xfId="13224" xr:uid="{7498E1EF-0C0E-4989-916B-422193F7AAE9}"/>
    <cellStyle name="Normal 2 11 8" xfId="13225" xr:uid="{6F1EE87F-BC9D-424D-9B74-2E2CB26E36FD}"/>
    <cellStyle name="Normal 2 11 9" xfId="13226" xr:uid="{04DCC57C-52A2-4DDA-B646-CF43B0D11B4F}"/>
    <cellStyle name="Normal 2 12" xfId="13227" xr:uid="{FC5FD417-D4B1-4639-B4DE-0FA370F91323}"/>
    <cellStyle name="Normal 2 12 10" xfId="13228" xr:uid="{D4A39958-C3E6-4C79-B513-424585212D48}"/>
    <cellStyle name="Normal 2 12 11" xfId="13229" xr:uid="{9A1DC501-E4ED-4B86-A994-D1EBF0C34BF5}"/>
    <cellStyle name="Normal 2 12 12" xfId="13230" xr:uid="{3326895F-F578-46F4-B512-B24BC791445E}"/>
    <cellStyle name="Normal 2 12 13" xfId="13231" xr:uid="{94AEF8EA-57B6-49C6-A347-FDB0DFD5D51C}"/>
    <cellStyle name="Normal 2 12 14" xfId="13232" xr:uid="{A7427B1E-A52C-4009-B682-CBFE00DCF7B7}"/>
    <cellStyle name="Normal 2 12 15" xfId="13233" xr:uid="{0E794BAE-BDA7-4A32-88F5-352C8508EBB1}"/>
    <cellStyle name="Normal 2 12 16" xfId="13234" xr:uid="{B04625FA-5A5E-4FF3-A34D-5E94A6CFC5A7}"/>
    <cellStyle name="Normal 2 12 17" xfId="13235" xr:uid="{99096F94-B361-4A6E-83FD-A3BBFC2B0F43}"/>
    <cellStyle name="Normal 2 12 18" xfId="13236" xr:uid="{1F15900B-4833-4312-9E43-15069F3F70AA}"/>
    <cellStyle name="Normal 2 12 19" xfId="13237" xr:uid="{7B3B6382-29EA-4CFA-A194-814E8ACC65DD}"/>
    <cellStyle name="Normal 2 12 2" xfId="13238" xr:uid="{27420F90-FE02-4564-BDEA-4188E4480E92}"/>
    <cellStyle name="Normal 2 12 20" xfId="13239" xr:uid="{B443FA5F-8641-4FE2-8402-09495C4203CE}"/>
    <cellStyle name="Normal 2 12 21" xfId="13240" xr:uid="{6A7B9271-AC38-4F95-AD10-2B637C87DA1C}"/>
    <cellStyle name="Normal 2 12 22" xfId="13241" xr:uid="{CC78DC9A-2104-4991-B6D9-5E6244CFD11F}"/>
    <cellStyle name="Normal 2 12 23" xfId="13242" xr:uid="{99AC2ADC-4742-44E7-8393-D61035FCFCB8}"/>
    <cellStyle name="Normal 2 12 24" xfId="13243" xr:uid="{CBACB036-9569-4B63-92D9-418B5080E721}"/>
    <cellStyle name="Normal 2 12 25" xfId="13244" xr:uid="{A0346AB9-4E49-496E-9022-B2410BAD9873}"/>
    <cellStyle name="Normal 2 12 26" xfId="13245" xr:uid="{678F5D93-7275-4602-9D5D-A0BEFE51850F}"/>
    <cellStyle name="Normal 2 12 27" xfId="13246" xr:uid="{41860B32-3584-46A9-8F7F-6833A5112702}"/>
    <cellStyle name="Normal 2 12 28" xfId="13247" xr:uid="{91B61234-728F-4BAD-901E-C1010FAD28AA}"/>
    <cellStyle name="Normal 2 12 29" xfId="13248" xr:uid="{118DE05F-3C6C-48BD-A420-A6285AC202B0}"/>
    <cellStyle name="Normal 2 12 3" xfId="13249" xr:uid="{5BB6DB8C-B070-4B46-A130-9087BAAEED50}"/>
    <cellStyle name="Normal 2 12 30" xfId="13250" xr:uid="{0EEB7573-ECBF-4638-A529-C46A784E4C32}"/>
    <cellStyle name="Normal 2 12 31" xfId="13251" xr:uid="{175165A3-D07E-4C23-9596-A1C9CFBFD21E}"/>
    <cellStyle name="Normal 2 12 32" xfId="13252" xr:uid="{57839B57-FFE8-4B90-9CE4-B2378D8D527C}"/>
    <cellStyle name="Normal 2 12 33" xfId="13253" xr:uid="{B1E19B43-1FBA-4504-8B59-22E38573E676}"/>
    <cellStyle name="Normal 2 12 34" xfId="13254" xr:uid="{D22650A4-232F-42CA-B3D2-4BCF9EE8D662}"/>
    <cellStyle name="Normal 2 12 35" xfId="13255" xr:uid="{BC9341A8-F349-4214-BB36-ECF3043A37F7}"/>
    <cellStyle name="Normal 2 12 36" xfId="13256" xr:uid="{D5234072-7C7E-4237-8A1B-9C17F6F85CE5}"/>
    <cellStyle name="Normal 2 12 37" xfId="13257" xr:uid="{41F4F2B8-C578-4354-9CEB-86083CB6C862}"/>
    <cellStyle name="Normal 2 12 38" xfId="13258" xr:uid="{D3A1747A-6D0E-4B47-8223-8D7089E9D4CD}"/>
    <cellStyle name="Normal 2 12 39" xfId="13259" xr:uid="{53EC54EE-878F-4D5B-B1EC-71C74DD193F2}"/>
    <cellStyle name="Normal 2 12 4" xfId="13260" xr:uid="{240B090D-BBAA-4CAE-A2C7-A4CBF5E8B896}"/>
    <cellStyle name="Normal 2 12 40" xfId="13261" xr:uid="{94365A9F-F02B-43B0-AE7E-DC4FADD81E7D}"/>
    <cellStyle name="Normal 2 12 41" xfId="13262" xr:uid="{7831215E-6BA7-448A-AE9C-C71E71A24EEF}"/>
    <cellStyle name="Normal 2 12 42" xfId="13263" xr:uid="{E9BD5EA1-DAFD-40B7-97E3-52EF3B5CFA6F}"/>
    <cellStyle name="Normal 2 12 43" xfId="13264" xr:uid="{EEC6F9D9-BCA7-4038-97CB-1AF4E3658E49}"/>
    <cellStyle name="Normal 2 12 44" xfId="13265" xr:uid="{52BED71F-0940-481D-9B94-C507401F74A4}"/>
    <cellStyle name="Normal 2 12 45" xfId="13266" xr:uid="{60B8D054-1164-4CDC-8E7F-8B3F977DEDF9}"/>
    <cellStyle name="Normal 2 12 46" xfId="13267" xr:uid="{E0864B3E-2F08-45EF-B88A-97C631378B18}"/>
    <cellStyle name="Normal 2 12 47" xfId="13268" xr:uid="{9E881353-03BA-4535-8C5B-57A91F0423F5}"/>
    <cellStyle name="Normal 2 12 48" xfId="13269" xr:uid="{7E9408EF-3866-4C91-A203-6F59C3D92A96}"/>
    <cellStyle name="Normal 2 12 49" xfId="13270" xr:uid="{4B10BAFC-596C-484A-B12F-6A8A87F36DE8}"/>
    <cellStyle name="Normal 2 12 5" xfId="13271" xr:uid="{1D5CA3A1-478C-4F03-B1A6-6288A62098C7}"/>
    <cellStyle name="Normal 2 12 50" xfId="13272" xr:uid="{B791CA8A-FBD9-4AFE-B3AB-DB4B24AF0431}"/>
    <cellStyle name="Normal 2 12 51" xfId="13273" xr:uid="{131B9F9E-D31D-42EC-8FD3-82633B26D155}"/>
    <cellStyle name="Normal 2 12 52" xfId="13274" xr:uid="{01315825-9F81-458B-B80B-40C241266E45}"/>
    <cellStyle name="Normal 2 12 53" xfId="13275" xr:uid="{7D872B34-C91A-474B-A0A1-4B3773C91F07}"/>
    <cellStyle name="Normal 2 12 6" xfId="13276" xr:uid="{51C1AF16-6687-45E8-90D8-D3BD7306A23B}"/>
    <cellStyle name="Normal 2 12 7" xfId="13277" xr:uid="{B2D000FF-D449-4E80-B439-78774311EDD6}"/>
    <cellStyle name="Normal 2 12 8" xfId="13278" xr:uid="{F2ECC3BE-13DF-4F10-8B50-A73D8EE20B74}"/>
    <cellStyle name="Normal 2 12 9" xfId="13279" xr:uid="{03ECF790-0294-4F56-98B6-370E127741C9}"/>
    <cellStyle name="Normal 2 13" xfId="13280" xr:uid="{F9A598B1-BCF7-40F0-9B2C-D749F1EC8F63}"/>
    <cellStyle name="Normal 2 13 10" xfId="13281" xr:uid="{ECA3147C-4537-4FDC-9251-269A9984231D}"/>
    <cellStyle name="Normal 2 13 11" xfId="13282" xr:uid="{BF45E8E8-131B-4FA8-AA75-29DE2F77E57B}"/>
    <cellStyle name="Normal 2 13 12" xfId="13283" xr:uid="{E2D02E9C-562C-45AD-A8C1-E4B2C7B99D0D}"/>
    <cellStyle name="Normal 2 13 13" xfId="13284" xr:uid="{D69D4A76-70C5-4952-8229-15ABAC52B76B}"/>
    <cellStyle name="Normal 2 13 14" xfId="13285" xr:uid="{DEA89C45-D3AF-43F4-BF34-D3AF96E50A2E}"/>
    <cellStyle name="Normal 2 13 15" xfId="13286" xr:uid="{E979CC33-0421-4EE2-80AD-CCC760E850D0}"/>
    <cellStyle name="Normal 2 13 16" xfId="13287" xr:uid="{E877FCB6-5479-4B8D-B30F-7D015014799F}"/>
    <cellStyle name="Normal 2 13 17" xfId="13288" xr:uid="{1EF57457-334E-42ED-8590-AB03A1C1072E}"/>
    <cellStyle name="Normal 2 13 18" xfId="13289" xr:uid="{6EB22761-6B40-4B46-8C83-20A0E1A7B59A}"/>
    <cellStyle name="Normal 2 13 19" xfId="13290" xr:uid="{250464F0-E917-4858-B202-597E64434B6F}"/>
    <cellStyle name="Normal 2 13 2" xfId="13291" xr:uid="{08571E4A-4777-475B-9DA2-1A7C15255764}"/>
    <cellStyle name="Normal 2 13 20" xfId="13292" xr:uid="{BC98B948-5E5D-43A3-AD2C-BC059F31AF61}"/>
    <cellStyle name="Normal 2 13 21" xfId="13293" xr:uid="{323942F6-3322-4551-A5B9-99D3E7579696}"/>
    <cellStyle name="Normal 2 13 22" xfId="13294" xr:uid="{CBB90C8E-6247-44F9-BCC4-D2177F025B9D}"/>
    <cellStyle name="Normal 2 13 23" xfId="13295" xr:uid="{612C5D12-5E3B-4F3F-98B7-D4D4B3F0E6CD}"/>
    <cellStyle name="Normal 2 13 24" xfId="13296" xr:uid="{1D349F1D-7029-4E4E-8382-DA197974BF33}"/>
    <cellStyle name="Normal 2 13 25" xfId="13297" xr:uid="{2BD576D8-81D4-4801-AB46-09556BE5E4EE}"/>
    <cellStyle name="Normal 2 13 26" xfId="13298" xr:uid="{B1BBFC99-5739-4329-ABF5-BC4925AE63F1}"/>
    <cellStyle name="Normal 2 13 27" xfId="13299" xr:uid="{1F0FA754-2CF6-4F6D-9EB4-19FBC3646CD4}"/>
    <cellStyle name="Normal 2 13 28" xfId="13300" xr:uid="{1F0865D9-DF8C-499A-B089-229A3622B8E7}"/>
    <cellStyle name="Normal 2 13 29" xfId="13301" xr:uid="{839C057B-17B1-404E-853C-72CF16FCBEB7}"/>
    <cellStyle name="Normal 2 13 3" xfId="13302" xr:uid="{495936CF-C35E-49F8-A2CC-608612E66CF7}"/>
    <cellStyle name="Normal 2 13 30" xfId="13303" xr:uid="{574215C1-F7CB-439F-A4D8-D5CB4CAA1E6B}"/>
    <cellStyle name="Normal 2 13 31" xfId="13304" xr:uid="{B710F6D8-6A05-4BB5-9365-8A18E5927C40}"/>
    <cellStyle name="Normal 2 13 32" xfId="13305" xr:uid="{4F7BBB74-5E31-4F21-93C9-23191F490CC7}"/>
    <cellStyle name="Normal 2 13 33" xfId="13306" xr:uid="{6F91540B-0508-4F86-AF41-974FD83FAFBE}"/>
    <cellStyle name="Normal 2 13 34" xfId="13307" xr:uid="{EF490F92-10D4-4E31-91AF-322C503D012E}"/>
    <cellStyle name="Normal 2 13 35" xfId="13308" xr:uid="{E67CBD00-434D-47A1-AB93-8F310ABCD059}"/>
    <cellStyle name="Normal 2 13 36" xfId="13309" xr:uid="{03691C44-1C96-491D-B0BE-8E8B617ECB8E}"/>
    <cellStyle name="Normal 2 13 37" xfId="13310" xr:uid="{9789F9A0-08A4-4534-B70D-472E942BDB4D}"/>
    <cellStyle name="Normal 2 13 38" xfId="13311" xr:uid="{3A06C184-2E66-47BD-8ED2-AACF1776316E}"/>
    <cellStyle name="Normal 2 13 39" xfId="13312" xr:uid="{5A42B3DF-0800-46F0-99E1-49A23A1022D3}"/>
    <cellStyle name="Normal 2 13 4" xfId="13313" xr:uid="{3945C3F5-2C78-4502-9C8F-864E9CED65DF}"/>
    <cellStyle name="Normal 2 13 40" xfId="13314" xr:uid="{5D4A5F6D-6313-4EF1-BA0F-2E9478D7E4B7}"/>
    <cellStyle name="Normal 2 13 41" xfId="13315" xr:uid="{36AC000F-E1E3-4CDD-9530-4A9B6FD54956}"/>
    <cellStyle name="Normal 2 13 42" xfId="13316" xr:uid="{FF1810A4-C296-423C-BC23-6DED0B551A8F}"/>
    <cellStyle name="Normal 2 13 43" xfId="13317" xr:uid="{A363E505-F602-49FD-BBAC-BFBD34065DA1}"/>
    <cellStyle name="Normal 2 13 44" xfId="13318" xr:uid="{B97C98E3-F93F-49F3-82BD-04659E87011B}"/>
    <cellStyle name="Normal 2 13 45" xfId="13319" xr:uid="{E9AB1AFD-9E72-4275-8EC7-BD9E3EA6C850}"/>
    <cellStyle name="Normal 2 13 46" xfId="13320" xr:uid="{CA2CFA2C-560B-4B1A-B5B6-0F6446CD770B}"/>
    <cellStyle name="Normal 2 13 47" xfId="13321" xr:uid="{B5B14A2F-1106-4EB5-8EC9-3DA09452D046}"/>
    <cellStyle name="Normal 2 13 48" xfId="13322" xr:uid="{A091C3D9-708C-4543-9ADC-716BB8E05615}"/>
    <cellStyle name="Normal 2 13 49" xfId="13323" xr:uid="{E0D7D24D-0520-4728-86F4-9EFC28A08554}"/>
    <cellStyle name="Normal 2 13 5" xfId="13324" xr:uid="{511FAC4F-6BFC-4D71-BFBA-7DDFE44D9937}"/>
    <cellStyle name="Normal 2 13 50" xfId="13325" xr:uid="{DDC3C6DF-CE32-451F-82FE-8E0A2E1DC7EC}"/>
    <cellStyle name="Normal 2 13 51" xfId="13326" xr:uid="{F446D17B-A4F8-4116-9C43-BFBB1056951A}"/>
    <cellStyle name="Normal 2 13 52" xfId="13327" xr:uid="{BB138139-2352-4D5F-81D1-9C6F1B7A6068}"/>
    <cellStyle name="Normal 2 13 53" xfId="13328" xr:uid="{071D3A39-3ADC-4CA4-A6DC-E581F12C891E}"/>
    <cellStyle name="Normal 2 13 54" xfId="13329" xr:uid="{E58744F8-CAE8-4476-977B-3096C5881690}"/>
    <cellStyle name="Normal 2 13 6" xfId="13330" xr:uid="{A9090623-9D4A-4C94-9E45-FD638CB255A0}"/>
    <cellStyle name="Normal 2 13 7" xfId="13331" xr:uid="{8BDCC1E1-D225-4CF2-91EC-1511467C0FA2}"/>
    <cellStyle name="Normal 2 13 8" xfId="13332" xr:uid="{0ED73A47-D679-4899-A196-FE9D46D9ADE5}"/>
    <cellStyle name="Normal 2 13 9" xfId="13333" xr:uid="{5C7CCDC7-0DDF-452B-BD74-C13F31AED4F8}"/>
    <cellStyle name="Normal 2 14" xfId="13334" xr:uid="{05E97C23-C16D-4044-BE52-769CCFB54E5E}"/>
    <cellStyle name="Normal 2 14 10" xfId="13335" xr:uid="{98818A07-3D50-4F8C-93ED-E5C43554FB49}"/>
    <cellStyle name="Normal 2 14 11" xfId="13336" xr:uid="{6D55797C-96E2-4C21-835D-8E58921D5434}"/>
    <cellStyle name="Normal 2 14 12" xfId="13337" xr:uid="{A65D8C16-FF5B-4D45-BD91-40CEABBA7441}"/>
    <cellStyle name="Normal 2 14 13" xfId="13338" xr:uid="{9945F99E-C99A-40FA-B993-0745F7A5BC4D}"/>
    <cellStyle name="Normal 2 14 14" xfId="13339" xr:uid="{EA9612FC-2070-4647-8AA9-DB44F244DA72}"/>
    <cellStyle name="Normal 2 14 15" xfId="13340" xr:uid="{C22335A9-CEB5-42FF-96A6-262E1F22A2FC}"/>
    <cellStyle name="Normal 2 14 16" xfId="13341" xr:uid="{54050350-5D90-4A8B-8FE5-C5D39F22461D}"/>
    <cellStyle name="Normal 2 14 17" xfId="13342" xr:uid="{5058E77E-F273-4E17-97F1-020A808721C0}"/>
    <cellStyle name="Normal 2 14 18" xfId="13343" xr:uid="{E3C2C7F7-8C2E-4D14-AB42-021E610E4811}"/>
    <cellStyle name="Normal 2 14 19" xfId="13344" xr:uid="{2BE2A0A1-4106-48D8-BFBD-58B89D292B96}"/>
    <cellStyle name="Normal 2 14 2" xfId="13345" xr:uid="{70F5C464-BFBB-412E-807D-945502B7090E}"/>
    <cellStyle name="Normal 2 14 20" xfId="13346" xr:uid="{9058F687-65C3-44FB-BDBC-1A893CA16070}"/>
    <cellStyle name="Normal 2 14 21" xfId="13347" xr:uid="{E53F17FD-4E78-41C3-B66D-2001ACD2746D}"/>
    <cellStyle name="Normal 2 14 22" xfId="13348" xr:uid="{A1B20BA1-8096-4173-885C-51F289C7A311}"/>
    <cellStyle name="Normal 2 14 23" xfId="13349" xr:uid="{D1B34666-ADEF-4FF7-94B4-2C7F86653941}"/>
    <cellStyle name="Normal 2 14 24" xfId="13350" xr:uid="{56269702-C217-4DD5-86D0-A0CCBEF6A9A8}"/>
    <cellStyle name="Normal 2 14 25" xfId="13351" xr:uid="{24AF8FE9-C2D7-44E1-9B15-D27E546B12EF}"/>
    <cellStyle name="Normal 2 14 26" xfId="13352" xr:uid="{A0779F14-8C09-4EC1-A42D-74B41F82D227}"/>
    <cellStyle name="Normal 2 14 27" xfId="13353" xr:uid="{D362989A-7A53-4421-857E-0A7B756F4C46}"/>
    <cellStyle name="Normal 2 14 28" xfId="13354" xr:uid="{495A3709-6611-4567-8415-3BB2BC9CE1E5}"/>
    <cellStyle name="Normal 2 14 29" xfId="13355" xr:uid="{BD03DB0E-2ED6-41CA-8956-8C667554DC9C}"/>
    <cellStyle name="Normal 2 14 3" xfId="13356" xr:uid="{F3BA7627-F16C-46F0-9956-7F29AE3FA15F}"/>
    <cellStyle name="Normal 2 14 30" xfId="13357" xr:uid="{72C92E54-4D1D-4160-BE44-F69A1334D39C}"/>
    <cellStyle name="Normal 2 14 31" xfId="13358" xr:uid="{2FE15F29-D7EA-48FD-9818-00CE59E2FD67}"/>
    <cellStyle name="Normal 2 14 32" xfId="13359" xr:uid="{3AF58FFA-F029-4589-864F-8DC351DB34C9}"/>
    <cellStyle name="Normal 2 14 33" xfId="13360" xr:uid="{6E413D43-B18A-43C7-AC9A-925583A53541}"/>
    <cellStyle name="Normal 2 14 34" xfId="13361" xr:uid="{00D3E1EB-AEB1-45FC-8450-39BDA078AFE8}"/>
    <cellStyle name="Normal 2 14 35" xfId="13362" xr:uid="{CF305C54-B44D-469E-B4CA-1592261ED614}"/>
    <cellStyle name="Normal 2 14 36" xfId="13363" xr:uid="{6DDD1195-54DD-4AC4-B5BD-E29FE175067E}"/>
    <cellStyle name="Normal 2 14 37" xfId="13364" xr:uid="{5B73FACC-249B-4850-B514-88D2E6AE4219}"/>
    <cellStyle name="Normal 2 14 38" xfId="13365" xr:uid="{29D6E62E-08D1-40B5-B9E1-10826C0E5911}"/>
    <cellStyle name="Normal 2 14 39" xfId="13366" xr:uid="{F2EB4825-7DCA-4776-AD58-2999FDC3F331}"/>
    <cellStyle name="Normal 2 14 4" xfId="13367" xr:uid="{013F6C3E-518F-493B-9D51-41A687DCB1A6}"/>
    <cellStyle name="Normal 2 14 40" xfId="13368" xr:uid="{D252CC97-5B87-430A-8149-0845E4824862}"/>
    <cellStyle name="Normal 2 14 41" xfId="13369" xr:uid="{C629284D-BFEE-475E-9F54-F968F7D588AE}"/>
    <cellStyle name="Normal 2 14 42" xfId="13370" xr:uid="{740B7623-213C-4678-B7A1-350F7C050BAD}"/>
    <cellStyle name="Normal 2 14 43" xfId="13371" xr:uid="{F19600C5-A105-47F6-89B2-8B824A217171}"/>
    <cellStyle name="Normal 2 14 44" xfId="13372" xr:uid="{A9DF9F15-62DC-4119-8C1F-6BBE73008C7B}"/>
    <cellStyle name="Normal 2 14 45" xfId="13373" xr:uid="{C465EF9B-2785-4AE3-8157-B470215D7A55}"/>
    <cellStyle name="Normal 2 14 46" xfId="13374" xr:uid="{D4CCE228-537F-4EE9-A50C-A18F7BEDA32A}"/>
    <cellStyle name="Normal 2 14 5" xfId="13375" xr:uid="{AE789886-3E70-48E6-9C34-D0A5A7EE415C}"/>
    <cellStyle name="Normal 2 14 6" xfId="13376" xr:uid="{2F4E9B0F-45CA-440E-BAD6-1661CFA478F7}"/>
    <cellStyle name="Normal 2 14 7" xfId="13377" xr:uid="{04FBB254-A69D-4BF2-B205-C60153DA6694}"/>
    <cellStyle name="Normal 2 14 8" xfId="13378" xr:uid="{5C5763E2-AFDD-4588-A216-05A8D696D42C}"/>
    <cellStyle name="Normal 2 14 9" xfId="13379" xr:uid="{2DCB298A-5634-4918-989B-96BD1DC4BEB6}"/>
    <cellStyle name="Normal 2 15" xfId="13380" xr:uid="{32AAE8CF-0A58-4907-8324-FE94B2B051D2}"/>
    <cellStyle name="Normal 2 15 10" xfId="13381" xr:uid="{580ED6F0-4505-4683-B380-44483B5FA1B5}"/>
    <cellStyle name="Normal 2 15 11" xfId="13382" xr:uid="{D00B337A-72E4-49AA-AD74-D1014128F9F7}"/>
    <cellStyle name="Normal 2 15 12" xfId="13383" xr:uid="{F6D68E26-CDF5-4F3F-9E10-1D3346B39D97}"/>
    <cellStyle name="Normal 2 15 13" xfId="13384" xr:uid="{1A68641A-53D9-4E62-936E-9A37814868FA}"/>
    <cellStyle name="Normal 2 15 14" xfId="13385" xr:uid="{FC0C9F9B-5F3C-4B6F-B796-73F5C813E54D}"/>
    <cellStyle name="Normal 2 15 15" xfId="13386" xr:uid="{D6603125-6C8F-4221-A810-7D14C3BCD273}"/>
    <cellStyle name="Normal 2 15 16" xfId="13387" xr:uid="{D0FA2514-687E-4003-AAE5-CE44962077D6}"/>
    <cellStyle name="Normal 2 15 17" xfId="13388" xr:uid="{B1A74971-F227-4391-8314-F0BF0CC96E55}"/>
    <cellStyle name="Normal 2 15 18" xfId="13389" xr:uid="{58274F83-3BBF-4208-B8B3-6F21881833AA}"/>
    <cellStyle name="Normal 2 15 19" xfId="13390" xr:uid="{FD1E842F-735C-466E-9345-3400C4EDAA99}"/>
    <cellStyle name="Normal 2 15 2" xfId="13391" xr:uid="{B1FD60EF-56F7-4D67-B248-52235A41C450}"/>
    <cellStyle name="Normal 2 15 20" xfId="13392" xr:uid="{D99AC6E7-3CC9-4D43-99A6-00EC1C97E183}"/>
    <cellStyle name="Normal 2 15 21" xfId="13393" xr:uid="{F1299F5C-3665-4691-B77E-0862CC50CC96}"/>
    <cellStyle name="Normal 2 15 22" xfId="13394" xr:uid="{4EEEE371-DDDD-45CD-98BC-719C3AED3661}"/>
    <cellStyle name="Normal 2 15 23" xfId="13395" xr:uid="{DE7972EE-E80B-465D-9361-6BC32809A9E9}"/>
    <cellStyle name="Normal 2 15 24" xfId="13396" xr:uid="{6138474F-1485-4DF8-8880-0CF0F74B7FCB}"/>
    <cellStyle name="Normal 2 15 25" xfId="13397" xr:uid="{43AB1D90-177B-450F-A1A0-4B4A9467CBEF}"/>
    <cellStyle name="Normal 2 15 26" xfId="13398" xr:uid="{8C7E7A22-239B-4A4C-A05A-557B3369D90D}"/>
    <cellStyle name="Normal 2 15 27" xfId="13399" xr:uid="{E4D4A94F-E791-437C-9835-4DDC8376B2B6}"/>
    <cellStyle name="Normal 2 15 28" xfId="13400" xr:uid="{38F0E728-387D-4CFC-9395-0225E71F1B3D}"/>
    <cellStyle name="Normal 2 15 29" xfId="13401" xr:uid="{01928558-B18C-4B34-88D8-FD5BDE2D98A2}"/>
    <cellStyle name="Normal 2 15 3" xfId="13402" xr:uid="{1553079B-13DC-4999-927B-588748B9F754}"/>
    <cellStyle name="Normal 2 15 30" xfId="13403" xr:uid="{3D861844-A967-4B0A-B28E-2C9F696CCB06}"/>
    <cellStyle name="Normal 2 15 31" xfId="13404" xr:uid="{EBD6CD23-7D7E-4E9F-BE7F-3500423B5A73}"/>
    <cellStyle name="Normal 2 15 32" xfId="13405" xr:uid="{C30CD06F-76A6-4E9F-8C9E-B45C23964317}"/>
    <cellStyle name="Normal 2 15 33" xfId="13406" xr:uid="{AF0766FE-4BBB-4E4D-BF98-5CCD796F58CA}"/>
    <cellStyle name="Normal 2 15 34" xfId="13407" xr:uid="{6BB93231-3C0B-406D-AF08-BB3FADD3E4E2}"/>
    <cellStyle name="Normal 2 15 35" xfId="13408" xr:uid="{AA32DF55-DB36-4065-B246-6FA5D181BA93}"/>
    <cellStyle name="Normal 2 15 36" xfId="13409" xr:uid="{C300324C-AB06-41ED-A441-676C9E3FEF0A}"/>
    <cellStyle name="Normal 2 15 37" xfId="13410" xr:uid="{45AE98F6-3D46-4AC6-B1DD-A8762E1ACDD5}"/>
    <cellStyle name="Normal 2 15 38" xfId="13411" xr:uid="{575FA47E-6A49-42BE-9846-455BF78E3159}"/>
    <cellStyle name="Normal 2 15 39" xfId="13412" xr:uid="{719B8A80-06CD-4254-BFDB-E5A5A8A93ACF}"/>
    <cellStyle name="Normal 2 15 4" xfId="13413" xr:uid="{A0D300EE-6099-4E7A-A55E-679194D49982}"/>
    <cellStyle name="Normal 2 15 40" xfId="13414" xr:uid="{BEE04A67-208E-4EBB-B16C-80D81F09A9CF}"/>
    <cellStyle name="Normal 2 15 41" xfId="13415" xr:uid="{093A12C9-C625-4B50-8F1E-AAC688DB9053}"/>
    <cellStyle name="Normal 2 15 42" xfId="13416" xr:uid="{5B4AAE37-2C06-4414-A062-E192E09389E0}"/>
    <cellStyle name="Normal 2 15 43" xfId="13417" xr:uid="{ACEB0E28-0DDE-46C8-BCA6-8F8B62606155}"/>
    <cellStyle name="Normal 2 15 44" xfId="13418" xr:uid="{A595AAE2-A335-42F3-9D18-F4B77ECECF5F}"/>
    <cellStyle name="Normal 2 15 45" xfId="13419" xr:uid="{1B42763D-FD02-4004-9B13-2E1E53CF59AC}"/>
    <cellStyle name="Normal 2 15 46" xfId="13420" xr:uid="{36AAF002-92D4-401E-8524-9752460C329A}"/>
    <cellStyle name="Normal 2 15 5" xfId="13421" xr:uid="{6787AADA-D5CE-491A-87B4-03D1A00F908B}"/>
    <cellStyle name="Normal 2 15 6" xfId="13422" xr:uid="{EA8F66C8-A752-44D5-839B-42D1CEFE0342}"/>
    <cellStyle name="Normal 2 15 7" xfId="13423" xr:uid="{DE455E58-D955-4DBF-8141-E9394489DCBD}"/>
    <cellStyle name="Normal 2 15 8" xfId="13424" xr:uid="{68924BF1-3DC0-4836-8C43-956463DAEAB1}"/>
    <cellStyle name="Normal 2 15 9" xfId="13425" xr:uid="{FA7F2A78-5FC9-42F7-A253-E8387FBE62D6}"/>
    <cellStyle name="Normal 2 16" xfId="13426" xr:uid="{9EC7A592-7227-44DC-8DF9-264354871572}"/>
    <cellStyle name="Normal 2 16 10" xfId="13427" xr:uid="{4BD089DC-4D94-4C90-8353-82EFF4FB6724}"/>
    <cellStyle name="Normal 2 16 11" xfId="13428" xr:uid="{47D6A450-AA81-461E-87E8-4B349E228F08}"/>
    <cellStyle name="Normal 2 16 12" xfId="13429" xr:uid="{5FF31DF4-B000-48B6-A81A-16DFCD400D4E}"/>
    <cellStyle name="Normal 2 16 13" xfId="13430" xr:uid="{636E85E7-3F7A-47CF-AE56-21662C95F04D}"/>
    <cellStyle name="Normal 2 16 14" xfId="13431" xr:uid="{844F4A14-08C2-4810-897E-71409036DC09}"/>
    <cellStyle name="Normal 2 16 15" xfId="13432" xr:uid="{EDC5B8EB-C7DE-4514-944F-143ADB8991C6}"/>
    <cellStyle name="Normal 2 16 16" xfId="13433" xr:uid="{2FCEBBEE-3584-4B45-9CED-8AC0BF149705}"/>
    <cellStyle name="Normal 2 16 17" xfId="13434" xr:uid="{B0428F20-F061-4509-B8A3-371AF51D7226}"/>
    <cellStyle name="Normal 2 16 18" xfId="13435" xr:uid="{59463948-3CA0-4A58-B2B1-1FC1E6982165}"/>
    <cellStyle name="Normal 2 16 19" xfId="13436" xr:uid="{2E521E44-8FD7-4DA6-B4A1-A3399968D77C}"/>
    <cellStyle name="Normal 2 16 2" xfId="13437" xr:uid="{572E5444-D5A7-41AB-9B7D-D5AD2641AD3D}"/>
    <cellStyle name="Normal 2 16 20" xfId="13438" xr:uid="{EE0790A2-63F6-44A5-BD9A-143B9DEA058B}"/>
    <cellStyle name="Normal 2 16 21" xfId="13439" xr:uid="{A3A878D2-12C5-4206-B278-56C3ACDC49BB}"/>
    <cellStyle name="Normal 2 16 22" xfId="13440" xr:uid="{8FC109C7-733C-4504-B23D-83AE2EA16F8B}"/>
    <cellStyle name="Normal 2 16 23" xfId="13441" xr:uid="{7401ACEB-36E9-40F8-A40B-10D61C9C4254}"/>
    <cellStyle name="Normal 2 16 24" xfId="13442" xr:uid="{71931B81-CF70-434B-8EDB-6F386FDBB3DC}"/>
    <cellStyle name="Normal 2 16 25" xfId="13443" xr:uid="{A49AE050-8D1B-4A38-BD9D-7A658463F9DF}"/>
    <cellStyle name="Normal 2 16 26" xfId="13444" xr:uid="{77CFFE74-CA4E-4D50-9029-F39493B3C7FD}"/>
    <cellStyle name="Normal 2 16 27" xfId="13445" xr:uid="{66833BBD-B224-41A0-946A-943BF9366A19}"/>
    <cellStyle name="Normal 2 16 28" xfId="13446" xr:uid="{E95F530C-0CAC-44E5-8898-7471EC0FA32C}"/>
    <cellStyle name="Normal 2 16 29" xfId="13447" xr:uid="{0681371D-A549-46A8-A973-74E0A52419D7}"/>
    <cellStyle name="Normal 2 16 3" xfId="13448" xr:uid="{53D87709-26F6-4820-A97E-576F97B2FF32}"/>
    <cellStyle name="Normal 2 16 30" xfId="13449" xr:uid="{C570F32A-3684-4AA9-9CDD-FF1795E2BC4C}"/>
    <cellStyle name="Normal 2 16 31" xfId="13450" xr:uid="{F866B5C2-E0D1-42FF-B1A1-D5C85A8EDD85}"/>
    <cellStyle name="Normal 2 16 32" xfId="13451" xr:uid="{1CDDD951-A9DF-4547-8EB1-40956618382B}"/>
    <cellStyle name="Normal 2 16 33" xfId="13452" xr:uid="{89499476-5FBC-489C-9ADD-E6316BE35E85}"/>
    <cellStyle name="Normal 2 16 34" xfId="13453" xr:uid="{27989873-DDE8-44F2-A13F-564335DB4552}"/>
    <cellStyle name="Normal 2 16 35" xfId="13454" xr:uid="{F4F60E9B-4394-41F8-A025-D303AE86AAE4}"/>
    <cellStyle name="Normal 2 16 36" xfId="13455" xr:uid="{5CDB71DC-E37D-4ECD-9BD5-8B27FCE95EA7}"/>
    <cellStyle name="Normal 2 16 37" xfId="13456" xr:uid="{DA60C493-7D6D-48F5-BF6D-330596D7B215}"/>
    <cellStyle name="Normal 2 16 38" xfId="13457" xr:uid="{86972367-28DE-4440-B4EF-9E9D3442DE19}"/>
    <cellStyle name="Normal 2 16 39" xfId="13458" xr:uid="{39EBEF15-CF2E-4CCA-8019-4714BD619D8C}"/>
    <cellStyle name="Normal 2 16 4" xfId="13459" xr:uid="{5BDB777C-10CB-4C3F-865A-678EF6C200FE}"/>
    <cellStyle name="Normal 2 16 40" xfId="13460" xr:uid="{458698ED-D707-4A25-B3FB-883B5BDF8B3C}"/>
    <cellStyle name="Normal 2 16 41" xfId="13461" xr:uid="{E8A6F5D2-FB90-44E1-B950-A97B022A260D}"/>
    <cellStyle name="Normal 2 16 42" xfId="13462" xr:uid="{C7827776-C7CE-491F-A0ED-DD9F23EAB133}"/>
    <cellStyle name="Normal 2 16 43" xfId="13463" xr:uid="{338AAB12-1FBD-4FFC-BE37-36A15231AE61}"/>
    <cellStyle name="Normal 2 16 44" xfId="13464" xr:uid="{4E2677F3-3CD3-4D9B-B9D2-9E9861C37178}"/>
    <cellStyle name="Normal 2 16 45" xfId="13465" xr:uid="{B20C9DC0-AEBF-4C99-81E5-4A9EB631CFC5}"/>
    <cellStyle name="Normal 2 16 46" xfId="13466" xr:uid="{6D8BFAE7-06DF-465D-BACB-355E7324AAB9}"/>
    <cellStyle name="Normal 2 16 5" xfId="13467" xr:uid="{43EDCDF8-22D0-41FA-A741-01DC73EDEF96}"/>
    <cellStyle name="Normal 2 16 6" xfId="13468" xr:uid="{BB8A671F-3CEB-43DC-8781-E9191C3D32EE}"/>
    <cellStyle name="Normal 2 16 7" xfId="13469" xr:uid="{9485A09C-62B2-47B5-90B9-79B29BB9544C}"/>
    <cellStyle name="Normal 2 16 8" xfId="13470" xr:uid="{134B3274-CC4F-4B0C-BFBA-A1913549E471}"/>
    <cellStyle name="Normal 2 16 9" xfId="13471" xr:uid="{37071328-8483-4C28-8803-313E0B6B7A18}"/>
    <cellStyle name="Normal 2 17" xfId="13472" xr:uid="{6F7450FA-089F-495F-9929-C45FB926CE64}"/>
    <cellStyle name="Normal 2 17 10" xfId="13473" xr:uid="{099E25E4-DA1B-4952-B15C-A77E438C173A}"/>
    <cellStyle name="Normal 2 17 11" xfId="13474" xr:uid="{631CF9F7-3C72-4D04-8AE0-67E4620BDC0C}"/>
    <cellStyle name="Normal 2 17 12" xfId="13475" xr:uid="{0EA08D1D-3033-45E5-8F09-1A1824A75048}"/>
    <cellStyle name="Normal 2 17 13" xfId="13476" xr:uid="{5AB8C54C-2F64-425B-92A0-004F2655B92C}"/>
    <cellStyle name="Normal 2 17 14" xfId="13477" xr:uid="{6B4368C8-E718-46D1-BA7D-8DDA1530C527}"/>
    <cellStyle name="Normal 2 17 15" xfId="13478" xr:uid="{16C2184D-D0C3-47FB-BBC2-242463DEC85A}"/>
    <cellStyle name="Normal 2 17 16" xfId="13479" xr:uid="{DB816F31-F5E5-4F33-ADBE-08ABCB6F23B1}"/>
    <cellStyle name="Normal 2 17 17" xfId="13480" xr:uid="{BB42F5FA-4EC9-4D7A-8BCD-01DB8244F0D2}"/>
    <cellStyle name="Normal 2 17 18" xfId="13481" xr:uid="{8C60FF18-B3A5-4F08-817F-24634BE3BCC7}"/>
    <cellStyle name="Normal 2 17 19" xfId="13482" xr:uid="{3F621A05-0400-499F-8897-A899B6FAEC14}"/>
    <cellStyle name="Normal 2 17 2" xfId="13483" xr:uid="{D874838B-764C-43D7-A52A-5452BE736508}"/>
    <cellStyle name="Normal 2 17 20" xfId="13484" xr:uid="{4123AFD1-C860-4D93-89ED-7D92A2A387FD}"/>
    <cellStyle name="Normal 2 17 21" xfId="13485" xr:uid="{F8C7D648-22CC-4D99-896E-B910234CE432}"/>
    <cellStyle name="Normal 2 17 22" xfId="13486" xr:uid="{568742A1-CAF8-4F52-BA1A-E3EB98EA99D2}"/>
    <cellStyle name="Normal 2 17 23" xfId="13487" xr:uid="{371588FB-36F6-425B-8611-7DC3D4A58BE3}"/>
    <cellStyle name="Normal 2 17 24" xfId="13488" xr:uid="{73797086-ED34-4AEB-BEC2-84579117605F}"/>
    <cellStyle name="Normal 2 17 25" xfId="13489" xr:uid="{7D91B4C2-081A-4C84-8222-E93A30D89C5B}"/>
    <cellStyle name="Normal 2 17 26" xfId="13490" xr:uid="{18709A57-3545-4C72-88C1-1FCCAF1E3E9C}"/>
    <cellStyle name="Normal 2 17 27" xfId="13491" xr:uid="{D53DD4FA-8DA0-4FFB-A457-E3069C8AB327}"/>
    <cellStyle name="Normal 2 17 28" xfId="13492" xr:uid="{8C02B689-7404-4C78-936A-0DEADD77B43E}"/>
    <cellStyle name="Normal 2 17 29" xfId="13493" xr:uid="{8ADF35DC-B6ED-4D7A-813F-B8C8A4A23092}"/>
    <cellStyle name="Normal 2 17 3" xfId="13494" xr:uid="{01C8BE5A-9009-45C9-90B7-36624C23CE8F}"/>
    <cellStyle name="Normal 2 17 30" xfId="13495" xr:uid="{E7ED51D3-A6D2-4A33-AE16-98C02036119E}"/>
    <cellStyle name="Normal 2 17 31" xfId="13496" xr:uid="{DBCEBFEB-1C6E-44AE-9898-0C9977599E23}"/>
    <cellStyle name="Normal 2 17 32" xfId="13497" xr:uid="{39C50873-382D-4068-9638-B67A8D8684D3}"/>
    <cellStyle name="Normal 2 17 33" xfId="13498" xr:uid="{F1115DB0-4DB5-436F-8023-8081BCC6DB4C}"/>
    <cellStyle name="Normal 2 17 34" xfId="13499" xr:uid="{D5F8C8EB-0A6E-459C-BDDA-87F9CF9606D8}"/>
    <cellStyle name="Normal 2 17 35" xfId="13500" xr:uid="{FC3DEB0A-C67B-44B0-BA18-85EA46923866}"/>
    <cellStyle name="Normal 2 17 36" xfId="13501" xr:uid="{04E4207A-09EE-4E98-9467-9048E0DD591B}"/>
    <cellStyle name="Normal 2 17 37" xfId="13502" xr:uid="{864E7847-8AED-4A84-B61D-1105F13954F7}"/>
    <cellStyle name="Normal 2 17 38" xfId="13503" xr:uid="{741B179A-FFAC-4E4F-9805-A91EA43A209C}"/>
    <cellStyle name="Normal 2 17 39" xfId="13504" xr:uid="{BA3DC432-4A9A-4193-B0DF-00D7ACD4C82C}"/>
    <cellStyle name="Normal 2 17 4" xfId="13505" xr:uid="{516E4D25-5BF0-4A0C-AD50-781C31077FB3}"/>
    <cellStyle name="Normal 2 17 40" xfId="13506" xr:uid="{574B6373-1ED5-45A3-A61E-373B55FFD5EE}"/>
    <cellStyle name="Normal 2 17 41" xfId="13507" xr:uid="{6878177B-B9EC-49C8-B01D-701098706478}"/>
    <cellStyle name="Normal 2 17 42" xfId="13508" xr:uid="{75722B82-34B9-4107-B6E3-5B911DC695C2}"/>
    <cellStyle name="Normal 2 17 43" xfId="13509" xr:uid="{17C851ED-F3D8-432C-98FD-8CF06A60A738}"/>
    <cellStyle name="Normal 2 17 44" xfId="13510" xr:uid="{1D3E21F3-7525-44A7-90E1-2A9681A955D2}"/>
    <cellStyle name="Normal 2 17 45" xfId="13511" xr:uid="{BD66AC07-6D40-4613-8139-D5126C2A384A}"/>
    <cellStyle name="Normal 2 17 46" xfId="13512" xr:uid="{E1C1C1B8-12D6-4899-9D5E-4E2788FE98C4}"/>
    <cellStyle name="Normal 2 17 5" xfId="13513" xr:uid="{D0AC0266-985A-4DA7-A04F-32F026A6E449}"/>
    <cellStyle name="Normal 2 17 6" xfId="13514" xr:uid="{DDE91205-B97C-40A3-800B-9762E5B091EC}"/>
    <cellStyle name="Normal 2 17 7" xfId="13515" xr:uid="{0C37E804-BF93-4815-BD6A-A2FA14D275FD}"/>
    <cellStyle name="Normal 2 17 8" xfId="13516" xr:uid="{783E3B0B-860C-4C32-95C0-92FCC9405358}"/>
    <cellStyle name="Normal 2 17 9" xfId="13517" xr:uid="{8D8F5E91-49D1-47CC-8591-B4F8D76E943B}"/>
    <cellStyle name="Normal 2 18" xfId="13518" xr:uid="{01F6729E-5896-46FD-A468-6141672A2430}"/>
    <cellStyle name="Normal 2 18 10" xfId="13519" xr:uid="{B833D1DA-BA37-4949-8F51-9EB90808C50E}"/>
    <cellStyle name="Normal 2 18 11" xfId="13520" xr:uid="{606767BB-5577-484E-9F43-11D0CA8B41F8}"/>
    <cellStyle name="Normal 2 18 12" xfId="13521" xr:uid="{AA5956D7-D0AE-48B4-B8BA-DF9164BE0A27}"/>
    <cellStyle name="Normal 2 18 13" xfId="13522" xr:uid="{AD154CE3-D5ED-436A-849C-CC69C4B39F73}"/>
    <cellStyle name="Normal 2 18 14" xfId="13523" xr:uid="{7C7FEFD7-4DD6-4482-9B0B-C599F2546314}"/>
    <cellStyle name="Normal 2 18 15" xfId="13524" xr:uid="{ED7CC584-5238-439E-AF4B-EC19CA14B0B2}"/>
    <cellStyle name="Normal 2 18 16" xfId="13525" xr:uid="{46A947CF-0E76-4762-B1BC-E5F995F65B66}"/>
    <cellStyle name="Normal 2 18 17" xfId="13526" xr:uid="{FD778CDD-4476-4289-B21C-A8BE3478C1C8}"/>
    <cellStyle name="Normal 2 18 18" xfId="13527" xr:uid="{4E40DD4B-1339-47D6-848E-7C32227A8FC0}"/>
    <cellStyle name="Normal 2 18 19" xfId="13528" xr:uid="{899A966C-C5C0-4470-9238-FF332179A314}"/>
    <cellStyle name="Normal 2 18 2" xfId="13529" xr:uid="{CCA89A33-9AC4-45E4-917C-49AC978088AC}"/>
    <cellStyle name="Normal 2 18 20" xfId="13530" xr:uid="{5C295987-B527-4567-86DC-53F25CCF920D}"/>
    <cellStyle name="Normal 2 18 21" xfId="13531" xr:uid="{9C9445E7-BF03-4576-A576-0A570D862452}"/>
    <cellStyle name="Normal 2 18 22" xfId="13532" xr:uid="{5024417D-67E1-4E5E-8E8D-9FAD299015A4}"/>
    <cellStyle name="Normal 2 18 23" xfId="13533" xr:uid="{95E79B75-8D97-462F-BF2E-4E11F50916C9}"/>
    <cellStyle name="Normal 2 18 24" xfId="13534" xr:uid="{2D644D7B-7B58-40DF-8077-80B7ED941434}"/>
    <cellStyle name="Normal 2 18 25" xfId="13535" xr:uid="{84A5AAC4-EF72-44D2-9CB9-010933E1E04E}"/>
    <cellStyle name="Normal 2 18 26" xfId="13536" xr:uid="{5442AF86-FA87-4A41-891B-B563D25D4CF5}"/>
    <cellStyle name="Normal 2 18 27" xfId="13537" xr:uid="{BDACD37E-8176-4A27-AEA5-7D98DBE1AFF1}"/>
    <cellStyle name="Normal 2 18 28" xfId="13538" xr:uid="{403D6F3E-8135-4A36-ACBB-3F5747C16FFF}"/>
    <cellStyle name="Normal 2 18 29" xfId="13539" xr:uid="{1F6DFC96-252E-4D66-B304-876ADBC82385}"/>
    <cellStyle name="Normal 2 18 3" xfId="13540" xr:uid="{97CD31DD-8667-43AD-959B-2916C192AFF1}"/>
    <cellStyle name="Normal 2 18 30" xfId="13541" xr:uid="{E591330A-D53E-4444-A37F-C88022F3B75D}"/>
    <cellStyle name="Normal 2 18 31" xfId="13542" xr:uid="{E507C28D-6289-44B8-9FE9-A259F29EE65E}"/>
    <cellStyle name="Normal 2 18 32" xfId="13543" xr:uid="{96108FF3-4000-4DD6-BEBF-1E8BC7044FA4}"/>
    <cellStyle name="Normal 2 18 33" xfId="13544" xr:uid="{B9A66457-DEA0-46E1-8EEF-587E3CF3C3A9}"/>
    <cellStyle name="Normal 2 18 34" xfId="13545" xr:uid="{1EBF3DE8-5C6A-47C5-A3D0-476C1E080935}"/>
    <cellStyle name="Normal 2 18 35" xfId="13546" xr:uid="{D8895812-99C8-45B3-A3EC-86B498475E08}"/>
    <cellStyle name="Normal 2 18 36" xfId="13547" xr:uid="{36A1A00F-0898-49A4-850E-DB86BA2C8BA6}"/>
    <cellStyle name="Normal 2 18 37" xfId="13548" xr:uid="{9242EDD0-0913-4D22-9B42-249015164F77}"/>
    <cellStyle name="Normal 2 18 38" xfId="13549" xr:uid="{3AED3EB7-C270-4DB4-84A4-F619DF5E8BD8}"/>
    <cellStyle name="Normal 2 18 39" xfId="13550" xr:uid="{4D177544-91CB-412F-8EC6-B6421F63F1B2}"/>
    <cellStyle name="Normal 2 18 4" xfId="13551" xr:uid="{62B2FA97-D917-4549-B2D6-1FC2AAE2BBDB}"/>
    <cellStyle name="Normal 2 18 40" xfId="13552" xr:uid="{0AD343DA-E81B-4005-B872-908016813E4D}"/>
    <cellStyle name="Normal 2 18 41" xfId="13553" xr:uid="{418E8F94-51D4-49B4-9B59-334581BC787B}"/>
    <cellStyle name="Normal 2 18 42" xfId="13554" xr:uid="{8C8A42BF-7200-405F-A291-7AA99B0E8E3B}"/>
    <cellStyle name="Normal 2 18 43" xfId="13555" xr:uid="{6E19830F-6A88-4734-B376-09D53642C04D}"/>
    <cellStyle name="Normal 2 18 44" xfId="13556" xr:uid="{6545F45E-8A04-4B22-90D3-BA2F76D9502D}"/>
    <cellStyle name="Normal 2 18 45" xfId="13557" xr:uid="{98624CEA-3230-48A7-9ACC-07C394B6E7E2}"/>
    <cellStyle name="Normal 2 18 46" xfId="13558" xr:uid="{7A6FEEA8-A966-4B0D-9061-EBDF65E4D3F9}"/>
    <cellStyle name="Normal 2 18 5" xfId="13559" xr:uid="{6B815292-4809-4529-8229-7E389ED6BA95}"/>
    <cellStyle name="Normal 2 18 6" xfId="13560" xr:uid="{F738646E-A3A6-4149-BD62-1F0A45580887}"/>
    <cellStyle name="Normal 2 18 7" xfId="13561" xr:uid="{16844070-7FEC-49C1-B2DE-5D3FA244136A}"/>
    <cellStyle name="Normal 2 18 8" xfId="13562" xr:uid="{0F562648-0F54-4E43-9202-307795803985}"/>
    <cellStyle name="Normal 2 18 9" xfId="13563" xr:uid="{8CF8CE88-0423-4C2F-BDAF-65A5FA3BAA9D}"/>
    <cellStyle name="Normal 2 19" xfId="13564" xr:uid="{CB89C4AE-7F85-4815-9D6B-BEF62E9E4BD8}"/>
    <cellStyle name="Normal 2 19 10" xfId="13565" xr:uid="{B5D7E5AD-E563-48CC-8D2F-1082B17776B1}"/>
    <cellStyle name="Normal 2 19 11" xfId="13566" xr:uid="{88D63205-4A87-4D1A-AE27-11658CF34891}"/>
    <cellStyle name="Normal 2 19 12" xfId="13567" xr:uid="{DD0C013E-542E-4574-8620-2FBE1AC726F5}"/>
    <cellStyle name="Normal 2 19 13" xfId="13568" xr:uid="{04F70EB2-3CBB-4226-8F18-99DEA49A9811}"/>
    <cellStyle name="Normal 2 19 14" xfId="13569" xr:uid="{6F51BC26-A92C-45FE-BDA2-A349C03328E4}"/>
    <cellStyle name="Normal 2 19 15" xfId="13570" xr:uid="{2AEEF5FA-0E4F-484E-8F7F-29B159842202}"/>
    <cellStyle name="Normal 2 19 16" xfId="13571" xr:uid="{7DCF42BF-6799-4403-825E-F7003EAFF541}"/>
    <cellStyle name="Normal 2 19 17" xfId="13572" xr:uid="{BC36B1C6-466E-4DD6-B967-E38808897B1B}"/>
    <cellStyle name="Normal 2 19 18" xfId="13573" xr:uid="{56040781-14AB-4C7D-A2AC-3DBA8DE3D452}"/>
    <cellStyle name="Normal 2 19 19" xfId="13574" xr:uid="{CCF9466B-9BF2-4212-9325-8C89EFCB4CD2}"/>
    <cellStyle name="Normal 2 19 2" xfId="13575" xr:uid="{89BC560F-21FA-4588-B0A3-2F90C01E12C9}"/>
    <cellStyle name="Normal 2 19 20" xfId="13576" xr:uid="{42A5F455-26FC-44FB-98A2-E28FAA5735CC}"/>
    <cellStyle name="Normal 2 19 21" xfId="13577" xr:uid="{51376934-A638-4209-B517-523C544F320D}"/>
    <cellStyle name="Normal 2 19 22" xfId="13578" xr:uid="{DABCFB22-DC90-45B0-AFC7-0EED700B2FF9}"/>
    <cellStyle name="Normal 2 19 23" xfId="13579" xr:uid="{C51F675D-DC12-4970-8718-25A736620A6B}"/>
    <cellStyle name="Normal 2 19 24" xfId="13580" xr:uid="{877F71EE-E894-423E-A247-4E8037CF8B89}"/>
    <cellStyle name="Normal 2 19 25" xfId="13581" xr:uid="{7C9D3DEC-BD9C-48E7-8E42-B29AE62A6F7C}"/>
    <cellStyle name="Normal 2 19 26" xfId="13582" xr:uid="{4B6B147B-DBFC-446D-9579-78704FA8618F}"/>
    <cellStyle name="Normal 2 19 27" xfId="13583" xr:uid="{D365F978-21C8-4021-8424-A9ACCCA09E16}"/>
    <cellStyle name="Normal 2 19 28" xfId="13584" xr:uid="{6CDD16AF-8C19-466D-B600-763257AB26EB}"/>
    <cellStyle name="Normal 2 19 29" xfId="13585" xr:uid="{8FB4EC0A-3A16-4BCF-91CE-6BCA861AC2A9}"/>
    <cellStyle name="Normal 2 19 3" xfId="13586" xr:uid="{EF7C5428-FFA7-4101-8A31-D890C41A912F}"/>
    <cellStyle name="Normal 2 19 30" xfId="13587" xr:uid="{F2005DD6-B758-4BF9-8E1F-8BE5160E2B31}"/>
    <cellStyle name="Normal 2 19 31" xfId="13588" xr:uid="{23FE6106-7133-4037-AE17-4CB0D39EAC39}"/>
    <cellStyle name="Normal 2 19 32" xfId="13589" xr:uid="{9BF527D9-49DB-40F2-8B9C-06473D9AAFFD}"/>
    <cellStyle name="Normal 2 19 33" xfId="13590" xr:uid="{4E7996B2-08F1-4EEB-821E-07469C5B8F1D}"/>
    <cellStyle name="Normal 2 19 34" xfId="13591" xr:uid="{979AF3A2-D80E-4BB6-8148-84D2D731E3DC}"/>
    <cellStyle name="Normal 2 19 35" xfId="13592" xr:uid="{106C3978-C73D-45BA-BD23-32E5E93F1EE0}"/>
    <cellStyle name="Normal 2 19 36" xfId="13593" xr:uid="{B2D7A94E-576A-4B03-B5A0-0AF9B6D62128}"/>
    <cellStyle name="Normal 2 19 37" xfId="13594" xr:uid="{6BD5E697-2324-4C02-B4A4-2F6C143AFC8C}"/>
    <cellStyle name="Normal 2 19 38" xfId="13595" xr:uid="{B9F346B1-1E49-444B-9DD7-4B9E2B955491}"/>
    <cellStyle name="Normal 2 19 39" xfId="13596" xr:uid="{D51C176E-34DE-4BEE-8D43-D1F660DE60F3}"/>
    <cellStyle name="Normal 2 19 4" xfId="13597" xr:uid="{FF2841B9-CF34-4073-9E6E-5E46610BF0EE}"/>
    <cellStyle name="Normal 2 19 40" xfId="13598" xr:uid="{867F32F0-B620-49B0-96F4-E9A0B9862907}"/>
    <cellStyle name="Normal 2 19 41" xfId="13599" xr:uid="{D46C3C47-2AEF-4314-9B6A-FE8962ECCC1E}"/>
    <cellStyle name="Normal 2 19 42" xfId="13600" xr:uid="{6D935358-3BAB-407E-BEDD-8C5B0563C96F}"/>
    <cellStyle name="Normal 2 19 43" xfId="13601" xr:uid="{6CE42732-2699-4FA0-BEC5-D089117E2B20}"/>
    <cellStyle name="Normal 2 19 44" xfId="13602" xr:uid="{1ACA942F-30C0-49B9-8F6C-F30BDF4DFB36}"/>
    <cellStyle name="Normal 2 19 45" xfId="13603" xr:uid="{9F3390A4-0FF8-44E7-8A78-D2A40825F3E0}"/>
    <cellStyle name="Normal 2 19 46" xfId="13604" xr:uid="{CEF2F503-B71D-4040-B308-09895D1FEDFE}"/>
    <cellStyle name="Normal 2 19 5" xfId="13605" xr:uid="{AA94C909-E208-448F-A529-E7300A52B4F6}"/>
    <cellStyle name="Normal 2 19 6" xfId="13606" xr:uid="{9DC52116-76DC-44FD-8719-9DB9A7CEA88D}"/>
    <cellStyle name="Normal 2 19 7" xfId="13607" xr:uid="{B5057741-1EE3-40D0-994F-24DA87E74903}"/>
    <cellStyle name="Normal 2 19 8" xfId="13608" xr:uid="{24A6BF99-F3D5-4272-AE39-DBAC1C45B57D}"/>
    <cellStyle name="Normal 2 19 9" xfId="13609" xr:uid="{5D00E8D3-5A53-44A4-B387-D7A51311692A}"/>
    <cellStyle name="Normal 2 2" xfId="1075" xr:uid="{B42E4474-9E40-44F6-8B5A-C0901DFDE4DC}"/>
    <cellStyle name="Normal 2 2 10" xfId="13610" xr:uid="{7C91C537-A740-4BB4-900D-B4DFCBE7E9E5}"/>
    <cellStyle name="Normal 2 2 10 10" xfId="13611" xr:uid="{E7863DD7-7A65-4762-8221-49F3D2A6ED33}"/>
    <cellStyle name="Normal 2 2 10 11" xfId="13612" xr:uid="{E16D1312-C51D-4C2B-8528-BBC808CB706C}"/>
    <cellStyle name="Normal 2 2 10 12" xfId="13613" xr:uid="{A9028CD0-D349-4A85-90C9-1D74709B8337}"/>
    <cellStyle name="Normal 2 2 10 13" xfId="13614" xr:uid="{5B59E4DD-439F-4A00-8B67-9F3D541AF13A}"/>
    <cellStyle name="Normal 2 2 10 14" xfId="13615" xr:uid="{7BD3D589-EFFF-409C-8620-41B485E89BED}"/>
    <cellStyle name="Normal 2 2 10 2" xfId="13616" xr:uid="{9B579ED2-A8A3-4300-ABB7-4254629E4BF9}"/>
    <cellStyle name="Normal 2 2 10 2 2" xfId="13617" xr:uid="{37FD55B2-6DC5-4C77-9D4F-BA068A75804E}"/>
    <cellStyle name="Normal 2 2 10 2 3" xfId="13618" xr:uid="{1611D0E8-6BCC-4E03-ADE3-65232BE7D4AE}"/>
    <cellStyle name="Normal 2 2 10 2 4" xfId="13619" xr:uid="{BA983A14-6E58-4EC7-AE3D-6ABA71C7D17B}"/>
    <cellStyle name="Normal 2 2 10 2 5" xfId="13620" xr:uid="{E06F1C89-402A-43D7-8B58-47517AB3755B}"/>
    <cellStyle name="Normal 2 2 10 2 6" xfId="13621" xr:uid="{62C52ABD-7630-46F4-B257-40007716D7FE}"/>
    <cellStyle name="Normal 2 2 10 3" xfId="13622" xr:uid="{65D9B847-98B8-46BC-A2DF-1D1F2E8584A4}"/>
    <cellStyle name="Normal 2 2 10 3 2" xfId="13623" xr:uid="{7F6FEC46-9119-498C-8992-1D6C2BF2AD8C}"/>
    <cellStyle name="Normal 2 2 10 3 3" xfId="13624" xr:uid="{F4902982-7517-4CF7-900D-C06366DC9102}"/>
    <cellStyle name="Normal 2 2 10 3 4" xfId="13625" xr:uid="{8A2662E3-31DC-4AEF-A197-F854232BE011}"/>
    <cellStyle name="Normal 2 2 10 3 5" xfId="13626" xr:uid="{21A067FA-3C70-41E0-A29B-A89C18BC5C66}"/>
    <cellStyle name="Normal 2 2 10 3 6" xfId="13627" xr:uid="{F6DAF8CE-BC7E-4301-84CA-4637FBEF730F}"/>
    <cellStyle name="Normal 2 2 10 4" xfId="13628" xr:uid="{7FCDEDAC-EAB0-4E71-A63E-FA9BF46AA766}"/>
    <cellStyle name="Normal 2 2 10 4 2" xfId="13629" xr:uid="{CE9AB881-45DA-4908-BC7F-9EF8D1798FF3}"/>
    <cellStyle name="Normal 2 2 10 4 3" xfId="13630" xr:uid="{31B11277-4D6A-40BF-A1DA-B266F9A9CF2F}"/>
    <cellStyle name="Normal 2 2 10 4 4" xfId="13631" xr:uid="{D2822661-65D7-42EC-839B-72683CBF00F7}"/>
    <cellStyle name="Normal 2 2 10 4 5" xfId="13632" xr:uid="{94EF938D-B2BA-44F1-B52F-53CA94B59003}"/>
    <cellStyle name="Normal 2 2 10 4 6" xfId="13633" xr:uid="{F6D49A95-94DD-4784-B78A-675FA0E92F44}"/>
    <cellStyle name="Normal 2 2 10 5" xfId="13634" xr:uid="{2007A619-553D-4C86-AA9C-23DAEF1201FF}"/>
    <cellStyle name="Normal 2 2 10 5 2" xfId="13635" xr:uid="{1CE7666D-C971-4B7B-B35D-0E77A39F9C4B}"/>
    <cellStyle name="Normal 2 2 10 5 3" xfId="13636" xr:uid="{222BA0BB-F7DA-4CF5-AE7C-8C89DDB49640}"/>
    <cellStyle name="Normal 2 2 10 5 4" xfId="13637" xr:uid="{E4CBE3D0-3C18-48E5-8689-4C406755B761}"/>
    <cellStyle name="Normal 2 2 10 5 5" xfId="13638" xr:uid="{3BB5AEF6-7F7E-42F0-875A-013B21E748F9}"/>
    <cellStyle name="Normal 2 2 10 5 6" xfId="13639" xr:uid="{B894BF7E-BCEF-44A3-A543-66E432E7D072}"/>
    <cellStyle name="Normal 2 2 10 6" xfId="13640" xr:uid="{3098A89D-C10F-4F5C-A190-DC094296A77D}"/>
    <cellStyle name="Normal 2 2 10 6 2" xfId="13641" xr:uid="{69272208-8D49-4962-8A3D-DCA739530B91}"/>
    <cellStyle name="Normal 2 2 10 6 3" xfId="13642" xr:uid="{967D3A30-27DC-4EED-84F7-8A2D52C46C84}"/>
    <cellStyle name="Normal 2 2 10 6 4" xfId="13643" xr:uid="{C25C2D21-6443-40A7-8C8C-8927C90A9D05}"/>
    <cellStyle name="Normal 2 2 10 6 5" xfId="13644" xr:uid="{B4053F4A-ED41-4F26-999E-FD91943A0159}"/>
    <cellStyle name="Normal 2 2 10 6 6" xfId="13645" xr:uid="{F15CA1E2-E855-4AAB-A2FD-3AC35D8709CC}"/>
    <cellStyle name="Normal 2 2 10 7" xfId="13646" xr:uid="{D89D2617-9A56-406E-960B-107BFEFB20A9}"/>
    <cellStyle name="Normal 2 2 10 7 2" xfId="13647" xr:uid="{3E4F63D8-43C0-46A5-B3BE-8EA88F0F9A52}"/>
    <cellStyle name="Normal 2 2 10 7 3" xfId="13648" xr:uid="{38653E2C-1C06-4462-8022-BF2FB1573C5A}"/>
    <cellStyle name="Normal 2 2 10 7 4" xfId="13649" xr:uid="{0A029C8D-5CDD-4324-A26D-4996094CB96E}"/>
    <cellStyle name="Normal 2 2 10 7 5" xfId="13650" xr:uid="{BA74575D-1015-4763-85BA-E6F799CAB6D1}"/>
    <cellStyle name="Normal 2 2 10 7 6" xfId="13651" xr:uid="{0DDE4B24-E164-49A7-9061-F370441D580E}"/>
    <cellStyle name="Normal 2 2 10 8" xfId="13652" xr:uid="{92FBC34D-432A-441A-856B-B784910AC5EA}"/>
    <cellStyle name="Normal 2 2 10 8 2" xfId="13653" xr:uid="{9FCEF600-0FA3-4792-8A94-48F596ACB7D7}"/>
    <cellStyle name="Normal 2 2 10 8 3" xfId="13654" xr:uid="{1BEE5DF6-91B9-43B9-A102-8756873D5803}"/>
    <cellStyle name="Normal 2 2 10 8 4" xfId="13655" xr:uid="{EE262643-750B-493E-88ED-37E9837C9FB2}"/>
    <cellStyle name="Normal 2 2 10 8 5" xfId="13656" xr:uid="{19D27142-C636-4205-A5D2-5B1281B3FAEF}"/>
    <cellStyle name="Normal 2 2 10 8 6" xfId="13657" xr:uid="{E5ABCD3F-4247-411A-B3AE-9C2F84720E28}"/>
    <cellStyle name="Normal 2 2 10 9" xfId="13658" xr:uid="{425F1F36-FDB8-4A7B-BDFC-AD72DD7398E1}"/>
    <cellStyle name="Normal 2 2 11" xfId="13659" xr:uid="{8012E47A-0356-41CC-B466-835299D0A016}"/>
    <cellStyle name="Normal 2 2 11 10" xfId="13660" xr:uid="{3D7FE3B1-A1D3-4F5F-97E4-3B683AE3E1AE}"/>
    <cellStyle name="Normal 2 2 11 11" xfId="13661" xr:uid="{49F239A3-8266-4F39-ACAF-528331008933}"/>
    <cellStyle name="Normal 2 2 11 12" xfId="13662" xr:uid="{4207A918-E8C7-41FD-9707-3A7E6508AC6A}"/>
    <cellStyle name="Normal 2 2 11 13" xfId="13663" xr:uid="{431CC491-E27E-441E-9D6A-C18ED5670BD7}"/>
    <cellStyle name="Normal 2 2 11 14" xfId="13664" xr:uid="{6835036D-845D-4461-A57E-B1CECE9E8384}"/>
    <cellStyle name="Normal 2 2 11 2" xfId="13665" xr:uid="{251D204E-D68C-4F47-81E9-E2716FE2ED19}"/>
    <cellStyle name="Normal 2 2 11 2 2" xfId="13666" xr:uid="{AB01FAF3-C388-4BF1-84E9-3527BF0C5856}"/>
    <cellStyle name="Normal 2 2 11 2 3" xfId="13667" xr:uid="{AC49E8EC-193F-4FC4-B98C-D8AAB852E6D5}"/>
    <cellStyle name="Normal 2 2 11 2 4" xfId="13668" xr:uid="{CF7E4D6D-F726-49F7-AE93-8A21F23E5468}"/>
    <cellStyle name="Normal 2 2 11 2 5" xfId="13669" xr:uid="{38AF54C9-C89E-4871-A441-9EFA1BE05667}"/>
    <cellStyle name="Normal 2 2 11 2 6" xfId="13670" xr:uid="{9A582035-9CDA-4757-8173-747675F6DE77}"/>
    <cellStyle name="Normal 2 2 11 3" xfId="13671" xr:uid="{0BDA8A42-CF41-40E4-8F61-C891DB6CAFD7}"/>
    <cellStyle name="Normal 2 2 11 3 2" xfId="13672" xr:uid="{3227598F-B49D-4930-8B82-3DBF20F4BB8E}"/>
    <cellStyle name="Normal 2 2 11 3 3" xfId="13673" xr:uid="{25423D26-B94C-4204-B353-BE2AD88D3745}"/>
    <cellStyle name="Normal 2 2 11 3 4" xfId="13674" xr:uid="{5146002A-7BE8-4937-8C3D-907B92E65844}"/>
    <cellStyle name="Normal 2 2 11 3 5" xfId="13675" xr:uid="{7E6E6546-BA05-4DFB-9BB8-9A910DD7EBC5}"/>
    <cellStyle name="Normal 2 2 11 3 6" xfId="13676" xr:uid="{DAEABA48-3F87-4049-BD04-8574F203263D}"/>
    <cellStyle name="Normal 2 2 11 4" xfId="13677" xr:uid="{4CEE93D3-73B3-41D9-B0E5-1235DB7A5B0A}"/>
    <cellStyle name="Normal 2 2 11 4 2" xfId="13678" xr:uid="{5E29790C-1FA7-4542-8577-FA743927E896}"/>
    <cellStyle name="Normal 2 2 11 4 3" xfId="13679" xr:uid="{73BEF62A-6574-4228-82EC-4A84D6018E6E}"/>
    <cellStyle name="Normal 2 2 11 4 4" xfId="13680" xr:uid="{B0CFFB0F-8722-4E77-AD61-CBE1B7383F23}"/>
    <cellStyle name="Normal 2 2 11 4 5" xfId="13681" xr:uid="{F30D7DB5-DA94-414D-BA52-00EA0326A2E3}"/>
    <cellStyle name="Normal 2 2 11 4 6" xfId="13682" xr:uid="{B89C175A-90CB-46E5-B87B-0388DAC2227E}"/>
    <cellStyle name="Normal 2 2 11 5" xfId="13683" xr:uid="{3816227F-1F7D-4806-87A3-474BDBE0015B}"/>
    <cellStyle name="Normal 2 2 11 5 2" xfId="13684" xr:uid="{D7D7D38B-092C-4AEB-BF52-DA4815F8376F}"/>
    <cellStyle name="Normal 2 2 11 5 3" xfId="13685" xr:uid="{C9A875A6-E7D9-4921-A76F-AFAF635D480F}"/>
    <cellStyle name="Normal 2 2 11 5 4" xfId="13686" xr:uid="{0E8EFFB1-CD57-407F-A140-144F6CE74554}"/>
    <cellStyle name="Normal 2 2 11 5 5" xfId="13687" xr:uid="{A632CAA9-CDDE-43A5-BAF6-9D5A448B7CE8}"/>
    <cellStyle name="Normal 2 2 11 5 6" xfId="13688" xr:uid="{7D58FDC0-DB94-4297-A79D-09F99ACE448F}"/>
    <cellStyle name="Normal 2 2 11 6" xfId="13689" xr:uid="{AFDFDAC7-370E-4EE5-82E4-E7CF076CA090}"/>
    <cellStyle name="Normal 2 2 11 6 2" xfId="13690" xr:uid="{FDA574A8-0B3C-495B-8970-DD6E663CB678}"/>
    <cellStyle name="Normal 2 2 11 6 3" xfId="13691" xr:uid="{D29AD4E5-5884-4AAF-94E4-4E6D55C539F9}"/>
    <cellStyle name="Normal 2 2 11 6 4" xfId="13692" xr:uid="{19093059-A3FA-4F44-8760-F1C6A627E03D}"/>
    <cellStyle name="Normal 2 2 11 6 5" xfId="13693" xr:uid="{25423856-3160-4773-933A-DFF52F447ECD}"/>
    <cellStyle name="Normal 2 2 11 6 6" xfId="13694" xr:uid="{A2DD468A-2533-4F2F-AF27-F66B8968A918}"/>
    <cellStyle name="Normal 2 2 11 7" xfId="13695" xr:uid="{08C4329F-2618-4C64-BF22-7D7E14B3EFC7}"/>
    <cellStyle name="Normal 2 2 11 7 2" xfId="13696" xr:uid="{3F0A67C1-1068-49DD-BE6F-BCDC73302167}"/>
    <cellStyle name="Normal 2 2 11 7 3" xfId="13697" xr:uid="{92C9E943-2D44-452A-89B3-A48ABD324737}"/>
    <cellStyle name="Normal 2 2 11 7 4" xfId="13698" xr:uid="{D979708A-213E-46CA-8132-83C291D1AB90}"/>
    <cellStyle name="Normal 2 2 11 7 5" xfId="13699" xr:uid="{0ABB1431-414E-4D3B-BA2D-D965ADD67BB9}"/>
    <cellStyle name="Normal 2 2 11 7 6" xfId="13700" xr:uid="{C445C80A-B947-4E7D-8F17-27262B9AE7B0}"/>
    <cellStyle name="Normal 2 2 11 8" xfId="13701" xr:uid="{CD351BF4-9631-47B5-B85D-5F5C80979BDB}"/>
    <cellStyle name="Normal 2 2 11 8 2" xfId="13702" xr:uid="{F81EC65D-5415-4039-A4BE-DC878026BBC4}"/>
    <cellStyle name="Normal 2 2 11 8 3" xfId="13703" xr:uid="{DC8936AF-6FB6-4336-AE00-93223F4E7C09}"/>
    <cellStyle name="Normal 2 2 11 8 4" xfId="13704" xr:uid="{79BA7AE4-CA31-4520-9602-75A4D5FA0B8F}"/>
    <cellStyle name="Normal 2 2 11 8 5" xfId="13705" xr:uid="{20050654-A8B3-4DFF-AD74-4A6A24AF48A0}"/>
    <cellStyle name="Normal 2 2 11 8 6" xfId="13706" xr:uid="{7574D05A-C10E-4AA2-A7F7-F69D8A4C0DEA}"/>
    <cellStyle name="Normal 2 2 11 9" xfId="13707" xr:uid="{2D73C363-949D-43FB-AF0A-60BF9786DE44}"/>
    <cellStyle name="Normal 2 2 12" xfId="15" xr:uid="{00000000-0005-0000-0000-000008000000}"/>
    <cellStyle name="Normal 2 2 12 10" xfId="13709" xr:uid="{28A18474-8D71-445F-BBAE-CD3B1F7A8F37}"/>
    <cellStyle name="Normal 2 2 12 11" xfId="13710" xr:uid="{154364F0-7721-412A-9B21-6E8C762D4AE8}"/>
    <cellStyle name="Normal 2 2 12 12" xfId="13711" xr:uid="{D93E7E28-FF7E-4037-8B7A-001F94061492}"/>
    <cellStyle name="Normal 2 2 12 13" xfId="13712" xr:uid="{D9C87B1F-4DCC-4A39-A115-09F01D381D93}"/>
    <cellStyle name="Normal 2 2 12 14" xfId="13713" xr:uid="{6E8D8399-07F4-4B8C-B4CE-6397D23D4E5C}"/>
    <cellStyle name="Normal 2 2 12 15" xfId="13708" xr:uid="{9FFE6E7C-51FB-438E-84AF-BC92E8B49AE7}"/>
    <cellStyle name="Normal 2 2 12 2" xfId="13714" xr:uid="{ADD9A9C0-E5CF-4848-AFED-5F7075514DDD}"/>
    <cellStyle name="Normal 2 2 12 2 2" xfId="13715" xr:uid="{7334294E-CF4D-40ED-BE36-3F96ED14217B}"/>
    <cellStyle name="Normal 2 2 12 2 3" xfId="13716" xr:uid="{D2DC82DE-4EE7-4CF7-9254-62A0CF81C144}"/>
    <cellStyle name="Normal 2 2 12 2 4" xfId="13717" xr:uid="{4B67E6A9-4F5C-4936-888E-E4DC38683130}"/>
    <cellStyle name="Normal 2 2 12 2 5" xfId="13718" xr:uid="{D9B0BB34-BED4-4013-83CB-0C19C469540C}"/>
    <cellStyle name="Normal 2 2 12 2 6" xfId="13719" xr:uid="{02E686F7-39AB-4724-B79B-6E7E963A1CC5}"/>
    <cellStyle name="Normal 2 2 12 3" xfId="13720" xr:uid="{ECCA0AA8-C250-4D0B-A1E6-A88369685AFE}"/>
    <cellStyle name="Normal 2 2 12 3 2" xfId="13721" xr:uid="{D880A1CA-F911-4562-9E33-875534EA63E9}"/>
    <cellStyle name="Normal 2 2 12 3 3" xfId="13722" xr:uid="{7ED96477-8917-4C02-8A01-8BE9484789D8}"/>
    <cellStyle name="Normal 2 2 12 3 4" xfId="13723" xr:uid="{F8EAC825-BD4D-4EF6-9523-631F3FAEBF6E}"/>
    <cellStyle name="Normal 2 2 12 3 5" xfId="13724" xr:uid="{3678B7A4-2EF3-4AF2-B70A-619F503B07C6}"/>
    <cellStyle name="Normal 2 2 12 3 6" xfId="13725" xr:uid="{EF56813C-1525-4E3C-891F-FC83EE4DAC08}"/>
    <cellStyle name="Normal 2 2 12 4" xfId="13726" xr:uid="{60EE7CBB-253F-4D3B-B1D7-84B0FF9CB796}"/>
    <cellStyle name="Normal 2 2 12 4 2" xfId="13727" xr:uid="{CAFD7E4A-C654-48D1-BCC2-D5FEFB0448EE}"/>
    <cellStyle name="Normal 2 2 12 4 3" xfId="13728" xr:uid="{BE3AEE77-84B1-4F36-A88E-C2723E8921AB}"/>
    <cellStyle name="Normal 2 2 12 4 4" xfId="13729" xr:uid="{1340897C-13A9-47FF-9D9E-2028F50DC623}"/>
    <cellStyle name="Normal 2 2 12 4 5" xfId="13730" xr:uid="{069F3D08-7C42-44D5-8E85-A01FC986E975}"/>
    <cellStyle name="Normal 2 2 12 4 6" xfId="13731" xr:uid="{21B07406-067D-4D9A-ADBA-2FF0E920D0A2}"/>
    <cellStyle name="Normal 2 2 12 5" xfId="13732" xr:uid="{CA6F12F1-515C-4B6E-8AF5-62356FD8211C}"/>
    <cellStyle name="Normal 2 2 12 5 2" xfId="13733" xr:uid="{0B7281B3-7FE6-4DDD-B1E6-6929745B1050}"/>
    <cellStyle name="Normal 2 2 12 5 3" xfId="13734" xr:uid="{C00A00CC-7D75-4761-8353-6C763BDA9862}"/>
    <cellStyle name="Normal 2 2 12 5 4" xfId="13735" xr:uid="{FB618BE8-9F19-4056-B4F7-5A7E036150C9}"/>
    <cellStyle name="Normal 2 2 12 5 5" xfId="13736" xr:uid="{EB5BB61F-75F6-436C-8D50-B9D97FC5B401}"/>
    <cellStyle name="Normal 2 2 12 5 6" xfId="13737" xr:uid="{DA5C0C33-BBED-463F-AB9E-94B59CA3A33F}"/>
    <cellStyle name="Normal 2 2 12 6" xfId="13738" xr:uid="{0E7D0E44-4702-40AD-BB9D-89980BE3A860}"/>
    <cellStyle name="Normal 2 2 12 6 2" xfId="13739" xr:uid="{CD9CF15F-DED0-4803-BA7D-87E779CBC675}"/>
    <cellStyle name="Normal 2 2 12 6 3" xfId="13740" xr:uid="{D89F1C97-DFD9-404D-B159-F06C92914C25}"/>
    <cellStyle name="Normal 2 2 12 6 4" xfId="13741" xr:uid="{F57F0D5D-D601-40CD-93E4-E26517B60F68}"/>
    <cellStyle name="Normal 2 2 12 6 5" xfId="13742" xr:uid="{FB1F736D-DBBE-4194-A32E-9BFBFCBF1FA8}"/>
    <cellStyle name="Normal 2 2 12 6 6" xfId="13743" xr:uid="{66863CD5-1CA2-4474-9292-BE4B6568DE09}"/>
    <cellStyle name="Normal 2 2 12 7" xfId="13744" xr:uid="{7A84FBC1-7E64-4569-80F7-8C5546B6D06C}"/>
    <cellStyle name="Normal 2 2 12 7 2" xfId="13745" xr:uid="{07B0A75E-6F0A-4D51-843D-C4890BBEF602}"/>
    <cellStyle name="Normal 2 2 12 7 3" xfId="13746" xr:uid="{DF38D539-2F5B-4D53-8AFC-DA24C8A700C2}"/>
    <cellStyle name="Normal 2 2 12 7 4" xfId="13747" xr:uid="{7F7CBF2D-6FF2-4764-AACE-5F1168B6F575}"/>
    <cellStyle name="Normal 2 2 12 7 5" xfId="13748" xr:uid="{188A6B3C-9C65-4523-9296-E1C428D5149A}"/>
    <cellStyle name="Normal 2 2 12 7 6" xfId="13749" xr:uid="{9BD92421-CB25-45DE-9B84-3E90761EE46C}"/>
    <cellStyle name="Normal 2 2 12 8" xfId="13750" xr:uid="{3220EF09-174F-4E85-BC6C-238615AC860A}"/>
    <cellStyle name="Normal 2 2 12 8 2" xfId="13751" xr:uid="{0E0393AD-CE26-4089-B0D6-C81B7BEFDC11}"/>
    <cellStyle name="Normal 2 2 12 8 3" xfId="13752" xr:uid="{3B9187B2-4221-49A9-9F09-1F5C12571E38}"/>
    <cellStyle name="Normal 2 2 12 8 4" xfId="13753" xr:uid="{8FE455CD-BA80-4E1D-95F4-58291FA8760D}"/>
    <cellStyle name="Normal 2 2 12 8 5" xfId="13754" xr:uid="{A0EA3CD2-EF86-4CEE-B6B6-D0264B37337F}"/>
    <cellStyle name="Normal 2 2 12 8 6" xfId="13755" xr:uid="{745911EF-2ECB-426F-B644-C58F1A5A226E}"/>
    <cellStyle name="Normal 2 2 12 9" xfId="13756" xr:uid="{9362D69F-719B-4D08-AD88-3F36AFEA0201}"/>
    <cellStyle name="Normal 2 2 13" xfId="13757" xr:uid="{14131034-48EE-4877-B043-4714CFCA8060}"/>
    <cellStyle name="Normal 2 2 13 10" xfId="13758" xr:uid="{2195A689-6E3C-4354-B5D2-6CBC00FE915F}"/>
    <cellStyle name="Normal 2 2 13 11" xfId="13759" xr:uid="{5128CE24-CC3D-4179-9A7E-90EDA2838BF9}"/>
    <cellStyle name="Normal 2 2 13 12" xfId="13760" xr:uid="{732741CC-5676-486F-A1E5-8379196AC8B1}"/>
    <cellStyle name="Normal 2 2 13 13" xfId="13761" xr:uid="{48E8B45D-090F-4B8D-A255-AB3B2FA738D3}"/>
    <cellStyle name="Normal 2 2 13 14" xfId="13762" xr:uid="{21C84B8F-1D9D-4076-A3AC-34FFB86AFC11}"/>
    <cellStyle name="Normal 2 2 13 2" xfId="13763" xr:uid="{75966171-CBCF-4D96-B3FA-45557D2EE650}"/>
    <cellStyle name="Normal 2 2 13 2 2" xfId="13764" xr:uid="{264F8548-66AF-481E-9794-642B579DB4BB}"/>
    <cellStyle name="Normal 2 2 13 2 3" xfId="13765" xr:uid="{0A7E46F2-F8DC-4659-8F75-D590AF335D69}"/>
    <cellStyle name="Normal 2 2 13 2 4" xfId="13766" xr:uid="{10E95746-F3DF-4CDB-9FAD-7F53691D111A}"/>
    <cellStyle name="Normal 2 2 13 2 5" xfId="13767" xr:uid="{E15EED21-F239-4942-941E-EE37C3AF6756}"/>
    <cellStyle name="Normal 2 2 13 2 6" xfId="13768" xr:uid="{832744F1-1361-4E97-A54C-B445BE6B6B0B}"/>
    <cellStyle name="Normal 2 2 13 3" xfId="13769" xr:uid="{EF32DED4-FA8B-432C-B78D-53571F319AEC}"/>
    <cellStyle name="Normal 2 2 13 3 2" xfId="13770" xr:uid="{52522735-8A8A-45E3-8A40-B684E08D7943}"/>
    <cellStyle name="Normal 2 2 13 3 3" xfId="13771" xr:uid="{382A9AE4-3A24-4B85-A1CB-31E7B1A7E772}"/>
    <cellStyle name="Normal 2 2 13 3 4" xfId="13772" xr:uid="{E72BDFDD-58C8-4BDB-A8F2-0D78D10370DE}"/>
    <cellStyle name="Normal 2 2 13 3 5" xfId="13773" xr:uid="{906961FA-B5A9-4B54-B973-C0B2300A9C6D}"/>
    <cellStyle name="Normal 2 2 13 3 6" xfId="13774" xr:uid="{FE722D5A-E462-4890-8FC7-F81CD2F64035}"/>
    <cellStyle name="Normal 2 2 13 4" xfId="13775" xr:uid="{237ED213-C2A6-4EDF-A08A-1E8E2DB8B336}"/>
    <cellStyle name="Normal 2 2 13 4 2" xfId="13776" xr:uid="{F4952A08-169D-4115-86B8-FE8A554B3B7B}"/>
    <cellStyle name="Normal 2 2 13 4 3" xfId="13777" xr:uid="{676CAB77-D52F-4298-A194-1AA8EB77E2DC}"/>
    <cellStyle name="Normal 2 2 13 4 4" xfId="13778" xr:uid="{F42E473A-6ADD-495B-BA52-D264AF9431B4}"/>
    <cellStyle name="Normal 2 2 13 4 5" xfId="13779" xr:uid="{08631F90-0CD0-4119-BD7E-938BA961AB37}"/>
    <cellStyle name="Normal 2 2 13 4 6" xfId="13780" xr:uid="{91C1EDD8-6FD6-46B3-AB43-6091DC7F55D5}"/>
    <cellStyle name="Normal 2 2 13 5" xfId="13781" xr:uid="{746CE360-81FE-427E-92BE-86BCC451EE90}"/>
    <cellStyle name="Normal 2 2 13 5 2" xfId="13782" xr:uid="{561EDA77-1494-4413-BB13-207901CF1420}"/>
    <cellStyle name="Normal 2 2 13 5 3" xfId="13783" xr:uid="{D25298BE-B6BE-4936-8774-11414C1C7114}"/>
    <cellStyle name="Normal 2 2 13 5 4" xfId="13784" xr:uid="{FC4C6D0B-DE99-4224-8596-1BC0EE6BB285}"/>
    <cellStyle name="Normal 2 2 13 5 5" xfId="13785" xr:uid="{1B22D242-5200-4A6A-B138-467F1320B1F8}"/>
    <cellStyle name="Normal 2 2 13 5 6" xfId="13786" xr:uid="{2C76F44A-1241-41C0-B9B6-CC5B02B38431}"/>
    <cellStyle name="Normal 2 2 13 6" xfId="13787" xr:uid="{14CDA54B-43FC-448F-B27F-87D0CF0BB469}"/>
    <cellStyle name="Normal 2 2 13 6 2" xfId="13788" xr:uid="{96960A8E-2014-40B5-A48A-28BE573193CA}"/>
    <cellStyle name="Normal 2 2 13 6 3" xfId="13789" xr:uid="{7D0DA9AE-E8E3-4DC0-9E9D-C5D828903904}"/>
    <cellStyle name="Normal 2 2 13 6 4" xfId="13790" xr:uid="{E15910A6-4650-4426-96FF-31A4946B43FA}"/>
    <cellStyle name="Normal 2 2 13 6 5" xfId="13791" xr:uid="{C60DCFF7-6F6A-4157-8956-C0B04E1104BB}"/>
    <cellStyle name="Normal 2 2 13 6 6" xfId="13792" xr:uid="{47E3E98F-8D3A-4177-8E35-7F0EE402A7A5}"/>
    <cellStyle name="Normal 2 2 13 7" xfId="13793" xr:uid="{852602F5-6C72-49D8-84AB-61B8CB0F6DF5}"/>
    <cellStyle name="Normal 2 2 13 7 2" xfId="13794" xr:uid="{D6F174A5-4C49-408F-ACCF-A347CE2B6884}"/>
    <cellStyle name="Normal 2 2 13 7 3" xfId="13795" xr:uid="{D8CF3CDB-E6B5-4959-88DD-4539975EC9A2}"/>
    <cellStyle name="Normal 2 2 13 7 4" xfId="13796" xr:uid="{D40BB9D2-F789-4343-A377-A3A107FCBA9E}"/>
    <cellStyle name="Normal 2 2 13 7 5" xfId="13797" xr:uid="{6876E1FF-F619-4981-B698-D5CCF545511D}"/>
    <cellStyle name="Normal 2 2 13 7 6" xfId="13798" xr:uid="{4D6CD931-6D31-46E6-8DBA-CDE521B3CB67}"/>
    <cellStyle name="Normal 2 2 13 8" xfId="13799" xr:uid="{0737191D-AF81-4C8D-B645-AEE2E86B3C0F}"/>
    <cellStyle name="Normal 2 2 13 8 2" xfId="13800" xr:uid="{38DC1DDC-0A87-471E-80A2-6896C1633BDC}"/>
    <cellStyle name="Normal 2 2 13 8 3" xfId="13801" xr:uid="{DF0F290E-658C-4321-9B2E-F5A43C793C26}"/>
    <cellStyle name="Normal 2 2 13 8 4" xfId="13802" xr:uid="{994BABBD-C0C4-45CB-9741-7A0C8FE2A809}"/>
    <cellStyle name="Normal 2 2 13 8 5" xfId="13803" xr:uid="{42614319-F77F-4CC9-BCEF-3C61EF38D33B}"/>
    <cellStyle name="Normal 2 2 13 8 6" xfId="13804" xr:uid="{AF693756-A2EE-40FD-9273-FEB82CE1B6A0}"/>
    <cellStyle name="Normal 2 2 13 9" xfId="13805" xr:uid="{167FCC07-7FDE-4B7D-90B4-5072737C7AA7}"/>
    <cellStyle name="Normal 2 2 14" xfId="13806" xr:uid="{AD4AED99-7317-43B9-B6D9-D8337DF5ACBD}"/>
    <cellStyle name="Normal 2 2 14 10" xfId="13807" xr:uid="{51D5F97E-7D82-4E9C-BD12-11E6250210EB}"/>
    <cellStyle name="Normal 2 2 14 11" xfId="13808" xr:uid="{46F7D357-7C55-41BF-B934-B2D5AB3E5F29}"/>
    <cellStyle name="Normal 2 2 14 12" xfId="13809" xr:uid="{C26310A1-D328-4E68-A53D-5618F6056F17}"/>
    <cellStyle name="Normal 2 2 14 13" xfId="13810" xr:uid="{27B7C092-0B41-4950-A4CE-CA1744566ECE}"/>
    <cellStyle name="Normal 2 2 14 14" xfId="13811" xr:uid="{A467C27E-CA38-4A01-B540-1BEAB4DCDD74}"/>
    <cellStyle name="Normal 2 2 14 2" xfId="13812" xr:uid="{AB51046E-632B-4558-82BA-B4D3D271C8C1}"/>
    <cellStyle name="Normal 2 2 14 2 2" xfId="13813" xr:uid="{A81549F1-F09C-4BEE-A62E-B07F5D56A47F}"/>
    <cellStyle name="Normal 2 2 14 2 3" xfId="13814" xr:uid="{97DB6BEA-8F62-4592-AD54-280CC4898C77}"/>
    <cellStyle name="Normal 2 2 14 2 4" xfId="13815" xr:uid="{D5F82E29-9492-4377-BDD8-A34944B11D69}"/>
    <cellStyle name="Normal 2 2 14 2 5" xfId="13816" xr:uid="{8B2537F6-6768-47A3-BAA9-865F6A17063F}"/>
    <cellStyle name="Normal 2 2 14 2 6" xfId="13817" xr:uid="{A9620615-EE8B-4F94-A30F-1823523B7337}"/>
    <cellStyle name="Normal 2 2 14 3" xfId="13818" xr:uid="{A1B13104-D914-465E-9AA4-893CDBDF7022}"/>
    <cellStyle name="Normal 2 2 14 3 2" xfId="13819" xr:uid="{2377762F-4EC3-47B7-87D3-D76A68E94E6E}"/>
    <cellStyle name="Normal 2 2 14 3 3" xfId="13820" xr:uid="{B9445B19-69C5-4D22-BF0C-2257EC2E32D7}"/>
    <cellStyle name="Normal 2 2 14 3 4" xfId="13821" xr:uid="{C6835165-C7B2-4D08-AC0C-F4479145E7A5}"/>
    <cellStyle name="Normal 2 2 14 3 5" xfId="13822" xr:uid="{E465E8BF-CD2F-40C2-B43B-832484276A43}"/>
    <cellStyle name="Normal 2 2 14 3 6" xfId="13823" xr:uid="{2603F43A-773F-403C-9250-3B2CD771DC3F}"/>
    <cellStyle name="Normal 2 2 14 4" xfId="13824" xr:uid="{4C8D19ED-A026-4EFF-8DE0-769A04450C71}"/>
    <cellStyle name="Normal 2 2 14 4 2" xfId="13825" xr:uid="{6BA7F88D-7308-417A-B451-6E4FA37D3D3E}"/>
    <cellStyle name="Normal 2 2 14 4 3" xfId="13826" xr:uid="{97D5FAA8-6B48-4A39-B5D0-AFDFBC4379EC}"/>
    <cellStyle name="Normal 2 2 14 4 4" xfId="13827" xr:uid="{9A3A75CB-65AE-49A9-9288-2A8A3481408D}"/>
    <cellStyle name="Normal 2 2 14 4 5" xfId="13828" xr:uid="{BB1044B8-3E5A-44C9-A64C-9F67233C5236}"/>
    <cellStyle name="Normal 2 2 14 4 6" xfId="13829" xr:uid="{1E4F76C3-4B9D-4785-B748-D07E32DB7FB3}"/>
    <cellStyle name="Normal 2 2 14 5" xfId="13830" xr:uid="{8CBFCD74-3741-418F-9AE0-C366C303A703}"/>
    <cellStyle name="Normal 2 2 14 5 2" xfId="13831" xr:uid="{1F4D8E97-BF89-4CCA-8D02-5232D2D7A55E}"/>
    <cellStyle name="Normal 2 2 14 5 3" xfId="13832" xr:uid="{CA17E228-7036-4E4A-B875-EAE11EE6938D}"/>
    <cellStyle name="Normal 2 2 14 5 4" xfId="13833" xr:uid="{C9121494-8017-4B4B-B2A9-EED3F7D18797}"/>
    <cellStyle name="Normal 2 2 14 5 5" xfId="13834" xr:uid="{07EE7FBD-01F9-44F1-BC97-05FA4335692E}"/>
    <cellStyle name="Normal 2 2 14 5 6" xfId="13835" xr:uid="{65E65F03-0917-4C28-99E9-74E28F228BA4}"/>
    <cellStyle name="Normal 2 2 14 6" xfId="13836" xr:uid="{CD2E878E-E104-447A-97C8-114D680BBBA9}"/>
    <cellStyle name="Normal 2 2 14 6 2" xfId="13837" xr:uid="{23904145-7861-42B3-BFA1-61A91C7D9D4D}"/>
    <cellStyle name="Normal 2 2 14 6 3" xfId="13838" xr:uid="{8B259832-30C8-4B0F-B9AD-5988B61EEA51}"/>
    <cellStyle name="Normal 2 2 14 6 4" xfId="13839" xr:uid="{79ED70D8-3A47-4163-AABF-C67D4206F4D4}"/>
    <cellStyle name="Normal 2 2 14 6 5" xfId="13840" xr:uid="{AF50A59F-82C9-421F-BBCB-EA1F783717F1}"/>
    <cellStyle name="Normal 2 2 14 6 6" xfId="13841" xr:uid="{498F73C0-CD4F-4224-AD64-3B72735CA369}"/>
    <cellStyle name="Normal 2 2 14 7" xfId="13842" xr:uid="{66BDC323-5F55-4752-AEC3-D08037BE4CFC}"/>
    <cellStyle name="Normal 2 2 14 7 2" xfId="13843" xr:uid="{3598B9DE-F04E-4280-861A-401344986B75}"/>
    <cellStyle name="Normal 2 2 14 7 3" xfId="13844" xr:uid="{E6E14F08-811D-4876-82B1-8AC250F9A196}"/>
    <cellStyle name="Normal 2 2 14 7 4" xfId="13845" xr:uid="{2B553576-4B24-433A-B358-141372E993AB}"/>
    <cellStyle name="Normal 2 2 14 7 5" xfId="13846" xr:uid="{E0FA90B3-FCCD-416F-8498-E0BD80A2982B}"/>
    <cellStyle name="Normal 2 2 14 7 6" xfId="13847" xr:uid="{8CF8C611-4FA7-406F-9D7D-B9B53117C204}"/>
    <cellStyle name="Normal 2 2 14 8" xfId="13848" xr:uid="{AAD4C8E6-CAA1-457A-9711-F64544A17BF3}"/>
    <cellStyle name="Normal 2 2 14 8 2" xfId="13849" xr:uid="{CE346F81-6F54-4896-AFA5-07126829E17A}"/>
    <cellStyle name="Normal 2 2 14 8 3" xfId="13850" xr:uid="{2EDD55A1-FB33-4E82-A21E-A5EC0D5DAE53}"/>
    <cellStyle name="Normal 2 2 14 8 4" xfId="13851" xr:uid="{F7D8B155-2E1E-4F24-AE96-D1477BC7F106}"/>
    <cellStyle name="Normal 2 2 14 8 5" xfId="13852" xr:uid="{0FC02AB6-8BFF-483B-8027-440618637E84}"/>
    <cellStyle name="Normal 2 2 14 8 6" xfId="13853" xr:uid="{7D4A833D-74EF-4FB5-91E6-E00BC65EDD2A}"/>
    <cellStyle name="Normal 2 2 14 9" xfId="13854" xr:uid="{971D2204-4494-4EC6-9174-7FBC187B428E}"/>
    <cellStyle name="Normal 2 2 15" xfId="13855" xr:uid="{7B426CB1-2306-402D-BF18-1D9B3E8CE17C}"/>
    <cellStyle name="Normal 2 2 15 10" xfId="13856" xr:uid="{37F13EC4-5CE9-4F6F-9DE8-29E53609ABBF}"/>
    <cellStyle name="Normal 2 2 15 11" xfId="13857" xr:uid="{6F9A80CE-506A-41AA-93DD-197B1B1172DC}"/>
    <cellStyle name="Normal 2 2 15 12" xfId="13858" xr:uid="{698DBC35-D9E0-43BC-9468-343C8A58C351}"/>
    <cellStyle name="Normal 2 2 15 13" xfId="13859" xr:uid="{231AB416-62A1-436D-BF99-3F781962AC45}"/>
    <cellStyle name="Normal 2 2 15 14" xfId="13860" xr:uid="{EA1541D5-99FA-40F9-A3DA-70C683D15379}"/>
    <cellStyle name="Normal 2 2 15 2" xfId="13861" xr:uid="{3B2316D9-757A-401F-AD7E-EF7ABC34680D}"/>
    <cellStyle name="Normal 2 2 15 2 2" xfId="13862" xr:uid="{CBA76487-CDDB-4A3F-8E12-C9ABA84D16B3}"/>
    <cellStyle name="Normal 2 2 15 2 3" xfId="13863" xr:uid="{BFAA0500-6954-4DCF-B440-9FE0B729D091}"/>
    <cellStyle name="Normal 2 2 15 2 4" xfId="13864" xr:uid="{94C3790D-939A-4D3A-9826-6FB71FD18100}"/>
    <cellStyle name="Normal 2 2 15 2 5" xfId="13865" xr:uid="{EB87D056-753B-45D9-A2C7-58F8FBCBBFB9}"/>
    <cellStyle name="Normal 2 2 15 2 6" xfId="13866" xr:uid="{FA564C4D-A197-42C0-8CCF-3B838E200904}"/>
    <cellStyle name="Normal 2 2 15 3" xfId="13867" xr:uid="{29F26DE9-520C-41AC-B0DF-107BDB20332B}"/>
    <cellStyle name="Normal 2 2 15 3 2" xfId="13868" xr:uid="{135F7109-814A-4454-90F0-4AB05E44B264}"/>
    <cellStyle name="Normal 2 2 15 3 3" xfId="13869" xr:uid="{9116453C-BB03-4362-8FDF-65BCF165D8A9}"/>
    <cellStyle name="Normal 2 2 15 3 4" xfId="13870" xr:uid="{290FA5D8-AD7A-422D-A7AE-7AF38CAC0A62}"/>
    <cellStyle name="Normal 2 2 15 3 5" xfId="13871" xr:uid="{5397C952-3614-4112-A0C7-DB940C0AE03C}"/>
    <cellStyle name="Normal 2 2 15 3 6" xfId="13872" xr:uid="{0FD63787-EDD8-4C58-B35B-7BECB33216B8}"/>
    <cellStyle name="Normal 2 2 15 4" xfId="13873" xr:uid="{F8422685-3CA0-4B3F-ABFF-D5E4F2D471B7}"/>
    <cellStyle name="Normal 2 2 15 4 2" xfId="13874" xr:uid="{69232EDA-D4BD-4966-B572-19A6B7C45601}"/>
    <cellStyle name="Normal 2 2 15 4 3" xfId="13875" xr:uid="{7D8A7A4A-1149-460E-B57C-5877574F8880}"/>
    <cellStyle name="Normal 2 2 15 4 4" xfId="13876" xr:uid="{C8FF9740-AE6C-419E-903B-D4DA064B3A47}"/>
    <cellStyle name="Normal 2 2 15 4 5" xfId="13877" xr:uid="{06F99BA4-4818-46F6-922C-405A7F6FE1A4}"/>
    <cellStyle name="Normal 2 2 15 4 6" xfId="13878" xr:uid="{CE8563CD-235B-4D1D-9E4D-9B634F98ED77}"/>
    <cellStyle name="Normal 2 2 15 5" xfId="13879" xr:uid="{734DAF4D-0D78-4A16-9594-38462BF371CB}"/>
    <cellStyle name="Normal 2 2 15 5 2" xfId="13880" xr:uid="{B481F42F-852C-49F0-A6CD-6D963BFECE6C}"/>
    <cellStyle name="Normal 2 2 15 5 3" xfId="13881" xr:uid="{3694ECDA-364B-4CA2-9293-31B852DA63F3}"/>
    <cellStyle name="Normal 2 2 15 5 4" xfId="13882" xr:uid="{E9A5C594-8C0C-4751-9639-3D91C26FB2AD}"/>
    <cellStyle name="Normal 2 2 15 5 5" xfId="13883" xr:uid="{70386722-C478-41B8-8CB2-56F7E21EE288}"/>
    <cellStyle name="Normal 2 2 15 5 6" xfId="13884" xr:uid="{20E2D1CF-C21B-44D2-B55F-0E945C37A1FD}"/>
    <cellStyle name="Normal 2 2 15 6" xfId="13885" xr:uid="{2A686F3F-9A54-4148-9698-6B1F00A28563}"/>
    <cellStyle name="Normal 2 2 15 6 2" xfId="13886" xr:uid="{CBEBB505-11AB-401E-A62C-A993074EBB65}"/>
    <cellStyle name="Normal 2 2 15 6 3" xfId="13887" xr:uid="{FE81B0C5-AB7F-4CD4-878C-EB9FB22B4B2A}"/>
    <cellStyle name="Normal 2 2 15 6 4" xfId="13888" xr:uid="{EA09D29B-460A-4FB4-A8FE-3E5CCC6FFD81}"/>
    <cellStyle name="Normal 2 2 15 6 5" xfId="13889" xr:uid="{1DCC34D3-4221-4895-B957-BB5BE575F70D}"/>
    <cellStyle name="Normal 2 2 15 6 6" xfId="13890" xr:uid="{29F9A9B6-E8DC-4E70-936D-BA37BC61D8AC}"/>
    <cellStyle name="Normal 2 2 15 7" xfId="13891" xr:uid="{DC465890-2D76-4C00-AA61-19F6F85F96F2}"/>
    <cellStyle name="Normal 2 2 15 7 2" xfId="13892" xr:uid="{3316F6E0-632F-45E5-8CCC-426C7F7B5774}"/>
    <cellStyle name="Normal 2 2 15 7 3" xfId="13893" xr:uid="{105B59DD-37CA-464B-99A3-90A5F9425ACF}"/>
    <cellStyle name="Normal 2 2 15 7 4" xfId="13894" xr:uid="{FFA75B93-487C-4301-ABA6-2F658B33C81C}"/>
    <cellStyle name="Normal 2 2 15 7 5" xfId="13895" xr:uid="{8C21139C-747B-4305-B4E0-45A6D956E883}"/>
    <cellStyle name="Normal 2 2 15 7 6" xfId="13896" xr:uid="{050E6BFA-A919-4993-A24D-21EA55D62289}"/>
    <cellStyle name="Normal 2 2 15 8" xfId="13897" xr:uid="{ADCD4D5A-A656-4C77-9694-94FB61F26FF5}"/>
    <cellStyle name="Normal 2 2 15 8 2" xfId="13898" xr:uid="{F9F88CF4-E4EB-4F64-A6BE-0DE52AFF15BB}"/>
    <cellStyle name="Normal 2 2 15 8 3" xfId="13899" xr:uid="{13EFAAE8-CAF9-431C-A546-4C7175D8DD77}"/>
    <cellStyle name="Normal 2 2 15 8 4" xfId="13900" xr:uid="{298A0EC9-27A5-4DE2-B55F-444D68BF3BFD}"/>
    <cellStyle name="Normal 2 2 15 8 5" xfId="13901" xr:uid="{F8504825-21FB-46BD-9A0A-1AFE0FE5BA1A}"/>
    <cellStyle name="Normal 2 2 15 8 6" xfId="13902" xr:uid="{F940AAF9-60D3-487A-AA46-D46DC15AFB75}"/>
    <cellStyle name="Normal 2 2 15 9" xfId="13903" xr:uid="{4444A695-CBEB-4C0F-BEC3-C79252D24FB3}"/>
    <cellStyle name="Normal 2 2 16" xfId="13904" xr:uid="{A1F61295-EDBF-4A18-BBFE-AB0B981C3707}"/>
    <cellStyle name="Normal 2 2 16 10" xfId="13905" xr:uid="{79A08AF1-73A7-47B2-9619-CEBE8676CA86}"/>
    <cellStyle name="Normal 2 2 16 11" xfId="13906" xr:uid="{49E7DE7E-69F3-43D3-BB47-F01BFA4D5ABB}"/>
    <cellStyle name="Normal 2 2 16 12" xfId="13907" xr:uid="{2E7AB39E-C91E-4367-B680-3007CD5744CF}"/>
    <cellStyle name="Normal 2 2 16 13" xfId="13908" xr:uid="{9684BEFF-7394-4694-BEAF-9654E00A8C08}"/>
    <cellStyle name="Normal 2 2 16 14" xfId="13909" xr:uid="{8692F6D4-1ACE-4E8D-9CD3-2498AB75A071}"/>
    <cellStyle name="Normal 2 2 16 2" xfId="13910" xr:uid="{F5AFC9E1-7296-438D-8B5D-7271D70A9850}"/>
    <cellStyle name="Normal 2 2 16 2 2" xfId="13911" xr:uid="{4CE6834B-0134-4762-8224-23FC89D5EFA3}"/>
    <cellStyle name="Normal 2 2 16 2 3" xfId="13912" xr:uid="{A7F655BD-1552-43BB-855F-38CE0E4A990F}"/>
    <cellStyle name="Normal 2 2 16 2 4" xfId="13913" xr:uid="{3B75C82B-A143-43A1-B1EA-C4718D5A9910}"/>
    <cellStyle name="Normal 2 2 16 2 5" xfId="13914" xr:uid="{2F257391-9D49-4CFD-849D-EA860A75ED04}"/>
    <cellStyle name="Normal 2 2 16 2 6" xfId="13915" xr:uid="{1B6DD3E8-CB4C-4E47-9A29-503531C7984E}"/>
    <cellStyle name="Normal 2 2 16 3" xfId="13916" xr:uid="{4936224B-DA95-41CC-947B-8ACCD5DADF0F}"/>
    <cellStyle name="Normal 2 2 16 3 2" xfId="13917" xr:uid="{1E2D42B5-A290-4BFB-9097-5F56E949A7BD}"/>
    <cellStyle name="Normal 2 2 16 3 3" xfId="13918" xr:uid="{F3A662D1-7457-4213-A800-0A37A675E29D}"/>
    <cellStyle name="Normal 2 2 16 3 4" xfId="13919" xr:uid="{9AE73AF2-D5A0-43AB-B8C9-E0B5F58521DB}"/>
    <cellStyle name="Normal 2 2 16 3 5" xfId="13920" xr:uid="{27E2D308-09C6-4D99-9AD3-023BA74378A4}"/>
    <cellStyle name="Normal 2 2 16 3 6" xfId="13921" xr:uid="{A112D626-1C21-4D86-BC98-B628C9579BAA}"/>
    <cellStyle name="Normal 2 2 16 4" xfId="13922" xr:uid="{14939821-D18D-4044-8D66-989BE90EC413}"/>
    <cellStyle name="Normal 2 2 16 4 2" xfId="13923" xr:uid="{9F047765-79E2-46DC-822E-ED3D4D8C7E6D}"/>
    <cellStyle name="Normal 2 2 16 4 3" xfId="13924" xr:uid="{C3A30EF7-308D-4FA7-84EC-C4E69330C4EF}"/>
    <cellStyle name="Normal 2 2 16 4 4" xfId="13925" xr:uid="{96A4BCFB-E485-4401-9FA8-13936D5215EE}"/>
    <cellStyle name="Normal 2 2 16 4 5" xfId="13926" xr:uid="{E33B6DE2-17AC-48EC-9F28-CF67253B5F12}"/>
    <cellStyle name="Normal 2 2 16 4 6" xfId="13927" xr:uid="{CB5EFD74-206B-4E7F-861C-6D6A042ADE34}"/>
    <cellStyle name="Normal 2 2 16 5" xfId="13928" xr:uid="{EBCBB899-6487-4411-84F1-6136BE92201E}"/>
    <cellStyle name="Normal 2 2 16 5 2" xfId="13929" xr:uid="{41DF3671-F956-4F59-99CF-7C1E7B43E018}"/>
    <cellStyle name="Normal 2 2 16 5 3" xfId="13930" xr:uid="{E42CECE0-7413-4869-8C8C-D305048EC30A}"/>
    <cellStyle name="Normal 2 2 16 5 4" xfId="13931" xr:uid="{BBE30771-E26F-498D-A02A-3E2382D0D50D}"/>
    <cellStyle name="Normal 2 2 16 5 5" xfId="13932" xr:uid="{9CD82844-F813-482F-9631-DD822C798356}"/>
    <cellStyle name="Normal 2 2 16 5 6" xfId="13933" xr:uid="{07D83D1D-BD42-4F19-9B66-4F416CD235A6}"/>
    <cellStyle name="Normal 2 2 16 6" xfId="13934" xr:uid="{C3013382-E404-44BA-A3E2-588653922E1E}"/>
    <cellStyle name="Normal 2 2 16 6 2" xfId="13935" xr:uid="{84A9C5D0-FCA2-4CA6-A385-DF858490D179}"/>
    <cellStyle name="Normal 2 2 16 6 3" xfId="13936" xr:uid="{2EC5C167-FFE8-4E21-B4EE-5E537C100C45}"/>
    <cellStyle name="Normal 2 2 16 6 4" xfId="13937" xr:uid="{ED3FA0B0-1139-47F2-B59A-3D88824EA80C}"/>
    <cellStyle name="Normal 2 2 16 6 5" xfId="13938" xr:uid="{145B51DB-2722-454D-A42F-DA82536A15E7}"/>
    <cellStyle name="Normal 2 2 16 6 6" xfId="13939" xr:uid="{C26B0175-41EB-4365-9753-E9E21A49B224}"/>
    <cellStyle name="Normal 2 2 16 7" xfId="13940" xr:uid="{95CB94FB-3BC7-4DA3-8C83-6260DF6C0B13}"/>
    <cellStyle name="Normal 2 2 16 7 2" xfId="13941" xr:uid="{34A4B5F1-A6D0-4A27-8271-A46ACBE84C8C}"/>
    <cellStyle name="Normal 2 2 16 7 3" xfId="13942" xr:uid="{DB1130E8-474D-4A70-BC2F-B5140A13F07C}"/>
    <cellStyle name="Normal 2 2 16 7 4" xfId="13943" xr:uid="{7F4C4DBF-FB61-4A8D-A41F-5E8A6237430C}"/>
    <cellStyle name="Normal 2 2 16 7 5" xfId="13944" xr:uid="{406BB42F-208C-4C81-94A6-8BC705B3EAB9}"/>
    <cellStyle name="Normal 2 2 16 7 6" xfId="13945" xr:uid="{760CDDC4-8B2B-4EDF-93CF-894C3CF97F0F}"/>
    <cellStyle name="Normal 2 2 16 8" xfId="13946" xr:uid="{08E04FF4-2DBB-484C-95E9-1F653831FBBD}"/>
    <cellStyle name="Normal 2 2 16 8 2" xfId="13947" xr:uid="{276A4F11-76C2-44D9-9C33-2C6184E4E3F6}"/>
    <cellStyle name="Normal 2 2 16 8 3" xfId="13948" xr:uid="{8DEF7D3B-A065-42F5-B099-D970EE96BD56}"/>
    <cellStyle name="Normal 2 2 16 8 4" xfId="13949" xr:uid="{601FB19E-7D15-46F2-B1CB-3A01FA98CA7D}"/>
    <cellStyle name="Normal 2 2 16 8 5" xfId="13950" xr:uid="{D167E18D-160A-4FBE-A3FD-2A9B1F3456E1}"/>
    <cellStyle name="Normal 2 2 16 8 6" xfId="13951" xr:uid="{3A784848-E30C-44AF-AE22-DF4C281A362B}"/>
    <cellStyle name="Normal 2 2 16 9" xfId="13952" xr:uid="{023270F9-C95A-4BA9-BBDA-184D1A5DF5A7}"/>
    <cellStyle name="Normal 2 2 17" xfId="13953" xr:uid="{0712492A-579F-4B9A-9544-9A911D7D2798}"/>
    <cellStyle name="Normal 2 2 17 10" xfId="13954" xr:uid="{3C05E883-562B-43BE-89F6-196EE2124BD3}"/>
    <cellStyle name="Normal 2 2 17 11" xfId="13955" xr:uid="{C64D48CE-AF9E-4AFD-AC39-FC7ECAC463E8}"/>
    <cellStyle name="Normal 2 2 17 12" xfId="13956" xr:uid="{592B0785-4DCC-420B-988A-80C9B22F3EC5}"/>
    <cellStyle name="Normal 2 2 17 13" xfId="13957" xr:uid="{FE740787-C513-44CC-BDE1-3D585E44D561}"/>
    <cellStyle name="Normal 2 2 17 14" xfId="13958" xr:uid="{E874122C-19B0-4E37-83FC-99C2BCC94AD6}"/>
    <cellStyle name="Normal 2 2 17 2" xfId="13959" xr:uid="{722A2397-6A57-4094-9698-2894E7A5734A}"/>
    <cellStyle name="Normal 2 2 17 2 2" xfId="13960" xr:uid="{2E8F4EDF-E79B-4609-A6C0-622DF5F8E61D}"/>
    <cellStyle name="Normal 2 2 17 2 3" xfId="13961" xr:uid="{CBA4AED1-47FE-48ED-8FFE-EDAD6AEA4A93}"/>
    <cellStyle name="Normal 2 2 17 2 4" xfId="13962" xr:uid="{C923F2C8-37E4-4EE1-B1C8-91C3BB4629B9}"/>
    <cellStyle name="Normal 2 2 17 2 5" xfId="13963" xr:uid="{81F6E343-E561-4E66-81D1-FB32C0E7E9AE}"/>
    <cellStyle name="Normal 2 2 17 2 6" xfId="13964" xr:uid="{8A0BF1B5-AA3A-41B0-AA43-A1D2D6DF4CC3}"/>
    <cellStyle name="Normal 2 2 17 3" xfId="13965" xr:uid="{7DFB89DC-657C-4791-BB6B-003061FD2E2B}"/>
    <cellStyle name="Normal 2 2 17 3 2" xfId="13966" xr:uid="{A7375E11-530E-406E-A733-51B788C572FC}"/>
    <cellStyle name="Normal 2 2 17 3 3" xfId="13967" xr:uid="{E5D01287-3918-40D6-8381-8C671C2CC34B}"/>
    <cellStyle name="Normal 2 2 17 3 4" xfId="13968" xr:uid="{2F2DCFA8-3E46-4BCB-9465-F00854E16F4F}"/>
    <cellStyle name="Normal 2 2 17 3 5" xfId="13969" xr:uid="{143F6F14-F811-4BDC-A743-6AEBB497C9A6}"/>
    <cellStyle name="Normal 2 2 17 3 6" xfId="13970" xr:uid="{D63289A7-460D-44A7-A43A-36DB5DEA2419}"/>
    <cellStyle name="Normal 2 2 17 4" xfId="13971" xr:uid="{6A859673-6AE4-49AF-98C2-457459D9EA8B}"/>
    <cellStyle name="Normal 2 2 17 4 2" xfId="13972" xr:uid="{9864497E-1F86-478C-BCB1-CB19F255732E}"/>
    <cellStyle name="Normal 2 2 17 4 3" xfId="13973" xr:uid="{3E14D8DF-FB91-484D-A389-B03902A8ADF1}"/>
    <cellStyle name="Normal 2 2 17 4 4" xfId="13974" xr:uid="{D61D1C1C-DFE3-4085-8382-6683F10C4939}"/>
    <cellStyle name="Normal 2 2 17 4 5" xfId="13975" xr:uid="{5B0D43F9-65AB-4153-8953-F6D760CA0FA0}"/>
    <cellStyle name="Normal 2 2 17 4 6" xfId="13976" xr:uid="{BA3E1E77-10F5-498C-A361-257FA4643DE4}"/>
    <cellStyle name="Normal 2 2 17 5" xfId="13977" xr:uid="{337059A9-3D6F-4868-A037-730310540EA1}"/>
    <cellStyle name="Normal 2 2 17 5 2" xfId="13978" xr:uid="{5C9DAA93-9148-48D7-B0DD-8335AADFF6A2}"/>
    <cellStyle name="Normal 2 2 17 5 3" xfId="13979" xr:uid="{03D2460E-9EAF-48A3-8874-0FEF9CD178DF}"/>
    <cellStyle name="Normal 2 2 17 5 4" xfId="13980" xr:uid="{4A7D4462-28BE-4E14-A06C-1A35A65A1664}"/>
    <cellStyle name="Normal 2 2 17 5 5" xfId="13981" xr:uid="{03778599-1BBE-45AD-8501-E0D319821DEE}"/>
    <cellStyle name="Normal 2 2 17 5 6" xfId="13982" xr:uid="{B3D55678-2A64-4664-AEDA-49F4F316FFAF}"/>
    <cellStyle name="Normal 2 2 17 6" xfId="13983" xr:uid="{8A427240-953D-441E-9177-EA797345CC4F}"/>
    <cellStyle name="Normal 2 2 17 6 2" xfId="13984" xr:uid="{BE5606CE-139F-4298-8B89-6EB14B348496}"/>
    <cellStyle name="Normal 2 2 17 6 3" xfId="13985" xr:uid="{DC74365F-2061-448A-A3D6-B17ACFD07806}"/>
    <cellStyle name="Normal 2 2 17 6 4" xfId="13986" xr:uid="{449CB443-6136-45B4-A6C2-8C5AE1F2FD4E}"/>
    <cellStyle name="Normal 2 2 17 6 5" xfId="13987" xr:uid="{C1F48741-7E84-4D18-8B12-30303E2FE648}"/>
    <cellStyle name="Normal 2 2 17 6 6" xfId="13988" xr:uid="{8BECF8D7-BD38-4178-B2DB-8B7D3FA2ABE2}"/>
    <cellStyle name="Normal 2 2 17 7" xfId="13989" xr:uid="{A2500771-9E5E-4E03-BBD4-93FFA1AEF92A}"/>
    <cellStyle name="Normal 2 2 17 7 2" xfId="13990" xr:uid="{300F41E6-398A-45DD-8B66-E01A245070AD}"/>
    <cellStyle name="Normal 2 2 17 7 3" xfId="13991" xr:uid="{5064664C-8512-463A-881E-85A780D9C184}"/>
    <cellStyle name="Normal 2 2 17 7 4" xfId="13992" xr:uid="{50225FEC-9039-4673-81AF-98D9DAC4634D}"/>
    <cellStyle name="Normal 2 2 17 7 5" xfId="13993" xr:uid="{2AA0D97C-CCA4-4137-BA0B-9BC855D33A9C}"/>
    <cellStyle name="Normal 2 2 17 7 6" xfId="13994" xr:uid="{EB8E351E-689E-42A2-9771-2BE9032043E8}"/>
    <cellStyle name="Normal 2 2 17 8" xfId="13995" xr:uid="{F4993BBD-9CBC-42BF-B25D-DC537127469C}"/>
    <cellStyle name="Normal 2 2 17 8 2" xfId="13996" xr:uid="{09BD33AE-E27B-489F-82CE-3901E9CB7582}"/>
    <cellStyle name="Normal 2 2 17 8 3" xfId="13997" xr:uid="{F2FD88F3-73AA-461B-B745-ECB7FA9D6057}"/>
    <cellStyle name="Normal 2 2 17 8 4" xfId="13998" xr:uid="{648B0305-5FEB-4479-93EA-F69E05CD7A4D}"/>
    <cellStyle name="Normal 2 2 17 8 5" xfId="13999" xr:uid="{B43F29E0-A3A4-4C41-882A-64A8387D00AC}"/>
    <cellStyle name="Normal 2 2 17 8 6" xfId="14000" xr:uid="{612053EB-A28E-494C-87E4-C04B7C7AC6BB}"/>
    <cellStyle name="Normal 2 2 17 9" xfId="14001" xr:uid="{CC4DCBD6-D2D7-4E06-A1B7-FE90AAC91C31}"/>
    <cellStyle name="Normal 2 2 18" xfId="14002" xr:uid="{9EFA3935-37E1-4A5E-B5BD-9C42D961D7C0}"/>
    <cellStyle name="Normal 2 2 18 10" xfId="14003" xr:uid="{24DA9E64-1E25-49C8-BB7B-97A5C7227A82}"/>
    <cellStyle name="Normal 2 2 18 10 2" xfId="14004" xr:uid="{2D7F8AEA-82F0-452E-830C-20B9640D2763}"/>
    <cellStyle name="Normal 2 2 18 10 3" xfId="14005" xr:uid="{526B82E2-A45A-4AEB-9A70-576EEEB01910}"/>
    <cellStyle name="Normal 2 2 18 10 4" xfId="14006" xr:uid="{73CDF560-0CC2-43E1-B0FA-7EFD38FD9D79}"/>
    <cellStyle name="Normal 2 2 18 10 5" xfId="14007" xr:uid="{B7AD07C7-816E-441D-BE91-8C3A7EDDE691}"/>
    <cellStyle name="Normal 2 2 18 10 6" xfId="14008" xr:uid="{D3A73B71-2B2E-410F-8CB8-FD31C899922C}"/>
    <cellStyle name="Normal 2 2 18 11" xfId="14009" xr:uid="{46BED335-89E2-4CA0-8AD0-3880F7CA482B}"/>
    <cellStyle name="Normal 2 2 18 11 2" xfId="14010" xr:uid="{713D99C8-52BE-46C8-ADD4-DAFF64A4E8DB}"/>
    <cellStyle name="Normal 2 2 18 11 3" xfId="14011" xr:uid="{46FD78FA-993B-4BB0-93E0-A4E0FF772A6F}"/>
    <cellStyle name="Normal 2 2 18 11 4" xfId="14012" xr:uid="{1DE1F094-B99A-4C00-AAAD-C4C472CDFF57}"/>
    <cellStyle name="Normal 2 2 18 11 5" xfId="14013" xr:uid="{6A41A374-CC65-4B56-86F7-B679792F2FC3}"/>
    <cellStyle name="Normal 2 2 18 11 6" xfId="14014" xr:uid="{36D4F3E5-6F38-43A9-B7A4-3342DAF9ED9D}"/>
    <cellStyle name="Normal 2 2 18 12" xfId="14015" xr:uid="{7443541E-71A9-4B24-90CA-08588680DAA3}"/>
    <cellStyle name="Normal 2 2 18 12 2" xfId="14016" xr:uid="{B3F8EBD3-29ED-4075-BEEA-E9B44909EE0E}"/>
    <cellStyle name="Normal 2 2 18 12 3" xfId="14017" xr:uid="{E25C52F9-ED72-41A4-A07C-B00AB09B7035}"/>
    <cellStyle name="Normal 2 2 18 12 4" xfId="14018" xr:uid="{3E4EB949-22EB-40F2-961F-7A99D755A1A8}"/>
    <cellStyle name="Normal 2 2 18 12 5" xfId="14019" xr:uid="{04556679-7BA0-4B7C-B102-0BEEB58B6898}"/>
    <cellStyle name="Normal 2 2 18 12 6" xfId="14020" xr:uid="{DC4A1DE3-CA21-4E6A-8440-E65358A36470}"/>
    <cellStyle name="Normal 2 2 18 13" xfId="14021" xr:uid="{E4E50CF6-60F6-426F-9CD8-1043A3698A3A}"/>
    <cellStyle name="Normal 2 2 18 13 2" xfId="14022" xr:uid="{2B0BA8C6-F245-4B2A-AAF5-E4749BF3E05D}"/>
    <cellStyle name="Normal 2 2 18 13 3" xfId="14023" xr:uid="{415ACF56-3434-468B-96AC-0066CAB00EBD}"/>
    <cellStyle name="Normal 2 2 18 13 4" xfId="14024" xr:uid="{34658EF4-A2ED-4C58-BAE5-5C3DE7F5FD73}"/>
    <cellStyle name="Normal 2 2 18 13 5" xfId="14025" xr:uid="{FCD0CBCC-9E2B-4AD0-B11C-ABC81A993302}"/>
    <cellStyle name="Normal 2 2 18 13 6" xfId="14026" xr:uid="{FCA5793E-17D1-4B2B-A779-CA9476071B3B}"/>
    <cellStyle name="Normal 2 2 18 14" xfId="14027" xr:uid="{3043C7BB-3CEE-45F1-A124-8B559EA5D1EC}"/>
    <cellStyle name="Normal 2 2 18 14 2" xfId="14028" xr:uid="{0DC2E2ED-5DF4-4D38-95C0-912D78FF79EE}"/>
    <cellStyle name="Normal 2 2 18 14 3" xfId="14029" xr:uid="{465D375D-801A-4BA2-9110-44A46FE12F1D}"/>
    <cellStyle name="Normal 2 2 18 14 4" xfId="14030" xr:uid="{49EB8870-2FBF-4677-89FB-8B60CBE48520}"/>
    <cellStyle name="Normal 2 2 18 14 5" xfId="14031" xr:uid="{CE3ED3D2-4045-44A9-93F7-BC97D5666A92}"/>
    <cellStyle name="Normal 2 2 18 14 6" xfId="14032" xr:uid="{7304748D-193A-461F-BE18-4BC632CB8C39}"/>
    <cellStyle name="Normal 2 2 18 15" xfId="14033" xr:uid="{D2A69F28-2B4B-4097-806A-19E29BF0FC99}"/>
    <cellStyle name="Normal 2 2 18 16" xfId="14034" xr:uid="{DE938D70-E464-4964-9E3F-6C7B7D2842C4}"/>
    <cellStyle name="Normal 2 2 18 17" xfId="14035" xr:uid="{986FE495-2AC8-46D9-8E34-0712190DDCE7}"/>
    <cellStyle name="Normal 2 2 18 18" xfId="14036" xr:uid="{3CCCF457-BF5B-4803-BA66-25FCF9EEC676}"/>
    <cellStyle name="Normal 2 2 18 19" xfId="14037" xr:uid="{40B1B31F-256F-4C04-930E-79A2338D01B6}"/>
    <cellStyle name="Normal 2 2 18 2" xfId="14038" xr:uid="{732525E9-9DD0-4DC1-B4FE-4219753760C8}"/>
    <cellStyle name="Normal 2 2 18 2 10" xfId="14039" xr:uid="{3950A981-E926-4F1C-A5A5-DB898650638D}"/>
    <cellStyle name="Normal 2 2 18 2 11" xfId="14040" xr:uid="{450E0FCF-D90C-4D67-88F3-316B97B7B8C6}"/>
    <cellStyle name="Normal 2 2 18 2 12" xfId="14041" xr:uid="{C789219D-B714-4FFD-A8F1-7CE20D01A5F3}"/>
    <cellStyle name="Normal 2 2 18 2 13" xfId="14042" xr:uid="{3B7672E8-9855-401F-A549-F39CE843F788}"/>
    <cellStyle name="Normal 2 2 18 2 14" xfId="14043" xr:uid="{8584337F-1A95-4174-8D86-1E4602E1654A}"/>
    <cellStyle name="Normal 2 2 18 2 15" xfId="14044" xr:uid="{4A5A385D-6B30-4A68-BB38-6A46B4064502}"/>
    <cellStyle name="Normal 2 2 18 2 16" xfId="14045" xr:uid="{D66A2D4D-B3F3-4556-B823-8BDE4ECA5713}"/>
    <cellStyle name="Normal 2 2 18 2 17" xfId="14046" xr:uid="{327FA30D-DFD2-4F68-A25F-E58E09D1F451}"/>
    <cellStyle name="Normal 2 2 18 2 18" xfId="14047" xr:uid="{DBD73D18-D15E-4687-A94A-BB4B2168885F}"/>
    <cellStyle name="Normal 2 2 18 2 19" xfId="14048" xr:uid="{B9A499C9-C183-4D0E-87BD-AB4B350E375A}"/>
    <cellStyle name="Normal 2 2 18 2 2" xfId="14049" xr:uid="{F0FBDA52-EE12-4CC0-A73C-184A4FA803DE}"/>
    <cellStyle name="Normal 2 2 18 2 20" xfId="14050" xr:uid="{51228ADB-50CF-4C7B-B322-3E0DF2F2A3D0}"/>
    <cellStyle name="Normal 2 2 18 2 21" xfId="14051" xr:uid="{6E9EF001-CEC8-44CA-B2A1-73648AD3F7E7}"/>
    <cellStyle name="Normal 2 2 18 2 22" xfId="14052" xr:uid="{5AD79A5C-B39F-4235-8D90-832C037C7DFE}"/>
    <cellStyle name="Normal 2 2 18 2 23" xfId="14053" xr:uid="{83C5330D-7F05-4590-B5D0-905C46635D4D}"/>
    <cellStyle name="Normal 2 2 18 2 24" xfId="14054" xr:uid="{CD46F7A1-7662-4E40-8C83-89F8910542CE}"/>
    <cellStyle name="Normal 2 2 18 2 25" xfId="14055" xr:uid="{DA6080E3-8D85-4BA5-BECC-B3F782DDD316}"/>
    <cellStyle name="Normal 2 2 18 2 26" xfId="14056" xr:uid="{E1A53B96-40E4-4278-9DBA-934196B075ED}"/>
    <cellStyle name="Normal 2 2 18 2 27" xfId="14057" xr:uid="{B8DA036C-886A-4B04-BACF-A1CC5E95AAB1}"/>
    <cellStyle name="Normal 2 2 18 2 28" xfId="14058" xr:uid="{BB53218F-0AC1-4C55-B911-C2B1539CCB4D}"/>
    <cellStyle name="Normal 2 2 18 2 29" xfId="14059" xr:uid="{E246AEA5-8CA1-4222-A36C-A83B16253878}"/>
    <cellStyle name="Normal 2 2 18 2 3" xfId="14060" xr:uid="{2A318802-3159-4732-AC18-51F4F945A5F2}"/>
    <cellStyle name="Normal 2 2 18 2 30" xfId="14061" xr:uid="{869121CC-EA60-4DEF-B0A1-9B0C4775803C}"/>
    <cellStyle name="Normal 2 2 18 2 31" xfId="14062" xr:uid="{9A58CF66-C74D-4BD3-9350-F3DF38DFDA64}"/>
    <cellStyle name="Normal 2 2 18 2 32" xfId="14063" xr:uid="{31BCD8D2-B874-49F6-B790-DF944E6C908B}"/>
    <cellStyle name="Normal 2 2 18 2 33" xfId="14064" xr:uid="{47AE93C6-7AF2-4F07-9714-68D7A80376AF}"/>
    <cellStyle name="Normal 2 2 18 2 34" xfId="14065" xr:uid="{C3EF7ECA-53C2-4B94-9A7C-7C751B1B6187}"/>
    <cellStyle name="Normal 2 2 18 2 35" xfId="14066" xr:uid="{C5A89A8A-DB75-45AC-8A6D-01E373D497D8}"/>
    <cellStyle name="Normal 2 2 18 2 36" xfId="14067" xr:uid="{C492AA42-4042-4471-8DE4-BD95FEC9D999}"/>
    <cellStyle name="Normal 2 2 18 2 37" xfId="14068" xr:uid="{96D8EF7A-848B-4CD1-A2C1-B12C2829BFC4}"/>
    <cellStyle name="Normal 2 2 18 2 38" xfId="14069" xr:uid="{6DA66245-5C40-4F74-AD2E-65F3A5FB4760}"/>
    <cellStyle name="Normal 2 2 18 2 39" xfId="14070" xr:uid="{21AED5E4-EB21-42AB-B3B6-67671FAAF0C4}"/>
    <cellStyle name="Normal 2 2 18 2 4" xfId="14071" xr:uid="{9A710D8D-4DA5-48C5-AD35-7435E410C217}"/>
    <cellStyle name="Normal 2 2 18 2 40" xfId="14072" xr:uid="{A5B65208-06D8-4C4E-AE0E-1D8DEB617654}"/>
    <cellStyle name="Normal 2 2 18 2 41" xfId="14073" xr:uid="{7C7E34C6-ECD0-4F21-9994-8CD5A1FE4CB2}"/>
    <cellStyle name="Normal 2 2 18 2 42" xfId="14074" xr:uid="{7D95279C-CEC9-4997-BE9E-84AA77098265}"/>
    <cellStyle name="Normal 2 2 18 2 43" xfId="14075" xr:uid="{A127285E-DF41-4FF8-A1AE-F8EEE19D0BB4}"/>
    <cellStyle name="Normal 2 2 18 2 44" xfId="14076" xr:uid="{4119374F-D8C6-44CF-ADED-6E2B4B7097BA}"/>
    <cellStyle name="Normal 2 2 18 2 45" xfId="14077" xr:uid="{7BE506AE-5D79-47DA-BAB0-C1A8CA904D27}"/>
    <cellStyle name="Normal 2 2 18 2 5" xfId="14078" xr:uid="{1F9FE44B-B478-4C0C-BE70-926707C3BAB7}"/>
    <cellStyle name="Normal 2 2 18 2 6" xfId="14079" xr:uid="{4ECE1771-D1F8-4D54-A765-859F09FA8C16}"/>
    <cellStyle name="Normal 2 2 18 2 7" xfId="14080" xr:uid="{D2F186DF-7295-434F-9B56-FABFFA84CB15}"/>
    <cellStyle name="Normal 2 2 18 2 8" xfId="14081" xr:uid="{7A3C1D0D-65A7-4BEE-BDEE-B8AF419AEBEF}"/>
    <cellStyle name="Normal 2 2 18 2 9" xfId="14082" xr:uid="{A220E5A1-4DB1-4935-A20A-9CC0BD0181EA}"/>
    <cellStyle name="Normal 2 2 18 20" xfId="14083" xr:uid="{450681F2-75FF-442C-92BA-90504988D78C}"/>
    <cellStyle name="Normal 2 2 18 3" xfId="14084" xr:uid="{08E0C7D1-0059-4997-907A-3B26545957A9}"/>
    <cellStyle name="Normal 2 2 18 3 10" xfId="14085" xr:uid="{0610D3E0-8793-474B-A89F-4CFF2FCA8165}"/>
    <cellStyle name="Normal 2 2 18 3 11" xfId="14086" xr:uid="{7625A646-7B68-4CFE-9E24-1900A3D4CFBF}"/>
    <cellStyle name="Normal 2 2 18 3 12" xfId="14087" xr:uid="{74F3C768-5658-49BA-BC64-245C2B7EB6C8}"/>
    <cellStyle name="Normal 2 2 18 3 13" xfId="14088" xr:uid="{A2E86501-11F7-4AD3-91B7-6606D92B5A70}"/>
    <cellStyle name="Normal 2 2 18 3 14" xfId="14089" xr:uid="{3BE1D5A2-13D6-4F84-B44D-EB95D11FB254}"/>
    <cellStyle name="Normal 2 2 18 3 15" xfId="14090" xr:uid="{0517149D-1F0B-4314-87A2-30258F51784C}"/>
    <cellStyle name="Normal 2 2 18 3 16" xfId="14091" xr:uid="{4506FEF9-63A7-415B-B002-F77B4F72473D}"/>
    <cellStyle name="Normal 2 2 18 3 17" xfId="14092" xr:uid="{1C501061-9F26-4D0D-98F2-5DE020B57115}"/>
    <cellStyle name="Normal 2 2 18 3 18" xfId="14093" xr:uid="{A143290B-9587-43ED-AFCB-D08915B303AE}"/>
    <cellStyle name="Normal 2 2 18 3 19" xfId="14094" xr:uid="{62C5D6F5-840C-43D0-A26A-C130D63F103B}"/>
    <cellStyle name="Normal 2 2 18 3 2" xfId="14095" xr:uid="{70143559-F379-4136-9652-56BB391B1897}"/>
    <cellStyle name="Normal 2 2 18 3 20" xfId="14096" xr:uid="{C55A25C1-8D5D-4717-A907-6A645EA6F961}"/>
    <cellStyle name="Normal 2 2 18 3 21" xfId="14097" xr:uid="{0623834F-3936-49F8-B70F-05FA397F43F1}"/>
    <cellStyle name="Normal 2 2 18 3 22" xfId="14098" xr:uid="{50AF0EA4-A533-4DAD-B479-C7C4F24D0095}"/>
    <cellStyle name="Normal 2 2 18 3 23" xfId="14099" xr:uid="{A6091ABC-C2F4-4EAB-843A-4AB4E09CA55D}"/>
    <cellStyle name="Normal 2 2 18 3 24" xfId="14100" xr:uid="{BF431ECB-4CD2-45DC-B525-E6241ADE1932}"/>
    <cellStyle name="Normal 2 2 18 3 25" xfId="14101" xr:uid="{A2CCCA3B-A260-4776-A778-0AB8D8357492}"/>
    <cellStyle name="Normal 2 2 18 3 26" xfId="14102" xr:uid="{41081EF0-85A0-414C-8A77-928E7FD1ACB6}"/>
    <cellStyle name="Normal 2 2 18 3 27" xfId="14103" xr:uid="{8ED9C787-9D25-4DC9-981B-4456D3D7992B}"/>
    <cellStyle name="Normal 2 2 18 3 28" xfId="14104" xr:uid="{0752939A-CF76-49F7-AC34-4FE04FEB5482}"/>
    <cellStyle name="Normal 2 2 18 3 29" xfId="14105" xr:uid="{D25B40B7-F287-4B48-A74B-7236671ED5A7}"/>
    <cellStyle name="Normal 2 2 18 3 3" xfId="14106" xr:uid="{64A7EFE2-3940-4979-AD40-4C1503205037}"/>
    <cellStyle name="Normal 2 2 18 3 30" xfId="14107" xr:uid="{B3556AC8-B6D4-4540-B254-25C756775B26}"/>
    <cellStyle name="Normal 2 2 18 3 31" xfId="14108" xr:uid="{63A4E89A-E7CE-4244-AE9A-7E4CAD5FBA64}"/>
    <cellStyle name="Normal 2 2 18 3 32" xfId="14109" xr:uid="{8E2EA628-F330-4C03-B3FE-A585A0D94580}"/>
    <cellStyle name="Normal 2 2 18 3 33" xfId="14110" xr:uid="{6452B45F-DB77-44EF-9B35-58F32AF387BC}"/>
    <cellStyle name="Normal 2 2 18 3 34" xfId="14111" xr:uid="{256180ED-C4A8-4386-8A0D-F5F191DF9A3A}"/>
    <cellStyle name="Normal 2 2 18 3 35" xfId="14112" xr:uid="{3F60106B-1EAA-497B-85B9-E754BE60503B}"/>
    <cellStyle name="Normal 2 2 18 3 36" xfId="14113" xr:uid="{1EF20DBD-D4CB-4A24-9A31-DD49AF09D3E5}"/>
    <cellStyle name="Normal 2 2 18 3 37" xfId="14114" xr:uid="{9F89E793-E1E9-4096-BD1A-872057C18396}"/>
    <cellStyle name="Normal 2 2 18 3 38" xfId="14115" xr:uid="{6029A09C-EF6C-48A5-ABD9-85F753E794D8}"/>
    <cellStyle name="Normal 2 2 18 3 39" xfId="14116" xr:uid="{E0B8ECA2-DF4F-4E7F-9E10-40D99750054B}"/>
    <cellStyle name="Normal 2 2 18 3 4" xfId="14117" xr:uid="{FB24C2E7-93DE-4440-9328-CB863C959961}"/>
    <cellStyle name="Normal 2 2 18 3 40" xfId="14118" xr:uid="{2C8F373B-72C3-4D21-8A09-9A9267015AB4}"/>
    <cellStyle name="Normal 2 2 18 3 41" xfId="14119" xr:uid="{25492A32-A6C2-42CE-AFA9-63169A256D04}"/>
    <cellStyle name="Normal 2 2 18 3 42" xfId="14120" xr:uid="{7DCEB1F3-C5B8-4787-B95E-F5FC077FBA11}"/>
    <cellStyle name="Normal 2 2 18 3 43" xfId="14121" xr:uid="{B9214314-3C13-4E83-B9C8-3DCCF6A57939}"/>
    <cellStyle name="Normal 2 2 18 3 44" xfId="14122" xr:uid="{1DA5E928-695A-4A07-9C2E-F1F3D71DCCF1}"/>
    <cellStyle name="Normal 2 2 18 3 45" xfId="14123" xr:uid="{9F6A07A3-5B8C-484E-98C2-D87A6036090D}"/>
    <cellStyle name="Normal 2 2 18 3 5" xfId="14124" xr:uid="{A7B24161-41CB-4101-89C8-AEA77C7D004F}"/>
    <cellStyle name="Normal 2 2 18 3 6" xfId="14125" xr:uid="{692C8DA7-5186-4529-AD9C-790598319BE5}"/>
    <cellStyle name="Normal 2 2 18 3 7" xfId="14126" xr:uid="{3477E146-C7A7-44D2-99C5-7208E2A4FCF5}"/>
    <cellStyle name="Normal 2 2 18 3 8" xfId="14127" xr:uid="{1A882D1E-B952-4CF5-82B7-4A14E75B942E}"/>
    <cellStyle name="Normal 2 2 18 3 9" xfId="14128" xr:uid="{5BC92119-2832-42F6-BF0B-3A3DA5E8B5BE}"/>
    <cellStyle name="Normal 2 2 18 4" xfId="14129" xr:uid="{5CC67AFA-6A35-4343-B8EB-C1BA2B7B9F4B}"/>
    <cellStyle name="Normal 2 2 18 4 10" xfId="14130" xr:uid="{BAC88765-ABA3-44D5-AAB8-53A778A5A79A}"/>
    <cellStyle name="Normal 2 2 18 4 11" xfId="14131" xr:uid="{2EFDE681-F344-430F-8A21-88D836E5A673}"/>
    <cellStyle name="Normal 2 2 18 4 12" xfId="14132" xr:uid="{DF4B6F25-5908-4BA7-ABA6-3EB773E674C7}"/>
    <cellStyle name="Normal 2 2 18 4 13" xfId="14133" xr:uid="{C4D41AC5-74BB-4326-8B30-AD41BC399EBF}"/>
    <cellStyle name="Normal 2 2 18 4 14" xfId="14134" xr:uid="{BA715AB4-8674-4359-BAD8-F90BA652376F}"/>
    <cellStyle name="Normal 2 2 18 4 15" xfId="14135" xr:uid="{3EF973A0-849A-4C10-AA0D-47D2A90D62AD}"/>
    <cellStyle name="Normal 2 2 18 4 16" xfId="14136" xr:uid="{1945D210-76CC-4B62-BA7B-249CD242E0B0}"/>
    <cellStyle name="Normal 2 2 18 4 17" xfId="14137" xr:uid="{141DAF43-4CC6-4307-8306-0742EB2F7E96}"/>
    <cellStyle name="Normal 2 2 18 4 18" xfId="14138" xr:uid="{E9706EAD-CF77-469D-A94D-B2C62DA0554D}"/>
    <cellStyle name="Normal 2 2 18 4 19" xfId="14139" xr:uid="{FAA4A4C4-7E5A-4E90-80F6-1D046D9531A8}"/>
    <cellStyle name="Normal 2 2 18 4 2" xfId="14140" xr:uid="{545D5CD2-6139-4C6D-A61E-D96B7EC4AD38}"/>
    <cellStyle name="Normal 2 2 18 4 20" xfId="14141" xr:uid="{5CD4F32C-AFC2-401B-8D9E-C9E40729CA8A}"/>
    <cellStyle name="Normal 2 2 18 4 21" xfId="14142" xr:uid="{7551F3D7-87F1-4045-8F49-AC73A61FF5E8}"/>
    <cellStyle name="Normal 2 2 18 4 22" xfId="14143" xr:uid="{D06A9D74-C979-4A90-84FE-DCB40515A1B0}"/>
    <cellStyle name="Normal 2 2 18 4 23" xfId="14144" xr:uid="{BB7B44E1-B4FA-4302-9666-DA723F6E2FEA}"/>
    <cellStyle name="Normal 2 2 18 4 24" xfId="14145" xr:uid="{F1295413-83E6-4508-971D-834357122ACD}"/>
    <cellStyle name="Normal 2 2 18 4 25" xfId="14146" xr:uid="{B7CD0F40-9416-4522-9008-723CCA4E19F7}"/>
    <cellStyle name="Normal 2 2 18 4 26" xfId="14147" xr:uid="{35734920-997A-4029-B7C9-68393F30DE7F}"/>
    <cellStyle name="Normal 2 2 18 4 27" xfId="14148" xr:uid="{6AE7CB69-723B-4A64-95DC-973F81F7E213}"/>
    <cellStyle name="Normal 2 2 18 4 28" xfId="14149" xr:uid="{C0D475A3-A577-4A37-A2EF-99DC143C5A22}"/>
    <cellStyle name="Normal 2 2 18 4 29" xfId="14150" xr:uid="{492E9595-BF81-4998-8695-4C034F4ABEAA}"/>
    <cellStyle name="Normal 2 2 18 4 3" xfId="14151" xr:uid="{A60B8696-EE08-4260-87F1-3A90FC9605C1}"/>
    <cellStyle name="Normal 2 2 18 4 30" xfId="14152" xr:uid="{3EC06C57-390A-4F1B-8283-8B2BC4BE3140}"/>
    <cellStyle name="Normal 2 2 18 4 31" xfId="14153" xr:uid="{972A626D-D906-4D32-B3BB-079512BADF0B}"/>
    <cellStyle name="Normal 2 2 18 4 32" xfId="14154" xr:uid="{0A433796-67F4-4746-B952-EC6EA64826E8}"/>
    <cellStyle name="Normal 2 2 18 4 33" xfId="14155" xr:uid="{425E69AE-CA9F-476E-9602-C26C19C748BC}"/>
    <cellStyle name="Normal 2 2 18 4 34" xfId="14156" xr:uid="{049F50E3-1373-4DE9-8613-8F1C3634D864}"/>
    <cellStyle name="Normal 2 2 18 4 35" xfId="14157" xr:uid="{4FAAC1E3-378B-4C90-AC4C-2F394CC951E2}"/>
    <cellStyle name="Normal 2 2 18 4 36" xfId="14158" xr:uid="{BB556723-C8BD-410E-A96B-7060191001ED}"/>
    <cellStyle name="Normal 2 2 18 4 37" xfId="14159" xr:uid="{8C9D2394-AC9F-460A-9106-C4BEF97D6D0B}"/>
    <cellStyle name="Normal 2 2 18 4 38" xfId="14160" xr:uid="{1ED66CB7-5618-460E-90D9-FE7482D2BACA}"/>
    <cellStyle name="Normal 2 2 18 4 39" xfId="14161" xr:uid="{8EAF9568-03C1-4DDE-BD2D-4C578BA18F68}"/>
    <cellStyle name="Normal 2 2 18 4 4" xfId="14162" xr:uid="{E110FC35-EBD0-43D5-8185-BD3F1A7BB9B9}"/>
    <cellStyle name="Normal 2 2 18 4 40" xfId="14163" xr:uid="{5626F126-B8F0-4ADB-B25E-3DEAD04377ED}"/>
    <cellStyle name="Normal 2 2 18 4 41" xfId="14164" xr:uid="{5B81567C-44CB-4EDA-8E9D-D010B048C260}"/>
    <cellStyle name="Normal 2 2 18 4 42" xfId="14165" xr:uid="{D8E53E09-B286-4BB8-89DB-E5113933C8FA}"/>
    <cellStyle name="Normal 2 2 18 4 43" xfId="14166" xr:uid="{30483E86-6108-4EF6-95A0-B61FE0DB03A9}"/>
    <cellStyle name="Normal 2 2 18 4 44" xfId="14167" xr:uid="{EC29E3C9-DBBC-47E9-B855-56955B724584}"/>
    <cellStyle name="Normal 2 2 18 4 45" xfId="14168" xr:uid="{C8079C37-DBBD-46E4-9850-FB2D0785882A}"/>
    <cellStyle name="Normal 2 2 18 4 5" xfId="14169" xr:uid="{EA6F11B9-A962-461B-9849-BFEF42E78180}"/>
    <cellStyle name="Normal 2 2 18 4 6" xfId="14170" xr:uid="{3EF843D2-B8C2-4BBB-8F7D-0DAF812967EA}"/>
    <cellStyle name="Normal 2 2 18 4 7" xfId="14171" xr:uid="{D9345218-2DC6-4F05-96C2-6BB597AACC68}"/>
    <cellStyle name="Normal 2 2 18 4 8" xfId="14172" xr:uid="{4F6DD122-CEEC-431F-AD4C-6C760C678836}"/>
    <cellStyle name="Normal 2 2 18 4 9" xfId="14173" xr:uid="{A4CD5C5E-A89B-4597-80D5-EDF3650ED024}"/>
    <cellStyle name="Normal 2 2 18 5" xfId="14174" xr:uid="{CEDB51F9-7E4D-4FBE-BF75-84AD5ECB6023}"/>
    <cellStyle name="Normal 2 2 18 5 10" xfId="14175" xr:uid="{B30B8E1D-FB6B-4F93-85EF-BA8BBD5C8448}"/>
    <cellStyle name="Normal 2 2 18 5 11" xfId="14176" xr:uid="{C3DBF6DD-C0D8-4E1C-A7AD-532A54F8A7AB}"/>
    <cellStyle name="Normal 2 2 18 5 12" xfId="14177" xr:uid="{E637AF37-6799-4915-A5E6-4B0B9F15B07C}"/>
    <cellStyle name="Normal 2 2 18 5 13" xfId="14178" xr:uid="{457D4972-FBB4-4242-84A0-F3DDDBC1EAB5}"/>
    <cellStyle name="Normal 2 2 18 5 14" xfId="14179" xr:uid="{9513BEB1-40D0-42EB-A4D3-52F53584933E}"/>
    <cellStyle name="Normal 2 2 18 5 15" xfId="14180" xr:uid="{37EA4303-5F7E-4830-9BBD-4E1DD34DDBBD}"/>
    <cellStyle name="Normal 2 2 18 5 16" xfId="14181" xr:uid="{B5DEB6B8-76EB-4154-AAFB-5D321AB3D007}"/>
    <cellStyle name="Normal 2 2 18 5 17" xfId="14182" xr:uid="{3F7720A0-7923-4D0F-9C22-1A843F498901}"/>
    <cellStyle name="Normal 2 2 18 5 18" xfId="14183" xr:uid="{B786AA04-6068-4491-B9B4-00B9C27FDF27}"/>
    <cellStyle name="Normal 2 2 18 5 19" xfId="14184" xr:uid="{CA1EC8FB-5437-44A8-8706-4AD72A4458DD}"/>
    <cellStyle name="Normal 2 2 18 5 2" xfId="14185" xr:uid="{1AEC06DF-BDB7-47AE-A488-C0FB3E9F7C91}"/>
    <cellStyle name="Normal 2 2 18 5 20" xfId="14186" xr:uid="{106611C3-4ADE-4CF1-A31F-253F25B6AE5C}"/>
    <cellStyle name="Normal 2 2 18 5 21" xfId="14187" xr:uid="{2456C518-EAB3-4EAD-9080-50EA91EA9E41}"/>
    <cellStyle name="Normal 2 2 18 5 22" xfId="14188" xr:uid="{4675D114-4BD7-4FC0-9CA3-AB0BBA8C2015}"/>
    <cellStyle name="Normal 2 2 18 5 23" xfId="14189" xr:uid="{FE3A746D-62D4-4B9E-94AF-A0D212F2A87A}"/>
    <cellStyle name="Normal 2 2 18 5 24" xfId="14190" xr:uid="{BC6D4C6C-749A-4768-9DEE-EB879A323C36}"/>
    <cellStyle name="Normal 2 2 18 5 25" xfId="14191" xr:uid="{12D23A2B-E0AC-4B94-BBE8-1E6617CB9261}"/>
    <cellStyle name="Normal 2 2 18 5 26" xfId="14192" xr:uid="{22D294A0-1E7C-4052-89CF-229295D6B44C}"/>
    <cellStyle name="Normal 2 2 18 5 27" xfId="14193" xr:uid="{D556C985-2612-40CD-825D-3F3101BD1EF0}"/>
    <cellStyle name="Normal 2 2 18 5 28" xfId="14194" xr:uid="{E67A3AE7-95BE-41B0-B226-DCA9D487B89B}"/>
    <cellStyle name="Normal 2 2 18 5 29" xfId="14195" xr:uid="{4511B93C-598C-4773-B039-C90C67A28CF2}"/>
    <cellStyle name="Normal 2 2 18 5 3" xfId="14196" xr:uid="{88DAC1FE-EA77-450B-8DD0-2085DD62061C}"/>
    <cellStyle name="Normal 2 2 18 5 30" xfId="14197" xr:uid="{F3AEEE0E-FFA8-49E6-B1FB-C7665EACB820}"/>
    <cellStyle name="Normal 2 2 18 5 31" xfId="14198" xr:uid="{DAC6848F-2CA6-47E1-B95E-7C0109C4A1E2}"/>
    <cellStyle name="Normal 2 2 18 5 32" xfId="14199" xr:uid="{7B840EE7-8AA5-43D1-943E-0F76EAE92EAF}"/>
    <cellStyle name="Normal 2 2 18 5 33" xfId="14200" xr:uid="{82BD01B6-446F-4147-86B3-93CDD36CF6AF}"/>
    <cellStyle name="Normal 2 2 18 5 34" xfId="14201" xr:uid="{5682319E-C18D-408A-82BB-22B53C5F0694}"/>
    <cellStyle name="Normal 2 2 18 5 35" xfId="14202" xr:uid="{F0B3CF32-992D-4593-A2AA-129DF24E5CF8}"/>
    <cellStyle name="Normal 2 2 18 5 36" xfId="14203" xr:uid="{44B121C0-2611-4689-B273-1FC157757AD1}"/>
    <cellStyle name="Normal 2 2 18 5 37" xfId="14204" xr:uid="{DF17F5B2-B356-4C8E-AB8A-201B14350268}"/>
    <cellStyle name="Normal 2 2 18 5 38" xfId="14205" xr:uid="{8054D6C0-C686-4557-BEC8-0B40458AB8F4}"/>
    <cellStyle name="Normal 2 2 18 5 39" xfId="14206" xr:uid="{F7494AB1-7989-482B-A1E5-7DC7DE931DD5}"/>
    <cellStyle name="Normal 2 2 18 5 4" xfId="14207" xr:uid="{0C79BA70-405E-4D58-BD70-7334EF8DEA3C}"/>
    <cellStyle name="Normal 2 2 18 5 40" xfId="14208" xr:uid="{9FC6B8CF-B3DE-4CEE-8430-730C0A01E70D}"/>
    <cellStyle name="Normal 2 2 18 5 41" xfId="14209" xr:uid="{CDC4C89C-A8A3-4460-9356-24E674D08EA8}"/>
    <cellStyle name="Normal 2 2 18 5 42" xfId="14210" xr:uid="{E3D83A41-9EEE-442D-8CC9-41D20E4F4930}"/>
    <cellStyle name="Normal 2 2 18 5 43" xfId="14211" xr:uid="{F9916619-57B2-46C3-8305-4F7D5ED83CA4}"/>
    <cellStyle name="Normal 2 2 18 5 44" xfId="14212" xr:uid="{AA619E61-2028-44B1-B0AB-B57350E40E31}"/>
    <cellStyle name="Normal 2 2 18 5 45" xfId="14213" xr:uid="{2C456B71-9AD3-44E0-90CD-6391CB569D30}"/>
    <cellStyle name="Normal 2 2 18 5 5" xfId="14214" xr:uid="{EA0B2B33-A3E0-408D-BF1E-9AA5CADAE9AB}"/>
    <cellStyle name="Normal 2 2 18 5 6" xfId="14215" xr:uid="{F24A5503-F172-4DA0-B1D3-01A9C48E5F9E}"/>
    <cellStyle name="Normal 2 2 18 5 7" xfId="14216" xr:uid="{A8A2E6F6-CCF9-455D-8AC0-7F07B9F7136B}"/>
    <cellStyle name="Normal 2 2 18 5 8" xfId="14217" xr:uid="{E65AF942-1174-4CE4-8836-CD03DC7AF899}"/>
    <cellStyle name="Normal 2 2 18 5 9" xfId="14218" xr:uid="{1EDA4898-756F-4857-8683-87D867C59EE9}"/>
    <cellStyle name="Normal 2 2 18 6" xfId="14219" xr:uid="{A3FD6479-FE18-494E-9BC6-989749CE10FF}"/>
    <cellStyle name="Normal 2 2 18 6 10" xfId="14220" xr:uid="{6D3AB319-57FE-42BA-8EF2-97AAF2620EBE}"/>
    <cellStyle name="Normal 2 2 18 6 11" xfId="14221" xr:uid="{504747AC-A40F-43AA-B1BF-9649BE1C8343}"/>
    <cellStyle name="Normal 2 2 18 6 12" xfId="14222" xr:uid="{276CBC95-C736-4F0F-933C-A27CA7422BB5}"/>
    <cellStyle name="Normal 2 2 18 6 13" xfId="14223" xr:uid="{646D09DA-4634-4841-BC5A-325D5F0BA7E5}"/>
    <cellStyle name="Normal 2 2 18 6 14" xfId="14224" xr:uid="{B32C0CD1-B8D1-4C8D-A37C-B9D9FC976DF6}"/>
    <cellStyle name="Normal 2 2 18 6 15" xfId="14225" xr:uid="{CBDF3330-A8CA-44E8-846C-257DAD729E6E}"/>
    <cellStyle name="Normal 2 2 18 6 16" xfId="14226" xr:uid="{217EA42F-6118-481A-B140-1C2F3D113C5B}"/>
    <cellStyle name="Normal 2 2 18 6 17" xfId="14227" xr:uid="{62711EF2-0F04-4DBC-80C5-125723AC6484}"/>
    <cellStyle name="Normal 2 2 18 6 18" xfId="14228" xr:uid="{36CC43BF-1D64-46D5-AEFB-44ABB9C8FAE3}"/>
    <cellStyle name="Normal 2 2 18 6 19" xfId="14229" xr:uid="{720B34DD-BE01-4766-AC42-0D772DAA9E06}"/>
    <cellStyle name="Normal 2 2 18 6 2" xfId="14230" xr:uid="{92B169E4-883C-4A59-8CC2-2FC4C3D3950E}"/>
    <cellStyle name="Normal 2 2 18 6 20" xfId="14231" xr:uid="{B0C78DF6-E25E-4A93-A4F3-AD3AE2ED1F36}"/>
    <cellStyle name="Normal 2 2 18 6 21" xfId="14232" xr:uid="{EF3E0C69-DD2C-4263-AA16-2076FE86BA69}"/>
    <cellStyle name="Normal 2 2 18 6 22" xfId="14233" xr:uid="{395769DD-EC38-4992-A43B-C86F950DFB54}"/>
    <cellStyle name="Normal 2 2 18 6 23" xfId="14234" xr:uid="{4D0993BC-5018-4770-9B21-41F909884FDE}"/>
    <cellStyle name="Normal 2 2 18 6 24" xfId="14235" xr:uid="{7B03582E-B4E9-4885-A380-334E54E74132}"/>
    <cellStyle name="Normal 2 2 18 6 25" xfId="14236" xr:uid="{79A91D62-C20F-4F8D-A0E6-90C2C1476804}"/>
    <cellStyle name="Normal 2 2 18 6 26" xfId="14237" xr:uid="{10A2C8DB-E14B-4FEB-A609-2A85A46AC9DE}"/>
    <cellStyle name="Normal 2 2 18 6 27" xfId="14238" xr:uid="{11B6A56C-D8AC-4EFA-8D8B-051367C99909}"/>
    <cellStyle name="Normal 2 2 18 6 28" xfId="14239" xr:uid="{C473EBE0-F26E-433D-8B51-FC1319099B9D}"/>
    <cellStyle name="Normal 2 2 18 6 29" xfId="14240" xr:uid="{58EB2F4D-15B1-45B9-8E49-212E69116405}"/>
    <cellStyle name="Normal 2 2 18 6 3" xfId="14241" xr:uid="{2287E78E-9A4C-4296-86D9-8B364F5247D7}"/>
    <cellStyle name="Normal 2 2 18 6 30" xfId="14242" xr:uid="{332FBE1F-3426-41B1-8629-958CCED4BD5E}"/>
    <cellStyle name="Normal 2 2 18 6 31" xfId="14243" xr:uid="{FAD0F909-53E1-4313-A00D-1A11C212CBD6}"/>
    <cellStyle name="Normal 2 2 18 6 32" xfId="14244" xr:uid="{B0EA8B42-E45D-41C5-BADA-4DF39E8C8428}"/>
    <cellStyle name="Normal 2 2 18 6 33" xfId="14245" xr:uid="{6E1B6AE9-B724-48DA-AF93-C9D99200BE70}"/>
    <cellStyle name="Normal 2 2 18 6 34" xfId="14246" xr:uid="{87EA1FE3-C7FF-4053-9C97-6BCC1784FCF0}"/>
    <cellStyle name="Normal 2 2 18 6 35" xfId="14247" xr:uid="{CB401B5E-8AC8-4F5F-BE0E-F8FC61DA8296}"/>
    <cellStyle name="Normal 2 2 18 6 36" xfId="14248" xr:uid="{51DDAC8B-882D-4C37-84F4-0D98BC304821}"/>
    <cellStyle name="Normal 2 2 18 6 37" xfId="14249" xr:uid="{5255AD36-8ECB-4B93-961C-FB3363F90378}"/>
    <cellStyle name="Normal 2 2 18 6 38" xfId="14250" xr:uid="{9E73F32D-6912-486C-AF30-E46EC49E9B0C}"/>
    <cellStyle name="Normal 2 2 18 6 39" xfId="14251" xr:uid="{2BD2A563-4E29-4607-AEAF-87BE5BA5879F}"/>
    <cellStyle name="Normal 2 2 18 6 4" xfId="14252" xr:uid="{391EA163-588E-41E3-BD90-02D564CB767B}"/>
    <cellStyle name="Normal 2 2 18 6 40" xfId="14253" xr:uid="{E3574F9D-CB34-48ED-A4F8-803FF54C25C4}"/>
    <cellStyle name="Normal 2 2 18 6 41" xfId="14254" xr:uid="{6E713611-F83C-412A-ABC5-858B6E168ACD}"/>
    <cellStyle name="Normal 2 2 18 6 42" xfId="14255" xr:uid="{52C1D79F-15BB-4B25-98EC-47535E7A6973}"/>
    <cellStyle name="Normal 2 2 18 6 43" xfId="14256" xr:uid="{18B34A8E-4E51-46BF-B0F0-0F9FDBB88532}"/>
    <cellStyle name="Normal 2 2 18 6 44" xfId="14257" xr:uid="{43E0BD7A-B1D6-4B0A-912A-51411241099A}"/>
    <cellStyle name="Normal 2 2 18 6 45" xfId="14258" xr:uid="{BACF9C41-7F3B-4DDE-A0C0-79BD5D9EBEF4}"/>
    <cellStyle name="Normal 2 2 18 6 5" xfId="14259" xr:uid="{D9351559-F0BA-4ED1-A746-C11F7733D811}"/>
    <cellStyle name="Normal 2 2 18 6 6" xfId="14260" xr:uid="{35BC0842-13FD-4B4E-B131-7095688423AF}"/>
    <cellStyle name="Normal 2 2 18 6 7" xfId="14261" xr:uid="{8BC224F3-CB3E-4520-8C75-365DFCE394AF}"/>
    <cellStyle name="Normal 2 2 18 6 8" xfId="14262" xr:uid="{B39E967C-7CAC-46AA-B881-EA987368ACBA}"/>
    <cellStyle name="Normal 2 2 18 6 9" xfId="14263" xr:uid="{D2256BBE-7266-42FD-925B-49D373A6A73D}"/>
    <cellStyle name="Normal 2 2 18 7" xfId="14264" xr:uid="{345CD188-EB21-4825-93ED-005614875242}"/>
    <cellStyle name="Normal 2 2 18 7 10" xfId="14265" xr:uid="{B0316DFE-86B7-403C-B0E5-19849B688DA9}"/>
    <cellStyle name="Normal 2 2 18 7 11" xfId="14266" xr:uid="{D471F303-EFD1-4C58-981D-27E454AEFF87}"/>
    <cellStyle name="Normal 2 2 18 7 12" xfId="14267" xr:uid="{5FD6DCFF-6666-4437-87C1-41B0F9F7E6DF}"/>
    <cellStyle name="Normal 2 2 18 7 13" xfId="14268" xr:uid="{8091EC01-8549-4386-842B-EA8C5CF82C6D}"/>
    <cellStyle name="Normal 2 2 18 7 14" xfId="14269" xr:uid="{664EBF12-70EB-4C21-8727-ACBA49032356}"/>
    <cellStyle name="Normal 2 2 18 7 15" xfId="14270" xr:uid="{6BF98171-DB34-422D-B78F-20CC4E06CFAB}"/>
    <cellStyle name="Normal 2 2 18 7 16" xfId="14271" xr:uid="{94DA4EEB-75CB-465A-A123-1361B7E2923A}"/>
    <cellStyle name="Normal 2 2 18 7 17" xfId="14272" xr:uid="{0B6A8931-34FE-491D-A51A-57A667B09889}"/>
    <cellStyle name="Normal 2 2 18 7 18" xfId="14273" xr:uid="{C73915F0-91AD-4D9E-9CC4-575D3547AACD}"/>
    <cellStyle name="Normal 2 2 18 7 19" xfId="14274" xr:uid="{0223D37D-E02C-4C40-8AA2-899CB33A179E}"/>
    <cellStyle name="Normal 2 2 18 7 2" xfId="14275" xr:uid="{E0015A4A-8AC7-4E5B-B780-20FD2046762A}"/>
    <cellStyle name="Normal 2 2 18 7 20" xfId="14276" xr:uid="{F4F3F956-F1C3-4CC3-BA95-2A8AEF2B5C13}"/>
    <cellStyle name="Normal 2 2 18 7 21" xfId="14277" xr:uid="{B4B6B0C4-45D2-4E16-BB1B-4FDD80A3704F}"/>
    <cellStyle name="Normal 2 2 18 7 22" xfId="14278" xr:uid="{DB669A06-71FB-48B0-8620-BB428D014A9D}"/>
    <cellStyle name="Normal 2 2 18 7 23" xfId="14279" xr:uid="{7D3FB43D-8B63-457D-ACCE-0F60657DD3A5}"/>
    <cellStyle name="Normal 2 2 18 7 24" xfId="14280" xr:uid="{54643841-17E5-4532-A472-1251EA7B639A}"/>
    <cellStyle name="Normal 2 2 18 7 25" xfId="14281" xr:uid="{2607A370-ED35-43AC-B927-159BE9100E1E}"/>
    <cellStyle name="Normal 2 2 18 7 26" xfId="14282" xr:uid="{3BC17748-A323-4E90-9AE3-49B651506D71}"/>
    <cellStyle name="Normal 2 2 18 7 27" xfId="14283" xr:uid="{061FC0DD-F002-4919-8613-73798D0DF6D4}"/>
    <cellStyle name="Normal 2 2 18 7 28" xfId="14284" xr:uid="{FBAF2693-1A68-4806-A708-A6C90864C5F4}"/>
    <cellStyle name="Normal 2 2 18 7 29" xfId="14285" xr:uid="{73BCF9E5-6F0F-4028-92E2-4246C2F0FA2A}"/>
    <cellStyle name="Normal 2 2 18 7 3" xfId="14286" xr:uid="{6F495A6F-D820-4770-94EB-B09DCC66CBE0}"/>
    <cellStyle name="Normal 2 2 18 7 30" xfId="14287" xr:uid="{498529B6-71BD-4699-84BB-BCA41DDE2F7E}"/>
    <cellStyle name="Normal 2 2 18 7 31" xfId="14288" xr:uid="{9BD7E40D-622B-497E-94F6-03C407C0389C}"/>
    <cellStyle name="Normal 2 2 18 7 32" xfId="14289" xr:uid="{47D48DDD-D8C7-4186-8522-120C69C63679}"/>
    <cellStyle name="Normal 2 2 18 7 33" xfId="14290" xr:uid="{2216E697-1CBF-4796-A5DA-C8BAE6DA3058}"/>
    <cellStyle name="Normal 2 2 18 7 34" xfId="14291" xr:uid="{AC8ECC09-0DB4-4985-9417-F944E03BAE67}"/>
    <cellStyle name="Normal 2 2 18 7 35" xfId="14292" xr:uid="{5C86E840-88DF-4697-9668-7F9B98624FE6}"/>
    <cellStyle name="Normal 2 2 18 7 36" xfId="14293" xr:uid="{ACE25547-CF21-4A0C-80EE-D87CE0BF1FCF}"/>
    <cellStyle name="Normal 2 2 18 7 37" xfId="14294" xr:uid="{06B39F6E-1E6B-4E65-95F5-A0FE6DF99290}"/>
    <cellStyle name="Normal 2 2 18 7 38" xfId="14295" xr:uid="{9969DDAD-E0A1-40A7-84F2-CC34DDEA37CF}"/>
    <cellStyle name="Normal 2 2 18 7 39" xfId="14296" xr:uid="{D6DEF860-5187-4BDE-9FCA-1E4E25F0367D}"/>
    <cellStyle name="Normal 2 2 18 7 4" xfId="14297" xr:uid="{1F22092B-5F5A-4067-8A63-F8A89AB2DA11}"/>
    <cellStyle name="Normal 2 2 18 7 40" xfId="14298" xr:uid="{F5633DA8-4A3F-4057-92CC-8F7D016565B5}"/>
    <cellStyle name="Normal 2 2 18 7 41" xfId="14299" xr:uid="{F3AF5815-5743-4BCA-8A33-FA0D1D44D4A1}"/>
    <cellStyle name="Normal 2 2 18 7 42" xfId="14300" xr:uid="{EB26ACD0-D6A9-45FD-937A-53973C7AC039}"/>
    <cellStyle name="Normal 2 2 18 7 43" xfId="14301" xr:uid="{DBDA6865-CB54-4208-927D-E2C72EEF7766}"/>
    <cellStyle name="Normal 2 2 18 7 44" xfId="14302" xr:uid="{1CFA981C-00F5-43CA-A62B-F2FD6510BDA3}"/>
    <cellStyle name="Normal 2 2 18 7 45" xfId="14303" xr:uid="{4679187D-039D-4921-A42E-272E34FF4C02}"/>
    <cellStyle name="Normal 2 2 18 7 5" xfId="14304" xr:uid="{9C55660C-92D2-45ED-83CE-2BD863AAD230}"/>
    <cellStyle name="Normal 2 2 18 7 6" xfId="14305" xr:uid="{C3C5FC57-2569-47CF-8994-216B642E9982}"/>
    <cellStyle name="Normal 2 2 18 7 7" xfId="14306" xr:uid="{72154A85-EDF0-45F1-AE87-578821DD4F3D}"/>
    <cellStyle name="Normal 2 2 18 7 8" xfId="14307" xr:uid="{C9452628-45BB-437C-90B4-39210A3B2ACD}"/>
    <cellStyle name="Normal 2 2 18 7 9" xfId="14308" xr:uid="{EF1E1BC4-2419-4DD7-AC67-8461367EDE08}"/>
    <cellStyle name="Normal 2 2 18 8" xfId="14309" xr:uid="{1616701F-0EF2-458C-A99A-9B24A950FFA3}"/>
    <cellStyle name="Normal 2 2 18 8 2" xfId="14310" xr:uid="{A7B3EFE1-23D7-4F1E-81BD-E80FB857C4C1}"/>
    <cellStyle name="Normal 2 2 18 8 3" xfId="14311" xr:uid="{B47173F2-AE2A-4445-AF73-CB3F4B7B2E6F}"/>
    <cellStyle name="Normal 2 2 18 8 4" xfId="14312" xr:uid="{1FF791DC-E520-424C-ACE1-B2A67C9AF9B9}"/>
    <cellStyle name="Normal 2 2 18 8 5" xfId="14313" xr:uid="{794E80CC-0869-4E8D-8261-82182D7DE4EF}"/>
    <cellStyle name="Normal 2 2 18 8 6" xfId="14314" xr:uid="{EF8ED0BC-603D-4FC5-980E-884578917709}"/>
    <cellStyle name="Normal 2 2 18 9" xfId="14315" xr:uid="{C1E38F70-DCF7-4456-950E-87733C93DE25}"/>
    <cellStyle name="Normal 2 2 18 9 2" xfId="14316" xr:uid="{7662BB55-D13C-4616-82D3-224FDBC48B62}"/>
    <cellStyle name="Normal 2 2 18 9 3" xfId="14317" xr:uid="{AD953CD3-513D-44C9-9481-39DC71750467}"/>
    <cellStyle name="Normal 2 2 18 9 4" xfId="14318" xr:uid="{C694A5D8-85B4-4251-9F95-D7E993CB78A9}"/>
    <cellStyle name="Normal 2 2 18 9 5" xfId="14319" xr:uid="{638964F0-3FF0-48EC-B9E6-906891533E21}"/>
    <cellStyle name="Normal 2 2 18 9 6" xfId="14320" xr:uid="{CE3F24D4-7E04-4E07-B9FE-C7E90EFC92C2}"/>
    <cellStyle name="Normal 2 2 19" xfId="14321" xr:uid="{3F38E2C1-A906-4F07-95E9-9B1C93F63A08}"/>
    <cellStyle name="Normal 2 2 19 10" xfId="14322" xr:uid="{14FC0E86-5080-42D1-BC5B-BD8329CAD5F2}"/>
    <cellStyle name="Normal 2 2 19 11" xfId="14323" xr:uid="{CB9CC8E3-E34B-4346-B2CF-B089F8C77CCD}"/>
    <cellStyle name="Normal 2 2 19 12" xfId="14324" xr:uid="{7F97D163-A883-47B4-A44E-36BB7F15C694}"/>
    <cellStyle name="Normal 2 2 19 13" xfId="14325" xr:uid="{6E1E3FB6-27A9-4DAC-B775-83F965926EDC}"/>
    <cellStyle name="Normal 2 2 19 14" xfId="14326" xr:uid="{A184777B-4C6A-4ED5-B5CE-517A3EBCEE26}"/>
    <cellStyle name="Normal 2 2 19 15" xfId="14327" xr:uid="{E06417BA-11D0-401F-BDDD-DEB1FEB5521E}"/>
    <cellStyle name="Normal 2 2 19 16" xfId="14328" xr:uid="{64AD4A79-DCC9-49EB-A065-1DE64035D842}"/>
    <cellStyle name="Normal 2 2 19 17" xfId="14329" xr:uid="{AD1401E8-5816-4345-B687-D6DFD9600556}"/>
    <cellStyle name="Normal 2 2 19 18" xfId="14330" xr:uid="{908E2924-2C4C-4000-8915-A01F4788CE85}"/>
    <cellStyle name="Normal 2 2 19 19" xfId="14331" xr:uid="{2F43CE79-5946-4620-A684-CDA5420A1585}"/>
    <cellStyle name="Normal 2 2 19 2" xfId="14332" xr:uid="{34A3314B-1B10-447F-B3C1-A2D2BCA4EBA2}"/>
    <cellStyle name="Normal 2 2 19 20" xfId="14333" xr:uid="{33E3AB0B-EDB3-4E4B-A44D-5683CFE8145A}"/>
    <cellStyle name="Normal 2 2 19 21" xfId="14334" xr:uid="{87762283-E7FA-4E20-A814-69E1591BF96E}"/>
    <cellStyle name="Normal 2 2 19 22" xfId="14335" xr:uid="{1E2A4616-DC95-48CC-8602-8F6E5B089423}"/>
    <cellStyle name="Normal 2 2 19 23" xfId="14336" xr:uid="{CEEE48C5-6C19-44DA-8026-864BC9A23670}"/>
    <cellStyle name="Normal 2 2 19 24" xfId="14337" xr:uid="{7B4E59FA-82C8-4E59-B7BA-6C646F248528}"/>
    <cellStyle name="Normal 2 2 19 25" xfId="14338" xr:uid="{073C4E3E-8FE8-4B04-978E-FBD8E9192824}"/>
    <cellStyle name="Normal 2 2 19 26" xfId="14339" xr:uid="{3E7C83BD-BEFC-4B78-B437-7D7D88F80F09}"/>
    <cellStyle name="Normal 2 2 19 27" xfId="14340" xr:uid="{E9237CCC-1BD9-47C2-9576-0F8DEF66C023}"/>
    <cellStyle name="Normal 2 2 19 28" xfId="14341" xr:uid="{41D87A90-3E24-4D52-AE4F-ADC10BC14AEF}"/>
    <cellStyle name="Normal 2 2 19 29" xfId="14342" xr:uid="{00391A72-7BF4-45FD-A4AC-5D141A461C2C}"/>
    <cellStyle name="Normal 2 2 19 3" xfId="14343" xr:uid="{4EAE4694-39BA-4DC3-A1DD-8024EB440439}"/>
    <cellStyle name="Normal 2 2 19 30" xfId="14344" xr:uid="{A2EE508A-2237-4162-9940-88C3FEF11F37}"/>
    <cellStyle name="Normal 2 2 19 31" xfId="14345" xr:uid="{774B2127-D6ED-4406-9F5D-C8D178474B74}"/>
    <cellStyle name="Normal 2 2 19 32" xfId="14346" xr:uid="{87BA6FA8-F1B1-488B-8348-4CEECA084950}"/>
    <cellStyle name="Normal 2 2 19 33" xfId="14347" xr:uid="{D3199552-3BA9-448B-B606-2CCB07931092}"/>
    <cellStyle name="Normal 2 2 19 34" xfId="14348" xr:uid="{D5A0A8C8-D88D-4551-A362-45DC8D0144A5}"/>
    <cellStyle name="Normal 2 2 19 35" xfId="14349" xr:uid="{96B9B393-EA88-4746-8569-C61278A1D803}"/>
    <cellStyle name="Normal 2 2 19 36" xfId="14350" xr:uid="{7B15D8C1-CA41-4A41-8AA7-9F760A0CDDC2}"/>
    <cellStyle name="Normal 2 2 19 37" xfId="14351" xr:uid="{53E17186-3A3D-47E3-B6F7-6229470E9900}"/>
    <cellStyle name="Normal 2 2 19 38" xfId="14352" xr:uid="{395EDBBB-3F97-4751-92D1-BA312822999B}"/>
    <cellStyle name="Normal 2 2 19 39" xfId="14353" xr:uid="{1A2849B3-D863-4729-836C-565FE4ED7AD5}"/>
    <cellStyle name="Normal 2 2 19 4" xfId="14354" xr:uid="{491872C0-89F1-4C2B-B032-31E79924D7BE}"/>
    <cellStyle name="Normal 2 2 19 40" xfId="14355" xr:uid="{7AE995DB-D2DC-44A2-A796-D6DA5DF87944}"/>
    <cellStyle name="Normal 2 2 19 41" xfId="14356" xr:uid="{493DB107-BE02-45F4-9AB6-C62738B573FC}"/>
    <cellStyle name="Normal 2 2 19 42" xfId="14357" xr:uid="{885B9796-0611-49E7-AD2B-1C09784739E9}"/>
    <cellStyle name="Normal 2 2 19 43" xfId="14358" xr:uid="{77C7D1D1-3AC9-44A3-B2A7-215DD0C88DF0}"/>
    <cellStyle name="Normal 2 2 19 44" xfId="14359" xr:uid="{D4931B6C-3FF7-4528-87F7-07F7153F15D6}"/>
    <cellStyle name="Normal 2 2 19 45" xfId="14360" xr:uid="{4B1B67BC-B96B-4C42-BF38-67CE840099ED}"/>
    <cellStyle name="Normal 2 2 19 46" xfId="14361" xr:uid="{10403928-9208-48BD-AD9A-8A4207EBF83E}"/>
    <cellStyle name="Normal 2 2 19 5" xfId="14362" xr:uid="{5C5E880E-CA7E-4708-9FCA-A97E57B99FA5}"/>
    <cellStyle name="Normal 2 2 19 6" xfId="14363" xr:uid="{A5FC7067-C823-43FB-9AE1-22DD6A51EC3F}"/>
    <cellStyle name="Normal 2 2 19 7" xfId="14364" xr:uid="{01EDC908-D31B-43A1-97F6-E652AE9C5DE9}"/>
    <cellStyle name="Normal 2 2 19 8" xfId="14365" xr:uid="{9DB989D2-3245-45CF-A4B9-0623334E3154}"/>
    <cellStyle name="Normal 2 2 19 9" xfId="14366" xr:uid="{4F591D42-A255-49A2-8CF6-45D6D3AEA6A9}"/>
    <cellStyle name="Normal 2 2 2" xfId="1076" xr:uid="{D9E671E4-B5F1-48CD-A04E-CD102832B709}"/>
    <cellStyle name="Normal 2 2 2 10" xfId="14367" xr:uid="{D3C36FFF-D112-4175-A380-FEF9E92D21A1}"/>
    <cellStyle name="Normal 2 2 2 10 10" xfId="14368" xr:uid="{57045A1A-4E5A-4656-8E0C-BC53EE03BF88}"/>
    <cellStyle name="Normal 2 2 2 10 11" xfId="14369" xr:uid="{0CBE2891-672B-4CE2-8C20-27DA5809C627}"/>
    <cellStyle name="Normal 2 2 2 10 12" xfId="14370" xr:uid="{98A759FF-1737-47A3-BD33-0812CF4AAB3D}"/>
    <cellStyle name="Normal 2 2 2 10 13" xfId="14371" xr:uid="{144C39FA-D63A-4389-B9A0-B4ADDE055EC0}"/>
    <cellStyle name="Normal 2 2 2 10 14" xfId="14372" xr:uid="{B072D48A-1904-4A9E-9298-D00E1FC2EB9A}"/>
    <cellStyle name="Normal 2 2 2 10 2" xfId="14373" xr:uid="{554F13C8-A3CA-48AF-832B-992C2BC21936}"/>
    <cellStyle name="Normal 2 2 2 10 2 2" xfId="14374" xr:uid="{F52EB1E9-4DE4-44C2-BE76-05D5107366DC}"/>
    <cellStyle name="Normal 2 2 2 10 2 3" xfId="14375" xr:uid="{457AFDF4-DDD5-44A9-A578-A5623650D11F}"/>
    <cellStyle name="Normal 2 2 2 10 2 4" xfId="14376" xr:uid="{CB03AEC3-3EB8-4A0C-870A-C6D0AB200F92}"/>
    <cellStyle name="Normal 2 2 2 10 2 5" xfId="14377" xr:uid="{8FB98D11-DDAA-4372-8173-6DD013AA2486}"/>
    <cellStyle name="Normal 2 2 2 10 2 6" xfId="14378" xr:uid="{72E4326A-D7AE-422C-B922-0C18A23738EE}"/>
    <cellStyle name="Normal 2 2 2 10 3" xfId="14379" xr:uid="{7EAB7671-2A19-4106-82D6-B94C1EE116F3}"/>
    <cellStyle name="Normal 2 2 2 10 3 2" xfId="14380" xr:uid="{4DE46FB3-F435-485F-86FD-8D59C00C1711}"/>
    <cellStyle name="Normal 2 2 2 10 3 3" xfId="14381" xr:uid="{E0CBE820-5433-4BCF-A1A8-8669B26016FB}"/>
    <cellStyle name="Normal 2 2 2 10 3 4" xfId="14382" xr:uid="{60E317B9-97EA-4EFF-9A5A-3A7EBAC4F85E}"/>
    <cellStyle name="Normal 2 2 2 10 3 5" xfId="14383" xr:uid="{1A64EE65-836E-403B-B83B-B8B1730AB5D2}"/>
    <cellStyle name="Normal 2 2 2 10 3 6" xfId="14384" xr:uid="{380F94CA-207C-4C5F-AF4F-016FA8CE8F32}"/>
    <cellStyle name="Normal 2 2 2 10 4" xfId="14385" xr:uid="{5018D7B1-BC49-442F-8BB5-091A8D046DC7}"/>
    <cellStyle name="Normal 2 2 2 10 4 2" xfId="14386" xr:uid="{6E0820ED-B180-402C-8A0A-3223960D7C28}"/>
    <cellStyle name="Normal 2 2 2 10 4 3" xfId="14387" xr:uid="{2B78A95B-EBE7-45BB-B294-EC6FF488C46B}"/>
    <cellStyle name="Normal 2 2 2 10 4 4" xfId="14388" xr:uid="{05433D7C-F83C-47AD-8EE9-2730500E8D66}"/>
    <cellStyle name="Normal 2 2 2 10 4 5" xfId="14389" xr:uid="{A4AB57F5-AC7A-44EB-8933-9B66229FEDCF}"/>
    <cellStyle name="Normal 2 2 2 10 4 6" xfId="14390" xr:uid="{F8CEEE5D-FD41-445C-9E4C-ACBC0F54A74B}"/>
    <cellStyle name="Normal 2 2 2 10 5" xfId="14391" xr:uid="{66CB24D5-3480-4094-8F54-83B405DF014B}"/>
    <cellStyle name="Normal 2 2 2 10 5 2" xfId="14392" xr:uid="{2D351CE4-2C7A-4A1D-9625-76A950CDC859}"/>
    <cellStyle name="Normal 2 2 2 10 5 3" xfId="14393" xr:uid="{89EE7EE1-11AC-41AA-A53D-373DFBE08EC7}"/>
    <cellStyle name="Normal 2 2 2 10 5 4" xfId="14394" xr:uid="{80AC2DE4-A513-4856-A3D4-3865A2F944DA}"/>
    <cellStyle name="Normal 2 2 2 10 5 5" xfId="14395" xr:uid="{DB0773EF-B8B5-45CB-BF08-E4269C647DC0}"/>
    <cellStyle name="Normal 2 2 2 10 5 6" xfId="14396" xr:uid="{8D8132D1-81EB-45FA-922B-8BFE85161C41}"/>
    <cellStyle name="Normal 2 2 2 10 6" xfId="14397" xr:uid="{AA690FE1-E7CB-4F21-9677-5B08074901EA}"/>
    <cellStyle name="Normal 2 2 2 10 6 2" xfId="14398" xr:uid="{B6966735-4E6A-43BE-A7D7-FB29028BEA2F}"/>
    <cellStyle name="Normal 2 2 2 10 6 3" xfId="14399" xr:uid="{C16DEB44-6972-4353-A55F-D6F41F9B7224}"/>
    <cellStyle name="Normal 2 2 2 10 6 4" xfId="14400" xr:uid="{57043B40-22C2-4345-932A-E51BED4B378A}"/>
    <cellStyle name="Normal 2 2 2 10 6 5" xfId="14401" xr:uid="{B9692299-1848-4361-9F50-CF771BD0F3FE}"/>
    <cellStyle name="Normal 2 2 2 10 6 6" xfId="14402" xr:uid="{6F9DC3D8-C405-4E9D-A8A8-441D1BED6CDB}"/>
    <cellStyle name="Normal 2 2 2 10 7" xfId="14403" xr:uid="{2918C849-FE50-47B0-B63A-05955AE2C9DA}"/>
    <cellStyle name="Normal 2 2 2 10 7 2" xfId="14404" xr:uid="{076632CD-98D7-47B7-A1EA-B703352BF500}"/>
    <cellStyle name="Normal 2 2 2 10 7 3" xfId="14405" xr:uid="{BD201C07-5A1F-47B7-89DA-F66CD2B01330}"/>
    <cellStyle name="Normal 2 2 2 10 7 4" xfId="14406" xr:uid="{8CB27CFD-62F8-4108-8BD9-848B11178633}"/>
    <cellStyle name="Normal 2 2 2 10 7 5" xfId="14407" xr:uid="{1DD4917C-3C97-45C9-825A-BEA16B820AF5}"/>
    <cellStyle name="Normal 2 2 2 10 7 6" xfId="14408" xr:uid="{4C5D4425-D057-4EB4-A202-0C0A3E9C7FD1}"/>
    <cellStyle name="Normal 2 2 2 10 8" xfId="14409" xr:uid="{1E89DD8F-B145-4395-80E5-6B811E11D647}"/>
    <cellStyle name="Normal 2 2 2 10 8 2" xfId="14410" xr:uid="{058F18C4-D42B-43FE-90DE-B5C11903C95C}"/>
    <cellStyle name="Normal 2 2 2 10 8 3" xfId="14411" xr:uid="{5E0D344F-289E-4EDB-94B9-FACF06914D91}"/>
    <cellStyle name="Normal 2 2 2 10 8 4" xfId="14412" xr:uid="{F1A60A41-2AE3-4FDA-831B-CB9A31D03283}"/>
    <cellStyle name="Normal 2 2 2 10 8 5" xfId="14413" xr:uid="{A76C605D-B4CA-4AFC-BC29-43CB26E0B6A6}"/>
    <cellStyle name="Normal 2 2 2 10 8 6" xfId="14414" xr:uid="{428B0E77-DFBE-4430-8E6D-EC5CB667A7CE}"/>
    <cellStyle name="Normal 2 2 2 10 9" xfId="14415" xr:uid="{D1DD20A6-E9E2-40B4-8B1E-905699B59087}"/>
    <cellStyle name="Normal 2 2 2 11" xfId="14416" xr:uid="{846CBFAC-E512-40E4-B4C6-5EBC2D6AB447}"/>
    <cellStyle name="Normal 2 2 2 11 10" xfId="14417" xr:uid="{41933C05-30DA-43D4-AF98-5453BF96F409}"/>
    <cellStyle name="Normal 2 2 2 11 11" xfId="14418" xr:uid="{689B74DA-0793-44F7-88B4-5FAE7585DEB6}"/>
    <cellStyle name="Normal 2 2 2 11 12" xfId="14419" xr:uid="{45670A88-11CC-4ACB-AE60-5A42C3422D6E}"/>
    <cellStyle name="Normal 2 2 2 11 13" xfId="14420" xr:uid="{2C71E973-5137-42CB-856D-3AA7799331DC}"/>
    <cellStyle name="Normal 2 2 2 11 14" xfId="14421" xr:uid="{32BA2C6C-BA53-471D-992C-19A9F42EE87B}"/>
    <cellStyle name="Normal 2 2 2 11 2" xfId="14422" xr:uid="{76A4EDFD-18AF-408C-A744-721CB594E548}"/>
    <cellStyle name="Normal 2 2 2 11 2 2" xfId="14423" xr:uid="{E4104BFF-70DF-4ECB-8F18-E1BDFF896450}"/>
    <cellStyle name="Normal 2 2 2 11 2 3" xfId="14424" xr:uid="{C04AF2B9-2729-476F-9F31-49539C433312}"/>
    <cellStyle name="Normal 2 2 2 11 2 4" xfId="14425" xr:uid="{A37D7C85-3E97-4193-AC5B-76DCEF261B1A}"/>
    <cellStyle name="Normal 2 2 2 11 2 5" xfId="14426" xr:uid="{C4E4C7BD-72D3-467B-A72D-BA7AB3A9ECA9}"/>
    <cellStyle name="Normal 2 2 2 11 2 6" xfId="14427" xr:uid="{1A47D440-EDD0-45F2-8D59-90D8E621853D}"/>
    <cellStyle name="Normal 2 2 2 11 3" xfId="14428" xr:uid="{F6D80270-3FC2-4F04-AA90-23D7BC84C836}"/>
    <cellStyle name="Normal 2 2 2 11 3 2" xfId="14429" xr:uid="{5D8D3FA6-B32B-4722-AC59-96470D6DD389}"/>
    <cellStyle name="Normal 2 2 2 11 3 3" xfId="14430" xr:uid="{C1BE9F57-4F32-44EC-83F1-C179FD37F23F}"/>
    <cellStyle name="Normal 2 2 2 11 3 4" xfId="14431" xr:uid="{B74D3957-568B-49E7-A4E0-08068ECA69DF}"/>
    <cellStyle name="Normal 2 2 2 11 3 5" xfId="14432" xr:uid="{DF6CE490-5B2B-4DA2-94CC-0669FC6E974D}"/>
    <cellStyle name="Normal 2 2 2 11 3 6" xfId="14433" xr:uid="{D28E839B-9E1D-4329-829F-CF7859B7000B}"/>
    <cellStyle name="Normal 2 2 2 11 4" xfId="14434" xr:uid="{53C82B2E-039B-4F9C-8112-0C630330ED0A}"/>
    <cellStyle name="Normal 2 2 2 11 4 2" xfId="14435" xr:uid="{6063789A-D812-4401-9686-DF65A294B263}"/>
    <cellStyle name="Normal 2 2 2 11 4 3" xfId="14436" xr:uid="{B158EDE0-81B7-4DF3-910C-751E71DBB22F}"/>
    <cellStyle name="Normal 2 2 2 11 4 4" xfId="14437" xr:uid="{C3C8D1C9-C118-4387-BADF-CA24E8EB5745}"/>
    <cellStyle name="Normal 2 2 2 11 4 5" xfId="14438" xr:uid="{4C73D336-29B6-4F1E-A559-63ED239DEE15}"/>
    <cellStyle name="Normal 2 2 2 11 4 6" xfId="14439" xr:uid="{AE7DD51D-08E7-42AD-A420-EB52EE55F77A}"/>
    <cellStyle name="Normal 2 2 2 11 5" xfId="14440" xr:uid="{99FE3E76-5880-4442-B7D9-F397F7C3C2EF}"/>
    <cellStyle name="Normal 2 2 2 11 5 2" xfId="14441" xr:uid="{DAC36658-421D-477C-AE4B-BAA4064CFABA}"/>
    <cellStyle name="Normal 2 2 2 11 5 3" xfId="14442" xr:uid="{660268D5-3781-425D-BFFB-8CE70312C0C5}"/>
    <cellStyle name="Normal 2 2 2 11 5 4" xfId="14443" xr:uid="{D478054F-5CF1-44CC-8E77-DDFCC72CE31B}"/>
    <cellStyle name="Normal 2 2 2 11 5 5" xfId="14444" xr:uid="{ED5B2BD1-FAA4-4E7C-A010-533C264EC899}"/>
    <cellStyle name="Normal 2 2 2 11 5 6" xfId="14445" xr:uid="{26484161-C104-4722-9C48-3F213807A04B}"/>
    <cellStyle name="Normal 2 2 2 11 6" xfId="14446" xr:uid="{A55EFAAF-01DA-4182-9DD0-35DAA05E91A4}"/>
    <cellStyle name="Normal 2 2 2 11 6 2" xfId="14447" xr:uid="{17E8A453-B572-4E9D-BFB2-9713692CCF03}"/>
    <cellStyle name="Normal 2 2 2 11 6 3" xfId="14448" xr:uid="{4EE385AC-9127-47D9-802C-D2592A1D92F7}"/>
    <cellStyle name="Normal 2 2 2 11 6 4" xfId="14449" xr:uid="{E27C102E-9294-4223-AD36-7F49EF2135C5}"/>
    <cellStyle name="Normal 2 2 2 11 6 5" xfId="14450" xr:uid="{6C13B222-0552-41C7-AD3E-1A0411D897BC}"/>
    <cellStyle name="Normal 2 2 2 11 6 6" xfId="14451" xr:uid="{CCF7B54D-4F19-402C-BBF1-715B4A7C86B9}"/>
    <cellStyle name="Normal 2 2 2 11 7" xfId="14452" xr:uid="{9F800135-A770-4801-A635-0AACB7F47659}"/>
    <cellStyle name="Normal 2 2 2 11 7 2" xfId="14453" xr:uid="{180AE7A1-636C-44C6-A447-DE50B1174E29}"/>
    <cellStyle name="Normal 2 2 2 11 7 3" xfId="14454" xr:uid="{7EC69C15-AE79-4D64-BB62-B3DAB92E9839}"/>
    <cellStyle name="Normal 2 2 2 11 7 4" xfId="14455" xr:uid="{05A38A54-F62E-4BCC-9ED3-BBCF8F4DC273}"/>
    <cellStyle name="Normal 2 2 2 11 7 5" xfId="14456" xr:uid="{169DA63E-BF05-4AD8-A428-2CB5176FCCE9}"/>
    <cellStyle name="Normal 2 2 2 11 7 6" xfId="14457" xr:uid="{BAD0A5C1-1A78-407C-AB7B-B5E7936436BA}"/>
    <cellStyle name="Normal 2 2 2 11 8" xfId="14458" xr:uid="{233EB84F-FF36-44EE-B405-760B94CA2A16}"/>
    <cellStyle name="Normal 2 2 2 11 8 2" xfId="14459" xr:uid="{72DF0A32-407B-464A-A587-827A98E6D189}"/>
    <cellStyle name="Normal 2 2 2 11 8 3" xfId="14460" xr:uid="{9453F7C3-20E6-4823-9D09-9725BB670489}"/>
    <cellStyle name="Normal 2 2 2 11 8 4" xfId="14461" xr:uid="{2791A0AD-9EBC-4FF0-BA53-6B44C3B6EF80}"/>
    <cellStyle name="Normal 2 2 2 11 8 5" xfId="14462" xr:uid="{D6DFEB94-2101-4289-BE39-A98CD8761196}"/>
    <cellStyle name="Normal 2 2 2 11 8 6" xfId="14463" xr:uid="{3DB5F6B8-6A78-416D-BE78-6CCEEFD34CC5}"/>
    <cellStyle name="Normal 2 2 2 11 9" xfId="14464" xr:uid="{5F8F966D-43BB-405D-9876-16A0238FF340}"/>
    <cellStyle name="Normal 2 2 2 12" xfId="14465" xr:uid="{78533D55-AFE8-4F1D-87A7-28A5EA287402}"/>
    <cellStyle name="Normal 2 2 2 12 10" xfId="14466" xr:uid="{A0AB7D36-3A80-4737-9C2F-2FA2F6B952E8}"/>
    <cellStyle name="Normal 2 2 2 12 11" xfId="14467" xr:uid="{6EF59E02-9072-4B44-97CF-65C83331C3A9}"/>
    <cellStyle name="Normal 2 2 2 12 12" xfId="14468" xr:uid="{F5FDDCF8-E156-4108-88C8-B7D4F048F3CF}"/>
    <cellStyle name="Normal 2 2 2 12 13" xfId="14469" xr:uid="{EB719255-78A1-4929-BABD-F6CA94409320}"/>
    <cellStyle name="Normal 2 2 2 12 14" xfId="14470" xr:uid="{5F32DD49-F859-41E0-9526-884C14FFAC2D}"/>
    <cellStyle name="Normal 2 2 2 12 15" xfId="14471" xr:uid="{3C643C45-0F60-48D0-9831-D67DC6F7DFE6}"/>
    <cellStyle name="Normal 2 2 2 12 16" xfId="14472" xr:uid="{973BD769-1C7E-4055-93B7-F12875EF995A}"/>
    <cellStyle name="Normal 2 2 2 12 17" xfId="14473" xr:uid="{393B646D-D00F-4B95-9A0A-8E53C691A472}"/>
    <cellStyle name="Normal 2 2 2 12 18" xfId="14474" xr:uid="{ACECAF20-8225-4657-8777-B25AE3120342}"/>
    <cellStyle name="Normal 2 2 2 12 19" xfId="14475" xr:uid="{A1ED6AB1-73CD-4FA4-BF39-C899C5BA1F03}"/>
    <cellStyle name="Normal 2 2 2 12 2" xfId="14476" xr:uid="{2758BF3F-2ABE-4BDD-9ADC-A312E39B160E}"/>
    <cellStyle name="Normal 2 2 2 12 20" xfId="14477" xr:uid="{33503944-7BEF-4804-A9B3-B34810A33DE3}"/>
    <cellStyle name="Normal 2 2 2 12 21" xfId="14478" xr:uid="{C7A589BC-11FC-457B-BA0B-0C8FC78E0D1C}"/>
    <cellStyle name="Normal 2 2 2 12 22" xfId="14479" xr:uid="{51DB568A-F5BF-4C98-B5CE-C0807D1BC626}"/>
    <cellStyle name="Normal 2 2 2 12 23" xfId="14480" xr:uid="{7C21E646-0102-4671-86DE-9C627101AFDE}"/>
    <cellStyle name="Normal 2 2 2 12 24" xfId="14481" xr:uid="{DB72C1A8-B7DC-471B-BFDD-7CC71C529120}"/>
    <cellStyle name="Normal 2 2 2 12 25" xfId="14482" xr:uid="{881343CD-BC21-4039-8B22-3BBC7DF8CADA}"/>
    <cellStyle name="Normal 2 2 2 12 26" xfId="14483" xr:uid="{2C1D91B2-A2DE-43DF-BA45-6A15BEDD897A}"/>
    <cellStyle name="Normal 2 2 2 12 27" xfId="14484" xr:uid="{0DB6A3C8-6677-48C4-A9A7-774B059B6944}"/>
    <cellStyle name="Normal 2 2 2 12 28" xfId="14485" xr:uid="{97DDFB0B-715B-4E34-B5BD-A109C2CC945D}"/>
    <cellStyle name="Normal 2 2 2 12 29" xfId="14486" xr:uid="{4C602A5B-714D-4A3D-9D91-65F742E4905F}"/>
    <cellStyle name="Normal 2 2 2 12 3" xfId="14487" xr:uid="{3496D4CA-606A-485E-80D0-5191B06482AD}"/>
    <cellStyle name="Normal 2 2 2 12 30" xfId="14488" xr:uid="{7D6FD9C1-96C8-4395-B477-FDFD9D14D2CE}"/>
    <cellStyle name="Normal 2 2 2 12 31" xfId="14489" xr:uid="{45798BCD-FD7F-44C4-B187-59748C4BF696}"/>
    <cellStyle name="Normal 2 2 2 12 32" xfId="14490" xr:uid="{C83A0729-D956-4481-9CFD-689FF2DD568F}"/>
    <cellStyle name="Normal 2 2 2 12 33" xfId="14491" xr:uid="{8CB23A67-865E-4F94-8179-53CA6493E5C5}"/>
    <cellStyle name="Normal 2 2 2 12 34" xfId="14492" xr:uid="{F1559CB8-965C-4A85-B1E4-853AFE48799C}"/>
    <cellStyle name="Normal 2 2 2 12 35" xfId="14493" xr:uid="{659DFAD9-F2A2-45D7-A5B3-97A88CBBB8CB}"/>
    <cellStyle name="Normal 2 2 2 12 36" xfId="14494" xr:uid="{28F99369-29F7-4D29-8F52-AF125831D795}"/>
    <cellStyle name="Normal 2 2 2 12 37" xfId="14495" xr:uid="{A8B32D2F-96F3-483F-8773-71F8BF144140}"/>
    <cellStyle name="Normal 2 2 2 12 38" xfId="14496" xr:uid="{953AA840-AD92-4D38-8F2C-55747E8DFDA0}"/>
    <cellStyle name="Normal 2 2 2 12 39" xfId="14497" xr:uid="{2069227B-27F2-462E-9DFE-D679EE7B11E4}"/>
    <cellStyle name="Normal 2 2 2 12 4" xfId="14498" xr:uid="{CE9CBA47-AB02-49CC-AC5D-4B28A1FB7027}"/>
    <cellStyle name="Normal 2 2 2 12 40" xfId="14499" xr:uid="{0E8F73E2-3107-4D01-8030-A7C108F6DF70}"/>
    <cellStyle name="Normal 2 2 2 12 41" xfId="14500" xr:uid="{F3ADA68F-2D59-41DD-9BC1-49ADCB07F887}"/>
    <cellStyle name="Normal 2 2 2 12 42" xfId="14501" xr:uid="{C38DDF89-C3EB-4DF2-816D-7B3371ED0B6C}"/>
    <cellStyle name="Normal 2 2 2 12 43" xfId="14502" xr:uid="{6024C919-6F7F-419C-BB83-80CE1880300D}"/>
    <cellStyle name="Normal 2 2 2 12 44" xfId="14503" xr:uid="{90984FB5-2831-4364-BC69-3EBD2F1ED284}"/>
    <cellStyle name="Normal 2 2 2 12 45" xfId="14504" xr:uid="{3C67FA3A-3060-4D20-A347-D6B5CBE0614C}"/>
    <cellStyle name="Normal 2 2 2 12 46" xfId="14505" xr:uid="{7BDEEEC9-4C66-438F-B141-4BEA446BACFE}"/>
    <cellStyle name="Normal 2 2 2 12 5" xfId="14506" xr:uid="{25C4D090-FD4B-4DB8-A984-BBD84182777C}"/>
    <cellStyle name="Normal 2 2 2 12 6" xfId="14507" xr:uid="{A6466754-05B5-4595-9AD2-E105FBAB2BFA}"/>
    <cellStyle name="Normal 2 2 2 12 7" xfId="14508" xr:uid="{222EE395-B87C-4FD9-BDCF-D7745BBDA663}"/>
    <cellStyle name="Normal 2 2 2 12 8" xfId="14509" xr:uid="{3D9C7BF0-770D-4FD2-8EC5-FC4ABA887687}"/>
    <cellStyle name="Normal 2 2 2 12 9" xfId="14510" xr:uid="{9B5065B7-0465-41E1-93D4-59BE3567412A}"/>
    <cellStyle name="Normal 2 2 2 13" xfId="14511" xr:uid="{50BFFD74-28B3-40C8-AF3F-2B324B2AE518}"/>
    <cellStyle name="Normal 2 2 2 13 10" xfId="14512" xr:uid="{F46D49E1-151A-4389-B060-ADACDEF5ADA9}"/>
    <cellStyle name="Normal 2 2 2 13 11" xfId="14513" xr:uid="{9AE0CC2C-9A49-4534-865B-C979E7A52FE5}"/>
    <cellStyle name="Normal 2 2 2 13 12" xfId="14514" xr:uid="{64BC7062-74E7-4844-B90C-219235D55C34}"/>
    <cellStyle name="Normal 2 2 2 13 13" xfId="14515" xr:uid="{E0CAF47E-01B3-4165-9345-E5493E3C34F8}"/>
    <cellStyle name="Normal 2 2 2 13 14" xfId="14516" xr:uid="{924BFFB7-BE37-4A4D-A15A-C4E50D323327}"/>
    <cellStyle name="Normal 2 2 2 13 15" xfId="14517" xr:uid="{672D60E4-46D4-47E2-B45E-16D8B4AB10ED}"/>
    <cellStyle name="Normal 2 2 2 13 16" xfId="14518" xr:uid="{FD063AF6-8128-45E2-B878-2E3DBE08F2E1}"/>
    <cellStyle name="Normal 2 2 2 13 17" xfId="14519" xr:uid="{625B41FA-9620-4CDA-B2A7-841ACA88D0F5}"/>
    <cellStyle name="Normal 2 2 2 13 18" xfId="14520" xr:uid="{CB0C037F-9BDA-4178-AD71-857B913AC25C}"/>
    <cellStyle name="Normal 2 2 2 13 19" xfId="14521" xr:uid="{8C973AB8-0C3E-4415-8DB5-22109DDC4FDA}"/>
    <cellStyle name="Normal 2 2 2 13 2" xfId="14522" xr:uid="{5441E538-7E52-4415-8AFA-DF09119B541A}"/>
    <cellStyle name="Normal 2 2 2 13 20" xfId="14523" xr:uid="{7CF128FA-7F7D-424E-9BEB-1C7FB269C8E3}"/>
    <cellStyle name="Normal 2 2 2 13 21" xfId="14524" xr:uid="{9F5A1ED9-B45A-4B54-A42B-DE0C4EABC424}"/>
    <cellStyle name="Normal 2 2 2 13 22" xfId="14525" xr:uid="{623AED71-679C-4F47-9C82-8754018FFA7A}"/>
    <cellStyle name="Normal 2 2 2 13 23" xfId="14526" xr:uid="{38997639-42DB-414F-92B0-6140A82CB0AB}"/>
    <cellStyle name="Normal 2 2 2 13 24" xfId="14527" xr:uid="{E454E815-25B5-4A57-A82B-629D3C10FC21}"/>
    <cellStyle name="Normal 2 2 2 13 25" xfId="14528" xr:uid="{FB330AAE-701E-407E-88C3-C17E44057200}"/>
    <cellStyle name="Normal 2 2 2 13 26" xfId="14529" xr:uid="{B38EA5A2-DBAE-40A6-BC69-E89C96BEBF73}"/>
    <cellStyle name="Normal 2 2 2 13 27" xfId="14530" xr:uid="{35E7756A-B8FF-4A2E-9796-71ED632FFB58}"/>
    <cellStyle name="Normal 2 2 2 13 28" xfId="14531" xr:uid="{F0CD8DE1-3323-4107-BD19-5C4CA046AAAA}"/>
    <cellStyle name="Normal 2 2 2 13 29" xfId="14532" xr:uid="{1622A782-106C-4B67-BEA8-FF233086AA78}"/>
    <cellStyle name="Normal 2 2 2 13 3" xfId="14533" xr:uid="{E6E65ED1-B707-40FC-BA5D-7A0656398E67}"/>
    <cellStyle name="Normal 2 2 2 13 30" xfId="14534" xr:uid="{EC3D3E10-AB35-4DF5-B33B-7F632CF20B81}"/>
    <cellStyle name="Normal 2 2 2 13 31" xfId="14535" xr:uid="{3D1C997C-70EB-4245-9D4D-9BA504C702D4}"/>
    <cellStyle name="Normal 2 2 2 13 32" xfId="14536" xr:uid="{187E67C7-9267-424F-9335-835BF09F6DE2}"/>
    <cellStyle name="Normal 2 2 2 13 33" xfId="14537" xr:uid="{71FF7B0C-5EC6-4D85-ADC4-354485B1E476}"/>
    <cellStyle name="Normal 2 2 2 13 34" xfId="14538" xr:uid="{0F9A305C-6458-41E5-8644-04A82F3E5634}"/>
    <cellStyle name="Normal 2 2 2 13 35" xfId="14539" xr:uid="{CF9AB669-9F7F-4F25-BA91-A4BE96ECD3C7}"/>
    <cellStyle name="Normal 2 2 2 13 36" xfId="14540" xr:uid="{508A2B2E-EB3A-4576-AD44-1BE68832B54B}"/>
    <cellStyle name="Normal 2 2 2 13 37" xfId="14541" xr:uid="{3672397E-5C43-4677-8362-7E9FDB157890}"/>
    <cellStyle name="Normal 2 2 2 13 38" xfId="14542" xr:uid="{9D37687C-69E8-4915-8F26-797287125E20}"/>
    <cellStyle name="Normal 2 2 2 13 39" xfId="14543" xr:uid="{435C304E-CA84-4A65-8A33-D87B50138DF0}"/>
    <cellStyle name="Normal 2 2 2 13 4" xfId="14544" xr:uid="{7839035D-6D4B-41BF-AF5E-829FDAA256F3}"/>
    <cellStyle name="Normal 2 2 2 13 40" xfId="14545" xr:uid="{6A41EC21-7465-4FB7-A865-AF33ED1AF856}"/>
    <cellStyle name="Normal 2 2 2 13 41" xfId="14546" xr:uid="{94B85C97-F7D3-4FC1-A1B5-E9BC61E05495}"/>
    <cellStyle name="Normal 2 2 2 13 42" xfId="14547" xr:uid="{4357AC53-25BC-4C02-B759-AE92C8BF4D48}"/>
    <cellStyle name="Normal 2 2 2 13 43" xfId="14548" xr:uid="{2D3E0064-39B0-4DAE-8340-22B16D82623A}"/>
    <cellStyle name="Normal 2 2 2 13 44" xfId="14549" xr:uid="{9A2827B8-5EA3-483C-8DEC-CCEC8681C0AF}"/>
    <cellStyle name="Normal 2 2 2 13 45" xfId="14550" xr:uid="{F7797096-5A1D-4C39-99AD-DA49C2B7E670}"/>
    <cellStyle name="Normal 2 2 2 13 46" xfId="14551" xr:uid="{FD0E803F-F81F-47F1-AFE9-92CCC0078ED3}"/>
    <cellStyle name="Normal 2 2 2 13 5" xfId="14552" xr:uid="{351566C5-7135-403C-8644-29025635ECFB}"/>
    <cellStyle name="Normal 2 2 2 13 6" xfId="14553" xr:uid="{E12D99F5-B791-488C-B05B-79D88E66724E}"/>
    <cellStyle name="Normal 2 2 2 13 7" xfId="14554" xr:uid="{2036A370-D85E-4FC3-A96B-D67ABF7D3415}"/>
    <cellStyle name="Normal 2 2 2 13 8" xfId="14555" xr:uid="{E480F75F-0988-459F-9F2F-B30FB461CB3F}"/>
    <cellStyle name="Normal 2 2 2 13 9" xfId="14556" xr:uid="{88F618BB-C789-4ECB-AEB4-8EB9D86017DC}"/>
    <cellStyle name="Normal 2 2 2 14" xfId="14557" xr:uid="{A23613B8-6424-4378-9EFD-E6BE29412C81}"/>
    <cellStyle name="Normal 2 2 2 14 10" xfId="14558" xr:uid="{D6395CA9-CDB4-480F-A8F4-14326CF87455}"/>
    <cellStyle name="Normal 2 2 2 14 11" xfId="14559" xr:uid="{4D579B10-5BEC-411C-8E93-DBC718DF3E06}"/>
    <cellStyle name="Normal 2 2 2 14 12" xfId="14560" xr:uid="{4FE52C57-0E78-40F3-BA62-CC9EE2EB5F13}"/>
    <cellStyle name="Normal 2 2 2 14 13" xfId="14561" xr:uid="{4369F727-F48F-4802-A577-73EA83E428A6}"/>
    <cellStyle name="Normal 2 2 2 14 14" xfId="14562" xr:uid="{EFAC7139-F93C-4A34-92BE-78418A6E350E}"/>
    <cellStyle name="Normal 2 2 2 14 15" xfId="14563" xr:uid="{84D90C72-0558-4E96-9357-D1E637F6B5D7}"/>
    <cellStyle name="Normal 2 2 2 14 16" xfId="14564" xr:uid="{E740E243-ED36-4460-B12B-3E5A55817D3E}"/>
    <cellStyle name="Normal 2 2 2 14 17" xfId="14565" xr:uid="{FD543F3B-27E2-4DBD-B9A1-1B23CC1E1660}"/>
    <cellStyle name="Normal 2 2 2 14 18" xfId="14566" xr:uid="{6CAB7C05-6529-4308-966A-ADBF693B9C99}"/>
    <cellStyle name="Normal 2 2 2 14 19" xfId="14567" xr:uid="{D2A53F59-F81C-4C6E-A8BF-986BDDD7410D}"/>
    <cellStyle name="Normal 2 2 2 14 2" xfId="14568" xr:uid="{FA595E95-988D-4C39-998D-361695DEC4F5}"/>
    <cellStyle name="Normal 2 2 2 14 20" xfId="14569" xr:uid="{BB1DC7DC-F635-49E4-88D2-530C9DE2CB9F}"/>
    <cellStyle name="Normal 2 2 2 14 21" xfId="14570" xr:uid="{C8943A33-7C4C-46BC-8B07-84AA014481EF}"/>
    <cellStyle name="Normal 2 2 2 14 22" xfId="14571" xr:uid="{DAE5DE77-2F3A-4753-BD0D-26F5BBC97B1A}"/>
    <cellStyle name="Normal 2 2 2 14 23" xfId="14572" xr:uid="{E805A92E-C4BE-4EB6-8CC1-CDF5919567E4}"/>
    <cellStyle name="Normal 2 2 2 14 24" xfId="14573" xr:uid="{6137D4B2-B186-47D4-BBA7-883BDB9BE86D}"/>
    <cellStyle name="Normal 2 2 2 14 25" xfId="14574" xr:uid="{6A9313D5-6067-4076-A4C0-9F64F45AB3E3}"/>
    <cellStyle name="Normal 2 2 2 14 26" xfId="14575" xr:uid="{3EF62FC4-AE62-481A-89D6-65E643595A00}"/>
    <cellStyle name="Normal 2 2 2 14 27" xfId="14576" xr:uid="{F5E4F50F-3DEE-497E-8A41-D3F2B1F1C4D0}"/>
    <cellStyle name="Normal 2 2 2 14 28" xfId="14577" xr:uid="{5D78E1C1-8AB8-442E-B458-AFE0781722ED}"/>
    <cellStyle name="Normal 2 2 2 14 29" xfId="14578" xr:uid="{373A6090-DCF6-4532-9A08-EA3F6FB1EAFE}"/>
    <cellStyle name="Normal 2 2 2 14 3" xfId="14579" xr:uid="{BBF4EFDF-48BA-4E75-A5D5-C3FDE1EAC76D}"/>
    <cellStyle name="Normal 2 2 2 14 30" xfId="14580" xr:uid="{612FF46E-1008-496D-B93C-81FA73E4D050}"/>
    <cellStyle name="Normal 2 2 2 14 31" xfId="14581" xr:uid="{4D3B6DF1-F4A1-4462-BA88-40E172CDF815}"/>
    <cellStyle name="Normal 2 2 2 14 32" xfId="14582" xr:uid="{44782A73-1D39-4F31-80D9-A1E2DE63D976}"/>
    <cellStyle name="Normal 2 2 2 14 33" xfId="14583" xr:uid="{B09C0E40-E826-4A3A-8AB1-1FA5537AFB21}"/>
    <cellStyle name="Normal 2 2 2 14 34" xfId="14584" xr:uid="{AB54AF65-FD18-4F5D-872C-2567CA199E4E}"/>
    <cellStyle name="Normal 2 2 2 14 35" xfId="14585" xr:uid="{ACE26319-1430-48DB-A18D-A67371BCC46F}"/>
    <cellStyle name="Normal 2 2 2 14 36" xfId="14586" xr:uid="{084CD5CF-F311-4D3E-9F66-E80AD7323ACA}"/>
    <cellStyle name="Normal 2 2 2 14 37" xfId="14587" xr:uid="{53D4E6BA-648F-4719-B231-A29D72E061E0}"/>
    <cellStyle name="Normal 2 2 2 14 38" xfId="14588" xr:uid="{EBC7B849-DD08-4BA9-900B-C1AF1A555F4A}"/>
    <cellStyle name="Normal 2 2 2 14 39" xfId="14589" xr:uid="{605712D6-50A1-4A1D-A530-F8A9BEFC2ADF}"/>
    <cellStyle name="Normal 2 2 2 14 4" xfId="14590" xr:uid="{A048593F-C979-41A3-BF35-7A7D7A22DC30}"/>
    <cellStyle name="Normal 2 2 2 14 40" xfId="14591" xr:uid="{D56E29F5-E497-4C69-9A5C-10F3501B8D84}"/>
    <cellStyle name="Normal 2 2 2 14 41" xfId="14592" xr:uid="{822D8D8F-6B34-4573-8F20-CBDE437D0250}"/>
    <cellStyle name="Normal 2 2 2 14 42" xfId="14593" xr:uid="{405AF304-8C5A-4DB5-9838-503C3394A9CE}"/>
    <cellStyle name="Normal 2 2 2 14 43" xfId="14594" xr:uid="{EF1D2958-337A-4CBA-9297-2195DD8F4C2B}"/>
    <cellStyle name="Normal 2 2 2 14 44" xfId="14595" xr:uid="{44B79E98-49F8-49A1-BC8E-E96C216F5F29}"/>
    <cellStyle name="Normal 2 2 2 14 45" xfId="14596" xr:uid="{088D0865-97DB-441D-BF64-CC45151CFBC5}"/>
    <cellStyle name="Normal 2 2 2 14 46" xfId="14597" xr:uid="{AF4E9AE2-469A-436F-888D-41E2ED6A19EF}"/>
    <cellStyle name="Normal 2 2 2 14 5" xfId="14598" xr:uid="{90F62F54-93AD-4299-9DEF-B48DB196094E}"/>
    <cellStyle name="Normal 2 2 2 14 6" xfId="14599" xr:uid="{A069819D-9AD9-45A4-826A-D67BD9B19C81}"/>
    <cellStyle name="Normal 2 2 2 14 7" xfId="14600" xr:uid="{13C5680B-02FC-4872-8941-83F07EFC6EC6}"/>
    <cellStyle name="Normal 2 2 2 14 8" xfId="14601" xr:uid="{7DA530FD-9074-45DA-B34A-A34E107956B6}"/>
    <cellStyle name="Normal 2 2 2 14 9" xfId="14602" xr:uid="{A3B31AB4-05FA-41FB-9186-38EDF6D0FD08}"/>
    <cellStyle name="Normal 2 2 2 15" xfId="14603" xr:uid="{0AC7137D-D68F-4750-B4A0-D62DF3E45D47}"/>
    <cellStyle name="Normal 2 2 2 15 10" xfId="14604" xr:uid="{C2516E2A-78E5-47F1-B782-395BC63E2C60}"/>
    <cellStyle name="Normal 2 2 2 15 11" xfId="14605" xr:uid="{0AC280BD-C6A7-46F6-AEE8-DDC949A5A896}"/>
    <cellStyle name="Normal 2 2 2 15 12" xfId="14606" xr:uid="{C57D6D4F-24E2-49F8-BEBD-FDB4E900A309}"/>
    <cellStyle name="Normal 2 2 2 15 13" xfId="14607" xr:uid="{043791C1-5FA0-4CE8-8913-05534DB0B162}"/>
    <cellStyle name="Normal 2 2 2 15 14" xfId="14608" xr:uid="{41B8510A-A472-4CAB-BE83-E62B9E11F11A}"/>
    <cellStyle name="Normal 2 2 2 15 15" xfId="14609" xr:uid="{40F986A2-95B4-4FCF-86F4-9601FF0DBDBD}"/>
    <cellStyle name="Normal 2 2 2 15 16" xfId="14610" xr:uid="{7D231C88-CF40-450D-8E8B-289C8541D038}"/>
    <cellStyle name="Normal 2 2 2 15 17" xfId="14611" xr:uid="{F705B5A5-7AF7-4D17-A4EB-FBF02C3ABD9B}"/>
    <cellStyle name="Normal 2 2 2 15 18" xfId="14612" xr:uid="{7D85B3A7-D88F-4D1B-8EC3-B345B52F8143}"/>
    <cellStyle name="Normal 2 2 2 15 19" xfId="14613" xr:uid="{A02DAC40-8294-4235-933E-AFAB42F1698B}"/>
    <cellStyle name="Normal 2 2 2 15 2" xfId="14614" xr:uid="{85B5FD66-36A5-4FD7-8B4F-6862D1A2140B}"/>
    <cellStyle name="Normal 2 2 2 15 20" xfId="14615" xr:uid="{B1BEE758-0B14-418B-ABD9-9E132F962EA2}"/>
    <cellStyle name="Normal 2 2 2 15 21" xfId="14616" xr:uid="{245F4B0C-89F8-465A-9A58-6977B5327AF0}"/>
    <cellStyle name="Normal 2 2 2 15 22" xfId="14617" xr:uid="{D04E7996-E909-4B29-9FD3-52FF08B92462}"/>
    <cellStyle name="Normal 2 2 2 15 23" xfId="14618" xr:uid="{C8C321FA-31EE-49AE-B7CB-76091D0C48B0}"/>
    <cellStyle name="Normal 2 2 2 15 24" xfId="14619" xr:uid="{44DF57C2-D5E9-4FE2-AEAA-CE43E00D641C}"/>
    <cellStyle name="Normal 2 2 2 15 25" xfId="14620" xr:uid="{DEFB7001-5B5F-4F84-85DD-35812232E590}"/>
    <cellStyle name="Normal 2 2 2 15 26" xfId="14621" xr:uid="{25A86356-DBA7-41D4-9377-505828372339}"/>
    <cellStyle name="Normal 2 2 2 15 27" xfId="14622" xr:uid="{7E43CEFA-341A-4274-B136-AB21AAB2EA50}"/>
    <cellStyle name="Normal 2 2 2 15 28" xfId="14623" xr:uid="{3BC9C707-5036-4881-B509-207F73448289}"/>
    <cellStyle name="Normal 2 2 2 15 29" xfId="14624" xr:uid="{ED2C8189-C488-4C01-9FB0-EF3982DD6949}"/>
    <cellStyle name="Normal 2 2 2 15 3" xfId="14625" xr:uid="{F8F6C72C-8CDC-4458-969B-7BCDEE726665}"/>
    <cellStyle name="Normal 2 2 2 15 30" xfId="14626" xr:uid="{65892611-5CF2-4593-AA9A-89D635626DB0}"/>
    <cellStyle name="Normal 2 2 2 15 31" xfId="14627" xr:uid="{9A71BA4A-2C25-4AB7-92EE-45CA27E07154}"/>
    <cellStyle name="Normal 2 2 2 15 32" xfId="14628" xr:uid="{0D606531-3848-45FF-8EE3-99C46CFEB027}"/>
    <cellStyle name="Normal 2 2 2 15 33" xfId="14629" xr:uid="{7741A6C7-4F3B-4825-ABD1-6FAF51789123}"/>
    <cellStyle name="Normal 2 2 2 15 34" xfId="14630" xr:uid="{3E5AE19C-BDA9-4B0F-B8F8-64E9D79334B4}"/>
    <cellStyle name="Normal 2 2 2 15 35" xfId="14631" xr:uid="{AEC881F9-9E64-4F03-826D-31B4B0BB9793}"/>
    <cellStyle name="Normal 2 2 2 15 36" xfId="14632" xr:uid="{C01F4581-94E7-430A-A73F-34766D978642}"/>
    <cellStyle name="Normal 2 2 2 15 37" xfId="14633" xr:uid="{439FDC58-557D-4FCC-ABAE-7B912AE46D47}"/>
    <cellStyle name="Normal 2 2 2 15 38" xfId="14634" xr:uid="{F2B3ECBF-70A7-41FC-926E-FB8B1F626A12}"/>
    <cellStyle name="Normal 2 2 2 15 39" xfId="14635" xr:uid="{FA5DAE2C-4CEC-4CD4-B978-5146C079B5CC}"/>
    <cellStyle name="Normal 2 2 2 15 4" xfId="14636" xr:uid="{CD799C74-E4DE-403B-B72D-A3BB16546A65}"/>
    <cellStyle name="Normal 2 2 2 15 40" xfId="14637" xr:uid="{D08172EC-5AAF-4BB8-83A0-8BE24941C467}"/>
    <cellStyle name="Normal 2 2 2 15 41" xfId="14638" xr:uid="{2ACA8B54-490C-4EA8-8E97-9AE4B3A969E9}"/>
    <cellStyle name="Normal 2 2 2 15 42" xfId="14639" xr:uid="{E1028AAB-52C9-43BC-B9D4-50BBA0528D47}"/>
    <cellStyle name="Normal 2 2 2 15 43" xfId="14640" xr:uid="{2B739496-3AB6-4B66-9D8F-59270E8A6223}"/>
    <cellStyle name="Normal 2 2 2 15 44" xfId="14641" xr:uid="{D697E37F-5994-4A1C-B092-E4F6B64FE04E}"/>
    <cellStyle name="Normal 2 2 2 15 45" xfId="14642" xr:uid="{9B8411C3-279B-439A-9FEB-1D8E6AF3D301}"/>
    <cellStyle name="Normal 2 2 2 15 46" xfId="14643" xr:uid="{E7B80741-FD4A-48C9-8511-172E93D4AB96}"/>
    <cellStyle name="Normal 2 2 2 15 5" xfId="14644" xr:uid="{E1BF2E2B-BC22-4613-A4C1-C0A41D18EBB7}"/>
    <cellStyle name="Normal 2 2 2 15 6" xfId="14645" xr:uid="{5B3119E2-973E-479B-8534-C26C728750A2}"/>
    <cellStyle name="Normal 2 2 2 15 7" xfId="14646" xr:uid="{B8B07A17-2D84-4688-8FAD-8D106DF40B73}"/>
    <cellStyle name="Normal 2 2 2 15 8" xfId="14647" xr:uid="{11C17722-3117-4266-844A-E98BCBEE52EB}"/>
    <cellStyle name="Normal 2 2 2 15 9" xfId="14648" xr:uid="{D49CAEE1-7FF7-4AD8-A6DF-BA1E5B91E2F6}"/>
    <cellStyle name="Normal 2 2 2 16" xfId="14649" xr:uid="{52F2ACE8-BAC1-4B00-BF2E-0C6578750663}"/>
    <cellStyle name="Normal 2 2 2 16 10" xfId="14650" xr:uid="{382FEFCE-7DF7-48F7-85A6-264A1551ACDD}"/>
    <cellStyle name="Normal 2 2 2 16 11" xfId="14651" xr:uid="{3386EB1F-32F9-42DB-B26B-6D3CD56F6429}"/>
    <cellStyle name="Normal 2 2 2 16 12" xfId="14652" xr:uid="{B966776C-4C3B-4B3B-BF0E-F58865CA4A19}"/>
    <cellStyle name="Normal 2 2 2 16 13" xfId="14653" xr:uid="{ADF22767-029B-45AC-959B-3F3C609C90DB}"/>
    <cellStyle name="Normal 2 2 2 16 14" xfId="14654" xr:uid="{15908524-96BB-4ACC-90C8-AA7EBAEBC637}"/>
    <cellStyle name="Normal 2 2 2 16 15" xfId="14655" xr:uid="{F3290621-46DB-4D49-AB0C-261D30C94CD0}"/>
    <cellStyle name="Normal 2 2 2 16 16" xfId="14656" xr:uid="{0781439F-B08A-4CB2-B39E-F5C86D59AE01}"/>
    <cellStyle name="Normal 2 2 2 16 17" xfId="14657" xr:uid="{DEFEA9E8-A7A9-4209-ACB9-221F7E2FADDC}"/>
    <cellStyle name="Normal 2 2 2 16 18" xfId="14658" xr:uid="{129DD8E4-50CB-42BF-BE19-9B2C7B0FDDC8}"/>
    <cellStyle name="Normal 2 2 2 16 19" xfId="14659" xr:uid="{CC0D1886-B1C6-413D-94C9-D6CEDA6D4ED1}"/>
    <cellStyle name="Normal 2 2 2 16 2" xfId="14660" xr:uid="{5EC3A6F3-0FBA-4211-9247-BD585421A708}"/>
    <cellStyle name="Normal 2 2 2 16 20" xfId="14661" xr:uid="{3E8CE68A-DDA8-4FF5-B163-DEC8E9E7F50B}"/>
    <cellStyle name="Normal 2 2 2 16 21" xfId="14662" xr:uid="{D1CC5213-2A62-431F-ADE7-62D68B0125A7}"/>
    <cellStyle name="Normal 2 2 2 16 22" xfId="14663" xr:uid="{BE5EA97B-FBA4-4215-A044-CA45C5C85BB7}"/>
    <cellStyle name="Normal 2 2 2 16 23" xfId="14664" xr:uid="{56FFAD23-7D09-4065-AA05-16BE9FE2C136}"/>
    <cellStyle name="Normal 2 2 2 16 24" xfId="14665" xr:uid="{AFB5E9F3-9928-4BBD-9B12-152B097724C7}"/>
    <cellStyle name="Normal 2 2 2 16 25" xfId="14666" xr:uid="{C525F0B7-02E6-4959-8D50-F5A31D8BD6E3}"/>
    <cellStyle name="Normal 2 2 2 16 26" xfId="14667" xr:uid="{477E008E-FD50-4BF6-9672-69C1C65CFFB6}"/>
    <cellStyle name="Normal 2 2 2 16 27" xfId="14668" xr:uid="{BABEDDDE-372B-4F17-845E-C1FB117E1B79}"/>
    <cellStyle name="Normal 2 2 2 16 28" xfId="14669" xr:uid="{8C7B85EA-4F64-4C60-8D36-1B5F1F5FA0D6}"/>
    <cellStyle name="Normal 2 2 2 16 29" xfId="14670" xr:uid="{32EAB53C-EE38-487A-A5E8-6440F0858A79}"/>
    <cellStyle name="Normal 2 2 2 16 3" xfId="14671" xr:uid="{A5A67C35-2BBB-4511-B4A9-C77F97F206BA}"/>
    <cellStyle name="Normal 2 2 2 16 30" xfId="14672" xr:uid="{0E88ACF4-6442-4204-BB61-4CA2922497AF}"/>
    <cellStyle name="Normal 2 2 2 16 31" xfId="14673" xr:uid="{21C61452-3894-49FD-BE0B-FB81345A9C23}"/>
    <cellStyle name="Normal 2 2 2 16 32" xfId="14674" xr:uid="{4441A905-1258-4420-90F1-12B9FE490DFB}"/>
    <cellStyle name="Normal 2 2 2 16 33" xfId="14675" xr:uid="{33966665-D58B-4C32-93B2-514C26E0FC58}"/>
    <cellStyle name="Normal 2 2 2 16 34" xfId="14676" xr:uid="{0F1021D2-2B9B-439C-A64C-122390D50A7E}"/>
    <cellStyle name="Normal 2 2 2 16 35" xfId="14677" xr:uid="{4EEE5FC5-367E-46EE-BA6D-4E79A0A3028F}"/>
    <cellStyle name="Normal 2 2 2 16 36" xfId="14678" xr:uid="{D880C158-6464-4F28-B61E-0D9A8971C4C6}"/>
    <cellStyle name="Normal 2 2 2 16 37" xfId="14679" xr:uid="{F5069B8C-457B-4BC5-9F94-81FC76AEE938}"/>
    <cellStyle name="Normal 2 2 2 16 38" xfId="14680" xr:uid="{B7CAD7AA-21A7-4CB3-A946-0AF561D3634F}"/>
    <cellStyle name="Normal 2 2 2 16 39" xfId="14681" xr:uid="{6F3A813E-5679-46BE-AB49-9869EADA7100}"/>
    <cellStyle name="Normal 2 2 2 16 4" xfId="14682" xr:uid="{1550C7BD-F76A-496F-9550-7FF2BD526DBD}"/>
    <cellStyle name="Normal 2 2 2 16 40" xfId="14683" xr:uid="{420B7773-8B25-4CEF-A374-23A33B1EBE93}"/>
    <cellStyle name="Normal 2 2 2 16 41" xfId="14684" xr:uid="{FFAC4174-C5A5-4A0D-A2F0-3CE30E6EC08C}"/>
    <cellStyle name="Normal 2 2 2 16 42" xfId="14685" xr:uid="{5D4797D2-8A4C-4E3A-BD76-0661B14C3C1A}"/>
    <cellStyle name="Normal 2 2 2 16 43" xfId="14686" xr:uid="{8AB3A248-88AA-4CE7-81C1-832242D66634}"/>
    <cellStyle name="Normal 2 2 2 16 44" xfId="14687" xr:uid="{4EA0A400-F4C1-48ED-BE5D-31905D9CBC98}"/>
    <cellStyle name="Normal 2 2 2 16 45" xfId="14688" xr:uid="{B3B1180C-73A0-40AA-A29C-9CEE76D502C2}"/>
    <cellStyle name="Normal 2 2 2 16 46" xfId="14689" xr:uid="{E0031398-5090-4FA8-A249-288E768BC066}"/>
    <cellStyle name="Normal 2 2 2 16 5" xfId="14690" xr:uid="{C2632FD8-B5FF-40F7-A90C-92BC4E87D6EA}"/>
    <cellStyle name="Normal 2 2 2 16 6" xfId="14691" xr:uid="{F4AE7736-BFC8-4667-A90B-3B9F5F6837BE}"/>
    <cellStyle name="Normal 2 2 2 16 7" xfId="14692" xr:uid="{52F3EFCC-2D6D-4ABA-86C4-467F9D1B2C80}"/>
    <cellStyle name="Normal 2 2 2 16 8" xfId="14693" xr:uid="{39CA1827-7D5C-4A9A-BC83-F75E71B492ED}"/>
    <cellStyle name="Normal 2 2 2 16 9" xfId="14694" xr:uid="{E30EE9AF-2AAB-49A5-A5F5-4EEF9F4D4358}"/>
    <cellStyle name="Normal 2 2 2 17" xfId="14695" xr:uid="{25725350-E94B-4938-976A-9F5DBAF6AD08}"/>
    <cellStyle name="Normal 2 2 2 17 10" xfId="14696" xr:uid="{F6E43DDE-217C-4F31-9E7A-F1D3D9161F90}"/>
    <cellStyle name="Normal 2 2 2 17 10 10" xfId="14697" xr:uid="{4CE6C61A-9697-4264-9F96-CBA2D5569597}"/>
    <cellStyle name="Normal 2 2 2 17 10 11" xfId="14698" xr:uid="{C88113F1-FE4B-4279-B77E-8A72FB0B1602}"/>
    <cellStyle name="Normal 2 2 2 17 10 12" xfId="14699" xr:uid="{DAC5A867-851B-4C80-A4DD-6665315FF6B7}"/>
    <cellStyle name="Normal 2 2 2 17 10 13" xfId="14700" xr:uid="{B4875403-11FB-4989-887A-341801FB8AFA}"/>
    <cellStyle name="Normal 2 2 2 17 10 2" xfId="14701" xr:uid="{5C5B9553-5778-4417-BA22-8903E6A9D7E0}"/>
    <cellStyle name="Normal 2 2 2 17 10 2 2" xfId="14702" xr:uid="{AEF3BAF9-1C93-4897-AF6E-49F8E4D4CC4F}"/>
    <cellStyle name="Normal 2 2 2 17 10 2 3" xfId="14703" xr:uid="{E3EF3ED0-4D2F-405F-8699-456B6A86DB15}"/>
    <cellStyle name="Normal 2 2 2 17 10 2 4" xfId="14704" xr:uid="{0BC8FEB8-B03D-4584-9A8B-645F7865CE80}"/>
    <cellStyle name="Normal 2 2 2 17 10 2 5" xfId="14705" xr:uid="{FCFA7A62-EE89-4C06-961F-572622F1A9C1}"/>
    <cellStyle name="Normal 2 2 2 17 10 2 6" xfId="14706" xr:uid="{B43FD9C1-6224-4211-ADA3-4409998218D4}"/>
    <cellStyle name="Normal 2 2 2 17 10 3" xfId="14707" xr:uid="{7C9C84DD-3AB5-462E-81FD-537E148A9D3C}"/>
    <cellStyle name="Normal 2 2 2 17 10 3 2" xfId="14708" xr:uid="{89F858CE-D4C8-4A09-9FFD-D4B0B424C8A3}"/>
    <cellStyle name="Normal 2 2 2 17 10 3 3" xfId="14709" xr:uid="{22510626-2EE4-423F-B1F4-31170E7FFD47}"/>
    <cellStyle name="Normal 2 2 2 17 10 3 4" xfId="14710" xr:uid="{3E64904C-B81E-4A9D-ADA6-B26904C4C278}"/>
    <cellStyle name="Normal 2 2 2 17 10 3 5" xfId="14711" xr:uid="{3C777FC3-4D9C-48CF-94DF-24924FA4CA23}"/>
    <cellStyle name="Normal 2 2 2 17 10 3 6" xfId="14712" xr:uid="{0C264E94-8F03-48F1-B952-328793669E1D}"/>
    <cellStyle name="Normal 2 2 2 17 10 4" xfId="14713" xr:uid="{DCE4857D-9A17-4540-8644-8138CFC36BC4}"/>
    <cellStyle name="Normal 2 2 2 17 10 4 2" xfId="14714" xr:uid="{21AFF544-F9AD-4441-9EC3-59A3C6FD573A}"/>
    <cellStyle name="Normal 2 2 2 17 10 4 3" xfId="14715" xr:uid="{E827DA09-677E-4E95-83FC-32AC6345BC79}"/>
    <cellStyle name="Normal 2 2 2 17 10 4 4" xfId="14716" xr:uid="{7BFF4343-A569-4C18-9A59-6222665EE6E3}"/>
    <cellStyle name="Normal 2 2 2 17 10 4 5" xfId="14717" xr:uid="{1C50282A-DF71-4551-821F-FEED9864E940}"/>
    <cellStyle name="Normal 2 2 2 17 10 4 6" xfId="14718" xr:uid="{49535061-F3F9-400B-B635-B20C61172BF2}"/>
    <cellStyle name="Normal 2 2 2 17 10 5" xfId="14719" xr:uid="{1811274C-D8B4-482E-ADBD-2AB637682298}"/>
    <cellStyle name="Normal 2 2 2 17 10 5 2" xfId="14720" xr:uid="{F0768C86-7074-4F69-8571-A9307A4A8414}"/>
    <cellStyle name="Normal 2 2 2 17 10 5 3" xfId="14721" xr:uid="{2FDE2AB2-2F9D-4E6A-A40E-E7E1CA7A27D6}"/>
    <cellStyle name="Normal 2 2 2 17 10 5 4" xfId="14722" xr:uid="{C8CCFAE9-9F81-4344-91DF-8078E8A89292}"/>
    <cellStyle name="Normal 2 2 2 17 10 5 5" xfId="14723" xr:uid="{F74E2C63-6A65-4AB0-8D37-593DDB248FF5}"/>
    <cellStyle name="Normal 2 2 2 17 10 5 6" xfId="14724" xr:uid="{5CDC1B56-B8DD-4AA3-ACEF-5A0FDE92E049}"/>
    <cellStyle name="Normal 2 2 2 17 10 6" xfId="14725" xr:uid="{EB11C358-5E2B-4CC8-AA50-647112E1F3C0}"/>
    <cellStyle name="Normal 2 2 2 17 10 6 2" xfId="14726" xr:uid="{87F700D8-1DCA-45CF-A12F-FDDA6E4E1D58}"/>
    <cellStyle name="Normal 2 2 2 17 10 6 3" xfId="14727" xr:uid="{DD2DAB45-8150-4733-88E8-7ECDDD57F8FF}"/>
    <cellStyle name="Normal 2 2 2 17 10 6 4" xfId="14728" xr:uid="{FB9AB2BB-E94B-493C-8CBB-42A516801725}"/>
    <cellStyle name="Normal 2 2 2 17 10 6 5" xfId="14729" xr:uid="{85F3C339-3FA0-48C6-9759-B2236C2FEBB5}"/>
    <cellStyle name="Normal 2 2 2 17 10 6 6" xfId="14730" xr:uid="{05EDF456-5873-4255-AC14-FC2C46FE1E4B}"/>
    <cellStyle name="Normal 2 2 2 17 10 7" xfId="14731" xr:uid="{7ED6CB38-0436-488C-A8FC-6638915F593A}"/>
    <cellStyle name="Normal 2 2 2 17 10 7 2" xfId="14732" xr:uid="{527F70A4-7275-4B02-81AA-B2C4C03BC9B6}"/>
    <cellStyle name="Normal 2 2 2 17 10 7 3" xfId="14733" xr:uid="{71ABF1CA-E05B-4270-AA9B-1FEF3E7CCAAE}"/>
    <cellStyle name="Normal 2 2 2 17 10 7 4" xfId="14734" xr:uid="{890771DA-C664-4902-A0AF-78E492659A3B}"/>
    <cellStyle name="Normal 2 2 2 17 10 7 5" xfId="14735" xr:uid="{5C71AC83-4B7D-419F-B2A7-6954B5A481F6}"/>
    <cellStyle name="Normal 2 2 2 17 10 7 6" xfId="14736" xr:uid="{606AA73A-26F0-4EAA-ADC8-99F85913579B}"/>
    <cellStyle name="Normal 2 2 2 17 10 8" xfId="14737" xr:uid="{F6659F09-33C1-4D52-A3D1-DBF1486F7CBC}"/>
    <cellStyle name="Normal 2 2 2 17 10 8 2" xfId="14738" xr:uid="{A8E47FE9-AA49-4965-A691-635895359C83}"/>
    <cellStyle name="Normal 2 2 2 17 10 8 3" xfId="14739" xr:uid="{46CF2977-F084-4A7F-A98D-E474B082889F}"/>
    <cellStyle name="Normal 2 2 2 17 10 8 4" xfId="14740" xr:uid="{7763A7CB-92D1-4D32-9334-BFF7E39D34E1}"/>
    <cellStyle name="Normal 2 2 2 17 10 8 5" xfId="14741" xr:uid="{965C3C08-9A2D-4237-8FD4-E662415A61CC}"/>
    <cellStyle name="Normal 2 2 2 17 10 8 6" xfId="14742" xr:uid="{7331F13B-887C-4D85-B4E0-BAED2BB7EBE6}"/>
    <cellStyle name="Normal 2 2 2 17 10 9" xfId="14743" xr:uid="{CC5A3FFF-3AB5-48F3-BDD5-10D81DB61ACC}"/>
    <cellStyle name="Normal 2 2 2 17 11" xfId="14744" xr:uid="{644E2C8B-11F9-44BA-A179-CCC1D04CC708}"/>
    <cellStyle name="Normal 2 2 2 17 11 10" xfId="14745" xr:uid="{32B1459C-7434-419D-9D69-668D211AA7ED}"/>
    <cellStyle name="Normal 2 2 2 17 11 11" xfId="14746" xr:uid="{2DF7DAFE-EA26-48FD-8362-73E976823F30}"/>
    <cellStyle name="Normal 2 2 2 17 11 12" xfId="14747" xr:uid="{B4FF0002-24A0-40B1-9C42-BACB2E17BC7E}"/>
    <cellStyle name="Normal 2 2 2 17 11 13" xfId="14748" xr:uid="{1AE8D2E4-A17F-4E7C-8535-D1C83A3CB948}"/>
    <cellStyle name="Normal 2 2 2 17 11 2" xfId="14749" xr:uid="{F63DCF8A-7D30-4C9D-AED3-D10434E5F80E}"/>
    <cellStyle name="Normal 2 2 2 17 11 2 2" xfId="14750" xr:uid="{6E4A90CB-84BA-441D-AC38-432CFE725967}"/>
    <cellStyle name="Normal 2 2 2 17 11 2 3" xfId="14751" xr:uid="{A55CA510-74C3-4945-99AD-48BE70C63E74}"/>
    <cellStyle name="Normal 2 2 2 17 11 2 4" xfId="14752" xr:uid="{F1B80FB7-5C34-4E9B-88BD-60D4A9BD351A}"/>
    <cellStyle name="Normal 2 2 2 17 11 2 5" xfId="14753" xr:uid="{DB5D5348-C535-4B99-ADC3-3E6D61AD3FA3}"/>
    <cellStyle name="Normal 2 2 2 17 11 2 6" xfId="14754" xr:uid="{2785B3BF-BB35-4EA5-A3E2-E3FB7978E782}"/>
    <cellStyle name="Normal 2 2 2 17 11 3" xfId="14755" xr:uid="{0EDF4B59-8BA1-4F76-BFDB-DB0711A1ACD4}"/>
    <cellStyle name="Normal 2 2 2 17 11 3 2" xfId="14756" xr:uid="{CD5BED23-A75F-4A6F-8B2E-F900E00D4849}"/>
    <cellStyle name="Normal 2 2 2 17 11 3 3" xfId="14757" xr:uid="{55E959CF-4CD9-43B2-8292-A2BA7DE4BA4D}"/>
    <cellStyle name="Normal 2 2 2 17 11 3 4" xfId="14758" xr:uid="{96F83683-94ED-421E-BFC5-0974FFE67DC3}"/>
    <cellStyle name="Normal 2 2 2 17 11 3 5" xfId="14759" xr:uid="{FE485468-A4C9-4291-84F1-B4A5054E062D}"/>
    <cellStyle name="Normal 2 2 2 17 11 3 6" xfId="14760" xr:uid="{CB2C44FE-FDB5-4BCA-9E8B-9C6A376EB33B}"/>
    <cellStyle name="Normal 2 2 2 17 11 4" xfId="14761" xr:uid="{FD01EC8C-A174-4400-AEC2-7C0064C550C8}"/>
    <cellStyle name="Normal 2 2 2 17 11 4 2" xfId="14762" xr:uid="{7FAD7250-56C1-4909-BCD2-D2F2DD1CD4B0}"/>
    <cellStyle name="Normal 2 2 2 17 11 4 3" xfId="14763" xr:uid="{E979C210-6AB5-4AF4-B606-278A858A2490}"/>
    <cellStyle name="Normal 2 2 2 17 11 4 4" xfId="14764" xr:uid="{E32F6EAC-F850-4D9B-95BE-2B856A094F29}"/>
    <cellStyle name="Normal 2 2 2 17 11 4 5" xfId="14765" xr:uid="{C2E36729-8FD2-44DE-9DD2-0279A8D069A4}"/>
    <cellStyle name="Normal 2 2 2 17 11 4 6" xfId="14766" xr:uid="{EFC4A262-304E-4C80-A594-9D501C551988}"/>
    <cellStyle name="Normal 2 2 2 17 11 5" xfId="14767" xr:uid="{6205D288-5BF8-4BB1-B502-A21ABAC342AF}"/>
    <cellStyle name="Normal 2 2 2 17 11 5 2" xfId="14768" xr:uid="{05145B9B-05AC-4952-BD9C-0A13049925B5}"/>
    <cellStyle name="Normal 2 2 2 17 11 5 3" xfId="14769" xr:uid="{6F229472-07DF-4F96-AF06-DFFC605CFC59}"/>
    <cellStyle name="Normal 2 2 2 17 11 5 4" xfId="14770" xr:uid="{8D633902-5E51-4D6A-A9F9-C360FD32ABAE}"/>
    <cellStyle name="Normal 2 2 2 17 11 5 5" xfId="14771" xr:uid="{9AD06CC3-FB25-4290-81CF-53FBDFCDF24E}"/>
    <cellStyle name="Normal 2 2 2 17 11 5 6" xfId="14772" xr:uid="{D71111D7-C2D5-4FBF-8276-6C19D7197B75}"/>
    <cellStyle name="Normal 2 2 2 17 11 6" xfId="14773" xr:uid="{0DB988C7-046A-45EB-87F1-81908531F4E8}"/>
    <cellStyle name="Normal 2 2 2 17 11 6 2" xfId="14774" xr:uid="{9F3E6CA0-8F6F-4268-BB0A-67BB07476AF0}"/>
    <cellStyle name="Normal 2 2 2 17 11 6 3" xfId="14775" xr:uid="{AC30C4C8-7FB0-46B4-AF4F-BE904692EB95}"/>
    <cellStyle name="Normal 2 2 2 17 11 6 4" xfId="14776" xr:uid="{690C651B-66FC-4B54-9C98-B89828A1E593}"/>
    <cellStyle name="Normal 2 2 2 17 11 6 5" xfId="14777" xr:uid="{0296EAC2-5E87-42A3-911F-E04F7442D327}"/>
    <cellStyle name="Normal 2 2 2 17 11 6 6" xfId="14778" xr:uid="{B323BCDA-0196-4B00-B58C-E20EE2D406F9}"/>
    <cellStyle name="Normal 2 2 2 17 11 7" xfId="14779" xr:uid="{7CA68271-7D4A-41B2-A777-6EB430AAC4F9}"/>
    <cellStyle name="Normal 2 2 2 17 11 7 2" xfId="14780" xr:uid="{6FBF51A9-9C0A-45CB-8E82-790AC411DDA1}"/>
    <cellStyle name="Normal 2 2 2 17 11 7 3" xfId="14781" xr:uid="{4B4FB690-14FF-45D9-9FD9-7D74BF109B08}"/>
    <cellStyle name="Normal 2 2 2 17 11 7 4" xfId="14782" xr:uid="{1958A0C3-E7B4-4F90-AFAC-67D5CC43DE9F}"/>
    <cellStyle name="Normal 2 2 2 17 11 7 5" xfId="14783" xr:uid="{E3A34574-21AC-4394-B91B-C4934186BB3C}"/>
    <cellStyle name="Normal 2 2 2 17 11 7 6" xfId="14784" xr:uid="{5DFFC1B7-B36A-47BA-8E9C-191893537B19}"/>
    <cellStyle name="Normal 2 2 2 17 11 8" xfId="14785" xr:uid="{745ED575-8E39-4593-A049-F73527C16BEA}"/>
    <cellStyle name="Normal 2 2 2 17 11 8 2" xfId="14786" xr:uid="{97A583F6-D489-4912-80B7-845993C8B4E0}"/>
    <cellStyle name="Normal 2 2 2 17 11 8 3" xfId="14787" xr:uid="{E53F21F9-B86D-4913-BBA5-8838001ACEB0}"/>
    <cellStyle name="Normal 2 2 2 17 11 8 4" xfId="14788" xr:uid="{05E9A733-E072-4387-BB71-0EF6241D71B1}"/>
    <cellStyle name="Normal 2 2 2 17 11 8 5" xfId="14789" xr:uid="{2131A0B2-FCB0-497D-8DC9-E2D41C3AED0C}"/>
    <cellStyle name="Normal 2 2 2 17 11 8 6" xfId="14790" xr:uid="{2B5D1180-8460-4D44-B9E8-DF7CF0607C5B}"/>
    <cellStyle name="Normal 2 2 2 17 11 9" xfId="14791" xr:uid="{28D22109-1D74-437F-83BC-409C36DF4E4F}"/>
    <cellStyle name="Normal 2 2 2 17 12" xfId="14792" xr:uid="{29002D20-03A3-4812-9D71-7D98686C9BE5}"/>
    <cellStyle name="Normal 2 2 2 17 13" xfId="14793" xr:uid="{2026571B-25AC-4D56-8298-0F71A4BE5AF4}"/>
    <cellStyle name="Normal 2 2 2 17 14" xfId="14794" xr:uid="{77DB08EF-FCD4-4EAB-9CB9-DFDE27896185}"/>
    <cellStyle name="Normal 2 2 2 17 15" xfId="14795" xr:uid="{178C41C2-2BB4-4C58-9861-40851032F77E}"/>
    <cellStyle name="Normal 2 2 2 17 16" xfId="14796" xr:uid="{76457355-3986-4C81-AE8F-EA46A6CB43BD}"/>
    <cellStyle name="Normal 2 2 2 17 17" xfId="14797" xr:uid="{38BE86AC-CAF3-4330-8325-6DCC8F29E963}"/>
    <cellStyle name="Normal 2 2 2 17 18" xfId="14798" xr:uid="{43E3A415-4E85-4160-9BE1-8A7635DB385C}"/>
    <cellStyle name="Normal 2 2 2 17 19" xfId="14799" xr:uid="{BAF51B2B-D55C-40A9-9553-99F108959C73}"/>
    <cellStyle name="Normal 2 2 2 17 2" xfId="14800" xr:uid="{1F0A0522-B40B-4551-8B07-4C9C27C20C64}"/>
    <cellStyle name="Normal 2 2 2 17 2 10" xfId="14801" xr:uid="{47E160E9-08B2-43F3-8090-56659D4951A5}"/>
    <cellStyle name="Normal 2 2 2 17 2 11" xfId="14802" xr:uid="{16E074BD-A73D-4CB2-8886-2D8112E51C57}"/>
    <cellStyle name="Normal 2 2 2 17 2 12" xfId="14803" xr:uid="{54DE8F3F-39EA-4A5F-A2C2-033DADAF5022}"/>
    <cellStyle name="Normal 2 2 2 17 2 13" xfId="14804" xr:uid="{681F73CA-1CF5-4F66-B68E-20FB7B7995A0}"/>
    <cellStyle name="Normal 2 2 2 17 2 2" xfId="14805" xr:uid="{8364E7A5-086B-4507-ADE7-2C2FF23D049E}"/>
    <cellStyle name="Normal 2 2 2 17 2 2 2" xfId="14806" xr:uid="{227B018D-876D-4B0D-B832-5AB47D6BE6EA}"/>
    <cellStyle name="Normal 2 2 2 17 2 2 3" xfId="14807" xr:uid="{1223F9F5-B44B-497B-ACAE-D1C7D2F4C574}"/>
    <cellStyle name="Normal 2 2 2 17 2 2 4" xfId="14808" xr:uid="{1115F3EA-9FA7-45A4-A26A-82011859DD4E}"/>
    <cellStyle name="Normal 2 2 2 17 2 2 5" xfId="14809" xr:uid="{EEF6A7F3-C6CF-4BAD-83FA-C01F8EC346A3}"/>
    <cellStyle name="Normal 2 2 2 17 2 2 6" xfId="14810" xr:uid="{E9E73C4E-B71D-4BE6-968B-D5E0475EC49D}"/>
    <cellStyle name="Normal 2 2 2 17 2 3" xfId="14811" xr:uid="{6C21A4AE-D73D-427D-BD9E-1B3314721869}"/>
    <cellStyle name="Normal 2 2 2 17 2 3 2" xfId="14812" xr:uid="{45A0AC25-1420-4049-A08B-91505B7DB3AE}"/>
    <cellStyle name="Normal 2 2 2 17 2 3 3" xfId="14813" xr:uid="{BF862805-2EDF-4BB3-B197-4E8B05D4A52B}"/>
    <cellStyle name="Normal 2 2 2 17 2 3 4" xfId="14814" xr:uid="{85FE19E3-7D9D-4B21-8609-E60FBD721BDD}"/>
    <cellStyle name="Normal 2 2 2 17 2 3 5" xfId="14815" xr:uid="{E2922012-84C9-4C81-BDC5-24B73809ABFF}"/>
    <cellStyle name="Normal 2 2 2 17 2 3 6" xfId="14816" xr:uid="{70DACCE2-ED00-4E93-9568-3F05E1B999AF}"/>
    <cellStyle name="Normal 2 2 2 17 2 4" xfId="14817" xr:uid="{885F7204-1D25-4CB6-8FD5-70563988872A}"/>
    <cellStyle name="Normal 2 2 2 17 2 4 2" xfId="14818" xr:uid="{C86055D3-AC7E-4FF4-BCAC-DCC89EB742E2}"/>
    <cellStyle name="Normal 2 2 2 17 2 4 3" xfId="14819" xr:uid="{0B58416E-DA3F-4A4D-9E57-51BB7F7E3719}"/>
    <cellStyle name="Normal 2 2 2 17 2 4 4" xfId="14820" xr:uid="{812F1F77-EC87-453E-88E4-2DA78AD0A265}"/>
    <cellStyle name="Normal 2 2 2 17 2 4 5" xfId="14821" xr:uid="{D3F15BA9-7C25-4636-9EFC-B644966D3E1D}"/>
    <cellStyle name="Normal 2 2 2 17 2 4 6" xfId="14822" xr:uid="{00245E21-51B6-4AF9-A20C-0467EBFE63F1}"/>
    <cellStyle name="Normal 2 2 2 17 2 5" xfId="14823" xr:uid="{AA204B12-8C90-47E0-806B-298B2243348D}"/>
    <cellStyle name="Normal 2 2 2 17 2 5 2" xfId="14824" xr:uid="{C506A327-0DED-44BF-8186-6EB28C43AA92}"/>
    <cellStyle name="Normal 2 2 2 17 2 5 3" xfId="14825" xr:uid="{F67E8888-4935-4EB7-8BF6-38851A702849}"/>
    <cellStyle name="Normal 2 2 2 17 2 5 4" xfId="14826" xr:uid="{5E4EB08F-344F-4C4E-AC1D-34019DBF6FCF}"/>
    <cellStyle name="Normal 2 2 2 17 2 5 5" xfId="14827" xr:uid="{3D321A11-461A-44E2-8B43-3A3C6A4A4D11}"/>
    <cellStyle name="Normal 2 2 2 17 2 5 6" xfId="14828" xr:uid="{8C6988F2-63E5-4220-A8D1-B7834BA83007}"/>
    <cellStyle name="Normal 2 2 2 17 2 6" xfId="14829" xr:uid="{66D4DFFB-EC3D-4DDE-A85C-890F79759995}"/>
    <cellStyle name="Normal 2 2 2 17 2 6 2" xfId="14830" xr:uid="{F7C55FBD-E25A-4A13-B6F8-A2DDE811B975}"/>
    <cellStyle name="Normal 2 2 2 17 2 6 3" xfId="14831" xr:uid="{89DBE90C-2ECD-4607-B059-F63E577DE175}"/>
    <cellStyle name="Normal 2 2 2 17 2 6 4" xfId="14832" xr:uid="{391E52E0-E58F-49D2-AA62-CAC1E0C9286C}"/>
    <cellStyle name="Normal 2 2 2 17 2 6 5" xfId="14833" xr:uid="{9E93E1B3-E954-479A-B642-0FDF5171D7F0}"/>
    <cellStyle name="Normal 2 2 2 17 2 6 6" xfId="14834" xr:uid="{F8206CCF-4BF8-418B-85AB-772EABA5C687}"/>
    <cellStyle name="Normal 2 2 2 17 2 7" xfId="14835" xr:uid="{C577E97F-993F-49C5-A91A-8B0F226FA887}"/>
    <cellStyle name="Normal 2 2 2 17 2 7 2" xfId="14836" xr:uid="{6DB231E4-B1B6-4161-8B37-85FCB0BCF6BC}"/>
    <cellStyle name="Normal 2 2 2 17 2 7 3" xfId="14837" xr:uid="{5CC8A4BD-93C1-4566-8AFE-25AF811B39AD}"/>
    <cellStyle name="Normal 2 2 2 17 2 7 4" xfId="14838" xr:uid="{6CD4D4C7-C947-49E8-A6A6-9195575625F5}"/>
    <cellStyle name="Normal 2 2 2 17 2 7 5" xfId="14839" xr:uid="{659E06F7-51C3-40B7-A044-9DF224D350D3}"/>
    <cellStyle name="Normal 2 2 2 17 2 7 6" xfId="14840" xr:uid="{62653298-CD1B-4410-8AA7-02EAF0F33062}"/>
    <cellStyle name="Normal 2 2 2 17 2 8" xfId="14841" xr:uid="{84067F37-AE91-4D68-AB73-75CBE92C6774}"/>
    <cellStyle name="Normal 2 2 2 17 2 8 2" xfId="14842" xr:uid="{D4BAFB22-8B84-4CD7-816A-21B1C9F073A3}"/>
    <cellStyle name="Normal 2 2 2 17 2 8 3" xfId="14843" xr:uid="{E8C6512C-308A-43FD-B68D-746C9D2DFA39}"/>
    <cellStyle name="Normal 2 2 2 17 2 8 4" xfId="14844" xr:uid="{83FD4165-ECAA-4DAA-BE7E-601685359FBC}"/>
    <cellStyle name="Normal 2 2 2 17 2 8 5" xfId="14845" xr:uid="{BEF39334-8823-421F-82AC-0C1CD0742DC1}"/>
    <cellStyle name="Normal 2 2 2 17 2 8 6" xfId="14846" xr:uid="{83998236-C144-4049-9541-FA6E6C644B20}"/>
    <cellStyle name="Normal 2 2 2 17 2 9" xfId="14847" xr:uid="{E376FF15-8ED6-46BF-AF49-371273621025}"/>
    <cellStyle name="Normal 2 2 2 17 20" xfId="14848" xr:uid="{15E67FDB-BDAF-4478-A96C-E9B66A60267C}"/>
    <cellStyle name="Normal 2 2 2 17 21" xfId="14849" xr:uid="{81F6B74B-1F65-43BE-BD3B-6B1BCE0DC09E}"/>
    <cellStyle name="Normal 2 2 2 17 22" xfId="14850" xr:uid="{0F47F74A-8D8D-49D3-B112-72BF6F68E471}"/>
    <cellStyle name="Normal 2 2 2 17 23" xfId="14851" xr:uid="{279F8604-9778-4CEF-B268-F9B9A76D14F2}"/>
    <cellStyle name="Normal 2 2 2 17 24" xfId="14852" xr:uid="{F1871174-3D21-4C2D-9AF4-5A201F10DC4B}"/>
    <cellStyle name="Normal 2 2 2 17 25" xfId="14853" xr:uid="{A29E2140-861B-41B3-81D3-D6CF91D5CB58}"/>
    <cellStyle name="Normal 2 2 2 17 26" xfId="14854" xr:uid="{12D06131-7791-4DF3-AFE0-4103C7B463C1}"/>
    <cellStyle name="Normal 2 2 2 17 27" xfId="14855" xr:uid="{C87D3D91-A476-4C13-9E8B-3137561A84F6}"/>
    <cellStyle name="Normal 2 2 2 17 28" xfId="14856" xr:uid="{804189B2-AF03-492E-8DCA-A715E32AC24E}"/>
    <cellStyle name="Normal 2 2 2 17 29" xfId="14857" xr:uid="{06480EC9-4524-4F6C-A3C2-A6A0C8555FF3}"/>
    <cellStyle name="Normal 2 2 2 17 3" xfId="14858" xr:uid="{80BCB75B-7436-4059-8F05-720E5872F563}"/>
    <cellStyle name="Normal 2 2 2 17 3 10" xfId="14859" xr:uid="{9E27C9EE-35AA-43D2-9228-B57CD85075EC}"/>
    <cellStyle name="Normal 2 2 2 17 3 11" xfId="14860" xr:uid="{AC67C6A9-4408-4365-8237-2880EEA6F927}"/>
    <cellStyle name="Normal 2 2 2 17 3 12" xfId="14861" xr:uid="{6DEAEDBB-5E40-4FDF-8E9F-488FF16F6193}"/>
    <cellStyle name="Normal 2 2 2 17 3 13" xfId="14862" xr:uid="{840142E3-7AAD-4AF5-9C91-FD52A943476D}"/>
    <cellStyle name="Normal 2 2 2 17 3 2" xfId="14863" xr:uid="{5AC2E8D3-E8E7-4247-B107-13B9CF86FAC0}"/>
    <cellStyle name="Normal 2 2 2 17 3 2 2" xfId="14864" xr:uid="{D04EDE71-7857-45D8-8538-12F63497F921}"/>
    <cellStyle name="Normal 2 2 2 17 3 2 3" xfId="14865" xr:uid="{C70E35FA-69AB-4867-B8B6-02928AD691D5}"/>
    <cellStyle name="Normal 2 2 2 17 3 2 4" xfId="14866" xr:uid="{176882A7-51BB-4E44-BF6C-76CA068898EA}"/>
    <cellStyle name="Normal 2 2 2 17 3 2 5" xfId="14867" xr:uid="{CA5AC56B-5F6C-4BCF-8682-F167066513EF}"/>
    <cellStyle name="Normal 2 2 2 17 3 2 6" xfId="14868" xr:uid="{6C8D5F0E-01B5-4FE9-9E7A-04D166B38FEA}"/>
    <cellStyle name="Normal 2 2 2 17 3 3" xfId="14869" xr:uid="{FE26709A-B992-4EF3-934D-95F3B906FEEF}"/>
    <cellStyle name="Normal 2 2 2 17 3 3 2" xfId="14870" xr:uid="{0AC0B104-174F-46A9-9D75-2CA431663374}"/>
    <cellStyle name="Normal 2 2 2 17 3 3 3" xfId="14871" xr:uid="{AD387B0B-A546-43D5-B67E-223AF1E77CD3}"/>
    <cellStyle name="Normal 2 2 2 17 3 3 4" xfId="14872" xr:uid="{07D1F16D-ADB3-4A58-9BC5-C430F2B3B394}"/>
    <cellStyle name="Normal 2 2 2 17 3 3 5" xfId="14873" xr:uid="{C82B432B-0589-454F-B39E-4889333220A7}"/>
    <cellStyle name="Normal 2 2 2 17 3 3 6" xfId="14874" xr:uid="{6DA2657F-E3A2-4D16-AB9C-E6888EB70D19}"/>
    <cellStyle name="Normal 2 2 2 17 3 4" xfId="14875" xr:uid="{BFB519B5-A26F-427F-8E41-A6083A47AFFA}"/>
    <cellStyle name="Normal 2 2 2 17 3 4 2" xfId="14876" xr:uid="{379098D0-193B-4CD1-9FD7-13D80D56EE28}"/>
    <cellStyle name="Normal 2 2 2 17 3 4 3" xfId="14877" xr:uid="{FCC545E9-98DC-4A85-8E0B-C9E683202E0C}"/>
    <cellStyle name="Normal 2 2 2 17 3 4 4" xfId="14878" xr:uid="{33531DFB-FB04-4E93-A0BF-46A2E77443DB}"/>
    <cellStyle name="Normal 2 2 2 17 3 4 5" xfId="14879" xr:uid="{9DB8D755-4A77-46EB-83F9-C39F191298CC}"/>
    <cellStyle name="Normal 2 2 2 17 3 4 6" xfId="14880" xr:uid="{F344FBC4-5E69-4E44-A5A5-663312661A98}"/>
    <cellStyle name="Normal 2 2 2 17 3 5" xfId="14881" xr:uid="{E3569EC9-5C8F-4962-A68C-750C4B00B208}"/>
    <cellStyle name="Normal 2 2 2 17 3 5 2" xfId="14882" xr:uid="{6E0EF5C5-19F1-4178-8C45-587F397A8795}"/>
    <cellStyle name="Normal 2 2 2 17 3 5 3" xfId="14883" xr:uid="{96665DBF-DBA6-496E-A079-B28AE10633B4}"/>
    <cellStyle name="Normal 2 2 2 17 3 5 4" xfId="14884" xr:uid="{A3609808-DAB9-4CBD-84C1-FEE33AF0CE64}"/>
    <cellStyle name="Normal 2 2 2 17 3 5 5" xfId="14885" xr:uid="{52D72F0D-BEA5-4549-95C4-97ED1F88DE2F}"/>
    <cellStyle name="Normal 2 2 2 17 3 5 6" xfId="14886" xr:uid="{87D0A278-9910-4135-8736-66E42E379F6F}"/>
    <cellStyle name="Normal 2 2 2 17 3 6" xfId="14887" xr:uid="{74D86408-F589-4F72-9F8B-8399A8D3E75B}"/>
    <cellStyle name="Normal 2 2 2 17 3 6 2" xfId="14888" xr:uid="{820E4DE9-EBA9-4A10-8C2A-C2042C67C9C6}"/>
    <cellStyle name="Normal 2 2 2 17 3 6 3" xfId="14889" xr:uid="{00983AE6-2C85-4A68-B693-A59834ABCCFD}"/>
    <cellStyle name="Normal 2 2 2 17 3 6 4" xfId="14890" xr:uid="{D50D74BF-D218-4A72-AAB0-62BFC59B3A0F}"/>
    <cellStyle name="Normal 2 2 2 17 3 6 5" xfId="14891" xr:uid="{F90A8DD5-9F6F-433B-8D84-59F99EF2F7E8}"/>
    <cellStyle name="Normal 2 2 2 17 3 6 6" xfId="14892" xr:uid="{AD5BBA3B-4CC5-459D-B19D-F17278752B69}"/>
    <cellStyle name="Normal 2 2 2 17 3 7" xfId="14893" xr:uid="{B5A590D4-0C6E-472D-B5B3-DDE41CD6A0FA}"/>
    <cellStyle name="Normal 2 2 2 17 3 7 2" xfId="14894" xr:uid="{F9EF0CE3-050E-48E8-AB98-50E08DCEF353}"/>
    <cellStyle name="Normal 2 2 2 17 3 7 3" xfId="14895" xr:uid="{20F82A60-05BE-40BB-9348-FF81DDE93F58}"/>
    <cellStyle name="Normal 2 2 2 17 3 7 4" xfId="14896" xr:uid="{4BC063AC-9B61-4CB0-85BA-7C4723EE7E19}"/>
    <cellStyle name="Normal 2 2 2 17 3 7 5" xfId="14897" xr:uid="{7DAB9F1C-E106-483F-8EE2-C49F94CEADBC}"/>
    <cellStyle name="Normal 2 2 2 17 3 7 6" xfId="14898" xr:uid="{11053D5F-3DCB-46A6-BE6C-CF4FF8045AE2}"/>
    <cellStyle name="Normal 2 2 2 17 3 8" xfId="14899" xr:uid="{F42DC581-7E80-4396-B87C-AB0BE4B43ADA}"/>
    <cellStyle name="Normal 2 2 2 17 3 8 2" xfId="14900" xr:uid="{B21EC0F2-2C07-40E4-AE60-19ADAABE4F22}"/>
    <cellStyle name="Normal 2 2 2 17 3 8 3" xfId="14901" xr:uid="{F500F7C1-4FDF-4C1F-96E3-E564C18B3D73}"/>
    <cellStyle name="Normal 2 2 2 17 3 8 4" xfId="14902" xr:uid="{65A2BCA3-4720-4734-A37A-A7179EC3D1E5}"/>
    <cellStyle name="Normal 2 2 2 17 3 8 5" xfId="14903" xr:uid="{80EE42EB-2591-46F5-8986-4084F48E1A7D}"/>
    <cellStyle name="Normal 2 2 2 17 3 8 6" xfId="14904" xr:uid="{2EC80354-A066-499F-98F7-D3F457F9CD96}"/>
    <cellStyle name="Normal 2 2 2 17 3 9" xfId="14905" xr:uid="{63EF624D-C7DF-460B-BC15-0CBF0A83F68A}"/>
    <cellStyle name="Normal 2 2 2 17 30" xfId="14906" xr:uid="{61468970-9B36-4668-A4F0-347F5E1908C1}"/>
    <cellStyle name="Normal 2 2 2 17 31" xfId="14907" xr:uid="{F7A4FB3E-9774-4BF5-981A-3D143B864F29}"/>
    <cellStyle name="Normal 2 2 2 17 32" xfId="14908" xr:uid="{1C97D956-8728-4C34-9D18-9E843FB9F521}"/>
    <cellStyle name="Normal 2 2 2 17 33" xfId="14909" xr:uid="{2A2FF082-AC7D-4F66-BAEF-A7DEC1B7D0A4}"/>
    <cellStyle name="Normal 2 2 2 17 34" xfId="14910" xr:uid="{1609A7FF-73F9-4D94-BD42-6D8F2E494B26}"/>
    <cellStyle name="Normal 2 2 2 17 35" xfId="14911" xr:uid="{B9F2582A-F5F8-468B-8230-E7A8D896EDC5}"/>
    <cellStyle name="Normal 2 2 2 17 36" xfId="14912" xr:uid="{83DC02AC-8EC3-473F-833E-C037E40E7B45}"/>
    <cellStyle name="Normal 2 2 2 17 37" xfId="14913" xr:uid="{4633DBCB-6847-4DBC-A00C-8FF86A6C27CA}"/>
    <cellStyle name="Normal 2 2 2 17 38" xfId="14914" xr:uid="{82A3809B-6898-43E0-A801-8779FE018E5C}"/>
    <cellStyle name="Normal 2 2 2 17 39" xfId="14915" xr:uid="{1FC447D8-BCD0-4315-A762-14BA414E30DA}"/>
    <cellStyle name="Normal 2 2 2 17 4" xfId="14916" xr:uid="{DBD4292E-E4CA-4C08-90A0-6A2E04D5E6EE}"/>
    <cellStyle name="Normal 2 2 2 17 4 10" xfId="14917" xr:uid="{F7291FC1-BBAA-4749-A17E-E2C93BA044DD}"/>
    <cellStyle name="Normal 2 2 2 17 4 11" xfId="14918" xr:uid="{880B4D73-E2BF-44FA-B76D-AB0D4DF377A5}"/>
    <cellStyle name="Normal 2 2 2 17 4 12" xfId="14919" xr:uid="{A6E09791-85F5-4EDA-9A19-A81CA96927CA}"/>
    <cellStyle name="Normal 2 2 2 17 4 13" xfId="14920" xr:uid="{BED56F5B-A7DA-4ED5-832C-9E3E5C467A5A}"/>
    <cellStyle name="Normal 2 2 2 17 4 2" xfId="14921" xr:uid="{D56B2C5D-0160-4B89-9C63-615400DB782C}"/>
    <cellStyle name="Normal 2 2 2 17 4 2 2" xfId="14922" xr:uid="{6B258731-ED1F-4A40-8E5E-8A5524E2F5B0}"/>
    <cellStyle name="Normal 2 2 2 17 4 2 3" xfId="14923" xr:uid="{BB68962E-47F3-4A21-AAAC-95B9105FD4C7}"/>
    <cellStyle name="Normal 2 2 2 17 4 2 4" xfId="14924" xr:uid="{14526BCB-7AAE-4CC6-841C-1BFCDEA2D6FD}"/>
    <cellStyle name="Normal 2 2 2 17 4 2 5" xfId="14925" xr:uid="{20FF1BBD-B50E-4A83-8240-35DBD32EB5F3}"/>
    <cellStyle name="Normal 2 2 2 17 4 2 6" xfId="14926" xr:uid="{AA58B7CB-D1FA-472B-BDAF-DBB4A27DD1EE}"/>
    <cellStyle name="Normal 2 2 2 17 4 3" xfId="14927" xr:uid="{4DD0540F-186C-4225-901C-8585CB8B316B}"/>
    <cellStyle name="Normal 2 2 2 17 4 3 2" xfId="14928" xr:uid="{6909AFBC-5009-407F-8733-68FDFF1B72A3}"/>
    <cellStyle name="Normal 2 2 2 17 4 3 3" xfId="14929" xr:uid="{7BC0EF46-15DF-4041-B633-24AC1D6709CF}"/>
    <cellStyle name="Normal 2 2 2 17 4 3 4" xfId="14930" xr:uid="{27C86509-A993-4772-9E16-5CC1E49A1FD8}"/>
    <cellStyle name="Normal 2 2 2 17 4 3 5" xfId="14931" xr:uid="{AE6B9996-7A35-4C66-A995-35D5DC4B6E65}"/>
    <cellStyle name="Normal 2 2 2 17 4 3 6" xfId="14932" xr:uid="{9AA92369-4100-4B08-BDAE-FF45D1A84F8C}"/>
    <cellStyle name="Normal 2 2 2 17 4 4" xfId="14933" xr:uid="{705251F4-57F3-4504-89DC-6A73AF2FE7DE}"/>
    <cellStyle name="Normal 2 2 2 17 4 4 2" xfId="14934" xr:uid="{F09D8A7C-6334-4BBB-951D-80915EB5C5EA}"/>
    <cellStyle name="Normal 2 2 2 17 4 4 3" xfId="14935" xr:uid="{2DE34B17-64E1-4392-BC67-82952D9270D0}"/>
    <cellStyle name="Normal 2 2 2 17 4 4 4" xfId="14936" xr:uid="{F47A7B68-D241-4CC3-9FD1-2F576B79B40F}"/>
    <cellStyle name="Normal 2 2 2 17 4 4 5" xfId="14937" xr:uid="{FFE96900-B367-4B9A-B96E-B6C551FA9C6A}"/>
    <cellStyle name="Normal 2 2 2 17 4 4 6" xfId="14938" xr:uid="{AFD135CF-E50E-46CA-998A-E6AA521DD1D1}"/>
    <cellStyle name="Normal 2 2 2 17 4 5" xfId="14939" xr:uid="{DC732843-FD1A-4809-BA44-44006B555392}"/>
    <cellStyle name="Normal 2 2 2 17 4 5 2" xfId="14940" xr:uid="{19835438-E6E9-4946-B66E-EC1F49F70AD9}"/>
    <cellStyle name="Normal 2 2 2 17 4 5 3" xfId="14941" xr:uid="{D64C8E21-1B2C-4A86-A1EA-929060BF568A}"/>
    <cellStyle name="Normal 2 2 2 17 4 5 4" xfId="14942" xr:uid="{B5089B77-2BB9-4BF5-9E6F-59136BEB22AD}"/>
    <cellStyle name="Normal 2 2 2 17 4 5 5" xfId="14943" xr:uid="{13B50329-3F73-41CD-B779-AAAC87521C9D}"/>
    <cellStyle name="Normal 2 2 2 17 4 5 6" xfId="14944" xr:uid="{369AE063-4AFA-4237-B8E4-E2B5DF1128F8}"/>
    <cellStyle name="Normal 2 2 2 17 4 6" xfId="14945" xr:uid="{0C8A484D-81BE-47A5-9DE5-6223213F17CF}"/>
    <cellStyle name="Normal 2 2 2 17 4 6 2" xfId="14946" xr:uid="{35EB9FD0-E575-4A31-852F-EDD6D7197E79}"/>
    <cellStyle name="Normal 2 2 2 17 4 6 3" xfId="14947" xr:uid="{CD2185BC-7F76-4056-8D0E-7A1119FBDCC9}"/>
    <cellStyle name="Normal 2 2 2 17 4 6 4" xfId="14948" xr:uid="{4CBD59B7-1186-4A2B-86CC-ED2D290E343D}"/>
    <cellStyle name="Normal 2 2 2 17 4 6 5" xfId="14949" xr:uid="{7AF651CD-D586-4C61-B7A0-2C82849F75E9}"/>
    <cellStyle name="Normal 2 2 2 17 4 6 6" xfId="14950" xr:uid="{842EBF49-9E49-4D18-BEE2-89477BDF094C}"/>
    <cellStyle name="Normal 2 2 2 17 4 7" xfId="14951" xr:uid="{3AE7FA0B-E60E-4692-BCC5-64C427AC2612}"/>
    <cellStyle name="Normal 2 2 2 17 4 7 2" xfId="14952" xr:uid="{A1D2BF4A-ED43-46C4-8045-1F6CD0CF2FC2}"/>
    <cellStyle name="Normal 2 2 2 17 4 7 3" xfId="14953" xr:uid="{B4F5E06B-9636-41B7-BB7F-0A6E101D279E}"/>
    <cellStyle name="Normal 2 2 2 17 4 7 4" xfId="14954" xr:uid="{7982D99B-9523-4F13-8485-2D5B8F11FAED}"/>
    <cellStyle name="Normal 2 2 2 17 4 7 5" xfId="14955" xr:uid="{B9DB87C7-CAC6-4BF7-A671-7E4104925F96}"/>
    <cellStyle name="Normal 2 2 2 17 4 7 6" xfId="14956" xr:uid="{7D788028-E1D2-452F-8940-176514E64DAC}"/>
    <cellStyle name="Normal 2 2 2 17 4 8" xfId="14957" xr:uid="{1DE125A3-F6A1-4AA7-B090-E4E639962B10}"/>
    <cellStyle name="Normal 2 2 2 17 4 8 2" xfId="14958" xr:uid="{39182F6B-CF09-45D6-842D-C8D623867AC8}"/>
    <cellStyle name="Normal 2 2 2 17 4 8 3" xfId="14959" xr:uid="{500D7F7A-CD2B-4DD6-8FA3-83DAFCE966AC}"/>
    <cellStyle name="Normal 2 2 2 17 4 8 4" xfId="14960" xr:uid="{8571F404-05E5-46C0-B2A5-98D9B2584DF4}"/>
    <cellStyle name="Normal 2 2 2 17 4 8 5" xfId="14961" xr:uid="{2962A28B-43A1-406B-9306-878352F4DA64}"/>
    <cellStyle name="Normal 2 2 2 17 4 8 6" xfId="14962" xr:uid="{C8409DC6-4C5C-4AA7-AE0D-F62E19A5FA1E}"/>
    <cellStyle name="Normal 2 2 2 17 4 9" xfId="14963" xr:uid="{4A567C69-2C2E-43CF-8A2F-5AD9572F681F}"/>
    <cellStyle name="Normal 2 2 2 17 40" xfId="14964" xr:uid="{A3722EC9-05DD-4165-A877-1462370F8869}"/>
    <cellStyle name="Normal 2 2 2 17 41" xfId="14965" xr:uid="{189321D0-2BCF-41EF-9247-ECF1B37E63FD}"/>
    <cellStyle name="Normal 2 2 2 17 42" xfId="14966" xr:uid="{C16FE25C-0228-429B-9335-9BE7032278DB}"/>
    <cellStyle name="Normal 2 2 2 17 43" xfId="14967" xr:uid="{886AEF95-5C23-40D2-A3D7-072825C7C73C}"/>
    <cellStyle name="Normal 2 2 2 17 44" xfId="14968" xr:uid="{8A971E6C-ADD1-4A27-8798-12D4BC94E90D}"/>
    <cellStyle name="Normal 2 2 2 17 45" xfId="14969" xr:uid="{E05C1FF3-323A-4649-9C92-077D44343969}"/>
    <cellStyle name="Normal 2 2 2 17 46" xfId="14970" xr:uid="{429A7C91-1ADB-47EA-A46B-145A63800D90}"/>
    <cellStyle name="Normal 2 2 2 17 47" xfId="14971" xr:uid="{4B1C2BC2-6FAF-46A0-ACE4-B79C76C9CC95}"/>
    <cellStyle name="Normal 2 2 2 17 48" xfId="14972" xr:uid="{9CC86457-08AF-4C95-9552-01E5746E8E01}"/>
    <cellStyle name="Normal 2 2 2 17 5" xfId="14973" xr:uid="{5E4E7811-7BA3-4205-AABB-1091AE6CB3A9}"/>
    <cellStyle name="Normal 2 2 2 17 5 10" xfId="14974" xr:uid="{F5D6E227-7DBE-460D-905A-86EDCCAB66F6}"/>
    <cellStyle name="Normal 2 2 2 17 5 11" xfId="14975" xr:uid="{3BC670F8-F0AA-4AEA-B8B7-AD701B2CBD48}"/>
    <cellStyle name="Normal 2 2 2 17 5 12" xfId="14976" xr:uid="{464F1565-AD96-4DB8-ADE2-80CAB2B57969}"/>
    <cellStyle name="Normal 2 2 2 17 5 13" xfId="14977" xr:uid="{A20F8BC8-6F47-43D8-B1A6-7D0B9DDF9D44}"/>
    <cellStyle name="Normal 2 2 2 17 5 2" xfId="14978" xr:uid="{DD240942-CE11-45CA-B765-327880770EAA}"/>
    <cellStyle name="Normal 2 2 2 17 5 2 2" xfId="14979" xr:uid="{C33E6723-C561-4374-9930-547B04FD0156}"/>
    <cellStyle name="Normal 2 2 2 17 5 2 3" xfId="14980" xr:uid="{B391D051-90C2-4B31-8226-909756F1D468}"/>
    <cellStyle name="Normal 2 2 2 17 5 2 4" xfId="14981" xr:uid="{2C2F0632-0257-4817-B676-E8322BC22B68}"/>
    <cellStyle name="Normal 2 2 2 17 5 2 5" xfId="14982" xr:uid="{6CCB1EFC-C965-4108-AC32-8E1508155032}"/>
    <cellStyle name="Normal 2 2 2 17 5 2 6" xfId="14983" xr:uid="{551F56B2-EA7A-4DE8-96A5-E5B81CD9326A}"/>
    <cellStyle name="Normal 2 2 2 17 5 3" xfId="14984" xr:uid="{44BB9B97-4592-4ACC-8C25-585F76D3216E}"/>
    <cellStyle name="Normal 2 2 2 17 5 3 2" xfId="14985" xr:uid="{BF448BA5-615D-4688-B250-E127C494D1D2}"/>
    <cellStyle name="Normal 2 2 2 17 5 3 3" xfId="14986" xr:uid="{66030EEE-FDC2-4E90-BFCE-92553B880991}"/>
    <cellStyle name="Normal 2 2 2 17 5 3 4" xfId="14987" xr:uid="{41DE7FE3-3078-43C7-82CD-8A1990104606}"/>
    <cellStyle name="Normal 2 2 2 17 5 3 5" xfId="14988" xr:uid="{F305ADE6-83A3-4531-A525-35242FE41B07}"/>
    <cellStyle name="Normal 2 2 2 17 5 3 6" xfId="14989" xr:uid="{43100995-6A3D-4A82-B21D-AA984604391D}"/>
    <cellStyle name="Normal 2 2 2 17 5 4" xfId="14990" xr:uid="{BDFD5EE5-91A2-4AFD-9A83-DBDEB17DD371}"/>
    <cellStyle name="Normal 2 2 2 17 5 4 2" xfId="14991" xr:uid="{AF2D5C23-B931-40D1-8619-E4D4627B47D2}"/>
    <cellStyle name="Normal 2 2 2 17 5 4 3" xfId="14992" xr:uid="{08348242-18B2-4FC5-B3B0-CD31967A44B6}"/>
    <cellStyle name="Normal 2 2 2 17 5 4 4" xfId="14993" xr:uid="{542BB3B8-43FC-4BD6-A56D-2A530C6ECBD9}"/>
    <cellStyle name="Normal 2 2 2 17 5 4 5" xfId="14994" xr:uid="{C8907B7F-E990-4E1C-9787-FBB9E8923385}"/>
    <cellStyle name="Normal 2 2 2 17 5 4 6" xfId="14995" xr:uid="{3FEE15D9-76D7-4549-8EA4-5BBC03CD218D}"/>
    <cellStyle name="Normal 2 2 2 17 5 5" xfId="14996" xr:uid="{E659660F-BCC4-4CDF-8FC3-A4265D3C701E}"/>
    <cellStyle name="Normal 2 2 2 17 5 5 2" xfId="14997" xr:uid="{1A83CB24-332B-42F3-AE3D-1D3599D7F064}"/>
    <cellStyle name="Normal 2 2 2 17 5 5 3" xfId="14998" xr:uid="{230FD287-026E-41D3-91CD-91519CD88340}"/>
    <cellStyle name="Normal 2 2 2 17 5 5 4" xfId="14999" xr:uid="{06580AE7-A66D-48F7-9A47-569A598CB4D2}"/>
    <cellStyle name="Normal 2 2 2 17 5 5 5" xfId="15000" xr:uid="{416CE193-7013-4DA6-A00B-A0F8683CC526}"/>
    <cellStyle name="Normal 2 2 2 17 5 5 6" xfId="15001" xr:uid="{13ECEF3F-5E56-4ACF-B565-52665B77262C}"/>
    <cellStyle name="Normal 2 2 2 17 5 6" xfId="15002" xr:uid="{92A6316A-B3A2-4735-86B1-C0B3FBC7C92A}"/>
    <cellStyle name="Normal 2 2 2 17 5 6 2" xfId="15003" xr:uid="{90EA0F0D-7FBB-4876-BEC4-87AB9315C094}"/>
    <cellStyle name="Normal 2 2 2 17 5 6 3" xfId="15004" xr:uid="{12EA3DFA-4384-4198-BF32-874EDEF39931}"/>
    <cellStyle name="Normal 2 2 2 17 5 6 4" xfId="15005" xr:uid="{E5BEBB1A-348C-4BD1-8F2B-2397916FE178}"/>
    <cellStyle name="Normal 2 2 2 17 5 6 5" xfId="15006" xr:uid="{D500D986-4CB3-46C6-A139-4AA3B1DE6BA6}"/>
    <cellStyle name="Normal 2 2 2 17 5 6 6" xfId="15007" xr:uid="{2DF3042A-0C3F-4C46-855E-2DC49096BFE1}"/>
    <cellStyle name="Normal 2 2 2 17 5 7" xfId="15008" xr:uid="{BF76CA28-3225-4E59-B29A-ECE2ED31D086}"/>
    <cellStyle name="Normal 2 2 2 17 5 7 2" xfId="15009" xr:uid="{31378B17-6BA8-460C-86E8-BC114A27DD62}"/>
    <cellStyle name="Normal 2 2 2 17 5 7 3" xfId="15010" xr:uid="{145EB630-A975-40C1-9E57-AEC1A62EF518}"/>
    <cellStyle name="Normal 2 2 2 17 5 7 4" xfId="15011" xr:uid="{512DA33E-1625-450C-B36F-D8CA1701F4EE}"/>
    <cellStyle name="Normal 2 2 2 17 5 7 5" xfId="15012" xr:uid="{E1A416DD-54D1-4E0E-AC61-38D0636D7EB1}"/>
    <cellStyle name="Normal 2 2 2 17 5 7 6" xfId="15013" xr:uid="{A281BE25-76A1-4087-ABD2-EA3124FC187B}"/>
    <cellStyle name="Normal 2 2 2 17 5 8" xfId="15014" xr:uid="{5AF45AB1-ED12-43F4-B184-C65A71FC955F}"/>
    <cellStyle name="Normal 2 2 2 17 5 8 2" xfId="15015" xr:uid="{B0C4694A-C4B7-44E9-8F99-22893C486114}"/>
    <cellStyle name="Normal 2 2 2 17 5 8 3" xfId="15016" xr:uid="{83E3317A-C3A8-4328-9C38-0BABBCA5A56F}"/>
    <cellStyle name="Normal 2 2 2 17 5 8 4" xfId="15017" xr:uid="{FC9FDF73-57DA-4814-92E2-20CF52FEFD0F}"/>
    <cellStyle name="Normal 2 2 2 17 5 8 5" xfId="15018" xr:uid="{060F8ADF-0B83-4A9C-9389-5AA1CC5ED048}"/>
    <cellStyle name="Normal 2 2 2 17 5 8 6" xfId="15019" xr:uid="{E0764B6C-E9D0-4520-BECE-8206FF0BC7E9}"/>
    <cellStyle name="Normal 2 2 2 17 5 9" xfId="15020" xr:uid="{7C661430-E9CF-444C-8837-176CC1EDBA7D}"/>
    <cellStyle name="Normal 2 2 2 17 6" xfId="15021" xr:uid="{8F18BD68-C8F5-447E-944B-07DB200073DD}"/>
    <cellStyle name="Normal 2 2 2 17 6 10" xfId="15022" xr:uid="{1E7CCB34-BE02-42B7-9D3A-2466BA9DEBA3}"/>
    <cellStyle name="Normal 2 2 2 17 6 11" xfId="15023" xr:uid="{0E2A33ED-918E-4ECF-AB95-7B55E1B9B131}"/>
    <cellStyle name="Normal 2 2 2 17 6 12" xfId="15024" xr:uid="{0EA05148-2B59-4A84-88B7-3F378F42FD1B}"/>
    <cellStyle name="Normal 2 2 2 17 6 13" xfId="15025" xr:uid="{68999CF0-9B5C-43B9-AF32-AB50E44F62D5}"/>
    <cellStyle name="Normal 2 2 2 17 6 2" xfId="15026" xr:uid="{7F7A7DB1-78E0-478F-9A04-4E8B56F1FBF9}"/>
    <cellStyle name="Normal 2 2 2 17 6 2 2" xfId="15027" xr:uid="{DD475E73-2D60-432E-8C9F-37AFB574E586}"/>
    <cellStyle name="Normal 2 2 2 17 6 2 3" xfId="15028" xr:uid="{CAC96BD1-CAEA-4CD2-8A6B-2CDABBEB5A68}"/>
    <cellStyle name="Normal 2 2 2 17 6 2 4" xfId="15029" xr:uid="{1496539E-07DE-40C4-AB7D-A4F6E4A84F25}"/>
    <cellStyle name="Normal 2 2 2 17 6 2 5" xfId="15030" xr:uid="{BB55E920-FB3E-46E4-AA61-5AB4B84D4A5E}"/>
    <cellStyle name="Normal 2 2 2 17 6 2 6" xfId="15031" xr:uid="{32D0580C-7BA5-4606-B229-62F9E964058D}"/>
    <cellStyle name="Normal 2 2 2 17 6 3" xfId="15032" xr:uid="{06C1BF3B-51F2-4811-88F8-2A470DED1BC2}"/>
    <cellStyle name="Normal 2 2 2 17 6 3 2" xfId="15033" xr:uid="{E449D8CD-A184-4A56-811E-9FE2F07D7347}"/>
    <cellStyle name="Normal 2 2 2 17 6 3 3" xfId="15034" xr:uid="{14A1922F-052C-468B-870C-3FFC1BF18E5E}"/>
    <cellStyle name="Normal 2 2 2 17 6 3 4" xfId="15035" xr:uid="{3CEAAEEB-EE1C-4E1F-83EF-7135489CBCCC}"/>
    <cellStyle name="Normal 2 2 2 17 6 3 5" xfId="15036" xr:uid="{8597A246-97D0-4D0A-AFEF-5F56F10966CE}"/>
    <cellStyle name="Normal 2 2 2 17 6 3 6" xfId="15037" xr:uid="{4E5405CC-EE7D-48CB-9AAF-2B375E139783}"/>
    <cellStyle name="Normal 2 2 2 17 6 4" xfId="15038" xr:uid="{6816E556-BCD2-42F7-9E67-2DAB0F1C8FE6}"/>
    <cellStyle name="Normal 2 2 2 17 6 4 2" xfId="15039" xr:uid="{2C5B3A9B-1655-4E0B-A060-442AF69FA5EF}"/>
    <cellStyle name="Normal 2 2 2 17 6 4 3" xfId="15040" xr:uid="{C76328BF-953C-49AF-8EF7-B612A557D4F1}"/>
    <cellStyle name="Normal 2 2 2 17 6 4 4" xfId="15041" xr:uid="{4D34550F-12E1-4E91-A912-BA35EE2BF95D}"/>
    <cellStyle name="Normal 2 2 2 17 6 4 5" xfId="15042" xr:uid="{8734BF59-1B9F-4A74-9BA5-1BCDA42305D4}"/>
    <cellStyle name="Normal 2 2 2 17 6 4 6" xfId="15043" xr:uid="{07EFB4D6-B0A0-4A77-A668-78D22FC95B3D}"/>
    <cellStyle name="Normal 2 2 2 17 6 5" xfId="15044" xr:uid="{F152F634-0AB9-40EE-8AE1-7EB11E6B1F51}"/>
    <cellStyle name="Normal 2 2 2 17 6 5 2" xfId="15045" xr:uid="{671ED99C-8622-494C-BB34-B6ABF3257E85}"/>
    <cellStyle name="Normal 2 2 2 17 6 5 3" xfId="15046" xr:uid="{086AAE17-952E-4F3A-A065-AFE6AC60A3AF}"/>
    <cellStyle name="Normal 2 2 2 17 6 5 4" xfId="15047" xr:uid="{FC8D8822-B2AC-4FEC-9706-34CF9BAC3470}"/>
    <cellStyle name="Normal 2 2 2 17 6 5 5" xfId="15048" xr:uid="{E2747840-9726-44E5-A7F8-3FE20BF96AF9}"/>
    <cellStyle name="Normal 2 2 2 17 6 5 6" xfId="15049" xr:uid="{20DD382A-2240-4A7D-B413-43C3764C8E4E}"/>
    <cellStyle name="Normal 2 2 2 17 6 6" xfId="15050" xr:uid="{EC38311C-0B89-4CD0-AD19-F3F0EFE96F87}"/>
    <cellStyle name="Normal 2 2 2 17 6 6 2" xfId="15051" xr:uid="{DFF8BA34-815E-4523-8924-383FE0A5D74D}"/>
    <cellStyle name="Normal 2 2 2 17 6 6 3" xfId="15052" xr:uid="{FA72B97A-27D4-40C4-B9C8-F63489D1442F}"/>
    <cellStyle name="Normal 2 2 2 17 6 6 4" xfId="15053" xr:uid="{786DF8E1-7974-4EE9-B8B1-0FCF2F48237E}"/>
    <cellStyle name="Normal 2 2 2 17 6 6 5" xfId="15054" xr:uid="{8D037353-9D7B-4E44-8F0E-B0D3FA59199D}"/>
    <cellStyle name="Normal 2 2 2 17 6 6 6" xfId="15055" xr:uid="{71D0854D-90DC-4A68-BB0C-62A362F684C0}"/>
    <cellStyle name="Normal 2 2 2 17 6 7" xfId="15056" xr:uid="{A156AEE0-F078-4DB9-895C-63B454020996}"/>
    <cellStyle name="Normal 2 2 2 17 6 7 2" xfId="15057" xr:uid="{659DFBCA-8AD0-4FC2-91F3-A94643BF9007}"/>
    <cellStyle name="Normal 2 2 2 17 6 7 3" xfId="15058" xr:uid="{F406D32C-FAF3-4AA3-8B36-F67228431025}"/>
    <cellStyle name="Normal 2 2 2 17 6 7 4" xfId="15059" xr:uid="{7D729FC9-3C66-4555-9D9E-9E2743DAFD4E}"/>
    <cellStyle name="Normal 2 2 2 17 6 7 5" xfId="15060" xr:uid="{257796EE-388C-4B61-AE5A-9ECB85532BC4}"/>
    <cellStyle name="Normal 2 2 2 17 6 7 6" xfId="15061" xr:uid="{803206D1-3056-4ABC-8A10-59E0DC2183F9}"/>
    <cellStyle name="Normal 2 2 2 17 6 8" xfId="15062" xr:uid="{EB9A725E-9E36-425F-AF79-E0F6A709BDE4}"/>
    <cellStyle name="Normal 2 2 2 17 6 8 2" xfId="15063" xr:uid="{EDE6685F-903C-4DF5-8801-F76993AE6368}"/>
    <cellStyle name="Normal 2 2 2 17 6 8 3" xfId="15064" xr:uid="{CEE52D2B-FD81-4473-BBF6-7B940F926DF9}"/>
    <cellStyle name="Normal 2 2 2 17 6 8 4" xfId="15065" xr:uid="{BA72CB99-6557-434A-9AFA-56946A1C94C4}"/>
    <cellStyle name="Normal 2 2 2 17 6 8 5" xfId="15066" xr:uid="{7B144B44-C8CE-47EE-B7D9-3DCDE1B74069}"/>
    <cellStyle name="Normal 2 2 2 17 6 8 6" xfId="15067" xr:uid="{CC069BAA-3DFE-4E02-A3D6-BAEDBD432893}"/>
    <cellStyle name="Normal 2 2 2 17 6 9" xfId="15068" xr:uid="{BF45312A-B33A-4606-B9BE-A5FF365C2877}"/>
    <cellStyle name="Normal 2 2 2 17 7" xfId="15069" xr:uid="{F0998741-C141-4154-8148-DCA442A35939}"/>
    <cellStyle name="Normal 2 2 2 17 7 10" xfId="15070" xr:uid="{224F4A32-229A-4D16-803F-45F58B36D1CE}"/>
    <cellStyle name="Normal 2 2 2 17 7 11" xfId="15071" xr:uid="{FAC6497E-E416-46CB-B00F-5615B1034B56}"/>
    <cellStyle name="Normal 2 2 2 17 7 12" xfId="15072" xr:uid="{5A12C075-DE10-4685-BC5F-449C629E8156}"/>
    <cellStyle name="Normal 2 2 2 17 7 13" xfId="15073" xr:uid="{0341D6EB-D462-4BFE-875C-2BCBF69AA9C7}"/>
    <cellStyle name="Normal 2 2 2 17 7 2" xfId="15074" xr:uid="{3E53AC7E-E328-4AF3-BEF3-34F8460C2975}"/>
    <cellStyle name="Normal 2 2 2 17 7 2 2" xfId="15075" xr:uid="{48CCA1C7-923B-4944-9BF2-3A4D4ED7FFC0}"/>
    <cellStyle name="Normal 2 2 2 17 7 2 3" xfId="15076" xr:uid="{6E717BD7-0F14-4C6A-B88B-B3A5C8545C65}"/>
    <cellStyle name="Normal 2 2 2 17 7 2 4" xfId="15077" xr:uid="{714238C7-D743-48FE-AD5F-9E4D8C35B308}"/>
    <cellStyle name="Normal 2 2 2 17 7 2 5" xfId="15078" xr:uid="{F915A5C7-9327-4B72-8052-5E0C1B62A5E6}"/>
    <cellStyle name="Normal 2 2 2 17 7 2 6" xfId="15079" xr:uid="{EF7FF528-0DC6-4B99-8116-A9EF19C39E3C}"/>
    <cellStyle name="Normal 2 2 2 17 7 3" xfId="15080" xr:uid="{C50FF791-6015-4B2E-A47D-965255CBE8BD}"/>
    <cellStyle name="Normal 2 2 2 17 7 3 2" xfId="15081" xr:uid="{5F71FF20-1ED1-4B8A-A3E6-986C37BE8DA7}"/>
    <cellStyle name="Normal 2 2 2 17 7 3 3" xfId="15082" xr:uid="{10EC226E-CF39-45A7-9795-2A91BE093C2B}"/>
    <cellStyle name="Normal 2 2 2 17 7 3 4" xfId="15083" xr:uid="{364460FA-2B3B-48C4-A65D-EA6C549E48D5}"/>
    <cellStyle name="Normal 2 2 2 17 7 3 5" xfId="15084" xr:uid="{67AA2108-63A0-4905-9EC5-2930B3AE0724}"/>
    <cellStyle name="Normal 2 2 2 17 7 3 6" xfId="15085" xr:uid="{2AAB0196-9378-4604-8A7A-7D52729636DB}"/>
    <cellStyle name="Normal 2 2 2 17 7 4" xfId="15086" xr:uid="{84A25186-9365-4AE2-9369-C2C24AA65970}"/>
    <cellStyle name="Normal 2 2 2 17 7 4 2" xfId="15087" xr:uid="{169E695D-482A-4C7B-9140-6EDC1BA04F85}"/>
    <cellStyle name="Normal 2 2 2 17 7 4 3" xfId="15088" xr:uid="{0A3C23CC-C4A5-4623-BB61-B28D28A9C5E4}"/>
    <cellStyle name="Normal 2 2 2 17 7 4 4" xfId="15089" xr:uid="{311DA988-C809-483D-ABF5-D0F1E1919D78}"/>
    <cellStyle name="Normal 2 2 2 17 7 4 5" xfId="15090" xr:uid="{B202871B-EF8B-4C94-BA30-3149F842B5EA}"/>
    <cellStyle name="Normal 2 2 2 17 7 4 6" xfId="15091" xr:uid="{D8BD4DB3-6C51-4A01-AD79-43D4CF63ED65}"/>
    <cellStyle name="Normal 2 2 2 17 7 5" xfId="15092" xr:uid="{DCCDC8D7-E9DD-4F4A-940E-E15DFB883E46}"/>
    <cellStyle name="Normal 2 2 2 17 7 5 2" xfId="15093" xr:uid="{51E55F53-8B77-4E92-B0A9-CF3F90EB64FD}"/>
    <cellStyle name="Normal 2 2 2 17 7 5 3" xfId="15094" xr:uid="{726F38CA-4A3A-42A1-A05A-B21BEC59EF53}"/>
    <cellStyle name="Normal 2 2 2 17 7 5 4" xfId="15095" xr:uid="{1EF0CFD3-9557-4323-A6B3-32BFFD26D17D}"/>
    <cellStyle name="Normal 2 2 2 17 7 5 5" xfId="15096" xr:uid="{DA59AB5B-ED91-4266-9F2A-FABA474C3C3B}"/>
    <cellStyle name="Normal 2 2 2 17 7 5 6" xfId="15097" xr:uid="{F7FD7727-AD77-47F9-B9D7-38762D976353}"/>
    <cellStyle name="Normal 2 2 2 17 7 6" xfId="15098" xr:uid="{5EE98B60-E564-4295-A222-54B252FD2277}"/>
    <cellStyle name="Normal 2 2 2 17 7 6 2" xfId="15099" xr:uid="{C7E87CD5-2C27-4711-93AB-47E985479DDC}"/>
    <cellStyle name="Normal 2 2 2 17 7 6 3" xfId="15100" xr:uid="{4EB70D74-1159-4510-9843-76432771F4D1}"/>
    <cellStyle name="Normal 2 2 2 17 7 6 4" xfId="15101" xr:uid="{802D5846-3738-4A47-AA3C-A8693406AD30}"/>
    <cellStyle name="Normal 2 2 2 17 7 6 5" xfId="15102" xr:uid="{08E086DE-9AF8-4A51-A44B-1010DEA35B39}"/>
    <cellStyle name="Normal 2 2 2 17 7 6 6" xfId="15103" xr:uid="{6E41EFB5-BE97-4967-B382-A62A75BBC68F}"/>
    <cellStyle name="Normal 2 2 2 17 7 7" xfId="15104" xr:uid="{BDA6FF5D-5D08-4408-8527-467F8FA45F7A}"/>
    <cellStyle name="Normal 2 2 2 17 7 7 2" xfId="15105" xr:uid="{29A4F117-EA8A-48BF-866F-D8F7E53A52BA}"/>
    <cellStyle name="Normal 2 2 2 17 7 7 3" xfId="15106" xr:uid="{B90099D8-7444-47C0-BC39-F53700FAF022}"/>
    <cellStyle name="Normal 2 2 2 17 7 7 4" xfId="15107" xr:uid="{41DA4F93-F929-40E3-AF75-FA4BEB4A11AB}"/>
    <cellStyle name="Normal 2 2 2 17 7 7 5" xfId="15108" xr:uid="{4262E7A3-1837-4D3D-89F1-AFD0818638DB}"/>
    <cellStyle name="Normal 2 2 2 17 7 7 6" xfId="15109" xr:uid="{056DC0C5-BD19-427E-BF93-304186A54B55}"/>
    <cellStyle name="Normal 2 2 2 17 7 8" xfId="15110" xr:uid="{0223353B-27F3-41E6-A603-CBE0DDF4CE17}"/>
    <cellStyle name="Normal 2 2 2 17 7 8 2" xfId="15111" xr:uid="{408D146C-3142-4815-94A9-8FB3A34288AC}"/>
    <cellStyle name="Normal 2 2 2 17 7 8 3" xfId="15112" xr:uid="{EAC700F8-6234-4723-A1A9-51489AF439C2}"/>
    <cellStyle name="Normal 2 2 2 17 7 8 4" xfId="15113" xr:uid="{A77BD5C1-D1A2-42B7-BBCC-2FD43569BD3E}"/>
    <cellStyle name="Normal 2 2 2 17 7 8 5" xfId="15114" xr:uid="{BA534995-C597-48A2-9B47-D9A2D66F787D}"/>
    <cellStyle name="Normal 2 2 2 17 7 8 6" xfId="15115" xr:uid="{56427E71-DEBD-446A-A3B2-E181404E356B}"/>
    <cellStyle name="Normal 2 2 2 17 7 9" xfId="15116" xr:uid="{A49C1548-BF61-461F-AB8D-39AEA53A2841}"/>
    <cellStyle name="Normal 2 2 2 17 8" xfId="15117" xr:uid="{C99E8BF2-0A87-4483-8577-4FB36328EF0D}"/>
    <cellStyle name="Normal 2 2 2 17 8 10" xfId="15118" xr:uid="{C837D9A4-3EFD-471B-B21C-D36D02F467C9}"/>
    <cellStyle name="Normal 2 2 2 17 8 11" xfId="15119" xr:uid="{865B01AD-BAF0-416E-8806-1A7919914D07}"/>
    <cellStyle name="Normal 2 2 2 17 8 12" xfId="15120" xr:uid="{5A52A170-03B8-4511-8535-D670F18A21F7}"/>
    <cellStyle name="Normal 2 2 2 17 8 13" xfId="15121" xr:uid="{B5BAEEB4-B68A-45E9-8B2D-B33243DB5241}"/>
    <cellStyle name="Normal 2 2 2 17 8 2" xfId="15122" xr:uid="{BF968680-254F-45E1-97B3-83B95B82496B}"/>
    <cellStyle name="Normal 2 2 2 17 8 2 2" xfId="15123" xr:uid="{BE7BDE4C-69FB-4805-B9C2-1A7245B8D3A8}"/>
    <cellStyle name="Normal 2 2 2 17 8 2 3" xfId="15124" xr:uid="{A7B323CD-DFB1-41B4-BA09-29DBA3412974}"/>
    <cellStyle name="Normal 2 2 2 17 8 2 4" xfId="15125" xr:uid="{BE4589D5-A2C4-42EE-B32B-192E1455DD8B}"/>
    <cellStyle name="Normal 2 2 2 17 8 2 5" xfId="15126" xr:uid="{659DED77-6933-429B-A68F-29A31BF0DB9C}"/>
    <cellStyle name="Normal 2 2 2 17 8 2 6" xfId="15127" xr:uid="{F9321598-D82F-4609-9422-DA631B0DAAF2}"/>
    <cellStyle name="Normal 2 2 2 17 8 3" xfId="15128" xr:uid="{658BCC4A-EA53-41FE-9A28-81568E42A941}"/>
    <cellStyle name="Normal 2 2 2 17 8 3 2" xfId="15129" xr:uid="{FF3BF11A-E11E-469A-9321-A04AD36655F2}"/>
    <cellStyle name="Normal 2 2 2 17 8 3 3" xfId="15130" xr:uid="{201CD3D6-9E06-47C6-A173-19374766B0E7}"/>
    <cellStyle name="Normal 2 2 2 17 8 3 4" xfId="15131" xr:uid="{9FD0AA44-BD8A-4AC1-9BCD-230630C0F2C3}"/>
    <cellStyle name="Normal 2 2 2 17 8 3 5" xfId="15132" xr:uid="{04D31290-C7A2-47C1-9E3E-B7C47CDA247D}"/>
    <cellStyle name="Normal 2 2 2 17 8 3 6" xfId="15133" xr:uid="{EC2D6782-9A95-49E1-9BA3-98C7CD5873D3}"/>
    <cellStyle name="Normal 2 2 2 17 8 4" xfId="15134" xr:uid="{EB2629FA-0D18-40E1-8267-80ACA6E8AD1D}"/>
    <cellStyle name="Normal 2 2 2 17 8 4 2" xfId="15135" xr:uid="{4815CDDD-DAD7-48C6-9A6A-DC89282063C2}"/>
    <cellStyle name="Normal 2 2 2 17 8 4 3" xfId="15136" xr:uid="{06B0AE06-0580-4A90-8841-70259C3D8CAF}"/>
    <cellStyle name="Normal 2 2 2 17 8 4 4" xfId="15137" xr:uid="{6904AE30-159D-4EFF-B784-26103CC4750C}"/>
    <cellStyle name="Normal 2 2 2 17 8 4 5" xfId="15138" xr:uid="{0E429065-47A3-4640-A3B6-B58F50C5D803}"/>
    <cellStyle name="Normal 2 2 2 17 8 4 6" xfId="15139" xr:uid="{8AADE336-E958-45E1-B5A0-8D25447F8D6A}"/>
    <cellStyle name="Normal 2 2 2 17 8 5" xfId="15140" xr:uid="{D09E8BE5-6918-4EC5-A0DD-B7531E2B395A}"/>
    <cellStyle name="Normal 2 2 2 17 8 5 2" xfId="15141" xr:uid="{5A61487F-98BE-4AF5-9EEE-49A3F380E1DE}"/>
    <cellStyle name="Normal 2 2 2 17 8 5 3" xfId="15142" xr:uid="{68B14736-0E32-48A5-A65E-AB895980154E}"/>
    <cellStyle name="Normal 2 2 2 17 8 5 4" xfId="15143" xr:uid="{A89A9E4B-DE11-4E8C-BC38-5F4872C2474E}"/>
    <cellStyle name="Normal 2 2 2 17 8 5 5" xfId="15144" xr:uid="{F97C7DDF-9058-4879-ACA7-6BEB97EA49BB}"/>
    <cellStyle name="Normal 2 2 2 17 8 5 6" xfId="15145" xr:uid="{3436BE7B-1244-482A-B49A-EC764AB6AB12}"/>
    <cellStyle name="Normal 2 2 2 17 8 6" xfId="15146" xr:uid="{E69B53C5-CBCD-4011-8578-40EC0B271538}"/>
    <cellStyle name="Normal 2 2 2 17 8 6 2" xfId="15147" xr:uid="{5608CDED-5250-4790-9650-679E3C6DBC51}"/>
    <cellStyle name="Normal 2 2 2 17 8 6 3" xfId="15148" xr:uid="{8FC021AE-3E77-4ACE-8243-DFDEC8BF0A54}"/>
    <cellStyle name="Normal 2 2 2 17 8 6 4" xfId="15149" xr:uid="{9F4FAF27-7EC3-4C6A-982D-DDFD6F9CC3D9}"/>
    <cellStyle name="Normal 2 2 2 17 8 6 5" xfId="15150" xr:uid="{E03AE3EA-104A-4EC7-BD69-2482761514E8}"/>
    <cellStyle name="Normal 2 2 2 17 8 6 6" xfId="15151" xr:uid="{7E9A3A62-4351-4242-997A-C27065C237A5}"/>
    <cellStyle name="Normal 2 2 2 17 8 7" xfId="15152" xr:uid="{34AC34DD-9F48-4405-B46C-3121315DA13D}"/>
    <cellStyle name="Normal 2 2 2 17 8 7 2" xfId="15153" xr:uid="{BC39581B-26CB-4663-B0D9-2B3C81F1D211}"/>
    <cellStyle name="Normal 2 2 2 17 8 7 3" xfId="15154" xr:uid="{B34E3D74-D8A1-4119-9CB3-5169CA82F234}"/>
    <cellStyle name="Normal 2 2 2 17 8 7 4" xfId="15155" xr:uid="{4E432303-17EA-4ECC-8B1E-8892654D0889}"/>
    <cellStyle name="Normal 2 2 2 17 8 7 5" xfId="15156" xr:uid="{946E1F3E-2E75-485E-B0A8-ACAC0C3FCB6F}"/>
    <cellStyle name="Normal 2 2 2 17 8 7 6" xfId="15157" xr:uid="{8869A20C-23F1-44AC-A4DE-829EAF1E4321}"/>
    <cellStyle name="Normal 2 2 2 17 8 8" xfId="15158" xr:uid="{DF488920-4484-4CC2-A545-69C9A41A65DA}"/>
    <cellStyle name="Normal 2 2 2 17 8 8 2" xfId="15159" xr:uid="{0CCB4737-122B-4622-A67A-F7CD7E6E1038}"/>
    <cellStyle name="Normal 2 2 2 17 8 8 3" xfId="15160" xr:uid="{47129D1A-D6C9-4B02-849B-BC98C3523949}"/>
    <cellStyle name="Normal 2 2 2 17 8 8 4" xfId="15161" xr:uid="{71841A68-10E5-489A-9A66-7CC4227BD4D3}"/>
    <cellStyle name="Normal 2 2 2 17 8 8 5" xfId="15162" xr:uid="{C4012B9A-B530-485F-8C48-86B1827B4F58}"/>
    <cellStyle name="Normal 2 2 2 17 8 8 6" xfId="15163" xr:uid="{A843EF4F-D54B-4001-BFF2-6A3B93EFF821}"/>
    <cellStyle name="Normal 2 2 2 17 8 9" xfId="15164" xr:uid="{8BF6A00E-8562-45FF-94A0-DDC15919A218}"/>
    <cellStyle name="Normal 2 2 2 17 9" xfId="15165" xr:uid="{E52A535E-3545-4F91-9253-9AD00D810B7B}"/>
    <cellStyle name="Normal 2 2 2 17 9 10" xfId="15166" xr:uid="{57942934-AE0F-44F1-B33E-9FA270C9AD48}"/>
    <cellStyle name="Normal 2 2 2 17 9 11" xfId="15167" xr:uid="{E0219CB1-37A8-4D56-A713-C0303AFF97F1}"/>
    <cellStyle name="Normal 2 2 2 17 9 12" xfId="15168" xr:uid="{646375C5-0D0E-4AF9-9ECB-F720C8E3D7BA}"/>
    <cellStyle name="Normal 2 2 2 17 9 13" xfId="15169" xr:uid="{0A0523DA-E77D-4589-9D3E-926DBD5AB4F6}"/>
    <cellStyle name="Normal 2 2 2 17 9 2" xfId="15170" xr:uid="{3CA1F553-D267-49CF-8451-12D3FCF95A9F}"/>
    <cellStyle name="Normal 2 2 2 17 9 2 2" xfId="15171" xr:uid="{F33346F4-FB85-46CB-8001-95D1CAF4A19E}"/>
    <cellStyle name="Normal 2 2 2 17 9 2 3" xfId="15172" xr:uid="{84150414-6335-4BCF-8B06-385326CD39B9}"/>
    <cellStyle name="Normal 2 2 2 17 9 2 4" xfId="15173" xr:uid="{5314B40C-946A-4FB6-BC25-AD717B8534E2}"/>
    <cellStyle name="Normal 2 2 2 17 9 2 5" xfId="15174" xr:uid="{23D71E11-8FDA-4877-909F-FC17DCCBA010}"/>
    <cellStyle name="Normal 2 2 2 17 9 2 6" xfId="15175" xr:uid="{92162072-77A5-4CEA-B67F-EE2C1F89E632}"/>
    <cellStyle name="Normal 2 2 2 17 9 3" xfId="15176" xr:uid="{C1686AF1-0FAB-4699-9B16-3A67473A3E4E}"/>
    <cellStyle name="Normal 2 2 2 17 9 3 2" xfId="15177" xr:uid="{E918429A-5921-48EA-A03D-A5D164F75B99}"/>
    <cellStyle name="Normal 2 2 2 17 9 3 3" xfId="15178" xr:uid="{D9ECA442-A6B1-4F7B-AF58-E36FA3422CF5}"/>
    <cellStyle name="Normal 2 2 2 17 9 3 4" xfId="15179" xr:uid="{30D6E05E-0E65-41FC-A9F3-E84CB74AA423}"/>
    <cellStyle name="Normal 2 2 2 17 9 3 5" xfId="15180" xr:uid="{F9CF6B43-8FDB-4FCC-B53C-E962A37AA5D8}"/>
    <cellStyle name="Normal 2 2 2 17 9 3 6" xfId="15181" xr:uid="{81F6F386-4CE8-4F6C-A92C-082283FC8AEC}"/>
    <cellStyle name="Normal 2 2 2 17 9 4" xfId="15182" xr:uid="{4B199E6C-994C-4BA4-A37C-7AEB4C43E4E1}"/>
    <cellStyle name="Normal 2 2 2 17 9 4 2" xfId="15183" xr:uid="{D4932657-50D8-4938-988B-F9A500C2C2CE}"/>
    <cellStyle name="Normal 2 2 2 17 9 4 3" xfId="15184" xr:uid="{74556B22-6A67-4198-A429-C7B98A3A56F1}"/>
    <cellStyle name="Normal 2 2 2 17 9 4 4" xfId="15185" xr:uid="{91886849-44A9-42F3-B0DC-695057755068}"/>
    <cellStyle name="Normal 2 2 2 17 9 4 5" xfId="15186" xr:uid="{397E0A9D-2D4E-4507-8C91-9CE479C15B3A}"/>
    <cellStyle name="Normal 2 2 2 17 9 4 6" xfId="15187" xr:uid="{26534945-9B4D-4FAC-932E-65E2220C3238}"/>
    <cellStyle name="Normal 2 2 2 17 9 5" xfId="15188" xr:uid="{DDA9D362-110E-4FFD-A497-D32BC4D77C7D}"/>
    <cellStyle name="Normal 2 2 2 17 9 5 2" xfId="15189" xr:uid="{E0D39E14-55B4-4D24-AD93-185308329DC5}"/>
    <cellStyle name="Normal 2 2 2 17 9 5 3" xfId="15190" xr:uid="{9AB64A51-6BC1-4143-9F7D-4FA96492236E}"/>
    <cellStyle name="Normal 2 2 2 17 9 5 4" xfId="15191" xr:uid="{18153F35-AA62-4E92-B778-79772B1E9B08}"/>
    <cellStyle name="Normal 2 2 2 17 9 5 5" xfId="15192" xr:uid="{2EB62E90-931E-44FA-80E9-926E03CAB299}"/>
    <cellStyle name="Normal 2 2 2 17 9 5 6" xfId="15193" xr:uid="{47FCF475-0867-4475-87AC-368E13D43930}"/>
    <cellStyle name="Normal 2 2 2 17 9 6" xfId="15194" xr:uid="{8B80D89F-77C5-442A-9D02-B03D8FC98546}"/>
    <cellStyle name="Normal 2 2 2 17 9 6 2" xfId="15195" xr:uid="{DBA72355-B835-4B5F-889F-9E0DDC84F18B}"/>
    <cellStyle name="Normal 2 2 2 17 9 6 3" xfId="15196" xr:uid="{CC254680-39FC-49F5-90DD-E48DF0805DCE}"/>
    <cellStyle name="Normal 2 2 2 17 9 6 4" xfId="15197" xr:uid="{D13CD0D4-1733-4AF6-841A-6D52A4BB6915}"/>
    <cellStyle name="Normal 2 2 2 17 9 6 5" xfId="15198" xr:uid="{1C098FE8-DF49-49A3-818C-D8BADC818E74}"/>
    <cellStyle name="Normal 2 2 2 17 9 6 6" xfId="15199" xr:uid="{EA89DFB9-AB3F-4AC7-A92F-A75EB2E23333}"/>
    <cellStyle name="Normal 2 2 2 17 9 7" xfId="15200" xr:uid="{BEAE96CB-8B2F-4E36-A800-48E6A47DD1B9}"/>
    <cellStyle name="Normal 2 2 2 17 9 7 2" xfId="15201" xr:uid="{20CBE6F5-70E3-403E-AA3A-390A101EEEBC}"/>
    <cellStyle name="Normal 2 2 2 17 9 7 3" xfId="15202" xr:uid="{33B6BDFC-389B-4900-B12B-789CBED449DA}"/>
    <cellStyle name="Normal 2 2 2 17 9 7 4" xfId="15203" xr:uid="{78551423-FB76-4518-AF1D-1B51FDB5E952}"/>
    <cellStyle name="Normal 2 2 2 17 9 7 5" xfId="15204" xr:uid="{4045AEA3-2998-477A-866C-31AC6BE50577}"/>
    <cellStyle name="Normal 2 2 2 17 9 7 6" xfId="15205" xr:uid="{DCBBE314-E985-479A-A72D-A5CBC2F5497C}"/>
    <cellStyle name="Normal 2 2 2 17 9 8" xfId="15206" xr:uid="{3C1B100D-F631-49D3-9587-26E221D018B1}"/>
    <cellStyle name="Normal 2 2 2 17 9 8 2" xfId="15207" xr:uid="{5690971B-85E7-47DE-8D5C-8AB707AB43BF}"/>
    <cellStyle name="Normal 2 2 2 17 9 8 3" xfId="15208" xr:uid="{71BEB795-908A-447B-90C4-D9736EB24DB4}"/>
    <cellStyle name="Normal 2 2 2 17 9 8 4" xfId="15209" xr:uid="{6D83C7BC-96E6-4AEF-9E7C-D62C6103786B}"/>
    <cellStyle name="Normal 2 2 2 17 9 8 5" xfId="15210" xr:uid="{8F56B19C-BED1-44DF-B29E-40CE8A2BF804}"/>
    <cellStyle name="Normal 2 2 2 17 9 8 6" xfId="15211" xr:uid="{2F8D589B-4713-4659-AD32-0A899902DB6D}"/>
    <cellStyle name="Normal 2 2 2 17 9 9" xfId="15212" xr:uid="{FEB7FCB1-49E2-4292-BD2A-B386FC90FCE4}"/>
    <cellStyle name="Normal 2 2 2 18" xfId="15213" xr:uid="{C7DFAB00-E9BD-4CAE-BA42-074625877590}"/>
    <cellStyle name="Normal 2 2 2 18 10" xfId="15214" xr:uid="{7E6DA59C-E7FF-4282-817E-E24CF6676024}"/>
    <cellStyle name="Normal 2 2 2 18 11" xfId="15215" xr:uid="{B6E7515B-3203-4A38-94E2-B0A23718246B}"/>
    <cellStyle name="Normal 2 2 2 18 12" xfId="15216" xr:uid="{1A9FB390-CC2F-42F9-821B-3436B7EE2F21}"/>
    <cellStyle name="Normal 2 2 2 18 13" xfId="15217" xr:uid="{CF26F402-5078-471F-BB9F-286D9B5E5DCD}"/>
    <cellStyle name="Normal 2 2 2 18 14" xfId="15218" xr:uid="{CB8D28AC-F3ED-4836-AC7F-8772EA3598E4}"/>
    <cellStyle name="Normal 2 2 2 18 2" xfId="15219" xr:uid="{7764A065-F5E7-4D81-8BB0-78CC672502FA}"/>
    <cellStyle name="Normal 2 2 2 18 2 2" xfId="15220" xr:uid="{84A266B4-B315-4221-B953-57D6A9BAAD4F}"/>
    <cellStyle name="Normal 2 2 2 18 2 3" xfId="15221" xr:uid="{3ED40F75-60A8-4AC0-AB14-1CFF724ABEBE}"/>
    <cellStyle name="Normal 2 2 2 18 2 4" xfId="15222" xr:uid="{213C27C0-E773-4F6B-BFA8-7237859F6F50}"/>
    <cellStyle name="Normal 2 2 2 18 2 5" xfId="15223" xr:uid="{3BC399D4-589E-4F41-8917-A4A3D7FB1A00}"/>
    <cellStyle name="Normal 2 2 2 18 2 6" xfId="15224" xr:uid="{26A3833C-0519-4241-9E36-8A292E1B6240}"/>
    <cellStyle name="Normal 2 2 2 18 3" xfId="15225" xr:uid="{F70861B3-B451-48A3-ABA5-86335A08C374}"/>
    <cellStyle name="Normal 2 2 2 18 3 2" xfId="15226" xr:uid="{64CAFFD3-1CE8-430D-AC92-7A5141A8FB5C}"/>
    <cellStyle name="Normal 2 2 2 18 3 3" xfId="15227" xr:uid="{5A32F756-6F2A-4298-9DB7-A174B2C01B8F}"/>
    <cellStyle name="Normal 2 2 2 18 3 4" xfId="15228" xr:uid="{D88EDE6B-EDC6-47E0-AD85-4E56B91A79AA}"/>
    <cellStyle name="Normal 2 2 2 18 3 5" xfId="15229" xr:uid="{B77829D7-8A4C-4D26-BD0F-93914F88DAC0}"/>
    <cellStyle name="Normal 2 2 2 18 3 6" xfId="15230" xr:uid="{6CE945EE-1DA5-4E32-B77B-390DDF1EE62A}"/>
    <cellStyle name="Normal 2 2 2 18 4" xfId="15231" xr:uid="{12C01EBE-DB8B-4369-A1F2-8C64054B0D9C}"/>
    <cellStyle name="Normal 2 2 2 18 4 2" xfId="15232" xr:uid="{91DA1EC9-0341-4ADD-B4A1-BBD5EC81C9ED}"/>
    <cellStyle name="Normal 2 2 2 18 4 3" xfId="15233" xr:uid="{87BCD8A8-0236-4FCA-A037-5EB458B8C74F}"/>
    <cellStyle name="Normal 2 2 2 18 4 4" xfId="15234" xr:uid="{7822313F-310A-4BF3-A3DA-5C4FE0F5326E}"/>
    <cellStyle name="Normal 2 2 2 18 4 5" xfId="15235" xr:uid="{11325BC2-5101-4314-B71E-5BEE215792BB}"/>
    <cellStyle name="Normal 2 2 2 18 4 6" xfId="15236" xr:uid="{45335367-00C0-439A-A541-6BE4E6A08FFF}"/>
    <cellStyle name="Normal 2 2 2 18 5" xfId="15237" xr:uid="{2B5B3839-F6C9-4F3D-B55F-EC69F587A63D}"/>
    <cellStyle name="Normal 2 2 2 18 5 2" xfId="15238" xr:uid="{F10E18BA-5BB7-42BC-9C2E-A96C17F27220}"/>
    <cellStyle name="Normal 2 2 2 18 5 3" xfId="15239" xr:uid="{7FD2FFCD-77D9-4BEC-968D-608B64EEE85D}"/>
    <cellStyle name="Normal 2 2 2 18 5 4" xfId="15240" xr:uid="{39864D5F-4ABA-4392-AF7F-26839F5F419D}"/>
    <cellStyle name="Normal 2 2 2 18 5 5" xfId="15241" xr:uid="{FFFCC6A3-EC47-42CD-93E6-C333D0C45201}"/>
    <cellStyle name="Normal 2 2 2 18 5 6" xfId="15242" xr:uid="{1D9191E6-C416-48DC-90A0-62F2ABE26E5F}"/>
    <cellStyle name="Normal 2 2 2 18 6" xfId="15243" xr:uid="{7DE50E95-124E-454F-8BE0-C7A559AE75B9}"/>
    <cellStyle name="Normal 2 2 2 18 6 2" xfId="15244" xr:uid="{248AE380-6877-40EF-AEBC-5E92A31D48C5}"/>
    <cellStyle name="Normal 2 2 2 18 6 3" xfId="15245" xr:uid="{F4C19321-D6C9-458A-8ADA-C5F78994C5A9}"/>
    <cellStyle name="Normal 2 2 2 18 6 4" xfId="15246" xr:uid="{6E880D1A-BDEB-429C-AD74-747F387987AD}"/>
    <cellStyle name="Normal 2 2 2 18 6 5" xfId="15247" xr:uid="{A928EBE6-A3C5-401C-89AA-EF0904FE7D24}"/>
    <cellStyle name="Normal 2 2 2 18 6 6" xfId="15248" xr:uid="{6301A7F1-C616-492C-BB78-038C14AFE386}"/>
    <cellStyle name="Normal 2 2 2 18 7" xfId="15249" xr:uid="{BCCBC233-47DF-4ACB-93C7-9365436582DA}"/>
    <cellStyle name="Normal 2 2 2 18 7 2" xfId="15250" xr:uid="{B91E44EA-4D94-4D02-82F6-F1DA7EF5974C}"/>
    <cellStyle name="Normal 2 2 2 18 7 3" xfId="15251" xr:uid="{437D8D62-709A-46C1-9FA2-536435648F79}"/>
    <cellStyle name="Normal 2 2 2 18 7 4" xfId="15252" xr:uid="{C79C2EAF-73C9-4378-9C91-AEC35C4A53E9}"/>
    <cellStyle name="Normal 2 2 2 18 7 5" xfId="15253" xr:uid="{A07EADDE-14F2-4C70-B57D-515BC6E57969}"/>
    <cellStyle name="Normal 2 2 2 18 7 6" xfId="15254" xr:uid="{8E59742E-2924-4DD5-ACE4-D36867E7EACF}"/>
    <cellStyle name="Normal 2 2 2 18 8" xfId="15255" xr:uid="{7F6C6D8A-1800-46C9-998C-82EED1245C23}"/>
    <cellStyle name="Normal 2 2 2 18 8 2" xfId="15256" xr:uid="{502F788D-C84F-4097-BDFB-7A5DE4852EBD}"/>
    <cellStyle name="Normal 2 2 2 18 8 3" xfId="15257" xr:uid="{8E973A04-C756-4122-8DA4-5FC080BF5D1F}"/>
    <cellStyle name="Normal 2 2 2 18 8 4" xfId="15258" xr:uid="{B6100A78-AAFD-42CA-907E-8A4C24CB3311}"/>
    <cellStyle name="Normal 2 2 2 18 8 5" xfId="15259" xr:uid="{FBEB33F7-D200-43BA-9D7A-60A9F7D38754}"/>
    <cellStyle name="Normal 2 2 2 18 8 6" xfId="15260" xr:uid="{A702949C-76C2-4E7F-8D70-EF37B7443FEE}"/>
    <cellStyle name="Normal 2 2 2 18 9" xfId="15261" xr:uid="{89560B88-B6FE-44D0-90B7-5123983D28E3}"/>
    <cellStyle name="Normal 2 2 2 19" xfId="15262" xr:uid="{1409DF59-97E4-4BC2-82C9-FAC2884CE077}"/>
    <cellStyle name="Normal 2 2 2 19 10" xfId="15263" xr:uid="{CECD86B7-B112-4697-9DE3-0DACC2364703}"/>
    <cellStyle name="Normal 2 2 2 19 11" xfId="15264" xr:uid="{FE197006-CAE0-4B32-97C8-933A54C03337}"/>
    <cellStyle name="Normal 2 2 2 19 12" xfId="15265" xr:uid="{22948959-B7E5-4CC6-8D70-97E3F2B9A0E1}"/>
    <cellStyle name="Normal 2 2 2 19 13" xfId="15266" xr:uid="{916E4071-CF9C-4290-B95C-C785C5E7646B}"/>
    <cellStyle name="Normal 2 2 2 19 14" xfId="15267" xr:uid="{997BBDA1-78A4-464C-B717-D3C68C8BFA4C}"/>
    <cellStyle name="Normal 2 2 2 19 2" xfId="15268" xr:uid="{74A8EC21-F666-46F8-B2EC-7EA31C9A57C8}"/>
    <cellStyle name="Normal 2 2 2 19 2 2" xfId="15269" xr:uid="{4B56A28F-9729-4CE8-A8C6-05B137450B9A}"/>
    <cellStyle name="Normal 2 2 2 19 2 3" xfId="15270" xr:uid="{14DC5177-8E6F-449C-BDE1-0AE495CDEEB4}"/>
    <cellStyle name="Normal 2 2 2 19 2 4" xfId="15271" xr:uid="{6861704E-0FA1-451E-A0C0-D41B9CFF8FBA}"/>
    <cellStyle name="Normal 2 2 2 19 2 5" xfId="15272" xr:uid="{C6FF7FA7-906E-44D5-A26E-93DBC0EDD167}"/>
    <cellStyle name="Normal 2 2 2 19 2 6" xfId="15273" xr:uid="{A24CE52B-904B-4CE9-AD06-8637F00D1C40}"/>
    <cellStyle name="Normal 2 2 2 19 3" xfId="15274" xr:uid="{3B21F9F2-512E-4558-9119-26B71A528F2B}"/>
    <cellStyle name="Normal 2 2 2 19 3 2" xfId="15275" xr:uid="{09923A30-94B3-402F-8B87-36FE4BAD669F}"/>
    <cellStyle name="Normal 2 2 2 19 3 3" xfId="15276" xr:uid="{FC2270BE-4A74-4DC0-A58D-EB0955D8843C}"/>
    <cellStyle name="Normal 2 2 2 19 3 4" xfId="15277" xr:uid="{598B99AA-449D-4E0C-AEEF-E0346161E8A6}"/>
    <cellStyle name="Normal 2 2 2 19 3 5" xfId="15278" xr:uid="{CF02CC55-2C2D-4AC2-8CD2-81BB7CA9009A}"/>
    <cellStyle name="Normal 2 2 2 19 3 6" xfId="15279" xr:uid="{EC072A0C-64BE-4497-B33F-4C321A470089}"/>
    <cellStyle name="Normal 2 2 2 19 4" xfId="15280" xr:uid="{2086D14D-0E9B-4500-A069-F8D85304DF2C}"/>
    <cellStyle name="Normal 2 2 2 19 4 2" xfId="15281" xr:uid="{6DBEF430-9447-4839-8E12-28B1004EDA90}"/>
    <cellStyle name="Normal 2 2 2 19 4 3" xfId="15282" xr:uid="{5C60F2E4-E172-494C-9AA8-A13B8EAC7D26}"/>
    <cellStyle name="Normal 2 2 2 19 4 4" xfId="15283" xr:uid="{3FB0E41D-87A6-412B-9A3A-025FFA611612}"/>
    <cellStyle name="Normal 2 2 2 19 4 5" xfId="15284" xr:uid="{A1760459-0D39-4D84-90E8-0BA96001ABF2}"/>
    <cellStyle name="Normal 2 2 2 19 4 6" xfId="15285" xr:uid="{D475D548-4BAC-4E60-A1C0-B818A2055FCB}"/>
    <cellStyle name="Normal 2 2 2 19 5" xfId="15286" xr:uid="{71B118CA-9AE6-4A9C-9EFF-A467EE59C1A6}"/>
    <cellStyle name="Normal 2 2 2 19 5 2" xfId="15287" xr:uid="{9B26FDD1-8D03-4299-B85D-3F0144F47A6C}"/>
    <cellStyle name="Normal 2 2 2 19 5 3" xfId="15288" xr:uid="{877BEEB0-7C6C-426A-87CF-419F83942B06}"/>
    <cellStyle name="Normal 2 2 2 19 5 4" xfId="15289" xr:uid="{C012C9E6-A743-491F-8537-124BEDD1C5EF}"/>
    <cellStyle name="Normal 2 2 2 19 5 5" xfId="15290" xr:uid="{DCC9DC4E-1D0C-48FB-B58E-CCC77C072788}"/>
    <cellStyle name="Normal 2 2 2 19 5 6" xfId="15291" xr:uid="{ED34A469-3679-4994-B11A-F3E425913360}"/>
    <cellStyle name="Normal 2 2 2 19 6" xfId="15292" xr:uid="{1C040B57-1212-4FF0-BC7C-93563806D447}"/>
    <cellStyle name="Normal 2 2 2 19 6 2" xfId="15293" xr:uid="{54B18C01-0390-42D5-BADB-2CDD2628845D}"/>
    <cellStyle name="Normal 2 2 2 19 6 3" xfId="15294" xr:uid="{E1AB5C7D-EA92-4EA6-BE1D-D6CDD6766A16}"/>
    <cellStyle name="Normal 2 2 2 19 6 4" xfId="15295" xr:uid="{86023ACC-674C-428F-8E42-FDBC689A2012}"/>
    <cellStyle name="Normal 2 2 2 19 6 5" xfId="15296" xr:uid="{4920FFE0-9504-4FAF-B001-1FF963A542FD}"/>
    <cellStyle name="Normal 2 2 2 19 6 6" xfId="15297" xr:uid="{799F52CE-B4CE-460E-BA7F-C10B29D742EF}"/>
    <cellStyle name="Normal 2 2 2 19 7" xfId="15298" xr:uid="{73AE515A-D8D1-48C5-BAFF-0461FD521E5E}"/>
    <cellStyle name="Normal 2 2 2 19 7 2" xfId="15299" xr:uid="{AEEC6468-0835-4A94-8299-36115AC776EC}"/>
    <cellStyle name="Normal 2 2 2 19 7 3" xfId="15300" xr:uid="{2985DA3A-CD0C-44CC-BBDF-C450D6D4E0DE}"/>
    <cellStyle name="Normal 2 2 2 19 7 4" xfId="15301" xr:uid="{0D5A47AC-FBD9-4CAC-81EB-278C4E579F5F}"/>
    <cellStyle name="Normal 2 2 2 19 7 5" xfId="15302" xr:uid="{F1B2AA16-416D-49A4-B0C7-C2B2FE9D3C6D}"/>
    <cellStyle name="Normal 2 2 2 19 7 6" xfId="15303" xr:uid="{A57E82AE-3268-4924-B6C5-B4554A4D9818}"/>
    <cellStyle name="Normal 2 2 2 19 8" xfId="15304" xr:uid="{A4A14B22-65FD-4947-9DD2-73B220012DC6}"/>
    <cellStyle name="Normal 2 2 2 19 8 2" xfId="15305" xr:uid="{DCD4E6C5-E4E7-4382-9158-15B3176321CB}"/>
    <cellStyle name="Normal 2 2 2 19 8 3" xfId="15306" xr:uid="{D287A5D9-4DBC-4489-8AAD-A9961297ED45}"/>
    <cellStyle name="Normal 2 2 2 19 8 4" xfId="15307" xr:uid="{4327B7B8-FA43-4989-BEC1-030A5F624632}"/>
    <cellStyle name="Normal 2 2 2 19 8 5" xfId="15308" xr:uid="{5AB59DA5-2E64-4472-B8B5-74DDFA407C72}"/>
    <cellStyle name="Normal 2 2 2 19 8 6" xfId="15309" xr:uid="{269ABF12-59F4-42D6-8C59-55F511C578E3}"/>
    <cellStyle name="Normal 2 2 2 19 9" xfId="15310" xr:uid="{AF97CF3A-25C0-4BE4-A454-CEB0A7DB7A03}"/>
    <cellStyle name="Normal 2 2 2 2" xfId="15311" xr:uid="{0C3EFFFD-142B-4BAB-8DF8-DBDE5226B360}"/>
    <cellStyle name="Normal 2 2 2 2 10" xfId="15312" xr:uid="{53077B4B-5CA3-451E-92EF-BC6A23BB221D}"/>
    <cellStyle name="Normal 2 2 2 2 11" xfId="15313" xr:uid="{E11A57CF-3FC6-4B4C-8584-7F4DD944CB51}"/>
    <cellStyle name="Normal 2 2 2 2 12" xfId="15314" xr:uid="{A276D56B-A8A0-4DC7-BB25-AEC73C30764D}"/>
    <cellStyle name="Normal 2 2 2 2 12 10" xfId="15315" xr:uid="{F23EFB56-8FBB-4889-8539-C26849921128}"/>
    <cellStyle name="Normal 2 2 2 2 12 11" xfId="15316" xr:uid="{3FBC92F0-0C7B-418F-B113-EE53CFC1EF03}"/>
    <cellStyle name="Normal 2 2 2 2 12 12" xfId="15317" xr:uid="{474FAFD6-E9A6-48DB-AC84-15559E96D189}"/>
    <cellStyle name="Normal 2 2 2 2 12 13" xfId="15318" xr:uid="{51CA5848-732C-4C64-A7F5-B4A85B2FD785}"/>
    <cellStyle name="Normal 2 2 2 2 12 2" xfId="15319" xr:uid="{9F329452-D0D1-44E2-AE81-6706518FCA38}"/>
    <cellStyle name="Normal 2 2 2 2 12 2 2" xfId="15320" xr:uid="{077B07C5-8F9D-4455-B26F-B50FCE756A8C}"/>
    <cellStyle name="Normal 2 2 2 2 12 2 3" xfId="15321" xr:uid="{8338DEED-BF06-4C1F-8B1A-9A3749E11B91}"/>
    <cellStyle name="Normal 2 2 2 2 12 2 4" xfId="15322" xr:uid="{51D8AF81-72BB-4B39-A427-BF0486FDA48B}"/>
    <cellStyle name="Normal 2 2 2 2 12 2 5" xfId="15323" xr:uid="{2DBA9FD5-E9B0-47AD-883F-E77793B2ED10}"/>
    <cellStyle name="Normal 2 2 2 2 12 2 6" xfId="15324" xr:uid="{C1A368F0-06A4-49C9-9D4B-548800947DAD}"/>
    <cellStyle name="Normal 2 2 2 2 12 3" xfId="15325" xr:uid="{8A814AE6-4342-41D9-97FA-2DC181E9DD6F}"/>
    <cellStyle name="Normal 2 2 2 2 12 3 2" xfId="15326" xr:uid="{1246EE36-CDF0-4671-8A16-60323E04AD3D}"/>
    <cellStyle name="Normal 2 2 2 2 12 3 3" xfId="15327" xr:uid="{2B3F51C3-3335-4603-B304-9FB66921177A}"/>
    <cellStyle name="Normal 2 2 2 2 12 3 4" xfId="15328" xr:uid="{8E3C12A5-2EEB-416D-BE22-76513F0BBFA9}"/>
    <cellStyle name="Normal 2 2 2 2 12 3 5" xfId="15329" xr:uid="{05545B69-3748-436F-8D48-DDDB7DE52234}"/>
    <cellStyle name="Normal 2 2 2 2 12 3 6" xfId="15330" xr:uid="{EA8B8AAC-2E67-4D1D-A3AE-0927CF80985B}"/>
    <cellStyle name="Normal 2 2 2 2 12 4" xfId="15331" xr:uid="{D405CE0D-3C76-44D5-8A94-81D1195429F3}"/>
    <cellStyle name="Normal 2 2 2 2 12 4 2" xfId="15332" xr:uid="{482CDE9B-81CB-4BE6-8916-4F7693802E7E}"/>
    <cellStyle name="Normal 2 2 2 2 12 4 3" xfId="15333" xr:uid="{3486ECD4-E1A4-4401-862B-1B082437BE62}"/>
    <cellStyle name="Normal 2 2 2 2 12 4 4" xfId="15334" xr:uid="{A0CD7ABF-3E14-4E36-98A8-5C3586BA85D2}"/>
    <cellStyle name="Normal 2 2 2 2 12 4 5" xfId="15335" xr:uid="{E2B5538C-2F05-4C5A-BF30-E22EE85EA452}"/>
    <cellStyle name="Normal 2 2 2 2 12 4 6" xfId="15336" xr:uid="{53A844F4-0E42-4EA1-886B-F8EAD6E499CD}"/>
    <cellStyle name="Normal 2 2 2 2 12 5" xfId="15337" xr:uid="{50084692-7FAB-4393-BA24-0B37FC36EBF4}"/>
    <cellStyle name="Normal 2 2 2 2 12 5 2" xfId="15338" xr:uid="{BE6953E5-C7A8-4F84-B447-0B5CC7743ED3}"/>
    <cellStyle name="Normal 2 2 2 2 12 5 3" xfId="15339" xr:uid="{EC06958B-0DD4-4438-ADF5-B5C2A48FE490}"/>
    <cellStyle name="Normal 2 2 2 2 12 5 4" xfId="15340" xr:uid="{7767A8CD-3647-45CA-A325-86AA67C7F188}"/>
    <cellStyle name="Normal 2 2 2 2 12 5 5" xfId="15341" xr:uid="{FF690DD1-F28E-44F1-B6EC-21D0494C90F0}"/>
    <cellStyle name="Normal 2 2 2 2 12 5 6" xfId="15342" xr:uid="{F7A03F2F-59DD-4A06-8DCF-4C9A1B9C62BC}"/>
    <cellStyle name="Normal 2 2 2 2 12 6" xfId="15343" xr:uid="{FF8EAAD2-D7DB-45C0-AE72-19B42F4690DE}"/>
    <cellStyle name="Normal 2 2 2 2 12 6 2" xfId="15344" xr:uid="{43F9D327-360E-48EF-9D18-E6E841A696F7}"/>
    <cellStyle name="Normal 2 2 2 2 12 6 3" xfId="15345" xr:uid="{822369E9-C4C1-418B-8FC4-E9AC6E24CAB2}"/>
    <cellStyle name="Normal 2 2 2 2 12 6 4" xfId="15346" xr:uid="{55889063-2787-4688-84A7-E466D51D0560}"/>
    <cellStyle name="Normal 2 2 2 2 12 6 5" xfId="15347" xr:uid="{8D22092A-F53E-4130-AA28-AA76C31ADD54}"/>
    <cellStyle name="Normal 2 2 2 2 12 6 6" xfId="15348" xr:uid="{7E1BFCC9-A976-41BC-8F89-5ED248B9DE95}"/>
    <cellStyle name="Normal 2 2 2 2 12 7" xfId="15349" xr:uid="{43D77BA6-131E-431F-BCE7-E33F0DEB1F19}"/>
    <cellStyle name="Normal 2 2 2 2 12 7 2" xfId="15350" xr:uid="{97CABA6B-F248-4A69-93CB-BB39447E77DF}"/>
    <cellStyle name="Normal 2 2 2 2 12 7 3" xfId="15351" xr:uid="{FA93FC70-CDB6-42FE-895F-8AE0826150EF}"/>
    <cellStyle name="Normal 2 2 2 2 12 7 4" xfId="15352" xr:uid="{25EE57FE-79D9-467E-BE74-F10788B2E890}"/>
    <cellStyle name="Normal 2 2 2 2 12 7 5" xfId="15353" xr:uid="{1BD2D738-11C0-4BDA-9C98-03813FA45F71}"/>
    <cellStyle name="Normal 2 2 2 2 12 7 6" xfId="15354" xr:uid="{8B596815-7D81-49B4-911A-47A5E8BB5D71}"/>
    <cellStyle name="Normal 2 2 2 2 12 8" xfId="15355" xr:uid="{C90C8915-F7E1-48A4-BBB5-575DBFA5C5CF}"/>
    <cellStyle name="Normal 2 2 2 2 12 8 2" xfId="15356" xr:uid="{07EBA147-DF64-41E7-826B-07604A21F33F}"/>
    <cellStyle name="Normal 2 2 2 2 12 8 3" xfId="15357" xr:uid="{761C7AB6-3475-4E10-B79C-C944D0DE9C93}"/>
    <cellStyle name="Normal 2 2 2 2 12 8 4" xfId="15358" xr:uid="{6FF1D51F-6A79-4FCF-8242-DFBF69D47677}"/>
    <cellStyle name="Normal 2 2 2 2 12 8 5" xfId="15359" xr:uid="{AAE4E530-CF10-4785-9A5F-988725979328}"/>
    <cellStyle name="Normal 2 2 2 2 12 8 6" xfId="15360" xr:uid="{ECC8BCDD-D856-439B-BD07-3BA75A0A8B71}"/>
    <cellStyle name="Normal 2 2 2 2 12 9" xfId="15361" xr:uid="{FD74AE71-0A30-4BDE-BCDD-617069A817CC}"/>
    <cellStyle name="Normal 2 2 2 2 13" xfId="15362" xr:uid="{80DD9B19-4FD4-44C4-9C28-12DC42462873}"/>
    <cellStyle name="Normal 2 2 2 2 13 10" xfId="15363" xr:uid="{41563A4A-847B-44B7-8F72-09D3CD449032}"/>
    <cellStyle name="Normal 2 2 2 2 13 11" xfId="15364" xr:uid="{217BCD18-E603-4DA5-BECA-9E3E85B0DC72}"/>
    <cellStyle name="Normal 2 2 2 2 13 12" xfId="15365" xr:uid="{77E1DB3A-F34C-45EB-8E2F-A2C7145A8CC2}"/>
    <cellStyle name="Normal 2 2 2 2 13 13" xfId="15366" xr:uid="{33AA728C-E66C-43E6-8EFD-CFB0604E8ABD}"/>
    <cellStyle name="Normal 2 2 2 2 13 2" xfId="15367" xr:uid="{46B9B9E8-C37E-45E0-AA6F-7E037AD8C2F0}"/>
    <cellStyle name="Normal 2 2 2 2 13 2 2" xfId="15368" xr:uid="{038F38AB-7259-44AF-994E-483853CF6CE4}"/>
    <cellStyle name="Normal 2 2 2 2 13 2 3" xfId="15369" xr:uid="{3431F8EF-4969-4D69-A2FC-36D40F8E38AF}"/>
    <cellStyle name="Normal 2 2 2 2 13 2 4" xfId="15370" xr:uid="{495B16C5-F7F9-4B25-BA66-7A4DF5EF8692}"/>
    <cellStyle name="Normal 2 2 2 2 13 2 5" xfId="15371" xr:uid="{E3E3C2BA-8581-4CD9-9E5B-8036A2564C7B}"/>
    <cellStyle name="Normal 2 2 2 2 13 2 6" xfId="15372" xr:uid="{269536F3-50B1-4E4F-85FA-68685B196BCD}"/>
    <cellStyle name="Normal 2 2 2 2 13 3" xfId="15373" xr:uid="{30A25CDE-585E-4255-A2FC-8D3156BDD104}"/>
    <cellStyle name="Normal 2 2 2 2 13 3 2" xfId="15374" xr:uid="{91C3A3E1-53F2-40CD-9F46-C679B3E5864D}"/>
    <cellStyle name="Normal 2 2 2 2 13 3 3" xfId="15375" xr:uid="{55D94E63-9DDD-4852-B890-75171F3E27E6}"/>
    <cellStyle name="Normal 2 2 2 2 13 3 4" xfId="15376" xr:uid="{CEC4CE84-3F43-4461-9966-23A60281B49C}"/>
    <cellStyle name="Normal 2 2 2 2 13 3 5" xfId="15377" xr:uid="{13E60D78-1008-4BE4-8914-327E9B538CB6}"/>
    <cellStyle name="Normal 2 2 2 2 13 3 6" xfId="15378" xr:uid="{7577A241-84DC-44C0-B4EA-5CF1679B642A}"/>
    <cellStyle name="Normal 2 2 2 2 13 4" xfId="15379" xr:uid="{F0FF0E08-D6E0-4E20-849A-D9C451BBC85C}"/>
    <cellStyle name="Normal 2 2 2 2 13 4 2" xfId="15380" xr:uid="{8A744A01-506E-4176-B630-FD2ED299C50B}"/>
    <cellStyle name="Normal 2 2 2 2 13 4 3" xfId="15381" xr:uid="{D74AD31B-CFAC-4206-B56B-2C1ED0ECC027}"/>
    <cellStyle name="Normal 2 2 2 2 13 4 4" xfId="15382" xr:uid="{0FC0708D-6D81-497C-8B17-D156CCF5C229}"/>
    <cellStyle name="Normal 2 2 2 2 13 4 5" xfId="15383" xr:uid="{F327FE0C-E090-4DED-A086-BFFA078D9516}"/>
    <cellStyle name="Normal 2 2 2 2 13 4 6" xfId="15384" xr:uid="{C1C5FFC3-583B-484A-9DDF-5593B198EE5C}"/>
    <cellStyle name="Normal 2 2 2 2 13 5" xfId="15385" xr:uid="{EB3AA3FF-B9A7-4F4C-84E7-79D1652C1765}"/>
    <cellStyle name="Normal 2 2 2 2 13 5 2" xfId="15386" xr:uid="{BB65E6C9-6E14-421C-8051-F8A899D861FF}"/>
    <cellStyle name="Normal 2 2 2 2 13 5 3" xfId="15387" xr:uid="{5E77A99A-C1E9-42BC-B353-FAC8CA7AED4A}"/>
    <cellStyle name="Normal 2 2 2 2 13 5 4" xfId="15388" xr:uid="{A26F0945-7F9D-4D12-9074-FCC4418746F9}"/>
    <cellStyle name="Normal 2 2 2 2 13 5 5" xfId="15389" xr:uid="{C8AE9874-A8D1-4831-9E67-35B3BA446970}"/>
    <cellStyle name="Normal 2 2 2 2 13 5 6" xfId="15390" xr:uid="{40992A97-C6A2-459C-A1B5-25784437AE98}"/>
    <cellStyle name="Normal 2 2 2 2 13 6" xfId="15391" xr:uid="{0A715349-903F-4D1E-8387-31BFA06476FC}"/>
    <cellStyle name="Normal 2 2 2 2 13 6 2" xfId="15392" xr:uid="{6EC97BBE-2C2D-4B45-9E29-339EC88DE74E}"/>
    <cellStyle name="Normal 2 2 2 2 13 6 3" xfId="15393" xr:uid="{0F7D3494-298E-433C-B449-098B81680F8E}"/>
    <cellStyle name="Normal 2 2 2 2 13 6 4" xfId="15394" xr:uid="{A6F88430-76E7-4ED3-A783-0D0BE2ED6495}"/>
    <cellStyle name="Normal 2 2 2 2 13 6 5" xfId="15395" xr:uid="{D35004D4-EBBA-4C07-BB73-3E85F6429F94}"/>
    <cellStyle name="Normal 2 2 2 2 13 6 6" xfId="15396" xr:uid="{F26C077B-427C-4267-9C83-8C8340F16B6D}"/>
    <cellStyle name="Normal 2 2 2 2 13 7" xfId="15397" xr:uid="{8AA57214-4302-4906-A87A-ECCC0BFBB04F}"/>
    <cellStyle name="Normal 2 2 2 2 13 7 2" xfId="15398" xr:uid="{52839E02-5F70-448A-9F9D-87BA8F5CA844}"/>
    <cellStyle name="Normal 2 2 2 2 13 7 3" xfId="15399" xr:uid="{D416405B-BCC7-4011-B3E2-DC177E41D8C6}"/>
    <cellStyle name="Normal 2 2 2 2 13 7 4" xfId="15400" xr:uid="{4771D706-1623-437C-A62E-6A288A26E944}"/>
    <cellStyle name="Normal 2 2 2 2 13 7 5" xfId="15401" xr:uid="{22662804-B34F-4835-BEF3-5BC95D430976}"/>
    <cellStyle name="Normal 2 2 2 2 13 7 6" xfId="15402" xr:uid="{A903E20F-F713-4FEF-B305-5FC4C2485A2B}"/>
    <cellStyle name="Normal 2 2 2 2 13 8" xfId="15403" xr:uid="{C1C85340-F086-4404-BBD2-7BAE6DDD228E}"/>
    <cellStyle name="Normal 2 2 2 2 13 8 2" xfId="15404" xr:uid="{889461DF-9FB0-4F86-BF5B-C6ED667B0A51}"/>
    <cellStyle name="Normal 2 2 2 2 13 8 3" xfId="15405" xr:uid="{6779A9CE-E8B0-4DCF-8306-4CAB8FE23BBF}"/>
    <cellStyle name="Normal 2 2 2 2 13 8 4" xfId="15406" xr:uid="{044066F2-B7C4-4D98-AD88-AEE1B659420C}"/>
    <cellStyle name="Normal 2 2 2 2 13 8 5" xfId="15407" xr:uid="{90445838-E15A-4AD5-BBAD-ABDBE2F59E3F}"/>
    <cellStyle name="Normal 2 2 2 2 13 8 6" xfId="15408" xr:uid="{460ABB59-A21A-4A97-9AEA-5A3FB962CABB}"/>
    <cellStyle name="Normal 2 2 2 2 13 9" xfId="15409" xr:uid="{265B991B-7DC6-47FE-815D-EF6D4F67EB80}"/>
    <cellStyle name="Normal 2 2 2 2 14" xfId="15410" xr:uid="{DF869DF1-B4DC-40C5-A691-CD36C9183CF6}"/>
    <cellStyle name="Normal 2 2 2 2 14 10" xfId="15411" xr:uid="{3554F8AA-AC37-48B8-831A-C382607485F1}"/>
    <cellStyle name="Normal 2 2 2 2 14 11" xfId="15412" xr:uid="{EEF0908A-855C-4731-836D-A49EEC6B6360}"/>
    <cellStyle name="Normal 2 2 2 2 14 12" xfId="15413" xr:uid="{EBED6F51-C9D4-4D1E-8CF3-A6D36F54A089}"/>
    <cellStyle name="Normal 2 2 2 2 14 13" xfId="15414" xr:uid="{300DB19E-1664-4E07-A629-3959D89DA9E4}"/>
    <cellStyle name="Normal 2 2 2 2 14 2" xfId="15415" xr:uid="{F73D64DA-221E-471F-9E2F-F5FDED47FAC1}"/>
    <cellStyle name="Normal 2 2 2 2 14 2 2" xfId="15416" xr:uid="{0DF7C08C-DACD-445F-B55E-52E0D530B7AB}"/>
    <cellStyle name="Normal 2 2 2 2 14 2 3" xfId="15417" xr:uid="{721877E4-32A4-4AF6-BF32-1E8A329A570F}"/>
    <cellStyle name="Normal 2 2 2 2 14 2 4" xfId="15418" xr:uid="{C385C83A-6D44-42D9-95F1-2BA3FBACE110}"/>
    <cellStyle name="Normal 2 2 2 2 14 2 5" xfId="15419" xr:uid="{EF17FC76-5F2F-403E-8698-56909135597A}"/>
    <cellStyle name="Normal 2 2 2 2 14 2 6" xfId="15420" xr:uid="{D8092DAA-F487-4397-9517-C247F993DD96}"/>
    <cellStyle name="Normal 2 2 2 2 14 3" xfId="15421" xr:uid="{09399AB9-A4BC-4AF2-92B0-BDD027E74DB8}"/>
    <cellStyle name="Normal 2 2 2 2 14 3 2" xfId="15422" xr:uid="{BBB6305B-E98A-42D0-82B1-187ACA7ECE72}"/>
    <cellStyle name="Normal 2 2 2 2 14 3 3" xfId="15423" xr:uid="{1EE7C657-A111-4760-8EF0-5DB0C2DCF291}"/>
    <cellStyle name="Normal 2 2 2 2 14 3 4" xfId="15424" xr:uid="{8687C2E1-F771-45CD-BC64-C7B2E8DB4872}"/>
    <cellStyle name="Normal 2 2 2 2 14 3 5" xfId="15425" xr:uid="{7E3AAC39-5FEF-4EC5-A297-9D365E723ADB}"/>
    <cellStyle name="Normal 2 2 2 2 14 3 6" xfId="15426" xr:uid="{A39CA5E5-7EA7-4AE1-8A03-9A6ECB6709BF}"/>
    <cellStyle name="Normal 2 2 2 2 14 4" xfId="15427" xr:uid="{E05CF6FC-9C3B-48FC-BE79-51053D385268}"/>
    <cellStyle name="Normal 2 2 2 2 14 4 2" xfId="15428" xr:uid="{B0A74A5B-F94C-4DFD-B8C4-F7DEB0B93C3A}"/>
    <cellStyle name="Normal 2 2 2 2 14 4 3" xfId="15429" xr:uid="{6BC156EC-1ACC-4948-A789-9750DA46E930}"/>
    <cellStyle name="Normal 2 2 2 2 14 4 4" xfId="15430" xr:uid="{BAB240EE-7263-4BED-AB1B-E059544E550B}"/>
    <cellStyle name="Normal 2 2 2 2 14 4 5" xfId="15431" xr:uid="{6449DF7A-13CB-4BB2-8094-53498FE83C50}"/>
    <cellStyle name="Normal 2 2 2 2 14 4 6" xfId="15432" xr:uid="{9872D9C2-DF77-452D-8AF4-EB38ADE1A957}"/>
    <cellStyle name="Normal 2 2 2 2 14 5" xfId="15433" xr:uid="{C8FBA860-89DE-4FC7-B35E-754A3260CCAB}"/>
    <cellStyle name="Normal 2 2 2 2 14 5 2" xfId="15434" xr:uid="{3BBFF3F8-C955-4F83-BB51-31F8BA117BFC}"/>
    <cellStyle name="Normal 2 2 2 2 14 5 3" xfId="15435" xr:uid="{BCFF1AFB-C9A5-4046-A71F-330E96C0B089}"/>
    <cellStyle name="Normal 2 2 2 2 14 5 4" xfId="15436" xr:uid="{132678B7-B58C-4013-82C3-FDC9F04D1F5C}"/>
    <cellStyle name="Normal 2 2 2 2 14 5 5" xfId="15437" xr:uid="{D5A7DCBD-920F-4CA7-A67F-A1C76E8D3114}"/>
    <cellStyle name="Normal 2 2 2 2 14 5 6" xfId="15438" xr:uid="{57BE2A39-EC77-4F64-9509-1E9138D75383}"/>
    <cellStyle name="Normal 2 2 2 2 14 6" xfId="15439" xr:uid="{2F2EBC9A-807B-462E-946D-491BF55842BE}"/>
    <cellStyle name="Normal 2 2 2 2 14 6 2" xfId="15440" xr:uid="{C56CF6CC-432C-4AFC-B7D2-7060084EF952}"/>
    <cellStyle name="Normal 2 2 2 2 14 6 3" xfId="15441" xr:uid="{F2E0C09E-9E1A-4FF0-BFEE-764EE5652C18}"/>
    <cellStyle name="Normal 2 2 2 2 14 6 4" xfId="15442" xr:uid="{A503FDF9-355A-4062-B866-C6A60F5D35A9}"/>
    <cellStyle name="Normal 2 2 2 2 14 6 5" xfId="15443" xr:uid="{7FE57865-7825-49AD-80C7-5B6025625889}"/>
    <cellStyle name="Normal 2 2 2 2 14 6 6" xfId="15444" xr:uid="{4651C6B3-A8F2-46A9-A2EA-559DAD61D16C}"/>
    <cellStyle name="Normal 2 2 2 2 14 7" xfId="15445" xr:uid="{FFB39F4E-AB63-44F4-8365-B9C03D967253}"/>
    <cellStyle name="Normal 2 2 2 2 14 7 2" xfId="15446" xr:uid="{480CAC26-F227-4EA4-BB8A-D8D5310A09DE}"/>
    <cellStyle name="Normal 2 2 2 2 14 7 3" xfId="15447" xr:uid="{DA7BDE86-A2BF-477A-8750-EB9919E8B5AF}"/>
    <cellStyle name="Normal 2 2 2 2 14 7 4" xfId="15448" xr:uid="{A4FF26F6-A8BF-4ED1-9921-B088033B28F4}"/>
    <cellStyle name="Normal 2 2 2 2 14 7 5" xfId="15449" xr:uid="{658715D7-6F6C-440C-8ACD-8AA0C581FDFE}"/>
    <cellStyle name="Normal 2 2 2 2 14 7 6" xfId="15450" xr:uid="{3751DA23-7F17-4A2E-A1D2-962FA830B5B1}"/>
    <cellStyle name="Normal 2 2 2 2 14 8" xfId="15451" xr:uid="{06AF4BDC-5369-4E0E-8EE6-AE440172E207}"/>
    <cellStyle name="Normal 2 2 2 2 14 8 2" xfId="15452" xr:uid="{8228C16E-6780-4D6C-B00A-154353E1AD4F}"/>
    <cellStyle name="Normal 2 2 2 2 14 8 3" xfId="15453" xr:uid="{ABFD6301-E319-491C-A74E-433DB8810CB6}"/>
    <cellStyle name="Normal 2 2 2 2 14 8 4" xfId="15454" xr:uid="{626B9D4E-2071-4FAC-916C-902F7DA36AB5}"/>
    <cellStyle name="Normal 2 2 2 2 14 8 5" xfId="15455" xr:uid="{597E5AE9-EF52-48DB-8011-49DF2EAB8356}"/>
    <cellStyle name="Normal 2 2 2 2 14 8 6" xfId="15456" xr:uid="{A4D8F194-6307-454A-8CDB-8E15CB84FF0B}"/>
    <cellStyle name="Normal 2 2 2 2 14 9" xfId="15457" xr:uid="{AF86203E-1A47-4B2E-BE3C-774F4757EBE6}"/>
    <cellStyle name="Normal 2 2 2 2 15" xfId="15458" xr:uid="{FF42DA43-680C-4616-8CDE-7E25AAC85D83}"/>
    <cellStyle name="Normal 2 2 2 2 15 10" xfId="15459" xr:uid="{33FFBBC9-5810-40B8-BCB8-74F030785386}"/>
    <cellStyle name="Normal 2 2 2 2 15 11" xfId="15460" xr:uid="{66AFB36D-C9C7-460B-81C7-A245837D9B68}"/>
    <cellStyle name="Normal 2 2 2 2 15 12" xfId="15461" xr:uid="{808F0932-B856-4C1E-BF60-6416612873D4}"/>
    <cellStyle name="Normal 2 2 2 2 15 13" xfId="15462" xr:uid="{B792386D-4308-403F-9673-A2C531BC7DF6}"/>
    <cellStyle name="Normal 2 2 2 2 15 2" xfId="15463" xr:uid="{C3B6720F-36DF-41FD-BE62-756E05A26A1A}"/>
    <cellStyle name="Normal 2 2 2 2 15 2 2" xfId="15464" xr:uid="{F23E7664-DE9E-40D2-822D-F761D08C6D27}"/>
    <cellStyle name="Normal 2 2 2 2 15 2 3" xfId="15465" xr:uid="{CCBCEBFB-2C20-43B3-A598-0AFA7704BCEC}"/>
    <cellStyle name="Normal 2 2 2 2 15 2 4" xfId="15466" xr:uid="{08CE71BE-43B2-4C19-A2EC-4A290D5A477D}"/>
    <cellStyle name="Normal 2 2 2 2 15 2 5" xfId="15467" xr:uid="{392C3EF3-3FB7-471C-A4A6-E39237268D07}"/>
    <cellStyle name="Normal 2 2 2 2 15 2 6" xfId="15468" xr:uid="{9D1A6354-43CC-4671-A245-F1368FDACB97}"/>
    <cellStyle name="Normal 2 2 2 2 15 3" xfId="15469" xr:uid="{10638A8F-FB6C-4C3B-86BE-934DB965EC90}"/>
    <cellStyle name="Normal 2 2 2 2 15 3 2" xfId="15470" xr:uid="{4870588E-2661-46E4-BEEA-5BDC056FDBE2}"/>
    <cellStyle name="Normal 2 2 2 2 15 3 3" xfId="15471" xr:uid="{3A494A61-CD94-46EC-B771-F1F5BCD551EF}"/>
    <cellStyle name="Normal 2 2 2 2 15 3 4" xfId="15472" xr:uid="{CA966425-14E4-4080-B84C-D120954C26B9}"/>
    <cellStyle name="Normal 2 2 2 2 15 3 5" xfId="15473" xr:uid="{9B472DA1-C556-4330-BDEF-F4C4E8EE7438}"/>
    <cellStyle name="Normal 2 2 2 2 15 3 6" xfId="15474" xr:uid="{3D9C4547-2029-4AD4-8C07-0F95CBF6F77F}"/>
    <cellStyle name="Normal 2 2 2 2 15 4" xfId="15475" xr:uid="{6B570C9D-1BAD-47E5-BCFD-57A201887730}"/>
    <cellStyle name="Normal 2 2 2 2 15 4 2" xfId="15476" xr:uid="{18A2A192-9A93-4A04-BBD7-430306D2ABE7}"/>
    <cellStyle name="Normal 2 2 2 2 15 4 3" xfId="15477" xr:uid="{FB033E94-74FD-44AD-8955-FC7109A03FDA}"/>
    <cellStyle name="Normal 2 2 2 2 15 4 4" xfId="15478" xr:uid="{79E62231-551E-4763-9687-BA5008B2DFDF}"/>
    <cellStyle name="Normal 2 2 2 2 15 4 5" xfId="15479" xr:uid="{6DF0A67E-26C4-4D0C-95E0-CED1A727336E}"/>
    <cellStyle name="Normal 2 2 2 2 15 4 6" xfId="15480" xr:uid="{C745BB85-F51B-4886-B83B-D01D68295680}"/>
    <cellStyle name="Normal 2 2 2 2 15 5" xfId="15481" xr:uid="{7915D0C9-F123-4E32-95E3-DB793D0AA4B9}"/>
    <cellStyle name="Normal 2 2 2 2 15 5 2" xfId="15482" xr:uid="{4407F0B5-A2CB-485B-BFC4-A0DE9C7C6F27}"/>
    <cellStyle name="Normal 2 2 2 2 15 5 3" xfId="15483" xr:uid="{FCE1BD1A-78A4-4C22-A687-E665822F9E66}"/>
    <cellStyle name="Normal 2 2 2 2 15 5 4" xfId="15484" xr:uid="{B806D9D4-7FD5-44D1-9BE7-70B3591D2E8B}"/>
    <cellStyle name="Normal 2 2 2 2 15 5 5" xfId="15485" xr:uid="{5BA8EC61-712E-499E-BDDF-38ED487D35A5}"/>
    <cellStyle name="Normal 2 2 2 2 15 5 6" xfId="15486" xr:uid="{6C7B3089-235B-4965-BA5C-4BCEFC242338}"/>
    <cellStyle name="Normal 2 2 2 2 15 6" xfId="15487" xr:uid="{97B19B3D-BA4D-48F0-9F0A-6F775D9D68C2}"/>
    <cellStyle name="Normal 2 2 2 2 15 6 2" xfId="15488" xr:uid="{07F33C1D-4A13-45D8-92A0-85CCF58FB8BE}"/>
    <cellStyle name="Normal 2 2 2 2 15 6 3" xfId="15489" xr:uid="{1938E42A-2FE8-42CD-B94F-9525233FB19E}"/>
    <cellStyle name="Normal 2 2 2 2 15 6 4" xfId="15490" xr:uid="{85BA15BC-BB82-49FC-8C60-15164E85DA0C}"/>
    <cellStyle name="Normal 2 2 2 2 15 6 5" xfId="15491" xr:uid="{A50EC489-2B7F-4F3D-907B-29DABDDD79E3}"/>
    <cellStyle name="Normal 2 2 2 2 15 6 6" xfId="15492" xr:uid="{B83AC681-6D69-4509-8260-68D57EE04D1D}"/>
    <cellStyle name="Normal 2 2 2 2 15 7" xfId="15493" xr:uid="{F6382AA6-1281-4C0E-8664-866AFD120B86}"/>
    <cellStyle name="Normal 2 2 2 2 15 7 2" xfId="15494" xr:uid="{B95B7FE0-0EDC-4371-8E22-5A1F2F776C45}"/>
    <cellStyle name="Normal 2 2 2 2 15 7 3" xfId="15495" xr:uid="{6E5E6F00-3F3D-46E5-991B-910CE47451FA}"/>
    <cellStyle name="Normal 2 2 2 2 15 7 4" xfId="15496" xr:uid="{2E766F97-AF59-4D2F-AD93-A370996DA087}"/>
    <cellStyle name="Normal 2 2 2 2 15 7 5" xfId="15497" xr:uid="{4A584057-BF35-4AD9-9598-6DA31F603B9F}"/>
    <cellStyle name="Normal 2 2 2 2 15 7 6" xfId="15498" xr:uid="{75BA5D2E-8E97-473A-95E2-0CC6E9708E1E}"/>
    <cellStyle name="Normal 2 2 2 2 15 8" xfId="15499" xr:uid="{4E4AA3E7-54B9-4F41-8CB8-63B5C4BF68BE}"/>
    <cellStyle name="Normal 2 2 2 2 15 8 2" xfId="15500" xr:uid="{CA9B47AB-0F03-435E-937E-17AB7B0BC3D2}"/>
    <cellStyle name="Normal 2 2 2 2 15 8 3" xfId="15501" xr:uid="{A2C479E4-E8A4-4B98-9EB6-F4C215AC2AB5}"/>
    <cellStyle name="Normal 2 2 2 2 15 8 4" xfId="15502" xr:uid="{2F8990CF-08E2-4279-883F-DF559E66DD39}"/>
    <cellStyle name="Normal 2 2 2 2 15 8 5" xfId="15503" xr:uid="{65ED2FF6-1657-4744-802F-F8D89DCB480A}"/>
    <cellStyle name="Normal 2 2 2 2 15 8 6" xfId="15504" xr:uid="{3788B411-A884-4D1C-9910-FCE29681E151}"/>
    <cellStyle name="Normal 2 2 2 2 15 9" xfId="15505" xr:uid="{AE8B184F-1E1E-4A5B-AE99-E6A55917317A}"/>
    <cellStyle name="Normal 2 2 2 2 16" xfId="15506" xr:uid="{E6B3E6B0-0B25-470C-8628-FC7DF51FFE2B}"/>
    <cellStyle name="Normal 2 2 2 2 16 10" xfId="15507" xr:uid="{CA2C1294-4145-42CF-A479-8A363693B9E7}"/>
    <cellStyle name="Normal 2 2 2 2 16 11" xfId="15508" xr:uid="{DC77FB84-07B4-46CB-80A2-9DF99518FFB0}"/>
    <cellStyle name="Normal 2 2 2 2 16 12" xfId="15509" xr:uid="{809C0FD0-1EC6-4A95-9D8E-E929F01F28DE}"/>
    <cellStyle name="Normal 2 2 2 2 16 13" xfId="15510" xr:uid="{A5A38E1B-77CE-4DB5-BA2D-125BDD206286}"/>
    <cellStyle name="Normal 2 2 2 2 16 2" xfId="15511" xr:uid="{C0D25754-AB55-4ADD-99D8-6582A8800118}"/>
    <cellStyle name="Normal 2 2 2 2 16 2 2" xfId="15512" xr:uid="{A89DEDF0-8EBE-4A26-B8E4-E8777C226F41}"/>
    <cellStyle name="Normal 2 2 2 2 16 2 3" xfId="15513" xr:uid="{A84BA33F-C523-4896-9943-4A7896788975}"/>
    <cellStyle name="Normal 2 2 2 2 16 2 4" xfId="15514" xr:uid="{BDC47D06-84EE-47A0-A8A8-F3AB465798E0}"/>
    <cellStyle name="Normal 2 2 2 2 16 2 5" xfId="15515" xr:uid="{66D40E57-EB5F-4455-BD2B-E926F2C4F777}"/>
    <cellStyle name="Normal 2 2 2 2 16 2 6" xfId="15516" xr:uid="{37C182F7-95C9-43B8-AF8C-78E6CCAD2A5C}"/>
    <cellStyle name="Normal 2 2 2 2 16 3" xfId="15517" xr:uid="{5E43316E-FFD3-40ED-8820-D967FBCCCA6A}"/>
    <cellStyle name="Normal 2 2 2 2 16 3 2" xfId="15518" xr:uid="{154E3057-C6AF-4288-9ED0-58967E21DB02}"/>
    <cellStyle name="Normal 2 2 2 2 16 3 3" xfId="15519" xr:uid="{142450F1-F064-49D7-B4D4-C96CE70AD4D9}"/>
    <cellStyle name="Normal 2 2 2 2 16 3 4" xfId="15520" xr:uid="{1FDF78D2-56C8-41EA-AD1C-E7DD09F6AE73}"/>
    <cellStyle name="Normal 2 2 2 2 16 3 5" xfId="15521" xr:uid="{5333D417-A9BB-4DB7-A259-9D6A8B15AF07}"/>
    <cellStyle name="Normal 2 2 2 2 16 3 6" xfId="15522" xr:uid="{53DEDBB6-C9F9-45A3-A34F-814CFE889A64}"/>
    <cellStyle name="Normal 2 2 2 2 16 4" xfId="15523" xr:uid="{6D4929F7-A25D-4B63-8283-780BB623ABCF}"/>
    <cellStyle name="Normal 2 2 2 2 16 4 2" xfId="15524" xr:uid="{6B79EF04-93EA-4496-A368-FEC82C8B8001}"/>
    <cellStyle name="Normal 2 2 2 2 16 4 3" xfId="15525" xr:uid="{A9DF3672-B6E6-4DF2-BB21-677D17142829}"/>
    <cellStyle name="Normal 2 2 2 2 16 4 4" xfId="15526" xr:uid="{454AF054-2208-49E0-B878-34150109E5E9}"/>
    <cellStyle name="Normal 2 2 2 2 16 4 5" xfId="15527" xr:uid="{BC2999AA-D71E-4929-AFC4-ED4365E47A88}"/>
    <cellStyle name="Normal 2 2 2 2 16 4 6" xfId="15528" xr:uid="{2E60D633-39C9-4ED1-9782-AE52BDB16E2F}"/>
    <cellStyle name="Normal 2 2 2 2 16 5" xfId="15529" xr:uid="{200E1DF3-9F81-4908-AF35-D0450863D2B6}"/>
    <cellStyle name="Normal 2 2 2 2 16 5 2" xfId="15530" xr:uid="{9D6922EA-61FF-4987-9F87-4AFF20E3AAB1}"/>
    <cellStyle name="Normal 2 2 2 2 16 5 3" xfId="15531" xr:uid="{F3F2953C-0FFD-47A9-910A-4FEFC8765AC0}"/>
    <cellStyle name="Normal 2 2 2 2 16 5 4" xfId="15532" xr:uid="{5355667E-0C4C-41B5-9348-4C51A2C10EFD}"/>
    <cellStyle name="Normal 2 2 2 2 16 5 5" xfId="15533" xr:uid="{73F2935C-FE2A-4D4F-B78E-150F19EF6AD4}"/>
    <cellStyle name="Normal 2 2 2 2 16 5 6" xfId="15534" xr:uid="{912494D5-999D-4E8B-BDDF-8DAB4526D173}"/>
    <cellStyle name="Normal 2 2 2 2 16 6" xfId="15535" xr:uid="{0C930D39-A5AD-44AB-9AAC-C108827C0133}"/>
    <cellStyle name="Normal 2 2 2 2 16 6 2" xfId="15536" xr:uid="{5091595C-A0F8-4819-85B8-117FF0DF627E}"/>
    <cellStyle name="Normal 2 2 2 2 16 6 3" xfId="15537" xr:uid="{E419BC9E-3ABC-4DFD-A145-AD26A4254FA9}"/>
    <cellStyle name="Normal 2 2 2 2 16 6 4" xfId="15538" xr:uid="{DE6500C6-0F8E-4F75-AA99-5A91B47BDCAB}"/>
    <cellStyle name="Normal 2 2 2 2 16 6 5" xfId="15539" xr:uid="{4F544B6E-2508-46CC-B80E-F06828E74098}"/>
    <cellStyle name="Normal 2 2 2 2 16 6 6" xfId="15540" xr:uid="{0D0C16EC-C6D5-4BF3-8ABE-8F2D17F83B8C}"/>
    <cellStyle name="Normal 2 2 2 2 16 7" xfId="15541" xr:uid="{204EDAB4-B23B-44AD-8505-5BE6C7332B4C}"/>
    <cellStyle name="Normal 2 2 2 2 16 7 2" xfId="15542" xr:uid="{C5AEBB5D-4B19-44EB-B0DF-2E9B68F64FEB}"/>
    <cellStyle name="Normal 2 2 2 2 16 7 3" xfId="15543" xr:uid="{48C5C7B9-43F9-463B-AC0E-CAF4EE941057}"/>
    <cellStyle name="Normal 2 2 2 2 16 7 4" xfId="15544" xr:uid="{0CCC2C27-65A2-4EDD-B04B-2F63A927B28F}"/>
    <cellStyle name="Normal 2 2 2 2 16 7 5" xfId="15545" xr:uid="{C834C150-2066-4950-8D84-8716EE7AF104}"/>
    <cellStyle name="Normal 2 2 2 2 16 7 6" xfId="15546" xr:uid="{1F03348C-CDE2-4A4F-A84E-D89B76FCDEF3}"/>
    <cellStyle name="Normal 2 2 2 2 16 8" xfId="15547" xr:uid="{9875EBB1-F62E-42F2-BF5D-33D04F169229}"/>
    <cellStyle name="Normal 2 2 2 2 16 8 2" xfId="15548" xr:uid="{919BCB81-4267-400F-AAFB-884587EB0433}"/>
    <cellStyle name="Normal 2 2 2 2 16 8 3" xfId="15549" xr:uid="{267D3FEA-E4C0-41CF-BF53-AEF9F63B3EDC}"/>
    <cellStyle name="Normal 2 2 2 2 16 8 4" xfId="15550" xr:uid="{0BB19718-03A9-4DC9-AA1F-1C448A0B6118}"/>
    <cellStyle name="Normal 2 2 2 2 16 8 5" xfId="15551" xr:uid="{4F80DD9A-5BB7-4BF4-9B63-88A84F45D1CB}"/>
    <cellStyle name="Normal 2 2 2 2 16 8 6" xfId="15552" xr:uid="{AD6473E1-C5CA-4F77-9ED8-5B7EED9F431B}"/>
    <cellStyle name="Normal 2 2 2 2 16 9" xfId="15553" xr:uid="{2174E3A6-E4A0-428D-85A8-80BF5DF47C7D}"/>
    <cellStyle name="Normal 2 2 2 2 17" xfId="15554" xr:uid="{2D5B7C0E-47E0-4D6F-996A-AED3FEC97B3A}"/>
    <cellStyle name="Normal 2 2 2 2 17 10" xfId="15555" xr:uid="{F01DC97A-B284-4116-B6DF-D8CFD8793DE8}"/>
    <cellStyle name="Normal 2 2 2 2 17 11" xfId="15556" xr:uid="{F28E268D-7F70-498B-9D19-C6F4497863F6}"/>
    <cellStyle name="Normal 2 2 2 2 17 12" xfId="15557" xr:uid="{F9490A9A-CFF2-47D7-8FEB-31D1AADE63E6}"/>
    <cellStyle name="Normal 2 2 2 2 17 12 2" xfId="15558" xr:uid="{68EB23AF-87FC-44FE-9D0D-DC7F0C7B6DD8}"/>
    <cellStyle name="Normal 2 2 2 2 17 12 3" xfId="15559" xr:uid="{5EFCBC33-1291-4B1C-9CBF-B6C9FF9FEB72}"/>
    <cellStyle name="Normal 2 2 2 2 17 12 4" xfId="15560" xr:uid="{7C4610F1-AFD0-4EB4-B757-837C3ED98349}"/>
    <cellStyle name="Normal 2 2 2 2 17 12 5" xfId="15561" xr:uid="{D76509DB-93B8-4FDB-8C9D-0A66C557B507}"/>
    <cellStyle name="Normal 2 2 2 2 17 12 6" xfId="15562" xr:uid="{210E408C-0410-41C3-8C1E-24F0E3E7E74F}"/>
    <cellStyle name="Normal 2 2 2 2 17 13" xfId="15563" xr:uid="{2239D76E-10DA-4D69-B6C0-9CDD16DBFFF4}"/>
    <cellStyle name="Normal 2 2 2 2 17 13 2" xfId="15564" xr:uid="{661E1B5D-ADA0-4DB3-BF80-81BF33ED93A2}"/>
    <cellStyle name="Normal 2 2 2 2 17 13 3" xfId="15565" xr:uid="{14C9AE87-DAC0-47B7-974C-EC95DCF25CBD}"/>
    <cellStyle name="Normal 2 2 2 2 17 13 4" xfId="15566" xr:uid="{12529C51-338E-49CC-BC11-BF483073D4F0}"/>
    <cellStyle name="Normal 2 2 2 2 17 13 5" xfId="15567" xr:uid="{2A3FD715-9E01-48AF-B9F0-1A0C2F2E3519}"/>
    <cellStyle name="Normal 2 2 2 2 17 13 6" xfId="15568" xr:uid="{BDF4611A-86D8-49BD-8B68-FE48D832B3B8}"/>
    <cellStyle name="Normal 2 2 2 2 17 14" xfId="15569" xr:uid="{749784D9-D027-4AFA-87FE-47BFD5F6C00E}"/>
    <cellStyle name="Normal 2 2 2 2 17 14 2" xfId="15570" xr:uid="{A00B37B2-8B39-4AF5-B800-98A9CBC12A08}"/>
    <cellStyle name="Normal 2 2 2 2 17 14 3" xfId="15571" xr:uid="{975BA61C-9338-4A62-BE2B-8D2E0B310879}"/>
    <cellStyle name="Normal 2 2 2 2 17 14 4" xfId="15572" xr:uid="{7A6E08A4-BB03-4785-93F6-A08DBB6A75E7}"/>
    <cellStyle name="Normal 2 2 2 2 17 14 5" xfId="15573" xr:uid="{448CB802-35E9-48E5-AC31-AF81B4DECD2A}"/>
    <cellStyle name="Normal 2 2 2 2 17 14 6" xfId="15574" xr:uid="{16CFC6FE-EB46-4C5F-ACFD-5003A8ACE954}"/>
    <cellStyle name="Normal 2 2 2 2 17 15" xfId="15575" xr:uid="{89748885-E9B3-46B8-A941-0BFCAD8D2ABF}"/>
    <cellStyle name="Normal 2 2 2 2 17 15 2" xfId="15576" xr:uid="{0A3F4256-1F08-493D-854C-823D8A6F6B55}"/>
    <cellStyle name="Normal 2 2 2 2 17 15 3" xfId="15577" xr:uid="{57B84199-9889-4B1A-96CB-9C0E84E44531}"/>
    <cellStyle name="Normal 2 2 2 2 17 15 4" xfId="15578" xr:uid="{D0320892-8CD5-4FEA-BB15-F923C9C885CD}"/>
    <cellStyle name="Normal 2 2 2 2 17 15 5" xfId="15579" xr:uid="{B252BD4F-DB5D-4BC8-BB79-6AE7A4DA6244}"/>
    <cellStyle name="Normal 2 2 2 2 17 15 6" xfId="15580" xr:uid="{0F44800E-B18F-4D8D-8DB0-81556563BAB7}"/>
    <cellStyle name="Normal 2 2 2 2 17 16" xfId="15581" xr:uid="{C898D51D-12AB-4C5E-9F59-D462D69243A8}"/>
    <cellStyle name="Normal 2 2 2 2 17 16 2" xfId="15582" xr:uid="{77AD3499-157A-4DBD-B957-C842C6D23CAD}"/>
    <cellStyle name="Normal 2 2 2 2 17 16 3" xfId="15583" xr:uid="{81BAFE1C-58C6-4F76-B647-BC09F458013E}"/>
    <cellStyle name="Normal 2 2 2 2 17 16 4" xfId="15584" xr:uid="{0D4C2E17-C27C-4BA4-A8D1-C1E33DAE8F32}"/>
    <cellStyle name="Normal 2 2 2 2 17 16 5" xfId="15585" xr:uid="{FC671FD0-9A58-44B6-A752-458F1BCC6B5E}"/>
    <cellStyle name="Normal 2 2 2 2 17 16 6" xfId="15586" xr:uid="{630B925A-3C5D-4EA5-909D-0C2E08333D04}"/>
    <cellStyle name="Normal 2 2 2 2 17 17" xfId="15587" xr:uid="{D7F66861-2A6B-49CE-BF75-734A2FC6C1A1}"/>
    <cellStyle name="Normal 2 2 2 2 17 17 2" xfId="15588" xr:uid="{73A018AA-FCC4-49D3-8A49-CD99CB1CDA77}"/>
    <cellStyle name="Normal 2 2 2 2 17 17 3" xfId="15589" xr:uid="{6F4BEEC9-F93A-4185-858E-5903C48D8710}"/>
    <cellStyle name="Normal 2 2 2 2 17 17 4" xfId="15590" xr:uid="{9D3B232E-9B61-402E-A7BB-55939BD06BF7}"/>
    <cellStyle name="Normal 2 2 2 2 17 17 5" xfId="15591" xr:uid="{79BEB690-34D4-49F3-A6BC-31A8723CAEE1}"/>
    <cellStyle name="Normal 2 2 2 2 17 17 6" xfId="15592" xr:uid="{834E3207-221D-4DC7-B407-9F9C3F048552}"/>
    <cellStyle name="Normal 2 2 2 2 17 18" xfId="15593" xr:uid="{EFBCBD47-F970-449F-B818-0D63660C998A}"/>
    <cellStyle name="Normal 2 2 2 2 17 18 2" xfId="15594" xr:uid="{C93D1777-1D77-4F6F-908A-8C1CA0074977}"/>
    <cellStyle name="Normal 2 2 2 2 17 18 3" xfId="15595" xr:uid="{C54998B7-4FA2-4F21-96B7-E3816DFE594C}"/>
    <cellStyle name="Normal 2 2 2 2 17 18 4" xfId="15596" xr:uid="{32B0A7BB-9109-48D5-8F17-E8BC27212506}"/>
    <cellStyle name="Normal 2 2 2 2 17 18 5" xfId="15597" xr:uid="{276CE875-F525-4A69-B6C0-CE61FD14C19E}"/>
    <cellStyle name="Normal 2 2 2 2 17 18 6" xfId="15598" xr:uid="{326BB0B5-AF4C-4E6D-9202-034D9B0979C9}"/>
    <cellStyle name="Normal 2 2 2 2 17 19" xfId="15599" xr:uid="{E1CA8DA2-73CF-444B-B6A3-A8087ADD0227}"/>
    <cellStyle name="Normal 2 2 2 2 17 2" xfId="15600" xr:uid="{2FBA8F9A-165E-4872-9ACA-93670E36DD23}"/>
    <cellStyle name="Normal 2 2 2 2 17 20" xfId="15601" xr:uid="{6EE0108A-57FA-4332-B25C-6AD379A8AC06}"/>
    <cellStyle name="Normal 2 2 2 2 17 21" xfId="15602" xr:uid="{BFD12D6C-3B9E-440B-8FBF-468278CA5A1E}"/>
    <cellStyle name="Normal 2 2 2 2 17 22" xfId="15603" xr:uid="{8A30182E-53BE-4585-8D60-A0CB27CC3E81}"/>
    <cellStyle name="Normal 2 2 2 2 17 23" xfId="15604" xr:uid="{C51D88F8-D81B-430C-8469-BF37E87AD4F9}"/>
    <cellStyle name="Normal 2 2 2 2 17 3" xfId="15605" xr:uid="{9835B312-B4C7-4122-9110-FB5567EAB85F}"/>
    <cellStyle name="Normal 2 2 2 2 17 4" xfId="15606" xr:uid="{394BF381-8010-4AC9-8FD3-B86B68714289}"/>
    <cellStyle name="Normal 2 2 2 2 17 5" xfId="15607" xr:uid="{EEB75DE4-C4F4-4BD5-B722-44F861307F68}"/>
    <cellStyle name="Normal 2 2 2 2 17 6" xfId="15608" xr:uid="{CED5D80E-BE92-4F53-91D3-F3E32E4596B3}"/>
    <cellStyle name="Normal 2 2 2 2 17 7" xfId="15609" xr:uid="{6CCBEFEC-FEF0-4FF4-9736-C815CB7DBDF0}"/>
    <cellStyle name="Normal 2 2 2 2 17 8" xfId="15610" xr:uid="{A19A6C0A-F6D4-4798-8616-EE87B939959C}"/>
    <cellStyle name="Normal 2 2 2 2 17 9" xfId="15611" xr:uid="{56628163-017C-4608-9D89-0D0895D1A5B3}"/>
    <cellStyle name="Normal 2 2 2 2 18" xfId="15612" xr:uid="{C6FFDF86-B8CF-452D-A56A-0E25C949AE74}"/>
    <cellStyle name="Normal 2 2 2 2 18 2" xfId="15613" xr:uid="{1C96F28B-9B98-4367-BB50-795C7D472501}"/>
    <cellStyle name="Normal 2 2 2 2 18 2 2" xfId="15614" xr:uid="{60D0A98E-472B-4F6E-B64E-AA42D7938A4F}"/>
    <cellStyle name="Normal 2 2 2 2 18 2 2 2" xfId="15615" xr:uid="{E592391C-02BD-4360-8831-3CBB24E63F7A}"/>
    <cellStyle name="Normal 2 2 2 2 18 2 3" xfId="15616" xr:uid="{927FEB60-18E7-4982-8669-8DE0889D1596}"/>
    <cellStyle name="Normal 2 2 2 2 18 3" xfId="15617" xr:uid="{B71DE97F-0A25-4D9B-B01B-87A328120DE5}"/>
    <cellStyle name="Normal 2 2 2 2 18 3 2" xfId="15618" xr:uid="{7163E52D-CE69-416E-BAD2-B9EF7AD9C8CD}"/>
    <cellStyle name="Normal 2 2 2 2 19" xfId="15619" xr:uid="{B706DC9C-8222-4925-AD73-277EAF271236}"/>
    <cellStyle name="Normal 2 2 2 2 19 2" xfId="15620" xr:uid="{7A31A361-9703-4352-B458-1D4CA6A1C6DD}"/>
    <cellStyle name="Normal 2 2 2 2 2" xfId="15621" xr:uid="{1B01EC1C-9CF1-4FA5-96A7-95D19498F8ED}"/>
    <cellStyle name="Normal 2 2 2 2 2 10" xfId="15622" xr:uid="{569ECCB6-669C-4F50-A82C-8F4E47FB3084}"/>
    <cellStyle name="Normal 2 2 2 2 2 11" xfId="15623" xr:uid="{5B299425-DF48-4158-AD78-F4ED7838011B}"/>
    <cellStyle name="Normal 2 2 2 2 2 11 10" xfId="15624" xr:uid="{13FD1FBA-D080-4FD2-B92C-F331BE2D663B}"/>
    <cellStyle name="Normal 2 2 2 2 2 11 10 10" xfId="15625" xr:uid="{4967A219-70F0-4B95-9B68-EACB155FA1BF}"/>
    <cellStyle name="Normal 2 2 2 2 2 11 10 11" xfId="15626" xr:uid="{8B94AFC0-D8C3-40B9-BD4E-30451AFF8F59}"/>
    <cellStyle name="Normal 2 2 2 2 2 11 10 12" xfId="15627" xr:uid="{AF507F82-EB66-400E-BDDC-42CE3C83B3A2}"/>
    <cellStyle name="Normal 2 2 2 2 2 11 10 13" xfId="15628" xr:uid="{D85E89D2-92D5-4445-B2ED-F6C66991FA25}"/>
    <cellStyle name="Normal 2 2 2 2 2 11 10 2" xfId="15629" xr:uid="{F2078D22-1970-47D5-A2EE-E2A0F8D53A23}"/>
    <cellStyle name="Normal 2 2 2 2 2 11 10 2 2" xfId="15630" xr:uid="{B8B4F3C3-92BC-4DA2-9FB1-52A908B773EE}"/>
    <cellStyle name="Normal 2 2 2 2 2 11 10 2 3" xfId="15631" xr:uid="{DFBD5BEB-8E98-46E1-B97A-9C57BBC8CE2A}"/>
    <cellStyle name="Normal 2 2 2 2 2 11 10 2 4" xfId="15632" xr:uid="{F587EFA0-051B-404E-9AF3-44FCD2097B95}"/>
    <cellStyle name="Normal 2 2 2 2 2 11 10 2 5" xfId="15633" xr:uid="{D96973B9-1830-4751-9B0E-76DCC6F5D26A}"/>
    <cellStyle name="Normal 2 2 2 2 2 11 10 2 6" xfId="15634" xr:uid="{68230608-CA1C-438A-919A-4CEC134A4393}"/>
    <cellStyle name="Normal 2 2 2 2 2 11 10 3" xfId="15635" xr:uid="{4F2D7C8A-C21E-47C0-8E54-9512BCEC2DFE}"/>
    <cellStyle name="Normal 2 2 2 2 2 11 10 3 2" xfId="15636" xr:uid="{DD5EC51A-6762-412A-9B65-BE583F44274A}"/>
    <cellStyle name="Normal 2 2 2 2 2 11 10 3 3" xfId="15637" xr:uid="{8CD46422-DE7E-4787-8EFF-85B75A832D1A}"/>
    <cellStyle name="Normal 2 2 2 2 2 11 10 3 4" xfId="15638" xr:uid="{1B5BDA80-5298-4E27-94C8-2281253A6148}"/>
    <cellStyle name="Normal 2 2 2 2 2 11 10 3 5" xfId="15639" xr:uid="{94566412-EAE4-4751-85B6-D5D3CD8FBC53}"/>
    <cellStyle name="Normal 2 2 2 2 2 11 10 3 6" xfId="15640" xr:uid="{CBD9A9D7-8A4D-41DE-A2F6-707629527AF0}"/>
    <cellStyle name="Normal 2 2 2 2 2 11 10 4" xfId="15641" xr:uid="{F34DE049-AD17-4FF8-9FE9-64EC95D9A52B}"/>
    <cellStyle name="Normal 2 2 2 2 2 11 10 4 2" xfId="15642" xr:uid="{CA5E7287-291F-4411-A745-A4CC2C90EBC4}"/>
    <cellStyle name="Normal 2 2 2 2 2 11 10 4 3" xfId="15643" xr:uid="{DE939FC8-C752-49CA-A7BA-2C0EAE7D22A1}"/>
    <cellStyle name="Normal 2 2 2 2 2 11 10 4 4" xfId="15644" xr:uid="{B69AEA47-A751-4811-AF3F-52AA2EE78413}"/>
    <cellStyle name="Normal 2 2 2 2 2 11 10 4 5" xfId="15645" xr:uid="{B3DEE935-00F8-4C5E-AE37-000AB51A8807}"/>
    <cellStyle name="Normal 2 2 2 2 2 11 10 4 6" xfId="15646" xr:uid="{4A1E1E51-1715-43EA-9D2B-31F15AE6A0EA}"/>
    <cellStyle name="Normal 2 2 2 2 2 11 10 5" xfId="15647" xr:uid="{CBA56106-D333-4F01-ADF8-BC69EF863DD0}"/>
    <cellStyle name="Normal 2 2 2 2 2 11 10 5 2" xfId="15648" xr:uid="{4F7EC6E7-8336-4CE3-BCB4-117C73810EB5}"/>
    <cellStyle name="Normal 2 2 2 2 2 11 10 5 3" xfId="15649" xr:uid="{D609931D-9B84-4B50-A840-A625BA352E0B}"/>
    <cellStyle name="Normal 2 2 2 2 2 11 10 5 4" xfId="15650" xr:uid="{FB3DEB57-9E91-44B6-88C9-AE32BB23B7AA}"/>
    <cellStyle name="Normal 2 2 2 2 2 11 10 5 5" xfId="15651" xr:uid="{283E8B49-F66E-46DA-8347-305D75C7C978}"/>
    <cellStyle name="Normal 2 2 2 2 2 11 10 5 6" xfId="15652" xr:uid="{730F95FB-D7B9-4209-8F86-D194A7BA3FA7}"/>
    <cellStyle name="Normal 2 2 2 2 2 11 10 6" xfId="15653" xr:uid="{9860753F-80EC-4A9B-9CC9-594AEEF15CF6}"/>
    <cellStyle name="Normal 2 2 2 2 2 11 10 6 2" xfId="15654" xr:uid="{DC850D2C-FC6D-4211-B852-8A189398F3C8}"/>
    <cellStyle name="Normal 2 2 2 2 2 11 10 6 3" xfId="15655" xr:uid="{7E8F5F56-8110-4070-9E2A-8C5E81923383}"/>
    <cellStyle name="Normal 2 2 2 2 2 11 10 6 4" xfId="15656" xr:uid="{7B1785F9-6D44-4F66-B37D-9005DDCFF7FC}"/>
    <cellStyle name="Normal 2 2 2 2 2 11 10 6 5" xfId="15657" xr:uid="{24DF1045-8D25-4821-A518-860415D1EE39}"/>
    <cellStyle name="Normal 2 2 2 2 2 11 10 6 6" xfId="15658" xr:uid="{352AF261-9BFF-42E4-B17D-A21930E9B60E}"/>
    <cellStyle name="Normal 2 2 2 2 2 11 10 7" xfId="15659" xr:uid="{B39787AF-DF5A-4C9B-B3D3-3D3725B19CAB}"/>
    <cellStyle name="Normal 2 2 2 2 2 11 10 7 2" xfId="15660" xr:uid="{9F68A3E6-F8B9-4431-83CF-D0FE60F437DC}"/>
    <cellStyle name="Normal 2 2 2 2 2 11 10 7 3" xfId="15661" xr:uid="{41BC5DF7-CD1B-4AE0-BB92-C6C0FBD93BC3}"/>
    <cellStyle name="Normal 2 2 2 2 2 11 10 7 4" xfId="15662" xr:uid="{E4472B5A-9B69-4ED9-894B-7D27E90DA3A8}"/>
    <cellStyle name="Normal 2 2 2 2 2 11 10 7 5" xfId="15663" xr:uid="{83B29567-5A36-426C-865A-C789DF77DC3E}"/>
    <cellStyle name="Normal 2 2 2 2 2 11 10 7 6" xfId="15664" xr:uid="{97A62139-9BAB-4C64-B249-B34767DFC583}"/>
    <cellStyle name="Normal 2 2 2 2 2 11 10 8" xfId="15665" xr:uid="{6C54A455-FB84-4CBC-B321-49D6267667F3}"/>
    <cellStyle name="Normal 2 2 2 2 2 11 10 8 2" xfId="15666" xr:uid="{F0185BA3-329C-4855-8D25-FEAFB9C67A91}"/>
    <cellStyle name="Normal 2 2 2 2 2 11 10 8 3" xfId="15667" xr:uid="{E75E0AAB-B78D-4BA5-9C89-BF5EB20B3FB4}"/>
    <cellStyle name="Normal 2 2 2 2 2 11 10 8 4" xfId="15668" xr:uid="{E7C03476-1A77-4189-839D-A6970092376C}"/>
    <cellStyle name="Normal 2 2 2 2 2 11 10 8 5" xfId="15669" xr:uid="{D90A2A9B-64CB-4AC8-9829-BB1216912768}"/>
    <cellStyle name="Normal 2 2 2 2 2 11 10 8 6" xfId="15670" xr:uid="{58C657F7-BE9D-4119-AED6-3E8D88B502F2}"/>
    <cellStyle name="Normal 2 2 2 2 2 11 10 9" xfId="15671" xr:uid="{1D29C62A-D9E8-4DAB-BE4A-6F3E6BF92844}"/>
    <cellStyle name="Normal 2 2 2 2 2 11 11" xfId="15672" xr:uid="{ABFD9D30-FCA3-49D1-B4E0-E7A1D18DF195}"/>
    <cellStyle name="Normal 2 2 2 2 2 11 11 10" xfId="15673" xr:uid="{6EA0D702-EC89-4744-AACA-ECD8BB8AED94}"/>
    <cellStyle name="Normal 2 2 2 2 2 11 11 11" xfId="15674" xr:uid="{1ACF396D-CB7D-4602-9895-4D596D8DF0FF}"/>
    <cellStyle name="Normal 2 2 2 2 2 11 11 12" xfId="15675" xr:uid="{0E2E225C-EC84-49DC-847C-7F0F85FD9046}"/>
    <cellStyle name="Normal 2 2 2 2 2 11 11 13" xfId="15676" xr:uid="{19C1993E-0173-4825-867D-E2F9ECFBA07A}"/>
    <cellStyle name="Normal 2 2 2 2 2 11 11 2" xfId="15677" xr:uid="{D74DC913-C17C-4EBC-9594-1BBFD31B5963}"/>
    <cellStyle name="Normal 2 2 2 2 2 11 11 2 2" xfId="15678" xr:uid="{3C812D0A-E352-4975-BE55-6634D2F7D2D4}"/>
    <cellStyle name="Normal 2 2 2 2 2 11 11 2 3" xfId="15679" xr:uid="{888DDCA6-5507-4A7F-AEAC-54975C165B1E}"/>
    <cellStyle name="Normal 2 2 2 2 2 11 11 2 4" xfId="15680" xr:uid="{C7DC26A7-01EF-4AAE-9E26-ADB292110457}"/>
    <cellStyle name="Normal 2 2 2 2 2 11 11 2 5" xfId="15681" xr:uid="{9A0EAB6D-49C4-4667-9789-26ABB05C9712}"/>
    <cellStyle name="Normal 2 2 2 2 2 11 11 2 6" xfId="15682" xr:uid="{AE30297D-307A-428F-883C-A753C95A6BE5}"/>
    <cellStyle name="Normal 2 2 2 2 2 11 11 3" xfId="15683" xr:uid="{1CAEEF65-45F6-4953-AE87-AAEB823EE0C8}"/>
    <cellStyle name="Normal 2 2 2 2 2 11 11 3 2" xfId="15684" xr:uid="{A520951B-FE49-4CF8-99E5-E77156F56FE6}"/>
    <cellStyle name="Normal 2 2 2 2 2 11 11 3 3" xfId="15685" xr:uid="{5DF7597B-8547-43FB-A5AE-1807A74ABB6B}"/>
    <cellStyle name="Normal 2 2 2 2 2 11 11 3 4" xfId="15686" xr:uid="{DAA72CF2-D3FC-4BAE-8ED2-692F21B4F0C5}"/>
    <cellStyle name="Normal 2 2 2 2 2 11 11 3 5" xfId="15687" xr:uid="{03D6172B-3C87-416C-92CF-0C93E89870F3}"/>
    <cellStyle name="Normal 2 2 2 2 2 11 11 3 6" xfId="15688" xr:uid="{EFEF10F0-F674-4774-A6AF-50B6B02DA262}"/>
    <cellStyle name="Normal 2 2 2 2 2 11 11 4" xfId="15689" xr:uid="{ADAE8040-35FB-4869-8606-2FE2CF408B4C}"/>
    <cellStyle name="Normal 2 2 2 2 2 11 11 4 2" xfId="15690" xr:uid="{3DEF6834-DF2B-495D-9F20-BB508F09B857}"/>
    <cellStyle name="Normal 2 2 2 2 2 11 11 4 3" xfId="15691" xr:uid="{D634CD2C-EE4A-438B-99F2-072450789205}"/>
    <cellStyle name="Normal 2 2 2 2 2 11 11 4 4" xfId="15692" xr:uid="{D98EB461-BB33-4A2E-9EB2-68A112C3777E}"/>
    <cellStyle name="Normal 2 2 2 2 2 11 11 4 5" xfId="15693" xr:uid="{4E9199F2-5F1D-4E2F-A20B-45D83FF080B4}"/>
    <cellStyle name="Normal 2 2 2 2 2 11 11 4 6" xfId="15694" xr:uid="{69F3E4A8-5487-49CA-9AAE-69405855EEE3}"/>
    <cellStyle name="Normal 2 2 2 2 2 11 11 5" xfId="15695" xr:uid="{4D74D1D7-DBF7-4269-81E4-DA179B8BB1D5}"/>
    <cellStyle name="Normal 2 2 2 2 2 11 11 5 2" xfId="15696" xr:uid="{F149FCEE-7A7A-421E-B334-B8889041061C}"/>
    <cellStyle name="Normal 2 2 2 2 2 11 11 5 3" xfId="15697" xr:uid="{8789F485-5B77-41AB-9024-F833A000B64A}"/>
    <cellStyle name="Normal 2 2 2 2 2 11 11 5 4" xfId="15698" xr:uid="{C1A689EC-42A1-4669-8C7B-4BA841DD342A}"/>
    <cellStyle name="Normal 2 2 2 2 2 11 11 5 5" xfId="15699" xr:uid="{637FB769-2A69-428D-AC7B-432BE95BE2FA}"/>
    <cellStyle name="Normal 2 2 2 2 2 11 11 5 6" xfId="15700" xr:uid="{7ED8E2D1-F991-4DC2-94C6-9E0B0F5C292B}"/>
    <cellStyle name="Normal 2 2 2 2 2 11 11 6" xfId="15701" xr:uid="{C97CF276-AC40-409F-A45D-C27D5CF136A7}"/>
    <cellStyle name="Normal 2 2 2 2 2 11 11 6 2" xfId="15702" xr:uid="{7654907C-E61F-47BB-AB43-3592129586E1}"/>
    <cellStyle name="Normal 2 2 2 2 2 11 11 6 3" xfId="15703" xr:uid="{F6F0A87F-6439-4C8D-9BD9-623D07ED8623}"/>
    <cellStyle name="Normal 2 2 2 2 2 11 11 6 4" xfId="15704" xr:uid="{644A37BF-BFBD-4C93-8570-E1706B428158}"/>
    <cellStyle name="Normal 2 2 2 2 2 11 11 6 5" xfId="15705" xr:uid="{7E810810-02CD-4187-ABEB-C62C3CA17675}"/>
    <cellStyle name="Normal 2 2 2 2 2 11 11 6 6" xfId="15706" xr:uid="{D99FD653-81B5-4616-AFD7-74636EB390BB}"/>
    <cellStyle name="Normal 2 2 2 2 2 11 11 7" xfId="15707" xr:uid="{E1480091-2DDD-4D51-BF47-39600BB0993A}"/>
    <cellStyle name="Normal 2 2 2 2 2 11 11 7 2" xfId="15708" xr:uid="{C9D92C10-96E1-4F8A-9522-B0B8C14B7C0F}"/>
    <cellStyle name="Normal 2 2 2 2 2 11 11 7 3" xfId="15709" xr:uid="{DD2013F7-B587-4BB4-80CD-1F6572006088}"/>
    <cellStyle name="Normal 2 2 2 2 2 11 11 7 4" xfId="15710" xr:uid="{F4B5C23A-48D7-455B-8E6C-A6B3E6B11D65}"/>
    <cellStyle name="Normal 2 2 2 2 2 11 11 7 5" xfId="15711" xr:uid="{46EE6B5A-D4B3-41BF-9F12-DB30588E608D}"/>
    <cellStyle name="Normal 2 2 2 2 2 11 11 7 6" xfId="15712" xr:uid="{2741715F-D1AC-46D5-98D5-9A8AF7591751}"/>
    <cellStyle name="Normal 2 2 2 2 2 11 11 8" xfId="15713" xr:uid="{2E6965BE-09B4-4736-8C13-02CDB7010198}"/>
    <cellStyle name="Normal 2 2 2 2 2 11 11 8 2" xfId="15714" xr:uid="{58F5A02B-E7BD-42AA-A34F-856686BC98E1}"/>
    <cellStyle name="Normal 2 2 2 2 2 11 11 8 3" xfId="15715" xr:uid="{4E4FCD19-C0AE-42EE-B046-083F1B814909}"/>
    <cellStyle name="Normal 2 2 2 2 2 11 11 8 4" xfId="15716" xr:uid="{6C81B75E-1E50-4CE6-9F82-91E64CEF0C4E}"/>
    <cellStyle name="Normal 2 2 2 2 2 11 11 8 5" xfId="15717" xr:uid="{BF6D72B5-D774-4C21-8EBA-27EB00AE7A33}"/>
    <cellStyle name="Normal 2 2 2 2 2 11 11 8 6" xfId="15718" xr:uid="{91390105-F1E8-4DA1-8225-53CE1372754C}"/>
    <cellStyle name="Normal 2 2 2 2 2 11 11 9" xfId="15719" xr:uid="{CDCC1B9B-5F0E-4627-8F73-50CC75951858}"/>
    <cellStyle name="Normal 2 2 2 2 2 11 2" xfId="15720" xr:uid="{73739F23-074C-4A26-B5D8-3769CFCA695C}"/>
    <cellStyle name="Normal 2 2 2 2 2 11 2 10" xfId="15721" xr:uid="{5CBFA288-04AC-4373-A6E5-B2FED3D04F0C}"/>
    <cellStyle name="Normal 2 2 2 2 2 11 2 11" xfId="15722" xr:uid="{D356AFE4-B49B-40D7-8BC6-88DF893152DC}"/>
    <cellStyle name="Normal 2 2 2 2 2 11 2 12" xfId="15723" xr:uid="{5A079690-EB22-4A24-A7BB-79814C3F2E84}"/>
    <cellStyle name="Normal 2 2 2 2 2 11 2 13" xfId="15724" xr:uid="{C8917DDB-5AD4-4CE4-B399-23E23C35E23D}"/>
    <cellStyle name="Normal 2 2 2 2 2 11 2 2" xfId="15725" xr:uid="{DF5BE0BC-D5B3-40C8-9A15-50052D4FAA84}"/>
    <cellStyle name="Normal 2 2 2 2 2 11 2 2 2" xfId="15726" xr:uid="{D4FDF029-96A6-4E2A-BD5B-E230360D0ACC}"/>
    <cellStyle name="Normal 2 2 2 2 2 11 2 2 3" xfId="15727" xr:uid="{B3E5B3E5-6866-4759-A932-5A3AD920D862}"/>
    <cellStyle name="Normal 2 2 2 2 2 11 2 2 4" xfId="15728" xr:uid="{860C3B73-E599-46DD-AD32-E46FA70CF464}"/>
    <cellStyle name="Normal 2 2 2 2 2 11 2 2 5" xfId="15729" xr:uid="{27D23FBA-C984-4E4D-957D-D292FAD47EDD}"/>
    <cellStyle name="Normal 2 2 2 2 2 11 2 2 6" xfId="15730" xr:uid="{FEFE4C88-BB4C-49AE-8BD2-89068759B562}"/>
    <cellStyle name="Normal 2 2 2 2 2 11 2 3" xfId="15731" xr:uid="{69D4C581-42F5-4A23-ACAA-07C5B62DEBF0}"/>
    <cellStyle name="Normal 2 2 2 2 2 11 2 3 2" xfId="15732" xr:uid="{76179F4D-BB13-46D4-B925-9EC083D24220}"/>
    <cellStyle name="Normal 2 2 2 2 2 11 2 3 3" xfId="15733" xr:uid="{1F571F76-084A-48F6-ABB5-72B8463DF402}"/>
    <cellStyle name="Normal 2 2 2 2 2 11 2 3 4" xfId="15734" xr:uid="{F9C66184-2A39-49D7-8EC0-C4DCC6AFB3B4}"/>
    <cellStyle name="Normal 2 2 2 2 2 11 2 3 5" xfId="15735" xr:uid="{565A46E0-E94C-4F24-9A16-17B6372DA493}"/>
    <cellStyle name="Normal 2 2 2 2 2 11 2 3 6" xfId="15736" xr:uid="{563BD56E-2B02-4AD1-9A2E-FDF918D7D955}"/>
    <cellStyle name="Normal 2 2 2 2 2 11 2 4" xfId="15737" xr:uid="{810B6860-1593-4E05-AB9B-43503638ADF9}"/>
    <cellStyle name="Normal 2 2 2 2 2 11 2 4 2" xfId="15738" xr:uid="{0946EBB3-FDD7-4ECB-911D-FBA9B8A344BF}"/>
    <cellStyle name="Normal 2 2 2 2 2 11 2 4 3" xfId="15739" xr:uid="{194E7F87-0323-4376-9DE7-6CEA102F7BEA}"/>
    <cellStyle name="Normal 2 2 2 2 2 11 2 4 4" xfId="15740" xr:uid="{58092C26-0F8C-4441-BC11-1576B4E8E60F}"/>
    <cellStyle name="Normal 2 2 2 2 2 11 2 4 5" xfId="15741" xr:uid="{59F32617-525D-40E9-9BB0-24782F932D45}"/>
    <cellStyle name="Normal 2 2 2 2 2 11 2 4 6" xfId="15742" xr:uid="{8FD118AA-B631-4342-B25A-A3361B8A30AB}"/>
    <cellStyle name="Normal 2 2 2 2 2 11 2 5" xfId="15743" xr:uid="{FC0B702B-5F46-4997-A2B9-E127F8259EC0}"/>
    <cellStyle name="Normal 2 2 2 2 2 11 2 5 2" xfId="15744" xr:uid="{8F3B907F-7297-4341-9076-41C6B7AE28AC}"/>
    <cellStyle name="Normal 2 2 2 2 2 11 2 5 3" xfId="15745" xr:uid="{9FD06511-051C-4BF2-A2E6-CCF94E82924D}"/>
    <cellStyle name="Normal 2 2 2 2 2 11 2 5 4" xfId="15746" xr:uid="{9653D5F0-6B51-40EF-A1BF-56A6D7BA90FE}"/>
    <cellStyle name="Normal 2 2 2 2 2 11 2 5 5" xfId="15747" xr:uid="{81D6EB17-27C4-496C-96FC-55BB239CD590}"/>
    <cellStyle name="Normal 2 2 2 2 2 11 2 5 6" xfId="15748" xr:uid="{AFC65776-1CD2-4411-A04B-F92EF8A40CFE}"/>
    <cellStyle name="Normal 2 2 2 2 2 11 2 6" xfId="15749" xr:uid="{5CBCDCF9-BBE3-4937-90DF-81ECA086C98B}"/>
    <cellStyle name="Normal 2 2 2 2 2 11 2 6 2" xfId="15750" xr:uid="{7F1334F4-2D65-4FF6-9B40-1E38CBCA8B72}"/>
    <cellStyle name="Normal 2 2 2 2 2 11 2 6 3" xfId="15751" xr:uid="{032F77F8-858F-4054-AE52-0A877B2FA386}"/>
    <cellStyle name="Normal 2 2 2 2 2 11 2 6 4" xfId="15752" xr:uid="{2420A7DC-44F4-44C8-B6C1-CBFA504C6759}"/>
    <cellStyle name="Normal 2 2 2 2 2 11 2 6 5" xfId="15753" xr:uid="{3C015385-AA29-4330-88AF-D74E41985A59}"/>
    <cellStyle name="Normal 2 2 2 2 2 11 2 6 6" xfId="15754" xr:uid="{9538A01D-D0E7-40D1-8551-5DC20F2303BD}"/>
    <cellStyle name="Normal 2 2 2 2 2 11 2 7" xfId="15755" xr:uid="{3A24A6FD-C09B-4D19-AC70-A3A2541D3417}"/>
    <cellStyle name="Normal 2 2 2 2 2 11 2 7 2" xfId="15756" xr:uid="{FC326D42-2DFF-4601-BD28-D71BEC9875D4}"/>
    <cellStyle name="Normal 2 2 2 2 2 11 2 7 3" xfId="15757" xr:uid="{26148DAC-3202-4890-AD8B-5D9BA5D37B1B}"/>
    <cellStyle name="Normal 2 2 2 2 2 11 2 7 4" xfId="15758" xr:uid="{B9E5B1F5-FAED-4B56-BD6C-639B049A314F}"/>
    <cellStyle name="Normal 2 2 2 2 2 11 2 7 5" xfId="15759" xr:uid="{CD93E3F0-5E2C-4869-86A4-EA88B67E96C1}"/>
    <cellStyle name="Normal 2 2 2 2 2 11 2 7 6" xfId="15760" xr:uid="{7564991F-E284-4ED7-84E8-A11279A2BD0D}"/>
    <cellStyle name="Normal 2 2 2 2 2 11 2 8" xfId="15761" xr:uid="{8BCD46C9-4246-4F5D-B88A-0234899CA34D}"/>
    <cellStyle name="Normal 2 2 2 2 2 11 2 8 2" xfId="15762" xr:uid="{95C80B87-CBD7-49B4-87EE-17F46E0F12CE}"/>
    <cellStyle name="Normal 2 2 2 2 2 11 2 8 3" xfId="15763" xr:uid="{3041B487-77F7-449E-92C0-C8F1DF40844C}"/>
    <cellStyle name="Normal 2 2 2 2 2 11 2 8 4" xfId="15764" xr:uid="{33AE00D0-2598-4444-9246-72EEC2401A1A}"/>
    <cellStyle name="Normal 2 2 2 2 2 11 2 8 5" xfId="15765" xr:uid="{BFB3E85A-5EC9-4712-A8DB-65912DDB8ACD}"/>
    <cellStyle name="Normal 2 2 2 2 2 11 2 8 6" xfId="15766" xr:uid="{754C2999-C912-460C-8513-172E68585F53}"/>
    <cellStyle name="Normal 2 2 2 2 2 11 2 9" xfId="15767" xr:uid="{6ED07925-90DD-442E-949A-FA5EAE45DA6C}"/>
    <cellStyle name="Normal 2 2 2 2 2 11 3" xfId="15768" xr:uid="{CDF26905-D428-4767-BA30-EF21909CA95D}"/>
    <cellStyle name="Normal 2 2 2 2 2 11 3 10" xfId="15769" xr:uid="{4E468001-B5AC-4DE4-9780-C8BF6A827456}"/>
    <cellStyle name="Normal 2 2 2 2 2 11 3 11" xfId="15770" xr:uid="{2A21B72F-4357-4D2D-BACC-93DF2CB980B9}"/>
    <cellStyle name="Normal 2 2 2 2 2 11 3 12" xfId="15771" xr:uid="{F8D7BCE2-545A-4F00-A219-949FF24425FD}"/>
    <cellStyle name="Normal 2 2 2 2 2 11 3 13" xfId="15772" xr:uid="{1478F9DF-DF8D-4FE3-9468-981BB662B2E1}"/>
    <cellStyle name="Normal 2 2 2 2 2 11 3 2" xfId="15773" xr:uid="{33B87F21-A187-42A6-BA88-70FE97EA3795}"/>
    <cellStyle name="Normal 2 2 2 2 2 11 3 2 2" xfId="15774" xr:uid="{54E7EDA7-F9CB-4678-A06F-9901A8E2D4BD}"/>
    <cellStyle name="Normal 2 2 2 2 2 11 3 2 3" xfId="15775" xr:uid="{F6E4A7B3-83FF-42DC-AD48-1DDD93D8CE0A}"/>
    <cellStyle name="Normal 2 2 2 2 2 11 3 2 4" xfId="15776" xr:uid="{77ACAC21-25C1-4563-83D6-84C2E3FAF1F3}"/>
    <cellStyle name="Normal 2 2 2 2 2 11 3 2 5" xfId="15777" xr:uid="{D1EEC95B-CC76-416D-826D-483AC8AE0E12}"/>
    <cellStyle name="Normal 2 2 2 2 2 11 3 2 6" xfId="15778" xr:uid="{EB15528A-E7CB-499A-BC9F-0189B6140B87}"/>
    <cellStyle name="Normal 2 2 2 2 2 11 3 3" xfId="15779" xr:uid="{10E238C3-5A82-48DF-A350-4839612DF2CB}"/>
    <cellStyle name="Normal 2 2 2 2 2 11 3 3 2" xfId="15780" xr:uid="{6BEF4A12-C535-4D2E-9A1E-FC1123270593}"/>
    <cellStyle name="Normal 2 2 2 2 2 11 3 3 3" xfId="15781" xr:uid="{ADA14855-F4BF-4439-BD5F-7F52B8A8039F}"/>
    <cellStyle name="Normal 2 2 2 2 2 11 3 3 4" xfId="15782" xr:uid="{427B74FF-14E7-46DA-A6A9-34FE3296A824}"/>
    <cellStyle name="Normal 2 2 2 2 2 11 3 3 5" xfId="15783" xr:uid="{BA9A4E9B-FBA2-47A4-9775-2CDFE8A2312F}"/>
    <cellStyle name="Normal 2 2 2 2 2 11 3 3 6" xfId="15784" xr:uid="{9712F4AE-06A9-4F6E-913F-7DEB97CDCC22}"/>
    <cellStyle name="Normal 2 2 2 2 2 11 3 4" xfId="15785" xr:uid="{043C1FDA-2C33-452E-B3F1-2D0F7239D03F}"/>
    <cellStyle name="Normal 2 2 2 2 2 11 3 4 2" xfId="15786" xr:uid="{F5FE71AF-3F31-45C3-A219-CCBC250E6320}"/>
    <cellStyle name="Normal 2 2 2 2 2 11 3 4 3" xfId="15787" xr:uid="{27F344DE-1C76-433B-9837-8B578715D7F3}"/>
    <cellStyle name="Normal 2 2 2 2 2 11 3 4 4" xfId="15788" xr:uid="{D42B014D-E2F4-4C2D-B8C6-AC5A214D063A}"/>
    <cellStyle name="Normal 2 2 2 2 2 11 3 4 5" xfId="15789" xr:uid="{41ED36D6-9838-4B5A-98F1-521F119AA3EC}"/>
    <cellStyle name="Normal 2 2 2 2 2 11 3 4 6" xfId="15790" xr:uid="{7F4E8954-E2D6-48FF-A8C7-19639482851F}"/>
    <cellStyle name="Normal 2 2 2 2 2 11 3 5" xfId="15791" xr:uid="{B9C1A24C-98FF-4289-BA61-1121F0D9DE89}"/>
    <cellStyle name="Normal 2 2 2 2 2 11 3 5 2" xfId="15792" xr:uid="{C59AAD5C-6E3B-44FB-A566-755B83220EAD}"/>
    <cellStyle name="Normal 2 2 2 2 2 11 3 5 3" xfId="15793" xr:uid="{FD8387F6-131F-4046-9E45-563BD4FC4FC0}"/>
    <cellStyle name="Normal 2 2 2 2 2 11 3 5 4" xfId="15794" xr:uid="{460DA850-7F04-4BF6-A8A6-C7D1BF30AE57}"/>
    <cellStyle name="Normal 2 2 2 2 2 11 3 5 5" xfId="15795" xr:uid="{8F9709B7-2325-4698-9E6D-26708C7641CF}"/>
    <cellStyle name="Normal 2 2 2 2 2 11 3 5 6" xfId="15796" xr:uid="{30151864-3456-4FDE-86AD-7F1A492722C2}"/>
    <cellStyle name="Normal 2 2 2 2 2 11 3 6" xfId="15797" xr:uid="{64AA7583-53EA-4D17-A720-2B504E68EC9F}"/>
    <cellStyle name="Normal 2 2 2 2 2 11 3 6 2" xfId="15798" xr:uid="{C12B5DF3-D81E-43ED-AD8B-76D69751BF3C}"/>
    <cellStyle name="Normal 2 2 2 2 2 11 3 6 3" xfId="15799" xr:uid="{E7944CF1-C19B-4DFE-A87B-F1EF7CD62364}"/>
    <cellStyle name="Normal 2 2 2 2 2 11 3 6 4" xfId="15800" xr:uid="{51DB44C4-5E6B-4A8F-B20F-5721BBC16CC5}"/>
    <cellStyle name="Normal 2 2 2 2 2 11 3 6 5" xfId="15801" xr:uid="{CFE747D7-41B6-4ACC-9137-89C5253346F2}"/>
    <cellStyle name="Normal 2 2 2 2 2 11 3 6 6" xfId="15802" xr:uid="{041118BF-DFC2-4D2F-8701-AF5F786E2ECB}"/>
    <cellStyle name="Normal 2 2 2 2 2 11 3 7" xfId="15803" xr:uid="{C41D9F49-299E-4EFC-BCE6-8C6F0DC4C75C}"/>
    <cellStyle name="Normal 2 2 2 2 2 11 3 7 2" xfId="15804" xr:uid="{801EA68F-7DB4-4FD4-A6A1-2E8479E37A93}"/>
    <cellStyle name="Normal 2 2 2 2 2 11 3 7 3" xfId="15805" xr:uid="{41900CFB-E6F6-4922-A48A-188B15642F7C}"/>
    <cellStyle name="Normal 2 2 2 2 2 11 3 7 4" xfId="15806" xr:uid="{65EBF5FC-9EA3-41E9-BBDA-2D894B1C9A7A}"/>
    <cellStyle name="Normal 2 2 2 2 2 11 3 7 5" xfId="15807" xr:uid="{EACEEB94-F789-4B2E-8819-F44147B4A4CF}"/>
    <cellStyle name="Normal 2 2 2 2 2 11 3 7 6" xfId="15808" xr:uid="{2593CB44-2535-40EF-8671-1E6B9B91A99C}"/>
    <cellStyle name="Normal 2 2 2 2 2 11 3 8" xfId="15809" xr:uid="{577A5AF1-77E6-484E-81C3-88E76E436C94}"/>
    <cellStyle name="Normal 2 2 2 2 2 11 3 8 2" xfId="15810" xr:uid="{88EA47CD-E553-41DC-8ED8-9D6A52BE2E10}"/>
    <cellStyle name="Normal 2 2 2 2 2 11 3 8 3" xfId="15811" xr:uid="{F9463096-8E7A-4ED1-9DE4-16733E2C576D}"/>
    <cellStyle name="Normal 2 2 2 2 2 11 3 8 4" xfId="15812" xr:uid="{21F8904D-7221-4458-BD25-D39C302180F1}"/>
    <cellStyle name="Normal 2 2 2 2 2 11 3 8 5" xfId="15813" xr:uid="{871343DB-377A-4B5C-B3AD-796567DF767A}"/>
    <cellStyle name="Normal 2 2 2 2 2 11 3 8 6" xfId="15814" xr:uid="{6CB834D9-F75F-440A-B1D2-7AB69589A28F}"/>
    <cellStyle name="Normal 2 2 2 2 2 11 3 9" xfId="15815" xr:uid="{355CCBED-2815-4448-829A-8455BB35A480}"/>
    <cellStyle name="Normal 2 2 2 2 2 11 4" xfId="15816" xr:uid="{D8B76858-2F5F-4372-A837-F6032752B3A6}"/>
    <cellStyle name="Normal 2 2 2 2 2 11 4 10" xfId="15817" xr:uid="{9F73A4E6-AF24-4443-A76E-AB18E575A2A1}"/>
    <cellStyle name="Normal 2 2 2 2 2 11 4 11" xfId="15818" xr:uid="{A1C5CAAF-86F9-4659-A265-9FD71A35BEE9}"/>
    <cellStyle name="Normal 2 2 2 2 2 11 4 12" xfId="15819" xr:uid="{F5FEC8D3-260A-4214-B686-D3EF991DC12F}"/>
    <cellStyle name="Normal 2 2 2 2 2 11 4 13" xfId="15820" xr:uid="{80AB8EFA-0F23-4A14-88A2-70D3BC109BF8}"/>
    <cellStyle name="Normal 2 2 2 2 2 11 4 2" xfId="15821" xr:uid="{5C68AD5E-BEF2-4C63-9835-3D8048F4652D}"/>
    <cellStyle name="Normal 2 2 2 2 2 11 4 2 2" xfId="15822" xr:uid="{A7665A57-F816-4AC0-BF64-B67ECC5BF751}"/>
    <cellStyle name="Normal 2 2 2 2 2 11 4 2 3" xfId="15823" xr:uid="{00AF76F3-C095-448D-8B58-9C33C6B8D0AF}"/>
    <cellStyle name="Normal 2 2 2 2 2 11 4 2 4" xfId="15824" xr:uid="{5C2F83C8-B924-434A-ABF0-A150F8CE5A4B}"/>
    <cellStyle name="Normal 2 2 2 2 2 11 4 2 5" xfId="15825" xr:uid="{CB4D796C-4D2A-47BC-B6E9-65EE7313D4A3}"/>
    <cellStyle name="Normal 2 2 2 2 2 11 4 2 6" xfId="15826" xr:uid="{E55AF5D4-EE2B-458A-8B84-FB763ACBA4B4}"/>
    <cellStyle name="Normal 2 2 2 2 2 11 4 3" xfId="15827" xr:uid="{555D61B5-7996-4627-B722-283E6A1FFB69}"/>
    <cellStyle name="Normal 2 2 2 2 2 11 4 3 2" xfId="15828" xr:uid="{DCD97906-11E9-4C4D-895F-7E714198ED9A}"/>
    <cellStyle name="Normal 2 2 2 2 2 11 4 3 3" xfId="15829" xr:uid="{C148305B-9400-45CC-8BC6-321EBDC7F1D8}"/>
    <cellStyle name="Normal 2 2 2 2 2 11 4 3 4" xfId="15830" xr:uid="{FC343EF9-63DD-4019-B47E-38C58ACD4391}"/>
    <cellStyle name="Normal 2 2 2 2 2 11 4 3 5" xfId="15831" xr:uid="{B1B57D42-D35F-4D19-8161-A88A8D6BD837}"/>
    <cellStyle name="Normal 2 2 2 2 2 11 4 3 6" xfId="15832" xr:uid="{19056EFC-1D3D-4B4A-BDD1-9E10FC700129}"/>
    <cellStyle name="Normal 2 2 2 2 2 11 4 4" xfId="15833" xr:uid="{4E3B9EEA-140C-491F-AADC-3728C04F87EF}"/>
    <cellStyle name="Normal 2 2 2 2 2 11 4 4 2" xfId="15834" xr:uid="{7576F854-C8BF-495F-830F-9928C1AF3F34}"/>
    <cellStyle name="Normal 2 2 2 2 2 11 4 4 3" xfId="15835" xr:uid="{4C795297-47B8-4F58-824D-B84190FAE417}"/>
    <cellStyle name="Normal 2 2 2 2 2 11 4 4 4" xfId="15836" xr:uid="{4CB44444-5EDC-4659-BDB7-D62022920A76}"/>
    <cellStyle name="Normal 2 2 2 2 2 11 4 4 5" xfId="15837" xr:uid="{A24767EF-F3E0-46E0-BD04-DC49A684CAE8}"/>
    <cellStyle name="Normal 2 2 2 2 2 11 4 4 6" xfId="15838" xr:uid="{C8811D19-B875-4F97-A458-0D2FEA9C0BAF}"/>
    <cellStyle name="Normal 2 2 2 2 2 11 4 5" xfId="15839" xr:uid="{D45B8F21-A683-4A6B-B6FD-FDF29D8701DB}"/>
    <cellStyle name="Normal 2 2 2 2 2 11 4 5 2" xfId="15840" xr:uid="{664FCAF0-EA98-42D2-ACDC-7ABFD67E3D43}"/>
    <cellStyle name="Normal 2 2 2 2 2 11 4 5 3" xfId="15841" xr:uid="{36A3DB84-4D08-4A0A-A97A-C9EAE1398A3C}"/>
    <cellStyle name="Normal 2 2 2 2 2 11 4 5 4" xfId="15842" xr:uid="{57D25CE1-8BD0-4494-B88A-0676DF92654F}"/>
    <cellStyle name="Normal 2 2 2 2 2 11 4 5 5" xfId="15843" xr:uid="{CEFAE697-A550-4D7A-8EFB-72E2DD2F820D}"/>
    <cellStyle name="Normal 2 2 2 2 2 11 4 5 6" xfId="15844" xr:uid="{4458FD76-835E-463E-8031-FBBA90A2C00A}"/>
    <cellStyle name="Normal 2 2 2 2 2 11 4 6" xfId="15845" xr:uid="{00A2F766-70AD-419B-A6F9-9F627C12E5D3}"/>
    <cellStyle name="Normal 2 2 2 2 2 11 4 6 2" xfId="15846" xr:uid="{7D991401-2046-4C33-9973-FB39CF06862A}"/>
    <cellStyle name="Normal 2 2 2 2 2 11 4 6 3" xfId="15847" xr:uid="{888938E1-69F8-4318-A5CE-97519F20F3C4}"/>
    <cellStyle name="Normal 2 2 2 2 2 11 4 6 4" xfId="15848" xr:uid="{EDAD8C92-8D7C-4BA1-861E-871C4396A6B3}"/>
    <cellStyle name="Normal 2 2 2 2 2 11 4 6 5" xfId="15849" xr:uid="{B98821D3-43DA-4D18-BF14-E67F3F6134F1}"/>
    <cellStyle name="Normal 2 2 2 2 2 11 4 6 6" xfId="15850" xr:uid="{E34D87E9-4A76-4743-AD1C-3A5AC2BB037B}"/>
    <cellStyle name="Normal 2 2 2 2 2 11 4 7" xfId="15851" xr:uid="{0A49AD22-B3AB-4424-AD74-15D0046356E4}"/>
    <cellStyle name="Normal 2 2 2 2 2 11 4 7 2" xfId="15852" xr:uid="{621ABF67-EA87-4F5F-816A-A20DD1F57CF8}"/>
    <cellStyle name="Normal 2 2 2 2 2 11 4 7 3" xfId="15853" xr:uid="{A25ED85F-8796-417F-97EB-105DC43B8FA1}"/>
    <cellStyle name="Normal 2 2 2 2 2 11 4 7 4" xfId="15854" xr:uid="{D9844385-5D16-4851-9F73-B18C9BB1B66E}"/>
    <cellStyle name="Normal 2 2 2 2 2 11 4 7 5" xfId="15855" xr:uid="{F9D7B9E6-0239-4193-B5F1-98A73A053074}"/>
    <cellStyle name="Normal 2 2 2 2 2 11 4 7 6" xfId="15856" xr:uid="{BEF9AA12-84D2-4DCE-9E5F-EBD074F06721}"/>
    <cellStyle name="Normal 2 2 2 2 2 11 4 8" xfId="15857" xr:uid="{DE3C34ED-442A-41DE-81C8-9290475A5C9C}"/>
    <cellStyle name="Normal 2 2 2 2 2 11 4 8 2" xfId="15858" xr:uid="{7B2F6156-EB45-4ABA-97F7-8A065C8BC979}"/>
    <cellStyle name="Normal 2 2 2 2 2 11 4 8 3" xfId="15859" xr:uid="{AF44C0E5-10BE-4AD0-A681-25B2280744E2}"/>
    <cellStyle name="Normal 2 2 2 2 2 11 4 8 4" xfId="15860" xr:uid="{7E5DE2CA-7CD9-4452-8496-B61DF4A29F4B}"/>
    <cellStyle name="Normal 2 2 2 2 2 11 4 8 5" xfId="15861" xr:uid="{5550B373-A85C-481C-94EB-E5F03B77B9ED}"/>
    <cellStyle name="Normal 2 2 2 2 2 11 4 8 6" xfId="15862" xr:uid="{3EC36291-ED66-46DD-9F7B-1EA4A75D37BC}"/>
    <cellStyle name="Normal 2 2 2 2 2 11 4 9" xfId="15863" xr:uid="{567691DA-7449-4FE9-8CF1-593611C1C37A}"/>
    <cellStyle name="Normal 2 2 2 2 2 11 5" xfId="15864" xr:uid="{68B91498-64B1-4BC8-8659-0DAFDDD1C08A}"/>
    <cellStyle name="Normal 2 2 2 2 2 11 5 10" xfId="15865" xr:uid="{7FB491DC-6961-44F5-8205-CE7A7EDB9589}"/>
    <cellStyle name="Normal 2 2 2 2 2 11 5 11" xfId="15866" xr:uid="{9C822729-EEF0-4140-A08F-5B7304E43575}"/>
    <cellStyle name="Normal 2 2 2 2 2 11 5 12" xfId="15867" xr:uid="{759A1BCA-0976-464C-8B55-05BE9345C1FA}"/>
    <cellStyle name="Normal 2 2 2 2 2 11 5 13" xfId="15868" xr:uid="{FB75C54A-6095-4805-B1F7-C356E7094BFA}"/>
    <cellStyle name="Normal 2 2 2 2 2 11 5 2" xfId="15869" xr:uid="{496F7B0C-51CB-4598-960E-BDFB240B31C4}"/>
    <cellStyle name="Normal 2 2 2 2 2 11 5 2 2" xfId="15870" xr:uid="{760C222F-F0B7-4D72-9E2D-311FC9D02068}"/>
    <cellStyle name="Normal 2 2 2 2 2 11 5 2 3" xfId="15871" xr:uid="{72C6E475-D578-49C1-927E-C9ED521B9E27}"/>
    <cellStyle name="Normal 2 2 2 2 2 11 5 2 4" xfId="15872" xr:uid="{FAF28511-8336-441F-992E-9946E64E22FC}"/>
    <cellStyle name="Normal 2 2 2 2 2 11 5 2 5" xfId="15873" xr:uid="{08F9E4E5-4D00-4447-886D-512C2B655ED8}"/>
    <cellStyle name="Normal 2 2 2 2 2 11 5 2 6" xfId="15874" xr:uid="{63F95C91-92F2-4845-8C90-1691D5915674}"/>
    <cellStyle name="Normal 2 2 2 2 2 11 5 3" xfId="15875" xr:uid="{63053C3B-0AF8-4C97-B4F2-A2551FE2148E}"/>
    <cellStyle name="Normal 2 2 2 2 2 11 5 3 2" xfId="15876" xr:uid="{CCB628EF-5124-45AB-B98D-D096D61FC19D}"/>
    <cellStyle name="Normal 2 2 2 2 2 11 5 3 3" xfId="15877" xr:uid="{C1F75361-40F5-4C2B-B4BA-81772325F8E2}"/>
    <cellStyle name="Normal 2 2 2 2 2 11 5 3 4" xfId="15878" xr:uid="{75BECBD4-48D7-4E94-8DC7-A6E71552807B}"/>
    <cellStyle name="Normal 2 2 2 2 2 11 5 3 5" xfId="15879" xr:uid="{A93780F6-90F8-46E0-9EC8-4EEC4BAE76C1}"/>
    <cellStyle name="Normal 2 2 2 2 2 11 5 3 6" xfId="15880" xr:uid="{30A0A4E3-706C-45B5-9121-B24ED44C2BEC}"/>
    <cellStyle name="Normal 2 2 2 2 2 11 5 4" xfId="15881" xr:uid="{836E308D-7B1D-42A2-A06F-C9766C59A7C3}"/>
    <cellStyle name="Normal 2 2 2 2 2 11 5 4 2" xfId="15882" xr:uid="{BAF76D6B-3564-4A0C-BB10-0A85EB314DC9}"/>
    <cellStyle name="Normal 2 2 2 2 2 11 5 4 3" xfId="15883" xr:uid="{32EFA142-2FE2-46C8-9E12-E88F41023059}"/>
    <cellStyle name="Normal 2 2 2 2 2 11 5 4 4" xfId="15884" xr:uid="{A9875462-667D-492D-90C7-3245ECAD0285}"/>
    <cellStyle name="Normal 2 2 2 2 2 11 5 4 5" xfId="15885" xr:uid="{5FC871DF-8B95-4491-A2EE-4749C7E8BD88}"/>
    <cellStyle name="Normal 2 2 2 2 2 11 5 4 6" xfId="15886" xr:uid="{A0E37401-8075-4D71-B210-1DACAE47439C}"/>
    <cellStyle name="Normal 2 2 2 2 2 11 5 5" xfId="15887" xr:uid="{6C3B0BD4-6D98-455B-929D-1BC49C1BCEDC}"/>
    <cellStyle name="Normal 2 2 2 2 2 11 5 5 2" xfId="15888" xr:uid="{8F1D043E-ED2B-43AC-B105-7513454FAF1C}"/>
    <cellStyle name="Normal 2 2 2 2 2 11 5 5 3" xfId="15889" xr:uid="{79707072-9F4C-47B8-B52C-255E579D8FE2}"/>
    <cellStyle name="Normal 2 2 2 2 2 11 5 5 4" xfId="15890" xr:uid="{AB1F7357-2FBF-44D8-91F1-7B981F8CD82C}"/>
    <cellStyle name="Normal 2 2 2 2 2 11 5 5 5" xfId="15891" xr:uid="{68C1464E-3398-41DD-92DE-F109FCA2278A}"/>
    <cellStyle name="Normal 2 2 2 2 2 11 5 5 6" xfId="15892" xr:uid="{95B6F4F6-B018-47EA-A182-479B95B35DA3}"/>
    <cellStyle name="Normal 2 2 2 2 2 11 5 6" xfId="15893" xr:uid="{84D917E1-6FE9-40F6-9006-3EDAA994FBDC}"/>
    <cellStyle name="Normal 2 2 2 2 2 11 5 6 2" xfId="15894" xr:uid="{987AFFD6-98D7-4AE5-A021-DA1234663B4C}"/>
    <cellStyle name="Normal 2 2 2 2 2 11 5 6 3" xfId="15895" xr:uid="{76C9DFB3-16AB-46E7-B438-FE69D532C9DA}"/>
    <cellStyle name="Normal 2 2 2 2 2 11 5 6 4" xfId="15896" xr:uid="{CFE0F055-92D5-4FAE-B564-F5E49C026614}"/>
    <cellStyle name="Normal 2 2 2 2 2 11 5 6 5" xfId="15897" xr:uid="{1F357A97-024E-478C-A1C2-0653D7032778}"/>
    <cellStyle name="Normal 2 2 2 2 2 11 5 6 6" xfId="15898" xr:uid="{60825E80-E731-4BBB-B790-109DC5AE3DD3}"/>
    <cellStyle name="Normal 2 2 2 2 2 11 5 7" xfId="15899" xr:uid="{6D65D750-F614-4DB4-ACC2-5C009B40F9CC}"/>
    <cellStyle name="Normal 2 2 2 2 2 11 5 7 2" xfId="15900" xr:uid="{A59FCB89-1CE7-4F23-A44E-B04248142124}"/>
    <cellStyle name="Normal 2 2 2 2 2 11 5 7 3" xfId="15901" xr:uid="{16DA8CEC-D6F8-4B3D-AD93-9A2E73823D63}"/>
    <cellStyle name="Normal 2 2 2 2 2 11 5 7 4" xfId="15902" xr:uid="{EFEC8501-0FB7-4C83-8549-2ACE2EFBB9AB}"/>
    <cellStyle name="Normal 2 2 2 2 2 11 5 7 5" xfId="15903" xr:uid="{8D003DA3-4C30-4744-93E1-CCFA68196960}"/>
    <cellStyle name="Normal 2 2 2 2 2 11 5 7 6" xfId="15904" xr:uid="{E09ED126-676B-476D-A081-F71A470A8BD0}"/>
    <cellStyle name="Normal 2 2 2 2 2 11 5 8" xfId="15905" xr:uid="{20A3F331-7E42-45EB-ABE9-02816D8EE7C6}"/>
    <cellStyle name="Normal 2 2 2 2 2 11 5 8 2" xfId="15906" xr:uid="{CB4D61B4-6C96-409D-985D-788C2BAC03EE}"/>
    <cellStyle name="Normal 2 2 2 2 2 11 5 8 3" xfId="15907" xr:uid="{584B60C7-8597-422D-A728-744CC644C75B}"/>
    <cellStyle name="Normal 2 2 2 2 2 11 5 8 4" xfId="15908" xr:uid="{3F354065-87C3-455E-83D1-66D55E78E0EB}"/>
    <cellStyle name="Normal 2 2 2 2 2 11 5 8 5" xfId="15909" xr:uid="{D4417EFA-8F68-4BD7-A28B-C9DF09D3D497}"/>
    <cellStyle name="Normal 2 2 2 2 2 11 5 8 6" xfId="15910" xr:uid="{9DD1C380-87D5-45C7-8DD0-EA16F796B1EE}"/>
    <cellStyle name="Normal 2 2 2 2 2 11 5 9" xfId="15911" xr:uid="{91FA8E22-66AC-4C9D-85A5-859293C65C10}"/>
    <cellStyle name="Normal 2 2 2 2 2 11 6" xfId="15912" xr:uid="{55D429EC-D02B-4F44-9927-84F22BF632A5}"/>
    <cellStyle name="Normal 2 2 2 2 2 11 6 10" xfId="15913" xr:uid="{F96C79AC-D72D-4F8B-B989-4A40A884AB05}"/>
    <cellStyle name="Normal 2 2 2 2 2 11 6 11" xfId="15914" xr:uid="{B9A051DE-FC1F-4574-9C37-950C04A90151}"/>
    <cellStyle name="Normal 2 2 2 2 2 11 6 12" xfId="15915" xr:uid="{92535B78-9380-4E2D-A9FA-2CB58768DCB3}"/>
    <cellStyle name="Normal 2 2 2 2 2 11 6 13" xfId="15916" xr:uid="{0784D3A3-652F-44BF-A114-D393B6C4AB30}"/>
    <cellStyle name="Normal 2 2 2 2 2 11 6 2" xfId="15917" xr:uid="{4BE6FA9D-F8B1-4C42-8850-60DAD6D9B2F5}"/>
    <cellStyle name="Normal 2 2 2 2 2 11 6 2 2" xfId="15918" xr:uid="{57D40A7A-88F4-4870-81BA-4B198132C464}"/>
    <cellStyle name="Normal 2 2 2 2 2 11 6 2 3" xfId="15919" xr:uid="{74ED5260-6A4A-48AC-829B-96C715A5BEDF}"/>
    <cellStyle name="Normal 2 2 2 2 2 11 6 2 4" xfId="15920" xr:uid="{0C34AB8A-5B34-451F-A360-D5A14D39E3FA}"/>
    <cellStyle name="Normal 2 2 2 2 2 11 6 2 5" xfId="15921" xr:uid="{C191DD5C-114A-4BB1-B7B4-A16BEB336A33}"/>
    <cellStyle name="Normal 2 2 2 2 2 11 6 2 6" xfId="15922" xr:uid="{1FAAEFEC-C640-490C-8024-E679CEC03362}"/>
    <cellStyle name="Normal 2 2 2 2 2 11 6 3" xfId="15923" xr:uid="{4FC596B4-6CC6-4235-8D9C-1DAD29B2C6AF}"/>
    <cellStyle name="Normal 2 2 2 2 2 11 6 3 2" xfId="15924" xr:uid="{24873897-FDAB-499C-B468-B122F156DAD0}"/>
    <cellStyle name="Normal 2 2 2 2 2 11 6 3 3" xfId="15925" xr:uid="{F6600A8E-6BF9-456A-A4E5-2D98842264BA}"/>
    <cellStyle name="Normal 2 2 2 2 2 11 6 3 4" xfId="15926" xr:uid="{C735C55F-1E2A-4412-8671-2E20A811B515}"/>
    <cellStyle name="Normal 2 2 2 2 2 11 6 3 5" xfId="15927" xr:uid="{9B615A5D-F447-4B06-BB17-DA3A0D74A054}"/>
    <cellStyle name="Normal 2 2 2 2 2 11 6 3 6" xfId="15928" xr:uid="{79FA23B3-53D2-49C1-B4F0-5C1FEC9493A9}"/>
    <cellStyle name="Normal 2 2 2 2 2 11 6 4" xfId="15929" xr:uid="{25A8383A-4B64-42B1-BE94-CD9AC172241A}"/>
    <cellStyle name="Normal 2 2 2 2 2 11 6 4 2" xfId="15930" xr:uid="{580AD821-58FC-4CF5-B1F1-3D8E48A27871}"/>
    <cellStyle name="Normal 2 2 2 2 2 11 6 4 3" xfId="15931" xr:uid="{EB438189-7570-428D-9ACF-691764362B43}"/>
    <cellStyle name="Normal 2 2 2 2 2 11 6 4 4" xfId="15932" xr:uid="{E2A54E76-5CC3-4FA4-850C-2B285B329161}"/>
    <cellStyle name="Normal 2 2 2 2 2 11 6 4 5" xfId="15933" xr:uid="{76435D9D-4910-4AA5-8F86-8F657C16E871}"/>
    <cellStyle name="Normal 2 2 2 2 2 11 6 4 6" xfId="15934" xr:uid="{56DEDEAD-0E20-4439-B54D-60F9E1604825}"/>
    <cellStyle name="Normal 2 2 2 2 2 11 6 5" xfId="15935" xr:uid="{465BE51D-75F2-4D6A-A64D-FDEFB9FB6633}"/>
    <cellStyle name="Normal 2 2 2 2 2 11 6 5 2" xfId="15936" xr:uid="{93963580-F239-4AA4-8393-AE179411014F}"/>
    <cellStyle name="Normal 2 2 2 2 2 11 6 5 3" xfId="15937" xr:uid="{CADC1EF0-E167-43A1-BD22-AF08543EF2B7}"/>
    <cellStyle name="Normal 2 2 2 2 2 11 6 5 4" xfId="15938" xr:uid="{07CA6B60-6E31-4E55-B472-ECD9B9D3D019}"/>
    <cellStyle name="Normal 2 2 2 2 2 11 6 5 5" xfId="15939" xr:uid="{98174334-2A1A-44A2-9603-05CA9E91D0BF}"/>
    <cellStyle name="Normal 2 2 2 2 2 11 6 5 6" xfId="15940" xr:uid="{81E7E957-6365-4C7E-A8B5-AD51B372F0ED}"/>
    <cellStyle name="Normal 2 2 2 2 2 11 6 6" xfId="15941" xr:uid="{AB689813-1257-48FE-8307-B3D3C7FA0F7A}"/>
    <cellStyle name="Normal 2 2 2 2 2 11 6 6 2" xfId="15942" xr:uid="{37C1E3C2-D021-4E7B-B074-75076233241B}"/>
    <cellStyle name="Normal 2 2 2 2 2 11 6 6 3" xfId="15943" xr:uid="{E0B01225-6F05-4B81-B45F-B84058D38723}"/>
    <cellStyle name="Normal 2 2 2 2 2 11 6 6 4" xfId="15944" xr:uid="{E67E5F3E-2909-4CFE-B644-B1851F6550AE}"/>
    <cellStyle name="Normal 2 2 2 2 2 11 6 6 5" xfId="15945" xr:uid="{CFC32554-5791-4DCC-BDB2-C5C7DDA3333D}"/>
    <cellStyle name="Normal 2 2 2 2 2 11 6 6 6" xfId="15946" xr:uid="{B26EF3CF-4C3B-4D97-9FE8-BAA19D53A23D}"/>
    <cellStyle name="Normal 2 2 2 2 2 11 6 7" xfId="15947" xr:uid="{67B72EA4-FA6A-4EC7-AF53-6257B8A08F31}"/>
    <cellStyle name="Normal 2 2 2 2 2 11 6 7 2" xfId="15948" xr:uid="{C02919D5-0F50-485D-A093-EC6F0B2A64A6}"/>
    <cellStyle name="Normal 2 2 2 2 2 11 6 7 3" xfId="15949" xr:uid="{E1E3930F-869A-4E1E-B875-5BABD6346F7E}"/>
    <cellStyle name="Normal 2 2 2 2 2 11 6 7 4" xfId="15950" xr:uid="{653D1027-7220-4249-8521-1C1FA96645D1}"/>
    <cellStyle name="Normal 2 2 2 2 2 11 6 7 5" xfId="15951" xr:uid="{D4B5B440-E9EC-4FE1-A2FD-CBE44A1FEFB3}"/>
    <cellStyle name="Normal 2 2 2 2 2 11 6 7 6" xfId="15952" xr:uid="{B9784A48-0B8C-4B6E-ACAF-D5BA782252D8}"/>
    <cellStyle name="Normal 2 2 2 2 2 11 6 8" xfId="15953" xr:uid="{D2FE4271-83C0-407A-B433-9AAB16CF8C71}"/>
    <cellStyle name="Normal 2 2 2 2 2 11 6 8 2" xfId="15954" xr:uid="{358F7D91-26D8-4ED7-B6A8-FA327E680C40}"/>
    <cellStyle name="Normal 2 2 2 2 2 11 6 8 3" xfId="15955" xr:uid="{E943AC41-3192-49C6-A107-7DDA0CC75E8C}"/>
    <cellStyle name="Normal 2 2 2 2 2 11 6 8 4" xfId="15956" xr:uid="{E7DD9C97-EFAA-4B23-8226-5021307A561D}"/>
    <cellStyle name="Normal 2 2 2 2 2 11 6 8 5" xfId="15957" xr:uid="{964B904E-98E7-4484-AD90-E3F2A4D852D2}"/>
    <cellStyle name="Normal 2 2 2 2 2 11 6 8 6" xfId="15958" xr:uid="{CDFE5D85-02F8-449C-9404-50EE56547153}"/>
    <cellStyle name="Normal 2 2 2 2 2 11 6 9" xfId="15959" xr:uid="{B1AAF632-25A5-4A3D-9831-08BD43966C0F}"/>
    <cellStyle name="Normal 2 2 2 2 2 11 7" xfId="15960" xr:uid="{F7F49BBA-295B-49FE-8DBA-8822010F56E2}"/>
    <cellStyle name="Normal 2 2 2 2 2 11 7 10" xfId="15961" xr:uid="{1C15737C-44BD-415A-BF8F-1C60B2C5B4CC}"/>
    <cellStyle name="Normal 2 2 2 2 2 11 7 11" xfId="15962" xr:uid="{DE12D117-5769-4DD7-B274-CC80756338C5}"/>
    <cellStyle name="Normal 2 2 2 2 2 11 7 12" xfId="15963" xr:uid="{DCBDFE37-31EB-4C15-964E-C0A7BBD8D139}"/>
    <cellStyle name="Normal 2 2 2 2 2 11 7 13" xfId="15964" xr:uid="{B5F23C84-84DE-4595-B5CC-2072F384BDA2}"/>
    <cellStyle name="Normal 2 2 2 2 2 11 7 2" xfId="15965" xr:uid="{D32627E2-2C96-4410-A9E2-79422F8D1DDE}"/>
    <cellStyle name="Normal 2 2 2 2 2 11 7 2 2" xfId="15966" xr:uid="{A2190980-C926-48DE-9F0D-F703ADF76E7E}"/>
    <cellStyle name="Normal 2 2 2 2 2 11 7 2 3" xfId="15967" xr:uid="{29A019BE-8BFE-4A83-9FAE-13FDCF6AF06A}"/>
    <cellStyle name="Normal 2 2 2 2 2 11 7 2 4" xfId="15968" xr:uid="{13F88362-861C-4D8B-B46E-7C0F22CC205E}"/>
    <cellStyle name="Normal 2 2 2 2 2 11 7 2 5" xfId="15969" xr:uid="{54C3B2CB-D590-4F6D-93AE-B6FF6FD8A20D}"/>
    <cellStyle name="Normal 2 2 2 2 2 11 7 2 6" xfId="15970" xr:uid="{9BD7ADA4-58CA-4B1E-B16D-6063DB6CDE12}"/>
    <cellStyle name="Normal 2 2 2 2 2 11 7 3" xfId="15971" xr:uid="{CBB61F7E-3876-406A-B279-0908FDB99DD3}"/>
    <cellStyle name="Normal 2 2 2 2 2 11 7 3 2" xfId="15972" xr:uid="{A21CF001-297E-42C6-8D4D-0F55CE67C2BB}"/>
    <cellStyle name="Normal 2 2 2 2 2 11 7 3 3" xfId="15973" xr:uid="{DB4EFCC4-E302-49C8-9F37-419A4C11A1B2}"/>
    <cellStyle name="Normal 2 2 2 2 2 11 7 3 4" xfId="15974" xr:uid="{7A580106-50A6-4135-8B92-2FBE8CF1C2E7}"/>
    <cellStyle name="Normal 2 2 2 2 2 11 7 3 5" xfId="15975" xr:uid="{502F49AD-94A5-423F-AE57-8A01456887E1}"/>
    <cellStyle name="Normal 2 2 2 2 2 11 7 3 6" xfId="15976" xr:uid="{0BC7FCE1-B2B9-4746-B0D2-DD4302E838AC}"/>
    <cellStyle name="Normal 2 2 2 2 2 11 7 4" xfId="15977" xr:uid="{F47B0E59-25DC-439C-9F04-32F44EC6B3E7}"/>
    <cellStyle name="Normal 2 2 2 2 2 11 7 4 2" xfId="15978" xr:uid="{01A95AE6-8910-4443-B224-22EC60703025}"/>
    <cellStyle name="Normal 2 2 2 2 2 11 7 4 3" xfId="15979" xr:uid="{9E281098-5F3F-4C2A-B8F1-19B04A94C19F}"/>
    <cellStyle name="Normal 2 2 2 2 2 11 7 4 4" xfId="15980" xr:uid="{B9CB7AA8-1F0F-4FAB-A1F6-76DD2FAE91FE}"/>
    <cellStyle name="Normal 2 2 2 2 2 11 7 4 5" xfId="15981" xr:uid="{61A3E4E6-4ECC-42F5-8177-2AF203664208}"/>
    <cellStyle name="Normal 2 2 2 2 2 11 7 4 6" xfId="15982" xr:uid="{59CDDB3D-BC94-4A09-8345-26CC469552F3}"/>
    <cellStyle name="Normal 2 2 2 2 2 11 7 5" xfId="15983" xr:uid="{7AEB39CB-5BED-4B00-8231-DBB565232045}"/>
    <cellStyle name="Normal 2 2 2 2 2 11 7 5 2" xfId="15984" xr:uid="{6F6A3A31-7F2E-4474-BD96-079C4373DDF2}"/>
    <cellStyle name="Normal 2 2 2 2 2 11 7 5 3" xfId="15985" xr:uid="{3EBA4148-395C-43A2-956F-1C4B2AFFCAB9}"/>
    <cellStyle name="Normal 2 2 2 2 2 11 7 5 4" xfId="15986" xr:uid="{3BBFF6D1-E9DE-47F4-9E79-D5A4B5ABD8D0}"/>
    <cellStyle name="Normal 2 2 2 2 2 11 7 5 5" xfId="15987" xr:uid="{45500CE1-D670-498A-88CC-8AAC117687DD}"/>
    <cellStyle name="Normal 2 2 2 2 2 11 7 5 6" xfId="15988" xr:uid="{C1185534-7A10-4F38-AC76-3D00B07C7604}"/>
    <cellStyle name="Normal 2 2 2 2 2 11 7 6" xfId="15989" xr:uid="{F861AA0F-0570-4043-BA10-3488AAC7B466}"/>
    <cellStyle name="Normal 2 2 2 2 2 11 7 6 2" xfId="15990" xr:uid="{A44FF14A-6CF1-4C64-B3B3-8D28CC7C99F0}"/>
    <cellStyle name="Normal 2 2 2 2 2 11 7 6 3" xfId="15991" xr:uid="{84EEE6CD-1ACD-4A42-93AF-A28FD2CD21BA}"/>
    <cellStyle name="Normal 2 2 2 2 2 11 7 6 4" xfId="15992" xr:uid="{DCEE1353-B89D-43AE-BBC2-5C4E1C502BA6}"/>
    <cellStyle name="Normal 2 2 2 2 2 11 7 6 5" xfId="15993" xr:uid="{91A3EA4B-925D-4E30-BABC-EBF04727A825}"/>
    <cellStyle name="Normal 2 2 2 2 2 11 7 6 6" xfId="15994" xr:uid="{49652A0C-C439-48F0-9A70-1E91FC79FAC7}"/>
    <cellStyle name="Normal 2 2 2 2 2 11 7 7" xfId="15995" xr:uid="{92EC132D-98AA-44F3-B19F-DF3E2438CC35}"/>
    <cellStyle name="Normal 2 2 2 2 2 11 7 7 2" xfId="15996" xr:uid="{C603A0BA-5F6D-4D2C-8BBD-EB31AB412EE3}"/>
    <cellStyle name="Normal 2 2 2 2 2 11 7 7 3" xfId="15997" xr:uid="{FFC9B94C-A2F5-4F9F-BDE4-9C14FB3767FB}"/>
    <cellStyle name="Normal 2 2 2 2 2 11 7 7 4" xfId="15998" xr:uid="{40DA9DA9-C4BD-41DB-836D-E6577AF18C44}"/>
    <cellStyle name="Normal 2 2 2 2 2 11 7 7 5" xfId="15999" xr:uid="{22BC08FC-5A4D-435C-8518-9FEF3F3CB9A8}"/>
    <cellStyle name="Normal 2 2 2 2 2 11 7 7 6" xfId="16000" xr:uid="{03CE7FD4-55C2-4262-BC5A-5CF0E4C915A4}"/>
    <cellStyle name="Normal 2 2 2 2 2 11 7 8" xfId="16001" xr:uid="{80D4F768-DCD9-4681-9618-AE40316C75B0}"/>
    <cellStyle name="Normal 2 2 2 2 2 11 7 8 2" xfId="16002" xr:uid="{89D1BB75-1A97-405C-93C3-47EDFE72245F}"/>
    <cellStyle name="Normal 2 2 2 2 2 11 7 8 3" xfId="16003" xr:uid="{363F047A-32A8-4B5B-B7D3-A94855ED5342}"/>
    <cellStyle name="Normal 2 2 2 2 2 11 7 8 4" xfId="16004" xr:uid="{757E6617-8577-43D0-8749-17CCD0981210}"/>
    <cellStyle name="Normal 2 2 2 2 2 11 7 8 5" xfId="16005" xr:uid="{6CB033EC-FE5E-4187-841F-D9432A9FAC09}"/>
    <cellStyle name="Normal 2 2 2 2 2 11 7 8 6" xfId="16006" xr:uid="{1DB3BEBF-DB81-488F-90E2-34D50FC479CB}"/>
    <cellStyle name="Normal 2 2 2 2 2 11 7 9" xfId="16007" xr:uid="{2BEB2321-71CD-4549-A1DF-1246F48C88AC}"/>
    <cellStyle name="Normal 2 2 2 2 2 11 8" xfId="16008" xr:uid="{24E512E2-3931-4E8A-96BA-48414CF0923B}"/>
    <cellStyle name="Normal 2 2 2 2 2 11 8 10" xfId="16009" xr:uid="{B78C3D99-F8E4-4A2A-BFC9-F5B9BFDE33DC}"/>
    <cellStyle name="Normal 2 2 2 2 2 11 8 11" xfId="16010" xr:uid="{74A0B733-C83F-41BE-99CA-B1234249B4D9}"/>
    <cellStyle name="Normal 2 2 2 2 2 11 8 12" xfId="16011" xr:uid="{2DF3DC32-89B5-4F0B-BDCE-CA532E9C01A9}"/>
    <cellStyle name="Normal 2 2 2 2 2 11 8 13" xfId="16012" xr:uid="{FA852204-B681-45B2-A6A2-A28588A83212}"/>
    <cellStyle name="Normal 2 2 2 2 2 11 8 2" xfId="16013" xr:uid="{31D6BA34-A9DF-4193-9E89-1CA20DB60B4F}"/>
    <cellStyle name="Normal 2 2 2 2 2 11 8 2 2" xfId="16014" xr:uid="{91220DFC-57FD-4257-BAFD-AF9D7970B6FB}"/>
    <cellStyle name="Normal 2 2 2 2 2 11 8 2 3" xfId="16015" xr:uid="{7C0D9D9D-551A-4FFE-BFA9-B6FC5E794696}"/>
    <cellStyle name="Normal 2 2 2 2 2 11 8 2 4" xfId="16016" xr:uid="{473C68C0-1A55-4E5E-B044-3EF750D2BB0E}"/>
    <cellStyle name="Normal 2 2 2 2 2 11 8 2 5" xfId="16017" xr:uid="{C919D1EA-CA5D-452C-B5CE-0924FB872E82}"/>
    <cellStyle name="Normal 2 2 2 2 2 11 8 2 6" xfId="16018" xr:uid="{C458C833-4D8F-4440-B216-2F102D71ABB3}"/>
    <cellStyle name="Normal 2 2 2 2 2 11 8 3" xfId="16019" xr:uid="{23A22902-C47B-4C1A-AFC7-B64B43C85452}"/>
    <cellStyle name="Normal 2 2 2 2 2 11 8 3 2" xfId="16020" xr:uid="{11AC3634-8FEF-4181-A599-8EA51F333D39}"/>
    <cellStyle name="Normal 2 2 2 2 2 11 8 3 3" xfId="16021" xr:uid="{631D9DD7-D8DE-410A-99D6-DC7AEF857B0D}"/>
    <cellStyle name="Normal 2 2 2 2 2 11 8 3 4" xfId="16022" xr:uid="{E64ECF88-25C9-4D45-BA77-BCEAF0395378}"/>
    <cellStyle name="Normal 2 2 2 2 2 11 8 3 5" xfId="16023" xr:uid="{332C51A4-C87F-40A7-B0BE-943252471943}"/>
    <cellStyle name="Normal 2 2 2 2 2 11 8 3 6" xfId="16024" xr:uid="{DA9EDA2B-7997-4FEC-9F2F-6137AEBABE3B}"/>
    <cellStyle name="Normal 2 2 2 2 2 11 8 4" xfId="16025" xr:uid="{FAEE6F8D-B0B2-4033-9C75-AF720782E317}"/>
    <cellStyle name="Normal 2 2 2 2 2 11 8 4 2" xfId="16026" xr:uid="{DD1F12A8-ED4D-4648-9F0C-E6335E9ED5C1}"/>
    <cellStyle name="Normal 2 2 2 2 2 11 8 4 3" xfId="16027" xr:uid="{046DCE44-9BCD-40F4-B18E-CC1BC5098938}"/>
    <cellStyle name="Normal 2 2 2 2 2 11 8 4 4" xfId="16028" xr:uid="{F5BC9A4D-729D-443F-9D96-057CCCF10265}"/>
    <cellStyle name="Normal 2 2 2 2 2 11 8 4 5" xfId="16029" xr:uid="{DCC90E28-2D69-4EE8-B517-658E3EEEF9DB}"/>
    <cellStyle name="Normal 2 2 2 2 2 11 8 4 6" xfId="16030" xr:uid="{69411247-66F9-41FD-9221-050BD36555EA}"/>
    <cellStyle name="Normal 2 2 2 2 2 11 8 5" xfId="16031" xr:uid="{39F7555A-748F-4F6A-A30D-65D210196002}"/>
    <cellStyle name="Normal 2 2 2 2 2 11 8 5 2" xfId="16032" xr:uid="{B6E95F7A-6CBC-4B17-8406-F02F322F91A4}"/>
    <cellStyle name="Normal 2 2 2 2 2 11 8 5 3" xfId="16033" xr:uid="{30554603-848B-45AE-AD2A-D87EC660C1DE}"/>
    <cellStyle name="Normal 2 2 2 2 2 11 8 5 4" xfId="16034" xr:uid="{DC92D827-F322-490A-A115-6E3F326F070D}"/>
    <cellStyle name="Normal 2 2 2 2 2 11 8 5 5" xfId="16035" xr:uid="{20B16486-1956-4660-8620-5454AAA338E6}"/>
    <cellStyle name="Normal 2 2 2 2 2 11 8 5 6" xfId="16036" xr:uid="{BD74E380-0F6F-4EB0-A083-FFB7E1D1C041}"/>
    <cellStyle name="Normal 2 2 2 2 2 11 8 6" xfId="16037" xr:uid="{C2E54B14-9762-4E12-B957-2A4A28E900AC}"/>
    <cellStyle name="Normal 2 2 2 2 2 11 8 6 2" xfId="16038" xr:uid="{7553E566-14EC-4969-8C68-035A7B4D1322}"/>
    <cellStyle name="Normal 2 2 2 2 2 11 8 6 3" xfId="16039" xr:uid="{EDAEA5D2-6DEC-4EA0-B992-E3374C196432}"/>
    <cellStyle name="Normal 2 2 2 2 2 11 8 6 4" xfId="16040" xr:uid="{A9C8479F-A54D-4844-8BF6-C2A342BFF4BE}"/>
    <cellStyle name="Normal 2 2 2 2 2 11 8 6 5" xfId="16041" xr:uid="{49C429B6-C828-49FF-9A07-B0F54949DDA5}"/>
    <cellStyle name="Normal 2 2 2 2 2 11 8 6 6" xfId="16042" xr:uid="{ACAD9C0E-24DC-487A-B6A9-E4894E2FA709}"/>
    <cellStyle name="Normal 2 2 2 2 2 11 8 7" xfId="16043" xr:uid="{69B31A84-3D4D-48B9-A0BC-07E26B898B4A}"/>
    <cellStyle name="Normal 2 2 2 2 2 11 8 7 2" xfId="16044" xr:uid="{F636BFA5-0C9F-4B42-B7AC-B22B5DC978A8}"/>
    <cellStyle name="Normal 2 2 2 2 2 11 8 7 3" xfId="16045" xr:uid="{F0072EDA-1BC4-4930-A72A-0A55C13154EC}"/>
    <cellStyle name="Normal 2 2 2 2 2 11 8 7 4" xfId="16046" xr:uid="{99E18E05-3136-45DA-866C-1D68F25D6630}"/>
    <cellStyle name="Normal 2 2 2 2 2 11 8 7 5" xfId="16047" xr:uid="{581B6050-6A89-4B4F-808D-A7EF619879DE}"/>
    <cellStyle name="Normal 2 2 2 2 2 11 8 7 6" xfId="16048" xr:uid="{1B89EE0A-884B-4AB5-BC9A-A84605E82545}"/>
    <cellStyle name="Normal 2 2 2 2 2 11 8 8" xfId="16049" xr:uid="{81F4F138-9FB5-4DEA-8CFB-6F1FDE64DA88}"/>
    <cellStyle name="Normal 2 2 2 2 2 11 8 8 2" xfId="16050" xr:uid="{BF78D40D-8A21-48A8-801F-F199BA67A86C}"/>
    <cellStyle name="Normal 2 2 2 2 2 11 8 8 3" xfId="16051" xr:uid="{62454379-9059-457D-A047-6105E0DACA56}"/>
    <cellStyle name="Normal 2 2 2 2 2 11 8 8 4" xfId="16052" xr:uid="{3D0CBE73-64AF-4EC6-8BAD-0B6259B6DBB3}"/>
    <cellStyle name="Normal 2 2 2 2 2 11 8 8 5" xfId="16053" xr:uid="{8B110824-4C88-464F-ADB9-121D2A141606}"/>
    <cellStyle name="Normal 2 2 2 2 2 11 8 8 6" xfId="16054" xr:uid="{950A3541-C510-466F-94FB-76F5C09F899F}"/>
    <cellStyle name="Normal 2 2 2 2 2 11 8 9" xfId="16055" xr:uid="{9504F8A6-0E05-44C0-B017-C044ED19E75D}"/>
    <cellStyle name="Normal 2 2 2 2 2 11 9" xfId="16056" xr:uid="{E5154A72-E69B-4518-A911-04E3A2F15647}"/>
    <cellStyle name="Normal 2 2 2 2 2 11 9 10" xfId="16057" xr:uid="{6F864609-C844-4C62-947B-D4678EF463CC}"/>
    <cellStyle name="Normal 2 2 2 2 2 11 9 11" xfId="16058" xr:uid="{2D23D151-ED14-47FD-B77C-B4B9F9966AE0}"/>
    <cellStyle name="Normal 2 2 2 2 2 11 9 12" xfId="16059" xr:uid="{C3A5287D-B019-41BA-8257-F88656197671}"/>
    <cellStyle name="Normal 2 2 2 2 2 11 9 13" xfId="16060" xr:uid="{21C03793-0FFA-420E-A5A5-61BECD46A14C}"/>
    <cellStyle name="Normal 2 2 2 2 2 11 9 2" xfId="16061" xr:uid="{C03962B0-7ACA-4AD9-B660-6A8AFBF8AA33}"/>
    <cellStyle name="Normal 2 2 2 2 2 11 9 2 2" xfId="16062" xr:uid="{1703272B-86C3-4B19-B923-F5D05B220B1E}"/>
    <cellStyle name="Normal 2 2 2 2 2 11 9 2 3" xfId="16063" xr:uid="{719EE31F-18A7-42FC-97A8-BD5C84006F86}"/>
    <cellStyle name="Normal 2 2 2 2 2 11 9 2 4" xfId="16064" xr:uid="{B42419B2-C593-4C84-AA37-0F7473D3C132}"/>
    <cellStyle name="Normal 2 2 2 2 2 11 9 2 5" xfId="16065" xr:uid="{B66E3589-24AD-4219-8EF7-8B7C5767344B}"/>
    <cellStyle name="Normal 2 2 2 2 2 11 9 2 6" xfId="16066" xr:uid="{9C184043-4F6B-46DA-8659-2616E581691B}"/>
    <cellStyle name="Normal 2 2 2 2 2 11 9 3" xfId="16067" xr:uid="{474F3C70-5CC1-469D-B189-C02D33763A2F}"/>
    <cellStyle name="Normal 2 2 2 2 2 11 9 3 2" xfId="16068" xr:uid="{3946EEB4-7A64-40E9-AEA8-B2EE4557DE41}"/>
    <cellStyle name="Normal 2 2 2 2 2 11 9 3 3" xfId="16069" xr:uid="{7D8B9509-697E-42AA-A4A9-508E5C68796A}"/>
    <cellStyle name="Normal 2 2 2 2 2 11 9 3 4" xfId="16070" xr:uid="{B209C541-2A17-41EF-B5EF-8FCA73761E3E}"/>
    <cellStyle name="Normal 2 2 2 2 2 11 9 3 5" xfId="16071" xr:uid="{5E65C593-645E-40FB-8A95-0C8F68B0808F}"/>
    <cellStyle name="Normal 2 2 2 2 2 11 9 3 6" xfId="16072" xr:uid="{EF8441C2-5005-4C2E-BE01-B0DFC7340815}"/>
    <cellStyle name="Normal 2 2 2 2 2 11 9 4" xfId="16073" xr:uid="{7697353B-0B0F-4D2B-9E25-8B10C49B02E3}"/>
    <cellStyle name="Normal 2 2 2 2 2 11 9 4 2" xfId="16074" xr:uid="{9B4C9CB4-3887-4CE7-ACDA-BC361105486D}"/>
    <cellStyle name="Normal 2 2 2 2 2 11 9 4 3" xfId="16075" xr:uid="{B767B559-1EBD-4837-8F31-FF7BE186FF44}"/>
    <cellStyle name="Normal 2 2 2 2 2 11 9 4 4" xfId="16076" xr:uid="{467FFC9F-B625-4FEF-BF96-8A5758C55851}"/>
    <cellStyle name="Normal 2 2 2 2 2 11 9 4 5" xfId="16077" xr:uid="{56CAD2EA-F27B-4C44-82B4-3EC060773AF9}"/>
    <cellStyle name="Normal 2 2 2 2 2 11 9 4 6" xfId="16078" xr:uid="{281AE09C-3FF7-418F-9610-AECF11D55370}"/>
    <cellStyle name="Normal 2 2 2 2 2 11 9 5" xfId="16079" xr:uid="{77061999-D70F-4DBD-9A07-1EA5651FE826}"/>
    <cellStyle name="Normal 2 2 2 2 2 11 9 5 2" xfId="16080" xr:uid="{75CD6508-8B0D-4D62-8C83-DA8286C6A7E4}"/>
    <cellStyle name="Normal 2 2 2 2 2 11 9 5 3" xfId="16081" xr:uid="{50192DE9-0987-47BC-A1B4-6CDDFB71EA8B}"/>
    <cellStyle name="Normal 2 2 2 2 2 11 9 5 4" xfId="16082" xr:uid="{F2FAB39E-A865-449D-9D7E-18BEF80BFC38}"/>
    <cellStyle name="Normal 2 2 2 2 2 11 9 5 5" xfId="16083" xr:uid="{B1F4E7C6-AA32-4AC0-9FB9-D8F55659374E}"/>
    <cellStyle name="Normal 2 2 2 2 2 11 9 5 6" xfId="16084" xr:uid="{D36AC50E-C9C9-4CDE-9EF7-471CE69A4D03}"/>
    <cellStyle name="Normal 2 2 2 2 2 11 9 6" xfId="16085" xr:uid="{C3E35F9D-BB99-4873-9D47-5DC424DA642C}"/>
    <cellStyle name="Normal 2 2 2 2 2 11 9 6 2" xfId="16086" xr:uid="{4983C572-D512-4C9E-856B-A2CE139BD773}"/>
    <cellStyle name="Normal 2 2 2 2 2 11 9 6 3" xfId="16087" xr:uid="{2B62339D-8941-4D13-82DA-2B397A8460B0}"/>
    <cellStyle name="Normal 2 2 2 2 2 11 9 6 4" xfId="16088" xr:uid="{F70761A9-9B45-4008-B0F4-C2E101154B1B}"/>
    <cellStyle name="Normal 2 2 2 2 2 11 9 6 5" xfId="16089" xr:uid="{B0805ADC-FAC9-477E-B393-CA369A48C1DF}"/>
    <cellStyle name="Normal 2 2 2 2 2 11 9 6 6" xfId="16090" xr:uid="{50D22BB3-6DA6-4631-9330-F496DC123A0F}"/>
    <cellStyle name="Normal 2 2 2 2 2 11 9 7" xfId="16091" xr:uid="{70D9437A-E752-4221-805B-53F963F70D61}"/>
    <cellStyle name="Normal 2 2 2 2 2 11 9 7 2" xfId="16092" xr:uid="{10D58A4B-4B85-428F-8BDE-410189A7EBBA}"/>
    <cellStyle name="Normal 2 2 2 2 2 11 9 7 3" xfId="16093" xr:uid="{8A17A36B-908F-4EDB-A53A-A3F72A9628FE}"/>
    <cellStyle name="Normal 2 2 2 2 2 11 9 7 4" xfId="16094" xr:uid="{639507F3-AE22-4A18-ABD5-728C7C57B4F4}"/>
    <cellStyle name="Normal 2 2 2 2 2 11 9 7 5" xfId="16095" xr:uid="{9CFFA099-1DED-4BCA-868C-C89E0B62C513}"/>
    <cellStyle name="Normal 2 2 2 2 2 11 9 7 6" xfId="16096" xr:uid="{84079D86-05AF-461E-A1E7-3D369EF1B792}"/>
    <cellStyle name="Normal 2 2 2 2 2 11 9 8" xfId="16097" xr:uid="{E25EAEAD-F075-4095-9B8A-71AE48DC2E1B}"/>
    <cellStyle name="Normal 2 2 2 2 2 11 9 8 2" xfId="16098" xr:uid="{2EC3D945-D3B3-4795-B64C-3360D4B2CE70}"/>
    <cellStyle name="Normal 2 2 2 2 2 11 9 8 3" xfId="16099" xr:uid="{2726E819-FCD9-46D8-9515-CD71C5A981C5}"/>
    <cellStyle name="Normal 2 2 2 2 2 11 9 8 4" xfId="16100" xr:uid="{330D5133-6840-42B3-8414-4114DF1942CF}"/>
    <cellStyle name="Normal 2 2 2 2 2 11 9 8 5" xfId="16101" xr:uid="{040F4857-2767-46F7-999A-4B430C9F58E2}"/>
    <cellStyle name="Normal 2 2 2 2 2 11 9 8 6" xfId="16102" xr:uid="{3EFC9C60-AE26-45E0-AD60-556285D44B24}"/>
    <cellStyle name="Normal 2 2 2 2 2 11 9 9" xfId="16103" xr:uid="{C59E52D2-7F94-485B-A9FC-D1BA067B701C}"/>
    <cellStyle name="Normal 2 2 2 2 2 12" xfId="16104" xr:uid="{7A1690EA-8EBD-4E69-B10B-365019928792}"/>
    <cellStyle name="Normal 2 2 2 2 2 12 10" xfId="16105" xr:uid="{19715DFA-4A02-4750-9CCD-27052EC3B237}"/>
    <cellStyle name="Normal 2 2 2 2 2 12 11" xfId="16106" xr:uid="{B863EEA2-345E-44C0-BE56-0F4408B5228D}"/>
    <cellStyle name="Normal 2 2 2 2 2 12 12" xfId="16107" xr:uid="{C2CB2B84-F903-46F9-A85A-2191A05CA6D3}"/>
    <cellStyle name="Normal 2 2 2 2 2 12 13" xfId="16108" xr:uid="{C8EB5F35-CADF-46D0-81AB-6D3C4A5131A5}"/>
    <cellStyle name="Normal 2 2 2 2 2 12 2" xfId="16109" xr:uid="{005276F5-D25B-4601-84EA-CD15CB869318}"/>
    <cellStyle name="Normal 2 2 2 2 2 12 2 2" xfId="16110" xr:uid="{7962DB94-90F4-401C-BBD8-192FFC4AAA52}"/>
    <cellStyle name="Normal 2 2 2 2 2 12 2 3" xfId="16111" xr:uid="{CBE5B12E-AC6D-4AD8-8DCF-FCB2FDCB4239}"/>
    <cellStyle name="Normal 2 2 2 2 2 12 2 4" xfId="16112" xr:uid="{38427662-612C-4C68-ADA6-F4BC9F6AF5CF}"/>
    <cellStyle name="Normal 2 2 2 2 2 12 2 5" xfId="16113" xr:uid="{3322A4E0-65BE-4F6E-9946-2F0A96973359}"/>
    <cellStyle name="Normal 2 2 2 2 2 12 2 6" xfId="16114" xr:uid="{AEA1C59E-75E5-4025-8402-5033D1E8A158}"/>
    <cellStyle name="Normal 2 2 2 2 2 12 3" xfId="16115" xr:uid="{40C14EC9-AE0E-4D71-B348-8F3E2B3B5702}"/>
    <cellStyle name="Normal 2 2 2 2 2 12 3 2" xfId="16116" xr:uid="{B6859EE5-C542-4326-B5C4-05E011148300}"/>
    <cellStyle name="Normal 2 2 2 2 2 12 3 3" xfId="16117" xr:uid="{D6CE04A1-B77A-4A94-B971-55D73F78E6CB}"/>
    <cellStyle name="Normal 2 2 2 2 2 12 3 4" xfId="16118" xr:uid="{8DD01D54-352C-4489-B401-C915B41F8B0D}"/>
    <cellStyle name="Normal 2 2 2 2 2 12 3 5" xfId="16119" xr:uid="{A93276FB-84CB-476A-99CD-A288F45471F7}"/>
    <cellStyle name="Normal 2 2 2 2 2 12 3 6" xfId="16120" xr:uid="{C723C69D-33A3-4D46-A0CD-AA3783219033}"/>
    <cellStyle name="Normal 2 2 2 2 2 12 4" xfId="16121" xr:uid="{F7370598-E502-4467-B37B-2DC43BBFE5AC}"/>
    <cellStyle name="Normal 2 2 2 2 2 12 4 2" xfId="16122" xr:uid="{4D9EC281-633B-4ADB-BAA8-8B32D12D0223}"/>
    <cellStyle name="Normal 2 2 2 2 2 12 4 3" xfId="16123" xr:uid="{F579B80D-387D-437A-AF3F-490D96BCF17F}"/>
    <cellStyle name="Normal 2 2 2 2 2 12 4 4" xfId="16124" xr:uid="{DAF77328-DFC4-46E2-98D2-79E7EA4B6667}"/>
    <cellStyle name="Normal 2 2 2 2 2 12 4 5" xfId="16125" xr:uid="{D1861FE5-A266-4605-9031-FD3EE1E1E7D2}"/>
    <cellStyle name="Normal 2 2 2 2 2 12 4 6" xfId="16126" xr:uid="{DF542F46-99B7-4C7E-9FBA-D662FFC837DA}"/>
    <cellStyle name="Normal 2 2 2 2 2 12 5" xfId="16127" xr:uid="{A87AE00F-1CDE-4827-A6BA-DD4D7A074A6B}"/>
    <cellStyle name="Normal 2 2 2 2 2 12 5 2" xfId="16128" xr:uid="{7C73D29C-C7CE-4228-9676-6963D942067A}"/>
    <cellStyle name="Normal 2 2 2 2 2 12 5 3" xfId="16129" xr:uid="{6ED3520D-C71D-485C-8D0D-8B7CA27014CF}"/>
    <cellStyle name="Normal 2 2 2 2 2 12 5 4" xfId="16130" xr:uid="{44213A0D-CF9E-481C-ACA6-AD3CA0DD53E9}"/>
    <cellStyle name="Normal 2 2 2 2 2 12 5 5" xfId="16131" xr:uid="{0D90A14C-FEDA-4313-8B48-B0A0D874CB15}"/>
    <cellStyle name="Normal 2 2 2 2 2 12 5 6" xfId="16132" xr:uid="{FC0502A2-7E1C-4F5B-8E63-7719A4C6270F}"/>
    <cellStyle name="Normal 2 2 2 2 2 12 6" xfId="16133" xr:uid="{AACE4C81-53AA-4C0F-92D3-2C6110F2C5D1}"/>
    <cellStyle name="Normal 2 2 2 2 2 12 6 2" xfId="16134" xr:uid="{4ADF7BFA-EACD-4662-BDAF-7AC02CD54343}"/>
    <cellStyle name="Normal 2 2 2 2 2 12 6 3" xfId="16135" xr:uid="{5ECF5691-B04D-4B86-AEEC-8FCF4F24B2E7}"/>
    <cellStyle name="Normal 2 2 2 2 2 12 6 4" xfId="16136" xr:uid="{7EF0D7D0-DD58-49A8-8CFA-676FD28CC822}"/>
    <cellStyle name="Normal 2 2 2 2 2 12 6 5" xfId="16137" xr:uid="{3B55E75B-434B-4E1C-9425-6A66D2E2B2EF}"/>
    <cellStyle name="Normal 2 2 2 2 2 12 6 6" xfId="16138" xr:uid="{E01C99B6-45BB-4EDE-9BD2-8976879B1D7C}"/>
    <cellStyle name="Normal 2 2 2 2 2 12 7" xfId="16139" xr:uid="{223AB18A-C8BF-401E-87B1-B5AC07F09924}"/>
    <cellStyle name="Normal 2 2 2 2 2 12 7 2" xfId="16140" xr:uid="{F0BF59E0-5B43-40E4-8794-D9EF75C0D4BA}"/>
    <cellStyle name="Normal 2 2 2 2 2 12 7 3" xfId="16141" xr:uid="{02033C0B-4E38-49A8-BF7E-B53D78E29FB4}"/>
    <cellStyle name="Normal 2 2 2 2 2 12 7 4" xfId="16142" xr:uid="{18453FBA-5AB0-4C5F-8964-7033A6BEE8FE}"/>
    <cellStyle name="Normal 2 2 2 2 2 12 7 5" xfId="16143" xr:uid="{40751ABF-77A1-4978-AFD1-22BE0B54C39D}"/>
    <cellStyle name="Normal 2 2 2 2 2 12 7 6" xfId="16144" xr:uid="{547CB65C-FE89-4327-ADBF-84B21854990F}"/>
    <cellStyle name="Normal 2 2 2 2 2 12 8" xfId="16145" xr:uid="{0C379D30-FE89-46C3-8B74-4FB908EAD32C}"/>
    <cellStyle name="Normal 2 2 2 2 2 12 8 2" xfId="16146" xr:uid="{080E0558-0329-4359-B417-EC6D0059ECD2}"/>
    <cellStyle name="Normal 2 2 2 2 2 12 8 3" xfId="16147" xr:uid="{88272F10-3C1F-4915-A953-06751CC66ABB}"/>
    <cellStyle name="Normal 2 2 2 2 2 12 8 4" xfId="16148" xr:uid="{B2A86359-123E-4140-B194-02368C1F8A3A}"/>
    <cellStyle name="Normal 2 2 2 2 2 12 8 5" xfId="16149" xr:uid="{F553B379-F1A7-4603-B29A-386002BBABC1}"/>
    <cellStyle name="Normal 2 2 2 2 2 12 8 6" xfId="16150" xr:uid="{B6A7C16C-9677-49AD-8ECE-722FD26E6C58}"/>
    <cellStyle name="Normal 2 2 2 2 2 12 9" xfId="16151" xr:uid="{B57E84EA-62BA-4212-BC61-7F8C51C4937B}"/>
    <cellStyle name="Normal 2 2 2 2 2 13" xfId="16152" xr:uid="{D365A142-294D-4D2A-B219-5FE700F03AF9}"/>
    <cellStyle name="Normal 2 2 2 2 2 13 10" xfId="16153" xr:uid="{8A564FE6-8E95-415C-9B48-46AF8A22B399}"/>
    <cellStyle name="Normal 2 2 2 2 2 13 11" xfId="16154" xr:uid="{114A6A49-5C79-4547-A9E5-07C54E95C2B1}"/>
    <cellStyle name="Normal 2 2 2 2 2 13 12" xfId="16155" xr:uid="{2EA4B6DE-D4F4-4F86-91E8-036665D7E94B}"/>
    <cellStyle name="Normal 2 2 2 2 2 13 13" xfId="16156" xr:uid="{BC7E18D7-55F0-40B1-958C-AF480B9AA860}"/>
    <cellStyle name="Normal 2 2 2 2 2 13 2" xfId="16157" xr:uid="{EED6E1FD-8EE6-44AF-B704-88F5736264AE}"/>
    <cellStyle name="Normal 2 2 2 2 2 13 2 2" xfId="16158" xr:uid="{C9FA2FBF-9611-42D0-AC9B-92CAAAC263FC}"/>
    <cellStyle name="Normal 2 2 2 2 2 13 2 3" xfId="16159" xr:uid="{C8DCB59E-5A2F-4F55-BD69-0C0A6675730D}"/>
    <cellStyle name="Normal 2 2 2 2 2 13 2 4" xfId="16160" xr:uid="{41EB1A29-DF4B-442C-ACC6-99E8C774275B}"/>
    <cellStyle name="Normal 2 2 2 2 2 13 2 5" xfId="16161" xr:uid="{7805714D-376B-4B67-A293-DEA75986E66E}"/>
    <cellStyle name="Normal 2 2 2 2 2 13 2 6" xfId="16162" xr:uid="{06C6F9F3-27F7-43CF-BB69-50026A2045C3}"/>
    <cellStyle name="Normal 2 2 2 2 2 13 3" xfId="16163" xr:uid="{ADB8BE78-B41D-4037-B748-6CEB86DD607A}"/>
    <cellStyle name="Normal 2 2 2 2 2 13 3 2" xfId="16164" xr:uid="{E55CDA73-CAC6-4F43-A729-212CFC3C8CF2}"/>
    <cellStyle name="Normal 2 2 2 2 2 13 3 3" xfId="16165" xr:uid="{1E79F8D1-98B9-42E4-97CB-A3C5C97DDB07}"/>
    <cellStyle name="Normal 2 2 2 2 2 13 3 4" xfId="16166" xr:uid="{408E62E0-5EBB-46C4-8CB6-3F46D8F70D86}"/>
    <cellStyle name="Normal 2 2 2 2 2 13 3 5" xfId="16167" xr:uid="{69C9BF75-A30F-436E-B3D7-CE2186FAD305}"/>
    <cellStyle name="Normal 2 2 2 2 2 13 3 6" xfId="16168" xr:uid="{B8B004E3-5748-4D4F-A926-09700D0C4101}"/>
    <cellStyle name="Normal 2 2 2 2 2 13 4" xfId="16169" xr:uid="{C3DC7A81-5ADA-42AF-B424-6A1EE603DCCB}"/>
    <cellStyle name="Normal 2 2 2 2 2 13 4 2" xfId="16170" xr:uid="{FC5D01C9-48C1-4E2A-8ECE-E70464E7196B}"/>
    <cellStyle name="Normal 2 2 2 2 2 13 4 3" xfId="16171" xr:uid="{BF7905A2-AB96-4C90-93B9-32E5355ECC93}"/>
    <cellStyle name="Normal 2 2 2 2 2 13 4 4" xfId="16172" xr:uid="{DF9FC764-8835-4ECF-9357-962FF4712CF5}"/>
    <cellStyle name="Normal 2 2 2 2 2 13 4 5" xfId="16173" xr:uid="{540FE2B6-CE59-4EB3-8B7E-6FF5549A9215}"/>
    <cellStyle name="Normal 2 2 2 2 2 13 4 6" xfId="16174" xr:uid="{C0A6A348-D1AC-42BC-8DC9-01BB839C4DB5}"/>
    <cellStyle name="Normal 2 2 2 2 2 13 5" xfId="16175" xr:uid="{1709F4AE-627D-44F9-84F0-4E020A4AB396}"/>
    <cellStyle name="Normal 2 2 2 2 2 13 5 2" xfId="16176" xr:uid="{5758E1F7-5E34-4904-832E-B54EC5D4687E}"/>
    <cellStyle name="Normal 2 2 2 2 2 13 5 3" xfId="16177" xr:uid="{6096352A-9823-4605-8817-8856AFA275A3}"/>
    <cellStyle name="Normal 2 2 2 2 2 13 5 4" xfId="16178" xr:uid="{D6917C59-36DD-4E85-B793-B3792E0BF2A7}"/>
    <cellStyle name="Normal 2 2 2 2 2 13 5 5" xfId="16179" xr:uid="{61320C05-B92F-4BB8-AF84-7C51D4FA4426}"/>
    <cellStyle name="Normal 2 2 2 2 2 13 5 6" xfId="16180" xr:uid="{94CF885B-467E-4D92-9236-7DAB3B66C89D}"/>
    <cellStyle name="Normal 2 2 2 2 2 13 6" xfId="16181" xr:uid="{A38D1C02-AC87-411A-94EE-D31F446CB417}"/>
    <cellStyle name="Normal 2 2 2 2 2 13 6 2" xfId="16182" xr:uid="{2BDDEDA4-AF20-451C-9907-93966CB269C3}"/>
    <cellStyle name="Normal 2 2 2 2 2 13 6 3" xfId="16183" xr:uid="{A2E1105A-E787-4D8F-8860-CFB3B6D47829}"/>
    <cellStyle name="Normal 2 2 2 2 2 13 6 4" xfId="16184" xr:uid="{5613ABB5-6BC0-4FCA-94E0-429E156F1C3F}"/>
    <cellStyle name="Normal 2 2 2 2 2 13 6 5" xfId="16185" xr:uid="{2EADFBF8-3353-4981-83ED-93A252C94BD6}"/>
    <cellStyle name="Normal 2 2 2 2 2 13 6 6" xfId="16186" xr:uid="{FC999201-5391-48E1-809D-3C9817A04544}"/>
    <cellStyle name="Normal 2 2 2 2 2 13 7" xfId="16187" xr:uid="{1B74AA8F-2A05-4FA6-A9FC-230FD4321624}"/>
    <cellStyle name="Normal 2 2 2 2 2 13 7 2" xfId="16188" xr:uid="{6BEB26E4-8C44-4398-90D1-BB99C2C36872}"/>
    <cellStyle name="Normal 2 2 2 2 2 13 7 3" xfId="16189" xr:uid="{78F95340-557C-46B8-AB82-0869A7B826F3}"/>
    <cellStyle name="Normal 2 2 2 2 2 13 7 4" xfId="16190" xr:uid="{556F2AD4-A39E-4A0C-858D-BBA40B7C966B}"/>
    <cellStyle name="Normal 2 2 2 2 2 13 7 5" xfId="16191" xr:uid="{7FDF7C5C-A152-487F-A553-D4AEA4A44237}"/>
    <cellStyle name="Normal 2 2 2 2 2 13 7 6" xfId="16192" xr:uid="{5A53ECE8-8115-4583-B491-C7ADEA40230B}"/>
    <cellStyle name="Normal 2 2 2 2 2 13 8" xfId="16193" xr:uid="{FD52E932-5473-4835-BB1F-0324F9871A72}"/>
    <cellStyle name="Normal 2 2 2 2 2 13 8 2" xfId="16194" xr:uid="{47AB5084-3C45-4BB1-8398-E1DDFA33DCCD}"/>
    <cellStyle name="Normal 2 2 2 2 2 13 8 3" xfId="16195" xr:uid="{E64D86BD-7C9C-4FF5-B755-E3B38442306D}"/>
    <cellStyle name="Normal 2 2 2 2 2 13 8 4" xfId="16196" xr:uid="{F7CEC944-89DA-41DD-87B0-8F94E067787D}"/>
    <cellStyle name="Normal 2 2 2 2 2 13 8 5" xfId="16197" xr:uid="{4FA7287E-43B0-4067-881C-F2022AA75985}"/>
    <cellStyle name="Normal 2 2 2 2 2 13 8 6" xfId="16198" xr:uid="{49DD1C88-D086-41F6-A52B-3DC96FC49DC9}"/>
    <cellStyle name="Normal 2 2 2 2 2 13 9" xfId="16199" xr:uid="{2CC6CF3F-0610-4E28-AA15-84697A4DEC64}"/>
    <cellStyle name="Normal 2 2 2 2 2 14" xfId="16200" xr:uid="{5C1DE6E3-597E-4D51-A5D1-BDAD1C708921}"/>
    <cellStyle name="Normal 2 2 2 2 2 14 10" xfId="16201" xr:uid="{FDDECE33-C4F6-442D-8A5F-4FA3F63408AF}"/>
    <cellStyle name="Normal 2 2 2 2 2 14 11" xfId="16202" xr:uid="{522487ED-DF83-4571-90BF-3F9F1F036143}"/>
    <cellStyle name="Normal 2 2 2 2 2 14 12" xfId="16203" xr:uid="{CC1097CB-C4A1-4498-8E77-487C253875DD}"/>
    <cellStyle name="Normal 2 2 2 2 2 14 13" xfId="16204" xr:uid="{CEB9A240-8CF8-4911-BC5E-2BE08C4F8C3E}"/>
    <cellStyle name="Normal 2 2 2 2 2 14 2" xfId="16205" xr:uid="{C22CD788-A5FE-40DC-8EF1-622ABC90343B}"/>
    <cellStyle name="Normal 2 2 2 2 2 14 2 2" xfId="16206" xr:uid="{65B98037-ABBB-4299-8113-B625FF217AFC}"/>
    <cellStyle name="Normal 2 2 2 2 2 14 2 3" xfId="16207" xr:uid="{AB4A266A-8C58-43BE-BB78-5B901C2B7E6C}"/>
    <cellStyle name="Normal 2 2 2 2 2 14 2 4" xfId="16208" xr:uid="{6C516595-B022-4BC0-ADC7-C8C5AFF167AF}"/>
    <cellStyle name="Normal 2 2 2 2 2 14 2 5" xfId="16209" xr:uid="{6EBB210E-D273-454E-82DB-B39B6538CA6B}"/>
    <cellStyle name="Normal 2 2 2 2 2 14 2 6" xfId="16210" xr:uid="{78D94893-136E-4A91-98F7-0EF031F08314}"/>
    <cellStyle name="Normal 2 2 2 2 2 14 3" xfId="16211" xr:uid="{DAC6D9CE-4046-47B9-94AD-037D185AFC06}"/>
    <cellStyle name="Normal 2 2 2 2 2 14 3 2" xfId="16212" xr:uid="{1888A67F-9D91-4E34-8B69-692A8C602DF7}"/>
    <cellStyle name="Normal 2 2 2 2 2 14 3 3" xfId="16213" xr:uid="{74B2255C-13B5-4EC2-B032-906ACEBB8140}"/>
    <cellStyle name="Normal 2 2 2 2 2 14 3 4" xfId="16214" xr:uid="{23647751-5F93-4506-8D4F-1CED921A682D}"/>
    <cellStyle name="Normal 2 2 2 2 2 14 3 5" xfId="16215" xr:uid="{01F7FACF-D252-4221-8CF6-8F7484884625}"/>
    <cellStyle name="Normal 2 2 2 2 2 14 3 6" xfId="16216" xr:uid="{DC5AC188-1F42-4E56-8F32-3F9DFC21A6C9}"/>
    <cellStyle name="Normal 2 2 2 2 2 14 4" xfId="16217" xr:uid="{D0202BAE-F27F-4216-BB09-EEE58E1C04DA}"/>
    <cellStyle name="Normal 2 2 2 2 2 14 4 2" xfId="16218" xr:uid="{4DA7BEF5-6F0F-4C2D-BA61-2B1A757D53A2}"/>
    <cellStyle name="Normal 2 2 2 2 2 14 4 3" xfId="16219" xr:uid="{DEC76DD5-47B8-4B2F-A0B1-41706199D4A6}"/>
    <cellStyle name="Normal 2 2 2 2 2 14 4 4" xfId="16220" xr:uid="{E1AC7EB1-A2A5-400F-B5C2-7D222CFEFF32}"/>
    <cellStyle name="Normal 2 2 2 2 2 14 4 5" xfId="16221" xr:uid="{6B549B36-5CC7-4DD3-8AF8-1AF8153EC32C}"/>
    <cellStyle name="Normal 2 2 2 2 2 14 4 6" xfId="16222" xr:uid="{FF9290FD-42A5-45B8-B7F7-95F08500C8D7}"/>
    <cellStyle name="Normal 2 2 2 2 2 14 5" xfId="16223" xr:uid="{C8708CDD-6EB6-437C-87A5-55CA297DF958}"/>
    <cellStyle name="Normal 2 2 2 2 2 14 5 2" xfId="16224" xr:uid="{3B603E96-EF5B-4FBB-8A05-24C41CD08900}"/>
    <cellStyle name="Normal 2 2 2 2 2 14 5 3" xfId="16225" xr:uid="{E813C1EC-FDEB-4AD2-9D6B-2F77669EF4CE}"/>
    <cellStyle name="Normal 2 2 2 2 2 14 5 4" xfId="16226" xr:uid="{D8F6E662-D567-41A1-8ECC-BF326D7729C8}"/>
    <cellStyle name="Normal 2 2 2 2 2 14 5 5" xfId="16227" xr:uid="{9FA92C58-044E-4E3F-AAFB-D69A666B4293}"/>
    <cellStyle name="Normal 2 2 2 2 2 14 5 6" xfId="16228" xr:uid="{E1146D22-5C13-4C39-8166-3EB8D9F55A55}"/>
    <cellStyle name="Normal 2 2 2 2 2 14 6" xfId="16229" xr:uid="{537EE4DC-E782-41D8-887D-B56D780ACB5D}"/>
    <cellStyle name="Normal 2 2 2 2 2 14 6 2" xfId="16230" xr:uid="{50E3ED97-34E1-44CB-A969-6A11834BD7A4}"/>
    <cellStyle name="Normal 2 2 2 2 2 14 6 3" xfId="16231" xr:uid="{64193044-590D-4EB5-ABCA-9BADE4D4DD36}"/>
    <cellStyle name="Normal 2 2 2 2 2 14 6 4" xfId="16232" xr:uid="{E0202CEA-295E-43AE-BE78-D96A3C1B899A}"/>
    <cellStyle name="Normal 2 2 2 2 2 14 6 5" xfId="16233" xr:uid="{26016F7F-920A-41A8-A62A-72BC41B526BD}"/>
    <cellStyle name="Normal 2 2 2 2 2 14 6 6" xfId="16234" xr:uid="{EB31811E-D25A-4430-9F59-8C8F31DEF519}"/>
    <cellStyle name="Normal 2 2 2 2 2 14 7" xfId="16235" xr:uid="{6EC3CE4A-1B60-46D5-B1B9-AD1FCE99D808}"/>
    <cellStyle name="Normal 2 2 2 2 2 14 7 2" xfId="16236" xr:uid="{D397F36E-28EC-4704-A1D6-33A0259E3074}"/>
    <cellStyle name="Normal 2 2 2 2 2 14 7 3" xfId="16237" xr:uid="{86AC161F-832E-48DE-9FF7-7AFEE18A0F12}"/>
    <cellStyle name="Normal 2 2 2 2 2 14 7 4" xfId="16238" xr:uid="{171F39EA-4D9E-420D-AFAA-D7B298A14885}"/>
    <cellStyle name="Normal 2 2 2 2 2 14 7 5" xfId="16239" xr:uid="{0AA00790-F631-4B6E-ACEF-B10628CB8F3D}"/>
    <cellStyle name="Normal 2 2 2 2 2 14 7 6" xfId="16240" xr:uid="{0A4F966F-72A1-4651-BAB0-FC275E80FA2C}"/>
    <cellStyle name="Normal 2 2 2 2 2 14 8" xfId="16241" xr:uid="{5D624D6F-0382-40DE-9B02-A17BBB998AED}"/>
    <cellStyle name="Normal 2 2 2 2 2 14 8 2" xfId="16242" xr:uid="{A34338FA-30B7-41C1-A656-15B9AB5B45A1}"/>
    <cellStyle name="Normal 2 2 2 2 2 14 8 3" xfId="16243" xr:uid="{085A8F3A-C49C-40B9-AA2D-993A070373BC}"/>
    <cellStyle name="Normal 2 2 2 2 2 14 8 4" xfId="16244" xr:uid="{6DF17415-B22B-4457-B8CC-3609EE96461C}"/>
    <cellStyle name="Normal 2 2 2 2 2 14 8 5" xfId="16245" xr:uid="{A0290769-F97C-4630-A346-69E27B66ED3A}"/>
    <cellStyle name="Normal 2 2 2 2 2 14 8 6" xfId="16246" xr:uid="{FC9E23EB-D717-49A7-97C1-4619539218F6}"/>
    <cellStyle name="Normal 2 2 2 2 2 14 9" xfId="16247" xr:uid="{58CAE394-6955-4B04-9DF0-BD1A08BA9AE9}"/>
    <cellStyle name="Normal 2 2 2 2 2 15" xfId="16248" xr:uid="{F5380D8C-D720-42A3-BAFA-D994274415A5}"/>
    <cellStyle name="Normal 2 2 2 2 2 15 10" xfId="16249" xr:uid="{906DE694-EDC6-4EF7-A782-97A48FA7F735}"/>
    <cellStyle name="Normal 2 2 2 2 2 15 11" xfId="16250" xr:uid="{2236AAD3-C899-4C30-B212-4C32E57EED9B}"/>
    <cellStyle name="Normal 2 2 2 2 2 15 12" xfId="16251" xr:uid="{C583527A-A29D-4601-9BDD-DA8F36C883D1}"/>
    <cellStyle name="Normal 2 2 2 2 2 15 13" xfId="16252" xr:uid="{1D68FF3E-AE44-44F3-A7C7-DA442513A360}"/>
    <cellStyle name="Normal 2 2 2 2 2 15 2" xfId="16253" xr:uid="{216844AE-A9B3-4720-831C-A45A4244FD3E}"/>
    <cellStyle name="Normal 2 2 2 2 2 15 2 2" xfId="16254" xr:uid="{D733A7B3-D0F8-4B2A-97C6-8448415D7669}"/>
    <cellStyle name="Normal 2 2 2 2 2 15 2 3" xfId="16255" xr:uid="{DF183249-CA11-4DCD-85EE-8327E397A880}"/>
    <cellStyle name="Normal 2 2 2 2 2 15 2 4" xfId="16256" xr:uid="{82A6D534-7490-499D-8356-CB97352D5968}"/>
    <cellStyle name="Normal 2 2 2 2 2 15 2 5" xfId="16257" xr:uid="{CAA387DB-C1C4-4E83-B376-5B444725D8A4}"/>
    <cellStyle name="Normal 2 2 2 2 2 15 2 6" xfId="16258" xr:uid="{10951CA0-2377-47BA-A05E-3DFCD8A45E02}"/>
    <cellStyle name="Normal 2 2 2 2 2 15 3" xfId="16259" xr:uid="{5EBF7548-C074-4441-A09C-BA1A7AA591EF}"/>
    <cellStyle name="Normal 2 2 2 2 2 15 3 2" xfId="16260" xr:uid="{4AB53EE9-547B-4BA6-B48F-D6395FA44B12}"/>
    <cellStyle name="Normal 2 2 2 2 2 15 3 3" xfId="16261" xr:uid="{C2382DD1-8BB8-4A54-807E-815C539CD013}"/>
    <cellStyle name="Normal 2 2 2 2 2 15 3 4" xfId="16262" xr:uid="{9E659943-DED4-4171-B178-769748779CBB}"/>
    <cellStyle name="Normal 2 2 2 2 2 15 3 5" xfId="16263" xr:uid="{16CF7839-4482-4F46-A972-10E155213C80}"/>
    <cellStyle name="Normal 2 2 2 2 2 15 3 6" xfId="16264" xr:uid="{DD0C33FC-5A7B-45FF-B79B-94438B2A9C21}"/>
    <cellStyle name="Normal 2 2 2 2 2 15 4" xfId="16265" xr:uid="{F97980E8-759D-45E7-8682-0F9194A81694}"/>
    <cellStyle name="Normal 2 2 2 2 2 15 4 2" xfId="16266" xr:uid="{90F20DFD-3479-401C-A059-204716DD5FAC}"/>
    <cellStyle name="Normal 2 2 2 2 2 15 4 3" xfId="16267" xr:uid="{7EE3B283-849F-4665-978E-359BE302AA4F}"/>
    <cellStyle name="Normal 2 2 2 2 2 15 4 4" xfId="16268" xr:uid="{D9ACBE26-AAA7-4734-81DC-727D742C23C0}"/>
    <cellStyle name="Normal 2 2 2 2 2 15 4 5" xfId="16269" xr:uid="{C1FD9891-656A-4D3E-B780-71B427554DB4}"/>
    <cellStyle name="Normal 2 2 2 2 2 15 4 6" xfId="16270" xr:uid="{A6BE1ECF-0A31-4C55-BDF4-FCD777CAB40C}"/>
    <cellStyle name="Normal 2 2 2 2 2 15 5" xfId="16271" xr:uid="{7CC82331-2EA1-4813-A47C-173907BB3939}"/>
    <cellStyle name="Normal 2 2 2 2 2 15 5 2" xfId="16272" xr:uid="{AB1658E9-0391-4623-86DB-0086EBACBA1F}"/>
    <cellStyle name="Normal 2 2 2 2 2 15 5 3" xfId="16273" xr:uid="{64C06F3D-82F2-4B76-BD3E-1A3707CD64A9}"/>
    <cellStyle name="Normal 2 2 2 2 2 15 5 4" xfId="16274" xr:uid="{06C2B03F-472A-4753-AECA-026E2F282BA8}"/>
    <cellStyle name="Normal 2 2 2 2 2 15 5 5" xfId="16275" xr:uid="{CA3CE436-698C-4BE9-A813-6B985EF94936}"/>
    <cellStyle name="Normal 2 2 2 2 2 15 5 6" xfId="16276" xr:uid="{2AF02464-4CCD-4E4D-85B0-88A6FA583817}"/>
    <cellStyle name="Normal 2 2 2 2 2 15 6" xfId="16277" xr:uid="{49665D2D-13F7-40D1-A36E-F414D10C78D0}"/>
    <cellStyle name="Normal 2 2 2 2 2 15 6 2" xfId="16278" xr:uid="{8B32E233-C9F1-4FD1-9097-DE0A1EF9CD30}"/>
    <cellStyle name="Normal 2 2 2 2 2 15 6 3" xfId="16279" xr:uid="{3949870A-7C5D-425D-993F-2FD674091162}"/>
    <cellStyle name="Normal 2 2 2 2 2 15 6 4" xfId="16280" xr:uid="{8AAAF5E0-DB73-4B02-9BD1-3817506B8356}"/>
    <cellStyle name="Normal 2 2 2 2 2 15 6 5" xfId="16281" xr:uid="{41232D63-F8CC-4A3E-8FA1-EBFE7E416EA9}"/>
    <cellStyle name="Normal 2 2 2 2 2 15 6 6" xfId="16282" xr:uid="{FA34764E-4C6A-43A1-9127-EBF1CC8C09C8}"/>
    <cellStyle name="Normal 2 2 2 2 2 15 7" xfId="16283" xr:uid="{2CDFAC2D-8802-45E0-88E8-34DE00601EC8}"/>
    <cellStyle name="Normal 2 2 2 2 2 15 7 2" xfId="16284" xr:uid="{E0339114-3F4B-4D4D-BF67-5583802FD0F0}"/>
    <cellStyle name="Normal 2 2 2 2 2 15 7 3" xfId="16285" xr:uid="{35F8D71D-CC13-45A0-BD8B-85411ED150F6}"/>
    <cellStyle name="Normal 2 2 2 2 2 15 7 4" xfId="16286" xr:uid="{627537E3-638A-4253-8104-00B163B49030}"/>
    <cellStyle name="Normal 2 2 2 2 2 15 7 5" xfId="16287" xr:uid="{D3F5FA88-A8B4-43C4-A7AB-642C7AE786DD}"/>
    <cellStyle name="Normal 2 2 2 2 2 15 7 6" xfId="16288" xr:uid="{9C19E9C5-6169-4143-8036-8A83E68FBA01}"/>
    <cellStyle name="Normal 2 2 2 2 2 15 8" xfId="16289" xr:uid="{A9AAA133-A5B4-401B-93F6-C1ED6C61CE61}"/>
    <cellStyle name="Normal 2 2 2 2 2 15 8 2" xfId="16290" xr:uid="{3D68A229-6606-4063-8095-FE9AC66EB7E3}"/>
    <cellStyle name="Normal 2 2 2 2 2 15 8 3" xfId="16291" xr:uid="{0BBA73B2-0C25-4E37-A514-9C4E7E4C1C02}"/>
    <cellStyle name="Normal 2 2 2 2 2 15 8 4" xfId="16292" xr:uid="{441FA02E-4359-47F9-8859-BC2D6BBCB230}"/>
    <cellStyle name="Normal 2 2 2 2 2 15 8 5" xfId="16293" xr:uid="{15B61EE4-2997-49E8-8F7D-E4C81FBEC615}"/>
    <cellStyle name="Normal 2 2 2 2 2 15 8 6" xfId="16294" xr:uid="{0CA03D67-1B2A-42D4-9B7A-58D6173874F0}"/>
    <cellStyle name="Normal 2 2 2 2 2 15 9" xfId="16295" xr:uid="{1247325C-F7A4-4FE2-97BB-D6E4464AF3E9}"/>
    <cellStyle name="Normal 2 2 2 2 2 16" xfId="16296" xr:uid="{509E4E8A-837B-4212-AD42-70F86CE3B7F8}"/>
    <cellStyle name="Normal 2 2 2 2 2 16 10" xfId="16297" xr:uid="{70A85615-0B11-441E-BC8C-9F306C3389DE}"/>
    <cellStyle name="Normal 2 2 2 2 2 16 11" xfId="16298" xr:uid="{F674F75F-09CA-4F4D-87F2-106BD302BBFE}"/>
    <cellStyle name="Normal 2 2 2 2 2 16 12" xfId="16299" xr:uid="{6017BB47-EDFA-4B0B-B9BF-BCA466E13EF9}"/>
    <cellStyle name="Normal 2 2 2 2 2 16 13" xfId="16300" xr:uid="{288F5A94-9FC3-4C54-B709-B0BBADD6B487}"/>
    <cellStyle name="Normal 2 2 2 2 2 16 2" xfId="16301" xr:uid="{195FB299-5718-4A4F-8B49-D0B6592618C8}"/>
    <cellStyle name="Normal 2 2 2 2 2 16 2 2" xfId="16302" xr:uid="{DE46AE73-D1F9-42BE-8E40-7B64CCD53D4F}"/>
    <cellStyle name="Normal 2 2 2 2 2 16 2 3" xfId="16303" xr:uid="{9CF670BD-D8F8-4014-8B16-0298ACAEE9B2}"/>
    <cellStyle name="Normal 2 2 2 2 2 16 2 4" xfId="16304" xr:uid="{2D3D0978-6E95-46B5-8FA6-0D6E85A21550}"/>
    <cellStyle name="Normal 2 2 2 2 2 16 2 5" xfId="16305" xr:uid="{DFDA05F9-69CF-41BC-9E37-47E37966E82D}"/>
    <cellStyle name="Normal 2 2 2 2 2 16 2 6" xfId="16306" xr:uid="{5671C12D-F07C-405B-81EA-2767A024915B}"/>
    <cellStyle name="Normal 2 2 2 2 2 16 3" xfId="16307" xr:uid="{BCB8CF6D-DB58-4A46-A558-ED7746E34E92}"/>
    <cellStyle name="Normal 2 2 2 2 2 16 3 2" xfId="16308" xr:uid="{71FC3BAC-61C5-4B52-8641-4AB5213DC2A7}"/>
    <cellStyle name="Normal 2 2 2 2 2 16 3 3" xfId="16309" xr:uid="{5117E212-3BF4-4EF3-ACEE-1FE10EA135D2}"/>
    <cellStyle name="Normal 2 2 2 2 2 16 3 4" xfId="16310" xr:uid="{A5C832EC-393F-42D1-8E87-8929C0497FBF}"/>
    <cellStyle name="Normal 2 2 2 2 2 16 3 5" xfId="16311" xr:uid="{60B5946E-1F58-4EC2-8AF7-D3276A6082B0}"/>
    <cellStyle name="Normal 2 2 2 2 2 16 3 6" xfId="16312" xr:uid="{A953BCAB-086E-422C-8BDF-2EAD35A5BCF0}"/>
    <cellStyle name="Normal 2 2 2 2 2 16 4" xfId="16313" xr:uid="{727FAE6E-B29C-4140-8E3D-2027D91F95DD}"/>
    <cellStyle name="Normal 2 2 2 2 2 16 4 2" xfId="16314" xr:uid="{B684A2A8-F464-4646-B58A-6A3B20046DD2}"/>
    <cellStyle name="Normal 2 2 2 2 2 16 4 3" xfId="16315" xr:uid="{A2F594F3-81B2-464E-8876-03F8CB603DF4}"/>
    <cellStyle name="Normal 2 2 2 2 2 16 4 4" xfId="16316" xr:uid="{6181E3B7-D502-40AB-88CF-E9C405552861}"/>
    <cellStyle name="Normal 2 2 2 2 2 16 4 5" xfId="16317" xr:uid="{2F339E16-7438-44A0-B2AD-8832594B32E3}"/>
    <cellStyle name="Normal 2 2 2 2 2 16 4 6" xfId="16318" xr:uid="{FB648EB6-8E16-422C-B416-509DF9E4B207}"/>
    <cellStyle name="Normal 2 2 2 2 2 16 5" xfId="16319" xr:uid="{4AB7E0BA-7979-4E7B-B84A-E0259792CAE9}"/>
    <cellStyle name="Normal 2 2 2 2 2 16 5 2" xfId="16320" xr:uid="{02521F46-2150-461A-A901-CF298AE878D2}"/>
    <cellStyle name="Normal 2 2 2 2 2 16 5 3" xfId="16321" xr:uid="{12EB02FF-71AE-4037-8205-EAD9859463A9}"/>
    <cellStyle name="Normal 2 2 2 2 2 16 5 4" xfId="16322" xr:uid="{7CEC78BC-306D-411E-A620-A69C796CFCED}"/>
    <cellStyle name="Normal 2 2 2 2 2 16 5 5" xfId="16323" xr:uid="{2F8D57D1-2F3A-4B08-AF86-72304ED38300}"/>
    <cellStyle name="Normal 2 2 2 2 2 16 5 6" xfId="16324" xr:uid="{6FDF5572-8504-4F38-A4A6-41E4A87AFDC5}"/>
    <cellStyle name="Normal 2 2 2 2 2 16 6" xfId="16325" xr:uid="{BDBAC190-DD29-4EDD-A49C-1F11B20E14D0}"/>
    <cellStyle name="Normal 2 2 2 2 2 16 6 2" xfId="16326" xr:uid="{F8B240B7-FF0C-468A-9F66-E480CEA7C535}"/>
    <cellStyle name="Normal 2 2 2 2 2 16 6 3" xfId="16327" xr:uid="{FDFC730F-DB12-4B15-8E3D-FBB94B538DC6}"/>
    <cellStyle name="Normal 2 2 2 2 2 16 6 4" xfId="16328" xr:uid="{40A9E705-CD55-4B30-AD17-C866D7B1182D}"/>
    <cellStyle name="Normal 2 2 2 2 2 16 6 5" xfId="16329" xr:uid="{09C32127-8FF8-4B84-ACDA-1F7DF3A3AB82}"/>
    <cellStyle name="Normal 2 2 2 2 2 16 6 6" xfId="16330" xr:uid="{B04C5085-3D50-4398-9856-A603FACB12E1}"/>
    <cellStyle name="Normal 2 2 2 2 2 16 7" xfId="16331" xr:uid="{D4BDDBD8-2B9E-4A7D-917E-A4A46B7574A4}"/>
    <cellStyle name="Normal 2 2 2 2 2 16 7 2" xfId="16332" xr:uid="{91693287-8862-4C31-B32B-EC48E8DD1B94}"/>
    <cellStyle name="Normal 2 2 2 2 2 16 7 3" xfId="16333" xr:uid="{80972B7B-04BD-4898-9C68-EDFF29BB2821}"/>
    <cellStyle name="Normal 2 2 2 2 2 16 7 4" xfId="16334" xr:uid="{ED5D097B-ACEB-4CB3-9C32-9B26AAAA16AF}"/>
    <cellStyle name="Normal 2 2 2 2 2 16 7 5" xfId="16335" xr:uid="{E622FD9F-AA95-4095-9D35-240FD8E4BF0B}"/>
    <cellStyle name="Normal 2 2 2 2 2 16 7 6" xfId="16336" xr:uid="{09E888F7-7FBE-4F20-9A8E-31AD377C7023}"/>
    <cellStyle name="Normal 2 2 2 2 2 16 8" xfId="16337" xr:uid="{E468CB1F-1269-465A-B140-64C97763DA1C}"/>
    <cellStyle name="Normal 2 2 2 2 2 16 8 2" xfId="16338" xr:uid="{6F7A7A7A-39E3-40F8-B413-871DC64767C3}"/>
    <cellStyle name="Normal 2 2 2 2 2 16 8 3" xfId="16339" xr:uid="{5B12FC40-4247-4684-A81C-EB1E7AA7E9CC}"/>
    <cellStyle name="Normal 2 2 2 2 2 16 8 4" xfId="16340" xr:uid="{EF281236-AA0E-4B0A-9590-78787FD8110E}"/>
    <cellStyle name="Normal 2 2 2 2 2 16 8 5" xfId="16341" xr:uid="{C58B1184-347A-4DE7-A811-F49C7A08A02F}"/>
    <cellStyle name="Normal 2 2 2 2 2 16 8 6" xfId="16342" xr:uid="{CB7FF20F-E55D-4743-A71E-CE2755FE9453}"/>
    <cellStyle name="Normal 2 2 2 2 2 16 9" xfId="16343" xr:uid="{C5EEDCB6-ED1A-4364-8C38-4319220FA591}"/>
    <cellStyle name="Normal 2 2 2 2 2 17" xfId="16344" xr:uid="{A5DD7454-726C-4006-958B-2F5BD6566BB0}"/>
    <cellStyle name="Normal 2 2 2 2 2 17 10" xfId="16345" xr:uid="{8D3A948F-867F-4D56-9EDF-45E70830D9C2}"/>
    <cellStyle name="Normal 2 2 2 2 2 17 11" xfId="16346" xr:uid="{EE5169B7-BE3B-4E53-98B3-17FB8E4A2EEB}"/>
    <cellStyle name="Normal 2 2 2 2 2 17 12" xfId="16347" xr:uid="{CC29E0E7-3E9A-4892-A2A6-72CBB6BCA67A}"/>
    <cellStyle name="Normal 2 2 2 2 2 17 13" xfId="16348" xr:uid="{D1E595BB-C6C6-499B-AC27-29B715F9A7B3}"/>
    <cellStyle name="Normal 2 2 2 2 2 17 2" xfId="16349" xr:uid="{CE84DBF4-E7D3-4AAC-9C03-F46474811F3D}"/>
    <cellStyle name="Normal 2 2 2 2 2 17 2 2" xfId="16350" xr:uid="{2A47D4B3-D212-4BF3-8182-0C2B2FEE992C}"/>
    <cellStyle name="Normal 2 2 2 2 2 17 2 3" xfId="16351" xr:uid="{671A91FB-792C-4D0B-85BE-9A5C13D71746}"/>
    <cellStyle name="Normal 2 2 2 2 2 17 2 4" xfId="16352" xr:uid="{6204AD19-F177-4902-94E8-18A45847E0A7}"/>
    <cellStyle name="Normal 2 2 2 2 2 17 2 5" xfId="16353" xr:uid="{7C428DB3-FF8C-4222-9177-5F5112DD35A3}"/>
    <cellStyle name="Normal 2 2 2 2 2 17 2 6" xfId="16354" xr:uid="{F37118F0-E2CE-44AC-A811-8616BBD2CB8B}"/>
    <cellStyle name="Normal 2 2 2 2 2 17 3" xfId="16355" xr:uid="{2780DE11-55C4-4A84-9AB3-5A51073770CB}"/>
    <cellStyle name="Normal 2 2 2 2 2 17 3 2" xfId="16356" xr:uid="{091A7519-25CF-48C7-916B-B6470C682082}"/>
    <cellStyle name="Normal 2 2 2 2 2 17 3 3" xfId="16357" xr:uid="{0168798E-EE17-4C80-801F-2272CBAB3FC2}"/>
    <cellStyle name="Normal 2 2 2 2 2 17 3 4" xfId="16358" xr:uid="{17D85B35-A869-4EFC-8E07-5DD89C777870}"/>
    <cellStyle name="Normal 2 2 2 2 2 17 3 5" xfId="16359" xr:uid="{F3F77D4A-8C9F-492B-9574-E1558F8D6DA8}"/>
    <cellStyle name="Normal 2 2 2 2 2 17 3 6" xfId="16360" xr:uid="{846C6B75-6B78-4C84-A507-923E643AD7E7}"/>
    <cellStyle name="Normal 2 2 2 2 2 17 4" xfId="16361" xr:uid="{3B87541C-ED73-4C08-9F2A-53B69C867866}"/>
    <cellStyle name="Normal 2 2 2 2 2 17 4 2" xfId="16362" xr:uid="{15CF8D48-3E25-4D27-B0DC-23CFE8B83EA0}"/>
    <cellStyle name="Normal 2 2 2 2 2 17 4 3" xfId="16363" xr:uid="{74296B66-8E5D-4EAB-A091-7BEAB557EF83}"/>
    <cellStyle name="Normal 2 2 2 2 2 17 4 4" xfId="16364" xr:uid="{C57EB4A4-8F41-4B5B-B3B0-D0E3072AD154}"/>
    <cellStyle name="Normal 2 2 2 2 2 17 4 5" xfId="16365" xr:uid="{27DCAD4F-71D9-485A-8A4E-94B226C58BFD}"/>
    <cellStyle name="Normal 2 2 2 2 2 17 4 6" xfId="16366" xr:uid="{5B557D6D-1204-4A25-BA2C-96BBDCB84265}"/>
    <cellStyle name="Normal 2 2 2 2 2 17 5" xfId="16367" xr:uid="{02FE7BD9-CD48-47A3-9DDC-2F8850F1B578}"/>
    <cellStyle name="Normal 2 2 2 2 2 17 5 2" xfId="16368" xr:uid="{6372D538-C347-43BB-805F-BBAFD4CCE17C}"/>
    <cellStyle name="Normal 2 2 2 2 2 17 5 3" xfId="16369" xr:uid="{949FA6B8-538F-47F1-8DDE-C462E98F8170}"/>
    <cellStyle name="Normal 2 2 2 2 2 17 5 4" xfId="16370" xr:uid="{B42F9321-C5AF-472A-914A-27C12FCF84C4}"/>
    <cellStyle name="Normal 2 2 2 2 2 17 5 5" xfId="16371" xr:uid="{8F25BB8B-7BB9-4EA1-8140-B03DF9D512E6}"/>
    <cellStyle name="Normal 2 2 2 2 2 17 5 6" xfId="16372" xr:uid="{D1CC1D67-DF61-4036-ADFD-7962513BC45B}"/>
    <cellStyle name="Normal 2 2 2 2 2 17 6" xfId="16373" xr:uid="{DDC495FB-7B4A-426D-8094-214B9434DC1A}"/>
    <cellStyle name="Normal 2 2 2 2 2 17 6 2" xfId="16374" xr:uid="{BA781FBC-777D-49B3-832A-D13A08790AFC}"/>
    <cellStyle name="Normal 2 2 2 2 2 17 6 3" xfId="16375" xr:uid="{A5CC6C3A-9246-42C7-95D5-55D660556803}"/>
    <cellStyle name="Normal 2 2 2 2 2 17 6 4" xfId="16376" xr:uid="{7B4AFF7D-2399-4CDC-A0EE-BBD380B69BD5}"/>
    <cellStyle name="Normal 2 2 2 2 2 17 6 5" xfId="16377" xr:uid="{C9F3DA70-9F28-4878-BAF2-B4D7F5F07AC6}"/>
    <cellStyle name="Normal 2 2 2 2 2 17 6 6" xfId="16378" xr:uid="{523CE4D4-C2E9-4267-91E4-CE3B5CDB124D}"/>
    <cellStyle name="Normal 2 2 2 2 2 17 7" xfId="16379" xr:uid="{43F64571-7C9E-4A0E-9B65-2A638A45EA3E}"/>
    <cellStyle name="Normal 2 2 2 2 2 17 7 2" xfId="16380" xr:uid="{C7F63885-63F4-4E2E-9C78-55E25943FB8B}"/>
    <cellStyle name="Normal 2 2 2 2 2 17 7 3" xfId="16381" xr:uid="{A038DD8D-7F39-4753-A7AA-9DE3B0D3B3DF}"/>
    <cellStyle name="Normal 2 2 2 2 2 17 7 4" xfId="16382" xr:uid="{B0245B56-64FE-4149-B515-F1E5BAA2ADD0}"/>
    <cellStyle name="Normal 2 2 2 2 2 17 7 5" xfId="16383" xr:uid="{05233C88-E000-4903-9550-AB22CF15ADDD}"/>
    <cellStyle name="Normal 2 2 2 2 2 17 7 6" xfId="16384" xr:uid="{5B3B2A50-686B-4B73-BF1D-570FEF48DF61}"/>
    <cellStyle name="Normal 2 2 2 2 2 17 8" xfId="16385" xr:uid="{F6F2D3D0-08A4-41AF-9E89-BE9B063697B7}"/>
    <cellStyle name="Normal 2 2 2 2 2 17 8 2" xfId="16386" xr:uid="{C300B0EF-1E8B-46EF-B8BE-47DBF56199FE}"/>
    <cellStyle name="Normal 2 2 2 2 2 17 8 3" xfId="16387" xr:uid="{78ACA5FC-70CF-4E87-BB98-938EF3E0E1F8}"/>
    <cellStyle name="Normal 2 2 2 2 2 17 8 4" xfId="16388" xr:uid="{BB1EBA5D-33BC-45A0-B5C1-70B9C7A81D8E}"/>
    <cellStyle name="Normal 2 2 2 2 2 17 8 5" xfId="16389" xr:uid="{D42DC29F-6E4F-410E-8725-7BFFE26B360D}"/>
    <cellStyle name="Normal 2 2 2 2 2 17 8 6" xfId="16390" xr:uid="{4DC33B32-D010-491C-B114-6BCA07415396}"/>
    <cellStyle name="Normal 2 2 2 2 2 17 9" xfId="16391" xr:uid="{1D6EA668-A4C7-40A5-A9BC-B946772BE12C}"/>
    <cellStyle name="Normal 2 2 2 2 2 18" xfId="16392" xr:uid="{CD2C8D47-042C-474E-9A23-E7F858ABD5A9}"/>
    <cellStyle name="Normal 2 2 2 2 2 18 10" xfId="16393" xr:uid="{6F219E3D-842F-436B-BD1A-F0EF1862FFEE}"/>
    <cellStyle name="Normal 2 2 2 2 2 18 11" xfId="16394" xr:uid="{BA74920D-0058-4C92-8C1F-DD03394C5C99}"/>
    <cellStyle name="Normal 2 2 2 2 2 18 12" xfId="16395" xr:uid="{311177C9-D495-415F-B229-E5CCACD8F049}"/>
    <cellStyle name="Normal 2 2 2 2 2 18 13" xfId="16396" xr:uid="{7954C2DE-F284-41B3-877D-36AB7CCB4EC8}"/>
    <cellStyle name="Normal 2 2 2 2 2 18 2" xfId="16397" xr:uid="{996D31BE-1219-460D-8A2F-22929EE7232E}"/>
    <cellStyle name="Normal 2 2 2 2 2 18 2 2" xfId="16398" xr:uid="{AB28C0E6-4452-4700-9F3D-540957358794}"/>
    <cellStyle name="Normal 2 2 2 2 2 18 2 2 2" xfId="16399" xr:uid="{62E0BD0C-3AB1-44A0-9880-92CDB9C4C2B2}"/>
    <cellStyle name="Normal 2 2 2 2 2 18 2 3" xfId="16400" xr:uid="{76428301-9484-463F-A5A3-C1A84FB5D7BF}"/>
    <cellStyle name="Normal 2 2 2 2 2 18 2 4" xfId="16401" xr:uid="{1C66EAFA-2D38-491E-A2AB-A67875899208}"/>
    <cellStyle name="Normal 2 2 2 2 2 18 2 5" xfId="16402" xr:uid="{1D48DBF1-8D2E-4B66-A9F0-3555334FE866}"/>
    <cellStyle name="Normal 2 2 2 2 2 18 2 6" xfId="16403" xr:uid="{2404EC08-9BFE-4912-BD7D-98FC22064A56}"/>
    <cellStyle name="Normal 2 2 2 2 2 18 3" xfId="16404" xr:uid="{F5192F53-9292-4888-B714-8AAD9F4EFA2C}"/>
    <cellStyle name="Normal 2 2 2 2 2 18 3 2" xfId="16405" xr:uid="{F80CC055-D178-4A5E-BBDB-D49DEA5608BF}"/>
    <cellStyle name="Normal 2 2 2 2 2 18 3 3" xfId="16406" xr:uid="{E9D1C8AB-4546-4057-84C4-75158236992D}"/>
    <cellStyle name="Normal 2 2 2 2 2 18 3 4" xfId="16407" xr:uid="{3FC1B15B-B667-4C7E-90D4-9E83CE565C63}"/>
    <cellStyle name="Normal 2 2 2 2 2 18 3 5" xfId="16408" xr:uid="{B793FD1A-4A04-46A5-A180-8C699C78BEFC}"/>
    <cellStyle name="Normal 2 2 2 2 2 18 3 6" xfId="16409" xr:uid="{08738734-3698-46FC-80B2-7D118F5B758E}"/>
    <cellStyle name="Normal 2 2 2 2 2 18 4" xfId="16410" xr:uid="{0F2E5303-45A5-4012-A704-A282D74AB900}"/>
    <cellStyle name="Normal 2 2 2 2 2 18 4 2" xfId="16411" xr:uid="{8E7E2D6E-0195-4877-9275-2BE4BAA311B1}"/>
    <cellStyle name="Normal 2 2 2 2 2 18 4 3" xfId="16412" xr:uid="{58016813-1C3A-45AB-A7E3-1D29A5483760}"/>
    <cellStyle name="Normal 2 2 2 2 2 18 4 4" xfId="16413" xr:uid="{0DB36454-6705-4F17-8869-CA4D27D3CE80}"/>
    <cellStyle name="Normal 2 2 2 2 2 18 4 5" xfId="16414" xr:uid="{D211D916-B36F-4732-ACBB-9431E65D8312}"/>
    <cellStyle name="Normal 2 2 2 2 2 18 4 6" xfId="16415" xr:uid="{CBC8D691-C246-4E8F-B5A3-9E4507CB1CDB}"/>
    <cellStyle name="Normal 2 2 2 2 2 18 5" xfId="16416" xr:uid="{785903E8-623B-4C8D-822E-717E60033FBA}"/>
    <cellStyle name="Normal 2 2 2 2 2 18 5 2" xfId="16417" xr:uid="{891E4CD2-0753-46D5-A3BD-03577012CB89}"/>
    <cellStyle name="Normal 2 2 2 2 2 18 5 3" xfId="16418" xr:uid="{33049774-1FE2-4B10-BFE7-9A172D07FE5E}"/>
    <cellStyle name="Normal 2 2 2 2 2 18 5 4" xfId="16419" xr:uid="{6806E3EF-752C-423A-A0BF-31B3ADDF9730}"/>
    <cellStyle name="Normal 2 2 2 2 2 18 5 5" xfId="16420" xr:uid="{DE5B88EB-3649-4F29-A814-CED93866410B}"/>
    <cellStyle name="Normal 2 2 2 2 2 18 5 6" xfId="16421" xr:uid="{D8233DA8-D2B7-4614-BB18-0EC48642E441}"/>
    <cellStyle name="Normal 2 2 2 2 2 18 6" xfId="16422" xr:uid="{B29BBA8E-D720-4652-823C-85BEC4E74F2F}"/>
    <cellStyle name="Normal 2 2 2 2 2 18 6 2" xfId="16423" xr:uid="{674D6BD8-DBE6-4C7B-9E06-BC5F419C4307}"/>
    <cellStyle name="Normal 2 2 2 2 2 18 6 3" xfId="16424" xr:uid="{84269141-8CD1-4D2F-BDE1-FA62D5491BD4}"/>
    <cellStyle name="Normal 2 2 2 2 2 18 6 4" xfId="16425" xr:uid="{E70284E2-6D5E-4E09-A8C4-D46EDB3E7D03}"/>
    <cellStyle name="Normal 2 2 2 2 2 18 6 5" xfId="16426" xr:uid="{4A6DD7ED-1496-4BAF-997E-AFE51CA6FBCD}"/>
    <cellStyle name="Normal 2 2 2 2 2 18 6 6" xfId="16427" xr:uid="{84BC8EDD-9A8E-4C0B-B005-0D96DEF95053}"/>
    <cellStyle name="Normal 2 2 2 2 2 18 7" xfId="16428" xr:uid="{2E07519D-472F-4381-ABEB-C34CD8F958CB}"/>
    <cellStyle name="Normal 2 2 2 2 2 18 7 2" xfId="16429" xr:uid="{6F602A62-7F2C-4895-BAD4-EC17721ADC18}"/>
    <cellStyle name="Normal 2 2 2 2 2 18 7 3" xfId="16430" xr:uid="{6039F58E-AAE5-49FC-8C80-4416FD51696B}"/>
    <cellStyle name="Normal 2 2 2 2 2 18 7 4" xfId="16431" xr:uid="{B1932CD9-B529-4BFD-BF71-9E4A2975670C}"/>
    <cellStyle name="Normal 2 2 2 2 2 18 7 5" xfId="16432" xr:uid="{4B18D0B3-8D26-42E7-B197-E513111F7F8D}"/>
    <cellStyle name="Normal 2 2 2 2 2 18 7 6" xfId="16433" xr:uid="{6D4BEEE8-33B3-4585-8475-B06434A0BDA2}"/>
    <cellStyle name="Normal 2 2 2 2 2 18 8" xfId="16434" xr:uid="{7AAE4856-19E8-4562-9A87-0C778FFF5A7B}"/>
    <cellStyle name="Normal 2 2 2 2 2 18 8 2" xfId="16435" xr:uid="{AF4F6E23-819A-4650-9178-235C70A258D4}"/>
    <cellStyle name="Normal 2 2 2 2 2 18 8 3" xfId="16436" xr:uid="{5F4364DC-E51F-43A1-877D-9C7EB59DAB53}"/>
    <cellStyle name="Normal 2 2 2 2 2 18 8 4" xfId="16437" xr:uid="{ECA99A71-DAAB-414A-9916-6183A5197480}"/>
    <cellStyle name="Normal 2 2 2 2 2 18 8 5" xfId="16438" xr:uid="{3E24FA91-0E43-4223-A4D1-7BA2710F237D}"/>
    <cellStyle name="Normal 2 2 2 2 2 18 8 6" xfId="16439" xr:uid="{9F916E6B-3091-412A-B89D-3A0D10139ECC}"/>
    <cellStyle name="Normal 2 2 2 2 2 18 9" xfId="16440" xr:uid="{5CB8CCB5-78F3-440A-B107-EE607612EDC4}"/>
    <cellStyle name="Normal 2 2 2 2 2 19" xfId="16441" xr:uid="{983C646A-5B76-4FAB-B8D6-451A73471D99}"/>
    <cellStyle name="Normal 2 2 2 2 2 19 10" xfId="16442" xr:uid="{FDF6DE65-CFE7-4559-9E90-2BCFC12EC462}"/>
    <cellStyle name="Normal 2 2 2 2 2 19 11" xfId="16443" xr:uid="{9F0CBA60-A1C0-4EC1-BC08-E1B25692D686}"/>
    <cellStyle name="Normal 2 2 2 2 2 19 12" xfId="16444" xr:uid="{60FB160C-51F3-4110-A10E-6512815319B5}"/>
    <cellStyle name="Normal 2 2 2 2 2 19 13" xfId="16445" xr:uid="{5BE17AAA-114E-486F-8C1E-CC96C0C8D9CE}"/>
    <cellStyle name="Normal 2 2 2 2 2 19 2" xfId="16446" xr:uid="{7DB4999A-D2BD-4FDC-94C1-C4640A665A56}"/>
    <cellStyle name="Normal 2 2 2 2 2 19 2 2" xfId="16447" xr:uid="{38517512-4F5D-403C-8D6A-7E9AD3E96F48}"/>
    <cellStyle name="Normal 2 2 2 2 2 19 2 3" xfId="16448" xr:uid="{F5E53828-2A28-4238-B12F-47A911861C1A}"/>
    <cellStyle name="Normal 2 2 2 2 2 19 2 4" xfId="16449" xr:uid="{8D2FB315-5FAD-4852-B72C-AEC614B1DB13}"/>
    <cellStyle name="Normal 2 2 2 2 2 19 2 5" xfId="16450" xr:uid="{59B2673C-63C2-4435-AC5E-682D68631066}"/>
    <cellStyle name="Normal 2 2 2 2 2 19 2 6" xfId="16451" xr:uid="{F27435BA-47E8-4E0A-9834-E056AC9AF708}"/>
    <cellStyle name="Normal 2 2 2 2 2 19 3" xfId="16452" xr:uid="{422263F0-3DD2-408E-AEC9-AA7B2F1FE37C}"/>
    <cellStyle name="Normal 2 2 2 2 2 19 3 2" xfId="16453" xr:uid="{DE5D3A48-2A9D-4AD8-ABCC-0CE3306DF0F1}"/>
    <cellStyle name="Normal 2 2 2 2 2 19 3 3" xfId="16454" xr:uid="{1EFDE556-C134-438F-BCF8-8500D561C737}"/>
    <cellStyle name="Normal 2 2 2 2 2 19 3 4" xfId="16455" xr:uid="{4D8D6EDB-74C7-445F-985B-D32EE6D1D119}"/>
    <cellStyle name="Normal 2 2 2 2 2 19 3 5" xfId="16456" xr:uid="{7A6E220A-6A5E-4389-B94E-69A3E6BE6560}"/>
    <cellStyle name="Normal 2 2 2 2 2 19 3 6" xfId="16457" xr:uid="{A76A6BD7-270B-4202-9DD3-A216BA989F5E}"/>
    <cellStyle name="Normal 2 2 2 2 2 19 4" xfId="16458" xr:uid="{68F798C5-0FF4-442A-98F7-BAA710292CA5}"/>
    <cellStyle name="Normal 2 2 2 2 2 19 4 2" xfId="16459" xr:uid="{13E4B6BA-2B14-4A43-8F45-F86A080A9ADA}"/>
    <cellStyle name="Normal 2 2 2 2 2 19 4 3" xfId="16460" xr:uid="{2B2A883C-BB42-4234-81B9-D64F3C4F7E59}"/>
    <cellStyle name="Normal 2 2 2 2 2 19 4 4" xfId="16461" xr:uid="{00D6A247-A869-4CAA-A0F1-8905BB92EFFB}"/>
    <cellStyle name="Normal 2 2 2 2 2 19 4 5" xfId="16462" xr:uid="{E5841315-976A-4A7F-B026-80D6D83C465C}"/>
    <cellStyle name="Normal 2 2 2 2 2 19 4 6" xfId="16463" xr:uid="{2BBBF72C-F8B3-4391-BCD2-BBE05C0A5C07}"/>
    <cellStyle name="Normal 2 2 2 2 2 19 5" xfId="16464" xr:uid="{558F79A4-6C99-49E9-997B-D09BD89DD53C}"/>
    <cellStyle name="Normal 2 2 2 2 2 19 5 2" xfId="16465" xr:uid="{3190AAE5-B833-44AC-A108-E85E0FA28AE6}"/>
    <cellStyle name="Normal 2 2 2 2 2 19 5 3" xfId="16466" xr:uid="{E06AF125-2271-4C58-A221-D8F269F8F636}"/>
    <cellStyle name="Normal 2 2 2 2 2 19 5 4" xfId="16467" xr:uid="{E2E04CBB-B188-4635-B708-056128693331}"/>
    <cellStyle name="Normal 2 2 2 2 2 19 5 5" xfId="16468" xr:uid="{CC823C31-2854-40FD-881B-E85D3F7A7470}"/>
    <cellStyle name="Normal 2 2 2 2 2 19 5 6" xfId="16469" xr:uid="{2CBC3B45-08E8-4E1B-B674-DCCEAB75A581}"/>
    <cellStyle name="Normal 2 2 2 2 2 19 6" xfId="16470" xr:uid="{5D99613C-9EC5-49F0-B842-2C0A4022B2BA}"/>
    <cellStyle name="Normal 2 2 2 2 2 19 6 2" xfId="16471" xr:uid="{EDAD5143-B57E-4E4C-BE82-79CBD21E12B9}"/>
    <cellStyle name="Normal 2 2 2 2 2 19 6 3" xfId="16472" xr:uid="{088C0EAB-5343-4B2D-839E-4BADE90B8DFF}"/>
    <cellStyle name="Normal 2 2 2 2 2 19 6 4" xfId="16473" xr:uid="{B90D9A55-2987-4C16-AFA0-AE90C9FE382B}"/>
    <cellStyle name="Normal 2 2 2 2 2 19 6 5" xfId="16474" xr:uid="{AE82AC7D-26DD-4BDD-BB12-1B9E261DA8EE}"/>
    <cellStyle name="Normal 2 2 2 2 2 19 6 6" xfId="16475" xr:uid="{A9909375-B9BA-441C-B51B-C3FD6A42CBE3}"/>
    <cellStyle name="Normal 2 2 2 2 2 19 7" xfId="16476" xr:uid="{C338A023-6743-41B7-9B9B-B29EB963B5A5}"/>
    <cellStyle name="Normal 2 2 2 2 2 19 7 2" xfId="16477" xr:uid="{6C2CEA05-A119-4C1B-8786-71A32DEA619C}"/>
    <cellStyle name="Normal 2 2 2 2 2 19 7 3" xfId="16478" xr:uid="{09EB4F00-C6C0-4292-A2DA-26F98B83099C}"/>
    <cellStyle name="Normal 2 2 2 2 2 19 7 4" xfId="16479" xr:uid="{F210AE6D-5EE8-4EEF-90F0-41998067FC31}"/>
    <cellStyle name="Normal 2 2 2 2 2 19 7 5" xfId="16480" xr:uid="{5F31BFDC-C716-4BE4-BCCC-6BA9D9EF8D80}"/>
    <cellStyle name="Normal 2 2 2 2 2 19 7 6" xfId="16481" xr:uid="{B1CE6052-CEA0-4E43-BE2B-931DAFF26EB2}"/>
    <cellStyle name="Normal 2 2 2 2 2 19 8" xfId="16482" xr:uid="{881C1718-EB78-4CE8-8C69-5AA77C56056F}"/>
    <cellStyle name="Normal 2 2 2 2 2 19 8 2" xfId="16483" xr:uid="{3680DEFE-C5D7-4D25-9E48-1BF4C4C10BA1}"/>
    <cellStyle name="Normal 2 2 2 2 2 19 8 3" xfId="16484" xr:uid="{3C8BA7C1-9986-4633-904E-AB049BF13D61}"/>
    <cellStyle name="Normal 2 2 2 2 2 19 8 4" xfId="16485" xr:uid="{CEBE2FE1-9A24-4996-AC3C-63EFDCD1AEA7}"/>
    <cellStyle name="Normal 2 2 2 2 2 19 8 5" xfId="16486" xr:uid="{D6787D83-2E0F-425E-B89E-D7A064D93953}"/>
    <cellStyle name="Normal 2 2 2 2 2 19 8 6" xfId="16487" xr:uid="{DB09BBA2-8A70-4E7A-B997-E754156C9F55}"/>
    <cellStyle name="Normal 2 2 2 2 2 19 9" xfId="16488" xr:uid="{144808C4-2833-4F90-8DD2-6C99CBDBCAE5}"/>
    <cellStyle name="Normal 2 2 2 2 2 2" xfId="16489" xr:uid="{CAD7472E-48EA-408D-8D42-D4D896E23294}"/>
    <cellStyle name="Normal 2 2 2 2 2 2 10" xfId="16490" xr:uid="{11D95635-1255-47A7-BE71-25E86BC00868}"/>
    <cellStyle name="Normal 2 2 2 2 2 2 11" xfId="16491" xr:uid="{E1DDC8E9-8A6E-4F90-8517-102D0C98BFA1}"/>
    <cellStyle name="Normal 2 2 2 2 2 2 12" xfId="16492" xr:uid="{0C711D88-A91D-4E3E-8440-79E04B690622}"/>
    <cellStyle name="Normal 2 2 2 2 2 2 13" xfId="16493" xr:uid="{122235D2-3064-4D86-85F1-EA717984ADE7}"/>
    <cellStyle name="Normal 2 2 2 2 2 2 14" xfId="16494" xr:uid="{D61FA085-D5FB-49A1-A464-C0D1A075713E}"/>
    <cellStyle name="Normal 2 2 2 2 2 2 15" xfId="16495" xr:uid="{DF3CE323-4268-4872-A827-EDFEBAC4E9B9}"/>
    <cellStyle name="Normal 2 2 2 2 2 2 16" xfId="16496" xr:uid="{F79CD06E-1783-4C21-8A22-733B25DEF831}"/>
    <cellStyle name="Normal 2 2 2 2 2 2 17" xfId="16497" xr:uid="{FFD16309-2205-4FFE-B6D8-3DDFB025C6C2}"/>
    <cellStyle name="Normal 2 2 2 2 2 2 18" xfId="16498" xr:uid="{03B7AC3F-9BA7-460F-9402-560A5E33DB80}"/>
    <cellStyle name="Normal 2 2 2 2 2 2 19" xfId="16499" xr:uid="{A08AC450-91AA-442D-B91E-B18A2389DA5F}"/>
    <cellStyle name="Normal 2 2 2 2 2 2 19 10" xfId="16500" xr:uid="{07B3A132-540B-4664-B3E4-3DC38B33FF24}"/>
    <cellStyle name="Normal 2 2 2 2 2 2 19 11" xfId="16501" xr:uid="{914358AA-2E79-4583-8CAB-33467B44CD40}"/>
    <cellStyle name="Normal 2 2 2 2 2 2 19 12" xfId="16502" xr:uid="{A4E73B7A-0C0C-4616-BB51-B96814434CF6}"/>
    <cellStyle name="Normal 2 2 2 2 2 2 19 13" xfId="16503" xr:uid="{44816677-731C-4219-ABC9-434497BBABC5}"/>
    <cellStyle name="Normal 2 2 2 2 2 2 19 2" xfId="16504" xr:uid="{271870C9-2EDA-4D6D-BDC3-AFC4AB5ABDFF}"/>
    <cellStyle name="Normal 2 2 2 2 2 2 19 2 2" xfId="16505" xr:uid="{6A0006A3-C51C-4FF7-98BE-9062007C13A2}"/>
    <cellStyle name="Normal 2 2 2 2 2 2 19 2 3" xfId="16506" xr:uid="{261144AE-3D64-46BC-B2E3-DCD4760D129E}"/>
    <cellStyle name="Normal 2 2 2 2 2 2 19 2 4" xfId="16507" xr:uid="{46E30E77-8991-48FD-892E-F4DAB15C4B2E}"/>
    <cellStyle name="Normal 2 2 2 2 2 2 19 2 5" xfId="16508" xr:uid="{269457A6-9E42-4870-92E9-2200C8B6780A}"/>
    <cellStyle name="Normal 2 2 2 2 2 2 19 2 6" xfId="16509" xr:uid="{95A31382-846B-47FC-9712-4A5BE2E83BF2}"/>
    <cellStyle name="Normal 2 2 2 2 2 2 19 3" xfId="16510" xr:uid="{5EC1278F-A42D-4330-9BB8-9CD1FB30D7FA}"/>
    <cellStyle name="Normal 2 2 2 2 2 2 19 3 2" xfId="16511" xr:uid="{9A709938-E7D2-420C-A76B-F98FCF4C0CC3}"/>
    <cellStyle name="Normal 2 2 2 2 2 2 19 3 3" xfId="16512" xr:uid="{141EADE5-012A-4DED-9ECB-24C67C76921F}"/>
    <cellStyle name="Normal 2 2 2 2 2 2 19 3 4" xfId="16513" xr:uid="{DA93CAA7-693F-4EFB-9399-09ED858C4946}"/>
    <cellStyle name="Normal 2 2 2 2 2 2 19 3 5" xfId="16514" xr:uid="{7D079326-307F-4E5C-83C5-5457267EB747}"/>
    <cellStyle name="Normal 2 2 2 2 2 2 19 3 6" xfId="16515" xr:uid="{8D5A6CBA-B741-433D-8A36-E1FF5D42A382}"/>
    <cellStyle name="Normal 2 2 2 2 2 2 19 4" xfId="16516" xr:uid="{FA7EF7F8-1222-481A-827C-B973F292CE91}"/>
    <cellStyle name="Normal 2 2 2 2 2 2 19 4 2" xfId="16517" xr:uid="{1058ABF9-0200-4356-AD6E-CAFEB504F79F}"/>
    <cellStyle name="Normal 2 2 2 2 2 2 19 4 3" xfId="16518" xr:uid="{7DA4CE69-CCBB-45CE-91E0-1A7895A348B6}"/>
    <cellStyle name="Normal 2 2 2 2 2 2 19 4 4" xfId="16519" xr:uid="{AF4F9ADB-CBC5-40C8-A6B6-32D5E57E1CF0}"/>
    <cellStyle name="Normal 2 2 2 2 2 2 19 4 5" xfId="16520" xr:uid="{BE42A981-9168-4E60-9797-CFD878C813C3}"/>
    <cellStyle name="Normal 2 2 2 2 2 2 19 4 6" xfId="16521" xr:uid="{487E6510-A5DF-422B-894D-809C6BE6D4FF}"/>
    <cellStyle name="Normal 2 2 2 2 2 2 19 5" xfId="16522" xr:uid="{490AD843-B1A5-4306-96D5-5E8F721233CE}"/>
    <cellStyle name="Normal 2 2 2 2 2 2 19 5 2" xfId="16523" xr:uid="{D6047001-FF7F-476F-BB4F-A227FAA14D16}"/>
    <cellStyle name="Normal 2 2 2 2 2 2 19 5 3" xfId="16524" xr:uid="{8A971A5B-2996-4D81-9E8D-4CB3ED92A617}"/>
    <cellStyle name="Normal 2 2 2 2 2 2 19 5 4" xfId="16525" xr:uid="{DE713E9A-E3F4-456A-A4FE-3543AB5F6B58}"/>
    <cellStyle name="Normal 2 2 2 2 2 2 19 5 5" xfId="16526" xr:uid="{58853C3E-21E0-4052-B6C3-D920CD9B098E}"/>
    <cellStyle name="Normal 2 2 2 2 2 2 19 5 6" xfId="16527" xr:uid="{A1FB5646-7804-48C3-9546-9CC550558FAE}"/>
    <cellStyle name="Normal 2 2 2 2 2 2 19 6" xfId="16528" xr:uid="{89276B00-71D1-4F54-AA01-E9A2479051F6}"/>
    <cellStyle name="Normal 2 2 2 2 2 2 19 6 2" xfId="16529" xr:uid="{798B4C7C-3C64-4F2B-8EFF-26084907B014}"/>
    <cellStyle name="Normal 2 2 2 2 2 2 19 6 3" xfId="16530" xr:uid="{A9B8FCC4-9815-4A2D-81F7-C65F3E8B188C}"/>
    <cellStyle name="Normal 2 2 2 2 2 2 19 6 4" xfId="16531" xr:uid="{CA183FD1-3008-4989-B898-A39E2BC130FE}"/>
    <cellStyle name="Normal 2 2 2 2 2 2 19 6 5" xfId="16532" xr:uid="{85A0A143-BAB9-42F3-882C-827160A8DAD8}"/>
    <cellStyle name="Normal 2 2 2 2 2 2 19 6 6" xfId="16533" xr:uid="{CE78DB20-0B61-408D-9302-43E58FFF6793}"/>
    <cellStyle name="Normal 2 2 2 2 2 2 19 7" xfId="16534" xr:uid="{2123C033-B29E-4B14-A8E6-BA51D962FE40}"/>
    <cellStyle name="Normal 2 2 2 2 2 2 19 7 2" xfId="16535" xr:uid="{AF009347-582A-4285-A210-10F07458B5A8}"/>
    <cellStyle name="Normal 2 2 2 2 2 2 19 7 3" xfId="16536" xr:uid="{8F2CCC68-976A-440C-9AA8-96C54FA62AC5}"/>
    <cellStyle name="Normal 2 2 2 2 2 2 19 7 4" xfId="16537" xr:uid="{8E63B90D-5F9A-4E9E-B8A5-5D16F2B436EC}"/>
    <cellStyle name="Normal 2 2 2 2 2 2 19 7 5" xfId="16538" xr:uid="{C635AA03-5BD8-497D-B2B9-4D6D0DE1AB50}"/>
    <cellStyle name="Normal 2 2 2 2 2 2 19 7 6" xfId="16539" xr:uid="{113E08F2-2F08-434D-A16B-EEE1CF50AC51}"/>
    <cellStyle name="Normal 2 2 2 2 2 2 19 8" xfId="16540" xr:uid="{F74DC6DD-EF48-437A-840D-FDB525809767}"/>
    <cellStyle name="Normal 2 2 2 2 2 2 19 8 2" xfId="16541" xr:uid="{92FB4DAD-10E4-4465-8203-D76EA05C6A55}"/>
    <cellStyle name="Normal 2 2 2 2 2 2 19 8 3" xfId="16542" xr:uid="{B86FE2CA-E1F1-4078-B9B7-134BF64ACF04}"/>
    <cellStyle name="Normal 2 2 2 2 2 2 19 8 4" xfId="16543" xr:uid="{40DB62F5-D6FD-4C7B-BE1F-03C0BC744BF1}"/>
    <cellStyle name="Normal 2 2 2 2 2 2 19 8 5" xfId="16544" xr:uid="{3FAEF592-1CD1-4BBE-9AD6-1DDA76021AA1}"/>
    <cellStyle name="Normal 2 2 2 2 2 2 19 8 6" xfId="16545" xr:uid="{B97DA61A-8696-4ADC-880A-0F25E2154810}"/>
    <cellStyle name="Normal 2 2 2 2 2 2 19 9" xfId="16546" xr:uid="{AE6676C1-035D-446C-B460-A528AC5401D3}"/>
    <cellStyle name="Normal 2 2 2 2 2 2 2" xfId="16547" xr:uid="{2D59AAC2-4C6C-4454-B8D2-47CB3C2FEC1D}"/>
    <cellStyle name="Normal 2 2 2 2 2 2 2 10" xfId="16548" xr:uid="{5B89B60E-CA2B-4C9C-B72B-9E8F4CDA6E1E}"/>
    <cellStyle name="Normal 2 2 2 2 2 2 2 10 10" xfId="16549" xr:uid="{D64B43AD-C448-43F3-A5B1-1BE5C351AFA2}"/>
    <cellStyle name="Normal 2 2 2 2 2 2 2 10 11" xfId="16550" xr:uid="{933DDCF4-4E4B-488B-8560-A92A59F7BBC8}"/>
    <cellStyle name="Normal 2 2 2 2 2 2 2 10 12" xfId="16551" xr:uid="{5FF89FBE-4E80-41D8-A8DF-473692E17B90}"/>
    <cellStyle name="Normal 2 2 2 2 2 2 2 10 13" xfId="16552" xr:uid="{085A063D-86EC-433C-A610-41575F45AD67}"/>
    <cellStyle name="Normal 2 2 2 2 2 2 2 10 2" xfId="16553" xr:uid="{0DBCDE59-6C25-4F49-BA38-DC80811E458A}"/>
    <cellStyle name="Normal 2 2 2 2 2 2 2 10 2 2" xfId="16554" xr:uid="{07D25606-3B9C-4B14-B38F-43F91F7281E5}"/>
    <cellStyle name="Normal 2 2 2 2 2 2 2 10 2 3" xfId="16555" xr:uid="{07815BE6-AEBE-4C11-9B37-61DCBA53DBCB}"/>
    <cellStyle name="Normal 2 2 2 2 2 2 2 10 2 4" xfId="16556" xr:uid="{F78705E4-5D68-4180-9760-32B1508C0EBE}"/>
    <cellStyle name="Normal 2 2 2 2 2 2 2 10 2 5" xfId="16557" xr:uid="{39819969-119B-4668-9859-B744714BC9A2}"/>
    <cellStyle name="Normal 2 2 2 2 2 2 2 10 2 6" xfId="16558" xr:uid="{4F532292-D5A6-40F9-A088-38DEE5408321}"/>
    <cellStyle name="Normal 2 2 2 2 2 2 2 10 3" xfId="16559" xr:uid="{AEBC45B5-E412-4D82-8518-76511CB83DD8}"/>
    <cellStyle name="Normal 2 2 2 2 2 2 2 10 3 2" xfId="16560" xr:uid="{D87F8589-A31B-4AC4-B177-D2EE9A1D228A}"/>
    <cellStyle name="Normal 2 2 2 2 2 2 2 10 3 3" xfId="16561" xr:uid="{6215CBE3-A417-47FD-B98F-507FAE24722D}"/>
    <cellStyle name="Normal 2 2 2 2 2 2 2 10 3 4" xfId="16562" xr:uid="{B8A16212-82CB-47D9-B1A9-F798618A75B1}"/>
    <cellStyle name="Normal 2 2 2 2 2 2 2 10 3 5" xfId="16563" xr:uid="{3D2CD30A-BF2A-40C7-A322-411A64653A01}"/>
    <cellStyle name="Normal 2 2 2 2 2 2 2 10 3 6" xfId="16564" xr:uid="{FC96994D-180B-4532-B29E-E5169577643B}"/>
    <cellStyle name="Normal 2 2 2 2 2 2 2 10 4" xfId="16565" xr:uid="{043FA3D7-30C4-4146-A292-E84EEE550C89}"/>
    <cellStyle name="Normal 2 2 2 2 2 2 2 10 4 2" xfId="16566" xr:uid="{0DB9F8AA-69D4-45A7-A615-8894071AECAE}"/>
    <cellStyle name="Normal 2 2 2 2 2 2 2 10 4 3" xfId="16567" xr:uid="{25EFBF83-1BB8-4C5D-8EBA-CBA47278B69E}"/>
    <cellStyle name="Normal 2 2 2 2 2 2 2 10 4 4" xfId="16568" xr:uid="{230C8AAE-7196-478A-9DF9-DB6E264FAA86}"/>
    <cellStyle name="Normal 2 2 2 2 2 2 2 10 4 5" xfId="16569" xr:uid="{32163059-20CB-48DC-9018-E4F5858B9808}"/>
    <cellStyle name="Normal 2 2 2 2 2 2 2 10 4 6" xfId="16570" xr:uid="{908D6167-1103-4069-98DC-276CD4E8D150}"/>
    <cellStyle name="Normal 2 2 2 2 2 2 2 10 5" xfId="16571" xr:uid="{D52BBCAC-D3BE-41BC-81AC-291BB158FAFC}"/>
    <cellStyle name="Normal 2 2 2 2 2 2 2 10 5 2" xfId="16572" xr:uid="{F446A39D-F13B-468B-A9DA-C2F4A6355B51}"/>
    <cellStyle name="Normal 2 2 2 2 2 2 2 10 5 3" xfId="16573" xr:uid="{5FCDAB1D-719C-4CCB-924A-376FCA9DA10B}"/>
    <cellStyle name="Normal 2 2 2 2 2 2 2 10 5 4" xfId="16574" xr:uid="{5E87FFE5-222E-4FEE-9FEA-66BE8FC23497}"/>
    <cellStyle name="Normal 2 2 2 2 2 2 2 10 5 5" xfId="16575" xr:uid="{C1BD4C5D-1EEF-49E1-BCA1-F72562A6AC91}"/>
    <cellStyle name="Normal 2 2 2 2 2 2 2 10 5 6" xfId="16576" xr:uid="{6956DE43-670C-43CF-A11F-9982D3CF3E31}"/>
    <cellStyle name="Normal 2 2 2 2 2 2 2 10 6" xfId="16577" xr:uid="{3BAD93D8-AD4E-49FE-8563-CEE223CB020C}"/>
    <cellStyle name="Normal 2 2 2 2 2 2 2 10 6 2" xfId="16578" xr:uid="{747F0614-3EF1-4C31-970B-B031199513E8}"/>
    <cellStyle name="Normal 2 2 2 2 2 2 2 10 6 3" xfId="16579" xr:uid="{7B87CF26-E61E-4913-BF76-D2E50051E3FC}"/>
    <cellStyle name="Normal 2 2 2 2 2 2 2 10 6 4" xfId="16580" xr:uid="{B370E9A7-4274-480C-BB31-6D7338933DE8}"/>
    <cellStyle name="Normal 2 2 2 2 2 2 2 10 6 5" xfId="16581" xr:uid="{3C8DAB21-578E-4F5C-89DC-30B8DF52ACD9}"/>
    <cellStyle name="Normal 2 2 2 2 2 2 2 10 6 6" xfId="16582" xr:uid="{7AA9A4FB-303F-4738-BC92-D028D558C6F6}"/>
    <cellStyle name="Normal 2 2 2 2 2 2 2 10 7" xfId="16583" xr:uid="{AB46ABE7-B480-4664-91D2-F11A449BB639}"/>
    <cellStyle name="Normal 2 2 2 2 2 2 2 10 7 2" xfId="16584" xr:uid="{475C0905-75BA-4380-A708-DC1D9C761B19}"/>
    <cellStyle name="Normal 2 2 2 2 2 2 2 10 7 3" xfId="16585" xr:uid="{8615E2E1-E24D-4ADB-AB2B-FD745909277F}"/>
    <cellStyle name="Normal 2 2 2 2 2 2 2 10 7 4" xfId="16586" xr:uid="{5014ABE4-6EC7-4746-B118-ABBBAE1096E2}"/>
    <cellStyle name="Normal 2 2 2 2 2 2 2 10 7 5" xfId="16587" xr:uid="{D986EAC3-4806-4107-B35E-E64B4A02864C}"/>
    <cellStyle name="Normal 2 2 2 2 2 2 2 10 7 6" xfId="16588" xr:uid="{E99D4B33-2456-4655-91A8-1B17B0AC3DDD}"/>
    <cellStyle name="Normal 2 2 2 2 2 2 2 10 8" xfId="16589" xr:uid="{FF5AE8A2-0155-471E-AEF4-02C7DDD70692}"/>
    <cellStyle name="Normal 2 2 2 2 2 2 2 10 8 2" xfId="16590" xr:uid="{DE9BE797-D317-4894-A311-1E8A79679AF8}"/>
    <cellStyle name="Normal 2 2 2 2 2 2 2 10 8 3" xfId="16591" xr:uid="{5F0734D4-F643-4F06-B02E-83FBA70B8437}"/>
    <cellStyle name="Normal 2 2 2 2 2 2 2 10 8 4" xfId="16592" xr:uid="{7870420E-3449-44AA-921A-2AF95ED169E9}"/>
    <cellStyle name="Normal 2 2 2 2 2 2 2 10 8 5" xfId="16593" xr:uid="{903FCCF3-D45E-4637-883D-20F5BE628F25}"/>
    <cellStyle name="Normal 2 2 2 2 2 2 2 10 8 6" xfId="16594" xr:uid="{F4B41CC7-4D58-49FA-8785-FAFCDF42DB5F}"/>
    <cellStyle name="Normal 2 2 2 2 2 2 2 10 9" xfId="16595" xr:uid="{425B895C-8C5C-484A-8541-1559EFB4D1F7}"/>
    <cellStyle name="Normal 2 2 2 2 2 2 2 11" xfId="16596" xr:uid="{3C780C6A-3FBB-4ED8-8543-B9E41DAECB85}"/>
    <cellStyle name="Normal 2 2 2 2 2 2 2 11 10" xfId="16597" xr:uid="{77134E9A-D7B1-481C-8823-890AC2C314D4}"/>
    <cellStyle name="Normal 2 2 2 2 2 2 2 11 11" xfId="16598" xr:uid="{F0F0935F-FAC2-47B7-B74E-EEF3036133E7}"/>
    <cellStyle name="Normal 2 2 2 2 2 2 2 11 12" xfId="16599" xr:uid="{04D00468-9D87-4868-8A43-2E92735D3E8F}"/>
    <cellStyle name="Normal 2 2 2 2 2 2 2 11 13" xfId="16600" xr:uid="{89590041-5947-4498-A197-027914A4BEA1}"/>
    <cellStyle name="Normal 2 2 2 2 2 2 2 11 2" xfId="16601" xr:uid="{EA0CE131-50E0-47B4-9F88-793A29862339}"/>
    <cellStyle name="Normal 2 2 2 2 2 2 2 11 2 2" xfId="16602" xr:uid="{10188A69-ED11-4B4C-84F0-4FBFC38D4A62}"/>
    <cellStyle name="Normal 2 2 2 2 2 2 2 11 2 3" xfId="16603" xr:uid="{51D5652E-CADB-4313-8CF2-68CFDC095764}"/>
    <cellStyle name="Normal 2 2 2 2 2 2 2 11 2 4" xfId="16604" xr:uid="{111425A8-B4EA-4087-8489-DA923D7CCAE1}"/>
    <cellStyle name="Normal 2 2 2 2 2 2 2 11 2 5" xfId="16605" xr:uid="{BD585C69-A911-4BC5-A6EF-12D0B82CBF71}"/>
    <cellStyle name="Normal 2 2 2 2 2 2 2 11 2 6" xfId="16606" xr:uid="{D73731F7-DA84-434C-BCDD-9334BB2019D4}"/>
    <cellStyle name="Normal 2 2 2 2 2 2 2 11 3" xfId="16607" xr:uid="{C4F5F549-E149-4D6B-B196-1797E2A6DC7E}"/>
    <cellStyle name="Normal 2 2 2 2 2 2 2 11 3 2" xfId="16608" xr:uid="{F81ECA7F-06B5-45B8-84F1-6DA4AE517794}"/>
    <cellStyle name="Normal 2 2 2 2 2 2 2 11 3 3" xfId="16609" xr:uid="{428E4EF0-C981-4098-9CD3-2A2AE595F481}"/>
    <cellStyle name="Normal 2 2 2 2 2 2 2 11 3 4" xfId="16610" xr:uid="{519ADDEA-B9DC-40CB-A81E-B03B0E9CDF43}"/>
    <cellStyle name="Normal 2 2 2 2 2 2 2 11 3 5" xfId="16611" xr:uid="{86970785-8D8B-4496-BD12-AD78E6BEAFFA}"/>
    <cellStyle name="Normal 2 2 2 2 2 2 2 11 3 6" xfId="16612" xr:uid="{FB3713B9-7075-4508-9122-85E607FC704F}"/>
    <cellStyle name="Normal 2 2 2 2 2 2 2 11 4" xfId="16613" xr:uid="{2E272D3C-EC45-4ECA-B849-81DF1B443773}"/>
    <cellStyle name="Normal 2 2 2 2 2 2 2 11 4 2" xfId="16614" xr:uid="{E8AE5F6D-9F4A-41D4-8CCC-88C3BF3DE2DB}"/>
    <cellStyle name="Normal 2 2 2 2 2 2 2 11 4 3" xfId="16615" xr:uid="{3DC23072-C4DE-4BBE-AFD3-3A4A9BD9710E}"/>
    <cellStyle name="Normal 2 2 2 2 2 2 2 11 4 4" xfId="16616" xr:uid="{714C6971-FD20-49AD-BF22-75BE554B6782}"/>
    <cellStyle name="Normal 2 2 2 2 2 2 2 11 4 5" xfId="16617" xr:uid="{BD992C70-00F2-46D2-81D1-86423CEAE821}"/>
    <cellStyle name="Normal 2 2 2 2 2 2 2 11 4 6" xfId="16618" xr:uid="{D7FA6484-F43F-4CD3-9BDE-986BC6F0E5BF}"/>
    <cellStyle name="Normal 2 2 2 2 2 2 2 11 5" xfId="16619" xr:uid="{37C3AF6C-8D14-4F00-91BF-7AE05887220F}"/>
    <cellStyle name="Normal 2 2 2 2 2 2 2 11 5 2" xfId="16620" xr:uid="{21316A67-A253-47BC-A741-AC154A91313B}"/>
    <cellStyle name="Normal 2 2 2 2 2 2 2 11 5 3" xfId="16621" xr:uid="{8785481B-F61B-4ED4-803C-E9863EA9C5A3}"/>
    <cellStyle name="Normal 2 2 2 2 2 2 2 11 5 4" xfId="16622" xr:uid="{17B6E85C-AA78-494C-A7B6-BEFBE643DFEB}"/>
    <cellStyle name="Normal 2 2 2 2 2 2 2 11 5 5" xfId="16623" xr:uid="{74B5619E-0849-4BB0-8B1A-ED39AC1DA1F8}"/>
    <cellStyle name="Normal 2 2 2 2 2 2 2 11 5 6" xfId="16624" xr:uid="{8F896B99-74FE-4AB7-BCC5-EAD1B5FE7C87}"/>
    <cellStyle name="Normal 2 2 2 2 2 2 2 11 6" xfId="16625" xr:uid="{94B48EAC-AC3E-4F98-9FE8-35F2A1F2BC58}"/>
    <cellStyle name="Normal 2 2 2 2 2 2 2 11 6 2" xfId="16626" xr:uid="{B9378CD6-B1AA-465A-BEE9-5AB6E1C2C862}"/>
    <cellStyle name="Normal 2 2 2 2 2 2 2 11 6 3" xfId="16627" xr:uid="{6B550F8D-0D15-4908-A7D4-3E589527D3C6}"/>
    <cellStyle name="Normal 2 2 2 2 2 2 2 11 6 4" xfId="16628" xr:uid="{13689D6F-3554-44EC-AD28-2E24F7A9359C}"/>
    <cellStyle name="Normal 2 2 2 2 2 2 2 11 6 5" xfId="16629" xr:uid="{D26D5A0C-3059-4009-AB35-ED38A6A02FEF}"/>
    <cellStyle name="Normal 2 2 2 2 2 2 2 11 6 6" xfId="16630" xr:uid="{BCF84690-F84F-43D6-B1A8-75A6292AC55D}"/>
    <cellStyle name="Normal 2 2 2 2 2 2 2 11 7" xfId="16631" xr:uid="{8EBB8C52-7C65-4D14-B15D-838236142810}"/>
    <cellStyle name="Normal 2 2 2 2 2 2 2 11 7 2" xfId="16632" xr:uid="{18516202-36B2-4001-A8B3-101DDD2149BD}"/>
    <cellStyle name="Normal 2 2 2 2 2 2 2 11 7 3" xfId="16633" xr:uid="{0DE737C2-BFFA-4477-8804-EE67823C58B2}"/>
    <cellStyle name="Normal 2 2 2 2 2 2 2 11 7 4" xfId="16634" xr:uid="{8A040D5F-242A-42A7-9E86-0E4B360E364A}"/>
    <cellStyle name="Normal 2 2 2 2 2 2 2 11 7 5" xfId="16635" xr:uid="{B75D2A48-67AB-44C0-9FC0-E95BB1C86FE1}"/>
    <cellStyle name="Normal 2 2 2 2 2 2 2 11 7 6" xfId="16636" xr:uid="{23E84423-EE50-4CF4-A55F-A1D0384FF0FB}"/>
    <cellStyle name="Normal 2 2 2 2 2 2 2 11 8" xfId="16637" xr:uid="{7E737091-119C-4046-B176-A2AF781BE287}"/>
    <cellStyle name="Normal 2 2 2 2 2 2 2 11 8 2" xfId="16638" xr:uid="{EF483900-2990-4CCB-B953-DFBC865039A2}"/>
    <cellStyle name="Normal 2 2 2 2 2 2 2 11 8 3" xfId="16639" xr:uid="{E921EEB1-1C6F-4E96-988D-1491A2884C4D}"/>
    <cellStyle name="Normal 2 2 2 2 2 2 2 11 8 4" xfId="16640" xr:uid="{2A5B437E-2621-49B6-8848-75B637524601}"/>
    <cellStyle name="Normal 2 2 2 2 2 2 2 11 8 5" xfId="16641" xr:uid="{A4EB55A7-1514-411A-8C31-F594685AB817}"/>
    <cellStyle name="Normal 2 2 2 2 2 2 2 11 8 6" xfId="16642" xr:uid="{0A3B5425-B300-422A-A76D-77879C88B8C5}"/>
    <cellStyle name="Normal 2 2 2 2 2 2 2 11 9" xfId="16643" xr:uid="{9A38EC4E-3EA7-40E0-8FD6-B1E77639B133}"/>
    <cellStyle name="Normal 2 2 2 2 2 2 2 12" xfId="16644" xr:uid="{1CDB7F3C-2F6D-4E95-A7F5-78CB0C54F4AC}"/>
    <cellStyle name="Normal 2 2 2 2 2 2 2 12 10" xfId="16645" xr:uid="{A0EA16B3-979A-41EB-93BF-E57B94E6BDD0}"/>
    <cellStyle name="Normal 2 2 2 2 2 2 2 12 11" xfId="16646" xr:uid="{BE32E089-FC1B-41BC-BFDA-8A0F613A02F5}"/>
    <cellStyle name="Normal 2 2 2 2 2 2 2 12 12" xfId="16647" xr:uid="{A13E5E9C-19F9-4CFA-87A0-AA5D0520AFFD}"/>
    <cellStyle name="Normal 2 2 2 2 2 2 2 12 13" xfId="16648" xr:uid="{DE232CEE-38E4-4D3C-A8ED-A74A829F7B3C}"/>
    <cellStyle name="Normal 2 2 2 2 2 2 2 12 2" xfId="16649" xr:uid="{90D99D3D-B984-4221-960E-4D04DC6EEE8D}"/>
    <cellStyle name="Normal 2 2 2 2 2 2 2 12 2 2" xfId="16650" xr:uid="{3E7652B4-73F9-4A8C-990F-F5A2F482B096}"/>
    <cellStyle name="Normal 2 2 2 2 2 2 2 12 2 3" xfId="16651" xr:uid="{13F711D8-2EA6-4249-B25D-AC0653B6CC11}"/>
    <cellStyle name="Normal 2 2 2 2 2 2 2 12 2 4" xfId="16652" xr:uid="{2EF5244A-1087-480E-8714-4300AF9AC0D9}"/>
    <cellStyle name="Normal 2 2 2 2 2 2 2 12 2 5" xfId="16653" xr:uid="{2CBE494C-A87E-4E7D-A818-1188671DF4A7}"/>
    <cellStyle name="Normal 2 2 2 2 2 2 2 12 2 6" xfId="16654" xr:uid="{C4FFF1BA-1CE5-4388-8308-87037A49C463}"/>
    <cellStyle name="Normal 2 2 2 2 2 2 2 12 3" xfId="16655" xr:uid="{9AB03C4B-BB71-4AA3-B7D6-28014E2BF035}"/>
    <cellStyle name="Normal 2 2 2 2 2 2 2 12 3 2" xfId="16656" xr:uid="{AE774936-0625-4296-9D91-95DF77584447}"/>
    <cellStyle name="Normal 2 2 2 2 2 2 2 12 3 3" xfId="16657" xr:uid="{9B91D920-8065-4150-B939-A3C7894ED6F1}"/>
    <cellStyle name="Normal 2 2 2 2 2 2 2 12 3 4" xfId="16658" xr:uid="{F1EAA6F5-FA52-4B08-8240-3BD3506D1713}"/>
    <cellStyle name="Normal 2 2 2 2 2 2 2 12 3 5" xfId="16659" xr:uid="{A2F33A2E-9756-43C4-A5CC-54F6851EDC11}"/>
    <cellStyle name="Normal 2 2 2 2 2 2 2 12 3 6" xfId="16660" xr:uid="{8B641240-4146-4E5C-9A72-453194D05F8D}"/>
    <cellStyle name="Normal 2 2 2 2 2 2 2 12 4" xfId="16661" xr:uid="{5CBA7FC1-CC21-4E3F-821B-58705A95114A}"/>
    <cellStyle name="Normal 2 2 2 2 2 2 2 12 4 2" xfId="16662" xr:uid="{1412AD11-601D-4EDD-A389-AEDF491EC2A2}"/>
    <cellStyle name="Normal 2 2 2 2 2 2 2 12 4 3" xfId="16663" xr:uid="{6A2F72FC-2B1A-498F-A835-1719E5708156}"/>
    <cellStyle name="Normal 2 2 2 2 2 2 2 12 4 4" xfId="16664" xr:uid="{DE2B3116-53AC-4E77-AE0C-800266E04B82}"/>
    <cellStyle name="Normal 2 2 2 2 2 2 2 12 4 5" xfId="16665" xr:uid="{3257B65C-6E6A-426D-A719-2B50A8B447FF}"/>
    <cellStyle name="Normal 2 2 2 2 2 2 2 12 4 6" xfId="16666" xr:uid="{8DA5012C-AD02-4F18-8A23-EF1722856C98}"/>
    <cellStyle name="Normal 2 2 2 2 2 2 2 12 5" xfId="16667" xr:uid="{6CAB8361-5002-422E-A111-CD59A065E148}"/>
    <cellStyle name="Normal 2 2 2 2 2 2 2 12 5 2" xfId="16668" xr:uid="{922C1078-FF10-4DD9-AB17-2B25B09C806F}"/>
    <cellStyle name="Normal 2 2 2 2 2 2 2 12 5 3" xfId="16669" xr:uid="{6709E3BB-18F6-4BA1-9876-51DA1ADF337C}"/>
    <cellStyle name="Normal 2 2 2 2 2 2 2 12 5 4" xfId="16670" xr:uid="{B4448AED-3347-4464-A0EE-EC2DECD6A94E}"/>
    <cellStyle name="Normal 2 2 2 2 2 2 2 12 5 5" xfId="16671" xr:uid="{2FEFAB94-7728-4A14-802F-F269DC79ED2F}"/>
    <cellStyle name="Normal 2 2 2 2 2 2 2 12 5 6" xfId="16672" xr:uid="{9856D7A8-AE1A-4541-BA76-8E199434401A}"/>
    <cellStyle name="Normal 2 2 2 2 2 2 2 12 6" xfId="16673" xr:uid="{92B488C7-9A84-4688-86B5-1562ECE75AA7}"/>
    <cellStyle name="Normal 2 2 2 2 2 2 2 12 6 2" xfId="16674" xr:uid="{273C2243-EEFD-477A-B0BD-EB505F9C388A}"/>
    <cellStyle name="Normal 2 2 2 2 2 2 2 12 6 3" xfId="16675" xr:uid="{2DC95467-E671-414A-9ADD-4DC9AE16598E}"/>
    <cellStyle name="Normal 2 2 2 2 2 2 2 12 6 4" xfId="16676" xr:uid="{DFE08EC7-D90D-49F2-81BF-AEEB38A3834D}"/>
    <cellStyle name="Normal 2 2 2 2 2 2 2 12 6 5" xfId="16677" xr:uid="{449A6249-DBA6-4BBB-A3DA-501AFAB1F644}"/>
    <cellStyle name="Normal 2 2 2 2 2 2 2 12 6 6" xfId="16678" xr:uid="{918EC9F9-182F-47F2-9019-E8182CF457AC}"/>
    <cellStyle name="Normal 2 2 2 2 2 2 2 12 7" xfId="16679" xr:uid="{1A6C2C45-64A5-4342-851F-F5771C195112}"/>
    <cellStyle name="Normal 2 2 2 2 2 2 2 12 7 2" xfId="16680" xr:uid="{623F50E7-B02D-4DB1-956C-E74581D4629D}"/>
    <cellStyle name="Normal 2 2 2 2 2 2 2 12 7 3" xfId="16681" xr:uid="{072BB0FA-4615-49A5-A44B-4AE5CB4AB866}"/>
    <cellStyle name="Normal 2 2 2 2 2 2 2 12 7 4" xfId="16682" xr:uid="{4E0AE472-7660-4F07-A7D0-2027A22C6E75}"/>
    <cellStyle name="Normal 2 2 2 2 2 2 2 12 7 5" xfId="16683" xr:uid="{C171004C-3FCD-4843-8C92-A6C86DA87B7C}"/>
    <cellStyle name="Normal 2 2 2 2 2 2 2 12 7 6" xfId="16684" xr:uid="{188710CE-9DE4-4730-A338-BD044B41F2A2}"/>
    <cellStyle name="Normal 2 2 2 2 2 2 2 12 8" xfId="16685" xr:uid="{24FD41FA-0723-40E4-A513-E929FA609F42}"/>
    <cellStyle name="Normal 2 2 2 2 2 2 2 12 8 2" xfId="16686" xr:uid="{720813E8-C5FF-48D6-82A5-840EB21B0FD5}"/>
    <cellStyle name="Normal 2 2 2 2 2 2 2 12 8 3" xfId="16687" xr:uid="{96E9727A-013B-4B3F-B47F-EA1F64AAAEF2}"/>
    <cellStyle name="Normal 2 2 2 2 2 2 2 12 8 4" xfId="16688" xr:uid="{2EBF03FB-1CD4-4566-96C6-6E6683D73DEB}"/>
    <cellStyle name="Normal 2 2 2 2 2 2 2 12 8 5" xfId="16689" xr:uid="{07657419-572D-4AB8-A02A-8FE99B635A3F}"/>
    <cellStyle name="Normal 2 2 2 2 2 2 2 12 8 6" xfId="16690" xr:uid="{8EFC620D-D0B4-441F-BB8B-82933AAB9396}"/>
    <cellStyle name="Normal 2 2 2 2 2 2 2 12 9" xfId="16691" xr:uid="{1BD18D2E-4294-4B24-BB74-9850D97A36F2}"/>
    <cellStyle name="Normal 2 2 2 2 2 2 2 13" xfId="16692" xr:uid="{4B2CBF96-65E5-4FBB-BFCE-4E067B145159}"/>
    <cellStyle name="Normal 2 2 2 2 2 2 2 13 10" xfId="16693" xr:uid="{4E47E237-D455-4F29-8BF5-F253FFC79FB8}"/>
    <cellStyle name="Normal 2 2 2 2 2 2 2 13 11" xfId="16694" xr:uid="{CA13EF11-9FED-44BC-9A40-45DA40E83044}"/>
    <cellStyle name="Normal 2 2 2 2 2 2 2 13 12" xfId="16695" xr:uid="{37FA7903-3458-4599-A080-BE7DF5D7B8ED}"/>
    <cellStyle name="Normal 2 2 2 2 2 2 2 13 13" xfId="16696" xr:uid="{2FCB91F1-5461-421E-9DF8-BE942A01A0D0}"/>
    <cellStyle name="Normal 2 2 2 2 2 2 2 13 2" xfId="16697" xr:uid="{D0ED46CF-E884-4318-B889-A5199E91AEE1}"/>
    <cellStyle name="Normal 2 2 2 2 2 2 2 13 2 2" xfId="16698" xr:uid="{3ADF426B-F73F-4EA9-91E8-01EDDF4B0A08}"/>
    <cellStyle name="Normal 2 2 2 2 2 2 2 13 2 3" xfId="16699" xr:uid="{A62ACB49-E8CE-47A2-8FFE-1C1C8FB81B4D}"/>
    <cellStyle name="Normal 2 2 2 2 2 2 2 13 2 4" xfId="16700" xr:uid="{03518FE0-7BDA-4A0A-B1BB-712A56BDB643}"/>
    <cellStyle name="Normal 2 2 2 2 2 2 2 13 2 5" xfId="16701" xr:uid="{5087BC9B-6BBD-425D-A8B7-7C0ED4C11373}"/>
    <cellStyle name="Normal 2 2 2 2 2 2 2 13 2 6" xfId="16702" xr:uid="{85882E7E-4B4F-4F55-AC8F-D02000D1FE4E}"/>
    <cellStyle name="Normal 2 2 2 2 2 2 2 13 3" xfId="16703" xr:uid="{AA343C32-E91D-45DF-991B-4A62DDD898C2}"/>
    <cellStyle name="Normal 2 2 2 2 2 2 2 13 3 2" xfId="16704" xr:uid="{63567B21-9B08-46FE-B3A9-AA711778508B}"/>
    <cellStyle name="Normal 2 2 2 2 2 2 2 13 3 3" xfId="16705" xr:uid="{F03C907E-A143-41D4-BCDA-11518E548068}"/>
    <cellStyle name="Normal 2 2 2 2 2 2 2 13 3 4" xfId="16706" xr:uid="{5B76F409-7BDF-4879-B942-3A883C84B324}"/>
    <cellStyle name="Normal 2 2 2 2 2 2 2 13 3 5" xfId="16707" xr:uid="{6DD74ED9-CBD7-47CC-888A-F8D5690B6C3C}"/>
    <cellStyle name="Normal 2 2 2 2 2 2 2 13 3 6" xfId="16708" xr:uid="{3DE264D4-39D0-4C13-B319-BEF81612094C}"/>
    <cellStyle name="Normal 2 2 2 2 2 2 2 13 4" xfId="16709" xr:uid="{54945C4A-98A3-4DA5-AD44-FAD69ACAC6A6}"/>
    <cellStyle name="Normal 2 2 2 2 2 2 2 13 4 2" xfId="16710" xr:uid="{8ACAF145-AC87-4B8F-9A12-116F2D121874}"/>
    <cellStyle name="Normal 2 2 2 2 2 2 2 13 4 3" xfId="16711" xr:uid="{58653A9C-AA70-4984-AF62-374BDB117676}"/>
    <cellStyle name="Normal 2 2 2 2 2 2 2 13 4 4" xfId="16712" xr:uid="{926D668B-C687-48BA-B7FC-38645D530FF7}"/>
    <cellStyle name="Normal 2 2 2 2 2 2 2 13 4 5" xfId="16713" xr:uid="{B93BCE0F-602F-4CCA-8921-3A3DD3C7BB8F}"/>
    <cellStyle name="Normal 2 2 2 2 2 2 2 13 4 6" xfId="16714" xr:uid="{E9A909AF-9F9D-4E79-84E2-E861CA319310}"/>
    <cellStyle name="Normal 2 2 2 2 2 2 2 13 5" xfId="16715" xr:uid="{86E58B1B-9499-4300-910A-FB21821F7D03}"/>
    <cellStyle name="Normal 2 2 2 2 2 2 2 13 5 2" xfId="16716" xr:uid="{09217AFF-80B2-4255-B71A-56F0BA6ACC1F}"/>
    <cellStyle name="Normal 2 2 2 2 2 2 2 13 5 3" xfId="16717" xr:uid="{0B39DFCE-B427-41ED-BF3B-C6CA0C5EE156}"/>
    <cellStyle name="Normal 2 2 2 2 2 2 2 13 5 4" xfId="16718" xr:uid="{E8352105-623F-48DB-9CAD-F0B2DA415BA4}"/>
    <cellStyle name="Normal 2 2 2 2 2 2 2 13 5 5" xfId="16719" xr:uid="{C2555ED5-238E-4245-8CF1-6AA0E28C3357}"/>
    <cellStyle name="Normal 2 2 2 2 2 2 2 13 5 6" xfId="16720" xr:uid="{98977A87-338A-4A57-95B3-E6AB58421DF7}"/>
    <cellStyle name="Normal 2 2 2 2 2 2 2 13 6" xfId="16721" xr:uid="{6753CD73-AF84-4831-B246-DE912AF8BED4}"/>
    <cellStyle name="Normal 2 2 2 2 2 2 2 13 6 2" xfId="16722" xr:uid="{73C53989-AD7F-477A-ABFD-E0E3CE3F4B73}"/>
    <cellStyle name="Normal 2 2 2 2 2 2 2 13 6 3" xfId="16723" xr:uid="{AC96EE51-A683-40B2-AB88-AB444E965D46}"/>
    <cellStyle name="Normal 2 2 2 2 2 2 2 13 6 4" xfId="16724" xr:uid="{A0457A5C-6597-43AC-9E07-F6170F983A59}"/>
    <cellStyle name="Normal 2 2 2 2 2 2 2 13 6 5" xfId="16725" xr:uid="{DA862D55-3166-4E6F-9AE4-D133E6AB1965}"/>
    <cellStyle name="Normal 2 2 2 2 2 2 2 13 6 6" xfId="16726" xr:uid="{4ABF9995-98D8-42BD-A2C2-C0D26F8D41AE}"/>
    <cellStyle name="Normal 2 2 2 2 2 2 2 13 7" xfId="16727" xr:uid="{4D1212EF-F25C-457B-BB2C-CF65158E7614}"/>
    <cellStyle name="Normal 2 2 2 2 2 2 2 13 7 2" xfId="16728" xr:uid="{36E830CE-28B6-4998-BC2C-CF8DE2EAF58D}"/>
    <cellStyle name="Normal 2 2 2 2 2 2 2 13 7 3" xfId="16729" xr:uid="{64F5ECE8-6227-4E14-83FA-02DDC6DBDA25}"/>
    <cellStyle name="Normal 2 2 2 2 2 2 2 13 7 4" xfId="16730" xr:uid="{C0388AB3-1606-4BA0-A2FD-1A4AE7FC6E5E}"/>
    <cellStyle name="Normal 2 2 2 2 2 2 2 13 7 5" xfId="16731" xr:uid="{3446DDE1-1692-4957-9D8F-18A4E9A6125A}"/>
    <cellStyle name="Normal 2 2 2 2 2 2 2 13 7 6" xfId="16732" xr:uid="{D7A4A0C2-8D77-49E1-96AC-62FF8042CB15}"/>
    <cellStyle name="Normal 2 2 2 2 2 2 2 13 8" xfId="16733" xr:uid="{7D004924-488B-45C3-82DC-ECE34BA36B68}"/>
    <cellStyle name="Normal 2 2 2 2 2 2 2 13 8 2" xfId="16734" xr:uid="{0ED556AD-C162-4D81-B7BB-6E99CDEC4423}"/>
    <cellStyle name="Normal 2 2 2 2 2 2 2 13 8 3" xfId="16735" xr:uid="{316E04D4-D0CF-4D53-A309-C6DE785896BB}"/>
    <cellStyle name="Normal 2 2 2 2 2 2 2 13 8 4" xfId="16736" xr:uid="{8C9B2291-EEF0-4A8B-9C9C-B205EDBC08F2}"/>
    <cellStyle name="Normal 2 2 2 2 2 2 2 13 8 5" xfId="16737" xr:uid="{9A8DF1A9-EFED-4064-8002-1F6A983526AC}"/>
    <cellStyle name="Normal 2 2 2 2 2 2 2 13 8 6" xfId="16738" xr:uid="{9D3966D5-96AC-4018-81C5-81966A3638DC}"/>
    <cellStyle name="Normal 2 2 2 2 2 2 2 13 9" xfId="16739" xr:uid="{B15C3BAF-9132-479F-A73A-55AF8B68C0B5}"/>
    <cellStyle name="Normal 2 2 2 2 2 2 2 14" xfId="16740" xr:uid="{E9DC66B8-9035-4B23-9492-DC06615F9955}"/>
    <cellStyle name="Normal 2 2 2 2 2 2 2 15" xfId="16741" xr:uid="{41912605-9B63-4021-A97A-B22BFAC7EABB}"/>
    <cellStyle name="Normal 2 2 2 2 2 2 2 16" xfId="16742" xr:uid="{278DA02A-046E-4300-8618-CB18250DFAEA}"/>
    <cellStyle name="Normal 2 2 2 2 2 2 2 17" xfId="16743" xr:uid="{BBB24954-7648-4F17-BD6E-B747B025A51C}"/>
    <cellStyle name="Normal 2 2 2 2 2 2 2 18" xfId="16744" xr:uid="{E1BC836E-4A8F-4CA2-B61A-448CA24AD1BA}"/>
    <cellStyle name="Normal 2 2 2 2 2 2 2 19" xfId="16745" xr:uid="{AC1EF6B9-1140-4A10-99D9-E507EEE06B7D}"/>
    <cellStyle name="Normal 2 2 2 2 2 2 2 2" xfId="16746" xr:uid="{2EB7067A-B41E-4C6D-A14E-487D4EB02971}"/>
    <cellStyle name="Normal 2 2 2 2 2 2 2 2 10" xfId="16747" xr:uid="{6A35D66F-96ED-45D3-A441-D02CE5277C62}"/>
    <cellStyle name="Normal 2 2 2 2 2 2 2 2 10 10" xfId="16748" xr:uid="{A5BB07AC-A11B-4559-8F32-334C6242076D}"/>
    <cellStyle name="Normal 2 2 2 2 2 2 2 2 10 11" xfId="16749" xr:uid="{AD76C736-2C8E-4522-850A-4D73542C6FB6}"/>
    <cellStyle name="Normal 2 2 2 2 2 2 2 2 10 12" xfId="16750" xr:uid="{C969D56E-7935-4CEF-8418-DFA422A9C3BC}"/>
    <cellStyle name="Normal 2 2 2 2 2 2 2 2 10 13" xfId="16751" xr:uid="{65FDF559-6656-4FD2-826E-A23E5262E7B0}"/>
    <cellStyle name="Normal 2 2 2 2 2 2 2 2 10 2" xfId="16752" xr:uid="{5EFD5AD3-C441-4FAB-B230-08DA2895168E}"/>
    <cellStyle name="Normal 2 2 2 2 2 2 2 2 10 2 2" xfId="16753" xr:uid="{9720428A-21E0-44F4-B829-8CD18DB1E1BF}"/>
    <cellStyle name="Normal 2 2 2 2 2 2 2 2 10 2 3" xfId="16754" xr:uid="{59836CB9-9886-40CB-BF04-295B3F64F1AC}"/>
    <cellStyle name="Normal 2 2 2 2 2 2 2 2 10 2 4" xfId="16755" xr:uid="{33E09B90-D639-4900-92A9-486F93D8244C}"/>
    <cellStyle name="Normal 2 2 2 2 2 2 2 2 10 2 5" xfId="16756" xr:uid="{854638B4-F3C0-4B50-A5FE-0B9F04FCA291}"/>
    <cellStyle name="Normal 2 2 2 2 2 2 2 2 10 2 6" xfId="16757" xr:uid="{B1791D42-04AC-4549-8D83-A665F4A0994D}"/>
    <cellStyle name="Normal 2 2 2 2 2 2 2 2 10 3" xfId="16758" xr:uid="{EE3A0DAE-AF2F-48A2-8FA5-CD00F956D119}"/>
    <cellStyle name="Normal 2 2 2 2 2 2 2 2 10 3 2" xfId="16759" xr:uid="{C76C07CB-7457-454D-B042-7243E2201B70}"/>
    <cellStyle name="Normal 2 2 2 2 2 2 2 2 10 3 3" xfId="16760" xr:uid="{330478BB-99CC-41CE-B1C4-600266B30910}"/>
    <cellStyle name="Normal 2 2 2 2 2 2 2 2 10 3 4" xfId="16761" xr:uid="{27DC6C55-C903-4D06-BB62-CEFC490D96A7}"/>
    <cellStyle name="Normal 2 2 2 2 2 2 2 2 10 3 5" xfId="16762" xr:uid="{9F82DD9E-1EFB-453A-AE62-5B1E775F315A}"/>
    <cellStyle name="Normal 2 2 2 2 2 2 2 2 10 3 6" xfId="16763" xr:uid="{64E80ED4-9278-4501-B96D-492D6947063E}"/>
    <cellStyle name="Normal 2 2 2 2 2 2 2 2 10 4" xfId="16764" xr:uid="{569F2217-C86D-4E4E-9220-BE97EBC24D7A}"/>
    <cellStyle name="Normal 2 2 2 2 2 2 2 2 10 4 2" xfId="16765" xr:uid="{C4D687B5-9EBD-4881-B138-10504397A14E}"/>
    <cellStyle name="Normal 2 2 2 2 2 2 2 2 10 4 3" xfId="16766" xr:uid="{220B03E8-868E-455F-A772-BBAC876630EE}"/>
    <cellStyle name="Normal 2 2 2 2 2 2 2 2 10 4 4" xfId="16767" xr:uid="{70F7D73B-1ED3-494A-BF15-3B4703309C6F}"/>
    <cellStyle name="Normal 2 2 2 2 2 2 2 2 10 4 5" xfId="16768" xr:uid="{68EBD02E-C45A-4655-8EDD-09183276E202}"/>
    <cellStyle name="Normal 2 2 2 2 2 2 2 2 10 4 6" xfId="16769" xr:uid="{A944A646-37B4-41A6-B7E4-65DB325FF224}"/>
    <cellStyle name="Normal 2 2 2 2 2 2 2 2 10 5" xfId="16770" xr:uid="{3DCE3631-B4BA-4AE1-A9BE-471305A9B2A7}"/>
    <cellStyle name="Normal 2 2 2 2 2 2 2 2 10 5 2" xfId="16771" xr:uid="{80BCE8A2-7162-4941-BD79-4175811C4E37}"/>
    <cellStyle name="Normal 2 2 2 2 2 2 2 2 10 5 3" xfId="16772" xr:uid="{F21389D6-8A55-4AF8-BED3-190C2187CAC2}"/>
    <cellStyle name="Normal 2 2 2 2 2 2 2 2 10 5 4" xfId="16773" xr:uid="{0E4916E0-70BF-4233-BC02-A5BED4878940}"/>
    <cellStyle name="Normal 2 2 2 2 2 2 2 2 10 5 5" xfId="16774" xr:uid="{952A8281-20EA-4320-9301-0D502EF96B39}"/>
    <cellStyle name="Normal 2 2 2 2 2 2 2 2 10 5 6" xfId="16775" xr:uid="{35C43F3A-8354-48DC-A63E-0614D61C4887}"/>
    <cellStyle name="Normal 2 2 2 2 2 2 2 2 10 6" xfId="16776" xr:uid="{3AE353B9-5DAE-4A21-B29B-9541988EAD96}"/>
    <cellStyle name="Normal 2 2 2 2 2 2 2 2 10 6 2" xfId="16777" xr:uid="{724769F9-16D4-4C0D-B8AF-2D436462027D}"/>
    <cellStyle name="Normal 2 2 2 2 2 2 2 2 10 6 3" xfId="16778" xr:uid="{77AD56F2-3266-41A8-A09F-874542D23591}"/>
    <cellStyle name="Normal 2 2 2 2 2 2 2 2 10 6 4" xfId="16779" xr:uid="{FEBAD056-E9B2-43F7-B5B6-819477D35160}"/>
    <cellStyle name="Normal 2 2 2 2 2 2 2 2 10 6 5" xfId="16780" xr:uid="{7350F158-F64F-4692-A0B8-8E94AEC2BCB8}"/>
    <cellStyle name="Normal 2 2 2 2 2 2 2 2 10 6 6" xfId="16781" xr:uid="{47B34F4C-78A2-4ADB-94D4-595453E0AF6C}"/>
    <cellStyle name="Normal 2 2 2 2 2 2 2 2 10 7" xfId="16782" xr:uid="{59F6753B-9DE3-413F-AB1E-68A6EF97829A}"/>
    <cellStyle name="Normal 2 2 2 2 2 2 2 2 10 7 2" xfId="16783" xr:uid="{EBB25A0F-F352-425E-946F-EC11CC870825}"/>
    <cellStyle name="Normal 2 2 2 2 2 2 2 2 10 7 3" xfId="16784" xr:uid="{C05D8BA1-963F-4372-9A99-9589D1F03C46}"/>
    <cellStyle name="Normal 2 2 2 2 2 2 2 2 10 7 4" xfId="16785" xr:uid="{7456AD63-8C45-443E-AC5B-2591C7536089}"/>
    <cellStyle name="Normal 2 2 2 2 2 2 2 2 10 7 5" xfId="16786" xr:uid="{80066430-EAAC-4753-BFA3-C19B9AE5D4E5}"/>
    <cellStyle name="Normal 2 2 2 2 2 2 2 2 10 7 6" xfId="16787" xr:uid="{65A2E264-72E6-405C-8F01-644F68A68DEB}"/>
    <cellStyle name="Normal 2 2 2 2 2 2 2 2 10 8" xfId="16788" xr:uid="{BD37FB54-0F67-4A6B-B092-C97C2CBE30B6}"/>
    <cellStyle name="Normal 2 2 2 2 2 2 2 2 10 8 2" xfId="16789" xr:uid="{4719DB32-2273-43E8-8889-28EFAB89F5D5}"/>
    <cellStyle name="Normal 2 2 2 2 2 2 2 2 10 8 3" xfId="16790" xr:uid="{14C8FAE4-944C-401C-9BD2-D7B6DDD6C588}"/>
    <cellStyle name="Normal 2 2 2 2 2 2 2 2 10 8 4" xfId="16791" xr:uid="{2E27D0D0-1581-43A6-91E6-AB93FB0EF822}"/>
    <cellStyle name="Normal 2 2 2 2 2 2 2 2 10 8 5" xfId="16792" xr:uid="{E7126F8C-7B58-4742-B517-6051C6C86828}"/>
    <cellStyle name="Normal 2 2 2 2 2 2 2 2 10 8 6" xfId="16793" xr:uid="{991F58CD-791D-4AD6-88E7-5414A84E5127}"/>
    <cellStyle name="Normal 2 2 2 2 2 2 2 2 10 9" xfId="16794" xr:uid="{B713C4F9-5502-46E8-A032-49A80AAB7CB3}"/>
    <cellStyle name="Normal 2 2 2 2 2 2 2 2 11" xfId="16795" xr:uid="{6120EC9C-37A0-4024-8772-704F048E9ADB}"/>
    <cellStyle name="Normal 2 2 2 2 2 2 2 2 11 10" xfId="16796" xr:uid="{FA84A0E4-C0BA-497E-934D-EEB7FB00C181}"/>
    <cellStyle name="Normal 2 2 2 2 2 2 2 2 11 11" xfId="16797" xr:uid="{450FFEE6-D1FD-4C64-BC9A-4836CD189D72}"/>
    <cellStyle name="Normal 2 2 2 2 2 2 2 2 11 12" xfId="16798" xr:uid="{D7F3969D-0673-42C5-B6D6-7A54A2B96780}"/>
    <cellStyle name="Normal 2 2 2 2 2 2 2 2 11 13" xfId="16799" xr:uid="{FA9848EE-8FB6-45CF-97CF-F30987028DDC}"/>
    <cellStyle name="Normal 2 2 2 2 2 2 2 2 11 2" xfId="16800" xr:uid="{FFA967AD-D0EF-42ED-B4C8-2E59DC50C60A}"/>
    <cellStyle name="Normal 2 2 2 2 2 2 2 2 11 2 2" xfId="16801" xr:uid="{DB37C693-AB56-4991-9216-708664202793}"/>
    <cellStyle name="Normal 2 2 2 2 2 2 2 2 11 2 3" xfId="16802" xr:uid="{6F8AA352-571A-4E9B-86EA-74E298BD9E87}"/>
    <cellStyle name="Normal 2 2 2 2 2 2 2 2 11 2 4" xfId="16803" xr:uid="{153C2F4D-62B8-4A20-AF2F-78FE579F38A2}"/>
    <cellStyle name="Normal 2 2 2 2 2 2 2 2 11 2 5" xfId="16804" xr:uid="{B8BC36C8-3143-42FB-9A57-947B6B6CF5BA}"/>
    <cellStyle name="Normal 2 2 2 2 2 2 2 2 11 2 6" xfId="16805" xr:uid="{3896A353-72F3-4150-8827-DF74BAF4BF3D}"/>
    <cellStyle name="Normal 2 2 2 2 2 2 2 2 11 3" xfId="16806" xr:uid="{722E6174-8FC9-4723-98FD-9D62BB7F6B87}"/>
    <cellStyle name="Normal 2 2 2 2 2 2 2 2 11 3 2" xfId="16807" xr:uid="{8F0EE95E-FBBB-4D72-ACD3-CC0E485867DE}"/>
    <cellStyle name="Normal 2 2 2 2 2 2 2 2 11 3 3" xfId="16808" xr:uid="{3D693FF9-C6FF-4196-A5E0-2F68D694F68D}"/>
    <cellStyle name="Normal 2 2 2 2 2 2 2 2 11 3 4" xfId="16809" xr:uid="{5F976790-A175-405E-91B3-3C5340AA9F3D}"/>
    <cellStyle name="Normal 2 2 2 2 2 2 2 2 11 3 5" xfId="16810" xr:uid="{63EFA467-1B1C-483D-8373-09D4F27A045C}"/>
    <cellStyle name="Normal 2 2 2 2 2 2 2 2 11 3 6" xfId="16811" xr:uid="{0159E93E-8281-43FD-B2A9-AFA47FE878D4}"/>
    <cellStyle name="Normal 2 2 2 2 2 2 2 2 11 4" xfId="16812" xr:uid="{7CED9830-3C0F-4D2F-B783-9673369983A8}"/>
    <cellStyle name="Normal 2 2 2 2 2 2 2 2 11 4 2" xfId="16813" xr:uid="{0A3269A9-7AAA-4DA9-9D6E-2A44BD88C027}"/>
    <cellStyle name="Normal 2 2 2 2 2 2 2 2 11 4 3" xfId="16814" xr:uid="{CE391E03-04BB-436E-90DB-9D69E0E46447}"/>
    <cellStyle name="Normal 2 2 2 2 2 2 2 2 11 4 4" xfId="16815" xr:uid="{A9B96335-B34C-4A1B-AE3F-05456F1D14A1}"/>
    <cellStyle name="Normal 2 2 2 2 2 2 2 2 11 4 5" xfId="16816" xr:uid="{09AB68A1-30E0-4223-ADBB-A87FADFD2527}"/>
    <cellStyle name="Normal 2 2 2 2 2 2 2 2 11 4 6" xfId="16817" xr:uid="{AC9984F8-AEAA-4F93-B0C3-E73ED649DE41}"/>
    <cellStyle name="Normal 2 2 2 2 2 2 2 2 11 5" xfId="16818" xr:uid="{39804E6A-5FD7-4524-A0C3-7B99CB1AB394}"/>
    <cellStyle name="Normal 2 2 2 2 2 2 2 2 11 5 2" xfId="16819" xr:uid="{49E9825E-BEF8-4576-A4BC-13B9EDB61ECB}"/>
    <cellStyle name="Normal 2 2 2 2 2 2 2 2 11 5 3" xfId="16820" xr:uid="{BFC4CD77-F25D-4706-A27B-BD911AD6EE64}"/>
    <cellStyle name="Normal 2 2 2 2 2 2 2 2 11 5 4" xfId="16821" xr:uid="{D7D7CFBB-3E2B-4A1B-966D-CEAD1DC589F9}"/>
    <cellStyle name="Normal 2 2 2 2 2 2 2 2 11 5 5" xfId="16822" xr:uid="{7C6518C1-B97B-445E-9B94-F1933179856C}"/>
    <cellStyle name="Normal 2 2 2 2 2 2 2 2 11 5 6" xfId="16823" xr:uid="{895789CD-258D-458F-AFBA-C31D9FD5E971}"/>
    <cellStyle name="Normal 2 2 2 2 2 2 2 2 11 6" xfId="16824" xr:uid="{DF990EBA-D88E-49FD-BF6B-F602AD3D7F23}"/>
    <cellStyle name="Normal 2 2 2 2 2 2 2 2 11 6 2" xfId="16825" xr:uid="{52294514-9DB1-42C4-AC60-35F3C135B008}"/>
    <cellStyle name="Normal 2 2 2 2 2 2 2 2 11 6 3" xfId="16826" xr:uid="{A7DD756E-BFFD-47C1-95F2-50B590154EEF}"/>
    <cellStyle name="Normal 2 2 2 2 2 2 2 2 11 6 4" xfId="16827" xr:uid="{244877B4-E402-46D9-8840-43510B72AF1A}"/>
    <cellStyle name="Normal 2 2 2 2 2 2 2 2 11 6 5" xfId="16828" xr:uid="{B5E20585-85DD-433D-9F8D-BA2F8F6B9222}"/>
    <cellStyle name="Normal 2 2 2 2 2 2 2 2 11 6 6" xfId="16829" xr:uid="{60836F69-0365-42F8-8D0C-2F74B9045C16}"/>
    <cellStyle name="Normal 2 2 2 2 2 2 2 2 11 7" xfId="16830" xr:uid="{20C09D7E-3D0D-43B3-AF5A-0C6F44213073}"/>
    <cellStyle name="Normal 2 2 2 2 2 2 2 2 11 7 2" xfId="16831" xr:uid="{101ED6A8-1726-4B85-88EF-EB1BE30172BF}"/>
    <cellStyle name="Normal 2 2 2 2 2 2 2 2 11 7 3" xfId="16832" xr:uid="{35D4609B-FF49-4A2E-96C4-14BF27A11A80}"/>
    <cellStyle name="Normal 2 2 2 2 2 2 2 2 11 7 4" xfId="16833" xr:uid="{08275CBD-6AD3-4BA6-8498-4C778305D4C4}"/>
    <cellStyle name="Normal 2 2 2 2 2 2 2 2 11 7 5" xfId="16834" xr:uid="{C1B93094-F77E-46ED-A16F-F3ADA57BD263}"/>
    <cellStyle name="Normal 2 2 2 2 2 2 2 2 11 7 6" xfId="16835" xr:uid="{EBC5FBD1-DCC5-4D57-8476-1C6918A84485}"/>
    <cellStyle name="Normal 2 2 2 2 2 2 2 2 11 8" xfId="16836" xr:uid="{9C25A4D7-01AE-4CA8-A643-C0CA03DA2A35}"/>
    <cellStyle name="Normal 2 2 2 2 2 2 2 2 11 8 2" xfId="16837" xr:uid="{C5380EF2-37AE-464B-BE76-3FA43AB67B67}"/>
    <cellStyle name="Normal 2 2 2 2 2 2 2 2 11 8 3" xfId="16838" xr:uid="{5C04605B-E226-4D25-AD57-5DDDAB391021}"/>
    <cellStyle name="Normal 2 2 2 2 2 2 2 2 11 8 4" xfId="16839" xr:uid="{92F5F18B-0634-4438-B58C-B08307B748A7}"/>
    <cellStyle name="Normal 2 2 2 2 2 2 2 2 11 8 5" xfId="16840" xr:uid="{1A753096-BD24-40B0-A379-BA3564CDDBF9}"/>
    <cellStyle name="Normal 2 2 2 2 2 2 2 2 11 8 6" xfId="16841" xr:uid="{78025EE3-5733-4DF1-B793-0E8DAEF66E7F}"/>
    <cellStyle name="Normal 2 2 2 2 2 2 2 2 11 9" xfId="16842" xr:uid="{4B7B770E-6106-41A4-9DA7-92CEA0CE9C40}"/>
    <cellStyle name="Normal 2 2 2 2 2 2 2 2 12" xfId="16843" xr:uid="{0F39E985-A289-4EF4-A093-CD59BDD0CAF3}"/>
    <cellStyle name="Normal 2 2 2 2 2 2 2 2 12 10" xfId="16844" xr:uid="{4D198F1F-77E6-4961-9591-D3FC9A9BE2B1}"/>
    <cellStyle name="Normal 2 2 2 2 2 2 2 2 12 11" xfId="16845" xr:uid="{F4168424-2080-4DD6-94E3-4B974F67A6CB}"/>
    <cellStyle name="Normal 2 2 2 2 2 2 2 2 12 2" xfId="16846" xr:uid="{75A42506-C116-4753-8E04-23761266C19B}"/>
    <cellStyle name="Normal 2 2 2 2 2 2 2 2 12 3" xfId="16847" xr:uid="{DD17EB72-B920-4661-8DA9-0AF5B6497C2F}"/>
    <cellStyle name="Normal 2 2 2 2 2 2 2 2 12 4" xfId="16848" xr:uid="{7AA4AAA3-A329-4058-957B-E30E2E0621EA}"/>
    <cellStyle name="Normal 2 2 2 2 2 2 2 2 12 5" xfId="16849" xr:uid="{D974C2C5-B938-41D0-80E4-25930B3485DE}"/>
    <cellStyle name="Normal 2 2 2 2 2 2 2 2 12 6" xfId="16850" xr:uid="{717D8885-8026-4285-B5BA-6D3305051D72}"/>
    <cellStyle name="Normal 2 2 2 2 2 2 2 2 12 7" xfId="16851" xr:uid="{3150F2FA-5DEF-4BB4-ADF3-4109DAACA808}"/>
    <cellStyle name="Normal 2 2 2 2 2 2 2 2 12 8" xfId="16852" xr:uid="{BCB31123-79C4-446F-B7BF-0B28A9AE3132}"/>
    <cellStyle name="Normal 2 2 2 2 2 2 2 2 12 9" xfId="16853" xr:uid="{DFDAD9A8-5AED-4EA1-9CCA-26FB0B761A9F}"/>
    <cellStyle name="Normal 2 2 2 2 2 2 2 2 13" xfId="16854" xr:uid="{9C9C21FF-032C-4E7C-93F5-B608E31D0908}"/>
    <cellStyle name="Normal 2 2 2 2 2 2 2 2 14" xfId="16855" xr:uid="{2C6FFD64-96CA-4B83-BDA5-60DD259348D9}"/>
    <cellStyle name="Normal 2 2 2 2 2 2 2 2 15" xfId="16856" xr:uid="{CD5F524E-06A3-4C80-B614-FD301B0C42BC}"/>
    <cellStyle name="Normal 2 2 2 2 2 2 2 2 16" xfId="16857" xr:uid="{73C6EA52-1A54-4ECC-B9E3-95A3DD448701}"/>
    <cellStyle name="Normal 2 2 2 2 2 2 2 2 17" xfId="16858" xr:uid="{3243B42F-18AF-43F6-BE1C-6F54BD296FB1}"/>
    <cellStyle name="Normal 2 2 2 2 2 2 2 2 18" xfId="16859" xr:uid="{3D1DD2C6-F45A-4FE6-A0E1-C92F1396C007}"/>
    <cellStyle name="Normal 2 2 2 2 2 2 2 2 19" xfId="16860" xr:uid="{A26DBB97-2254-4EEE-8FBC-65F6F8A2702A}"/>
    <cellStyle name="Normal 2 2 2 2 2 2 2 2 2" xfId="16861" xr:uid="{BF10B90D-C2B3-4298-B231-A86E2DABB0B3}"/>
    <cellStyle name="Normal 2 2 2 2 2 2 2 2 2 10" xfId="16862" xr:uid="{623A288B-BDF7-4F57-8670-A4B1DAC7A705}"/>
    <cellStyle name="Normal 2 2 2 2 2 2 2 2 2 10 2" xfId="16863" xr:uid="{498C39D0-0977-4E3C-8F64-DCE2AE94A3F0}"/>
    <cellStyle name="Normal 2 2 2 2 2 2 2 2 2 10 3" xfId="16864" xr:uid="{9FD15F75-7359-4E84-92EA-C7121AD1ABE2}"/>
    <cellStyle name="Normal 2 2 2 2 2 2 2 2 2 10 4" xfId="16865" xr:uid="{A71FAB72-E807-4D65-94FB-6C9DA9B48BD5}"/>
    <cellStyle name="Normal 2 2 2 2 2 2 2 2 2 10 5" xfId="16866" xr:uid="{CE22B16C-5758-4A59-A8D4-2A4F144030B1}"/>
    <cellStyle name="Normal 2 2 2 2 2 2 2 2 2 10 6" xfId="16867" xr:uid="{6F3EBCD4-D437-4A1F-B24C-1CB5D401DA17}"/>
    <cellStyle name="Normal 2 2 2 2 2 2 2 2 2 11" xfId="16868" xr:uid="{385515DB-DF51-4E08-8F61-9E3F6F9C3FA2}"/>
    <cellStyle name="Normal 2 2 2 2 2 2 2 2 2 11 2" xfId="16869" xr:uid="{9B8215E4-BBE7-4105-815A-AFD063CFDA8E}"/>
    <cellStyle name="Normal 2 2 2 2 2 2 2 2 2 11 3" xfId="16870" xr:uid="{A96DB2FD-0226-4971-88FD-538D6B751F0E}"/>
    <cellStyle name="Normal 2 2 2 2 2 2 2 2 2 11 4" xfId="16871" xr:uid="{A480E8A3-403D-4848-A948-25CAA41A5C7C}"/>
    <cellStyle name="Normal 2 2 2 2 2 2 2 2 2 11 5" xfId="16872" xr:uid="{06462D9A-F20F-4FF6-BEB2-40B3080CDE63}"/>
    <cellStyle name="Normal 2 2 2 2 2 2 2 2 2 11 6" xfId="16873" xr:uid="{7063EFF2-4719-4EF4-95B0-BD445B9C2CDF}"/>
    <cellStyle name="Normal 2 2 2 2 2 2 2 2 2 12" xfId="16874" xr:uid="{C5757686-C897-4992-A2C0-42B6CE667EF5}"/>
    <cellStyle name="Normal 2 2 2 2 2 2 2 2 2 12 2" xfId="16875" xr:uid="{819AAF63-E298-4051-B877-AB198EA0DB1C}"/>
    <cellStyle name="Normal 2 2 2 2 2 2 2 2 2 12 3" xfId="16876" xr:uid="{254E83BA-E3C5-4533-BC12-24203A9F4B5F}"/>
    <cellStyle name="Normal 2 2 2 2 2 2 2 2 2 12 4" xfId="16877" xr:uid="{8C431054-C9BA-42EE-899F-6D1835999D82}"/>
    <cellStyle name="Normal 2 2 2 2 2 2 2 2 2 12 5" xfId="16878" xr:uid="{1CDD8ABF-2E98-40F1-8439-33024176805B}"/>
    <cellStyle name="Normal 2 2 2 2 2 2 2 2 2 12 6" xfId="16879" xr:uid="{AC673AA8-C802-46B3-983B-184831B1ADDC}"/>
    <cellStyle name="Normal 2 2 2 2 2 2 2 2 2 13" xfId="16880" xr:uid="{3B913CEF-E6AF-428D-BE8C-B5038C592213}"/>
    <cellStyle name="Normal 2 2 2 2 2 2 2 2 2 13 2" xfId="16881" xr:uid="{ED4655F9-C198-41CC-AC17-D3BC2A356937}"/>
    <cellStyle name="Normal 2 2 2 2 2 2 2 2 2 13 3" xfId="16882" xr:uid="{3E894D76-1DCE-4B00-8222-68C116A4EFA7}"/>
    <cellStyle name="Normal 2 2 2 2 2 2 2 2 2 13 4" xfId="16883" xr:uid="{0542DDFC-5D7D-43AD-9870-1BE4206799A5}"/>
    <cellStyle name="Normal 2 2 2 2 2 2 2 2 2 13 5" xfId="16884" xr:uid="{77C133BB-F027-43FC-9F2D-CCAA45CBD717}"/>
    <cellStyle name="Normal 2 2 2 2 2 2 2 2 2 13 6" xfId="16885" xr:uid="{A055F9AD-088B-423E-AAD1-00B9357F5D59}"/>
    <cellStyle name="Normal 2 2 2 2 2 2 2 2 2 14" xfId="16886" xr:uid="{BBFADD2A-B5CD-438B-90BA-1AD8E9E0035E}"/>
    <cellStyle name="Normal 2 2 2 2 2 2 2 2 2 14 2" xfId="16887" xr:uid="{7D58697A-F12E-4634-A1DF-307F5EEFB952}"/>
    <cellStyle name="Normal 2 2 2 2 2 2 2 2 2 14 3" xfId="16888" xr:uid="{71679389-CB84-4E48-858B-0FB37E809B47}"/>
    <cellStyle name="Normal 2 2 2 2 2 2 2 2 2 14 4" xfId="16889" xr:uid="{12B84FE3-AE81-49F2-A76C-B539055B6955}"/>
    <cellStyle name="Normal 2 2 2 2 2 2 2 2 2 14 5" xfId="16890" xr:uid="{C7B9D0FE-23CB-4B94-B344-2CD6316A2FAD}"/>
    <cellStyle name="Normal 2 2 2 2 2 2 2 2 2 14 6" xfId="16891" xr:uid="{D8ACB0FA-6BF9-4B47-A02D-B989429D8770}"/>
    <cellStyle name="Normal 2 2 2 2 2 2 2 2 2 15" xfId="16892" xr:uid="{7495FADC-06B0-4E27-B839-D9018C4993FA}"/>
    <cellStyle name="Normal 2 2 2 2 2 2 2 2 2 15 2" xfId="16893" xr:uid="{112198C0-83AB-453D-899C-D0A86CC40600}"/>
    <cellStyle name="Normal 2 2 2 2 2 2 2 2 2 15 3" xfId="16894" xr:uid="{B9075987-9524-4CD2-846F-27288956009C}"/>
    <cellStyle name="Normal 2 2 2 2 2 2 2 2 2 15 4" xfId="16895" xr:uid="{F39E908B-A4B8-4B45-8A59-B9106C03A4C2}"/>
    <cellStyle name="Normal 2 2 2 2 2 2 2 2 2 15 5" xfId="16896" xr:uid="{D0DDB750-19F2-4F34-8182-632D1DD224F0}"/>
    <cellStyle name="Normal 2 2 2 2 2 2 2 2 2 15 6" xfId="16897" xr:uid="{876BD86B-B28A-442A-97EB-BA749D4F9B67}"/>
    <cellStyle name="Normal 2 2 2 2 2 2 2 2 2 16" xfId="16898" xr:uid="{C11D1FA2-9E4C-45C1-AA02-46C822F0328D}"/>
    <cellStyle name="Normal 2 2 2 2 2 2 2 2 2 16 2" xfId="16899" xr:uid="{F5DCFC45-992E-4C27-8003-F0B25BB35D10}"/>
    <cellStyle name="Normal 2 2 2 2 2 2 2 2 2 16 3" xfId="16900" xr:uid="{820D93D3-A3C3-4914-ADB3-DAE4C8BECD00}"/>
    <cellStyle name="Normal 2 2 2 2 2 2 2 2 2 16 4" xfId="16901" xr:uid="{BEB11E70-428F-4382-B95D-5A792041D586}"/>
    <cellStyle name="Normal 2 2 2 2 2 2 2 2 2 16 5" xfId="16902" xr:uid="{3CC01998-3932-472B-9272-2684767D24AF}"/>
    <cellStyle name="Normal 2 2 2 2 2 2 2 2 2 16 6" xfId="16903" xr:uid="{2893C424-B587-4CA6-8594-9B841DD1D215}"/>
    <cellStyle name="Normal 2 2 2 2 2 2 2 2 2 17" xfId="16904" xr:uid="{0FBC6B98-4E58-4D13-AD4C-D6B68780F572}"/>
    <cellStyle name="Normal 2 2 2 2 2 2 2 2 2 17 2" xfId="16905" xr:uid="{6FD5B87B-0BD2-4C96-BCAB-0221FBD834C4}"/>
    <cellStyle name="Normal 2 2 2 2 2 2 2 2 2 17 3" xfId="16906" xr:uid="{EE486918-FABA-427E-B6B5-2AF2E19E119E}"/>
    <cellStyle name="Normal 2 2 2 2 2 2 2 2 2 17 4" xfId="16907" xr:uid="{9A52E245-4E8A-4996-AC83-37AACAC38AE5}"/>
    <cellStyle name="Normal 2 2 2 2 2 2 2 2 2 17 5" xfId="16908" xr:uid="{E8784841-C90E-4E88-9966-15C6114B8182}"/>
    <cellStyle name="Normal 2 2 2 2 2 2 2 2 2 17 6" xfId="16909" xr:uid="{79714F86-FA36-4469-9625-ACFD82CEC241}"/>
    <cellStyle name="Normal 2 2 2 2 2 2 2 2 2 18" xfId="16910" xr:uid="{247A8E54-B25C-4FEB-9495-1B6F9063A0CC}"/>
    <cellStyle name="Normal 2 2 2 2 2 2 2 2 2 19" xfId="16911" xr:uid="{419DF4AA-9D6F-4899-A566-4F2D730BCB2A}"/>
    <cellStyle name="Normal 2 2 2 2 2 2 2 2 2 2" xfId="16912" xr:uid="{C1BF613A-61FE-4117-B700-5CB1A78C6933}"/>
    <cellStyle name="Normal 2 2 2 2 2 2 2 2 2 2 10" xfId="16913" xr:uid="{A74A36A5-559C-4291-A47D-733F0F00D169}"/>
    <cellStyle name="Normal 2 2 2 2 2 2 2 2 2 2 11" xfId="16914" xr:uid="{DDB17B76-6465-4CEE-8F21-075136AD448A}"/>
    <cellStyle name="Normal 2 2 2 2 2 2 2 2 2 2 12" xfId="16915" xr:uid="{8CACB511-004A-4EFE-9CE6-803B328CEDB0}"/>
    <cellStyle name="Normal 2 2 2 2 2 2 2 2 2 2 13" xfId="16916" xr:uid="{27132D83-E2FB-4D0A-B536-D40D17AA42EA}"/>
    <cellStyle name="Normal 2 2 2 2 2 2 2 2 2 2 14" xfId="16917" xr:uid="{B8B12185-347B-4623-8188-79EDA82BDE65}"/>
    <cellStyle name="Normal 2 2 2 2 2 2 2 2 2 2 15" xfId="16918" xr:uid="{6B89F76E-B4B2-4087-9505-BBE587C765CC}"/>
    <cellStyle name="Normal 2 2 2 2 2 2 2 2 2 2 16" xfId="16919" xr:uid="{2A4E23A9-B87C-435F-9C5A-484EBD0BCAA1}"/>
    <cellStyle name="Normal 2 2 2 2 2 2 2 2 2 2 17" xfId="16920" xr:uid="{9E74AD01-4B9C-4AC8-A025-F06DFF45DA89}"/>
    <cellStyle name="Normal 2 2 2 2 2 2 2 2 2 2 18" xfId="16921" xr:uid="{4FB3042B-D602-41B1-AA9E-B694FAD24D34}"/>
    <cellStyle name="Normal 2 2 2 2 2 2 2 2 2 2 19" xfId="16922" xr:uid="{2D9C2B9A-BE50-40A0-9BB8-C9CA5BA60F9F}"/>
    <cellStyle name="Normal 2 2 2 2 2 2 2 2 2 2 2" xfId="16923" xr:uid="{22D66251-2D61-4D65-A612-C7F668E08E12}"/>
    <cellStyle name="Normal 2 2 2 2 2 2 2 2 2 2 2 10" xfId="16924" xr:uid="{E8EBD27F-C682-4911-9215-C98FC4DE5822}"/>
    <cellStyle name="Normal 2 2 2 2 2 2 2 2 2 2 2 10 2" xfId="16925" xr:uid="{46EDB65E-4F5C-4D5A-97E1-6D86C64BBDEA}"/>
    <cellStyle name="Normal 2 2 2 2 2 2 2 2 2 2 2 10 3" xfId="16926" xr:uid="{F8BE4B06-3B55-4477-B7D9-8E2085170412}"/>
    <cellStyle name="Normal 2 2 2 2 2 2 2 2 2 2 2 10 4" xfId="16927" xr:uid="{2F563E3C-5126-4FD3-BD17-51BDF03FE11B}"/>
    <cellStyle name="Normal 2 2 2 2 2 2 2 2 2 2 2 10 5" xfId="16928" xr:uid="{38B568D9-DFB7-49A9-9904-B4BD05020CF7}"/>
    <cellStyle name="Normal 2 2 2 2 2 2 2 2 2 2 2 10 6" xfId="16929" xr:uid="{602AD24C-4E87-4AC9-89FD-853B6480E32D}"/>
    <cellStyle name="Normal 2 2 2 2 2 2 2 2 2 2 2 11" xfId="16930" xr:uid="{5C18C87C-8E73-4F2B-BFB6-27AF5406637F}"/>
    <cellStyle name="Normal 2 2 2 2 2 2 2 2 2 2 2 11 2" xfId="16931" xr:uid="{B4CA849A-1666-4139-90EC-1450CA6C2497}"/>
    <cellStyle name="Normal 2 2 2 2 2 2 2 2 2 2 2 11 3" xfId="16932" xr:uid="{64366E98-5EEC-443D-B2C0-F3AB68833310}"/>
    <cellStyle name="Normal 2 2 2 2 2 2 2 2 2 2 2 11 4" xfId="16933" xr:uid="{B2773616-3FE2-4E9A-A9FB-539DBB1E0382}"/>
    <cellStyle name="Normal 2 2 2 2 2 2 2 2 2 2 2 11 5" xfId="16934" xr:uid="{4F5CA745-65A0-4334-B4F2-E1338D277B5E}"/>
    <cellStyle name="Normal 2 2 2 2 2 2 2 2 2 2 2 11 6" xfId="16935" xr:uid="{CD1A592E-68CE-4017-A3A7-593674D63702}"/>
    <cellStyle name="Normal 2 2 2 2 2 2 2 2 2 2 2 12" xfId="16936" xr:uid="{7604D3D1-5B5B-4C1E-A424-9A4236B3631F}"/>
    <cellStyle name="Normal 2 2 2 2 2 2 2 2 2 2 2 12 2" xfId="16937" xr:uid="{19B608E1-6DB4-4D7B-A1BA-8A9FA2A7343E}"/>
    <cellStyle name="Normal 2 2 2 2 2 2 2 2 2 2 2 12 3" xfId="16938" xr:uid="{D6B37870-E745-41AF-80C9-6C458BDEECF7}"/>
    <cellStyle name="Normal 2 2 2 2 2 2 2 2 2 2 2 12 4" xfId="16939" xr:uid="{B17FCD42-9322-4AA5-A2D5-BEC13729549D}"/>
    <cellStyle name="Normal 2 2 2 2 2 2 2 2 2 2 2 12 5" xfId="16940" xr:uid="{28E8E234-75C0-47E0-A937-388583B64814}"/>
    <cellStyle name="Normal 2 2 2 2 2 2 2 2 2 2 2 12 6" xfId="16941" xr:uid="{B1EA8D5F-D607-4B20-8468-50DAE073E7C8}"/>
    <cellStyle name="Normal 2 2 2 2 2 2 2 2 2 2 2 13" xfId="16942" xr:uid="{303AAA80-890C-45BE-AD82-28DF5054B0BF}"/>
    <cellStyle name="Normal 2 2 2 2 2 2 2 2 2 2 2 13 2" xfId="16943" xr:uid="{31EB99F1-D8BD-46FE-B9A6-74EF859797DF}"/>
    <cellStyle name="Normal 2 2 2 2 2 2 2 2 2 2 2 13 3" xfId="16944" xr:uid="{197B0AC1-A0B5-4E95-8C6F-D257AEBFB2D1}"/>
    <cellStyle name="Normal 2 2 2 2 2 2 2 2 2 2 2 13 4" xfId="16945" xr:uid="{5419A1A7-E136-4B11-9612-EE7C3B4C2532}"/>
    <cellStyle name="Normal 2 2 2 2 2 2 2 2 2 2 2 13 5" xfId="16946" xr:uid="{E963C43C-FF1B-48F2-9E5F-C5620B57259A}"/>
    <cellStyle name="Normal 2 2 2 2 2 2 2 2 2 2 2 13 6" xfId="16947" xr:uid="{492C1B89-A720-4E46-A225-FB7EDDF02F9E}"/>
    <cellStyle name="Normal 2 2 2 2 2 2 2 2 2 2 2 14" xfId="16948" xr:uid="{07240590-1CB6-4403-9D56-859C7855285B}"/>
    <cellStyle name="Normal 2 2 2 2 2 2 2 2 2 2 2 14 2" xfId="16949" xr:uid="{38041A01-86FB-45E4-A44B-196B359F8D64}"/>
    <cellStyle name="Normal 2 2 2 2 2 2 2 2 2 2 2 14 3" xfId="16950" xr:uid="{E2A28082-8EE1-48F5-98CB-E1A89EC18F89}"/>
    <cellStyle name="Normal 2 2 2 2 2 2 2 2 2 2 2 14 4" xfId="16951" xr:uid="{31FD5FFA-A567-410C-A16C-D40EB70EBB90}"/>
    <cellStyle name="Normal 2 2 2 2 2 2 2 2 2 2 2 14 5" xfId="16952" xr:uid="{757F3738-15CA-45FF-97F4-92429E5D87C7}"/>
    <cellStyle name="Normal 2 2 2 2 2 2 2 2 2 2 2 14 6" xfId="16953" xr:uid="{BA0172B7-00B9-4A52-9682-D05BFD125CF3}"/>
    <cellStyle name="Normal 2 2 2 2 2 2 2 2 2 2 2 15" xfId="16954" xr:uid="{80F5FD1A-B4BF-466D-A230-9DD67CDE9080}"/>
    <cellStyle name="Normal 2 2 2 2 2 2 2 2 2 2 2 15 2" xfId="16955" xr:uid="{BEF75D84-D2A5-412C-AA9A-747C1D5AADB2}"/>
    <cellStyle name="Normal 2 2 2 2 2 2 2 2 2 2 2 15 3" xfId="16956" xr:uid="{73178F3D-403B-416D-9DCE-1E37317DB498}"/>
    <cellStyle name="Normal 2 2 2 2 2 2 2 2 2 2 2 15 4" xfId="16957" xr:uid="{466DFF9A-5015-494F-8FD0-94294C42E059}"/>
    <cellStyle name="Normal 2 2 2 2 2 2 2 2 2 2 2 15 5" xfId="16958" xr:uid="{69DD0046-64C8-4E76-8004-83B21C98844D}"/>
    <cellStyle name="Normal 2 2 2 2 2 2 2 2 2 2 2 15 6" xfId="16959" xr:uid="{B26358BD-F27C-4631-8186-26445505A23E}"/>
    <cellStyle name="Normal 2 2 2 2 2 2 2 2 2 2 2 16" xfId="16960" xr:uid="{A6BBF5A4-7D64-497A-B974-EE8C2B26880C}"/>
    <cellStyle name="Normal 2 2 2 2 2 2 2 2 2 2 2 16 2" xfId="16961" xr:uid="{60D97F96-7C0B-4C65-9C9E-62846A141845}"/>
    <cellStyle name="Normal 2 2 2 2 2 2 2 2 2 2 2 16 3" xfId="16962" xr:uid="{248746B1-4035-4A1B-9F2D-B20B39DB66E4}"/>
    <cellStyle name="Normal 2 2 2 2 2 2 2 2 2 2 2 16 4" xfId="16963" xr:uid="{1A9BC531-3317-47ED-8DB5-4ECEF26F7B67}"/>
    <cellStyle name="Normal 2 2 2 2 2 2 2 2 2 2 2 16 5" xfId="16964" xr:uid="{B93FF070-DB72-4724-A118-E71C08712213}"/>
    <cellStyle name="Normal 2 2 2 2 2 2 2 2 2 2 2 16 6" xfId="16965" xr:uid="{63572494-4D2F-4DA5-B585-ED8406937A75}"/>
    <cellStyle name="Normal 2 2 2 2 2 2 2 2 2 2 2 17" xfId="16966" xr:uid="{4BFB323C-E7C7-4DCA-B83C-5C8D4FA4CEE8}"/>
    <cellStyle name="Normal 2 2 2 2 2 2 2 2 2 2 2 17 2" xfId="16967" xr:uid="{9068C84E-4B22-4B91-8383-68CD0D053340}"/>
    <cellStyle name="Normal 2 2 2 2 2 2 2 2 2 2 2 17 3" xfId="16968" xr:uid="{0F62F5F5-7A85-4DA2-A493-79A5C1BA666B}"/>
    <cellStyle name="Normal 2 2 2 2 2 2 2 2 2 2 2 17 4" xfId="16969" xr:uid="{4C77A30B-5986-4810-8445-D30E1D726C20}"/>
    <cellStyle name="Normal 2 2 2 2 2 2 2 2 2 2 2 17 5" xfId="16970" xr:uid="{11406688-5D3B-481A-A70B-E2273229AE08}"/>
    <cellStyle name="Normal 2 2 2 2 2 2 2 2 2 2 2 17 6" xfId="16971" xr:uid="{5171F34C-FDE8-4E4D-8C2D-4A6AC5FB30B1}"/>
    <cellStyle name="Normal 2 2 2 2 2 2 2 2 2 2 2 18" xfId="16972" xr:uid="{ACA4E351-A54A-44A4-B0CC-4D225AAA7B0A}"/>
    <cellStyle name="Normal 2 2 2 2 2 2 2 2 2 2 2 18 2" xfId="16973" xr:uid="{CEE9170C-C08D-4340-9023-FAD85A3A9B85}"/>
    <cellStyle name="Normal 2 2 2 2 2 2 2 2 2 2 2 18 3" xfId="16974" xr:uid="{A5B763D1-5012-43F4-B195-B400BBD4DD01}"/>
    <cellStyle name="Normal 2 2 2 2 2 2 2 2 2 2 2 18 4" xfId="16975" xr:uid="{4AB8B424-BD29-4B1A-8345-4FF49B98446E}"/>
    <cellStyle name="Normal 2 2 2 2 2 2 2 2 2 2 2 18 5" xfId="16976" xr:uid="{E6C66374-47E8-45B0-85FA-03D462E031FD}"/>
    <cellStyle name="Normal 2 2 2 2 2 2 2 2 2 2 2 18 6" xfId="16977" xr:uid="{DD2E706B-81FD-4997-AE58-713A5413626D}"/>
    <cellStyle name="Normal 2 2 2 2 2 2 2 2 2 2 2 19" xfId="16978" xr:uid="{F0C0ECA8-46A9-46E2-A2E6-77D7475C6323}"/>
    <cellStyle name="Normal 2 2 2 2 2 2 2 2 2 2 2 19 2" xfId="16979" xr:uid="{565F32BB-8363-4149-9FC3-D8EC40DA9161}"/>
    <cellStyle name="Normal 2 2 2 2 2 2 2 2 2 2 2 19 3" xfId="16980" xr:uid="{A2F656BE-A47B-4670-AED0-E54DA4DD6DFE}"/>
    <cellStyle name="Normal 2 2 2 2 2 2 2 2 2 2 2 19 4" xfId="16981" xr:uid="{C20BBBA8-778B-4459-876B-DBCC92874BEA}"/>
    <cellStyle name="Normal 2 2 2 2 2 2 2 2 2 2 2 19 5" xfId="16982" xr:uid="{F3E5B89A-9E1C-47A1-94BF-D1507C3305CD}"/>
    <cellStyle name="Normal 2 2 2 2 2 2 2 2 2 2 2 19 6" xfId="16983" xr:uid="{F1354BDA-6F38-46BD-89BB-E57B20CEF789}"/>
    <cellStyle name="Normal 2 2 2 2 2 2 2 2 2 2 2 2" xfId="16984" xr:uid="{41B74AC4-4443-4BF9-A2A8-DAD2C6474153}"/>
    <cellStyle name="Normal 2 2 2 2 2 2 2 2 2 2 2 2 10" xfId="16985" xr:uid="{E3D54AF7-DA2E-4788-8D84-CE97D61DD86F}"/>
    <cellStyle name="Normal 2 2 2 2 2 2 2 2 2 2 2 2 11" xfId="16986" xr:uid="{F8029B9D-0A00-45A2-B868-6BC751F2CF4B}"/>
    <cellStyle name="Normal 2 2 2 2 2 2 2 2 2 2 2 2 12" xfId="16987" xr:uid="{107C6F8B-9C9D-4890-852F-5ECDB1D1173A}"/>
    <cellStyle name="Normal 2 2 2 2 2 2 2 2 2 2 2 2 13" xfId="16988" xr:uid="{96CA3AF2-9679-48FD-BC96-38436F6D50A6}"/>
    <cellStyle name="Normal 2 2 2 2 2 2 2 2 2 2 2 2 14" xfId="16989" xr:uid="{B1EB6D28-CA47-4F6C-A8C4-4D0072C5AF82}"/>
    <cellStyle name="Normal 2 2 2 2 2 2 2 2 2 2 2 2 15" xfId="16990" xr:uid="{19387AFF-2DA4-40BE-AC01-F631EB69D18D}"/>
    <cellStyle name="Normal 2 2 2 2 2 2 2 2 2 2 2 2 2" xfId="16991" xr:uid="{41B1A97A-FF91-4631-8A78-5F14A76D2A67}"/>
    <cellStyle name="Normal 2 2 2 2 2 2 2 2 2 2 2 2 2 10" xfId="16992" xr:uid="{64E6A529-D888-478C-87B9-8022D534A295}"/>
    <cellStyle name="Normal 2 2 2 2 2 2 2 2 2 2 2 2 2 11" xfId="16993" xr:uid="{32A74892-551B-43C4-AD00-E162CE4CC5E2}"/>
    <cellStyle name="Normal 2 2 2 2 2 2 2 2 2 2 2 2 2 12" xfId="16994" xr:uid="{15451AB5-DBA3-4A7C-94ED-A66AE7E6CCE3}"/>
    <cellStyle name="Normal 2 2 2 2 2 2 2 2 2 2 2 2 2 13" xfId="16995" xr:uid="{263A2896-5681-4259-AE3E-95A7243B0193}"/>
    <cellStyle name="Normal 2 2 2 2 2 2 2 2 2 2 2 2 2 14" xfId="16996" xr:uid="{F8CEF30F-4925-438C-81EC-841A7B4AC3A7}"/>
    <cellStyle name="Normal 2 2 2 2 2 2 2 2 2 2 2 2 2 2" xfId="16997" xr:uid="{73214A4B-AB6D-460F-AEFB-764CA15D70C7}"/>
    <cellStyle name="Normal 2 2 2 2 2 2 2 2 2 2 2 2 2 2 10" xfId="16998" xr:uid="{88EDA91A-8732-47C8-B9B9-506F155D065A}"/>
    <cellStyle name="Normal 2 2 2 2 2 2 2 2 2 2 2 2 2 2 11" xfId="16999" xr:uid="{C67210A4-6B22-4EA3-93ED-F9AE3966C618}"/>
    <cellStyle name="Normal 2 2 2 2 2 2 2 2 2 2 2 2 2 2 12" xfId="17000" xr:uid="{70407161-F64A-4018-B928-50C2A60DC1C1}"/>
    <cellStyle name="Normal 2 2 2 2 2 2 2 2 2 2 2 2 2 2 13" xfId="17001" xr:uid="{4C327E86-ED5A-4F7B-89C8-8BEA6962791D}"/>
    <cellStyle name="Normal 2 2 2 2 2 2 2 2 2 2 2 2 2 2 14" xfId="17002" xr:uid="{EB9330D4-7A04-4CE6-87B0-99CD95BF51F3}"/>
    <cellStyle name="Normal 2 2 2 2 2 2 2 2 2 2 2 2 2 2 2" xfId="17003" xr:uid="{2265A487-0C9D-400C-AF7B-B59A3B22AA88}"/>
    <cellStyle name="Normal 2 2 2 2 2 2 2 2 2 2 2 2 2 2 2 10" xfId="17004" xr:uid="{760FD0D7-6FB6-46B9-BD5D-8764170BDFD6}"/>
    <cellStyle name="Normal 2 2 2 2 2 2 2 2 2 2 2 2 2 2 2 11" xfId="17005" xr:uid="{A1C7871B-D4A9-4A4D-940F-52FB236A8361}"/>
    <cellStyle name="Normal 2 2 2 2 2 2 2 2 2 2 2 2 2 2 2 12" xfId="17006" xr:uid="{BC04F95C-425E-4FDD-8B52-16B07641013C}"/>
    <cellStyle name="Normal 2 2 2 2 2 2 2 2 2 2 2 2 2 2 2 13" xfId="17007" xr:uid="{1E402414-F4A9-4096-A257-D2AFFF273A8D}"/>
    <cellStyle name="Normal 2 2 2 2 2 2 2 2 2 2 2 2 2 2 2 14" xfId="17008" xr:uid="{BFDAACC1-6DE6-496C-B7DE-DDCD86A7F1A0}"/>
    <cellStyle name="Normal 2 2 2 2 2 2 2 2 2 2 2 2 2 2 2 2" xfId="17009" xr:uid="{12C4893F-B5BF-448F-9878-DD1827AA7C5C}"/>
    <cellStyle name="Normal 2 2 2 2 2 2 2 2 2 2 2 2 2 2 2 2 10" xfId="17010" xr:uid="{3AECD3F8-4330-4701-9EEB-AE456EA475EC}"/>
    <cellStyle name="Normal 2 2 2 2 2 2 2 2 2 2 2 2 2 2 2 2 11" xfId="17011" xr:uid="{1CC870F7-F3DD-4A04-9DB4-928A07EAE3D5}"/>
    <cellStyle name="Normal 2 2 2 2 2 2 2 2 2 2 2 2 2 2 2 2 2" xfId="17012" xr:uid="{FD22F5AC-3E81-4D02-87F1-E0D7F835E06D}"/>
    <cellStyle name="Normal 2 2 2 2 2 2 2 2 2 2 2 2 2 2 2 2 2 2" xfId="17013" xr:uid="{DAFD7F35-790D-4477-9771-BC14D5759AF8}"/>
    <cellStyle name="Normal 2 2 2 2 2 2 2 2 2 2 2 2 2 2 2 2 2 2 2" xfId="17014" xr:uid="{A5016AD1-F545-467F-80E4-D28A024453DA}"/>
    <cellStyle name="Normal 2 2 2 2 2 2 2 2 2 2 2 2 2 2 2 2 2 2 3" xfId="17015" xr:uid="{A5FCE319-946A-4E9D-BDC5-6143BE3E39FB}"/>
    <cellStyle name="Normal 2 2 2 2 2 2 2 2 2 2 2 2 2 2 2 2 2 3" xfId="17016" xr:uid="{A8D91655-DDFD-4850-A897-DE8F68025469}"/>
    <cellStyle name="Normal 2 2 2 2 2 2 2 2 2 2 2 2 2 2 2 2 2 4" xfId="17017" xr:uid="{E1BFDB15-943E-4AFC-A440-72509FB37E9B}"/>
    <cellStyle name="Normal 2 2 2 2 2 2 2 2 2 2 2 2 2 2 2 2 2 5" xfId="17018" xr:uid="{678BA7C5-B585-474D-B0ED-5FD003F96865}"/>
    <cellStyle name="Normal 2 2 2 2 2 2 2 2 2 2 2 2 2 2 2 2 2 6" xfId="17019" xr:uid="{871BDA52-434D-42F8-AC60-73F49BEBAB2B}"/>
    <cellStyle name="Normal 2 2 2 2 2 2 2 2 2 2 2 2 2 2 2 2 2 7" xfId="17020" xr:uid="{B84AC11D-6E8D-4C25-BDAD-04DA1C76F5FC}"/>
    <cellStyle name="Normal 2 2 2 2 2 2 2 2 2 2 2 2 2 2 2 2 2 8" xfId="17021" xr:uid="{C8478354-D5A0-4A5E-87E9-B7390DD375A7}"/>
    <cellStyle name="Normal 2 2 2 2 2 2 2 2 2 2 2 2 2 2 2 2 2 9" xfId="17022" xr:uid="{6C7E5945-FFA0-4C39-834D-43F3A1A62BCC}"/>
    <cellStyle name="Normal 2 2 2 2 2 2 2 2 2 2 2 2 2 2 2 2 3" xfId="17023" xr:uid="{5A714AB9-23D7-41DC-B8AD-86BD4D04E166}"/>
    <cellStyle name="Normal 2 2 2 2 2 2 2 2 2 2 2 2 2 2 2 2 4" xfId="17024" xr:uid="{F8B88DEA-48AC-400B-8628-209F3315A386}"/>
    <cellStyle name="Normal 2 2 2 2 2 2 2 2 2 2 2 2 2 2 2 2 5" xfId="17025" xr:uid="{9E2227BB-5175-4C92-96FC-5D7DDCA74688}"/>
    <cellStyle name="Normal 2 2 2 2 2 2 2 2 2 2 2 2 2 2 2 2 5 2" xfId="17026" xr:uid="{77997E60-8701-47CF-A929-E82756DAF839}"/>
    <cellStyle name="Normal 2 2 2 2 2 2 2 2 2 2 2 2 2 2 2 2 5 3" xfId="17027" xr:uid="{B3FC7C99-DC7E-4624-B8E0-8953D87287A5}"/>
    <cellStyle name="Normal 2 2 2 2 2 2 2 2 2 2 2 2 2 2 2 2 6" xfId="17028" xr:uid="{69EC5DD7-D70C-4E5D-9655-4EED6E4742F7}"/>
    <cellStyle name="Normal 2 2 2 2 2 2 2 2 2 2 2 2 2 2 2 2 7" xfId="17029" xr:uid="{7990255B-B5C8-4375-B070-98A937C69048}"/>
    <cellStyle name="Normal 2 2 2 2 2 2 2 2 2 2 2 2 2 2 2 2 8" xfId="17030" xr:uid="{47570E53-C6A9-43E4-8A7A-C2AACE4E596F}"/>
    <cellStyle name="Normal 2 2 2 2 2 2 2 2 2 2 2 2 2 2 2 2 9" xfId="17031" xr:uid="{F9361634-3C6B-4735-9A89-67E09A5EE9BC}"/>
    <cellStyle name="Normal 2 2 2 2 2 2 2 2 2 2 2 2 2 2 2 3" xfId="17032" xr:uid="{6FC8666B-8A8A-49D9-9E6C-37398F9C318C}"/>
    <cellStyle name="Normal 2 2 2 2 2 2 2 2 2 2 2 2 2 2 2 4" xfId="17033" xr:uid="{9C3BA2F3-2E7F-42BD-B742-05928923CF7B}"/>
    <cellStyle name="Normal 2 2 2 2 2 2 2 2 2 2 2 2 2 2 2 5" xfId="17034" xr:uid="{FF98E25D-BDA0-4521-BC22-B2352A6CD732}"/>
    <cellStyle name="Normal 2 2 2 2 2 2 2 2 2 2 2 2 2 2 2 6" xfId="17035" xr:uid="{94428C00-C569-46E1-B293-0E341BCA7AC4}"/>
    <cellStyle name="Normal 2 2 2 2 2 2 2 2 2 2 2 2 2 2 2 6 2" xfId="17036" xr:uid="{ED0F93D6-6EC6-4C79-B3DA-1436ADEC4C66}"/>
    <cellStyle name="Normal 2 2 2 2 2 2 2 2 2 2 2 2 2 2 2 6 2 2" xfId="17037" xr:uid="{51B4993B-BF65-4255-8105-3C52D04E4450}"/>
    <cellStyle name="Normal 2 2 2 2 2 2 2 2 2 2 2 2 2 2 2 6 2 3" xfId="17038" xr:uid="{E8B87BF6-E3A3-4240-A226-D69224A3D7AD}"/>
    <cellStyle name="Normal 2 2 2 2 2 2 2 2 2 2 2 2 2 2 2 6 3" xfId="17039" xr:uid="{1B7CC371-5BD9-4504-A024-BEC247558B85}"/>
    <cellStyle name="Normal 2 2 2 2 2 2 2 2 2 2 2 2 2 2 2 6 4" xfId="17040" xr:uid="{D5E17634-306C-48DC-8AD3-579AF61B9F4E}"/>
    <cellStyle name="Normal 2 2 2 2 2 2 2 2 2 2 2 2 2 2 2 6 5" xfId="17041" xr:uid="{6BA82C6A-789C-433C-B280-D38AD4342588}"/>
    <cellStyle name="Normal 2 2 2 2 2 2 2 2 2 2 2 2 2 2 2 6 6" xfId="17042" xr:uid="{59894A5E-F009-4B99-8592-0A82D39ADFCF}"/>
    <cellStyle name="Normal 2 2 2 2 2 2 2 2 2 2 2 2 2 2 2 6 7" xfId="17043" xr:uid="{3055250F-C572-40B4-AA38-398F450C8B1F}"/>
    <cellStyle name="Normal 2 2 2 2 2 2 2 2 2 2 2 2 2 2 2 6 8" xfId="17044" xr:uid="{9A6945DA-62A9-42B8-916F-FCD6D35F29A2}"/>
    <cellStyle name="Normal 2 2 2 2 2 2 2 2 2 2 2 2 2 2 2 6 9" xfId="17045" xr:uid="{A6914AAE-C577-4F11-971A-FB81ADD63EE4}"/>
    <cellStyle name="Normal 2 2 2 2 2 2 2 2 2 2 2 2 2 2 2 7" xfId="17046" xr:uid="{292FB4A1-2B1E-421A-8723-774EACD98780}"/>
    <cellStyle name="Normal 2 2 2 2 2 2 2 2 2 2 2 2 2 2 2 8" xfId="17047" xr:uid="{1FD9D3F7-DF9A-44B7-AB0B-C224C3909337}"/>
    <cellStyle name="Normal 2 2 2 2 2 2 2 2 2 2 2 2 2 2 2 8 2" xfId="17048" xr:uid="{33608A4F-A7E1-454B-B694-6A305A4610A2}"/>
    <cellStyle name="Normal 2 2 2 2 2 2 2 2 2 2 2 2 2 2 2 8 3" xfId="17049" xr:uid="{71D5AE02-E2DA-425A-8F9E-BCCE39C322E4}"/>
    <cellStyle name="Normal 2 2 2 2 2 2 2 2 2 2 2 2 2 2 2 9" xfId="17050" xr:uid="{41A50E44-F077-4BC6-BAB4-B81B5C2C6E4B}"/>
    <cellStyle name="Normal 2 2 2 2 2 2 2 2 2 2 2 2 2 2 3" xfId="17051" xr:uid="{0BCDD510-5C3F-44FF-98A7-E9DD1CEBE3DE}"/>
    <cellStyle name="Normal 2 2 2 2 2 2 2 2 2 2 2 2 2 2 3 10" xfId="17052" xr:uid="{8342050D-C853-4109-8BD8-05A015509E10}"/>
    <cellStyle name="Normal 2 2 2 2 2 2 2 2 2 2 2 2 2 2 3 11" xfId="17053" xr:uid="{77B4EF81-D7A1-4BD4-9A0F-61880FEBA55F}"/>
    <cellStyle name="Normal 2 2 2 2 2 2 2 2 2 2 2 2 2 2 3 2" xfId="17054" xr:uid="{627C4B28-9C30-466D-B288-1948FEA81410}"/>
    <cellStyle name="Normal 2 2 2 2 2 2 2 2 2 2 2 2 2 2 3 2 2" xfId="17055" xr:uid="{168B896E-7024-4FB9-82B6-C9F55449CE38}"/>
    <cellStyle name="Normal 2 2 2 2 2 2 2 2 2 2 2 2 2 2 3 2 2 2" xfId="17056" xr:uid="{C3A08459-7102-4C05-A3E5-4A7AB647CCF6}"/>
    <cellStyle name="Normal 2 2 2 2 2 2 2 2 2 2 2 2 2 2 3 2 2 3" xfId="17057" xr:uid="{C75B9C7F-FFA8-4E0B-8EC5-6A1A7CE206D1}"/>
    <cellStyle name="Normal 2 2 2 2 2 2 2 2 2 2 2 2 2 2 3 2 3" xfId="17058" xr:uid="{99C74336-7D6D-4871-BF68-4BF0F1D7F1BF}"/>
    <cellStyle name="Normal 2 2 2 2 2 2 2 2 2 2 2 2 2 2 3 2 4" xfId="17059" xr:uid="{86C4C21A-7F55-4F19-B5A6-C713C5A5BB32}"/>
    <cellStyle name="Normal 2 2 2 2 2 2 2 2 2 2 2 2 2 2 3 2 5" xfId="17060" xr:uid="{DF9EA312-1733-4A5C-9CB8-426AC8DF7F61}"/>
    <cellStyle name="Normal 2 2 2 2 2 2 2 2 2 2 2 2 2 2 3 2 6" xfId="17061" xr:uid="{9F8BA1C7-313C-474E-975F-E0392022987E}"/>
    <cellStyle name="Normal 2 2 2 2 2 2 2 2 2 2 2 2 2 2 3 2 7" xfId="17062" xr:uid="{9BFE177D-38B7-4158-A549-5AF6A8C6C006}"/>
    <cellStyle name="Normal 2 2 2 2 2 2 2 2 2 2 2 2 2 2 3 2 8" xfId="17063" xr:uid="{CC408487-02C3-4131-8963-4F49C0359A30}"/>
    <cellStyle name="Normal 2 2 2 2 2 2 2 2 2 2 2 2 2 2 3 2 9" xfId="17064" xr:uid="{59F4473E-62FF-4FDB-9F2A-0FB49C816015}"/>
    <cellStyle name="Normal 2 2 2 2 2 2 2 2 2 2 2 2 2 2 3 3" xfId="17065" xr:uid="{7B6712FA-5F20-415F-B467-8DE45A1E8303}"/>
    <cellStyle name="Normal 2 2 2 2 2 2 2 2 2 2 2 2 2 2 3 4" xfId="17066" xr:uid="{E9A4DAC8-9AB8-4412-8D7C-6F04C5B37075}"/>
    <cellStyle name="Normal 2 2 2 2 2 2 2 2 2 2 2 2 2 2 3 5" xfId="17067" xr:uid="{A60CA051-D843-45BE-9DB2-925455C81A0F}"/>
    <cellStyle name="Normal 2 2 2 2 2 2 2 2 2 2 2 2 2 2 3 5 2" xfId="17068" xr:uid="{8D70FC8A-DF4D-4D59-8003-2154BC316313}"/>
    <cellStyle name="Normal 2 2 2 2 2 2 2 2 2 2 2 2 2 2 3 5 3" xfId="17069" xr:uid="{8E13CE5A-1F1D-4C45-A68F-69844C2C5BBF}"/>
    <cellStyle name="Normal 2 2 2 2 2 2 2 2 2 2 2 2 2 2 3 6" xfId="17070" xr:uid="{7587D5A1-3A01-4A57-8264-7B0ABE48F83E}"/>
    <cellStyle name="Normal 2 2 2 2 2 2 2 2 2 2 2 2 2 2 3 7" xfId="17071" xr:uid="{75C8E67C-327F-4E24-AB82-F94138BCEF6C}"/>
    <cellStyle name="Normal 2 2 2 2 2 2 2 2 2 2 2 2 2 2 3 8" xfId="17072" xr:uid="{ABB8CF9A-B0BE-40D7-8BA6-980BF82CAF93}"/>
    <cellStyle name="Normal 2 2 2 2 2 2 2 2 2 2 2 2 2 2 3 9" xfId="17073" xr:uid="{D57643BD-0872-4F37-A75A-B2F91C495A2F}"/>
    <cellStyle name="Normal 2 2 2 2 2 2 2 2 2 2 2 2 2 2 4" xfId="17074" xr:uid="{A7AA6F05-D112-48D5-8D00-CEAAE9B402D6}"/>
    <cellStyle name="Normal 2 2 2 2 2 2 2 2 2 2 2 2 2 2 5" xfId="17075" xr:uid="{4CC80033-62AE-448A-9F8A-A08AC7DAA933}"/>
    <cellStyle name="Normal 2 2 2 2 2 2 2 2 2 2 2 2 2 2 6" xfId="17076" xr:uid="{480AE89B-77AC-4BF5-93D5-CE4B83F03127}"/>
    <cellStyle name="Normal 2 2 2 2 2 2 2 2 2 2 2 2 2 2 6 2" xfId="17077" xr:uid="{CD4A0ED4-1FED-4B8D-BE48-59CCB050A81E}"/>
    <cellStyle name="Normal 2 2 2 2 2 2 2 2 2 2 2 2 2 2 6 2 2" xfId="17078" xr:uid="{4B194B8D-730A-4EB7-BA80-61A91038DDC4}"/>
    <cellStyle name="Normal 2 2 2 2 2 2 2 2 2 2 2 2 2 2 6 2 3" xfId="17079" xr:uid="{FD577F96-22DD-4531-957D-E859CC5C9BD3}"/>
    <cellStyle name="Normal 2 2 2 2 2 2 2 2 2 2 2 2 2 2 6 3" xfId="17080" xr:uid="{7A2874FF-A2E6-4FFF-BE6C-8EB9B6CD0DD4}"/>
    <cellStyle name="Normal 2 2 2 2 2 2 2 2 2 2 2 2 2 2 6 4" xfId="17081" xr:uid="{CEDA170F-836A-4FAC-94FD-1FA6DC5D697D}"/>
    <cellStyle name="Normal 2 2 2 2 2 2 2 2 2 2 2 2 2 2 6 5" xfId="17082" xr:uid="{4EBB62F9-17AD-4B20-9543-B3606896A9A9}"/>
    <cellStyle name="Normal 2 2 2 2 2 2 2 2 2 2 2 2 2 2 6 6" xfId="17083" xr:uid="{5D4154FB-389B-4DCA-AA41-16AAF53F028A}"/>
    <cellStyle name="Normal 2 2 2 2 2 2 2 2 2 2 2 2 2 2 6 7" xfId="17084" xr:uid="{C1046E82-E15C-4599-9054-EBA57C380CDE}"/>
    <cellStyle name="Normal 2 2 2 2 2 2 2 2 2 2 2 2 2 2 6 8" xfId="17085" xr:uid="{A47B0BEE-DE2A-42C2-A0AE-DA1EAC4B53B9}"/>
    <cellStyle name="Normal 2 2 2 2 2 2 2 2 2 2 2 2 2 2 6 9" xfId="17086" xr:uid="{C3D0F9B6-0C3B-464B-9C2C-BE2098344646}"/>
    <cellStyle name="Normal 2 2 2 2 2 2 2 2 2 2 2 2 2 2 7" xfId="17087" xr:uid="{6A56FEFC-4CBF-4C70-9F65-E54DD5907A1D}"/>
    <cellStyle name="Normal 2 2 2 2 2 2 2 2 2 2 2 2 2 2 8" xfId="17088" xr:uid="{B67B8B7C-E219-4C07-BFF1-D8F2990F6EC5}"/>
    <cellStyle name="Normal 2 2 2 2 2 2 2 2 2 2 2 2 2 2 8 2" xfId="17089" xr:uid="{730A0D02-31A4-4BA9-B410-7BDDFA62CC26}"/>
    <cellStyle name="Normal 2 2 2 2 2 2 2 2 2 2 2 2 2 2 8 3" xfId="17090" xr:uid="{873BFEE3-47FE-4B7E-B14B-CC3D3B778FF4}"/>
    <cellStyle name="Normal 2 2 2 2 2 2 2 2 2 2 2 2 2 2 9" xfId="17091" xr:uid="{B7C9DDE0-AFB5-4F37-A4CD-EF5A44C27BE1}"/>
    <cellStyle name="Normal 2 2 2 2 2 2 2 2 2 2 2 2 2 3" xfId="17092" xr:uid="{C79992D8-3C40-460A-AD69-E4F8DD547B31}"/>
    <cellStyle name="Normal 2 2 2 2 2 2 2 2 2 2 2 2 2 3 10" xfId="17093" xr:uid="{41E6A1B1-085C-41FB-ACB6-F897E66A7E82}"/>
    <cellStyle name="Normal 2 2 2 2 2 2 2 2 2 2 2 2 2 3 11" xfId="17094" xr:uid="{0E7F1C90-13A4-4536-8B3C-8FB8A93B229A}"/>
    <cellStyle name="Normal 2 2 2 2 2 2 2 2 2 2 2 2 2 3 2" xfId="17095" xr:uid="{5E8FAFF9-1BE5-4DFD-B6D6-679D54F42A3B}"/>
    <cellStyle name="Normal 2 2 2 2 2 2 2 2 2 2 2 2 2 3 2 2" xfId="17096" xr:uid="{ADFD509F-60E6-43C0-9D04-8A9FC04D14CA}"/>
    <cellStyle name="Normal 2 2 2 2 2 2 2 2 2 2 2 2 2 3 2 2 2" xfId="17097" xr:uid="{A2826D98-2BA7-45C6-BE2C-41687764E282}"/>
    <cellStyle name="Normal 2 2 2 2 2 2 2 2 2 2 2 2 2 3 2 2 3" xfId="17098" xr:uid="{083A192D-51CF-401D-9215-7E4354A08984}"/>
    <cellStyle name="Normal 2 2 2 2 2 2 2 2 2 2 2 2 2 3 2 3" xfId="17099" xr:uid="{F40A6E41-0BAA-4F09-ACCA-2FD7E30DD3B6}"/>
    <cellStyle name="Normal 2 2 2 2 2 2 2 2 2 2 2 2 2 3 2 4" xfId="17100" xr:uid="{9AAB242F-3BBA-41CA-8BFA-55C5E437838C}"/>
    <cellStyle name="Normal 2 2 2 2 2 2 2 2 2 2 2 2 2 3 2 5" xfId="17101" xr:uid="{430BC1CE-633A-4B63-A52A-195953BC7A85}"/>
    <cellStyle name="Normal 2 2 2 2 2 2 2 2 2 2 2 2 2 3 2 6" xfId="17102" xr:uid="{2A0EC0EA-AF19-49D5-91CD-D2C3B3103724}"/>
    <cellStyle name="Normal 2 2 2 2 2 2 2 2 2 2 2 2 2 3 2 7" xfId="17103" xr:uid="{D2192A02-CE11-4B44-B658-61C0C1200B16}"/>
    <cellStyle name="Normal 2 2 2 2 2 2 2 2 2 2 2 2 2 3 2 8" xfId="17104" xr:uid="{24654E3A-F8E7-4131-B5AC-2A1F94F4FB2F}"/>
    <cellStyle name="Normal 2 2 2 2 2 2 2 2 2 2 2 2 2 3 2 9" xfId="17105" xr:uid="{3E123070-9567-46C8-B8F0-DE1D60531030}"/>
    <cellStyle name="Normal 2 2 2 2 2 2 2 2 2 2 2 2 2 3 3" xfId="17106" xr:uid="{348D1752-5EF0-46AA-8EAB-985B1FD95B5F}"/>
    <cellStyle name="Normal 2 2 2 2 2 2 2 2 2 2 2 2 2 3 4" xfId="17107" xr:uid="{ECBAA136-F0D7-4AB1-8218-8960BB4B7D57}"/>
    <cellStyle name="Normal 2 2 2 2 2 2 2 2 2 2 2 2 2 3 5" xfId="17108" xr:uid="{D95AB332-14F9-431F-B6E3-1742A1B9A724}"/>
    <cellStyle name="Normal 2 2 2 2 2 2 2 2 2 2 2 2 2 3 5 2" xfId="17109" xr:uid="{F3201434-CBD4-48FA-BC0C-AB430E1F2115}"/>
    <cellStyle name="Normal 2 2 2 2 2 2 2 2 2 2 2 2 2 3 5 3" xfId="17110" xr:uid="{4E3A1D94-2273-496F-B54D-30C0C016E1FB}"/>
    <cellStyle name="Normal 2 2 2 2 2 2 2 2 2 2 2 2 2 3 6" xfId="17111" xr:uid="{513A3D7B-3462-47FA-9AB9-4D7976A23088}"/>
    <cellStyle name="Normal 2 2 2 2 2 2 2 2 2 2 2 2 2 3 7" xfId="17112" xr:uid="{BB11994D-8C4A-4C68-B400-03E54D329005}"/>
    <cellStyle name="Normal 2 2 2 2 2 2 2 2 2 2 2 2 2 3 8" xfId="17113" xr:uid="{18AED6D1-9F5B-4327-BD87-05E950EFC395}"/>
    <cellStyle name="Normal 2 2 2 2 2 2 2 2 2 2 2 2 2 3 9" xfId="17114" xr:uid="{CEFAC057-B65A-4786-8E43-7597AB510A3B}"/>
    <cellStyle name="Normal 2 2 2 2 2 2 2 2 2 2 2 2 2 4" xfId="17115" xr:uid="{C90C6F3D-66EA-44EE-8217-306D16C19F2C}"/>
    <cellStyle name="Normal 2 2 2 2 2 2 2 2 2 2 2 2 2 5" xfId="17116" xr:uid="{0755A72C-841E-45D6-A512-3224BD7292D2}"/>
    <cellStyle name="Normal 2 2 2 2 2 2 2 2 2 2 2 2 2 6" xfId="17117" xr:uid="{A1455344-C097-4893-AFA4-AAB22559E90C}"/>
    <cellStyle name="Normal 2 2 2 2 2 2 2 2 2 2 2 2 2 6 2" xfId="17118" xr:uid="{3BA92A8B-1CB5-4CF4-B38F-9512B45665E8}"/>
    <cellStyle name="Normal 2 2 2 2 2 2 2 2 2 2 2 2 2 6 2 2" xfId="17119" xr:uid="{8D65E22F-F571-4AF9-8144-450CE16CAA37}"/>
    <cellStyle name="Normal 2 2 2 2 2 2 2 2 2 2 2 2 2 6 2 3" xfId="17120" xr:uid="{907ADE38-D3C3-4B5B-AA6B-3DE170C2CEF9}"/>
    <cellStyle name="Normal 2 2 2 2 2 2 2 2 2 2 2 2 2 6 3" xfId="17121" xr:uid="{B118A9E4-7023-4A3F-847D-5D20D3D7097F}"/>
    <cellStyle name="Normal 2 2 2 2 2 2 2 2 2 2 2 2 2 6 4" xfId="17122" xr:uid="{D9391375-C2C2-46BA-B2E5-86CFF9B86E08}"/>
    <cellStyle name="Normal 2 2 2 2 2 2 2 2 2 2 2 2 2 6 5" xfId="17123" xr:uid="{CE02F42D-2283-4220-91F9-44407C9CEEC0}"/>
    <cellStyle name="Normal 2 2 2 2 2 2 2 2 2 2 2 2 2 6 6" xfId="17124" xr:uid="{DC086852-9C18-461A-8DBA-684900C4873D}"/>
    <cellStyle name="Normal 2 2 2 2 2 2 2 2 2 2 2 2 2 6 7" xfId="17125" xr:uid="{CACABBEC-256B-44CC-9202-4A96A3E4E269}"/>
    <cellStyle name="Normal 2 2 2 2 2 2 2 2 2 2 2 2 2 6 8" xfId="17126" xr:uid="{733EBE51-7224-4AC0-810D-778A4C5AA7CD}"/>
    <cellStyle name="Normal 2 2 2 2 2 2 2 2 2 2 2 2 2 6 9" xfId="17127" xr:uid="{2E888619-EA37-410D-A3CE-72D6BD913B74}"/>
    <cellStyle name="Normal 2 2 2 2 2 2 2 2 2 2 2 2 2 7" xfId="17128" xr:uid="{3CCD119F-B192-4028-A959-C06D0070A4E9}"/>
    <cellStyle name="Normal 2 2 2 2 2 2 2 2 2 2 2 2 2 8" xfId="17129" xr:uid="{5ED6AB78-CAAA-43D9-B5A2-F933F8D043B9}"/>
    <cellStyle name="Normal 2 2 2 2 2 2 2 2 2 2 2 2 2 8 2" xfId="17130" xr:uid="{631E3A90-A439-4988-AC86-077283D96283}"/>
    <cellStyle name="Normal 2 2 2 2 2 2 2 2 2 2 2 2 2 8 3" xfId="17131" xr:uid="{4ED314FE-0D24-4B4A-98D0-BA1A530BEC39}"/>
    <cellStyle name="Normal 2 2 2 2 2 2 2 2 2 2 2 2 2 9" xfId="17132" xr:uid="{427658EA-FEB5-4308-A286-D0A734CA3677}"/>
    <cellStyle name="Normal 2 2 2 2 2 2 2 2 2 2 2 2 3" xfId="17133" xr:uid="{F48B6DBD-3C3C-4B1F-936C-2AC90ADD31AC}"/>
    <cellStyle name="Normal 2 2 2 2 2 2 2 2 2 2 2 2 3 2" xfId="17134" xr:uid="{7D8B8B1D-AE0A-43FB-8DD3-D69D3DDB8CB5}"/>
    <cellStyle name="Normal 2 2 2 2 2 2 2 2 2 2 2 2 3 3" xfId="17135" xr:uid="{C61EF7E7-DDC7-4101-A4B9-218CEFE2C6FF}"/>
    <cellStyle name="Normal 2 2 2 2 2 2 2 2 2 2 2 2 3 4" xfId="17136" xr:uid="{D84B87EC-96E0-4973-9CDD-C5E5224741F1}"/>
    <cellStyle name="Normal 2 2 2 2 2 2 2 2 2 2 2 2 3 5" xfId="17137" xr:uid="{9BFC3495-E4E8-4E3A-B0B0-75F5AF85A79F}"/>
    <cellStyle name="Normal 2 2 2 2 2 2 2 2 2 2 2 2 3 6" xfId="17138" xr:uid="{C456B44F-4E34-4711-96A9-358C6EAEE36B}"/>
    <cellStyle name="Normal 2 2 2 2 2 2 2 2 2 2 2 2 4" xfId="17139" xr:uid="{60B8E579-8F59-4BE3-879D-91A8B0990D0C}"/>
    <cellStyle name="Normal 2 2 2 2 2 2 2 2 2 2 2 2 4 10" xfId="17140" xr:uid="{60646858-F973-43E2-97E6-E75809BA9ADF}"/>
    <cellStyle name="Normal 2 2 2 2 2 2 2 2 2 2 2 2 4 11" xfId="17141" xr:uid="{96D57CAD-94CD-413C-A4F7-067E7C97E257}"/>
    <cellStyle name="Normal 2 2 2 2 2 2 2 2 2 2 2 2 4 2" xfId="17142" xr:uid="{286268E7-5E9B-4268-96D1-535B31AD032E}"/>
    <cellStyle name="Normal 2 2 2 2 2 2 2 2 2 2 2 2 4 2 2" xfId="17143" xr:uid="{D043347F-F55D-455A-8CA4-5DAF6E1096AF}"/>
    <cellStyle name="Normal 2 2 2 2 2 2 2 2 2 2 2 2 4 2 2 2" xfId="17144" xr:uid="{90050CA9-92E8-4DD7-B88F-72E22F07953A}"/>
    <cellStyle name="Normal 2 2 2 2 2 2 2 2 2 2 2 2 4 2 2 3" xfId="17145" xr:uid="{808E2EE8-DD7A-4143-944B-7E93BABB3572}"/>
    <cellStyle name="Normal 2 2 2 2 2 2 2 2 2 2 2 2 4 2 3" xfId="17146" xr:uid="{490DF7D4-6A89-40E1-B688-10CEA5FA8C79}"/>
    <cellStyle name="Normal 2 2 2 2 2 2 2 2 2 2 2 2 4 2 4" xfId="17147" xr:uid="{D8A0C56C-86B9-4D57-8EC3-EA79AD0635C1}"/>
    <cellStyle name="Normal 2 2 2 2 2 2 2 2 2 2 2 2 4 2 5" xfId="17148" xr:uid="{F7E8A7EB-FC06-4A8D-9822-E6FD91F65305}"/>
    <cellStyle name="Normal 2 2 2 2 2 2 2 2 2 2 2 2 4 2 6" xfId="17149" xr:uid="{1047A6BB-9DBB-402A-8482-573CC8CFADD4}"/>
    <cellStyle name="Normal 2 2 2 2 2 2 2 2 2 2 2 2 4 2 7" xfId="17150" xr:uid="{523EC6B2-D8A8-440C-A470-F3C8FDC5238E}"/>
    <cellStyle name="Normal 2 2 2 2 2 2 2 2 2 2 2 2 4 2 8" xfId="17151" xr:uid="{55FAF755-51FC-4181-B761-0F211E2F39C7}"/>
    <cellStyle name="Normal 2 2 2 2 2 2 2 2 2 2 2 2 4 2 9" xfId="17152" xr:uid="{F8805155-4E49-47AE-BC2B-1C63C9449F9B}"/>
    <cellStyle name="Normal 2 2 2 2 2 2 2 2 2 2 2 2 4 3" xfId="17153" xr:uid="{FB4B4008-B823-41C2-A61C-599A6D589031}"/>
    <cellStyle name="Normal 2 2 2 2 2 2 2 2 2 2 2 2 4 4" xfId="17154" xr:uid="{4C3028C9-A079-4F60-8EB0-97E5E4A19D3C}"/>
    <cellStyle name="Normal 2 2 2 2 2 2 2 2 2 2 2 2 4 5" xfId="17155" xr:uid="{C1019F87-4F9E-4FDA-A24A-EF1E9ED56442}"/>
    <cellStyle name="Normal 2 2 2 2 2 2 2 2 2 2 2 2 4 5 2" xfId="17156" xr:uid="{6E01B62B-CDAC-44FB-BB24-B4219122CE24}"/>
    <cellStyle name="Normal 2 2 2 2 2 2 2 2 2 2 2 2 4 5 3" xfId="17157" xr:uid="{E0486C1F-D7C0-4339-9DF5-039DDDF0E205}"/>
    <cellStyle name="Normal 2 2 2 2 2 2 2 2 2 2 2 2 4 6" xfId="17158" xr:uid="{944674F1-43AA-46FA-BECD-6856DFA0CA24}"/>
    <cellStyle name="Normal 2 2 2 2 2 2 2 2 2 2 2 2 4 7" xfId="17159" xr:uid="{63514D60-2FA7-46A6-A8BB-3B06E1D3BE17}"/>
    <cellStyle name="Normal 2 2 2 2 2 2 2 2 2 2 2 2 4 8" xfId="17160" xr:uid="{12ECB271-496A-4401-9D97-510CAA841DE6}"/>
    <cellStyle name="Normal 2 2 2 2 2 2 2 2 2 2 2 2 4 9" xfId="17161" xr:uid="{D4B00312-1829-4866-A3FE-F3D707F90848}"/>
    <cellStyle name="Normal 2 2 2 2 2 2 2 2 2 2 2 2 5" xfId="17162" xr:uid="{28774DFB-EBF1-4312-B403-50C90FE54EA6}"/>
    <cellStyle name="Normal 2 2 2 2 2 2 2 2 2 2 2 2 6" xfId="17163" xr:uid="{E72B9E6D-C91B-4F9C-BC59-A83A16DE71C6}"/>
    <cellStyle name="Normal 2 2 2 2 2 2 2 2 2 2 2 2 7" xfId="17164" xr:uid="{30667E0A-B83D-4669-BE8E-FA2803525576}"/>
    <cellStyle name="Normal 2 2 2 2 2 2 2 2 2 2 2 2 7 2" xfId="17165" xr:uid="{FA5C0041-F216-467A-A8C1-E942D20F5CF2}"/>
    <cellStyle name="Normal 2 2 2 2 2 2 2 2 2 2 2 2 7 2 2" xfId="17166" xr:uid="{7DBE68DD-E635-4068-9374-38D2A35EF466}"/>
    <cellStyle name="Normal 2 2 2 2 2 2 2 2 2 2 2 2 7 2 3" xfId="17167" xr:uid="{FB0BA02A-A749-48F3-B1DE-98BA86113D14}"/>
    <cellStyle name="Normal 2 2 2 2 2 2 2 2 2 2 2 2 7 3" xfId="17168" xr:uid="{F3792533-EB37-4DCE-AD84-2019D50E77C2}"/>
    <cellStyle name="Normal 2 2 2 2 2 2 2 2 2 2 2 2 7 4" xfId="17169" xr:uid="{2AD95851-6EC6-4003-82BC-AC65472FD298}"/>
    <cellStyle name="Normal 2 2 2 2 2 2 2 2 2 2 2 2 7 5" xfId="17170" xr:uid="{699686EE-DA22-4F2F-B6D3-AD234B50C768}"/>
    <cellStyle name="Normal 2 2 2 2 2 2 2 2 2 2 2 2 7 6" xfId="17171" xr:uid="{B2487940-54E4-4CC9-A532-E2665D31258F}"/>
    <cellStyle name="Normal 2 2 2 2 2 2 2 2 2 2 2 2 7 7" xfId="17172" xr:uid="{2EBD1921-E5C6-4857-9959-91E16C614E8D}"/>
    <cellStyle name="Normal 2 2 2 2 2 2 2 2 2 2 2 2 7 8" xfId="17173" xr:uid="{8563FC14-D907-44A5-8EAF-14A711443B87}"/>
    <cellStyle name="Normal 2 2 2 2 2 2 2 2 2 2 2 2 7 9" xfId="17174" xr:uid="{6E5DB54D-7D13-4DF6-97F6-3F0D64FA6E14}"/>
    <cellStyle name="Normal 2 2 2 2 2 2 2 2 2 2 2 2 8" xfId="17175" xr:uid="{A1F4B473-B636-454E-8E53-1ECC6C433419}"/>
    <cellStyle name="Normal 2 2 2 2 2 2 2 2 2 2 2 2 9" xfId="17176" xr:uid="{814A4A2A-C7D4-470A-9EDB-9CC06CB7FE7E}"/>
    <cellStyle name="Normal 2 2 2 2 2 2 2 2 2 2 2 2 9 2" xfId="17177" xr:uid="{B38051A9-1D1F-4E95-BBD0-487E84829612}"/>
    <cellStyle name="Normal 2 2 2 2 2 2 2 2 2 2 2 2 9 3" xfId="17178" xr:uid="{0DE14D21-4AB4-4F9B-AA35-7C314A797295}"/>
    <cellStyle name="Normal 2 2 2 2 2 2 2 2 2 2 2 20" xfId="17179" xr:uid="{F90E0F08-03EC-4184-9951-B43D2BCD76EC}"/>
    <cellStyle name="Normal 2 2 2 2 2 2 2 2 2 2 2 20 2" xfId="17180" xr:uid="{626AB55F-D2DD-427F-9DB1-3B307E3BE7AA}"/>
    <cellStyle name="Normal 2 2 2 2 2 2 2 2 2 2 2 20 3" xfId="17181" xr:uid="{2594D20B-2158-4480-9BB9-009CBA27E2C9}"/>
    <cellStyle name="Normal 2 2 2 2 2 2 2 2 2 2 2 20 4" xfId="17182" xr:uid="{AE1AE5A0-7070-4549-9E4A-FA6031C4E67B}"/>
    <cellStyle name="Normal 2 2 2 2 2 2 2 2 2 2 2 20 5" xfId="17183" xr:uid="{C6C88144-BF1F-4880-84DC-5FC2030FBA2E}"/>
    <cellStyle name="Normal 2 2 2 2 2 2 2 2 2 2 2 20 6" xfId="17184" xr:uid="{A296CAE6-CDCC-4026-A7FE-4C376BB31B3A}"/>
    <cellStyle name="Normal 2 2 2 2 2 2 2 2 2 2 2 21" xfId="17185" xr:uid="{D09082A4-5808-41D0-B03E-1E85A1504A2C}"/>
    <cellStyle name="Normal 2 2 2 2 2 2 2 2 2 2 2 21 2" xfId="17186" xr:uid="{19B9569C-1665-4902-817D-716637B9D136}"/>
    <cellStyle name="Normal 2 2 2 2 2 2 2 2 2 2 2 21 3" xfId="17187" xr:uid="{04732165-B1CA-4C7F-8D70-A48A032C899D}"/>
    <cellStyle name="Normal 2 2 2 2 2 2 2 2 2 2 2 21 4" xfId="17188" xr:uid="{69F20EC4-E64F-4125-AFFF-E4F96C5E59FF}"/>
    <cellStyle name="Normal 2 2 2 2 2 2 2 2 2 2 2 21 5" xfId="17189" xr:uid="{F322CA36-7AF3-4AB4-9B60-CA016959FD69}"/>
    <cellStyle name="Normal 2 2 2 2 2 2 2 2 2 2 2 21 6" xfId="17190" xr:uid="{35F630D8-9816-4AA9-BE8C-EC9536D92EB7}"/>
    <cellStyle name="Normal 2 2 2 2 2 2 2 2 2 2 2 22" xfId="17191" xr:uid="{43F17DD2-BB47-4759-9519-99747C35E775}"/>
    <cellStyle name="Normal 2 2 2 2 2 2 2 2 2 2 2 22 2" xfId="17192" xr:uid="{A0BCE9D0-6D47-4617-982A-6CFB6AD8F7A6}"/>
    <cellStyle name="Normal 2 2 2 2 2 2 2 2 2 2 2 22 3" xfId="17193" xr:uid="{567EAC63-CA25-435B-B0C1-9590DD699020}"/>
    <cellStyle name="Normal 2 2 2 2 2 2 2 2 2 2 2 22 4" xfId="17194" xr:uid="{E5FEC259-A740-4E8C-A416-69B8602686D7}"/>
    <cellStyle name="Normal 2 2 2 2 2 2 2 2 2 2 2 22 5" xfId="17195" xr:uid="{E21429AF-388F-4E1C-8DFF-3F72CAC73452}"/>
    <cellStyle name="Normal 2 2 2 2 2 2 2 2 2 2 2 22 6" xfId="17196" xr:uid="{E789EC2F-98CB-4E4C-A24B-92678EE9DA21}"/>
    <cellStyle name="Normal 2 2 2 2 2 2 2 2 2 2 2 23" xfId="17197" xr:uid="{3E8F10DF-57F5-464E-9465-ECC652134C8B}"/>
    <cellStyle name="Normal 2 2 2 2 2 2 2 2 2 2 2 23 2" xfId="17198" xr:uid="{4DD6B7B6-D8A3-42A8-AB2A-37CD382C89D3}"/>
    <cellStyle name="Normal 2 2 2 2 2 2 2 2 2 2 2 23 2 2" xfId="17199" xr:uid="{16F7450D-F0E2-4B94-9EA1-0366FE28B230}"/>
    <cellStyle name="Normal 2 2 2 2 2 2 2 2 2 2 2 23 2 3" xfId="17200" xr:uid="{C87AC873-545A-4C65-8E58-D6E5FBC8ECD0}"/>
    <cellStyle name="Normal 2 2 2 2 2 2 2 2 2 2 2 23 2 4" xfId="17201" xr:uid="{9853C0E9-38E0-4F36-BDF5-D8C385967623}"/>
    <cellStyle name="Normal 2 2 2 2 2 2 2 2 2 2 2 23 2 5" xfId="17202" xr:uid="{29D9A5C4-8074-4833-9DD4-A431DB801F66}"/>
    <cellStyle name="Normal 2 2 2 2 2 2 2 2 2 2 2 23 2 6" xfId="17203" xr:uid="{93111382-4D9E-4DAC-8D7E-8F0A7B6C2EB3}"/>
    <cellStyle name="Normal 2 2 2 2 2 2 2 2 2 2 2 24" xfId="17204" xr:uid="{1E73134A-4DD1-4324-A503-B4F5C0C519FC}"/>
    <cellStyle name="Normal 2 2 2 2 2 2 2 2 2 2 2 24 10" xfId="17205" xr:uid="{CB508AC2-3C5E-4FE0-BA7F-E2DFF7D5D452}"/>
    <cellStyle name="Normal 2 2 2 2 2 2 2 2 2 2 2 24 11" xfId="17206" xr:uid="{896CB654-5BFB-494C-83DE-89637BAAA96D}"/>
    <cellStyle name="Normal 2 2 2 2 2 2 2 2 2 2 2 24 2" xfId="17207" xr:uid="{6FCDED37-9D8A-4855-BCE4-D5482EF64368}"/>
    <cellStyle name="Normal 2 2 2 2 2 2 2 2 2 2 2 24 2 2" xfId="17208" xr:uid="{3731B746-D9B4-40C6-B71B-34F42C767820}"/>
    <cellStyle name="Normal 2 2 2 2 2 2 2 2 2 2 2 24 2 2 2" xfId="17209" xr:uid="{5379F95A-C6FB-4145-849A-8EADA058FE96}"/>
    <cellStyle name="Normal 2 2 2 2 2 2 2 2 2 2 2 24 2 2 3" xfId="17210" xr:uid="{A9C630CD-707C-4C9D-91D3-2764011FE0DB}"/>
    <cellStyle name="Normal 2 2 2 2 2 2 2 2 2 2 2 24 2 3" xfId="17211" xr:uid="{F9284EB2-9BC8-4411-95D4-66415AB3D73A}"/>
    <cellStyle name="Normal 2 2 2 2 2 2 2 2 2 2 2 24 2 4" xfId="17212" xr:uid="{DE303C55-60C5-4B2B-93BF-4DE112B3920B}"/>
    <cellStyle name="Normal 2 2 2 2 2 2 2 2 2 2 2 24 2 5" xfId="17213" xr:uid="{D442CEE1-046E-44B5-9562-8940506C0195}"/>
    <cellStyle name="Normal 2 2 2 2 2 2 2 2 2 2 2 24 2 6" xfId="17214" xr:uid="{F14B4360-E562-45D2-B44F-3404CDFC68AE}"/>
    <cellStyle name="Normal 2 2 2 2 2 2 2 2 2 2 2 24 2 7" xfId="17215" xr:uid="{CBBE5095-BFAC-480C-941D-7A9B96C6C945}"/>
    <cellStyle name="Normal 2 2 2 2 2 2 2 2 2 2 2 24 2 8" xfId="17216" xr:uid="{4C062D98-CD54-4508-ABAD-93F271250B5D}"/>
    <cellStyle name="Normal 2 2 2 2 2 2 2 2 2 2 2 24 2 9" xfId="17217" xr:uid="{EE727815-3C85-495E-BEA7-113943956F9E}"/>
    <cellStyle name="Normal 2 2 2 2 2 2 2 2 2 2 2 24 3" xfId="17218" xr:uid="{8217FD51-7015-4A26-A183-B3AA02D8275C}"/>
    <cellStyle name="Normal 2 2 2 2 2 2 2 2 2 2 2 24 4" xfId="17219" xr:uid="{9D6B68BE-00AB-4451-B31E-4D4A7C4CBB8A}"/>
    <cellStyle name="Normal 2 2 2 2 2 2 2 2 2 2 2 24 5" xfId="17220" xr:uid="{C5FB9C73-5269-4014-BF9A-F175BA49F26E}"/>
    <cellStyle name="Normal 2 2 2 2 2 2 2 2 2 2 2 24 5 2" xfId="17221" xr:uid="{AEC5E5D8-D95B-4DB9-BA59-48A5237E55BB}"/>
    <cellStyle name="Normal 2 2 2 2 2 2 2 2 2 2 2 24 5 3" xfId="17222" xr:uid="{ED42AEB5-A711-4FF4-A49D-1CB0C18B409C}"/>
    <cellStyle name="Normal 2 2 2 2 2 2 2 2 2 2 2 24 6" xfId="17223" xr:uid="{17EF1F51-241B-4623-967F-4D59557C2CE5}"/>
    <cellStyle name="Normal 2 2 2 2 2 2 2 2 2 2 2 24 7" xfId="17224" xr:uid="{30125D9B-CAEC-4F9A-B6C4-63CFC7D1385A}"/>
    <cellStyle name="Normal 2 2 2 2 2 2 2 2 2 2 2 24 8" xfId="17225" xr:uid="{5F8E8017-87AE-4BFE-A182-38944EFEA89E}"/>
    <cellStyle name="Normal 2 2 2 2 2 2 2 2 2 2 2 24 9" xfId="17226" xr:uid="{E0A7EE25-53D2-47ED-B383-A43F6F8EEBF4}"/>
    <cellStyle name="Normal 2 2 2 2 2 2 2 2 2 2 2 25" xfId="17227" xr:uid="{44C74A7A-2A3B-41DE-90CC-444FBA902E14}"/>
    <cellStyle name="Normal 2 2 2 2 2 2 2 2 2 2 2 26" xfId="17228" xr:uid="{6369AE4F-05A0-4534-BFBC-7C72EAFB459E}"/>
    <cellStyle name="Normal 2 2 2 2 2 2 2 2 2 2 2 27" xfId="17229" xr:uid="{256E41B2-804E-4740-B083-FDE323C14206}"/>
    <cellStyle name="Normal 2 2 2 2 2 2 2 2 2 2 2 27 2" xfId="17230" xr:uid="{88735518-7822-4A9C-A847-B5D9F6F61971}"/>
    <cellStyle name="Normal 2 2 2 2 2 2 2 2 2 2 2 27 2 2" xfId="17231" xr:uid="{FB7A8080-75FF-4A81-9D9D-EE43A713DB24}"/>
    <cellStyle name="Normal 2 2 2 2 2 2 2 2 2 2 2 27 2 3" xfId="17232" xr:uid="{98264C55-251D-4B26-8080-375A08EE81A0}"/>
    <cellStyle name="Normal 2 2 2 2 2 2 2 2 2 2 2 27 3" xfId="17233" xr:uid="{C4F3BD20-FA39-4AB8-9CFE-0610E90C09BD}"/>
    <cellStyle name="Normal 2 2 2 2 2 2 2 2 2 2 2 27 4" xfId="17234" xr:uid="{9ADC079C-2B0E-417E-B405-77B6F9A75783}"/>
    <cellStyle name="Normal 2 2 2 2 2 2 2 2 2 2 2 27 5" xfId="17235" xr:uid="{3C3137A8-0318-46D9-B62F-A6B0F568AF78}"/>
    <cellStyle name="Normal 2 2 2 2 2 2 2 2 2 2 2 27 6" xfId="17236" xr:uid="{BF108445-5A2A-4BAC-9DBF-BBB9B53F518D}"/>
    <cellStyle name="Normal 2 2 2 2 2 2 2 2 2 2 2 27 7" xfId="17237" xr:uid="{584A0107-B9CD-4B91-9634-71A5848B5C84}"/>
    <cellStyle name="Normal 2 2 2 2 2 2 2 2 2 2 2 27 8" xfId="17238" xr:uid="{A0503754-2025-4F6F-98DF-FA45E77D0116}"/>
    <cellStyle name="Normal 2 2 2 2 2 2 2 2 2 2 2 27 9" xfId="17239" xr:uid="{7AEF14D5-3A85-4591-A6FC-6EA2F2DDB71F}"/>
    <cellStyle name="Normal 2 2 2 2 2 2 2 2 2 2 2 28" xfId="17240" xr:uid="{993FC3C6-3A01-4D02-9F6F-3521A67F9D81}"/>
    <cellStyle name="Normal 2 2 2 2 2 2 2 2 2 2 2 29" xfId="17241" xr:uid="{1F805934-45F4-41E7-9D6B-140F66C1DCDB}"/>
    <cellStyle name="Normal 2 2 2 2 2 2 2 2 2 2 2 29 2" xfId="17242" xr:uid="{7E0AFB3F-8EC6-4A63-ADD0-FBAD11792789}"/>
    <cellStyle name="Normal 2 2 2 2 2 2 2 2 2 2 2 29 3" xfId="17243" xr:uid="{7329E65A-0D11-4FB6-A33B-C337201FC425}"/>
    <cellStyle name="Normal 2 2 2 2 2 2 2 2 2 2 2 3" xfId="17244" xr:uid="{D3E28E32-7DBF-4ECF-894F-49409F9C516C}"/>
    <cellStyle name="Normal 2 2 2 2 2 2 2 2 2 2 2 3 2" xfId="17245" xr:uid="{D0CE3C08-90CE-4EB9-B4DD-9C88650D6081}"/>
    <cellStyle name="Normal 2 2 2 2 2 2 2 2 2 2 2 3 3" xfId="17246" xr:uid="{F0138766-71D0-4277-B705-27F5A39D0065}"/>
    <cellStyle name="Normal 2 2 2 2 2 2 2 2 2 2 2 3 4" xfId="17247" xr:uid="{CE6570B4-7FF7-4104-87B3-DAE054B95F07}"/>
    <cellStyle name="Normal 2 2 2 2 2 2 2 2 2 2 2 3 5" xfId="17248" xr:uid="{83E77F49-A153-4C88-8AB0-84A03C968845}"/>
    <cellStyle name="Normal 2 2 2 2 2 2 2 2 2 2 2 3 6" xfId="17249" xr:uid="{6B0E9A9D-728A-4034-9718-FCB6B5074293}"/>
    <cellStyle name="Normal 2 2 2 2 2 2 2 2 2 2 2 30" xfId="17250" xr:uid="{FB392D44-0CCF-4C5C-B571-B467C25FB309}"/>
    <cellStyle name="Normal 2 2 2 2 2 2 2 2 2 2 2 31" xfId="17251" xr:uid="{A3223719-3B5C-4A08-9ADD-9BA06B9A8E79}"/>
    <cellStyle name="Normal 2 2 2 2 2 2 2 2 2 2 2 32" xfId="17252" xr:uid="{E45E7AC8-D2C3-43B4-8E85-6DFF4DEE0159}"/>
    <cellStyle name="Normal 2 2 2 2 2 2 2 2 2 2 2 33" xfId="17253" xr:uid="{1F517688-7E3D-4332-A22C-2E63933D5088}"/>
    <cellStyle name="Normal 2 2 2 2 2 2 2 2 2 2 2 34" xfId="17254" xr:uid="{B19CE835-D72A-4562-AE7F-FAF0B7BF25E6}"/>
    <cellStyle name="Normal 2 2 2 2 2 2 2 2 2 2 2 35" xfId="17255" xr:uid="{4E68E51C-AB74-4F7F-B04D-56D880FF7A30}"/>
    <cellStyle name="Normal 2 2 2 2 2 2 2 2 2 2 2 4" xfId="17256" xr:uid="{B3F30B3F-86DA-4F14-BE48-4B62771A2AEF}"/>
    <cellStyle name="Normal 2 2 2 2 2 2 2 2 2 2 2 4 2" xfId="17257" xr:uid="{5A2DC504-FDC4-4D85-A838-62CABDC0CB58}"/>
    <cellStyle name="Normal 2 2 2 2 2 2 2 2 2 2 2 4 3" xfId="17258" xr:uid="{C4B92069-84D0-47D6-9F8C-699D2EE899B3}"/>
    <cellStyle name="Normal 2 2 2 2 2 2 2 2 2 2 2 4 4" xfId="17259" xr:uid="{4C4221F3-B90F-4ABD-A348-937C7D24CA81}"/>
    <cellStyle name="Normal 2 2 2 2 2 2 2 2 2 2 2 4 5" xfId="17260" xr:uid="{FC09D859-5A75-4B3F-86BE-F2D0C97FCD28}"/>
    <cellStyle name="Normal 2 2 2 2 2 2 2 2 2 2 2 4 6" xfId="17261" xr:uid="{BB9A902A-3C4C-4F2F-9B5D-EA51D0B013BE}"/>
    <cellStyle name="Normal 2 2 2 2 2 2 2 2 2 2 2 5" xfId="17262" xr:uid="{5BC77324-7128-4099-B7B0-956E9D8770AD}"/>
    <cellStyle name="Normal 2 2 2 2 2 2 2 2 2 2 2 5 2" xfId="17263" xr:uid="{600E9DF3-9694-47CD-9C03-14E9A0C07BD7}"/>
    <cellStyle name="Normal 2 2 2 2 2 2 2 2 2 2 2 5 3" xfId="17264" xr:uid="{3975A7B7-1C86-4E41-96F3-008F079809BF}"/>
    <cellStyle name="Normal 2 2 2 2 2 2 2 2 2 2 2 5 4" xfId="17265" xr:uid="{BF7C0380-07C2-48D0-A0BE-F268B3AD9A41}"/>
    <cellStyle name="Normal 2 2 2 2 2 2 2 2 2 2 2 5 5" xfId="17266" xr:uid="{CDCF0BA3-254F-44E7-98EB-8DF8FFF74D82}"/>
    <cellStyle name="Normal 2 2 2 2 2 2 2 2 2 2 2 5 6" xfId="17267" xr:uid="{020C3D40-6E15-48E3-A0D5-D90CF45A86F2}"/>
    <cellStyle name="Normal 2 2 2 2 2 2 2 2 2 2 2 6" xfId="17268" xr:uid="{7BBBA333-7284-4920-9D02-6B63B2A8CF07}"/>
    <cellStyle name="Normal 2 2 2 2 2 2 2 2 2 2 2 6 2" xfId="17269" xr:uid="{0A1C9668-63D6-4DDF-9262-FF2181A19E54}"/>
    <cellStyle name="Normal 2 2 2 2 2 2 2 2 2 2 2 6 3" xfId="17270" xr:uid="{778DA585-B886-4367-B1E6-04003FA47EEF}"/>
    <cellStyle name="Normal 2 2 2 2 2 2 2 2 2 2 2 6 4" xfId="17271" xr:uid="{A5F27F1C-7C89-49FA-8687-6DC9A00E65C5}"/>
    <cellStyle name="Normal 2 2 2 2 2 2 2 2 2 2 2 6 5" xfId="17272" xr:uid="{A8EDDEB0-25F2-4CD4-84E9-C44BFBC100AD}"/>
    <cellStyle name="Normal 2 2 2 2 2 2 2 2 2 2 2 6 6" xfId="17273" xr:uid="{470A1827-5E4D-4AAC-BA55-AF0CD641B4DE}"/>
    <cellStyle name="Normal 2 2 2 2 2 2 2 2 2 2 2 7" xfId="17274" xr:uid="{86078A54-711A-4972-B094-C72FF052BEFA}"/>
    <cellStyle name="Normal 2 2 2 2 2 2 2 2 2 2 2 7 2" xfId="17275" xr:uid="{E69074FE-F80F-41F1-B4D7-1B8BD476ED7B}"/>
    <cellStyle name="Normal 2 2 2 2 2 2 2 2 2 2 2 7 3" xfId="17276" xr:uid="{11720A06-20CD-42E8-B186-11EAD538B645}"/>
    <cellStyle name="Normal 2 2 2 2 2 2 2 2 2 2 2 7 4" xfId="17277" xr:uid="{62F3C0C4-9432-459D-9BAF-5929BFB362A9}"/>
    <cellStyle name="Normal 2 2 2 2 2 2 2 2 2 2 2 7 5" xfId="17278" xr:uid="{50A65BDF-7A9B-49C4-90D6-C3A46BDD71C7}"/>
    <cellStyle name="Normal 2 2 2 2 2 2 2 2 2 2 2 7 6" xfId="17279" xr:uid="{0EC5691D-0904-4FAA-A757-383A90CC1566}"/>
    <cellStyle name="Normal 2 2 2 2 2 2 2 2 2 2 2 8" xfId="17280" xr:uid="{B053BDDB-0853-4F81-A85A-E984FB85ABC7}"/>
    <cellStyle name="Normal 2 2 2 2 2 2 2 2 2 2 2 8 2" xfId="17281" xr:uid="{29CC109E-37DB-414D-A2A7-A4A7EE10AD44}"/>
    <cellStyle name="Normal 2 2 2 2 2 2 2 2 2 2 2 8 3" xfId="17282" xr:uid="{CDB4ADC4-3613-4CEB-BD56-3B672797B478}"/>
    <cellStyle name="Normal 2 2 2 2 2 2 2 2 2 2 2 8 4" xfId="17283" xr:uid="{F9738FEB-671A-4199-BC8D-B23B02342A16}"/>
    <cellStyle name="Normal 2 2 2 2 2 2 2 2 2 2 2 8 5" xfId="17284" xr:uid="{389D4E94-B64F-4DDB-A026-39AAD1A205C3}"/>
    <cellStyle name="Normal 2 2 2 2 2 2 2 2 2 2 2 8 6" xfId="17285" xr:uid="{30773441-B02A-4475-9CCE-9CD05D94716A}"/>
    <cellStyle name="Normal 2 2 2 2 2 2 2 2 2 2 2 9" xfId="17286" xr:uid="{31F1C5B5-7D0A-4343-901B-21E752F361F3}"/>
    <cellStyle name="Normal 2 2 2 2 2 2 2 2 2 2 2 9 2" xfId="17287" xr:uid="{0FFB7477-CD0D-45D8-9C57-84B66857FA64}"/>
    <cellStyle name="Normal 2 2 2 2 2 2 2 2 2 2 2 9 3" xfId="17288" xr:uid="{C9AED26C-AB6E-4583-A783-C51DD6952223}"/>
    <cellStyle name="Normal 2 2 2 2 2 2 2 2 2 2 2 9 4" xfId="17289" xr:uid="{B3CE36A1-19E0-4B16-B2F2-0DC3E611C166}"/>
    <cellStyle name="Normal 2 2 2 2 2 2 2 2 2 2 2 9 5" xfId="17290" xr:uid="{0B8F5C1A-EFC7-43D3-907C-7642833ECD74}"/>
    <cellStyle name="Normal 2 2 2 2 2 2 2 2 2 2 2 9 6" xfId="17291" xr:uid="{0CEBC723-3ADB-4BAC-850C-80C7CA44B5B3}"/>
    <cellStyle name="Normal 2 2 2 2 2 2 2 2 2 2 20" xfId="17292" xr:uid="{6B984716-1170-4E0D-8DE4-625872B67E77}"/>
    <cellStyle name="Normal 2 2 2 2 2 2 2 2 2 2 21" xfId="17293" xr:uid="{4A95EC56-B354-4CBB-B93A-92D60F24C10F}"/>
    <cellStyle name="Normal 2 2 2 2 2 2 2 2 2 2 22" xfId="17294" xr:uid="{ED1ECDDB-ABBF-490B-AB24-8CF4AAC1005F}"/>
    <cellStyle name="Normal 2 2 2 2 2 2 2 2 2 2 23" xfId="17295" xr:uid="{4751F63D-40AC-4E5A-B134-B362653F05F6}"/>
    <cellStyle name="Normal 2 2 2 2 2 2 2 2 2 2 24" xfId="17296" xr:uid="{85BCA6E2-0D98-4CF2-B261-B323C3EB3235}"/>
    <cellStyle name="Normal 2 2 2 2 2 2 2 2 2 2 25" xfId="17297" xr:uid="{3DC3F046-1D3C-4B6E-A9F9-D89F148C48EB}"/>
    <cellStyle name="Normal 2 2 2 2 2 2 2 2 2 2 26" xfId="17298" xr:uid="{089232E2-A303-4DC9-BF6A-511941B859E4}"/>
    <cellStyle name="Normal 2 2 2 2 2 2 2 2 2 2 27" xfId="17299" xr:uid="{EE4866AB-E3C7-4136-8376-4C766E382927}"/>
    <cellStyle name="Normal 2 2 2 2 2 2 2 2 2 2 27 2" xfId="17300" xr:uid="{24AACAC3-8708-4748-8631-CC440CF138F9}"/>
    <cellStyle name="Normal 2 2 2 2 2 2 2 2 2 2 27 3" xfId="17301" xr:uid="{C7295EF2-FB54-40FF-86AE-C40243D00894}"/>
    <cellStyle name="Normal 2 2 2 2 2 2 2 2 2 2 27 4" xfId="17302" xr:uid="{634354FD-9964-4BBE-A967-CD3123F8657B}"/>
    <cellStyle name="Normal 2 2 2 2 2 2 2 2 2 2 27 5" xfId="17303" xr:uid="{5403E05F-6C3D-47B6-B74C-FC35119944FB}"/>
    <cellStyle name="Normal 2 2 2 2 2 2 2 2 2 2 27 6" xfId="17304" xr:uid="{70665799-BEA7-4E82-9F94-4CDBF83B5326}"/>
    <cellStyle name="Normal 2 2 2 2 2 2 2 2 2 2 27 7" xfId="17305" xr:uid="{D36416B3-0713-47CB-A3A1-4154A76386CE}"/>
    <cellStyle name="Normal 2 2 2 2 2 2 2 2 2 2 28" xfId="17306" xr:uid="{E6B1D948-3978-4541-AE2D-17C57BC59BBC}"/>
    <cellStyle name="Normal 2 2 2 2 2 2 2 2 2 2 28 10" xfId="17307" xr:uid="{8478ADFE-8DCC-4198-8DF8-0BEA3229A0CD}"/>
    <cellStyle name="Normal 2 2 2 2 2 2 2 2 2 2 28 11" xfId="17308" xr:uid="{8CB145AC-95D2-4781-B734-D3A102B07EDD}"/>
    <cellStyle name="Normal 2 2 2 2 2 2 2 2 2 2 28 2" xfId="17309" xr:uid="{84B83266-C3D8-46BC-95BD-B1B890A18FC3}"/>
    <cellStyle name="Normal 2 2 2 2 2 2 2 2 2 2 28 2 2" xfId="17310" xr:uid="{C3606D9D-6BB4-4B86-B263-A32B8E6C6DE4}"/>
    <cellStyle name="Normal 2 2 2 2 2 2 2 2 2 2 28 2 2 2" xfId="17311" xr:uid="{16593822-C8EB-4A96-ACE4-357EBABF86E5}"/>
    <cellStyle name="Normal 2 2 2 2 2 2 2 2 2 2 28 2 2 3" xfId="17312" xr:uid="{47CAC924-8F0B-4DD0-A0F3-ED7E1BBEBE6B}"/>
    <cellStyle name="Normal 2 2 2 2 2 2 2 2 2 2 28 2 3" xfId="17313" xr:uid="{36F74331-905D-4E76-A705-91373341380A}"/>
    <cellStyle name="Normal 2 2 2 2 2 2 2 2 2 2 28 2 4" xfId="17314" xr:uid="{07C87C38-0C4E-401D-86B2-4B94A33AA3C3}"/>
    <cellStyle name="Normal 2 2 2 2 2 2 2 2 2 2 28 2 5" xfId="17315" xr:uid="{B1854EDC-1B54-498D-AFBA-39838371E2FF}"/>
    <cellStyle name="Normal 2 2 2 2 2 2 2 2 2 2 28 2 6" xfId="17316" xr:uid="{A9A84791-D896-4B5E-B81B-34B88626556D}"/>
    <cellStyle name="Normal 2 2 2 2 2 2 2 2 2 2 28 2 7" xfId="17317" xr:uid="{54AF360C-46B6-4DD1-8063-72520F5F9AF1}"/>
    <cellStyle name="Normal 2 2 2 2 2 2 2 2 2 2 28 2 8" xfId="17318" xr:uid="{8B44720A-0600-4CF7-B5ED-69F3E93FB12C}"/>
    <cellStyle name="Normal 2 2 2 2 2 2 2 2 2 2 28 2 9" xfId="17319" xr:uid="{F73DF7DC-C0ED-424F-A15C-0A6E7841210A}"/>
    <cellStyle name="Normal 2 2 2 2 2 2 2 2 2 2 28 3" xfId="17320" xr:uid="{69334728-5617-4566-882D-9958FD907757}"/>
    <cellStyle name="Normal 2 2 2 2 2 2 2 2 2 2 28 4" xfId="17321" xr:uid="{08DFBC24-EE32-4987-8FC4-8416C012349E}"/>
    <cellStyle name="Normal 2 2 2 2 2 2 2 2 2 2 28 5" xfId="17322" xr:uid="{7CFDD409-CB9E-4A88-8BC0-D42B1B9C9139}"/>
    <cellStyle name="Normal 2 2 2 2 2 2 2 2 2 2 28 5 2" xfId="17323" xr:uid="{8F809CC8-203B-42FA-A9A9-07D8C3744E62}"/>
    <cellStyle name="Normal 2 2 2 2 2 2 2 2 2 2 28 5 3" xfId="17324" xr:uid="{9636B586-FF21-47FF-8088-F482B38E13F7}"/>
    <cellStyle name="Normal 2 2 2 2 2 2 2 2 2 2 28 6" xfId="17325" xr:uid="{201EC346-A2FF-4B66-B0FE-5FBDC36A2181}"/>
    <cellStyle name="Normal 2 2 2 2 2 2 2 2 2 2 28 7" xfId="17326" xr:uid="{BB1C2058-444B-4B8F-B30E-0FEAEEE45AF1}"/>
    <cellStyle name="Normal 2 2 2 2 2 2 2 2 2 2 28 8" xfId="17327" xr:uid="{967F72E6-DCC2-45FC-A45F-4925EB3E1034}"/>
    <cellStyle name="Normal 2 2 2 2 2 2 2 2 2 2 28 9" xfId="17328" xr:uid="{3FBA3659-FCFB-4DFB-8948-6C0308E2D64D}"/>
    <cellStyle name="Normal 2 2 2 2 2 2 2 2 2 2 29" xfId="17329" xr:uid="{D3A78D70-F499-4D5E-BB26-617234BD576E}"/>
    <cellStyle name="Normal 2 2 2 2 2 2 2 2 2 2 3" xfId="17330" xr:uid="{394AE7AF-0A5F-4BDF-8B34-F679101DD867}"/>
    <cellStyle name="Normal 2 2 2 2 2 2 2 2 2 2 3 2" xfId="17331" xr:uid="{6E799CF4-DD81-4EBD-8F3F-ECB7C34EBD2B}"/>
    <cellStyle name="Normal 2 2 2 2 2 2 2 2 2 2 3 3" xfId="17332" xr:uid="{CAEFFD08-2C2A-4C5F-B9FE-029140EA8ABE}"/>
    <cellStyle name="Normal 2 2 2 2 2 2 2 2 2 2 3 4" xfId="17333" xr:uid="{F2D93775-480C-47B1-B9DC-D7DA669C8D56}"/>
    <cellStyle name="Normal 2 2 2 2 2 2 2 2 2 2 3 5" xfId="17334" xr:uid="{E7066241-E8E6-4B20-907D-F44B3D499395}"/>
    <cellStyle name="Normal 2 2 2 2 2 2 2 2 2 2 3 6" xfId="17335" xr:uid="{597B318C-AD7B-41C7-8EA7-48D66A73B351}"/>
    <cellStyle name="Normal 2 2 2 2 2 2 2 2 2 2 30" xfId="17336" xr:uid="{7C6F37DA-FBF5-4194-8AA9-784D7D08B3C0}"/>
    <cellStyle name="Normal 2 2 2 2 2 2 2 2 2 2 31" xfId="17337" xr:uid="{63B31B22-3FE3-487F-BAD5-C79BFD3A8F98}"/>
    <cellStyle name="Normal 2 2 2 2 2 2 2 2 2 2 31 2" xfId="17338" xr:uid="{CF1561AB-BE2A-49B1-83E1-618C527CF69A}"/>
    <cellStyle name="Normal 2 2 2 2 2 2 2 2 2 2 31 2 2" xfId="17339" xr:uid="{8A922C7C-9BCE-4E0F-AAC0-874BC879468B}"/>
    <cellStyle name="Normal 2 2 2 2 2 2 2 2 2 2 31 2 3" xfId="17340" xr:uid="{06F5011E-9517-404B-BFF6-F6FF40DF56BA}"/>
    <cellStyle name="Normal 2 2 2 2 2 2 2 2 2 2 31 3" xfId="17341" xr:uid="{138AB5A7-559E-4E2B-977B-ABB19EB909A1}"/>
    <cellStyle name="Normal 2 2 2 2 2 2 2 2 2 2 31 4" xfId="17342" xr:uid="{9CF186DE-60D0-4F9E-AB70-4C0F4A612A70}"/>
    <cellStyle name="Normal 2 2 2 2 2 2 2 2 2 2 31 5" xfId="17343" xr:uid="{FEE247F3-9D86-4F58-A201-9D1EDAC688B6}"/>
    <cellStyle name="Normal 2 2 2 2 2 2 2 2 2 2 31 6" xfId="17344" xr:uid="{05A70403-8A86-4812-B12A-6BE230958E9A}"/>
    <cellStyle name="Normal 2 2 2 2 2 2 2 2 2 2 31 7" xfId="17345" xr:uid="{7E1A9120-EDFF-4A01-AE3D-02F55E6C0031}"/>
    <cellStyle name="Normal 2 2 2 2 2 2 2 2 2 2 31 8" xfId="17346" xr:uid="{440D0CD3-384F-45C3-AABA-119BB5E816DE}"/>
    <cellStyle name="Normal 2 2 2 2 2 2 2 2 2 2 31 9" xfId="17347" xr:uid="{D88BDCDB-9AD8-4C75-AE6A-1F7868D62B67}"/>
    <cellStyle name="Normal 2 2 2 2 2 2 2 2 2 2 32" xfId="17348" xr:uid="{7D9C08C3-D18A-44DF-9796-CC34DBE305C8}"/>
    <cellStyle name="Normal 2 2 2 2 2 2 2 2 2 2 33" xfId="17349" xr:uid="{BBDD943E-2579-47CD-A122-9697207D5FBB}"/>
    <cellStyle name="Normal 2 2 2 2 2 2 2 2 2 2 33 2" xfId="17350" xr:uid="{8F806782-263A-4FEC-B047-3AB5F635E31B}"/>
    <cellStyle name="Normal 2 2 2 2 2 2 2 2 2 2 33 3" xfId="17351" xr:uid="{241D9DC6-15E2-46E3-8D38-A69010DB4E2A}"/>
    <cellStyle name="Normal 2 2 2 2 2 2 2 2 2 2 34" xfId="17352" xr:uid="{B96AC504-3C78-45AA-8CC9-D43418B2134F}"/>
    <cellStyle name="Normal 2 2 2 2 2 2 2 2 2 2 35" xfId="17353" xr:uid="{606C9F5B-DAF1-415E-9979-81DB9B5C4BBE}"/>
    <cellStyle name="Normal 2 2 2 2 2 2 2 2 2 2 36" xfId="17354" xr:uid="{67AA63EC-180A-40FC-B978-1C1CC90EA80F}"/>
    <cellStyle name="Normal 2 2 2 2 2 2 2 2 2 2 37" xfId="17355" xr:uid="{C1F5BF66-7FDD-4BC4-8570-0142A87915C5}"/>
    <cellStyle name="Normal 2 2 2 2 2 2 2 2 2 2 38" xfId="17356" xr:uid="{8F179DFF-7454-45CA-AA9E-A7474DCA2548}"/>
    <cellStyle name="Normal 2 2 2 2 2 2 2 2 2 2 39" xfId="17357" xr:uid="{9D1608E8-1AF6-4EED-BF91-F45067CEC2F4}"/>
    <cellStyle name="Normal 2 2 2 2 2 2 2 2 2 2 4" xfId="17358" xr:uid="{1C897942-BAFB-41B2-9487-C23C35620098}"/>
    <cellStyle name="Normal 2 2 2 2 2 2 2 2 2 2 4 2" xfId="17359" xr:uid="{8C662874-D8FA-4F49-A4F9-0F27F656B8EC}"/>
    <cellStyle name="Normal 2 2 2 2 2 2 2 2 2 2 4 3" xfId="17360" xr:uid="{64816118-C980-4EC9-8C7A-BFC757A045BF}"/>
    <cellStyle name="Normal 2 2 2 2 2 2 2 2 2 2 4 4" xfId="17361" xr:uid="{0F592AD5-760D-49AA-BAB4-D515E9A0F02C}"/>
    <cellStyle name="Normal 2 2 2 2 2 2 2 2 2 2 4 5" xfId="17362" xr:uid="{14D3BB7F-3595-4D76-A94C-C5BE6D51730A}"/>
    <cellStyle name="Normal 2 2 2 2 2 2 2 2 2 2 4 6" xfId="17363" xr:uid="{8D59E725-D55D-4868-9011-F18FE496629B}"/>
    <cellStyle name="Normal 2 2 2 2 2 2 2 2 2 2 5" xfId="17364" xr:uid="{36027E4A-46A7-4E7F-9BF0-147F8C2DDD2A}"/>
    <cellStyle name="Normal 2 2 2 2 2 2 2 2 2 2 5 2" xfId="17365" xr:uid="{BCE548F4-AE8B-4458-92B0-53B9C578EE19}"/>
    <cellStyle name="Normal 2 2 2 2 2 2 2 2 2 2 5 3" xfId="17366" xr:uid="{0338BC5C-96FA-4081-8EA3-84B0659B40BD}"/>
    <cellStyle name="Normal 2 2 2 2 2 2 2 2 2 2 5 4" xfId="17367" xr:uid="{64755C33-4C18-464E-8EF8-DD68307FD56F}"/>
    <cellStyle name="Normal 2 2 2 2 2 2 2 2 2 2 5 5" xfId="17368" xr:uid="{1AA1CC24-72AC-4B44-A4CE-1FE448202D4F}"/>
    <cellStyle name="Normal 2 2 2 2 2 2 2 2 2 2 5 6" xfId="17369" xr:uid="{5B9243C1-BCA1-41DB-8AA3-916E7D228AF2}"/>
    <cellStyle name="Normal 2 2 2 2 2 2 2 2 2 2 6" xfId="17370" xr:uid="{C22EDF03-706F-4671-9EC4-F63338D93449}"/>
    <cellStyle name="Normal 2 2 2 2 2 2 2 2 2 2 6 2" xfId="17371" xr:uid="{EE6F6D37-D1CF-4667-873A-BD79AD427111}"/>
    <cellStyle name="Normal 2 2 2 2 2 2 2 2 2 2 6 3" xfId="17372" xr:uid="{73FEABBF-3E53-4C30-81A3-3AC59A73BE03}"/>
    <cellStyle name="Normal 2 2 2 2 2 2 2 2 2 2 6 4" xfId="17373" xr:uid="{444A8CC2-D9BC-4E63-A796-CC592E0BE5C9}"/>
    <cellStyle name="Normal 2 2 2 2 2 2 2 2 2 2 6 5" xfId="17374" xr:uid="{C7DA2BE4-6777-47BE-B5F4-1857BBE607DA}"/>
    <cellStyle name="Normal 2 2 2 2 2 2 2 2 2 2 6 6" xfId="17375" xr:uid="{84132C64-5986-4FFE-BC0D-AD8D792AC4C8}"/>
    <cellStyle name="Normal 2 2 2 2 2 2 2 2 2 2 7" xfId="17376" xr:uid="{64A24C9F-4434-4677-9A5E-1276008CD4D9}"/>
    <cellStyle name="Normal 2 2 2 2 2 2 2 2 2 2 7 2" xfId="17377" xr:uid="{BB21DD28-0913-4F70-AB71-DF40ACF45F26}"/>
    <cellStyle name="Normal 2 2 2 2 2 2 2 2 2 2 7 2 2" xfId="17378" xr:uid="{ABFFDEB3-276E-4DD9-B686-02D8A8ACC677}"/>
    <cellStyle name="Normal 2 2 2 2 2 2 2 2 2 2 7 2 2 2" xfId="17379" xr:uid="{72198771-725F-4B6B-8DD1-038C7078B5B0}"/>
    <cellStyle name="Normal 2 2 2 2 2 2 2 2 2 2 7 2 2 3" xfId="17380" xr:uid="{66378DB7-9F46-4C3F-A396-8E5426870203}"/>
    <cellStyle name="Normal 2 2 2 2 2 2 2 2 2 2 7 2 2 4" xfId="17381" xr:uid="{25137E63-7223-4D1D-9325-72E7716BAFAB}"/>
    <cellStyle name="Normal 2 2 2 2 2 2 2 2 2 2 7 2 2 5" xfId="17382" xr:uid="{3AAAD85A-F931-472E-B72B-C38545B5DD4A}"/>
    <cellStyle name="Normal 2 2 2 2 2 2 2 2 2 2 7 2 2 6" xfId="17383" xr:uid="{73FB2B65-EFE4-4CC9-BCC1-B448239CF813}"/>
    <cellStyle name="Normal 2 2 2 2 2 2 2 2 2 2 7 2 2 7" xfId="17384" xr:uid="{060BD046-9484-4DBC-9E8D-9CE31E1E57A6}"/>
    <cellStyle name="Normal 2 2 2 2 2 2 2 2 2 2 7 3" xfId="17385" xr:uid="{67D58A4C-EBA3-4FF9-B118-5B6F7E09DF1E}"/>
    <cellStyle name="Normal 2 2 2 2 2 2 2 2 2 2 7 4" xfId="17386" xr:uid="{B60EE923-7C6A-46A0-B360-5A08C2A8F9B5}"/>
    <cellStyle name="Normal 2 2 2 2 2 2 2 2 2 2 7 5" xfId="17387" xr:uid="{57372447-714E-4982-983F-97FE1B41FBA9}"/>
    <cellStyle name="Normal 2 2 2 2 2 2 2 2 2 2 7 6" xfId="17388" xr:uid="{B38EC97C-95C0-43C3-AFFB-0B61AF7F676B}"/>
    <cellStyle name="Normal 2 2 2 2 2 2 2 2 2 2 7 7" xfId="17389" xr:uid="{32837356-AAFC-4D53-AF3A-133923070678}"/>
    <cellStyle name="Normal 2 2 2 2 2 2 2 2 2 2 7 8" xfId="17390" xr:uid="{4BFA3879-F642-43A1-A28E-B2A88F45DFE8}"/>
    <cellStyle name="Normal 2 2 2 2 2 2 2 2 2 2 8" xfId="17391" xr:uid="{5EDA65E6-8F3B-4A9A-BF98-F8ACDB2ECF01}"/>
    <cellStyle name="Normal 2 2 2 2 2 2 2 2 2 2 9" xfId="17392" xr:uid="{3DCD565D-18C7-4D0E-9D1A-1BF1BAD5ADAE}"/>
    <cellStyle name="Normal 2 2 2 2 2 2 2 2 2 20" xfId="17393" xr:uid="{88973E5B-9A46-48DC-A24C-0BA161667003}"/>
    <cellStyle name="Normal 2 2 2 2 2 2 2 2 2 21" xfId="17394" xr:uid="{0699FC74-6533-489C-BCF9-577E5C0D6B5A}"/>
    <cellStyle name="Normal 2 2 2 2 2 2 2 2 2 22" xfId="17395" xr:uid="{D4F3577D-7A12-4695-A9ED-077EFE775F78}"/>
    <cellStyle name="Normal 2 2 2 2 2 2 2 2 2 22 2" xfId="17396" xr:uid="{F2F7CB3A-1D94-41F3-A580-D6E3147AD8E4}"/>
    <cellStyle name="Normal 2 2 2 2 2 2 2 2 2 22 2 2" xfId="17397" xr:uid="{6E47911F-3E4A-44F1-9228-D1C9C23D8FE6}"/>
    <cellStyle name="Normal 2 2 2 2 2 2 2 2 2 22 2 2 2" xfId="17398" xr:uid="{B8556D06-8D2C-4B50-9F2F-2F4C4B2E0AD7}"/>
    <cellStyle name="Normal 2 2 2 2 2 2 2 2 2 22 2 2 2 2" xfId="17399" xr:uid="{251DA211-1812-456B-BCFB-0597AEBEADAD}"/>
    <cellStyle name="Normal 2 2 2 2 2 2 2 2 2 22 2 2 2 3" xfId="17400" xr:uid="{836A8E04-C9D6-45A6-BE2F-9859693227FD}"/>
    <cellStyle name="Normal 2 2 2 2 2 2 2 2 2 22 2 2 2 4" xfId="17401" xr:uid="{56238EC3-38D7-4F7A-A75E-E7179F3EC344}"/>
    <cellStyle name="Normal 2 2 2 2 2 2 2 2 2 22 2 2 2 5" xfId="17402" xr:uid="{3A316718-958B-477E-AC0F-6AA7AC456D3C}"/>
    <cellStyle name="Normal 2 2 2 2 2 2 2 2 2 22 2 2 2 6" xfId="17403" xr:uid="{CA08267D-5E48-4212-A081-FDED220609E5}"/>
    <cellStyle name="Normal 2 2 2 2 2 2 2 2 2 22 2 3" xfId="17404" xr:uid="{818CFAD3-D862-44C8-9635-A31D483B0C01}"/>
    <cellStyle name="Normal 2 2 2 2 2 2 2 2 2 22 2 4" xfId="17405" xr:uid="{C8028346-0ACD-4B69-88EA-55433522206B}"/>
    <cellStyle name="Normal 2 2 2 2 2 2 2 2 2 22 2 5" xfId="17406" xr:uid="{E9FFE84C-2F85-498D-9E03-95374F046E61}"/>
    <cellStyle name="Normal 2 2 2 2 2 2 2 2 2 22 2 6" xfId="17407" xr:uid="{8D08453A-4244-49A2-BF47-0DE34207AA99}"/>
    <cellStyle name="Normal 2 2 2 2 2 2 2 2 2 22 2 7" xfId="17408" xr:uid="{9F061098-E223-46E9-8E05-F30AD73972A2}"/>
    <cellStyle name="Normal 2 2 2 2 2 2 2 2 2 22 3" xfId="17409" xr:uid="{572D0AAF-0F03-4A09-A16B-79DAC4346543}"/>
    <cellStyle name="Normal 2 2 2 2 2 2 2 2 2 22 3 2" xfId="17410" xr:uid="{8D887F7B-23C7-43F6-9982-3A318D3CA560}"/>
    <cellStyle name="Normal 2 2 2 2 2 2 2 2 2 22 3 3" xfId="17411" xr:uid="{A958B8A7-9AFE-4845-9DA9-341BA50FE872}"/>
    <cellStyle name="Normal 2 2 2 2 2 2 2 2 2 22 3 4" xfId="17412" xr:uid="{DC5343EC-7DF3-4311-8AD7-B3DA7F2F6165}"/>
    <cellStyle name="Normal 2 2 2 2 2 2 2 2 2 22 3 5" xfId="17413" xr:uid="{3622300D-1EFB-4BF2-B6E0-8782AAA5C816}"/>
    <cellStyle name="Normal 2 2 2 2 2 2 2 2 2 22 3 6" xfId="17414" xr:uid="{17804B76-B535-489A-855A-800FD44C9F23}"/>
    <cellStyle name="Normal 2 2 2 2 2 2 2 2 2 23" xfId="17415" xr:uid="{58BA7DED-DDC0-47F3-89B8-29CBA98EC9E7}"/>
    <cellStyle name="Normal 2 2 2 2 2 2 2 2 2 23 2" xfId="17416" xr:uid="{220DD44E-6B4F-4C6C-9E82-FE8BA73805C8}"/>
    <cellStyle name="Normal 2 2 2 2 2 2 2 2 2 23 3" xfId="17417" xr:uid="{4C5761AA-9CE2-42E4-9CE0-B86A5AB283B4}"/>
    <cellStyle name="Normal 2 2 2 2 2 2 2 2 2 23 4" xfId="17418" xr:uid="{96737132-40D0-4C4B-A42E-16D13F356F6C}"/>
    <cellStyle name="Normal 2 2 2 2 2 2 2 2 2 23 5" xfId="17419" xr:uid="{A911DC21-236D-4B10-A304-4F4AC21BCD29}"/>
    <cellStyle name="Normal 2 2 2 2 2 2 2 2 2 23 6" xfId="17420" xr:uid="{C6739379-3B8B-4F9B-AEAB-C618FBE79387}"/>
    <cellStyle name="Normal 2 2 2 2 2 2 2 2 2 24" xfId="17421" xr:uid="{8AEA0B2C-C74D-458F-B47E-507D2406D2A4}"/>
    <cellStyle name="Normal 2 2 2 2 2 2 2 2 2 24 2" xfId="17422" xr:uid="{FF9B1651-7BAA-423E-82B7-F5DC954B3539}"/>
    <cellStyle name="Normal 2 2 2 2 2 2 2 2 2 24 3" xfId="17423" xr:uid="{1F8FFA35-7DC2-4C5C-972F-FDD8C0CF7F08}"/>
    <cellStyle name="Normal 2 2 2 2 2 2 2 2 2 24 4" xfId="17424" xr:uid="{6EBD5D86-E141-4DAD-B206-C20CEFF4D390}"/>
    <cellStyle name="Normal 2 2 2 2 2 2 2 2 2 24 5" xfId="17425" xr:uid="{ED042CBB-8D75-43CE-9E7E-3989F8AC6D32}"/>
    <cellStyle name="Normal 2 2 2 2 2 2 2 2 2 24 6" xfId="17426" xr:uid="{5C2FC582-C693-4A8F-AC6C-6D9F9AD07EBB}"/>
    <cellStyle name="Normal 2 2 2 2 2 2 2 2 2 25" xfId="17427" xr:uid="{A18EF678-57ED-4830-BC51-7743CAE9313E}"/>
    <cellStyle name="Normal 2 2 2 2 2 2 2 2 2 25 2" xfId="17428" xr:uid="{0C9765F8-A75A-4393-AD20-CC3558918CB1}"/>
    <cellStyle name="Normal 2 2 2 2 2 2 2 2 2 25 3" xfId="17429" xr:uid="{488227DC-9FD8-4EF4-A525-8EF21AC5A5E3}"/>
    <cellStyle name="Normal 2 2 2 2 2 2 2 2 2 25 4" xfId="17430" xr:uid="{24F010E6-0ED9-412F-8135-7A566543B20E}"/>
    <cellStyle name="Normal 2 2 2 2 2 2 2 2 2 25 5" xfId="17431" xr:uid="{F77B3A5F-9780-421A-997E-640F6075C53F}"/>
    <cellStyle name="Normal 2 2 2 2 2 2 2 2 2 25 6" xfId="17432" xr:uid="{23ED7DD7-955F-499F-84A0-01B7CEAED56D}"/>
    <cellStyle name="Normal 2 2 2 2 2 2 2 2 2 26" xfId="17433" xr:uid="{7B4645FA-7593-4C46-80B6-470D02CCB6D4}"/>
    <cellStyle name="Normal 2 2 2 2 2 2 2 2 2 26 2" xfId="17434" xr:uid="{E5730587-5865-4435-891B-90EB1D87C202}"/>
    <cellStyle name="Normal 2 2 2 2 2 2 2 2 2 26 3" xfId="17435" xr:uid="{B65CB58B-4B88-41CD-87C9-DDB053B14DFE}"/>
    <cellStyle name="Normal 2 2 2 2 2 2 2 2 2 26 4" xfId="17436" xr:uid="{5002508C-83DB-4F83-BACE-95CDF750D872}"/>
    <cellStyle name="Normal 2 2 2 2 2 2 2 2 2 26 5" xfId="17437" xr:uid="{CE7329E2-7216-4178-AEEE-D7CFFBBA60CB}"/>
    <cellStyle name="Normal 2 2 2 2 2 2 2 2 2 26 6" xfId="17438" xr:uid="{A958D098-E150-46E4-8C51-C6AA651B9B3C}"/>
    <cellStyle name="Normal 2 2 2 2 2 2 2 2 2 27" xfId="17439" xr:uid="{12B14FFF-BB5E-4A5B-BD34-347F424E3E0D}"/>
    <cellStyle name="Normal 2 2 2 2 2 2 2 2 2 27 2" xfId="17440" xr:uid="{017E0549-860F-4A95-B88A-AE4281D65062}"/>
    <cellStyle name="Normal 2 2 2 2 2 2 2 2 2 27 3" xfId="17441" xr:uid="{B13A62BA-A2AC-4153-A14F-B25182BE6806}"/>
    <cellStyle name="Normal 2 2 2 2 2 2 2 2 2 27 4" xfId="17442" xr:uid="{1D265473-9F1B-422D-9832-1620B50DFF9C}"/>
    <cellStyle name="Normal 2 2 2 2 2 2 2 2 2 27 5" xfId="17443" xr:uid="{D2CAD685-8FED-4B4D-968C-6D2F8D182619}"/>
    <cellStyle name="Normal 2 2 2 2 2 2 2 2 2 27 6" xfId="17444" xr:uid="{A882C3E4-21DA-4C0E-9C64-550CF70AD287}"/>
    <cellStyle name="Normal 2 2 2 2 2 2 2 2 2 28" xfId="17445" xr:uid="{D5F44DD9-AE9F-42DE-B6FD-1F659F66D4FE}"/>
    <cellStyle name="Normal 2 2 2 2 2 2 2 2 2 28 2" xfId="17446" xr:uid="{ECF994AB-CEE4-469A-90B8-14F118787517}"/>
    <cellStyle name="Normal 2 2 2 2 2 2 2 2 2 28 3" xfId="17447" xr:uid="{234111F1-26CC-40D2-86FF-A50E67DF636E}"/>
    <cellStyle name="Normal 2 2 2 2 2 2 2 2 2 28 4" xfId="17448" xr:uid="{6576020C-C2D0-43BC-8E63-A4079BD09F93}"/>
    <cellStyle name="Normal 2 2 2 2 2 2 2 2 2 28 5" xfId="17449" xr:uid="{2EDEDAE5-CD94-4554-A19A-E55B4719C5A8}"/>
    <cellStyle name="Normal 2 2 2 2 2 2 2 2 2 28 6" xfId="17450" xr:uid="{346E622C-4DDA-452F-9725-904DEC74DF13}"/>
    <cellStyle name="Normal 2 2 2 2 2 2 2 2 2 29" xfId="17451" xr:uid="{4861FBC9-4A47-4D29-8508-AFE971B40578}"/>
    <cellStyle name="Normal 2 2 2 2 2 2 2 2 2 29 2" xfId="17452" xr:uid="{1C5F5AA4-9A2C-4230-9100-0A5A5DE87FD6}"/>
    <cellStyle name="Normal 2 2 2 2 2 2 2 2 2 29 3" xfId="17453" xr:uid="{69861F50-4A86-465B-A95C-F83F3E819243}"/>
    <cellStyle name="Normal 2 2 2 2 2 2 2 2 2 29 4" xfId="17454" xr:uid="{C8A8994D-452A-4FB9-8964-ECD474C980FA}"/>
    <cellStyle name="Normal 2 2 2 2 2 2 2 2 2 29 5" xfId="17455" xr:uid="{2256C3C7-84B7-4275-873D-EFEF99FDD081}"/>
    <cellStyle name="Normal 2 2 2 2 2 2 2 2 2 29 6" xfId="17456" xr:uid="{985EC19C-901B-4789-A746-3AB72CD4DFB8}"/>
    <cellStyle name="Normal 2 2 2 2 2 2 2 2 2 3" xfId="17457" xr:uid="{BD9ACFC4-C033-44E9-924C-CBC4AF62AB21}"/>
    <cellStyle name="Normal 2 2 2 2 2 2 2 2 2 3 2" xfId="17458" xr:uid="{F0FD93C1-AF26-4539-A698-1F3B57A2E2B8}"/>
    <cellStyle name="Normal 2 2 2 2 2 2 2 2 2 3 3" xfId="17459" xr:uid="{A98F2A5F-4864-4E69-99C8-E77180253037}"/>
    <cellStyle name="Normal 2 2 2 2 2 2 2 2 2 3 4" xfId="17460" xr:uid="{2C58467C-049C-4503-92CE-61AA8C8F0EC7}"/>
    <cellStyle name="Normal 2 2 2 2 2 2 2 2 2 3 5" xfId="17461" xr:uid="{9490F25B-6AFB-4FF7-845A-968517CCE305}"/>
    <cellStyle name="Normal 2 2 2 2 2 2 2 2 2 3 6" xfId="17462" xr:uid="{65A1FD8B-68B5-4D10-A813-1A48B2162649}"/>
    <cellStyle name="Normal 2 2 2 2 2 2 2 2 2 30" xfId="17463" xr:uid="{FF7779CC-19D1-4A2A-9E85-6044378B733D}"/>
    <cellStyle name="Normal 2 2 2 2 2 2 2 2 2 30 2" xfId="17464" xr:uid="{7CF4CCA1-1642-4159-A45F-F25E7E70D7E3}"/>
    <cellStyle name="Normal 2 2 2 2 2 2 2 2 2 30 3" xfId="17465" xr:uid="{F17E9D8A-2A03-49CE-82E6-BE2EE9E5B9F2}"/>
    <cellStyle name="Normal 2 2 2 2 2 2 2 2 2 30 4" xfId="17466" xr:uid="{CC9B38DC-AF5E-4998-83B2-EEFF03D033A7}"/>
    <cellStyle name="Normal 2 2 2 2 2 2 2 2 2 30 5" xfId="17467" xr:uid="{6D6AB786-6718-47C7-91CB-D13EBE845A14}"/>
    <cellStyle name="Normal 2 2 2 2 2 2 2 2 2 30 6" xfId="17468" xr:uid="{67D79F18-B618-49C6-86CA-B94C2FA07569}"/>
    <cellStyle name="Normal 2 2 2 2 2 2 2 2 2 31" xfId="17469" xr:uid="{02BCD521-3ADB-4FDB-8043-80651517F337}"/>
    <cellStyle name="Normal 2 2 2 2 2 2 2 2 2 31 2" xfId="17470" xr:uid="{82A3EED4-4B28-4624-B697-563A4C2E32E2}"/>
    <cellStyle name="Normal 2 2 2 2 2 2 2 2 2 31 3" xfId="17471" xr:uid="{5242988C-6000-4296-BF8F-3239B62A72C8}"/>
    <cellStyle name="Normal 2 2 2 2 2 2 2 2 2 31 4" xfId="17472" xr:uid="{5A02E7CF-D512-44A1-AEEF-A279A513BF66}"/>
    <cellStyle name="Normal 2 2 2 2 2 2 2 2 2 31 5" xfId="17473" xr:uid="{F9550A92-1AC5-4036-97C4-13E514F3380A}"/>
    <cellStyle name="Normal 2 2 2 2 2 2 2 2 2 31 6" xfId="17474" xr:uid="{399FE784-8D4B-4783-98EA-1E7A737A03E7}"/>
    <cellStyle name="Normal 2 2 2 2 2 2 2 2 2 32" xfId="17475" xr:uid="{66C8F56C-72A4-4643-BB19-197A9BDF410A}"/>
    <cellStyle name="Normal 2 2 2 2 2 2 2 2 2 32 2" xfId="17476" xr:uid="{22CC258F-FD24-4066-9270-D3A8BE0E47B0}"/>
    <cellStyle name="Normal 2 2 2 2 2 2 2 2 2 32 3" xfId="17477" xr:uid="{A48990FC-33E9-407C-B6F4-DE2C1223035A}"/>
    <cellStyle name="Normal 2 2 2 2 2 2 2 2 2 32 4" xfId="17478" xr:uid="{AB493CBB-88B0-4AFB-A72E-E75144A69430}"/>
    <cellStyle name="Normal 2 2 2 2 2 2 2 2 2 32 5" xfId="17479" xr:uid="{E4F375E8-3268-4007-B3BB-31EFFA32ADD5}"/>
    <cellStyle name="Normal 2 2 2 2 2 2 2 2 2 32 6" xfId="17480" xr:uid="{DE1408D1-848D-486C-A3E1-86043997B74D}"/>
    <cellStyle name="Normal 2 2 2 2 2 2 2 2 2 33" xfId="17481" xr:uid="{39CC1EE1-8A69-4113-AB6E-2AA2CD25E2FE}"/>
    <cellStyle name="Normal 2 2 2 2 2 2 2 2 2 33 2" xfId="17482" xr:uid="{B6396208-A8A4-4C5A-8C1E-6F1B2B116602}"/>
    <cellStyle name="Normal 2 2 2 2 2 2 2 2 2 33 3" xfId="17483" xr:uid="{ACB5DE34-1E89-49AF-BF2F-A9839EE3DF20}"/>
    <cellStyle name="Normal 2 2 2 2 2 2 2 2 2 33 4" xfId="17484" xr:uid="{4FDD6867-3E21-41A1-9D48-0B53728228A6}"/>
    <cellStyle name="Normal 2 2 2 2 2 2 2 2 2 33 5" xfId="17485" xr:uid="{60416825-A5CB-42CF-A9CB-1E500F1E1E1E}"/>
    <cellStyle name="Normal 2 2 2 2 2 2 2 2 2 33 6" xfId="17486" xr:uid="{247EBEC0-46A2-4A7A-BCC2-C9C8BDD5EA8C}"/>
    <cellStyle name="Normal 2 2 2 2 2 2 2 2 2 34" xfId="17487" xr:uid="{026DE06C-ECB3-4CF6-B1AF-D1CFA936EE02}"/>
    <cellStyle name="Normal 2 2 2 2 2 2 2 2 2 34 2" xfId="17488" xr:uid="{FBF2431F-7181-47C3-BA9F-DC9D98937C0E}"/>
    <cellStyle name="Normal 2 2 2 2 2 2 2 2 2 34 3" xfId="17489" xr:uid="{FB6DA858-804A-4DE7-B418-D99B11EF0430}"/>
    <cellStyle name="Normal 2 2 2 2 2 2 2 2 2 34 4" xfId="17490" xr:uid="{406501DC-8A75-4965-9365-184BBDC8124D}"/>
    <cellStyle name="Normal 2 2 2 2 2 2 2 2 2 34 5" xfId="17491" xr:uid="{E55E77CD-B738-4ADF-B3FD-302525925D8E}"/>
    <cellStyle name="Normal 2 2 2 2 2 2 2 2 2 34 6" xfId="17492" xr:uid="{F3EC6F70-059A-4859-B1C2-F9EC046FB8B8}"/>
    <cellStyle name="Normal 2 2 2 2 2 2 2 2 2 35" xfId="17493" xr:uid="{C7860831-B362-48EF-BB6A-AFA5718BF9BE}"/>
    <cellStyle name="Normal 2 2 2 2 2 2 2 2 2 35 2" xfId="17494" xr:uid="{103F102E-27E5-43DC-A122-C427106185C6}"/>
    <cellStyle name="Normal 2 2 2 2 2 2 2 2 2 35 3" xfId="17495" xr:uid="{C1677FD0-E4C7-4D69-9657-12F698835F57}"/>
    <cellStyle name="Normal 2 2 2 2 2 2 2 2 2 35 4" xfId="17496" xr:uid="{109C5A51-01E5-4B10-9CBD-9CB150F72311}"/>
    <cellStyle name="Normal 2 2 2 2 2 2 2 2 2 35 5" xfId="17497" xr:uid="{624265C3-B598-4E5F-B9A7-0120FECD5348}"/>
    <cellStyle name="Normal 2 2 2 2 2 2 2 2 2 35 6" xfId="17498" xr:uid="{11099E27-E022-4E72-B082-2EA2409D4224}"/>
    <cellStyle name="Normal 2 2 2 2 2 2 2 2 2 36" xfId="17499" xr:uid="{025AB7E7-D39D-4F23-8B0A-722697599311}"/>
    <cellStyle name="Normal 2 2 2 2 2 2 2 2 2 36 2" xfId="17500" xr:uid="{D1DF11F4-163C-4DD7-A23B-DFAD1CCA9617}"/>
    <cellStyle name="Normal 2 2 2 2 2 2 2 2 2 36 3" xfId="17501" xr:uid="{B7BCAB12-ED68-4B76-B289-80AD131D5418}"/>
    <cellStyle name="Normal 2 2 2 2 2 2 2 2 2 36 4" xfId="17502" xr:uid="{B339259E-8A89-4CBD-B195-FCA9A6CB84BC}"/>
    <cellStyle name="Normal 2 2 2 2 2 2 2 2 2 36 5" xfId="17503" xr:uid="{9BFC956A-ABA3-4637-A6C4-F92FEE832681}"/>
    <cellStyle name="Normal 2 2 2 2 2 2 2 2 2 36 6" xfId="17504" xr:uid="{3FA11051-0087-4748-9DAB-7A4C8F52DF3A}"/>
    <cellStyle name="Normal 2 2 2 2 2 2 2 2 2 37" xfId="17505" xr:uid="{D7BDFC21-70C2-4802-91F6-64D36C318CEB}"/>
    <cellStyle name="Normal 2 2 2 2 2 2 2 2 2 37 2" xfId="17506" xr:uid="{6344421F-4C06-4CB8-8029-624ED5FEA044}"/>
    <cellStyle name="Normal 2 2 2 2 2 2 2 2 2 37 3" xfId="17507" xr:uid="{A7EDBC67-A4DB-4214-85DA-F7F6F58A078D}"/>
    <cellStyle name="Normal 2 2 2 2 2 2 2 2 2 37 4" xfId="17508" xr:uid="{8015E9EF-C86C-4818-90D4-3AA9FDC0197A}"/>
    <cellStyle name="Normal 2 2 2 2 2 2 2 2 2 37 5" xfId="17509" xr:uid="{DBD10BE8-BE5A-42E0-BD18-C92B7B832B2D}"/>
    <cellStyle name="Normal 2 2 2 2 2 2 2 2 2 37 6" xfId="17510" xr:uid="{E5FC53CA-8A80-4A9C-A830-D5EE3ED22BC2}"/>
    <cellStyle name="Normal 2 2 2 2 2 2 2 2 2 38" xfId="17511" xr:uid="{1C04E3B4-205C-4E5B-81BF-AA537BA896F0}"/>
    <cellStyle name="Normal 2 2 2 2 2 2 2 2 2 38 2" xfId="17512" xr:uid="{C9E09271-D780-42E7-813C-5EB8AEF9AEB0}"/>
    <cellStyle name="Normal 2 2 2 2 2 2 2 2 2 38 3" xfId="17513" xr:uid="{C4AB5D89-C6C1-4509-96E4-6F7E946F0A71}"/>
    <cellStyle name="Normal 2 2 2 2 2 2 2 2 2 38 4" xfId="17514" xr:uid="{99C4D654-8958-45BB-8BD2-859337FF553A}"/>
    <cellStyle name="Normal 2 2 2 2 2 2 2 2 2 38 5" xfId="17515" xr:uid="{A629A617-D48D-417E-A9BD-619371C8D119}"/>
    <cellStyle name="Normal 2 2 2 2 2 2 2 2 2 38 6" xfId="17516" xr:uid="{2FC16FAD-B219-4E12-B556-E4980C4B48FB}"/>
    <cellStyle name="Normal 2 2 2 2 2 2 2 2 2 39" xfId="17517" xr:uid="{708C418A-867E-43BA-BB88-0010A02CAB42}"/>
    <cellStyle name="Normal 2 2 2 2 2 2 2 2 2 39 2" xfId="17518" xr:uid="{8AE5E782-211E-4B72-9C86-E3BA77B8D212}"/>
    <cellStyle name="Normal 2 2 2 2 2 2 2 2 2 39 3" xfId="17519" xr:uid="{64E33326-63D6-4C5D-971C-77672F4FED20}"/>
    <cellStyle name="Normal 2 2 2 2 2 2 2 2 2 39 4" xfId="17520" xr:uid="{8D01005C-1DD8-4FA6-A250-6CE8CE02FF93}"/>
    <cellStyle name="Normal 2 2 2 2 2 2 2 2 2 39 5" xfId="17521" xr:uid="{C5348F25-9BB1-4615-A067-B95B0509788A}"/>
    <cellStyle name="Normal 2 2 2 2 2 2 2 2 2 39 6" xfId="17522" xr:uid="{67F62068-F33A-459E-82F6-7A051942205A}"/>
    <cellStyle name="Normal 2 2 2 2 2 2 2 2 2 4" xfId="17523" xr:uid="{823349A8-C927-4AB6-992F-4BF5EC67C3D3}"/>
    <cellStyle name="Normal 2 2 2 2 2 2 2 2 2 4 2" xfId="17524" xr:uid="{634540FF-371D-4000-A9D7-C421BEE98277}"/>
    <cellStyle name="Normal 2 2 2 2 2 2 2 2 2 4 3" xfId="17525" xr:uid="{F8FD8278-BFB2-4399-95FD-A4C13F755EC0}"/>
    <cellStyle name="Normal 2 2 2 2 2 2 2 2 2 4 4" xfId="17526" xr:uid="{72FD8424-CE53-4545-B34D-D426C847476A}"/>
    <cellStyle name="Normal 2 2 2 2 2 2 2 2 2 4 5" xfId="17527" xr:uid="{FF744E47-4733-497E-8E87-057971D46E4F}"/>
    <cellStyle name="Normal 2 2 2 2 2 2 2 2 2 4 6" xfId="17528" xr:uid="{11847222-843B-4B1F-9B2D-1E7D25716E0E}"/>
    <cellStyle name="Normal 2 2 2 2 2 2 2 2 2 40" xfId="17529" xr:uid="{8FAAEBA1-F2EB-4012-BED3-077FE782D3D6}"/>
    <cellStyle name="Normal 2 2 2 2 2 2 2 2 2 40 2" xfId="17530" xr:uid="{4D36C252-F6AA-425F-8A43-25D68A442CD6}"/>
    <cellStyle name="Normal 2 2 2 2 2 2 2 2 2 40 3" xfId="17531" xr:uid="{B6D5FBA2-A332-4A67-9C63-1C7BAAAA58E5}"/>
    <cellStyle name="Normal 2 2 2 2 2 2 2 2 2 40 4" xfId="17532" xr:uid="{1AF04026-C51D-44C9-A3B9-0C9CA5868519}"/>
    <cellStyle name="Normal 2 2 2 2 2 2 2 2 2 40 5" xfId="17533" xr:uid="{918BDEC0-217F-4083-8A29-46F26A1CD837}"/>
    <cellStyle name="Normal 2 2 2 2 2 2 2 2 2 40 6" xfId="17534" xr:uid="{C6C1F4E6-375F-4621-BCF2-3E48CDE5FCC5}"/>
    <cellStyle name="Normal 2 2 2 2 2 2 2 2 2 41" xfId="17535" xr:uid="{B83B25F8-7582-4D99-B178-CD8F13C2E687}"/>
    <cellStyle name="Normal 2 2 2 2 2 2 2 2 2 41 2" xfId="17536" xr:uid="{E432276A-DD6F-426E-8672-C4AA99E4E298}"/>
    <cellStyle name="Normal 2 2 2 2 2 2 2 2 2 41 3" xfId="17537" xr:uid="{2DE12D3A-28FB-4AF0-9C97-3B0AA42188EB}"/>
    <cellStyle name="Normal 2 2 2 2 2 2 2 2 2 41 4" xfId="17538" xr:uid="{EE8B6C21-D234-429A-92DF-8ADCC616F7C4}"/>
    <cellStyle name="Normal 2 2 2 2 2 2 2 2 2 41 5" xfId="17539" xr:uid="{10189E53-78F8-4C97-9F37-4A65748C0BE4}"/>
    <cellStyle name="Normal 2 2 2 2 2 2 2 2 2 41 6" xfId="17540" xr:uid="{67562E33-19AD-49DB-B83B-7EA2849A576C}"/>
    <cellStyle name="Normal 2 2 2 2 2 2 2 2 2 42" xfId="17541" xr:uid="{62D5E0F4-9895-4154-82C5-E9D662793FF5}"/>
    <cellStyle name="Normal 2 2 2 2 2 2 2 2 2 42 2" xfId="17542" xr:uid="{3D070583-3B76-4DC5-8A42-93E5A3544A58}"/>
    <cellStyle name="Normal 2 2 2 2 2 2 2 2 2 42 2 2" xfId="17543" xr:uid="{08B88B6C-80F2-4A21-B093-1BE4F9903BD0}"/>
    <cellStyle name="Normal 2 2 2 2 2 2 2 2 2 42 2 3" xfId="17544" xr:uid="{65482F00-8C97-4B79-A61B-546E9FF48E56}"/>
    <cellStyle name="Normal 2 2 2 2 2 2 2 2 2 42 2 4" xfId="17545" xr:uid="{869D2A53-9151-4932-B234-304CC13C15CE}"/>
    <cellStyle name="Normal 2 2 2 2 2 2 2 2 2 42 2 5" xfId="17546" xr:uid="{ED5C97ED-6F75-46AA-98E6-9673629712F4}"/>
    <cellStyle name="Normal 2 2 2 2 2 2 2 2 2 42 2 6" xfId="17547" xr:uid="{3861DF07-C9D3-464E-9114-39BE28996767}"/>
    <cellStyle name="Normal 2 2 2 2 2 2 2 2 2 43" xfId="17548" xr:uid="{B0871AF1-4151-4F51-BFF8-959E40DAABC8}"/>
    <cellStyle name="Normal 2 2 2 2 2 2 2 2 2 43 10" xfId="17549" xr:uid="{8891F674-DDA0-4BE7-93C1-BDB0FD8D073D}"/>
    <cellStyle name="Normal 2 2 2 2 2 2 2 2 2 43 11" xfId="17550" xr:uid="{53662A0B-CB29-4FA4-9377-9945B9B4AFF8}"/>
    <cellStyle name="Normal 2 2 2 2 2 2 2 2 2 43 2" xfId="17551" xr:uid="{5BF7E9EF-0BA5-4A91-9503-4CD76E175EE7}"/>
    <cellStyle name="Normal 2 2 2 2 2 2 2 2 2 43 2 2" xfId="17552" xr:uid="{9E6B2B09-780F-42FE-8820-4785E0CEBF88}"/>
    <cellStyle name="Normal 2 2 2 2 2 2 2 2 2 43 2 2 2" xfId="17553" xr:uid="{EBE907CB-B875-4018-88DA-C0EA04973ADE}"/>
    <cellStyle name="Normal 2 2 2 2 2 2 2 2 2 43 2 2 3" xfId="17554" xr:uid="{4558476B-9332-4FA1-A816-77F08447840A}"/>
    <cellStyle name="Normal 2 2 2 2 2 2 2 2 2 43 2 3" xfId="17555" xr:uid="{F49B6A90-7145-4244-8BA9-93A669B007BE}"/>
    <cellStyle name="Normal 2 2 2 2 2 2 2 2 2 43 2 4" xfId="17556" xr:uid="{8DFB8277-A0EE-4C67-895C-B31F3E976B03}"/>
    <cellStyle name="Normal 2 2 2 2 2 2 2 2 2 43 2 5" xfId="17557" xr:uid="{7B2D6B25-299D-4557-853C-ED5669ED8112}"/>
    <cellStyle name="Normal 2 2 2 2 2 2 2 2 2 43 2 6" xfId="17558" xr:uid="{C1318D80-8890-4EAD-A998-BE3058D8F772}"/>
    <cellStyle name="Normal 2 2 2 2 2 2 2 2 2 43 2 7" xfId="17559" xr:uid="{F8D39274-EB00-417C-880F-7322EE03C6BF}"/>
    <cellStyle name="Normal 2 2 2 2 2 2 2 2 2 43 2 8" xfId="17560" xr:uid="{2C1BE13C-D5F2-4000-9114-2106F37F42F3}"/>
    <cellStyle name="Normal 2 2 2 2 2 2 2 2 2 43 2 9" xfId="17561" xr:uid="{B1CF26C3-FF78-48D3-864D-E65F87999861}"/>
    <cellStyle name="Normal 2 2 2 2 2 2 2 2 2 43 3" xfId="17562" xr:uid="{2C983304-9BA2-410D-B4CC-B0B3D4EA6D48}"/>
    <cellStyle name="Normal 2 2 2 2 2 2 2 2 2 43 4" xfId="17563" xr:uid="{F2B08890-2E0D-49BC-87C4-553B43C5CF8F}"/>
    <cellStyle name="Normal 2 2 2 2 2 2 2 2 2 43 5" xfId="17564" xr:uid="{DDFE93A2-F873-4FE8-9D2E-616AC7CB2960}"/>
    <cellStyle name="Normal 2 2 2 2 2 2 2 2 2 43 5 2" xfId="17565" xr:uid="{E063D0EB-D2DE-4607-BBA0-2C9A7F3E8E9D}"/>
    <cellStyle name="Normal 2 2 2 2 2 2 2 2 2 43 5 3" xfId="17566" xr:uid="{EE3D6BFA-4E19-4DC2-9D6E-8342545A4F47}"/>
    <cellStyle name="Normal 2 2 2 2 2 2 2 2 2 43 6" xfId="17567" xr:uid="{3CFB27D7-8EEE-4131-B8A8-8647346BB6FB}"/>
    <cellStyle name="Normal 2 2 2 2 2 2 2 2 2 43 7" xfId="17568" xr:uid="{20A7D362-C3D7-48F8-A197-7656C2A5CC4C}"/>
    <cellStyle name="Normal 2 2 2 2 2 2 2 2 2 43 8" xfId="17569" xr:uid="{141A66CA-7A61-4B2C-88C7-AAA9DD19E9F6}"/>
    <cellStyle name="Normal 2 2 2 2 2 2 2 2 2 43 9" xfId="17570" xr:uid="{D60A5FCC-C0C3-4E4A-892D-41D6FDEA6BC2}"/>
    <cellStyle name="Normal 2 2 2 2 2 2 2 2 2 44" xfId="17571" xr:uid="{13B4BD32-53E1-4197-9140-5799945FDB75}"/>
    <cellStyle name="Normal 2 2 2 2 2 2 2 2 2 45" xfId="17572" xr:uid="{B9201F4C-9B90-417B-952E-62D0E2F2330F}"/>
    <cellStyle name="Normal 2 2 2 2 2 2 2 2 2 46" xfId="17573" xr:uid="{DC66AE5D-3B37-487E-AD38-19C24B32D129}"/>
    <cellStyle name="Normal 2 2 2 2 2 2 2 2 2 46 2" xfId="17574" xr:uid="{6769F008-586E-4C83-9DE6-D6F45EE6C980}"/>
    <cellStyle name="Normal 2 2 2 2 2 2 2 2 2 46 2 2" xfId="17575" xr:uid="{10AD6E8F-B70F-4FB9-B3EB-A6016A139D95}"/>
    <cellStyle name="Normal 2 2 2 2 2 2 2 2 2 46 2 3" xfId="17576" xr:uid="{BBD1C632-750A-4018-B8FD-537537A60973}"/>
    <cellStyle name="Normal 2 2 2 2 2 2 2 2 2 46 3" xfId="17577" xr:uid="{C47F13E3-4055-42D5-BFF2-CB097B1FE667}"/>
    <cellStyle name="Normal 2 2 2 2 2 2 2 2 2 46 4" xfId="17578" xr:uid="{759A663C-7085-480E-8AEB-C3538089782A}"/>
    <cellStyle name="Normal 2 2 2 2 2 2 2 2 2 46 5" xfId="17579" xr:uid="{0830AFF3-BE03-4474-953E-75FED1A6B88D}"/>
    <cellStyle name="Normal 2 2 2 2 2 2 2 2 2 46 6" xfId="17580" xr:uid="{A55DDB8B-5B83-4CE5-96AB-2B727C8B152B}"/>
    <cellStyle name="Normal 2 2 2 2 2 2 2 2 2 46 7" xfId="17581" xr:uid="{429EBEE8-F0D7-4DB8-A2C2-C362AD9504BA}"/>
    <cellStyle name="Normal 2 2 2 2 2 2 2 2 2 46 8" xfId="17582" xr:uid="{90AC5993-8B1A-4839-B260-619613E23389}"/>
    <cellStyle name="Normal 2 2 2 2 2 2 2 2 2 46 9" xfId="17583" xr:uid="{6A6189D2-4510-42ED-8AC6-445BAD01DBA0}"/>
    <cellStyle name="Normal 2 2 2 2 2 2 2 2 2 47" xfId="17584" xr:uid="{4509A19F-CBD8-4CE7-853D-CA859F6FF8F7}"/>
    <cellStyle name="Normal 2 2 2 2 2 2 2 2 2 48" xfId="17585" xr:uid="{9D85A032-7BA0-4653-AF4E-D111ED98A5D0}"/>
    <cellStyle name="Normal 2 2 2 2 2 2 2 2 2 48 2" xfId="17586" xr:uid="{2C6CDCFE-391A-4A46-986A-9326D8A68B8A}"/>
    <cellStyle name="Normal 2 2 2 2 2 2 2 2 2 48 3" xfId="17587" xr:uid="{A8D4D640-583D-4DF8-9B77-AD738A80D1D0}"/>
    <cellStyle name="Normal 2 2 2 2 2 2 2 2 2 49" xfId="17588" xr:uid="{311C128F-656F-4FEE-8AB1-94F717E722DE}"/>
    <cellStyle name="Normal 2 2 2 2 2 2 2 2 2 5" xfId="17589" xr:uid="{BD4D8626-0CB9-4534-A64A-C38DD531F098}"/>
    <cellStyle name="Normal 2 2 2 2 2 2 2 2 2 5 2" xfId="17590" xr:uid="{18C4118F-671C-4500-9A67-C3661E5C2AAE}"/>
    <cellStyle name="Normal 2 2 2 2 2 2 2 2 2 5 3" xfId="17591" xr:uid="{17C4A78E-5662-4E81-956B-63F069912EA0}"/>
    <cellStyle name="Normal 2 2 2 2 2 2 2 2 2 5 4" xfId="17592" xr:uid="{256E8445-AA48-4B78-8310-C377E2140CFA}"/>
    <cellStyle name="Normal 2 2 2 2 2 2 2 2 2 5 5" xfId="17593" xr:uid="{28B8993E-AE67-462D-A2FF-9A935630FD33}"/>
    <cellStyle name="Normal 2 2 2 2 2 2 2 2 2 5 6" xfId="17594" xr:uid="{0AC14583-4F1A-4991-AAC3-1DBCF3FF9A47}"/>
    <cellStyle name="Normal 2 2 2 2 2 2 2 2 2 50" xfId="17595" xr:uid="{A99D5BA0-A31E-4586-AAA8-6232B7514544}"/>
    <cellStyle name="Normal 2 2 2 2 2 2 2 2 2 51" xfId="17596" xr:uid="{C8C04B50-A640-4675-89DA-E5452A94072B}"/>
    <cellStyle name="Normal 2 2 2 2 2 2 2 2 2 52" xfId="17597" xr:uid="{B2C113DE-12D7-4296-B54A-91FB5D20A5CE}"/>
    <cellStyle name="Normal 2 2 2 2 2 2 2 2 2 53" xfId="17598" xr:uid="{A147EA71-B95D-40DA-9ADB-51205B2B87BA}"/>
    <cellStyle name="Normal 2 2 2 2 2 2 2 2 2 54" xfId="17599" xr:uid="{3F53136F-3622-40CB-842A-47B7FCCB6BEA}"/>
    <cellStyle name="Normal 2 2 2 2 2 2 2 2 2 6" xfId="17600" xr:uid="{0C639776-6758-47DC-A0C6-543F73F31D87}"/>
    <cellStyle name="Normal 2 2 2 2 2 2 2 2 2 6 2" xfId="17601" xr:uid="{1636119C-EA25-48CE-8D66-627FB5D39796}"/>
    <cellStyle name="Normal 2 2 2 2 2 2 2 2 2 6 3" xfId="17602" xr:uid="{3D20ED00-5B2D-41A0-9A79-AD2BB38127BA}"/>
    <cellStyle name="Normal 2 2 2 2 2 2 2 2 2 6 4" xfId="17603" xr:uid="{68AAFBB0-5D7D-4901-A1F3-CA3CECD7215A}"/>
    <cellStyle name="Normal 2 2 2 2 2 2 2 2 2 6 5" xfId="17604" xr:uid="{853E5A8E-B940-4190-8EB0-2345711E7306}"/>
    <cellStyle name="Normal 2 2 2 2 2 2 2 2 2 6 6" xfId="17605" xr:uid="{B1825323-EEA9-4784-B7D8-A60B9A182D5B}"/>
    <cellStyle name="Normal 2 2 2 2 2 2 2 2 2 7" xfId="17606" xr:uid="{FCF7C909-1F72-452A-92DE-C336A22B2DE5}"/>
    <cellStyle name="Normal 2 2 2 2 2 2 2 2 2 7 2" xfId="17607" xr:uid="{638B8A48-1851-4B07-819A-770AA48AA1BA}"/>
    <cellStyle name="Normal 2 2 2 2 2 2 2 2 2 7 3" xfId="17608" xr:uid="{67CB3311-8C09-4ECA-B743-7691BFA909A6}"/>
    <cellStyle name="Normal 2 2 2 2 2 2 2 2 2 7 4" xfId="17609" xr:uid="{5E572714-95DC-47B9-BF84-9724A5F70204}"/>
    <cellStyle name="Normal 2 2 2 2 2 2 2 2 2 7 5" xfId="17610" xr:uid="{31117FE0-7D9E-40FF-AE6D-2894776F1341}"/>
    <cellStyle name="Normal 2 2 2 2 2 2 2 2 2 7 6" xfId="17611" xr:uid="{AE17D2CF-FB04-4721-8447-40B96A3388EE}"/>
    <cellStyle name="Normal 2 2 2 2 2 2 2 2 2 8" xfId="17612" xr:uid="{26F1119F-1E9B-458D-A7CD-D88D330092FD}"/>
    <cellStyle name="Normal 2 2 2 2 2 2 2 2 2 8 2" xfId="17613" xr:uid="{29B29B1F-3E95-44FC-BB9C-0DAD418C9934}"/>
    <cellStyle name="Normal 2 2 2 2 2 2 2 2 2 8 3" xfId="17614" xr:uid="{F22FDC95-3275-4A8D-9C4F-E94D759A006F}"/>
    <cellStyle name="Normal 2 2 2 2 2 2 2 2 2 8 4" xfId="17615" xr:uid="{19C20150-5964-4F4F-99A6-55452414BDB8}"/>
    <cellStyle name="Normal 2 2 2 2 2 2 2 2 2 8 5" xfId="17616" xr:uid="{C18D4B79-97EF-45D8-ABA6-DF27F68AA34D}"/>
    <cellStyle name="Normal 2 2 2 2 2 2 2 2 2 8 6" xfId="17617" xr:uid="{A0B5240D-0185-486D-A645-4A038D41C6CB}"/>
    <cellStyle name="Normal 2 2 2 2 2 2 2 2 2 9" xfId="17618" xr:uid="{58A306D5-A282-48A8-A9B7-45F7E12FDBD3}"/>
    <cellStyle name="Normal 2 2 2 2 2 2 2 2 2 9 2" xfId="17619" xr:uid="{D4D7E75A-1F0F-4A89-A541-134EA248E2D3}"/>
    <cellStyle name="Normal 2 2 2 2 2 2 2 2 2 9 3" xfId="17620" xr:uid="{FC0385AF-C318-4D7C-817B-DC68CFC67AED}"/>
    <cellStyle name="Normal 2 2 2 2 2 2 2 2 2 9 4" xfId="17621" xr:uid="{A3CD6C3C-57F5-4588-9E40-CCA836588719}"/>
    <cellStyle name="Normal 2 2 2 2 2 2 2 2 2 9 5" xfId="17622" xr:uid="{49978F37-70C9-4072-BE43-88FAD2A49E8E}"/>
    <cellStyle name="Normal 2 2 2 2 2 2 2 2 2 9 6" xfId="17623" xr:uid="{C1D5EE4F-D23F-450D-8C18-CDCB9A00C80F}"/>
    <cellStyle name="Normal 2 2 2 2 2 2 2 2 20" xfId="17624" xr:uid="{E73E3AFF-EF93-4C94-9924-8DF8030226FA}"/>
    <cellStyle name="Normal 2 2 2 2 2 2 2 2 21" xfId="17625" xr:uid="{1F88E50A-6B82-47DD-AEE3-56210C35A8A6}"/>
    <cellStyle name="Normal 2 2 2 2 2 2 2 2 22" xfId="17626" xr:uid="{8E961544-2477-4084-90CA-6B2BD344D1A1}"/>
    <cellStyle name="Normal 2 2 2 2 2 2 2 2 23" xfId="17627" xr:uid="{443E7BF9-3C2A-4520-A49D-B44E9E76C75A}"/>
    <cellStyle name="Normal 2 2 2 2 2 2 2 2 24" xfId="17628" xr:uid="{6031B729-E6F2-4B15-97BC-807705C64C25}"/>
    <cellStyle name="Normal 2 2 2 2 2 2 2 2 25" xfId="17629" xr:uid="{4D4419D3-26DA-474C-96F4-39C855008034}"/>
    <cellStyle name="Normal 2 2 2 2 2 2 2 2 26" xfId="17630" xr:uid="{DF1A508B-8630-4684-913F-920424E3EFD2}"/>
    <cellStyle name="Normal 2 2 2 2 2 2 2 2 27" xfId="17631" xr:uid="{40921680-5AEC-496D-9687-C90227BCAB53}"/>
    <cellStyle name="Normal 2 2 2 2 2 2 2 2 27 2" xfId="17632" xr:uid="{2014C91D-135A-4D0F-9DA3-389C3263779E}"/>
    <cellStyle name="Normal 2 2 2 2 2 2 2 2 27 3" xfId="17633" xr:uid="{412080C7-513D-4AA6-B3E0-410BA53507E2}"/>
    <cellStyle name="Normal 2 2 2 2 2 2 2 2 27 4" xfId="17634" xr:uid="{1B2ED745-5020-425E-8C53-51FB7A0EA4B3}"/>
    <cellStyle name="Normal 2 2 2 2 2 2 2 2 27 5" xfId="17635" xr:uid="{84A1F780-5F36-4969-B369-914BB53A9E5A}"/>
    <cellStyle name="Normal 2 2 2 2 2 2 2 2 27 6" xfId="17636" xr:uid="{24C5B11D-F8C6-4533-9575-FE892E385AED}"/>
    <cellStyle name="Normal 2 2 2 2 2 2 2 2 28" xfId="17637" xr:uid="{F30BCEE7-FCF3-4750-AC37-6C7FC657CB4C}"/>
    <cellStyle name="Normal 2 2 2 2 2 2 2 2 28 2" xfId="17638" xr:uid="{BC124E4D-36DE-40DC-BDFC-9B0071845869}"/>
    <cellStyle name="Normal 2 2 2 2 2 2 2 2 28 3" xfId="17639" xr:uid="{813E98F4-AAA4-4130-A661-F1E227EF5061}"/>
    <cellStyle name="Normal 2 2 2 2 2 2 2 2 28 4" xfId="17640" xr:uid="{21837AAA-9A6B-4CF7-AA5B-F958A2902759}"/>
    <cellStyle name="Normal 2 2 2 2 2 2 2 2 28 5" xfId="17641" xr:uid="{5B066EA6-E3B8-4247-8ACC-8B88E02C97A6}"/>
    <cellStyle name="Normal 2 2 2 2 2 2 2 2 28 6" xfId="17642" xr:uid="{7CC9350D-534E-4531-B586-71DFA5FC607B}"/>
    <cellStyle name="Normal 2 2 2 2 2 2 2 2 29" xfId="17643" xr:uid="{73A98240-BA2F-4F49-B413-E82BB65EC504}"/>
    <cellStyle name="Normal 2 2 2 2 2 2 2 2 29 2" xfId="17644" xr:uid="{868F5A21-D5F7-400C-850B-29B77D3B0E44}"/>
    <cellStyle name="Normal 2 2 2 2 2 2 2 2 29 3" xfId="17645" xr:uid="{D24897C2-9371-4056-A075-0CE60AD18802}"/>
    <cellStyle name="Normal 2 2 2 2 2 2 2 2 29 4" xfId="17646" xr:uid="{3682791C-EEDD-44E7-AD58-B8ED18CA989B}"/>
    <cellStyle name="Normal 2 2 2 2 2 2 2 2 29 5" xfId="17647" xr:uid="{54BA1B44-FC3C-4226-9862-35B223743F68}"/>
    <cellStyle name="Normal 2 2 2 2 2 2 2 2 29 6" xfId="17648" xr:uid="{E9F720A5-4027-4BCD-B606-F84B27FB0E9B}"/>
    <cellStyle name="Normal 2 2 2 2 2 2 2 2 3" xfId="17649" xr:uid="{EEC89D14-7368-452C-BDFD-C421B8C9B7DA}"/>
    <cellStyle name="Normal 2 2 2 2 2 2 2 2 3 10" xfId="17650" xr:uid="{69DC04FC-0882-4008-883B-067A45343F0D}"/>
    <cellStyle name="Normal 2 2 2 2 2 2 2 2 3 11" xfId="17651" xr:uid="{26760469-1387-4495-9A7F-9F4029C0A64A}"/>
    <cellStyle name="Normal 2 2 2 2 2 2 2 2 3 12" xfId="17652" xr:uid="{C1060769-D977-4542-AF38-F6007C68E9AD}"/>
    <cellStyle name="Normal 2 2 2 2 2 2 2 2 3 13" xfId="17653" xr:uid="{6A47C26C-D24A-40BD-B70A-02C705B049D9}"/>
    <cellStyle name="Normal 2 2 2 2 2 2 2 2 3 2" xfId="17654" xr:uid="{4CC6802C-3E7C-4E27-B317-97A13B7E820E}"/>
    <cellStyle name="Normal 2 2 2 2 2 2 2 2 3 2 2" xfId="17655" xr:uid="{57F08760-9738-4CF1-BAFC-00E29BEAFB3A}"/>
    <cellStyle name="Normal 2 2 2 2 2 2 2 2 3 2 3" xfId="17656" xr:uid="{141E36AE-384C-4E6B-86AB-AF71B2AE0148}"/>
    <cellStyle name="Normal 2 2 2 2 2 2 2 2 3 2 4" xfId="17657" xr:uid="{FE4F88F5-1192-4B89-BE16-AF69366AE361}"/>
    <cellStyle name="Normal 2 2 2 2 2 2 2 2 3 2 5" xfId="17658" xr:uid="{5A06CFEA-31D8-4D15-981D-F604542148DB}"/>
    <cellStyle name="Normal 2 2 2 2 2 2 2 2 3 2 6" xfId="17659" xr:uid="{1F6AEC33-D846-4B42-B53E-FF915957162A}"/>
    <cellStyle name="Normal 2 2 2 2 2 2 2 2 3 3" xfId="17660" xr:uid="{765EAE77-2929-43A6-941A-7047CBF76245}"/>
    <cellStyle name="Normal 2 2 2 2 2 2 2 2 3 3 2" xfId="17661" xr:uid="{DBD2150A-05CB-42D4-93F3-8AEC0250C03F}"/>
    <cellStyle name="Normal 2 2 2 2 2 2 2 2 3 3 3" xfId="17662" xr:uid="{68FCBC8F-242E-4CB5-B332-A4A654C7AEA8}"/>
    <cellStyle name="Normal 2 2 2 2 2 2 2 2 3 3 4" xfId="17663" xr:uid="{4C810106-BBCE-4BD7-87A4-701C52C82B00}"/>
    <cellStyle name="Normal 2 2 2 2 2 2 2 2 3 3 5" xfId="17664" xr:uid="{C847018A-7FB2-44A9-979B-E83C744FFF54}"/>
    <cellStyle name="Normal 2 2 2 2 2 2 2 2 3 3 6" xfId="17665" xr:uid="{D11773E6-4430-4366-BF37-FF82AAC02EEA}"/>
    <cellStyle name="Normal 2 2 2 2 2 2 2 2 3 4" xfId="17666" xr:uid="{A093F58D-5991-473D-AEEA-5C6932E4EE09}"/>
    <cellStyle name="Normal 2 2 2 2 2 2 2 2 3 4 2" xfId="17667" xr:uid="{A6B7CA61-E78A-47AC-B0FC-D19F0F4BA141}"/>
    <cellStyle name="Normal 2 2 2 2 2 2 2 2 3 4 3" xfId="17668" xr:uid="{2FB8EF3A-F3C8-4C83-9118-DA882DE54C89}"/>
    <cellStyle name="Normal 2 2 2 2 2 2 2 2 3 4 4" xfId="17669" xr:uid="{E32F898D-8A47-40FA-BC34-310ADEF11E3B}"/>
    <cellStyle name="Normal 2 2 2 2 2 2 2 2 3 4 5" xfId="17670" xr:uid="{BB8D7DC3-5681-4292-A11E-3C5BC3208C12}"/>
    <cellStyle name="Normal 2 2 2 2 2 2 2 2 3 4 6" xfId="17671" xr:uid="{EA08516C-E1A7-4CA0-926D-4D021F7D8F8D}"/>
    <cellStyle name="Normal 2 2 2 2 2 2 2 2 3 5" xfId="17672" xr:uid="{A6F4E033-2FA9-4C05-B896-D90AE68CEA13}"/>
    <cellStyle name="Normal 2 2 2 2 2 2 2 2 3 5 2" xfId="17673" xr:uid="{38B07D4F-D5B5-4107-A1FD-BED855B23431}"/>
    <cellStyle name="Normal 2 2 2 2 2 2 2 2 3 5 3" xfId="17674" xr:uid="{02E3E72C-134E-4815-8D90-0E854B5116D5}"/>
    <cellStyle name="Normal 2 2 2 2 2 2 2 2 3 5 4" xfId="17675" xr:uid="{52FB2EA5-630A-473B-97B2-553838B244B1}"/>
    <cellStyle name="Normal 2 2 2 2 2 2 2 2 3 5 5" xfId="17676" xr:uid="{DBEE56CD-D222-49DA-B97E-74F6CED80907}"/>
    <cellStyle name="Normal 2 2 2 2 2 2 2 2 3 5 6" xfId="17677" xr:uid="{3E1FEC5B-4394-40A8-A750-419AABB8AB06}"/>
    <cellStyle name="Normal 2 2 2 2 2 2 2 2 3 6" xfId="17678" xr:uid="{83056780-A38D-4366-99AC-E2FDBDFA6748}"/>
    <cellStyle name="Normal 2 2 2 2 2 2 2 2 3 6 2" xfId="17679" xr:uid="{1E1E0081-2152-41AA-AFC3-77D5D993D0D0}"/>
    <cellStyle name="Normal 2 2 2 2 2 2 2 2 3 6 3" xfId="17680" xr:uid="{677BBEC4-A043-4EFF-B249-328947C35457}"/>
    <cellStyle name="Normal 2 2 2 2 2 2 2 2 3 6 4" xfId="17681" xr:uid="{C44A4EEB-2404-4737-80D2-D4E5B73E13EE}"/>
    <cellStyle name="Normal 2 2 2 2 2 2 2 2 3 6 5" xfId="17682" xr:uid="{5FBDFA5B-32EE-486F-AE41-F7B565C2B6ED}"/>
    <cellStyle name="Normal 2 2 2 2 2 2 2 2 3 6 6" xfId="17683" xr:uid="{23D8759D-3305-4CE1-8931-37045F1DD559}"/>
    <cellStyle name="Normal 2 2 2 2 2 2 2 2 3 7" xfId="17684" xr:uid="{B3D23846-1076-4F4E-8C89-A1D30B178F5B}"/>
    <cellStyle name="Normal 2 2 2 2 2 2 2 2 3 7 2" xfId="17685" xr:uid="{A1502535-9304-4C29-AE6D-00BDF43AA830}"/>
    <cellStyle name="Normal 2 2 2 2 2 2 2 2 3 7 3" xfId="17686" xr:uid="{23F7D5B3-8F04-4482-BB68-34515953BC41}"/>
    <cellStyle name="Normal 2 2 2 2 2 2 2 2 3 7 4" xfId="17687" xr:uid="{D664147A-37ED-4679-ABAB-E61112936A32}"/>
    <cellStyle name="Normal 2 2 2 2 2 2 2 2 3 7 5" xfId="17688" xr:uid="{8F4583BE-E858-439E-879B-DB5DA1479008}"/>
    <cellStyle name="Normal 2 2 2 2 2 2 2 2 3 7 6" xfId="17689" xr:uid="{73371F99-0920-49AE-A7E2-01E7F610AA6A}"/>
    <cellStyle name="Normal 2 2 2 2 2 2 2 2 3 8" xfId="17690" xr:uid="{4860533F-ABB9-4553-B6D3-455A17A7FB99}"/>
    <cellStyle name="Normal 2 2 2 2 2 2 2 2 3 8 2" xfId="17691" xr:uid="{5EC86017-309F-4816-9C7E-B4B704C89006}"/>
    <cellStyle name="Normal 2 2 2 2 2 2 2 2 3 8 3" xfId="17692" xr:uid="{4299563D-E7C5-4232-8155-ED86EFA8E877}"/>
    <cellStyle name="Normal 2 2 2 2 2 2 2 2 3 8 4" xfId="17693" xr:uid="{167AA3F3-BF7C-4FBE-9D12-5E3A9DC88BF2}"/>
    <cellStyle name="Normal 2 2 2 2 2 2 2 2 3 8 5" xfId="17694" xr:uid="{4F950E34-A5C6-4C9F-B2D5-A9B3A26C55CD}"/>
    <cellStyle name="Normal 2 2 2 2 2 2 2 2 3 8 6" xfId="17695" xr:uid="{D4148807-CDE6-4911-8808-864F0B03A69C}"/>
    <cellStyle name="Normal 2 2 2 2 2 2 2 2 3 9" xfId="17696" xr:uid="{A1D45D14-8F3E-4125-BA41-68DC7BA59696}"/>
    <cellStyle name="Normal 2 2 2 2 2 2 2 2 30" xfId="17697" xr:uid="{D54FDB70-179E-487E-9810-F7BD367F4707}"/>
    <cellStyle name="Normal 2 2 2 2 2 2 2 2 30 2" xfId="17698" xr:uid="{C702E425-5C80-4F59-9D4C-CBDAEC499AC1}"/>
    <cellStyle name="Normal 2 2 2 2 2 2 2 2 30 3" xfId="17699" xr:uid="{D7ABB51C-C654-47D9-81C1-A528C43F1A24}"/>
    <cellStyle name="Normal 2 2 2 2 2 2 2 2 30 4" xfId="17700" xr:uid="{C0286755-1C73-4224-A068-582F637E3428}"/>
    <cellStyle name="Normal 2 2 2 2 2 2 2 2 30 5" xfId="17701" xr:uid="{CB6A4E9B-3754-47AC-9ADA-A4F008A9AB22}"/>
    <cellStyle name="Normal 2 2 2 2 2 2 2 2 30 6" xfId="17702" xr:uid="{403746E8-F70D-42DA-A0D3-1EF81BCDF437}"/>
    <cellStyle name="Normal 2 2 2 2 2 2 2 2 31" xfId="17703" xr:uid="{3A9E996E-F453-4615-943C-F61713ACDECD}"/>
    <cellStyle name="Normal 2 2 2 2 2 2 2 2 31 2" xfId="17704" xr:uid="{2961C42D-314E-4CDE-9D67-51AF1BD76088}"/>
    <cellStyle name="Normal 2 2 2 2 2 2 2 2 31 2 2" xfId="17705" xr:uid="{7732091F-933A-42D1-BDAA-A9ACB9D1C5DA}"/>
    <cellStyle name="Normal 2 2 2 2 2 2 2 2 31 2 2 2" xfId="17706" xr:uid="{64C2C49E-5FD3-4177-B459-3E3C4D152D52}"/>
    <cellStyle name="Normal 2 2 2 2 2 2 2 2 31 2 2 3" xfId="17707" xr:uid="{DEC632A3-10B5-4BE7-8B08-4185157C5C43}"/>
    <cellStyle name="Normal 2 2 2 2 2 2 2 2 31 2 2 4" xfId="17708" xr:uid="{31895515-F3C7-47EC-BE9D-562F57A93B08}"/>
    <cellStyle name="Normal 2 2 2 2 2 2 2 2 31 2 2 5" xfId="17709" xr:uid="{B03D02C7-515E-42EB-BAFA-1081EE7B84CF}"/>
    <cellStyle name="Normal 2 2 2 2 2 2 2 2 31 2 2 6" xfId="17710" xr:uid="{F19A4D05-08D7-4D4D-86FA-3576CD93A187}"/>
    <cellStyle name="Normal 2 2 2 2 2 2 2 2 31 2 2 7" xfId="17711" xr:uid="{EC2EF9D7-D9DC-4D6F-86C7-F0F36AA47D84}"/>
    <cellStyle name="Normal 2 2 2 2 2 2 2 2 31 3" xfId="17712" xr:uid="{F16C0A48-F9A3-4B7B-9CA7-AB1736D5388C}"/>
    <cellStyle name="Normal 2 2 2 2 2 2 2 2 31 4" xfId="17713" xr:uid="{53BBFEC0-272E-4F2A-8F76-B375C23FC8C6}"/>
    <cellStyle name="Normal 2 2 2 2 2 2 2 2 31 5" xfId="17714" xr:uid="{612B21EE-2C4F-42B6-9ACE-6EFF9FB41BA5}"/>
    <cellStyle name="Normal 2 2 2 2 2 2 2 2 31 6" xfId="17715" xr:uid="{9B5EE2DD-DE73-4A3E-AB1C-5A2BC4BEB0D8}"/>
    <cellStyle name="Normal 2 2 2 2 2 2 2 2 31 7" xfId="17716" xr:uid="{6DA636B8-CE4A-4224-90D0-3F17EB5B7BBF}"/>
    <cellStyle name="Normal 2 2 2 2 2 2 2 2 31 8" xfId="17717" xr:uid="{4CA1CEBF-975C-4214-BBEC-1B72A42604CD}"/>
    <cellStyle name="Normal 2 2 2 2 2 2 2 2 32" xfId="17718" xr:uid="{B586F008-309C-43D0-8E86-F79BF7A47D8E}"/>
    <cellStyle name="Normal 2 2 2 2 2 2 2 2 33" xfId="17719" xr:uid="{D1C3D65E-3CE2-4C9D-9041-23C09DAA9F5B}"/>
    <cellStyle name="Normal 2 2 2 2 2 2 2 2 34" xfId="17720" xr:uid="{6D8C8475-4453-466A-8271-7DEC71BAF38E}"/>
    <cellStyle name="Normal 2 2 2 2 2 2 2 2 35" xfId="17721" xr:uid="{0EECBE76-1894-4259-917B-8ADDC2087CD1}"/>
    <cellStyle name="Normal 2 2 2 2 2 2 2 2 36" xfId="17722" xr:uid="{E6628EFB-604A-49C9-92D6-CCEDF8E6071F}"/>
    <cellStyle name="Normal 2 2 2 2 2 2 2 2 37" xfId="17723" xr:uid="{D41EEB27-8249-4691-831D-54CE26F894B0}"/>
    <cellStyle name="Normal 2 2 2 2 2 2 2 2 38" xfId="17724" xr:uid="{C8F3095B-418E-483E-A743-DC01B9D502B6}"/>
    <cellStyle name="Normal 2 2 2 2 2 2 2 2 39" xfId="17725" xr:uid="{04518828-4B8D-4BB7-AEF4-598FE78D6245}"/>
    <cellStyle name="Normal 2 2 2 2 2 2 2 2 4" xfId="17726" xr:uid="{A9C109B7-60BA-41A2-A277-06FC37AACAEC}"/>
    <cellStyle name="Normal 2 2 2 2 2 2 2 2 4 10" xfId="17727" xr:uid="{F9A24077-0EA3-47E0-B645-7E8F2C998F55}"/>
    <cellStyle name="Normal 2 2 2 2 2 2 2 2 4 11" xfId="17728" xr:uid="{DFD79A77-972C-4303-BFBC-F77C5395F914}"/>
    <cellStyle name="Normal 2 2 2 2 2 2 2 2 4 12" xfId="17729" xr:uid="{1627EB9E-5448-47C0-81ED-50E72B81F0AE}"/>
    <cellStyle name="Normal 2 2 2 2 2 2 2 2 4 13" xfId="17730" xr:uid="{8698C6EC-3FD5-435B-BB69-BD0AC4462EE0}"/>
    <cellStyle name="Normal 2 2 2 2 2 2 2 2 4 2" xfId="17731" xr:uid="{F7E23E58-445A-4F42-BFD8-EC0D26B87993}"/>
    <cellStyle name="Normal 2 2 2 2 2 2 2 2 4 2 2" xfId="17732" xr:uid="{BAB16005-2BEB-4EB4-B4DF-82E079CE937C}"/>
    <cellStyle name="Normal 2 2 2 2 2 2 2 2 4 2 3" xfId="17733" xr:uid="{E6B39E5D-3D2B-4D66-8523-5EFFD418DA12}"/>
    <cellStyle name="Normal 2 2 2 2 2 2 2 2 4 2 4" xfId="17734" xr:uid="{035ED3BC-A0C0-4D88-B96B-EC131D83F5B9}"/>
    <cellStyle name="Normal 2 2 2 2 2 2 2 2 4 2 5" xfId="17735" xr:uid="{D67E7073-6699-4D63-A830-0A394C5036D0}"/>
    <cellStyle name="Normal 2 2 2 2 2 2 2 2 4 2 6" xfId="17736" xr:uid="{72F55789-B39E-4AAB-98E7-CAE31DD44DD0}"/>
    <cellStyle name="Normal 2 2 2 2 2 2 2 2 4 3" xfId="17737" xr:uid="{1BFE874C-CF7F-4105-870C-CEBF79DF6664}"/>
    <cellStyle name="Normal 2 2 2 2 2 2 2 2 4 3 2" xfId="17738" xr:uid="{D574A460-168C-49E3-BD3D-7605FF6EC41C}"/>
    <cellStyle name="Normal 2 2 2 2 2 2 2 2 4 3 3" xfId="17739" xr:uid="{8C09C9CF-5657-4B27-9A3C-370BCA470045}"/>
    <cellStyle name="Normal 2 2 2 2 2 2 2 2 4 3 4" xfId="17740" xr:uid="{05889ADD-6214-438C-A089-4EFE7742B11F}"/>
    <cellStyle name="Normal 2 2 2 2 2 2 2 2 4 3 5" xfId="17741" xr:uid="{FA0BD0AF-56F2-4FD2-BE14-02D49AF6E215}"/>
    <cellStyle name="Normal 2 2 2 2 2 2 2 2 4 3 6" xfId="17742" xr:uid="{7C5418DC-CDD6-48A4-A04E-AB7F0B978660}"/>
    <cellStyle name="Normal 2 2 2 2 2 2 2 2 4 4" xfId="17743" xr:uid="{5FCA7BB0-052F-4B6D-A165-3638D1F58911}"/>
    <cellStyle name="Normal 2 2 2 2 2 2 2 2 4 4 2" xfId="17744" xr:uid="{F623B494-3FD3-4E5C-9970-36CB57C54AE5}"/>
    <cellStyle name="Normal 2 2 2 2 2 2 2 2 4 4 3" xfId="17745" xr:uid="{6BF1F2E1-EB4F-4EB0-A2D3-2A0A4EFFCECD}"/>
    <cellStyle name="Normal 2 2 2 2 2 2 2 2 4 4 4" xfId="17746" xr:uid="{2944361A-313D-40D2-B10B-27D148E7AFE0}"/>
    <cellStyle name="Normal 2 2 2 2 2 2 2 2 4 4 5" xfId="17747" xr:uid="{D19B4AA6-3326-44F9-8194-8AFE6ADB104F}"/>
    <cellStyle name="Normal 2 2 2 2 2 2 2 2 4 4 6" xfId="17748" xr:uid="{DB07DCF1-6986-4E18-A9AA-749BCB61962E}"/>
    <cellStyle name="Normal 2 2 2 2 2 2 2 2 4 5" xfId="17749" xr:uid="{1671E887-0573-4724-8DA7-12FD290103D7}"/>
    <cellStyle name="Normal 2 2 2 2 2 2 2 2 4 5 2" xfId="17750" xr:uid="{AE9BBB74-B71B-4A8F-B804-FD428A738825}"/>
    <cellStyle name="Normal 2 2 2 2 2 2 2 2 4 5 3" xfId="17751" xr:uid="{18BD1A80-E2E7-4662-9CF8-956E2E396072}"/>
    <cellStyle name="Normal 2 2 2 2 2 2 2 2 4 5 4" xfId="17752" xr:uid="{A38068E7-49AF-4697-B425-411C54E47A07}"/>
    <cellStyle name="Normal 2 2 2 2 2 2 2 2 4 5 5" xfId="17753" xr:uid="{32B0E193-88DE-4B92-858F-57885414EA1E}"/>
    <cellStyle name="Normal 2 2 2 2 2 2 2 2 4 5 6" xfId="17754" xr:uid="{6C56CC9E-8646-4A70-81BC-FFAB050906EE}"/>
    <cellStyle name="Normal 2 2 2 2 2 2 2 2 4 6" xfId="17755" xr:uid="{3DC1458E-EBE6-47A7-BAB1-DD1D6CD9E3F0}"/>
    <cellStyle name="Normal 2 2 2 2 2 2 2 2 4 6 2" xfId="17756" xr:uid="{E46E03EF-5C41-4487-9EB4-E959454D9BCC}"/>
    <cellStyle name="Normal 2 2 2 2 2 2 2 2 4 6 3" xfId="17757" xr:uid="{C3F4A6EF-C8AE-42D7-83F6-31CF6AA3F2C3}"/>
    <cellStyle name="Normal 2 2 2 2 2 2 2 2 4 6 4" xfId="17758" xr:uid="{69803506-1457-459A-A62C-45260CA0DE3F}"/>
    <cellStyle name="Normal 2 2 2 2 2 2 2 2 4 6 5" xfId="17759" xr:uid="{1DD821B1-3DF4-49AF-9558-887F1C17447C}"/>
    <cellStyle name="Normal 2 2 2 2 2 2 2 2 4 6 6" xfId="17760" xr:uid="{3B822427-7F39-4152-96D6-E224F5761036}"/>
    <cellStyle name="Normal 2 2 2 2 2 2 2 2 4 7" xfId="17761" xr:uid="{B8926999-E2D3-4F5A-BF48-3268F60B9361}"/>
    <cellStyle name="Normal 2 2 2 2 2 2 2 2 4 7 2" xfId="17762" xr:uid="{27A985EE-9445-4E8B-BF80-873EE5C4848E}"/>
    <cellStyle name="Normal 2 2 2 2 2 2 2 2 4 7 3" xfId="17763" xr:uid="{C8A8FD35-EA68-4C9E-B57A-63AFF6728B3F}"/>
    <cellStyle name="Normal 2 2 2 2 2 2 2 2 4 7 4" xfId="17764" xr:uid="{0875F350-23E9-470D-86C6-782E9C0D1018}"/>
    <cellStyle name="Normal 2 2 2 2 2 2 2 2 4 7 5" xfId="17765" xr:uid="{D1F81C5C-B8FB-4486-8472-0D1673BB8697}"/>
    <cellStyle name="Normal 2 2 2 2 2 2 2 2 4 7 6" xfId="17766" xr:uid="{3930EF8A-D391-43D6-946D-3C19AEBD8F58}"/>
    <cellStyle name="Normal 2 2 2 2 2 2 2 2 4 8" xfId="17767" xr:uid="{7A33662E-E4A4-47E1-9D6D-E4D30781D5C1}"/>
    <cellStyle name="Normal 2 2 2 2 2 2 2 2 4 8 2" xfId="17768" xr:uid="{6EF647CD-47A9-408C-9CF4-C7751FCEDF64}"/>
    <cellStyle name="Normal 2 2 2 2 2 2 2 2 4 8 3" xfId="17769" xr:uid="{F2BFA591-ED4D-4D22-8F8E-C900F5785D12}"/>
    <cellStyle name="Normal 2 2 2 2 2 2 2 2 4 8 4" xfId="17770" xr:uid="{F1AA5E2C-F91A-47FB-995B-35F4D027BC6C}"/>
    <cellStyle name="Normal 2 2 2 2 2 2 2 2 4 8 5" xfId="17771" xr:uid="{36D8189D-201F-43DF-BAE3-3128EE8D9EBF}"/>
    <cellStyle name="Normal 2 2 2 2 2 2 2 2 4 8 6" xfId="17772" xr:uid="{E5A04A72-B994-4C13-90EA-A6D5702392E0}"/>
    <cellStyle name="Normal 2 2 2 2 2 2 2 2 4 9" xfId="17773" xr:uid="{9DCA09FE-B776-413A-B4E4-B1228EB72E20}"/>
    <cellStyle name="Normal 2 2 2 2 2 2 2 2 40" xfId="17774" xr:uid="{EFADB647-1C09-48FC-96EA-8C28A41160C3}"/>
    <cellStyle name="Normal 2 2 2 2 2 2 2 2 41" xfId="17775" xr:uid="{CD91D979-D201-4921-B5FC-B03A7B2B69AE}"/>
    <cellStyle name="Normal 2 2 2 2 2 2 2 2 42" xfId="17776" xr:uid="{27903F9B-5E98-46FD-AD21-DCF9942B6BD4}"/>
    <cellStyle name="Normal 2 2 2 2 2 2 2 2 43" xfId="17777" xr:uid="{B78CA122-0184-4594-9214-02EBC4CC0D0C}"/>
    <cellStyle name="Normal 2 2 2 2 2 2 2 2 44" xfId="17778" xr:uid="{7B014243-49AC-4A3E-9273-7DEB9EACD8B9}"/>
    <cellStyle name="Normal 2 2 2 2 2 2 2 2 45" xfId="17779" xr:uid="{C773577A-2A8B-41D9-AFCC-E9F321B2E65A}"/>
    <cellStyle name="Normal 2 2 2 2 2 2 2 2 46" xfId="17780" xr:uid="{AF42F15C-2C9C-407C-AEAE-89A3864B35A5}"/>
    <cellStyle name="Normal 2 2 2 2 2 2 2 2 47" xfId="17781" xr:uid="{0F1CE155-D4CC-4245-BD3F-275DD402E307}"/>
    <cellStyle name="Normal 2 2 2 2 2 2 2 2 48" xfId="17782" xr:uid="{49279C55-C435-456A-A5E9-93F0A676BA0E}"/>
    <cellStyle name="Normal 2 2 2 2 2 2 2 2 49" xfId="17783" xr:uid="{E0D90961-6EAF-42F6-8E63-73A1E4817AFB}"/>
    <cellStyle name="Normal 2 2 2 2 2 2 2 2 5" xfId="17784" xr:uid="{E61275A9-B4CC-488E-A35C-B0A7D9E8F348}"/>
    <cellStyle name="Normal 2 2 2 2 2 2 2 2 5 10" xfId="17785" xr:uid="{6B20B4D6-AA08-409F-A0AA-05E3AC9B9CFC}"/>
    <cellStyle name="Normal 2 2 2 2 2 2 2 2 5 11" xfId="17786" xr:uid="{65E3F472-3591-4826-8810-CD2529B9D69B}"/>
    <cellStyle name="Normal 2 2 2 2 2 2 2 2 5 12" xfId="17787" xr:uid="{A9F8E6C8-C3E7-4069-93E9-6C6550DC35DC}"/>
    <cellStyle name="Normal 2 2 2 2 2 2 2 2 5 13" xfId="17788" xr:uid="{78CF361B-4902-4A2A-AD1B-12AC1D30802C}"/>
    <cellStyle name="Normal 2 2 2 2 2 2 2 2 5 2" xfId="17789" xr:uid="{E14E22C4-5AAD-44EE-85ED-D53AF10AE2CB}"/>
    <cellStyle name="Normal 2 2 2 2 2 2 2 2 5 2 2" xfId="17790" xr:uid="{C269F17D-0C8E-4952-B782-4E1A9D0F9DED}"/>
    <cellStyle name="Normal 2 2 2 2 2 2 2 2 5 2 3" xfId="17791" xr:uid="{BF444322-3F65-47AA-9A23-7EF65200F7A3}"/>
    <cellStyle name="Normal 2 2 2 2 2 2 2 2 5 2 4" xfId="17792" xr:uid="{72D5D616-299E-44B9-93AB-AC3C7AD44D0F}"/>
    <cellStyle name="Normal 2 2 2 2 2 2 2 2 5 2 5" xfId="17793" xr:uid="{69FEFBCE-4C85-4ECB-B7EC-ECCF263798A8}"/>
    <cellStyle name="Normal 2 2 2 2 2 2 2 2 5 2 6" xfId="17794" xr:uid="{0427F57D-F89D-4777-BD99-9582701BA2C1}"/>
    <cellStyle name="Normal 2 2 2 2 2 2 2 2 5 3" xfId="17795" xr:uid="{EA36D12B-EF51-49C6-AA46-A9ED4B5ACC45}"/>
    <cellStyle name="Normal 2 2 2 2 2 2 2 2 5 3 2" xfId="17796" xr:uid="{D4E756C0-FB0E-495C-8D03-F72859FEB83D}"/>
    <cellStyle name="Normal 2 2 2 2 2 2 2 2 5 3 3" xfId="17797" xr:uid="{C683AAB3-4F73-49AD-9E54-64387C5C3A46}"/>
    <cellStyle name="Normal 2 2 2 2 2 2 2 2 5 3 4" xfId="17798" xr:uid="{463E0801-DBE8-44DC-B8C2-C7A049504350}"/>
    <cellStyle name="Normal 2 2 2 2 2 2 2 2 5 3 5" xfId="17799" xr:uid="{733BC12E-93F2-4C18-8FB2-F2BEF653BE3E}"/>
    <cellStyle name="Normal 2 2 2 2 2 2 2 2 5 3 6" xfId="17800" xr:uid="{9DAB4AE5-23DF-45F5-B51A-F8EFCD77BE95}"/>
    <cellStyle name="Normal 2 2 2 2 2 2 2 2 5 4" xfId="17801" xr:uid="{C2726AE4-91D8-4BF0-B813-5C3DE854B926}"/>
    <cellStyle name="Normal 2 2 2 2 2 2 2 2 5 4 2" xfId="17802" xr:uid="{8DAC5C3E-EBB5-4BBA-A021-3F95D3131386}"/>
    <cellStyle name="Normal 2 2 2 2 2 2 2 2 5 4 3" xfId="17803" xr:uid="{9B1878FC-E576-4D7D-B317-462B7BB0DC83}"/>
    <cellStyle name="Normal 2 2 2 2 2 2 2 2 5 4 4" xfId="17804" xr:uid="{4329780C-F410-41AE-88CA-5BED1F1E8AC4}"/>
    <cellStyle name="Normal 2 2 2 2 2 2 2 2 5 4 5" xfId="17805" xr:uid="{FA229280-4B81-4187-86AC-48398C7E8732}"/>
    <cellStyle name="Normal 2 2 2 2 2 2 2 2 5 4 6" xfId="17806" xr:uid="{71B5372E-1946-4010-B1D3-97DB7C7BD30F}"/>
    <cellStyle name="Normal 2 2 2 2 2 2 2 2 5 5" xfId="17807" xr:uid="{FE2816AB-374F-4D54-AECA-8BF15B778AAF}"/>
    <cellStyle name="Normal 2 2 2 2 2 2 2 2 5 5 2" xfId="17808" xr:uid="{56A67661-4BF3-4573-A27F-028D100FB263}"/>
    <cellStyle name="Normal 2 2 2 2 2 2 2 2 5 5 3" xfId="17809" xr:uid="{0E22458F-AA7A-4E3F-AB16-CD49034D117C}"/>
    <cellStyle name="Normal 2 2 2 2 2 2 2 2 5 5 4" xfId="17810" xr:uid="{9C778130-AFFD-419B-B3FE-C940B04E03D4}"/>
    <cellStyle name="Normal 2 2 2 2 2 2 2 2 5 5 5" xfId="17811" xr:uid="{0B07D6E6-D43B-404D-83F3-FD4AB06218FC}"/>
    <cellStyle name="Normal 2 2 2 2 2 2 2 2 5 5 6" xfId="17812" xr:uid="{4C10E84B-D3F1-4E9F-B982-12A829B642FF}"/>
    <cellStyle name="Normal 2 2 2 2 2 2 2 2 5 6" xfId="17813" xr:uid="{76A010E0-407D-4E33-8666-499B2D0B5504}"/>
    <cellStyle name="Normal 2 2 2 2 2 2 2 2 5 6 2" xfId="17814" xr:uid="{92A801FA-7B2C-4642-A5D6-C042EEA11701}"/>
    <cellStyle name="Normal 2 2 2 2 2 2 2 2 5 6 3" xfId="17815" xr:uid="{22FF8147-2835-4160-A417-0D92CE0D46FE}"/>
    <cellStyle name="Normal 2 2 2 2 2 2 2 2 5 6 4" xfId="17816" xr:uid="{B3007640-2337-4D05-9E63-2B3173040A76}"/>
    <cellStyle name="Normal 2 2 2 2 2 2 2 2 5 6 5" xfId="17817" xr:uid="{1C148E06-4C3E-41DC-BB99-201EDED51D18}"/>
    <cellStyle name="Normal 2 2 2 2 2 2 2 2 5 6 6" xfId="17818" xr:uid="{7D53F0E4-2450-4BC5-BCCC-A2FDC06DCC4A}"/>
    <cellStyle name="Normal 2 2 2 2 2 2 2 2 5 7" xfId="17819" xr:uid="{A095BB6F-C082-437B-B05B-4B0C63D8C802}"/>
    <cellStyle name="Normal 2 2 2 2 2 2 2 2 5 7 2" xfId="17820" xr:uid="{3A3C1A56-1D9C-42FB-B780-B5AC6D49B2FA}"/>
    <cellStyle name="Normal 2 2 2 2 2 2 2 2 5 7 3" xfId="17821" xr:uid="{CF6AC617-19ED-4B42-B676-702448120D17}"/>
    <cellStyle name="Normal 2 2 2 2 2 2 2 2 5 7 4" xfId="17822" xr:uid="{A4170572-6CF7-4CB4-9E00-57CC46DDAB3F}"/>
    <cellStyle name="Normal 2 2 2 2 2 2 2 2 5 7 5" xfId="17823" xr:uid="{43D9F742-58FD-4BC3-86A5-9948CAC89429}"/>
    <cellStyle name="Normal 2 2 2 2 2 2 2 2 5 7 6" xfId="17824" xr:uid="{B5A2C62C-CC88-4875-8AF2-D425B4A9B809}"/>
    <cellStyle name="Normal 2 2 2 2 2 2 2 2 5 8" xfId="17825" xr:uid="{87CC55B9-D47A-445C-BC68-2857FC5BC51B}"/>
    <cellStyle name="Normal 2 2 2 2 2 2 2 2 5 8 2" xfId="17826" xr:uid="{D8C4BE8A-8F0A-4CD2-98F0-38372A80807F}"/>
    <cellStyle name="Normal 2 2 2 2 2 2 2 2 5 8 3" xfId="17827" xr:uid="{40B52106-58EB-4711-B188-87C106B5B258}"/>
    <cellStyle name="Normal 2 2 2 2 2 2 2 2 5 8 4" xfId="17828" xr:uid="{C6939775-0E06-4367-A3D5-CFCF4E3491D8}"/>
    <cellStyle name="Normal 2 2 2 2 2 2 2 2 5 8 5" xfId="17829" xr:uid="{76B9BE5B-960B-48D8-9201-0A04E8B1401D}"/>
    <cellStyle name="Normal 2 2 2 2 2 2 2 2 5 8 6" xfId="17830" xr:uid="{FD8301FE-6697-405B-9574-34946D4E4019}"/>
    <cellStyle name="Normal 2 2 2 2 2 2 2 2 5 9" xfId="17831" xr:uid="{F8326B4C-97C4-41E0-B907-8EBA4851BE79}"/>
    <cellStyle name="Normal 2 2 2 2 2 2 2 2 50" xfId="17832" xr:uid="{3CF62AB5-C05C-4262-B492-5A232704C4C5}"/>
    <cellStyle name="Normal 2 2 2 2 2 2 2 2 51" xfId="17833" xr:uid="{675EA47A-DBBB-48A3-9890-E915AB3A8354}"/>
    <cellStyle name="Normal 2 2 2 2 2 2 2 2 51 2" xfId="17834" xr:uid="{F30BBF74-C001-4278-A64C-8407587C4E2B}"/>
    <cellStyle name="Normal 2 2 2 2 2 2 2 2 51 3" xfId="17835" xr:uid="{F829E53F-E6EB-4F15-A30A-95680E66049E}"/>
    <cellStyle name="Normal 2 2 2 2 2 2 2 2 51 4" xfId="17836" xr:uid="{4D67C655-D40C-4036-AFBE-DBA1F4F7FABF}"/>
    <cellStyle name="Normal 2 2 2 2 2 2 2 2 51 5" xfId="17837" xr:uid="{5552FA89-CF75-482F-B2D0-2F10F5509B2C}"/>
    <cellStyle name="Normal 2 2 2 2 2 2 2 2 51 6" xfId="17838" xr:uid="{55EC0FA7-A3EB-48FE-AE97-33076AEF7D2F}"/>
    <cellStyle name="Normal 2 2 2 2 2 2 2 2 51 7" xfId="17839" xr:uid="{786F549E-6B94-4C5B-B32B-C1865331E52D}"/>
    <cellStyle name="Normal 2 2 2 2 2 2 2 2 52" xfId="17840" xr:uid="{B013C188-8047-42DF-837C-56618C1E4135}"/>
    <cellStyle name="Normal 2 2 2 2 2 2 2 2 52 10" xfId="17841" xr:uid="{40E80B6A-70CF-4A2A-83D3-5BC09C8CA136}"/>
    <cellStyle name="Normal 2 2 2 2 2 2 2 2 52 11" xfId="17842" xr:uid="{7B9CC159-527A-4F33-BC92-DD75871040BB}"/>
    <cellStyle name="Normal 2 2 2 2 2 2 2 2 52 2" xfId="17843" xr:uid="{5280C0F3-DEF7-47DD-A190-1DA4EB2E69C1}"/>
    <cellStyle name="Normal 2 2 2 2 2 2 2 2 52 2 2" xfId="17844" xr:uid="{83240B0A-3F3D-40D7-9FBB-B0C16C3B774F}"/>
    <cellStyle name="Normal 2 2 2 2 2 2 2 2 52 2 2 2" xfId="17845" xr:uid="{40CB32F7-F907-4D5A-B3A6-977768847EA2}"/>
    <cellStyle name="Normal 2 2 2 2 2 2 2 2 52 2 2 3" xfId="17846" xr:uid="{80D3D616-1603-4CDF-B681-F8107A8F60F8}"/>
    <cellStyle name="Normal 2 2 2 2 2 2 2 2 52 2 3" xfId="17847" xr:uid="{7EF5CFFD-4080-45D9-A2B9-B1DBAE6A8668}"/>
    <cellStyle name="Normal 2 2 2 2 2 2 2 2 52 2 4" xfId="17848" xr:uid="{D31AB359-13C2-4441-9127-4200C6C6A8D8}"/>
    <cellStyle name="Normal 2 2 2 2 2 2 2 2 52 2 5" xfId="17849" xr:uid="{3980AA20-5CEB-43B9-A977-88D7B44B866C}"/>
    <cellStyle name="Normal 2 2 2 2 2 2 2 2 52 2 6" xfId="17850" xr:uid="{C7500F85-1F3D-4A7E-B6F9-5FE246644550}"/>
    <cellStyle name="Normal 2 2 2 2 2 2 2 2 52 2 7" xfId="17851" xr:uid="{0EC01DB5-AECC-4BBC-AA88-6F30BC32EA7C}"/>
    <cellStyle name="Normal 2 2 2 2 2 2 2 2 52 2 8" xfId="17852" xr:uid="{2EDD7E5E-2F78-4DE6-81BC-D24091C3A47A}"/>
    <cellStyle name="Normal 2 2 2 2 2 2 2 2 52 2 9" xfId="17853" xr:uid="{6333898C-C5B9-4C35-982D-00ED92DECC22}"/>
    <cellStyle name="Normal 2 2 2 2 2 2 2 2 52 3" xfId="17854" xr:uid="{5E4CA4B9-E1E0-4517-90CA-9FEB28F8E4BD}"/>
    <cellStyle name="Normal 2 2 2 2 2 2 2 2 52 4" xfId="17855" xr:uid="{69697184-796A-4231-91E1-4CA6167217EE}"/>
    <cellStyle name="Normal 2 2 2 2 2 2 2 2 52 5" xfId="17856" xr:uid="{DBE53F10-4A9F-4AB6-85C9-60F5E9307E1E}"/>
    <cellStyle name="Normal 2 2 2 2 2 2 2 2 52 5 2" xfId="17857" xr:uid="{D6AF86C2-EC07-41E9-889A-44D47252D38B}"/>
    <cellStyle name="Normal 2 2 2 2 2 2 2 2 52 5 3" xfId="17858" xr:uid="{5CADC899-419E-4A0A-B763-005D5EE98139}"/>
    <cellStyle name="Normal 2 2 2 2 2 2 2 2 52 6" xfId="17859" xr:uid="{5726F226-6F04-4C49-93FA-2BADC5042DE6}"/>
    <cellStyle name="Normal 2 2 2 2 2 2 2 2 52 7" xfId="17860" xr:uid="{8BC270A7-57C8-4185-924A-503E1A2D6568}"/>
    <cellStyle name="Normal 2 2 2 2 2 2 2 2 52 8" xfId="17861" xr:uid="{CC004318-B415-4369-99ED-F524F6196D8D}"/>
    <cellStyle name="Normal 2 2 2 2 2 2 2 2 52 9" xfId="17862" xr:uid="{5F249193-5161-424F-B538-782FC6314898}"/>
    <cellStyle name="Normal 2 2 2 2 2 2 2 2 53" xfId="17863" xr:uid="{905325A7-2684-419E-89C1-19B3290CCE6E}"/>
    <cellStyle name="Normal 2 2 2 2 2 2 2 2 54" xfId="17864" xr:uid="{48541249-CA90-4F6A-AF98-E2B402DD9C33}"/>
    <cellStyle name="Normal 2 2 2 2 2 2 2 2 55" xfId="17865" xr:uid="{4A248C26-DCF1-484A-A5F9-8637AC46D143}"/>
    <cellStyle name="Normal 2 2 2 2 2 2 2 2 55 2" xfId="17866" xr:uid="{7CA309AB-B740-4D43-9C47-624DD148D951}"/>
    <cellStyle name="Normal 2 2 2 2 2 2 2 2 55 2 2" xfId="17867" xr:uid="{7C271577-6F9D-4A92-9875-AAC0CE205E7B}"/>
    <cellStyle name="Normal 2 2 2 2 2 2 2 2 55 2 3" xfId="17868" xr:uid="{7B04E607-7577-4A84-A788-08427E0775A5}"/>
    <cellStyle name="Normal 2 2 2 2 2 2 2 2 55 3" xfId="17869" xr:uid="{7995B21F-6C71-482E-AB02-C2C81A14CA81}"/>
    <cellStyle name="Normal 2 2 2 2 2 2 2 2 55 4" xfId="17870" xr:uid="{AA9CD7EF-8789-4AB9-B9F3-1D67369388B8}"/>
    <cellStyle name="Normal 2 2 2 2 2 2 2 2 55 5" xfId="17871" xr:uid="{D76C9A8F-B7C1-41AD-A99C-58E0561FCB84}"/>
    <cellStyle name="Normal 2 2 2 2 2 2 2 2 55 6" xfId="17872" xr:uid="{55E56893-692A-465A-90C2-38FBF4FEAE4B}"/>
    <cellStyle name="Normal 2 2 2 2 2 2 2 2 55 7" xfId="17873" xr:uid="{E68BEE68-50A1-44DC-9D1D-F7BE217A76D0}"/>
    <cellStyle name="Normal 2 2 2 2 2 2 2 2 55 8" xfId="17874" xr:uid="{B2CE0CD9-79A2-4063-A2A3-0A29FC6D571E}"/>
    <cellStyle name="Normal 2 2 2 2 2 2 2 2 55 9" xfId="17875" xr:uid="{6019770C-4FC3-4CC9-A26C-1272D46C4259}"/>
    <cellStyle name="Normal 2 2 2 2 2 2 2 2 56" xfId="17876" xr:uid="{DA6C7B6F-7EDE-437D-924C-73F01E80DDF2}"/>
    <cellStyle name="Normal 2 2 2 2 2 2 2 2 57" xfId="17877" xr:uid="{10452428-7BE3-4EC9-AAE1-B68E00D09FD5}"/>
    <cellStyle name="Normal 2 2 2 2 2 2 2 2 57 2" xfId="17878" xr:uid="{05AB5DEE-D3FA-4E60-A1EA-C718AB7CEC74}"/>
    <cellStyle name="Normal 2 2 2 2 2 2 2 2 57 3" xfId="17879" xr:uid="{0B06DB7F-27FC-4916-B62A-CB4D3D07AD4B}"/>
    <cellStyle name="Normal 2 2 2 2 2 2 2 2 58" xfId="17880" xr:uid="{07A4D2E2-487D-425B-83A0-B1B428F2F7AD}"/>
    <cellStyle name="Normal 2 2 2 2 2 2 2 2 59" xfId="17881" xr:uid="{4345989A-B82E-416F-9A41-E0C55B1519F3}"/>
    <cellStyle name="Normal 2 2 2 2 2 2 2 2 6" xfId="17882" xr:uid="{5066E4BD-6340-4391-9D65-2D3BBA5243A0}"/>
    <cellStyle name="Normal 2 2 2 2 2 2 2 2 6 10" xfId="17883" xr:uid="{C28B977E-E4F7-4595-8A1A-9943F4204FE1}"/>
    <cellStyle name="Normal 2 2 2 2 2 2 2 2 6 11" xfId="17884" xr:uid="{0CCA2CDA-2E67-4AC6-9CED-BE91AD4DBD99}"/>
    <cellStyle name="Normal 2 2 2 2 2 2 2 2 6 12" xfId="17885" xr:uid="{75AC68E6-8C82-4314-ABCE-15EC2FABCE24}"/>
    <cellStyle name="Normal 2 2 2 2 2 2 2 2 6 13" xfId="17886" xr:uid="{4A0D95BE-E0AB-406B-B849-F257CEB3674E}"/>
    <cellStyle name="Normal 2 2 2 2 2 2 2 2 6 2" xfId="17887" xr:uid="{8FCFD2A7-C645-493F-A85A-D149EB1C5762}"/>
    <cellStyle name="Normal 2 2 2 2 2 2 2 2 6 2 2" xfId="17888" xr:uid="{C70D4B46-C801-4F6C-B2CB-357E3C1EE308}"/>
    <cellStyle name="Normal 2 2 2 2 2 2 2 2 6 2 3" xfId="17889" xr:uid="{4DC91ACE-5A29-4B41-A260-A183B0C32DB9}"/>
    <cellStyle name="Normal 2 2 2 2 2 2 2 2 6 2 4" xfId="17890" xr:uid="{54BB21AD-2863-426D-9297-4307599CAB6A}"/>
    <cellStyle name="Normal 2 2 2 2 2 2 2 2 6 2 5" xfId="17891" xr:uid="{6243A4E2-2AE6-4EF1-92EB-B024B19DAA3B}"/>
    <cellStyle name="Normal 2 2 2 2 2 2 2 2 6 2 6" xfId="17892" xr:uid="{D4777FC7-EFD2-41F2-BE80-D522EA9F2AF5}"/>
    <cellStyle name="Normal 2 2 2 2 2 2 2 2 6 3" xfId="17893" xr:uid="{13B52C0E-EA1C-433A-8924-CF9CF8FFDF52}"/>
    <cellStyle name="Normal 2 2 2 2 2 2 2 2 6 3 2" xfId="17894" xr:uid="{3ACEC3CD-34EF-43C8-81C0-D7353D96C5F6}"/>
    <cellStyle name="Normal 2 2 2 2 2 2 2 2 6 3 3" xfId="17895" xr:uid="{7C15D8D4-DE13-4ACE-ADD3-BCF356D92341}"/>
    <cellStyle name="Normal 2 2 2 2 2 2 2 2 6 3 4" xfId="17896" xr:uid="{247AB294-29FF-42D9-9012-C17971A65B96}"/>
    <cellStyle name="Normal 2 2 2 2 2 2 2 2 6 3 5" xfId="17897" xr:uid="{783E668D-C55A-45E4-B05B-9D739AA956AB}"/>
    <cellStyle name="Normal 2 2 2 2 2 2 2 2 6 3 6" xfId="17898" xr:uid="{87E5167D-5F8A-477A-9D9F-C4E1BEBCC05E}"/>
    <cellStyle name="Normal 2 2 2 2 2 2 2 2 6 4" xfId="17899" xr:uid="{359DE222-2274-4CAD-AD1F-61B204DC33E7}"/>
    <cellStyle name="Normal 2 2 2 2 2 2 2 2 6 4 2" xfId="17900" xr:uid="{1889C6A7-A669-41E4-82AE-3CEC344B1B59}"/>
    <cellStyle name="Normal 2 2 2 2 2 2 2 2 6 4 3" xfId="17901" xr:uid="{1FF98AEF-4791-441B-8ECC-B1D12A4C9704}"/>
    <cellStyle name="Normal 2 2 2 2 2 2 2 2 6 4 4" xfId="17902" xr:uid="{3066E5F8-A832-4C11-B09E-786CB30668DC}"/>
    <cellStyle name="Normal 2 2 2 2 2 2 2 2 6 4 5" xfId="17903" xr:uid="{0F259C82-47C2-435E-8D3A-D7CFBD830E6D}"/>
    <cellStyle name="Normal 2 2 2 2 2 2 2 2 6 4 6" xfId="17904" xr:uid="{0149C4C2-7F02-45AA-BDCB-377AA6C87180}"/>
    <cellStyle name="Normal 2 2 2 2 2 2 2 2 6 5" xfId="17905" xr:uid="{06DC2C15-4999-4B49-BDB1-1924281722CB}"/>
    <cellStyle name="Normal 2 2 2 2 2 2 2 2 6 5 2" xfId="17906" xr:uid="{BAA0A82F-2D07-4CF1-81A2-FBF3639BA9AD}"/>
    <cellStyle name="Normal 2 2 2 2 2 2 2 2 6 5 3" xfId="17907" xr:uid="{7F17E208-D951-4C2B-9627-1504F8697FF5}"/>
    <cellStyle name="Normal 2 2 2 2 2 2 2 2 6 5 4" xfId="17908" xr:uid="{9C9EE914-BCD3-4327-8C18-569E24C03086}"/>
    <cellStyle name="Normal 2 2 2 2 2 2 2 2 6 5 5" xfId="17909" xr:uid="{A7084AA0-F3C3-40F1-9221-E0D5139D6E4E}"/>
    <cellStyle name="Normal 2 2 2 2 2 2 2 2 6 5 6" xfId="17910" xr:uid="{0A0CC261-C6C0-4F8A-80F7-9B38FBA5DE9C}"/>
    <cellStyle name="Normal 2 2 2 2 2 2 2 2 6 6" xfId="17911" xr:uid="{82020E3B-E7AE-4E0D-9247-35CA2A134F54}"/>
    <cellStyle name="Normal 2 2 2 2 2 2 2 2 6 6 2" xfId="17912" xr:uid="{DF8F94CE-03FE-45B0-BCF8-86BBAE39FB02}"/>
    <cellStyle name="Normal 2 2 2 2 2 2 2 2 6 6 3" xfId="17913" xr:uid="{80E94C8F-8DEE-49EF-8D92-9BC39DDF5641}"/>
    <cellStyle name="Normal 2 2 2 2 2 2 2 2 6 6 4" xfId="17914" xr:uid="{3287F5FE-B07E-43DC-803E-6C95A5C767D5}"/>
    <cellStyle name="Normal 2 2 2 2 2 2 2 2 6 6 5" xfId="17915" xr:uid="{A31B4F0A-26D2-4FEE-8F2C-0E769667176F}"/>
    <cellStyle name="Normal 2 2 2 2 2 2 2 2 6 6 6" xfId="17916" xr:uid="{177DBBAD-3ED2-47BA-8A09-B8A2D3A76B1F}"/>
    <cellStyle name="Normal 2 2 2 2 2 2 2 2 6 7" xfId="17917" xr:uid="{66553681-F1D9-4EB5-8A82-AB54B467CB3A}"/>
    <cellStyle name="Normal 2 2 2 2 2 2 2 2 6 7 2" xfId="17918" xr:uid="{8FC633DA-67E1-41E0-BD12-C1B3078B907F}"/>
    <cellStyle name="Normal 2 2 2 2 2 2 2 2 6 7 3" xfId="17919" xr:uid="{495B5924-214C-48CF-AE95-3109D34D3513}"/>
    <cellStyle name="Normal 2 2 2 2 2 2 2 2 6 7 4" xfId="17920" xr:uid="{2DEC4170-748E-454B-9A11-977D5FBEC5F9}"/>
    <cellStyle name="Normal 2 2 2 2 2 2 2 2 6 7 5" xfId="17921" xr:uid="{BA099945-1645-457B-878F-0073DB772506}"/>
    <cellStyle name="Normal 2 2 2 2 2 2 2 2 6 7 6" xfId="17922" xr:uid="{B5E8B25A-5165-46C5-96E1-2D97EA82A799}"/>
    <cellStyle name="Normal 2 2 2 2 2 2 2 2 6 8" xfId="17923" xr:uid="{67540225-03C8-4731-8C26-03C956289E4D}"/>
    <cellStyle name="Normal 2 2 2 2 2 2 2 2 6 8 2" xfId="17924" xr:uid="{29C1D505-2836-4C02-9035-CD1D35946E9F}"/>
    <cellStyle name="Normal 2 2 2 2 2 2 2 2 6 8 3" xfId="17925" xr:uid="{1BA16E97-66F6-4E67-B52A-6BBF54D41417}"/>
    <cellStyle name="Normal 2 2 2 2 2 2 2 2 6 8 4" xfId="17926" xr:uid="{F4351378-B2A9-4717-ACAB-8D02E0DF2D44}"/>
    <cellStyle name="Normal 2 2 2 2 2 2 2 2 6 8 5" xfId="17927" xr:uid="{F72E1BFD-9ACC-4A0E-87CB-2F5A093808B0}"/>
    <cellStyle name="Normal 2 2 2 2 2 2 2 2 6 8 6" xfId="17928" xr:uid="{50E553FD-DA0E-4EDD-ABBE-C8B04B0EEBF9}"/>
    <cellStyle name="Normal 2 2 2 2 2 2 2 2 6 9" xfId="17929" xr:uid="{0F47FD97-102B-4FF5-8986-FA5060C6682F}"/>
    <cellStyle name="Normal 2 2 2 2 2 2 2 2 60" xfId="17930" xr:uid="{98497875-5024-4B21-A6DA-44DDF20585FF}"/>
    <cellStyle name="Normal 2 2 2 2 2 2 2 2 61" xfId="17931" xr:uid="{79FB053F-0792-4990-A4A4-262ECB81E04C}"/>
    <cellStyle name="Normal 2 2 2 2 2 2 2 2 62" xfId="17932" xr:uid="{DC493EAC-2553-4862-A6F9-6870A66A7A6A}"/>
    <cellStyle name="Normal 2 2 2 2 2 2 2 2 63" xfId="17933" xr:uid="{2EA37B49-5DA4-4BEB-82EE-973B0C348F0D}"/>
    <cellStyle name="Normal 2 2 2 2 2 2 2 2 7" xfId="17934" xr:uid="{C223007D-BA3D-40E7-811B-70B22D15B002}"/>
    <cellStyle name="Normal 2 2 2 2 2 2 2 2 7 10" xfId="17935" xr:uid="{7E2D0208-BB1F-4E01-BF0E-37B75FD7CED9}"/>
    <cellStyle name="Normal 2 2 2 2 2 2 2 2 7 11" xfId="17936" xr:uid="{9276B3AC-AF3D-4656-AD7B-8B2286C76A56}"/>
    <cellStyle name="Normal 2 2 2 2 2 2 2 2 7 12" xfId="17937" xr:uid="{E6A66459-4342-4895-BE41-3E5A004FB9B0}"/>
    <cellStyle name="Normal 2 2 2 2 2 2 2 2 7 13" xfId="17938" xr:uid="{B27E8C6C-4605-4D52-94F5-8CF3A8AF4785}"/>
    <cellStyle name="Normal 2 2 2 2 2 2 2 2 7 2" xfId="17939" xr:uid="{127D8606-24C6-4D3C-A6A7-510470146AC7}"/>
    <cellStyle name="Normal 2 2 2 2 2 2 2 2 7 2 2" xfId="17940" xr:uid="{F8948128-F5D7-4919-B6CC-24B10C027313}"/>
    <cellStyle name="Normal 2 2 2 2 2 2 2 2 7 2 3" xfId="17941" xr:uid="{935C1DE8-3C4B-4545-819E-EB58495BE3E4}"/>
    <cellStyle name="Normal 2 2 2 2 2 2 2 2 7 2 4" xfId="17942" xr:uid="{C7249D27-CB45-42B0-B646-AEE0FCF56FF0}"/>
    <cellStyle name="Normal 2 2 2 2 2 2 2 2 7 2 5" xfId="17943" xr:uid="{6D0BE311-0E06-44C6-AE1C-417C7246F9BA}"/>
    <cellStyle name="Normal 2 2 2 2 2 2 2 2 7 2 6" xfId="17944" xr:uid="{A77F8D9A-A6B0-4484-93DF-22F24A4EE05E}"/>
    <cellStyle name="Normal 2 2 2 2 2 2 2 2 7 3" xfId="17945" xr:uid="{6DEEFB2E-0EA8-4F8C-B9A2-7B9A3B445B56}"/>
    <cellStyle name="Normal 2 2 2 2 2 2 2 2 7 3 2" xfId="17946" xr:uid="{C0AE8E1D-69A7-4941-825C-540682B80F89}"/>
    <cellStyle name="Normal 2 2 2 2 2 2 2 2 7 3 3" xfId="17947" xr:uid="{0CF5CAA0-81FF-44B4-BF82-B383695984E9}"/>
    <cellStyle name="Normal 2 2 2 2 2 2 2 2 7 3 4" xfId="17948" xr:uid="{58C72E70-5C01-4817-9EF8-B38914F8D6F6}"/>
    <cellStyle name="Normal 2 2 2 2 2 2 2 2 7 3 5" xfId="17949" xr:uid="{8C633CC7-E420-482B-9891-6D63FEA17076}"/>
    <cellStyle name="Normal 2 2 2 2 2 2 2 2 7 3 6" xfId="17950" xr:uid="{81FF90D9-E5FC-4DD0-91BC-81546ECCE1E1}"/>
    <cellStyle name="Normal 2 2 2 2 2 2 2 2 7 4" xfId="17951" xr:uid="{94C0DE55-3D23-4F5F-B9D2-A3F79136F9ED}"/>
    <cellStyle name="Normal 2 2 2 2 2 2 2 2 7 4 2" xfId="17952" xr:uid="{52B0CDFA-05E3-4768-8D27-F93D56545C04}"/>
    <cellStyle name="Normal 2 2 2 2 2 2 2 2 7 4 3" xfId="17953" xr:uid="{31E3E834-EAFA-47A8-95E2-7C8A8886C2CF}"/>
    <cellStyle name="Normal 2 2 2 2 2 2 2 2 7 4 4" xfId="17954" xr:uid="{F4DB28D9-A7FB-4C61-8E6C-8EC6628C68D1}"/>
    <cellStyle name="Normal 2 2 2 2 2 2 2 2 7 4 5" xfId="17955" xr:uid="{D935C418-A76F-47EA-8614-71A642271E14}"/>
    <cellStyle name="Normal 2 2 2 2 2 2 2 2 7 4 6" xfId="17956" xr:uid="{46FB6C60-4EFB-4DA2-9014-4A05C0F36445}"/>
    <cellStyle name="Normal 2 2 2 2 2 2 2 2 7 5" xfId="17957" xr:uid="{A78CF110-72F9-47BC-979B-83B09F1DBEE6}"/>
    <cellStyle name="Normal 2 2 2 2 2 2 2 2 7 5 2" xfId="17958" xr:uid="{19F9A6E4-F738-4D70-8207-E9DE2EB3B791}"/>
    <cellStyle name="Normal 2 2 2 2 2 2 2 2 7 5 3" xfId="17959" xr:uid="{10F7998C-BC4C-4B0F-9732-2F0633C2EC23}"/>
    <cellStyle name="Normal 2 2 2 2 2 2 2 2 7 5 4" xfId="17960" xr:uid="{C8E522F0-7C9C-4ABB-B19D-5E6268A5A63F}"/>
    <cellStyle name="Normal 2 2 2 2 2 2 2 2 7 5 5" xfId="17961" xr:uid="{4CEC444F-F00F-4EBE-BF53-1D56B01B04BF}"/>
    <cellStyle name="Normal 2 2 2 2 2 2 2 2 7 5 6" xfId="17962" xr:uid="{98E6A2DE-69D1-419A-BD74-3911C5094CEC}"/>
    <cellStyle name="Normal 2 2 2 2 2 2 2 2 7 6" xfId="17963" xr:uid="{9E5F8478-6130-4C17-9749-CA195ED38CA6}"/>
    <cellStyle name="Normal 2 2 2 2 2 2 2 2 7 6 2" xfId="17964" xr:uid="{A229C471-1758-4F38-8CC9-1C7793011539}"/>
    <cellStyle name="Normal 2 2 2 2 2 2 2 2 7 6 3" xfId="17965" xr:uid="{71DC5B85-5036-413C-8905-6873CF545A99}"/>
    <cellStyle name="Normal 2 2 2 2 2 2 2 2 7 6 4" xfId="17966" xr:uid="{D95A3015-7E2C-4F01-85D9-082B9D196837}"/>
    <cellStyle name="Normal 2 2 2 2 2 2 2 2 7 6 5" xfId="17967" xr:uid="{697691CB-16E5-4C74-984A-5A8508EC8F08}"/>
    <cellStyle name="Normal 2 2 2 2 2 2 2 2 7 6 6" xfId="17968" xr:uid="{21E19D80-B16B-4F5C-866C-FD4C896139C4}"/>
    <cellStyle name="Normal 2 2 2 2 2 2 2 2 7 7" xfId="17969" xr:uid="{E2BDD7ED-F5FC-4C3B-A688-002916202A58}"/>
    <cellStyle name="Normal 2 2 2 2 2 2 2 2 7 7 2" xfId="17970" xr:uid="{FA9BA5C2-48E5-42B1-81A0-99E3168936E5}"/>
    <cellStyle name="Normal 2 2 2 2 2 2 2 2 7 7 3" xfId="17971" xr:uid="{5BC047D6-5513-4D76-B623-8BD9D199A7F0}"/>
    <cellStyle name="Normal 2 2 2 2 2 2 2 2 7 7 4" xfId="17972" xr:uid="{E0C12939-6162-450F-83BE-E6BDBCD1B628}"/>
    <cellStyle name="Normal 2 2 2 2 2 2 2 2 7 7 5" xfId="17973" xr:uid="{A80DBB7A-617A-4971-8450-6E91BD23F77E}"/>
    <cellStyle name="Normal 2 2 2 2 2 2 2 2 7 7 6" xfId="17974" xr:uid="{B0727F0D-7C93-4610-93F4-F6ADB3AE64D6}"/>
    <cellStyle name="Normal 2 2 2 2 2 2 2 2 7 8" xfId="17975" xr:uid="{2325A818-CBE2-4649-9F9A-E78B6145C78C}"/>
    <cellStyle name="Normal 2 2 2 2 2 2 2 2 7 8 2" xfId="17976" xr:uid="{FE8BA34D-C8C4-466F-960E-E8B29AE8F7D8}"/>
    <cellStyle name="Normal 2 2 2 2 2 2 2 2 7 8 3" xfId="17977" xr:uid="{7C8A8C55-9C3E-487B-9AF3-6841C026639B}"/>
    <cellStyle name="Normal 2 2 2 2 2 2 2 2 7 8 4" xfId="17978" xr:uid="{CCCE8109-B287-4DFA-9426-207B6B424A66}"/>
    <cellStyle name="Normal 2 2 2 2 2 2 2 2 7 8 5" xfId="17979" xr:uid="{0E13DD4A-33E4-4F3F-A07D-64F852BA0D78}"/>
    <cellStyle name="Normal 2 2 2 2 2 2 2 2 7 8 6" xfId="17980" xr:uid="{7E5D2517-F771-49C1-A25E-21F6D4E67EB4}"/>
    <cellStyle name="Normal 2 2 2 2 2 2 2 2 7 9" xfId="17981" xr:uid="{8C4026BD-1814-48F6-AC00-03E1B1F4929E}"/>
    <cellStyle name="Normal 2 2 2 2 2 2 2 2 8" xfId="17982" xr:uid="{64EAAA88-9942-41BF-9144-49CD8293A96A}"/>
    <cellStyle name="Normal 2 2 2 2 2 2 2 2 8 10" xfId="17983" xr:uid="{95F32D82-C9F8-42FD-8A7B-3F56EECDE358}"/>
    <cellStyle name="Normal 2 2 2 2 2 2 2 2 8 11" xfId="17984" xr:uid="{A8E4FABA-B851-48F4-BD1C-2E4FD696382F}"/>
    <cellStyle name="Normal 2 2 2 2 2 2 2 2 8 12" xfId="17985" xr:uid="{9B9E9252-0185-4D9B-BCC5-E72738A936F6}"/>
    <cellStyle name="Normal 2 2 2 2 2 2 2 2 8 13" xfId="17986" xr:uid="{3F9EDC7E-1AD4-469F-A2C0-8E0235FB6C07}"/>
    <cellStyle name="Normal 2 2 2 2 2 2 2 2 8 2" xfId="17987" xr:uid="{FAE4BA13-6C17-434A-A5E3-E9D15029717C}"/>
    <cellStyle name="Normal 2 2 2 2 2 2 2 2 8 2 2" xfId="17988" xr:uid="{561E7777-3C8F-4075-BAC3-D8E4DC9C3A9B}"/>
    <cellStyle name="Normal 2 2 2 2 2 2 2 2 8 2 3" xfId="17989" xr:uid="{8B9B84EA-9536-4F63-B170-578C8B276BCA}"/>
    <cellStyle name="Normal 2 2 2 2 2 2 2 2 8 2 4" xfId="17990" xr:uid="{68D99ED8-D138-4D58-947B-01A9F2635C2A}"/>
    <cellStyle name="Normal 2 2 2 2 2 2 2 2 8 2 5" xfId="17991" xr:uid="{3F61FD37-0CC4-4F20-8899-43F892D43777}"/>
    <cellStyle name="Normal 2 2 2 2 2 2 2 2 8 2 6" xfId="17992" xr:uid="{93BD2204-C9F2-4273-AEAE-447A8257F501}"/>
    <cellStyle name="Normal 2 2 2 2 2 2 2 2 8 3" xfId="17993" xr:uid="{F318101F-D159-4990-A02E-23055A530392}"/>
    <cellStyle name="Normal 2 2 2 2 2 2 2 2 8 3 2" xfId="17994" xr:uid="{498CEEE5-F2D1-4182-8868-EED0101A33D4}"/>
    <cellStyle name="Normal 2 2 2 2 2 2 2 2 8 3 3" xfId="17995" xr:uid="{4DC1F5CD-AE20-4B55-9F20-7D32F2A0251C}"/>
    <cellStyle name="Normal 2 2 2 2 2 2 2 2 8 3 4" xfId="17996" xr:uid="{F8390BFC-4239-4DEA-AC03-6AC19FC1E73F}"/>
    <cellStyle name="Normal 2 2 2 2 2 2 2 2 8 3 5" xfId="17997" xr:uid="{8BEB87DF-2BA0-4296-87F9-E8949ECA81DA}"/>
    <cellStyle name="Normal 2 2 2 2 2 2 2 2 8 3 6" xfId="17998" xr:uid="{53388238-9698-437E-A93D-1E2E553DE5C2}"/>
    <cellStyle name="Normal 2 2 2 2 2 2 2 2 8 4" xfId="17999" xr:uid="{BA09A9BA-A277-46D9-BA2C-5B68417A42AA}"/>
    <cellStyle name="Normal 2 2 2 2 2 2 2 2 8 4 2" xfId="18000" xr:uid="{9CC8CB87-8984-4619-90D0-011D74709327}"/>
    <cellStyle name="Normal 2 2 2 2 2 2 2 2 8 4 3" xfId="18001" xr:uid="{E4EF85FD-8357-4CBD-B0FF-3C33F4447F49}"/>
    <cellStyle name="Normal 2 2 2 2 2 2 2 2 8 4 4" xfId="18002" xr:uid="{0EBD5778-4E30-4817-A815-32DD741902DA}"/>
    <cellStyle name="Normal 2 2 2 2 2 2 2 2 8 4 5" xfId="18003" xr:uid="{015F5F16-B146-4097-A1F5-BD7F71F30C96}"/>
    <cellStyle name="Normal 2 2 2 2 2 2 2 2 8 4 6" xfId="18004" xr:uid="{0455C895-7E38-4E15-AB0C-2C1202C6B167}"/>
    <cellStyle name="Normal 2 2 2 2 2 2 2 2 8 5" xfId="18005" xr:uid="{CBA53A39-ED6D-4E22-9687-AF2746EC8725}"/>
    <cellStyle name="Normal 2 2 2 2 2 2 2 2 8 5 2" xfId="18006" xr:uid="{C0D25A8C-E06E-49D9-A9C7-375A5AD1AAD0}"/>
    <cellStyle name="Normal 2 2 2 2 2 2 2 2 8 5 3" xfId="18007" xr:uid="{FB8817AA-9C04-45DE-86EE-77E44BAC4684}"/>
    <cellStyle name="Normal 2 2 2 2 2 2 2 2 8 5 4" xfId="18008" xr:uid="{704A9CF0-7D11-4276-B3D4-40E82FAEE643}"/>
    <cellStyle name="Normal 2 2 2 2 2 2 2 2 8 5 5" xfId="18009" xr:uid="{3F6311F6-8585-4D10-BD6A-11B950890842}"/>
    <cellStyle name="Normal 2 2 2 2 2 2 2 2 8 5 6" xfId="18010" xr:uid="{66603629-6EE3-416E-85B4-593776352855}"/>
    <cellStyle name="Normal 2 2 2 2 2 2 2 2 8 6" xfId="18011" xr:uid="{56380070-DC06-47AE-A8FF-ACFDB1B8F6B0}"/>
    <cellStyle name="Normal 2 2 2 2 2 2 2 2 8 6 2" xfId="18012" xr:uid="{D7905D58-BB28-4DAD-BB3E-3E7327477F0B}"/>
    <cellStyle name="Normal 2 2 2 2 2 2 2 2 8 6 3" xfId="18013" xr:uid="{0A7C60D8-7659-4185-98F5-2DA176FD778A}"/>
    <cellStyle name="Normal 2 2 2 2 2 2 2 2 8 6 4" xfId="18014" xr:uid="{5610C04C-7ACF-465B-A641-87E56DF5BFC3}"/>
    <cellStyle name="Normal 2 2 2 2 2 2 2 2 8 6 5" xfId="18015" xr:uid="{EBD5B313-AB6D-40E4-B2CE-3CC0525453FB}"/>
    <cellStyle name="Normal 2 2 2 2 2 2 2 2 8 6 6" xfId="18016" xr:uid="{7AF3ED34-6F75-4F34-8B00-FA79BE5D7A75}"/>
    <cellStyle name="Normal 2 2 2 2 2 2 2 2 8 7" xfId="18017" xr:uid="{E4D4FA7D-B962-4270-A8A4-1EEA193E06CB}"/>
    <cellStyle name="Normal 2 2 2 2 2 2 2 2 8 7 2" xfId="18018" xr:uid="{8FE6E55A-FC8B-4385-BACB-C4E34882D73E}"/>
    <cellStyle name="Normal 2 2 2 2 2 2 2 2 8 7 3" xfId="18019" xr:uid="{3219F7CE-4D02-4B5C-8935-72FDBDC29501}"/>
    <cellStyle name="Normal 2 2 2 2 2 2 2 2 8 7 4" xfId="18020" xr:uid="{D860B5EA-2541-4B4B-A800-4E5D9FA9C0DB}"/>
    <cellStyle name="Normal 2 2 2 2 2 2 2 2 8 7 5" xfId="18021" xr:uid="{B6CD4FBC-9A83-4D76-B5F9-E6C1EC722A05}"/>
    <cellStyle name="Normal 2 2 2 2 2 2 2 2 8 7 6" xfId="18022" xr:uid="{EEF37925-0EF8-4054-A694-C5CD0EEFF9E0}"/>
    <cellStyle name="Normal 2 2 2 2 2 2 2 2 8 8" xfId="18023" xr:uid="{B615BFEC-5F9F-49AB-A2E6-47582FA4ADDB}"/>
    <cellStyle name="Normal 2 2 2 2 2 2 2 2 8 8 2" xfId="18024" xr:uid="{FBA4C376-30C1-42DC-8ED5-0474C6A46474}"/>
    <cellStyle name="Normal 2 2 2 2 2 2 2 2 8 8 3" xfId="18025" xr:uid="{573B0321-584F-452C-BB3A-5FD9AFFF0E49}"/>
    <cellStyle name="Normal 2 2 2 2 2 2 2 2 8 8 4" xfId="18026" xr:uid="{3C1658B8-F4E6-4E11-90AC-E915628997E4}"/>
    <cellStyle name="Normal 2 2 2 2 2 2 2 2 8 8 5" xfId="18027" xr:uid="{B762639B-19FB-450B-9C48-7C47E710F051}"/>
    <cellStyle name="Normal 2 2 2 2 2 2 2 2 8 8 6" xfId="18028" xr:uid="{B9154686-FF6C-4551-909C-C2FC492127EE}"/>
    <cellStyle name="Normal 2 2 2 2 2 2 2 2 8 9" xfId="18029" xr:uid="{7CA67B98-1D08-4B07-A030-C7098B88B688}"/>
    <cellStyle name="Normal 2 2 2 2 2 2 2 2 9" xfId="18030" xr:uid="{F28EBF87-108F-4B46-94A6-58D115C54B5A}"/>
    <cellStyle name="Normal 2 2 2 2 2 2 2 2 9 10" xfId="18031" xr:uid="{AA99E4B5-1A79-413A-B280-43C3EB308390}"/>
    <cellStyle name="Normal 2 2 2 2 2 2 2 2 9 11" xfId="18032" xr:uid="{D3C3EE26-075B-4005-81DF-E2B4C54ECA5B}"/>
    <cellStyle name="Normal 2 2 2 2 2 2 2 2 9 12" xfId="18033" xr:uid="{372D546E-1178-4022-BBF3-C39F3E3864ED}"/>
    <cellStyle name="Normal 2 2 2 2 2 2 2 2 9 13" xfId="18034" xr:uid="{78FA4FAC-F5F1-487F-A098-12CFE90D7D97}"/>
    <cellStyle name="Normal 2 2 2 2 2 2 2 2 9 2" xfId="18035" xr:uid="{F6BBF988-7E6F-4390-A991-D45D12AAC01B}"/>
    <cellStyle name="Normal 2 2 2 2 2 2 2 2 9 2 2" xfId="18036" xr:uid="{0E6C8E85-D045-476A-98A3-9601D62A6608}"/>
    <cellStyle name="Normal 2 2 2 2 2 2 2 2 9 2 3" xfId="18037" xr:uid="{1BECE65F-9E2C-4FFA-8DDF-2CDCB6E9B6EE}"/>
    <cellStyle name="Normal 2 2 2 2 2 2 2 2 9 2 4" xfId="18038" xr:uid="{39E11307-764C-4E34-A190-D2D3CF70CFD9}"/>
    <cellStyle name="Normal 2 2 2 2 2 2 2 2 9 2 5" xfId="18039" xr:uid="{8732C425-636E-4A9F-9DD2-A8E090CFFB93}"/>
    <cellStyle name="Normal 2 2 2 2 2 2 2 2 9 2 6" xfId="18040" xr:uid="{E6BFB9CC-203D-4AA5-8C0A-AFA160F31730}"/>
    <cellStyle name="Normal 2 2 2 2 2 2 2 2 9 3" xfId="18041" xr:uid="{02E04CC0-8C56-4635-BFAC-5BA45BB408FA}"/>
    <cellStyle name="Normal 2 2 2 2 2 2 2 2 9 3 2" xfId="18042" xr:uid="{7C1743DF-BB27-4A23-9756-33601CFEA5D7}"/>
    <cellStyle name="Normal 2 2 2 2 2 2 2 2 9 3 3" xfId="18043" xr:uid="{DA24F7CB-45AD-4A1F-80C8-0780661C7554}"/>
    <cellStyle name="Normal 2 2 2 2 2 2 2 2 9 3 4" xfId="18044" xr:uid="{5BCF7541-DE8E-488E-BB77-5BBC4CBDDD31}"/>
    <cellStyle name="Normal 2 2 2 2 2 2 2 2 9 3 5" xfId="18045" xr:uid="{3DE56F5F-E53F-4D92-82C2-0127A55CBDB5}"/>
    <cellStyle name="Normal 2 2 2 2 2 2 2 2 9 3 6" xfId="18046" xr:uid="{A034DE8C-A65A-4383-96D1-AEF2317382D9}"/>
    <cellStyle name="Normal 2 2 2 2 2 2 2 2 9 4" xfId="18047" xr:uid="{428E3349-2A7B-414E-8EC6-F89A7DB8DA1B}"/>
    <cellStyle name="Normal 2 2 2 2 2 2 2 2 9 4 2" xfId="18048" xr:uid="{0F2E7DF3-A791-4466-AFEC-14CF5ABEFE9A}"/>
    <cellStyle name="Normal 2 2 2 2 2 2 2 2 9 4 3" xfId="18049" xr:uid="{3C90F7EB-DB3E-48CF-BADD-B61309AD90BF}"/>
    <cellStyle name="Normal 2 2 2 2 2 2 2 2 9 4 4" xfId="18050" xr:uid="{C26B7951-302F-41DB-91D7-B1FB513FFD72}"/>
    <cellStyle name="Normal 2 2 2 2 2 2 2 2 9 4 5" xfId="18051" xr:uid="{59E1F291-1DBE-4459-BB7C-C76465A93DDE}"/>
    <cellStyle name="Normal 2 2 2 2 2 2 2 2 9 4 6" xfId="18052" xr:uid="{4BA0E06D-02E3-40B3-8F49-B894A8279833}"/>
    <cellStyle name="Normal 2 2 2 2 2 2 2 2 9 5" xfId="18053" xr:uid="{1F430B7E-633C-4C74-81A6-9D543753173B}"/>
    <cellStyle name="Normal 2 2 2 2 2 2 2 2 9 5 2" xfId="18054" xr:uid="{CD8455EA-158B-489C-BB07-1D03627AFACF}"/>
    <cellStyle name="Normal 2 2 2 2 2 2 2 2 9 5 3" xfId="18055" xr:uid="{1D94592F-EC5C-498C-B45F-3895B34953F2}"/>
    <cellStyle name="Normal 2 2 2 2 2 2 2 2 9 5 4" xfId="18056" xr:uid="{269D34C9-8F4B-4E52-8A4E-A1A7719438B7}"/>
    <cellStyle name="Normal 2 2 2 2 2 2 2 2 9 5 5" xfId="18057" xr:uid="{68F3071F-51D0-4697-A64F-19EBE40CD4FA}"/>
    <cellStyle name="Normal 2 2 2 2 2 2 2 2 9 5 6" xfId="18058" xr:uid="{3CD81698-C06A-436E-8F30-B5361B35B812}"/>
    <cellStyle name="Normal 2 2 2 2 2 2 2 2 9 6" xfId="18059" xr:uid="{F6F0003D-37EA-4B02-B434-0433D55D7853}"/>
    <cellStyle name="Normal 2 2 2 2 2 2 2 2 9 6 2" xfId="18060" xr:uid="{65A9A3DF-97E3-4E57-B88F-01E6616121C2}"/>
    <cellStyle name="Normal 2 2 2 2 2 2 2 2 9 6 3" xfId="18061" xr:uid="{11B762A3-06CC-478A-836D-6A74EAE3EF81}"/>
    <cellStyle name="Normal 2 2 2 2 2 2 2 2 9 6 4" xfId="18062" xr:uid="{8BE6AFB2-EAD5-4EB6-891A-F46BCC8FF015}"/>
    <cellStyle name="Normal 2 2 2 2 2 2 2 2 9 6 5" xfId="18063" xr:uid="{06DBBEE2-504A-4FC4-BFCF-8B1C204242C3}"/>
    <cellStyle name="Normal 2 2 2 2 2 2 2 2 9 6 6" xfId="18064" xr:uid="{54D65C3F-8868-45CA-A0A5-094B5FC3AD6F}"/>
    <cellStyle name="Normal 2 2 2 2 2 2 2 2 9 7" xfId="18065" xr:uid="{59C4064E-1073-4737-BD1C-EAD140D49635}"/>
    <cellStyle name="Normal 2 2 2 2 2 2 2 2 9 7 2" xfId="18066" xr:uid="{98942AF8-D453-47EE-9BDC-B7123AE50FAE}"/>
    <cellStyle name="Normal 2 2 2 2 2 2 2 2 9 7 3" xfId="18067" xr:uid="{00350F58-641E-4E97-AD7E-004B165E2418}"/>
    <cellStyle name="Normal 2 2 2 2 2 2 2 2 9 7 4" xfId="18068" xr:uid="{5B186D7A-8301-41F3-8846-7CE66C7E6A47}"/>
    <cellStyle name="Normal 2 2 2 2 2 2 2 2 9 7 5" xfId="18069" xr:uid="{793BCA91-1236-4D8A-B0F4-F50F136F91E9}"/>
    <cellStyle name="Normal 2 2 2 2 2 2 2 2 9 7 6" xfId="18070" xr:uid="{FB6CB73E-1FA7-4C8C-92CB-25F9660CCC91}"/>
    <cellStyle name="Normal 2 2 2 2 2 2 2 2 9 8" xfId="18071" xr:uid="{BE2B7370-BB96-430F-A91D-0375C63667F8}"/>
    <cellStyle name="Normal 2 2 2 2 2 2 2 2 9 8 2" xfId="18072" xr:uid="{AB6FCB74-5116-4CA7-99F3-5D6B5D9A43F5}"/>
    <cellStyle name="Normal 2 2 2 2 2 2 2 2 9 8 3" xfId="18073" xr:uid="{76A7E196-E53D-41B8-9F6C-0A56C240754B}"/>
    <cellStyle name="Normal 2 2 2 2 2 2 2 2 9 8 4" xfId="18074" xr:uid="{7FA3BB5B-CC78-43DA-BAC9-C64217EBAC74}"/>
    <cellStyle name="Normal 2 2 2 2 2 2 2 2 9 8 5" xfId="18075" xr:uid="{66EC99DA-7266-44AF-B76A-B8CFBE03FC21}"/>
    <cellStyle name="Normal 2 2 2 2 2 2 2 2 9 8 6" xfId="18076" xr:uid="{B286E464-74D4-48CD-9FDF-42D17DEEA1F7}"/>
    <cellStyle name="Normal 2 2 2 2 2 2 2 2 9 9" xfId="18077" xr:uid="{671A1DFF-0DBF-4C2E-BA2D-B34D987F57AE}"/>
    <cellStyle name="Normal 2 2 2 2 2 2 2 20" xfId="18078" xr:uid="{3AF18F31-33F9-410F-B7A9-80E2288D80EF}"/>
    <cellStyle name="Normal 2 2 2 2 2 2 2 21" xfId="18079" xr:uid="{6E629693-9548-4590-BFB1-19234E36F0D8}"/>
    <cellStyle name="Normal 2 2 2 2 2 2 2 22" xfId="18080" xr:uid="{70B04A9A-BBE0-46D7-BA48-74F215EF0A56}"/>
    <cellStyle name="Normal 2 2 2 2 2 2 2 23" xfId="18081" xr:uid="{C46DA97C-12C7-4FCD-BA33-8D9775F9DB5B}"/>
    <cellStyle name="Normal 2 2 2 2 2 2 2 23 2" xfId="18082" xr:uid="{565592FF-2A91-4EF4-9683-007C6DAED5ED}"/>
    <cellStyle name="Normal 2 2 2 2 2 2 2 23 2 2" xfId="18083" xr:uid="{DFE9E7CC-AB59-4E61-9411-B2F1653E4826}"/>
    <cellStyle name="Normal 2 2 2 2 2 2 2 23 2 3" xfId="18084" xr:uid="{731A9909-EA4E-405F-83E7-59435C87D6FE}"/>
    <cellStyle name="Normal 2 2 2 2 2 2 2 23 2 4" xfId="18085" xr:uid="{1103E71F-EBA3-4D27-A7A0-F8AFFE5F346F}"/>
    <cellStyle name="Normal 2 2 2 2 2 2 2 23 2 5" xfId="18086" xr:uid="{D58B840D-5021-4153-9056-31454F6ABF0D}"/>
    <cellStyle name="Normal 2 2 2 2 2 2 2 23 2 6" xfId="18087" xr:uid="{40328B1B-BE3C-4DAC-B363-8AEED4087D5A}"/>
    <cellStyle name="Normal 2 2 2 2 2 2 2 23 3" xfId="18088" xr:uid="{B29FC569-DA8A-4734-BEE5-2808915D1705}"/>
    <cellStyle name="Normal 2 2 2 2 2 2 2 23 3 2" xfId="18089" xr:uid="{73B844B3-E528-44DA-B13A-2E95B409C419}"/>
    <cellStyle name="Normal 2 2 2 2 2 2 2 23 3 3" xfId="18090" xr:uid="{18399D34-FF13-4845-8265-27147D50D50A}"/>
    <cellStyle name="Normal 2 2 2 2 2 2 2 23 3 4" xfId="18091" xr:uid="{6589DA2B-5785-477F-A13D-EBCBA3A30134}"/>
    <cellStyle name="Normal 2 2 2 2 2 2 2 23 3 5" xfId="18092" xr:uid="{5EC65E4D-379B-4750-B3CD-9EE0213610CE}"/>
    <cellStyle name="Normal 2 2 2 2 2 2 2 23 3 6" xfId="18093" xr:uid="{7AD9E3AA-39CB-492C-AADC-D37DF712411B}"/>
    <cellStyle name="Normal 2 2 2 2 2 2 2 23 4" xfId="18094" xr:uid="{CC750687-E889-4C52-91D3-9949306D97AD}"/>
    <cellStyle name="Normal 2 2 2 2 2 2 2 23 4 2" xfId="18095" xr:uid="{3AAB7D24-B740-467D-B65B-840B7BF2E464}"/>
    <cellStyle name="Normal 2 2 2 2 2 2 2 23 4 3" xfId="18096" xr:uid="{76DDD1B9-6511-4C95-B2CC-2AFCF1349231}"/>
    <cellStyle name="Normal 2 2 2 2 2 2 2 23 4 4" xfId="18097" xr:uid="{09B1B332-B8D0-4685-86F8-96556EA22779}"/>
    <cellStyle name="Normal 2 2 2 2 2 2 2 23 4 5" xfId="18098" xr:uid="{DDBE5A3F-982A-4CB5-A237-CF8FAB9DE23D}"/>
    <cellStyle name="Normal 2 2 2 2 2 2 2 23 4 6" xfId="18099" xr:uid="{CF95072B-ED02-4F96-B1F7-3922C1EA0ABA}"/>
    <cellStyle name="Normal 2 2 2 2 2 2 2 23 5" xfId="18100" xr:uid="{9EB74FB2-FE8E-4554-98AF-8644C177D84D}"/>
    <cellStyle name="Normal 2 2 2 2 2 2 2 23 5 2" xfId="18101" xr:uid="{67E9D164-BB06-4A74-A8E2-96FC883812C5}"/>
    <cellStyle name="Normal 2 2 2 2 2 2 2 23 5 3" xfId="18102" xr:uid="{5FD6DAB4-3F62-475F-9D93-9D829E178B99}"/>
    <cellStyle name="Normal 2 2 2 2 2 2 2 23 5 4" xfId="18103" xr:uid="{2E5AD3B1-2DC1-4B47-A406-B85FF5DEAA31}"/>
    <cellStyle name="Normal 2 2 2 2 2 2 2 23 5 5" xfId="18104" xr:uid="{F1D5C55D-D47A-4463-AEB9-9F2BB9C5E469}"/>
    <cellStyle name="Normal 2 2 2 2 2 2 2 23 5 6" xfId="18105" xr:uid="{E2DE9EB6-2BE5-4B68-981E-C6850C2D2CA3}"/>
    <cellStyle name="Normal 2 2 2 2 2 2 2 23 6" xfId="18106" xr:uid="{FDB887AB-95DB-42B8-940E-CD827E678296}"/>
    <cellStyle name="Normal 2 2 2 2 2 2 2 23 6 2" xfId="18107" xr:uid="{187D0732-2911-4784-8017-C47F932497A5}"/>
    <cellStyle name="Normal 2 2 2 2 2 2 2 23 6 3" xfId="18108" xr:uid="{2C82743F-DE05-41F1-B65D-8B07873A72AE}"/>
    <cellStyle name="Normal 2 2 2 2 2 2 2 23 6 4" xfId="18109" xr:uid="{EC7D45D9-B5BC-47D7-89E8-7897565EE6DF}"/>
    <cellStyle name="Normal 2 2 2 2 2 2 2 23 6 5" xfId="18110" xr:uid="{0DDE2C74-05EA-4830-8D79-603D72D710EE}"/>
    <cellStyle name="Normal 2 2 2 2 2 2 2 23 6 6" xfId="18111" xr:uid="{C5ABD858-0F89-407D-A96F-F080CC904DD2}"/>
    <cellStyle name="Normal 2 2 2 2 2 2 2 24" xfId="18112" xr:uid="{8341E7DD-8FA7-459D-97C7-52026DB5F501}"/>
    <cellStyle name="Normal 2 2 2 2 2 2 2 24 2" xfId="18113" xr:uid="{A16203F7-CFBD-4949-8995-3EDA095544C1}"/>
    <cellStyle name="Normal 2 2 2 2 2 2 2 24 3" xfId="18114" xr:uid="{935E5913-773B-4E31-BA17-7EF53FF3279B}"/>
    <cellStyle name="Normal 2 2 2 2 2 2 2 24 4" xfId="18115" xr:uid="{4CED8857-9A0B-4F3F-8119-A86D2B736159}"/>
    <cellStyle name="Normal 2 2 2 2 2 2 2 24 5" xfId="18116" xr:uid="{CF0BC14D-8934-4065-8E20-9B251DE6EC16}"/>
    <cellStyle name="Normal 2 2 2 2 2 2 2 24 6" xfId="18117" xr:uid="{447D7BB3-B885-43D2-A583-6A66BE4DD554}"/>
    <cellStyle name="Normal 2 2 2 2 2 2 2 25" xfId="18118" xr:uid="{CB69CF9C-2F5E-4B46-8B59-534C5DA36F32}"/>
    <cellStyle name="Normal 2 2 2 2 2 2 2 25 2" xfId="18119" xr:uid="{EE6A09A9-350E-4A25-86FC-0E56F792C2AB}"/>
    <cellStyle name="Normal 2 2 2 2 2 2 2 25 3" xfId="18120" xr:uid="{47B1B0B1-6637-40F0-A827-A76DD7F067F1}"/>
    <cellStyle name="Normal 2 2 2 2 2 2 2 25 4" xfId="18121" xr:uid="{7BF17612-56C4-4832-BF08-6CC436B95025}"/>
    <cellStyle name="Normal 2 2 2 2 2 2 2 25 5" xfId="18122" xr:uid="{18FEB0BA-14FE-4C09-917E-CF762943E62B}"/>
    <cellStyle name="Normal 2 2 2 2 2 2 2 25 6" xfId="18123" xr:uid="{5FB1A580-6D8D-45EB-8758-B89325A0D11D}"/>
    <cellStyle name="Normal 2 2 2 2 2 2 2 26" xfId="18124" xr:uid="{9B525BDF-E7D7-4487-9266-776F380EDA77}"/>
    <cellStyle name="Normal 2 2 2 2 2 2 2 26 2" xfId="18125" xr:uid="{D903374E-6351-470D-82FA-4A07951E33CD}"/>
    <cellStyle name="Normal 2 2 2 2 2 2 2 26 3" xfId="18126" xr:uid="{6B397C70-FB23-4D33-A153-6C83FB47AF1E}"/>
    <cellStyle name="Normal 2 2 2 2 2 2 2 26 4" xfId="18127" xr:uid="{1C88BB20-E71B-4899-B03D-0F60112921F8}"/>
    <cellStyle name="Normal 2 2 2 2 2 2 2 26 5" xfId="18128" xr:uid="{E3763AB3-2F20-48AE-A190-E141BE11139D}"/>
    <cellStyle name="Normal 2 2 2 2 2 2 2 26 6" xfId="18129" xr:uid="{5A802142-8AD0-4005-89C5-B060AB02A32B}"/>
    <cellStyle name="Normal 2 2 2 2 2 2 2 27" xfId="18130" xr:uid="{60F018B1-F6C8-46B2-A94B-D372CC87E6DB}"/>
    <cellStyle name="Normal 2 2 2 2 2 2 2 27 2" xfId="18131" xr:uid="{5638CF75-3BD1-48B3-B84A-6FB1E2A071D0}"/>
    <cellStyle name="Normal 2 2 2 2 2 2 2 27 3" xfId="18132" xr:uid="{E300BA87-0D7F-4DC5-A376-72F8C468BCA7}"/>
    <cellStyle name="Normal 2 2 2 2 2 2 2 27 4" xfId="18133" xr:uid="{3FB8063B-A08C-49AB-B2C4-0E672AC55CE3}"/>
    <cellStyle name="Normal 2 2 2 2 2 2 2 27 5" xfId="18134" xr:uid="{43DAADF6-8FF1-4D20-8D5F-137143410F3C}"/>
    <cellStyle name="Normal 2 2 2 2 2 2 2 27 6" xfId="18135" xr:uid="{5B0E3640-B22F-4A64-BEB3-F7D7A0D5925C}"/>
    <cellStyle name="Normal 2 2 2 2 2 2 2 28" xfId="18136" xr:uid="{B10BA455-43A6-4FDE-852F-1C37EE5A6D2C}"/>
    <cellStyle name="Normal 2 2 2 2 2 2 2 28 2" xfId="18137" xr:uid="{F230CE34-A8D7-47EB-99B8-D5B0DBC95212}"/>
    <cellStyle name="Normal 2 2 2 2 2 2 2 28 3" xfId="18138" xr:uid="{3F00C0CB-F028-45C4-BA2C-CF60BD6C4E9A}"/>
    <cellStyle name="Normal 2 2 2 2 2 2 2 28 4" xfId="18139" xr:uid="{56C536FE-E8E9-486D-BBC0-E6721644CF5C}"/>
    <cellStyle name="Normal 2 2 2 2 2 2 2 28 5" xfId="18140" xr:uid="{0AECEB72-F850-4868-BD5D-4B0908921193}"/>
    <cellStyle name="Normal 2 2 2 2 2 2 2 28 6" xfId="18141" xr:uid="{7C301863-B112-4121-A7D8-EBAD23DD05E7}"/>
    <cellStyle name="Normal 2 2 2 2 2 2 2 29" xfId="18142" xr:uid="{42B23DDF-BB97-40EE-8104-A3ABECFB83F6}"/>
    <cellStyle name="Normal 2 2 2 2 2 2 2 29 2" xfId="18143" xr:uid="{15E366AB-A8A2-4B39-85BE-92B55BA3A782}"/>
    <cellStyle name="Normal 2 2 2 2 2 2 2 29 3" xfId="18144" xr:uid="{0C5739C0-1A27-4428-908B-F12A81E19F1D}"/>
    <cellStyle name="Normal 2 2 2 2 2 2 2 29 4" xfId="18145" xr:uid="{4949293C-C334-442F-A016-6084BBB814E9}"/>
    <cellStyle name="Normal 2 2 2 2 2 2 2 29 5" xfId="18146" xr:uid="{A040CF86-36DF-4F93-A486-B423CC8220B1}"/>
    <cellStyle name="Normal 2 2 2 2 2 2 2 29 6" xfId="18147" xr:uid="{EF67A19D-8D5E-4B8D-BA7E-A502FD43CDCE}"/>
    <cellStyle name="Normal 2 2 2 2 2 2 2 3" xfId="18148" xr:uid="{C490E2EA-6757-4555-A6FB-3506D06652E3}"/>
    <cellStyle name="Normal 2 2 2 2 2 2 2 3 10" xfId="18149" xr:uid="{70917D8A-7617-4949-B5A1-23727769D447}"/>
    <cellStyle name="Normal 2 2 2 2 2 2 2 3 11" xfId="18150" xr:uid="{E907A15B-0160-4E85-A60B-8A30CDAB13BD}"/>
    <cellStyle name="Normal 2 2 2 2 2 2 2 3 12" xfId="18151" xr:uid="{56B5BB05-C94F-4AA6-8832-978CA5804CDE}"/>
    <cellStyle name="Normal 2 2 2 2 2 2 2 3 13" xfId="18152" xr:uid="{F6347D91-331E-49D9-A4EC-4ECCEE319088}"/>
    <cellStyle name="Normal 2 2 2 2 2 2 2 3 2" xfId="18153" xr:uid="{735C89C3-8B86-4C33-9C35-B048DBC9B8EE}"/>
    <cellStyle name="Normal 2 2 2 2 2 2 2 3 2 2" xfId="18154" xr:uid="{C57CBE3B-7764-4F63-953A-5A56E6F5FC3F}"/>
    <cellStyle name="Normal 2 2 2 2 2 2 2 3 2 3" xfId="18155" xr:uid="{70E8F94D-09FF-49AB-A01C-65D4C5FD4E56}"/>
    <cellStyle name="Normal 2 2 2 2 2 2 2 3 2 4" xfId="18156" xr:uid="{C93AECF3-B46C-424C-AA50-D8323ADB1F8C}"/>
    <cellStyle name="Normal 2 2 2 2 2 2 2 3 2 5" xfId="18157" xr:uid="{49A088E7-B11D-46F0-972B-E768A42B1606}"/>
    <cellStyle name="Normal 2 2 2 2 2 2 2 3 2 6" xfId="18158" xr:uid="{653D209B-A993-40A2-A35C-BEC5ABA06DD3}"/>
    <cellStyle name="Normal 2 2 2 2 2 2 2 3 3" xfId="18159" xr:uid="{F3A2D659-0074-4BC9-83A5-BC2BC5410B47}"/>
    <cellStyle name="Normal 2 2 2 2 2 2 2 3 3 2" xfId="18160" xr:uid="{F09DCEF9-FFBA-4CE0-8287-97DC33FFAD1D}"/>
    <cellStyle name="Normal 2 2 2 2 2 2 2 3 3 3" xfId="18161" xr:uid="{AD4E0986-9B95-48E5-AAB3-E4CDFE3D5B88}"/>
    <cellStyle name="Normal 2 2 2 2 2 2 2 3 3 4" xfId="18162" xr:uid="{B4BEF92C-BBED-450E-98B5-401CD8777AB6}"/>
    <cellStyle name="Normal 2 2 2 2 2 2 2 3 3 5" xfId="18163" xr:uid="{E2F25055-5DFC-4CA5-9A49-5962E2D5170E}"/>
    <cellStyle name="Normal 2 2 2 2 2 2 2 3 3 6" xfId="18164" xr:uid="{F73266A6-F87C-423B-8C4A-40358414AB98}"/>
    <cellStyle name="Normal 2 2 2 2 2 2 2 3 4" xfId="18165" xr:uid="{C3B59F49-A149-49DC-91F9-BE8C93EE3409}"/>
    <cellStyle name="Normal 2 2 2 2 2 2 2 3 4 2" xfId="18166" xr:uid="{7E423565-1A7E-4B5C-92F0-C07FAC48D9E6}"/>
    <cellStyle name="Normal 2 2 2 2 2 2 2 3 4 3" xfId="18167" xr:uid="{33D2DC81-C7E7-4FFF-B509-B8AB40D8DDF8}"/>
    <cellStyle name="Normal 2 2 2 2 2 2 2 3 4 4" xfId="18168" xr:uid="{4061F614-4A71-43F5-99D2-9081A12080AB}"/>
    <cellStyle name="Normal 2 2 2 2 2 2 2 3 4 5" xfId="18169" xr:uid="{496965D0-BC4E-4DCD-ABCC-C857C42FF0FF}"/>
    <cellStyle name="Normal 2 2 2 2 2 2 2 3 4 6" xfId="18170" xr:uid="{70E8840F-B90B-413D-9ECF-FB8851235774}"/>
    <cellStyle name="Normal 2 2 2 2 2 2 2 3 5" xfId="18171" xr:uid="{329C9955-2F42-4047-B80F-53D8F3FA0D2B}"/>
    <cellStyle name="Normal 2 2 2 2 2 2 2 3 5 2" xfId="18172" xr:uid="{18AB8BD8-2A8B-458F-BD09-06A0D1C5B894}"/>
    <cellStyle name="Normal 2 2 2 2 2 2 2 3 5 3" xfId="18173" xr:uid="{6176C794-228E-4745-9A43-3885380CB27D}"/>
    <cellStyle name="Normal 2 2 2 2 2 2 2 3 5 4" xfId="18174" xr:uid="{241986CA-B0A1-4907-A6BC-7B2E41634F38}"/>
    <cellStyle name="Normal 2 2 2 2 2 2 2 3 5 5" xfId="18175" xr:uid="{7002AECB-4A43-42DE-9665-FDDC5E093ED3}"/>
    <cellStyle name="Normal 2 2 2 2 2 2 2 3 5 6" xfId="18176" xr:uid="{E40E860E-276A-4282-BE94-1708C4856B59}"/>
    <cellStyle name="Normal 2 2 2 2 2 2 2 3 6" xfId="18177" xr:uid="{CC7BDEA1-A2F2-4A9F-868D-D6B6B10583A1}"/>
    <cellStyle name="Normal 2 2 2 2 2 2 2 3 6 2" xfId="18178" xr:uid="{52E01B19-9148-4C50-8102-7FB57421620C}"/>
    <cellStyle name="Normal 2 2 2 2 2 2 2 3 6 3" xfId="18179" xr:uid="{D1806FDB-7A4E-4AD3-8BEB-1661B97D31F7}"/>
    <cellStyle name="Normal 2 2 2 2 2 2 2 3 6 4" xfId="18180" xr:uid="{71566CDC-B6E3-482F-B1C9-7174B99E6BB4}"/>
    <cellStyle name="Normal 2 2 2 2 2 2 2 3 6 5" xfId="18181" xr:uid="{84548B82-3028-4E69-AED3-187E8DC1B26D}"/>
    <cellStyle name="Normal 2 2 2 2 2 2 2 3 6 6" xfId="18182" xr:uid="{067D4FD9-D1A5-4512-8609-3E3202B39358}"/>
    <cellStyle name="Normal 2 2 2 2 2 2 2 3 7" xfId="18183" xr:uid="{EDB3BD3C-2374-45C1-B7DB-34104E6DE349}"/>
    <cellStyle name="Normal 2 2 2 2 2 2 2 3 7 2" xfId="18184" xr:uid="{BAEEACE6-4744-4B81-9C38-053FBECED656}"/>
    <cellStyle name="Normal 2 2 2 2 2 2 2 3 7 3" xfId="18185" xr:uid="{AD1DF028-B3AF-4D3F-9752-BEAEAAFF4E4C}"/>
    <cellStyle name="Normal 2 2 2 2 2 2 2 3 7 4" xfId="18186" xr:uid="{F0A0CC34-AE7D-414E-92D5-F22AA3217A8C}"/>
    <cellStyle name="Normal 2 2 2 2 2 2 2 3 7 5" xfId="18187" xr:uid="{4E609C18-9DA9-40F5-8F3F-3F5B3A85EC9C}"/>
    <cellStyle name="Normal 2 2 2 2 2 2 2 3 7 6" xfId="18188" xr:uid="{BCD8874A-08F3-47F7-A5FE-D936D3F7352E}"/>
    <cellStyle name="Normal 2 2 2 2 2 2 2 3 8" xfId="18189" xr:uid="{3D9B7CF0-F541-4C8C-A4DE-1D2E6F76B0F1}"/>
    <cellStyle name="Normal 2 2 2 2 2 2 2 3 8 2" xfId="18190" xr:uid="{0A170C41-032F-4492-A54C-8A693CD093E5}"/>
    <cellStyle name="Normal 2 2 2 2 2 2 2 3 8 3" xfId="18191" xr:uid="{BEFF8F26-3869-4CC1-8889-06A65B113F73}"/>
    <cellStyle name="Normal 2 2 2 2 2 2 2 3 8 4" xfId="18192" xr:uid="{BAE950DA-49C9-49C9-9C72-A3BD3D43B83A}"/>
    <cellStyle name="Normal 2 2 2 2 2 2 2 3 8 5" xfId="18193" xr:uid="{D3C4E00E-7EBD-442D-93B8-5D92DDA8D4D3}"/>
    <cellStyle name="Normal 2 2 2 2 2 2 2 3 8 6" xfId="18194" xr:uid="{74A45AD8-6A93-41F9-8E80-B6DCA6015133}"/>
    <cellStyle name="Normal 2 2 2 2 2 2 2 3 9" xfId="18195" xr:uid="{6E0424CA-4305-42D5-B05D-5A0F053A158D}"/>
    <cellStyle name="Normal 2 2 2 2 2 2 2 30" xfId="18196" xr:uid="{5474B22D-5857-4732-BAD8-D3DE18587AD1}"/>
    <cellStyle name="Normal 2 2 2 2 2 2 2 30 2" xfId="18197" xr:uid="{70C8BD6C-978F-444D-BEED-636718F36207}"/>
    <cellStyle name="Normal 2 2 2 2 2 2 2 30 3" xfId="18198" xr:uid="{0066CD22-9062-4579-AD98-8CD07696E6B4}"/>
    <cellStyle name="Normal 2 2 2 2 2 2 2 30 4" xfId="18199" xr:uid="{4418A18C-9DE8-4310-91FC-1BE8051BA7B1}"/>
    <cellStyle name="Normal 2 2 2 2 2 2 2 30 5" xfId="18200" xr:uid="{42EC6B22-3CA8-4492-8F3F-62E7214FD501}"/>
    <cellStyle name="Normal 2 2 2 2 2 2 2 30 6" xfId="18201" xr:uid="{A774031D-8775-4063-9555-8F63D4BE3703}"/>
    <cellStyle name="Normal 2 2 2 2 2 2 2 31" xfId="18202" xr:uid="{BB403755-F56A-4C32-888D-74652977A2FF}"/>
    <cellStyle name="Normal 2 2 2 2 2 2 2 31 2" xfId="18203" xr:uid="{4F660039-E304-4600-A4CD-2EE1ACCB2D56}"/>
    <cellStyle name="Normal 2 2 2 2 2 2 2 31 3" xfId="18204" xr:uid="{1C3D3D45-745A-4884-AF5C-966B0B9512B5}"/>
    <cellStyle name="Normal 2 2 2 2 2 2 2 31 4" xfId="18205" xr:uid="{7AFC5A17-E30F-4C52-A11B-D262A927C4D3}"/>
    <cellStyle name="Normal 2 2 2 2 2 2 2 31 5" xfId="18206" xr:uid="{FE705589-4E55-41C0-9E98-DA87DABC915B}"/>
    <cellStyle name="Normal 2 2 2 2 2 2 2 31 6" xfId="18207" xr:uid="{1CC397F7-CE90-4EEC-8F48-F65A27806334}"/>
    <cellStyle name="Normal 2 2 2 2 2 2 2 32" xfId="18208" xr:uid="{41F91538-9D76-4143-BA23-F5C073EAE4D6}"/>
    <cellStyle name="Normal 2 2 2 2 2 2 2 32 2" xfId="18209" xr:uid="{F4C3E90E-9A4B-4570-AAA1-AF2D215B27A0}"/>
    <cellStyle name="Normal 2 2 2 2 2 2 2 32 3" xfId="18210" xr:uid="{ABA5C219-F9F8-4B1E-874F-74DB15C9BD73}"/>
    <cellStyle name="Normal 2 2 2 2 2 2 2 32 4" xfId="18211" xr:uid="{C089D9B5-E2C3-466F-AED1-FF3AE689B3D5}"/>
    <cellStyle name="Normal 2 2 2 2 2 2 2 32 5" xfId="18212" xr:uid="{61B22ACA-742F-4F97-8527-DFD5F8DFE564}"/>
    <cellStyle name="Normal 2 2 2 2 2 2 2 32 6" xfId="18213" xr:uid="{5B4F84FB-CBBC-4A82-9EB1-9B37A76B0C01}"/>
    <cellStyle name="Normal 2 2 2 2 2 2 2 33" xfId="18214" xr:uid="{C0FEAF42-C630-4E42-B27A-5E2A8389CD60}"/>
    <cellStyle name="Normal 2 2 2 2 2 2 2 33 2" xfId="18215" xr:uid="{6C81CF91-FBF9-40A8-82E2-3CC55A74C380}"/>
    <cellStyle name="Normal 2 2 2 2 2 2 2 33 3" xfId="18216" xr:uid="{CC202DDB-D82F-4AC9-870C-C233B5BD93E1}"/>
    <cellStyle name="Normal 2 2 2 2 2 2 2 33 4" xfId="18217" xr:uid="{886E34A5-E67F-4267-9190-EB7A9F54469E}"/>
    <cellStyle name="Normal 2 2 2 2 2 2 2 33 5" xfId="18218" xr:uid="{D2FD63B7-3CDA-4261-85D2-F142D04807AF}"/>
    <cellStyle name="Normal 2 2 2 2 2 2 2 33 6" xfId="18219" xr:uid="{9CCC5814-066D-42B0-951F-195AE87D0FF6}"/>
    <cellStyle name="Normal 2 2 2 2 2 2 2 34" xfId="18220" xr:uid="{749AEE94-DD24-4139-A458-5CA0E0CDDBDD}"/>
    <cellStyle name="Normal 2 2 2 2 2 2 2 34 2" xfId="18221" xr:uid="{2FDB8F65-FE15-41E8-8855-5C3C406AF92D}"/>
    <cellStyle name="Normal 2 2 2 2 2 2 2 34 3" xfId="18222" xr:uid="{6BA4E712-7B5E-4821-BE51-474D12144944}"/>
    <cellStyle name="Normal 2 2 2 2 2 2 2 34 4" xfId="18223" xr:uid="{B407781B-5385-4D4C-99C4-C3138B51E9A2}"/>
    <cellStyle name="Normal 2 2 2 2 2 2 2 34 5" xfId="18224" xr:uid="{0849A343-3268-454A-9E2F-9DFC1904D0E8}"/>
    <cellStyle name="Normal 2 2 2 2 2 2 2 34 6" xfId="18225" xr:uid="{37323D3E-3E2F-4D64-9404-B8DC6C75CBED}"/>
    <cellStyle name="Normal 2 2 2 2 2 2 2 35" xfId="18226" xr:uid="{711F5B6B-2A02-44EE-A35C-A769174B1A1A}"/>
    <cellStyle name="Normal 2 2 2 2 2 2 2 35 2" xfId="18227" xr:uid="{2F65B30C-2F09-4B43-BD10-1BBC4C7529A0}"/>
    <cellStyle name="Normal 2 2 2 2 2 2 2 35 3" xfId="18228" xr:uid="{2AE36E55-78A2-4A7F-B728-DFEA4B774154}"/>
    <cellStyle name="Normal 2 2 2 2 2 2 2 35 4" xfId="18229" xr:uid="{52BBDB7F-665C-4E88-AA58-FFE05F23F630}"/>
    <cellStyle name="Normal 2 2 2 2 2 2 2 35 5" xfId="18230" xr:uid="{48463EF0-EBE9-43EE-9FCE-513203BDAFFC}"/>
    <cellStyle name="Normal 2 2 2 2 2 2 2 35 6" xfId="18231" xr:uid="{931A3CA0-B670-49EB-A857-D288396E3D34}"/>
    <cellStyle name="Normal 2 2 2 2 2 2 2 36" xfId="18232" xr:uid="{6447B1A0-1C48-4A9C-9802-64EB6DB51DCF}"/>
    <cellStyle name="Normal 2 2 2 2 2 2 2 36 2" xfId="18233" xr:uid="{868EE929-F3EB-4AA8-81CE-E7417B53BB91}"/>
    <cellStyle name="Normal 2 2 2 2 2 2 2 36 3" xfId="18234" xr:uid="{BDB2A2BC-8BA8-4C3E-A745-DE94CA5DF1D2}"/>
    <cellStyle name="Normal 2 2 2 2 2 2 2 36 4" xfId="18235" xr:uid="{757CD0B4-2465-4B75-8BA5-CAA532575C75}"/>
    <cellStyle name="Normal 2 2 2 2 2 2 2 36 5" xfId="18236" xr:uid="{1F3B14DD-2DFD-44A6-A91D-A6BB1F64D12E}"/>
    <cellStyle name="Normal 2 2 2 2 2 2 2 36 6" xfId="18237" xr:uid="{0EA2A403-5DF4-425E-8D2C-E4F706E01852}"/>
    <cellStyle name="Normal 2 2 2 2 2 2 2 37" xfId="18238" xr:uid="{8549732C-C4F2-49B4-A511-5A8436901FCD}"/>
    <cellStyle name="Normal 2 2 2 2 2 2 2 37 2" xfId="18239" xr:uid="{1855BF20-B3BF-4E0B-96A2-65A00C9E14D3}"/>
    <cellStyle name="Normal 2 2 2 2 2 2 2 37 3" xfId="18240" xr:uid="{092E411C-DD9A-441A-8DCF-384FF404D6F9}"/>
    <cellStyle name="Normal 2 2 2 2 2 2 2 37 4" xfId="18241" xr:uid="{C9FB5E33-A31E-4B2A-A7A5-39A07EA9DDFD}"/>
    <cellStyle name="Normal 2 2 2 2 2 2 2 37 5" xfId="18242" xr:uid="{70ED1995-53D1-44DB-B4A3-8497803E563B}"/>
    <cellStyle name="Normal 2 2 2 2 2 2 2 37 6" xfId="18243" xr:uid="{3C07726B-1D5D-4A74-98B9-10F60980DEA1}"/>
    <cellStyle name="Normal 2 2 2 2 2 2 2 38" xfId="18244" xr:uid="{3A988DEE-40BF-4200-BBC4-1553F0244DF7}"/>
    <cellStyle name="Normal 2 2 2 2 2 2 2 39" xfId="18245" xr:uid="{157F5323-4C90-486E-BFF0-F61BBA8D5228}"/>
    <cellStyle name="Normal 2 2 2 2 2 2 2 4" xfId="18246" xr:uid="{7188B01B-4B0E-43E5-9D1F-0DA2AF5DAB76}"/>
    <cellStyle name="Normal 2 2 2 2 2 2 2 4 10" xfId="18247" xr:uid="{2463127E-F2B7-4D80-8334-2024D263F4EC}"/>
    <cellStyle name="Normal 2 2 2 2 2 2 2 4 11" xfId="18248" xr:uid="{E54D1DE9-E2C7-4102-B77A-E61F777B4CD7}"/>
    <cellStyle name="Normal 2 2 2 2 2 2 2 4 12" xfId="18249" xr:uid="{8A0C71C5-1348-4A2F-B529-681F47BDE900}"/>
    <cellStyle name="Normal 2 2 2 2 2 2 2 4 13" xfId="18250" xr:uid="{A26EB4E1-DD1D-49A4-B698-4D38BF595CBC}"/>
    <cellStyle name="Normal 2 2 2 2 2 2 2 4 2" xfId="18251" xr:uid="{5785A7A0-F836-4837-B4BF-C9368E35E2D7}"/>
    <cellStyle name="Normal 2 2 2 2 2 2 2 4 2 2" xfId="18252" xr:uid="{BF60FF0C-1636-4FF0-8AF8-94A0EBBC7B1E}"/>
    <cellStyle name="Normal 2 2 2 2 2 2 2 4 2 3" xfId="18253" xr:uid="{1C05436B-0657-4C93-B3A4-D4CAE6FCE636}"/>
    <cellStyle name="Normal 2 2 2 2 2 2 2 4 2 4" xfId="18254" xr:uid="{DD6A89B1-18FD-49D2-8EBB-9E095F37DF8A}"/>
    <cellStyle name="Normal 2 2 2 2 2 2 2 4 2 5" xfId="18255" xr:uid="{B42C8F73-4FFC-4ACC-A9E4-D4D71E0149D2}"/>
    <cellStyle name="Normal 2 2 2 2 2 2 2 4 2 6" xfId="18256" xr:uid="{AAACCEFA-D247-4271-A92B-B91F39E71993}"/>
    <cellStyle name="Normal 2 2 2 2 2 2 2 4 3" xfId="18257" xr:uid="{FAD5FA65-3F05-4654-9921-625C91A9BDB2}"/>
    <cellStyle name="Normal 2 2 2 2 2 2 2 4 3 2" xfId="18258" xr:uid="{F6123458-8CEB-403F-B821-A77AA4FB061B}"/>
    <cellStyle name="Normal 2 2 2 2 2 2 2 4 3 3" xfId="18259" xr:uid="{833A59E0-6BEF-4016-A4F8-4038AFCDE4C7}"/>
    <cellStyle name="Normal 2 2 2 2 2 2 2 4 3 4" xfId="18260" xr:uid="{E429EFEF-A1CB-490E-8C8F-69122C62AB0A}"/>
    <cellStyle name="Normal 2 2 2 2 2 2 2 4 3 5" xfId="18261" xr:uid="{8D96CB7D-2BAE-4653-816B-CD6711F16BAD}"/>
    <cellStyle name="Normal 2 2 2 2 2 2 2 4 3 6" xfId="18262" xr:uid="{7BF4B9D8-3B3E-4BFA-A2D6-784CE7B21DBA}"/>
    <cellStyle name="Normal 2 2 2 2 2 2 2 4 4" xfId="18263" xr:uid="{865D4DB7-4D76-4CFC-8075-D0126CF6B723}"/>
    <cellStyle name="Normal 2 2 2 2 2 2 2 4 4 2" xfId="18264" xr:uid="{1277B445-62B4-43AC-BC76-72C5FE749E6C}"/>
    <cellStyle name="Normal 2 2 2 2 2 2 2 4 4 3" xfId="18265" xr:uid="{596FD209-0025-4A41-AE3E-AE79A3354373}"/>
    <cellStyle name="Normal 2 2 2 2 2 2 2 4 4 4" xfId="18266" xr:uid="{DF232C86-AB7C-4AF3-8923-1239E2F33C9C}"/>
    <cellStyle name="Normal 2 2 2 2 2 2 2 4 4 5" xfId="18267" xr:uid="{2F3AC80B-0307-45F1-B6D7-6CFA56242C1C}"/>
    <cellStyle name="Normal 2 2 2 2 2 2 2 4 4 6" xfId="18268" xr:uid="{D36546AC-B043-4CAA-AB13-D43219321D30}"/>
    <cellStyle name="Normal 2 2 2 2 2 2 2 4 5" xfId="18269" xr:uid="{DA8125C3-9E8E-408A-8213-B4BD59ED4511}"/>
    <cellStyle name="Normal 2 2 2 2 2 2 2 4 5 2" xfId="18270" xr:uid="{5AE722D4-1EF6-4784-8A82-6AB31B411A21}"/>
    <cellStyle name="Normal 2 2 2 2 2 2 2 4 5 3" xfId="18271" xr:uid="{A72D2C61-FA9A-4E71-B57B-B9DAB56F31E4}"/>
    <cellStyle name="Normal 2 2 2 2 2 2 2 4 5 4" xfId="18272" xr:uid="{F9F18467-1BAC-4F9A-BB6C-7350A5292AE3}"/>
    <cellStyle name="Normal 2 2 2 2 2 2 2 4 5 5" xfId="18273" xr:uid="{ABEC796D-E2D6-4C3C-A5BB-91BA9B6C79E5}"/>
    <cellStyle name="Normal 2 2 2 2 2 2 2 4 5 6" xfId="18274" xr:uid="{29C57DD8-4726-49C9-B0FC-93A08D46A00A}"/>
    <cellStyle name="Normal 2 2 2 2 2 2 2 4 6" xfId="18275" xr:uid="{16015B61-2C17-4450-B050-300368DF0C4F}"/>
    <cellStyle name="Normal 2 2 2 2 2 2 2 4 6 2" xfId="18276" xr:uid="{D10139CC-3651-4442-B7DE-400C72154543}"/>
    <cellStyle name="Normal 2 2 2 2 2 2 2 4 6 3" xfId="18277" xr:uid="{A251E304-E2F0-40F2-ADC2-C1D93510142B}"/>
    <cellStyle name="Normal 2 2 2 2 2 2 2 4 6 4" xfId="18278" xr:uid="{BA14CB7D-06D1-4914-B35D-00CC88C26172}"/>
    <cellStyle name="Normal 2 2 2 2 2 2 2 4 6 5" xfId="18279" xr:uid="{8071F901-4E18-4FEE-B1F5-CA252986617E}"/>
    <cellStyle name="Normal 2 2 2 2 2 2 2 4 6 6" xfId="18280" xr:uid="{8153CB11-5DD0-492F-AB13-58DA2B9D7C2C}"/>
    <cellStyle name="Normal 2 2 2 2 2 2 2 4 7" xfId="18281" xr:uid="{8B528838-22DC-4690-8B4E-8E918C989A9D}"/>
    <cellStyle name="Normal 2 2 2 2 2 2 2 4 7 2" xfId="18282" xr:uid="{E889F834-E0E4-4D1D-9589-0D8C61A1CB22}"/>
    <cellStyle name="Normal 2 2 2 2 2 2 2 4 7 3" xfId="18283" xr:uid="{7EFC49C9-C7C2-4744-924F-A91E63BDF253}"/>
    <cellStyle name="Normal 2 2 2 2 2 2 2 4 7 4" xfId="18284" xr:uid="{AD72B3A3-BF7A-4693-ABF2-A8A0B13313EC}"/>
    <cellStyle name="Normal 2 2 2 2 2 2 2 4 7 5" xfId="18285" xr:uid="{55948F38-9702-4438-A5A2-64AE1997DFCF}"/>
    <cellStyle name="Normal 2 2 2 2 2 2 2 4 7 6" xfId="18286" xr:uid="{2E37BBD1-4885-42DE-B452-C99C6E6EED12}"/>
    <cellStyle name="Normal 2 2 2 2 2 2 2 4 8" xfId="18287" xr:uid="{8FD158B7-6C25-49F2-9711-9E9B4813EDF9}"/>
    <cellStyle name="Normal 2 2 2 2 2 2 2 4 8 2" xfId="18288" xr:uid="{542EECB7-ED6B-4CA0-B0BC-5181678AAC3B}"/>
    <cellStyle name="Normal 2 2 2 2 2 2 2 4 8 3" xfId="18289" xr:uid="{A0C9D837-C09E-499E-A1B2-63876B99F3BD}"/>
    <cellStyle name="Normal 2 2 2 2 2 2 2 4 8 4" xfId="18290" xr:uid="{E7EEC5FA-CDDB-435F-B977-3EA7277A5F89}"/>
    <cellStyle name="Normal 2 2 2 2 2 2 2 4 8 5" xfId="18291" xr:uid="{5B0EF049-6FA5-4E96-8A89-5B48BBAD5A27}"/>
    <cellStyle name="Normal 2 2 2 2 2 2 2 4 8 6" xfId="18292" xr:uid="{4FB9A2CC-59FB-4779-BA73-D597EC6FF43B}"/>
    <cellStyle name="Normal 2 2 2 2 2 2 2 4 9" xfId="18293" xr:uid="{E276E492-DF90-4EF9-94AD-D4B11682F25E}"/>
    <cellStyle name="Normal 2 2 2 2 2 2 2 40" xfId="18294" xr:uid="{8096A4CB-124A-4272-84C3-98FA78B58B1E}"/>
    <cellStyle name="Normal 2 2 2 2 2 2 2 41" xfId="18295" xr:uid="{F5BA73C3-2E26-4AE0-91E7-D520954DA410}"/>
    <cellStyle name="Normal 2 2 2 2 2 2 2 42" xfId="18296" xr:uid="{82C7A66B-B2F8-4F2A-BA98-C0E0E549E45B}"/>
    <cellStyle name="Normal 2 2 2 2 2 2 2 42 2" xfId="18297" xr:uid="{76516EC6-1789-4253-BEF9-A3ED8779D8E2}"/>
    <cellStyle name="Normal 2 2 2 2 2 2 2 42 2 2" xfId="18298" xr:uid="{47BE8276-395D-4BB4-97D8-9D6645EDECAB}"/>
    <cellStyle name="Normal 2 2 2 2 2 2 2 42 2 2 2" xfId="18299" xr:uid="{C04BD765-BD1F-4BCF-BEE4-29DAB173CE6E}"/>
    <cellStyle name="Normal 2 2 2 2 2 2 2 42 2 2 2 2" xfId="18300" xr:uid="{32041741-AD2E-46A2-B252-9390D36A755C}"/>
    <cellStyle name="Normal 2 2 2 2 2 2 2 42 2 2 2 3" xfId="18301" xr:uid="{9112DE59-0859-4C06-ADAD-0109500704E3}"/>
    <cellStyle name="Normal 2 2 2 2 2 2 2 42 2 2 2 4" xfId="18302" xr:uid="{E9E37AE1-9FB9-4055-8D13-7176646E824D}"/>
    <cellStyle name="Normal 2 2 2 2 2 2 2 42 2 2 2 5" xfId="18303" xr:uid="{FF5F9C3B-23DF-48B4-8088-391EA0C1DD0D}"/>
    <cellStyle name="Normal 2 2 2 2 2 2 2 42 2 2 2 6" xfId="18304" xr:uid="{7A2282D9-4011-4D67-BD5D-681EE186A800}"/>
    <cellStyle name="Normal 2 2 2 2 2 2 2 42 2 3" xfId="18305" xr:uid="{028A1273-54E0-4C67-BF06-B9A07E76D012}"/>
    <cellStyle name="Normal 2 2 2 2 2 2 2 42 2 4" xfId="18306" xr:uid="{FC9DC84B-B9B7-4940-8F04-F9E1522D8081}"/>
    <cellStyle name="Normal 2 2 2 2 2 2 2 42 2 5" xfId="18307" xr:uid="{442FCD95-3BF1-46F3-B26A-6998547038E6}"/>
    <cellStyle name="Normal 2 2 2 2 2 2 2 42 2 6" xfId="18308" xr:uid="{ADC9D50F-C238-437C-B8A4-10B66A930940}"/>
    <cellStyle name="Normal 2 2 2 2 2 2 2 42 2 7" xfId="18309" xr:uid="{5A95727A-140E-4B55-8042-1498AA9A48FD}"/>
    <cellStyle name="Normal 2 2 2 2 2 2 2 42 3" xfId="18310" xr:uid="{475D679F-3C34-42A1-9E1D-2E16CC630AD2}"/>
    <cellStyle name="Normal 2 2 2 2 2 2 2 42 3 2" xfId="18311" xr:uid="{DB0C414C-36EE-48DC-9276-CCC0DED1248C}"/>
    <cellStyle name="Normal 2 2 2 2 2 2 2 42 3 3" xfId="18312" xr:uid="{5A265CF7-33EB-49BC-9636-AF5F3B616900}"/>
    <cellStyle name="Normal 2 2 2 2 2 2 2 42 3 4" xfId="18313" xr:uid="{1A22B852-1C3C-4F0C-95B3-9ADEA92C090B}"/>
    <cellStyle name="Normal 2 2 2 2 2 2 2 42 3 5" xfId="18314" xr:uid="{A147FD2E-C70E-4AA2-85AF-A554DF390943}"/>
    <cellStyle name="Normal 2 2 2 2 2 2 2 42 3 6" xfId="18315" xr:uid="{84A2699D-985F-439F-A013-0165522C6F8B}"/>
    <cellStyle name="Normal 2 2 2 2 2 2 2 43" xfId="18316" xr:uid="{07C1FCEC-0525-4597-84F5-763874068DE2}"/>
    <cellStyle name="Normal 2 2 2 2 2 2 2 43 2" xfId="18317" xr:uid="{655C4473-E85D-43EB-98CC-C990D54778EC}"/>
    <cellStyle name="Normal 2 2 2 2 2 2 2 43 3" xfId="18318" xr:uid="{FD523405-1F3F-4A6C-A0EC-B03186ECFD35}"/>
    <cellStyle name="Normal 2 2 2 2 2 2 2 43 4" xfId="18319" xr:uid="{7E042155-3B19-4A2B-A8B3-CD8B7F735CED}"/>
    <cellStyle name="Normal 2 2 2 2 2 2 2 43 5" xfId="18320" xr:uid="{B8405811-AFD2-4B1D-A4A9-224AAB5C6EF0}"/>
    <cellStyle name="Normal 2 2 2 2 2 2 2 43 6" xfId="18321" xr:uid="{5E3F5CB1-0823-424B-99EF-7B264BCB3D22}"/>
    <cellStyle name="Normal 2 2 2 2 2 2 2 44" xfId="18322" xr:uid="{A93E5B18-53EC-4E9A-B752-9AE72B76EEEC}"/>
    <cellStyle name="Normal 2 2 2 2 2 2 2 44 2" xfId="18323" xr:uid="{5F03F2B7-8BA1-4624-9D2A-66861D3AFEBD}"/>
    <cellStyle name="Normal 2 2 2 2 2 2 2 44 3" xfId="18324" xr:uid="{BD3AFBE4-9929-40B3-B0F4-4EB693D67B58}"/>
    <cellStyle name="Normal 2 2 2 2 2 2 2 44 4" xfId="18325" xr:uid="{5AFC97D6-6EE0-4D55-B10B-137C249A1E54}"/>
    <cellStyle name="Normal 2 2 2 2 2 2 2 44 5" xfId="18326" xr:uid="{89DCE27D-75A3-4701-A0EE-83A4726E18AF}"/>
    <cellStyle name="Normal 2 2 2 2 2 2 2 44 6" xfId="18327" xr:uid="{C8520794-2BC1-4789-B80F-08B9D560023D}"/>
    <cellStyle name="Normal 2 2 2 2 2 2 2 45" xfId="18328" xr:uid="{D961CDA1-5064-4D8E-A080-BC85319BB7B2}"/>
    <cellStyle name="Normal 2 2 2 2 2 2 2 45 2" xfId="18329" xr:uid="{FA3B134A-4BEB-4589-AF77-55D363D99EC0}"/>
    <cellStyle name="Normal 2 2 2 2 2 2 2 45 3" xfId="18330" xr:uid="{F124CA00-89AF-4F8D-B4C6-721DCC9958D7}"/>
    <cellStyle name="Normal 2 2 2 2 2 2 2 45 4" xfId="18331" xr:uid="{339E5A45-C2C1-417F-98C4-5AEC1C5AD29F}"/>
    <cellStyle name="Normal 2 2 2 2 2 2 2 45 5" xfId="18332" xr:uid="{A00D7B0D-99B4-422D-98CA-8AF7EC1306B9}"/>
    <cellStyle name="Normal 2 2 2 2 2 2 2 45 6" xfId="18333" xr:uid="{B57058AE-6448-49F2-AEB6-9157DDE93532}"/>
    <cellStyle name="Normal 2 2 2 2 2 2 2 46" xfId="18334" xr:uid="{B627F529-5E5E-4825-BD5F-7C8E232E9B98}"/>
    <cellStyle name="Normal 2 2 2 2 2 2 2 46 2" xfId="18335" xr:uid="{EB18132D-7468-49A2-8B73-03743553517E}"/>
    <cellStyle name="Normal 2 2 2 2 2 2 2 46 3" xfId="18336" xr:uid="{E318DE2E-9CA8-4170-8238-E8BF21380FBE}"/>
    <cellStyle name="Normal 2 2 2 2 2 2 2 46 4" xfId="18337" xr:uid="{8102729A-DB04-4C1D-B28D-5F11DBAE086C}"/>
    <cellStyle name="Normal 2 2 2 2 2 2 2 46 5" xfId="18338" xr:uid="{D67BD272-AAC1-4715-992A-12B02646B0A9}"/>
    <cellStyle name="Normal 2 2 2 2 2 2 2 46 6" xfId="18339" xr:uid="{E14E7382-0E87-4580-91B4-4F14E43D1599}"/>
    <cellStyle name="Normal 2 2 2 2 2 2 2 47" xfId="18340" xr:uid="{8877E52D-88FE-4066-9A5A-0E095962094D}"/>
    <cellStyle name="Normal 2 2 2 2 2 2 2 47 2" xfId="18341" xr:uid="{EB389149-8BC3-4CA2-AE70-E7305CE75D2F}"/>
    <cellStyle name="Normal 2 2 2 2 2 2 2 47 3" xfId="18342" xr:uid="{779FCCEB-0E4D-4157-A4F1-F3117749DBCC}"/>
    <cellStyle name="Normal 2 2 2 2 2 2 2 47 4" xfId="18343" xr:uid="{6FB6CB1E-F7F6-4EE0-A471-D4EAFAC8931A}"/>
    <cellStyle name="Normal 2 2 2 2 2 2 2 47 5" xfId="18344" xr:uid="{F02EA493-4F90-476F-B4BE-6D7B9BD7E28C}"/>
    <cellStyle name="Normal 2 2 2 2 2 2 2 47 6" xfId="18345" xr:uid="{8FC323EF-DAAA-405E-BEFE-49045B6A0649}"/>
    <cellStyle name="Normal 2 2 2 2 2 2 2 48" xfId="18346" xr:uid="{FD4DB5D3-2038-40DE-8AD5-F7AEC687484D}"/>
    <cellStyle name="Normal 2 2 2 2 2 2 2 48 2" xfId="18347" xr:uid="{8A914E37-E26B-4D03-A2DC-32B43F751ED9}"/>
    <cellStyle name="Normal 2 2 2 2 2 2 2 48 3" xfId="18348" xr:uid="{1D9AFA74-D756-44DF-B041-B763E2721C09}"/>
    <cellStyle name="Normal 2 2 2 2 2 2 2 48 4" xfId="18349" xr:uid="{E8643E26-DEFA-42FF-9608-D384E48D5491}"/>
    <cellStyle name="Normal 2 2 2 2 2 2 2 48 5" xfId="18350" xr:uid="{948509A1-6CF2-4E0E-8F11-3309C76DFD10}"/>
    <cellStyle name="Normal 2 2 2 2 2 2 2 48 6" xfId="18351" xr:uid="{D706C8F8-7C05-4271-A4CB-93301D460A19}"/>
    <cellStyle name="Normal 2 2 2 2 2 2 2 49" xfId="18352" xr:uid="{00F5CBB0-342A-4406-977F-D7D0C1ABCB05}"/>
    <cellStyle name="Normal 2 2 2 2 2 2 2 49 2" xfId="18353" xr:uid="{93B1E281-7BBE-4DB2-A831-4AFBA7B968F7}"/>
    <cellStyle name="Normal 2 2 2 2 2 2 2 49 3" xfId="18354" xr:uid="{8F646A70-4AB3-43FA-AB11-AA181A9E339E}"/>
    <cellStyle name="Normal 2 2 2 2 2 2 2 49 4" xfId="18355" xr:uid="{E5EFB9AF-A937-4DB9-8568-1D5C060FFF1A}"/>
    <cellStyle name="Normal 2 2 2 2 2 2 2 49 5" xfId="18356" xr:uid="{BBC884DC-C324-46FC-AC7B-3282B6C54447}"/>
    <cellStyle name="Normal 2 2 2 2 2 2 2 49 6" xfId="18357" xr:uid="{CDE898AA-3A42-44C1-8F00-57DAB2BFB50F}"/>
    <cellStyle name="Normal 2 2 2 2 2 2 2 5" xfId="18358" xr:uid="{2D89F3CD-AFEF-4213-AFD7-42C36342587E}"/>
    <cellStyle name="Normal 2 2 2 2 2 2 2 5 10" xfId="18359" xr:uid="{6077CC32-0155-4AFA-87D5-0032D41E461E}"/>
    <cellStyle name="Normal 2 2 2 2 2 2 2 5 11" xfId="18360" xr:uid="{517469AE-3850-4D71-80E8-22D996EBA0A9}"/>
    <cellStyle name="Normal 2 2 2 2 2 2 2 5 12" xfId="18361" xr:uid="{4D74A089-F386-4A3D-8A13-2786BEC6EB0E}"/>
    <cellStyle name="Normal 2 2 2 2 2 2 2 5 13" xfId="18362" xr:uid="{4D8E22AC-9721-4E56-B4B6-6EC73FDCDF77}"/>
    <cellStyle name="Normal 2 2 2 2 2 2 2 5 2" xfId="18363" xr:uid="{0F2708C3-6B11-4767-BF42-36F6D2C6AE81}"/>
    <cellStyle name="Normal 2 2 2 2 2 2 2 5 2 2" xfId="18364" xr:uid="{5766A636-4197-4C82-A53B-A75AB1571E94}"/>
    <cellStyle name="Normal 2 2 2 2 2 2 2 5 2 3" xfId="18365" xr:uid="{61B8EA26-533F-46B1-B500-72CE47034865}"/>
    <cellStyle name="Normal 2 2 2 2 2 2 2 5 2 4" xfId="18366" xr:uid="{987CBAA9-D716-46A6-B082-3B75039A781E}"/>
    <cellStyle name="Normal 2 2 2 2 2 2 2 5 2 5" xfId="18367" xr:uid="{6851F564-2B20-4670-9A04-A4FF63F9A714}"/>
    <cellStyle name="Normal 2 2 2 2 2 2 2 5 2 6" xfId="18368" xr:uid="{E78B3A66-65C3-4C0D-89D2-5010A65D971D}"/>
    <cellStyle name="Normal 2 2 2 2 2 2 2 5 3" xfId="18369" xr:uid="{D7BF52B9-AC40-44CC-835D-91B0FDAE99C4}"/>
    <cellStyle name="Normal 2 2 2 2 2 2 2 5 3 2" xfId="18370" xr:uid="{F28D0D7B-855D-424F-A700-B8AB44C1E12D}"/>
    <cellStyle name="Normal 2 2 2 2 2 2 2 5 3 3" xfId="18371" xr:uid="{F2A13C72-240F-45F9-B582-03111163B260}"/>
    <cellStyle name="Normal 2 2 2 2 2 2 2 5 3 4" xfId="18372" xr:uid="{48695C7E-82C4-4C3E-B6BB-5FF93C718EF7}"/>
    <cellStyle name="Normal 2 2 2 2 2 2 2 5 3 5" xfId="18373" xr:uid="{A0DE7C6F-9E80-4685-B9F8-6962CAD729AB}"/>
    <cellStyle name="Normal 2 2 2 2 2 2 2 5 3 6" xfId="18374" xr:uid="{CA429562-514B-45E9-BD27-FA39B863AF7D}"/>
    <cellStyle name="Normal 2 2 2 2 2 2 2 5 4" xfId="18375" xr:uid="{0754E760-E93E-4FBF-A4D3-8307326AB781}"/>
    <cellStyle name="Normal 2 2 2 2 2 2 2 5 4 2" xfId="18376" xr:uid="{5B986605-C2AD-4931-BE6A-B471CF8145C7}"/>
    <cellStyle name="Normal 2 2 2 2 2 2 2 5 4 3" xfId="18377" xr:uid="{BD0DE387-B8F7-4074-8F46-2D588710FF99}"/>
    <cellStyle name="Normal 2 2 2 2 2 2 2 5 4 4" xfId="18378" xr:uid="{BF908414-4431-4410-BBE7-0E841547B5E2}"/>
    <cellStyle name="Normal 2 2 2 2 2 2 2 5 4 5" xfId="18379" xr:uid="{0C53FE22-63AD-4D80-A89F-00F7D3E2FB8D}"/>
    <cellStyle name="Normal 2 2 2 2 2 2 2 5 4 6" xfId="18380" xr:uid="{50D3FBF4-8F1B-4EC4-8B23-7BE87D39B5E4}"/>
    <cellStyle name="Normal 2 2 2 2 2 2 2 5 5" xfId="18381" xr:uid="{63AB6362-A5DD-4A28-9DC9-B858F7729F98}"/>
    <cellStyle name="Normal 2 2 2 2 2 2 2 5 5 2" xfId="18382" xr:uid="{0DB7CB5B-5C59-41B9-81E0-134FC2CD6097}"/>
    <cellStyle name="Normal 2 2 2 2 2 2 2 5 5 3" xfId="18383" xr:uid="{5AB53884-4A22-4F12-B8F1-F03F1F61A48E}"/>
    <cellStyle name="Normal 2 2 2 2 2 2 2 5 5 4" xfId="18384" xr:uid="{AF18DF90-B087-4D8F-8F71-269B90CE013F}"/>
    <cellStyle name="Normal 2 2 2 2 2 2 2 5 5 5" xfId="18385" xr:uid="{2CD84C62-AAA5-4DF9-8501-DDFDA2B1C962}"/>
    <cellStyle name="Normal 2 2 2 2 2 2 2 5 5 6" xfId="18386" xr:uid="{9D9853EA-4D97-444B-A001-2D5FC6B26CB3}"/>
    <cellStyle name="Normal 2 2 2 2 2 2 2 5 6" xfId="18387" xr:uid="{D1149A40-FD21-4330-8719-7AF145FCE608}"/>
    <cellStyle name="Normal 2 2 2 2 2 2 2 5 6 2" xfId="18388" xr:uid="{EE6FA2D1-A9DB-403D-9883-313BDC6DFB18}"/>
    <cellStyle name="Normal 2 2 2 2 2 2 2 5 6 3" xfId="18389" xr:uid="{03C40D2F-7A9C-4356-AE0D-4BC3F8E9720C}"/>
    <cellStyle name="Normal 2 2 2 2 2 2 2 5 6 4" xfId="18390" xr:uid="{A84DD8AB-11EF-4DCF-BF79-041BB9AC285F}"/>
    <cellStyle name="Normal 2 2 2 2 2 2 2 5 6 5" xfId="18391" xr:uid="{8B7E8351-4F20-4499-B596-C455D544A7CB}"/>
    <cellStyle name="Normal 2 2 2 2 2 2 2 5 6 6" xfId="18392" xr:uid="{5B9DA59A-5F84-4551-A62E-E33A4DB0BC53}"/>
    <cellStyle name="Normal 2 2 2 2 2 2 2 5 7" xfId="18393" xr:uid="{C6CB29C8-846C-4B90-B2D8-112459618FE2}"/>
    <cellStyle name="Normal 2 2 2 2 2 2 2 5 7 2" xfId="18394" xr:uid="{0E4E340F-1BC1-433A-9ABA-7EC79A72DD16}"/>
    <cellStyle name="Normal 2 2 2 2 2 2 2 5 7 3" xfId="18395" xr:uid="{5440F4FE-4631-433E-8820-0DE4F5F3C11C}"/>
    <cellStyle name="Normal 2 2 2 2 2 2 2 5 7 4" xfId="18396" xr:uid="{B0C9A0D6-32E8-408D-B2BA-DD9C30854032}"/>
    <cellStyle name="Normal 2 2 2 2 2 2 2 5 7 5" xfId="18397" xr:uid="{B0157382-968C-4E7D-877F-743255E5090C}"/>
    <cellStyle name="Normal 2 2 2 2 2 2 2 5 7 6" xfId="18398" xr:uid="{E1BBA8DB-FB39-4CB1-A8B5-624626EFAC05}"/>
    <cellStyle name="Normal 2 2 2 2 2 2 2 5 8" xfId="18399" xr:uid="{48367175-2AA1-4F90-98D4-D6DC51FEBAFB}"/>
    <cellStyle name="Normal 2 2 2 2 2 2 2 5 8 2" xfId="18400" xr:uid="{8EDF7F55-E98C-4E88-BDB6-B61858872E89}"/>
    <cellStyle name="Normal 2 2 2 2 2 2 2 5 8 3" xfId="18401" xr:uid="{D9AEC957-6CE3-448B-A80B-B4D10323400C}"/>
    <cellStyle name="Normal 2 2 2 2 2 2 2 5 8 4" xfId="18402" xr:uid="{A4B147AA-A09C-4903-A3A1-96A17E0C03BF}"/>
    <cellStyle name="Normal 2 2 2 2 2 2 2 5 8 5" xfId="18403" xr:uid="{2A566E54-4803-4BE2-8032-07AE61C2F19E}"/>
    <cellStyle name="Normal 2 2 2 2 2 2 2 5 8 6" xfId="18404" xr:uid="{B5C26FFE-68FA-4A8D-9F07-DDACF5B573FD}"/>
    <cellStyle name="Normal 2 2 2 2 2 2 2 5 9" xfId="18405" xr:uid="{718142FA-7DEB-49E4-997B-B618B6007231}"/>
    <cellStyle name="Normal 2 2 2 2 2 2 2 50" xfId="18406" xr:uid="{F0D544A2-661C-46D3-A26C-FCD1AA50D060}"/>
    <cellStyle name="Normal 2 2 2 2 2 2 2 50 2" xfId="18407" xr:uid="{A350E5BE-9816-4205-9CED-163F5AED642B}"/>
    <cellStyle name="Normal 2 2 2 2 2 2 2 50 3" xfId="18408" xr:uid="{432508E6-A4FC-4846-93BE-1B4F6E5D7CFD}"/>
    <cellStyle name="Normal 2 2 2 2 2 2 2 50 4" xfId="18409" xr:uid="{79658974-E790-45FA-BB59-55959067F899}"/>
    <cellStyle name="Normal 2 2 2 2 2 2 2 50 5" xfId="18410" xr:uid="{71C33C8F-AD95-4B05-B114-B31906879EC9}"/>
    <cellStyle name="Normal 2 2 2 2 2 2 2 50 6" xfId="18411" xr:uid="{83E70329-A6C5-4736-801F-C916ACA4B76E}"/>
    <cellStyle name="Normal 2 2 2 2 2 2 2 51" xfId="18412" xr:uid="{D0278CE4-41BA-4E4E-A62A-12A3481B7FD1}"/>
    <cellStyle name="Normal 2 2 2 2 2 2 2 51 2" xfId="18413" xr:uid="{66C197DD-D931-4104-AB05-DFCEC8C4EC1C}"/>
    <cellStyle name="Normal 2 2 2 2 2 2 2 51 3" xfId="18414" xr:uid="{40E6146B-D788-42D6-AAA5-98112046ED37}"/>
    <cellStyle name="Normal 2 2 2 2 2 2 2 51 4" xfId="18415" xr:uid="{B80611FA-5371-4068-9579-9E88DD958739}"/>
    <cellStyle name="Normal 2 2 2 2 2 2 2 51 5" xfId="18416" xr:uid="{9069E770-8AD0-407E-989A-CFA987882906}"/>
    <cellStyle name="Normal 2 2 2 2 2 2 2 51 6" xfId="18417" xr:uid="{0202E267-F6C4-46B7-BAAD-8C419E2BA473}"/>
    <cellStyle name="Normal 2 2 2 2 2 2 2 52" xfId="18418" xr:uid="{BA975823-C3BD-4329-94F3-0C4C5AFC0972}"/>
    <cellStyle name="Normal 2 2 2 2 2 2 2 52 2" xfId="18419" xr:uid="{2FE0B4C9-8217-4D4F-BF56-AFD572B2F66F}"/>
    <cellStyle name="Normal 2 2 2 2 2 2 2 52 3" xfId="18420" xr:uid="{F59F6388-C57E-458E-9201-E93A5A63EAB6}"/>
    <cellStyle name="Normal 2 2 2 2 2 2 2 52 4" xfId="18421" xr:uid="{1431161B-43F4-46C0-93C6-84C18595B2E0}"/>
    <cellStyle name="Normal 2 2 2 2 2 2 2 52 5" xfId="18422" xr:uid="{9F588802-379E-45B0-AAA8-FBA38EFDFCC4}"/>
    <cellStyle name="Normal 2 2 2 2 2 2 2 52 6" xfId="18423" xr:uid="{3EE28CE0-FB6B-49AC-8CE3-E010D6EE591A}"/>
    <cellStyle name="Normal 2 2 2 2 2 2 2 53" xfId="18424" xr:uid="{8A429EBB-542E-4D6B-9E11-065809538314}"/>
    <cellStyle name="Normal 2 2 2 2 2 2 2 53 2" xfId="18425" xr:uid="{C01AC5A8-C839-4291-87E9-49ACD82D4925}"/>
    <cellStyle name="Normal 2 2 2 2 2 2 2 53 3" xfId="18426" xr:uid="{976BEC53-3C39-4E39-9421-5A1F89481FA8}"/>
    <cellStyle name="Normal 2 2 2 2 2 2 2 53 4" xfId="18427" xr:uid="{E2D32489-ED64-49C7-A863-34C4C540AA12}"/>
    <cellStyle name="Normal 2 2 2 2 2 2 2 53 5" xfId="18428" xr:uid="{51A172FD-3379-4CF4-A87C-0BF7D1878EE4}"/>
    <cellStyle name="Normal 2 2 2 2 2 2 2 53 6" xfId="18429" xr:uid="{1B7EF51B-9EF0-4F8F-B46A-FEDAB7A8740D}"/>
    <cellStyle name="Normal 2 2 2 2 2 2 2 54" xfId="18430" xr:uid="{774F3169-9727-40E9-A72D-1227B153C81B}"/>
    <cellStyle name="Normal 2 2 2 2 2 2 2 54 2" xfId="18431" xr:uid="{D137190A-7DE8-418C-B27F-1C636F163F07}"/>
    <cellStyle name="Normal 2 2 2 2 2 2 2 54 3" xfId="18432" xr:uid="{EC0D16EA-49E0-48BA-B803-7D356EF2AA9C}"/>
    <cellStyle name="Normal 2 2 2 2 2 2 2 54 4" xfId="18433" xr:uid="{EE782FF3-0E67-4C07-B05C-0AF4351EBDA9}"/>
    <cellStyle name="Normal 2 2 2 2 2 2 2 54 5" xfId="18434" xr:uid="{F11CDD93-6B10-453E-A16F-266A536E2D4A}"/>
    <cellStyle name="Normal 2 2 2 2 2 2 2 54 6" xfId="18435" xr:uid="{5FB54836-B651-4CE1-8962-7D297563D7F8}"/>
    <cellStyle name="Normal 2 2 2 2 2 2 2 55" xfId="18436" xr:uid="{BAB99C5E-FFB3-43EB-8350-81309C7F277A}"/>
    <cellStyle name="Normal 2 2 2 2 2 2 2 55 2" xfId="18437" xr:uid="{C38292F9-A1C7-4818-9464-7CF71B957CF9}"/>
    <cellStyle name="Normal 2 2 2 2 2 2 2 55 3" xfId="18438" xr:uid="{4257B39A-380E-4711-B983-0C74B4B5A400}"/>
    <cellStyle name="Normal 2 2 2 2 2 2 2 55 4" xfId="18439" xr:uid="{8DFF88C3-87CE-4EAF-9906-712656540F7D}"/>
    <cellStyle name="Normal 2 2 2 2 2 2 2 55 5" xfId="18440" xr:uid="{75E4B10E-0CEC-4BBD-AFF2-0FEF86D90B83}"/>
    <cellStyle name="Normal 2 2 2 2 2 2 2 55 6" xfId="18441" xr:uid="{48DE4698-8E52-4AAF-BC52-5187CAECC34C}"/>
    <cellStyle name="Normal 2 2 2 2 2 2 2 56" xfId="18442" xr:uid="{E93345E2-7278-45EA-BD31-C5EF0495942A}"/>
    <cellStyle name="Normal 2 2 2 2 2 2 2 56 2" xfId="18443" xr:uid="{F08CBCE7-95FB-4392-A726-F910F2BF3C4D}"/>
    <cellStyle name="Normal 2 2 2 2 2 2 2 56 3" xfId="18444" xr:uid="{FE0E8A87-3595-4331-9F10-84C5043B4C10}"/>
    <cellStyle name="Normal 2 2 2 2 2 2 2 56 4" xfId="18445" xr:uid="{01846135-18BC-4783-9734-D7CC2C089801}"/>
    <cellStyle name="Normal 2 2 2 2 2 2 2 56 5" xfId="18446" xr:uid="{87F3CEE6-74F4-4916-8CD1-443425947AE0}"/>
    <cellStyle name="Normal 2 2 2 2 2 2 2 56 6" xfId="18447" xr:uid="{5FBC259B-CAF7-4466-A39D-6BD2FCBCAE8F}"/>
    <cellStyle name="Normal 2 2 2 2 2 2 2 57" xfId="18448" xr:uid="{0E8B57AA-2A72-405C-B54C-38E2D464E167}"/>
    <cellStyle name="Normal 2 2 2 2 2 2 2 57 2" xfId="18449" xr:uid="{F3FE727D-9BFF-4765-AA1E-2E1459DBD71E}"/>
    <cellStyle name="Normal 2 2 2 2 2 2 2 57 3" xfId="18450" xr:uid="{1FC74E2F-3FC5-43B8-815E-924EC7D193F1}"/>
    <cellStyle name="Normal 2 2 2 2 2 2 2 57 4" xfId="18451" xr:uid="{AB8FFA38-9239-4842-92E6-34631DAC9C00}"/>
    <cellStyle name="Normal 2 2 2 2 2 2 2 57 5" xfId="18452" xr:uid="{4F474C27-166F-4695-9F90-D8AF61A5079D}"/>
    <cellStyle name="Normal 2 2 2 2 2 2 2 57 6" xfId="18453" xr:uid="{2159A906-F534-4500-BEF8-35ECD6F74DF5}"/>
    <cellStyle name="Normal 2 2 2 2 2 2 2 58" xfId="18454" xr:uid="{38B06199-7F22-45D0-B41D-31EDD4C4EDC1}"/>
    <cellStyle name="Normal 2 2 2 2 2 2 2 58 2" xfId="18455" xr:uid="{97875D22-8262-412E-A3C8-C70C3F513A8A}"/>
    <cellStyle name="Normal 2 2 2 2 2 2 2 58 3" xfId="18456" xr:uid="{A681304F-463F-42E1-A6F4-7197932970FD}"/>
    <cellStyle name="Normal 2 2 2 2 2 2 2 58 4" xfId="18457" xr:uid="{08DB4AFD-4BC0-4B3F-A599-7AC1476A4D1C}"/>
    <cellStyle name="Normal 2 2 2 2 2 2 2 58 5" xfId="18458" xr:uid="{376733AA-E2A0-464D-AFCA-17C39DF377D3}"/>
    <cellStyle name="Normal 2 2 2 2 2 2 2 58 6" xfId="18459" xr:uid="{E5A8EF85-248E-4E37-B0E2-B0D92CE498A5}"/>
    <cellStyle name="Normal 2 2 2 2 2 2 2 59" xfId="18460" xr:uid="{F0BDFCE7-B5D3-46F3-A676-27546A55C729}"/>
    <cellStyle name="Normal 2 2 2 2 2 2 2 59 2" xfId="18461" xr:uid="{90FC824B-3DB6-4327-89A7-C4324D576F7A}"/>
    <cellStyle name="Normal 2 2 2 2 2 2 2 59 3" xfId="18462" xr:uid="{F7402A98-D257-47D3-B081-972C92760FD2}"/>
    <cellStyle name="Normal 2 2 2 2 2 2 2 59 4" xfId="18463" xr:uid="{6C8A26CD-0BC2-43FC-BB52-4994B100CF9A}"/>
    <cellStyle name="Normal 2 2 2 2 2 2 2 59 5" xfId="18464" xr:uid="{E00F57F8-0A6A-4A8F-921D-CDB6D8D9E263}"/>
    <cellStyle name="Normal 2 2 2 2 2 2 2 59 6" xfId="18465" xr:uid="{8500D2DB-5418-464B-AC6C-7132CD3DF698}"/>
    <cellStyle name="Normal 2 2 2 2 2 2 2 6" xfId="18466" xr:uid="{8A5FF9C2-C21D-40AD-A726-6AD6FA212AA3}"/>
    <cellStyle name="Normal 2 2 2 2 2 2 2 6 10" xfId="18467" xr:uid="{DA8543B9-3BF6-479C-A61A-07061DDC6FC5}"/>
    <cellStyle name="Normal 2 2 2 2 2 2 2 6 11" xfId="18468" xr:uid="{15AE9BF2-B963-4CD3-90D5-332965CC3EFA}"/>
    <cellStyle name="Normal 2 2 2 2 2 2 2 6 12" xfId="18469" xr:uid="{5D94FAEB-EF5E-4FBC-B885-D873BB633DBC}"/>
    <cellStyle name="Normal 2 2 2 2 2 2 2 6 13" xfId="18470" xr:uid="{78F42342-3934-428E-9033-1249C26B7304}"/>
    <cellStyle name="Normal 2 2 2 2 2 2 2 6 2" xfId="18471" xr:uid="{7093FC2B-4028-4EC3-862D-3E7B51FCA542}"/>
    <cellStyle name="Normal 2 2 2 2 2 2 2 6 2 2" xfId="18472" xr:uid="{DC177D25-B5A1-4593-B590-606A0A59A617}"/>
    <cellStyle name="Normal 2 2 2 2 2 2 2 6 2 3" xfId="18473" xr:uid="{534BA2B1-10C8-4D33-99BC-D5C1D9F4B5F1}"/>
    <cellStyle name="Normal 2 2 2 2 2 2 2 6 2 4" xfId="18474" xr:uid="{D9122D24-2D19-439D-9CFF-04AD69FC3C92}"/>
    <cellStyle name="Normal 2 2 2 2 2 2 2 6 2 5" xfId="18475" xr:uid="{E72D346A-65F6-43C8-A49F-EC3B27642819}"/>
    <cellStyle name="Normal 2 2 2 2 2 2 2 6 2 6" xfId="18476" xr:uid="{32861EAE-31D0-4D95-8794-FE29CCBF221E}"/>
    <cellStyle name="Normal 2 2 2 2 2 2 2 6 3" xfId="18477" xr:uid="{C659337C-5CCF-4AB3-8362-0EC2104EFEBC}"/>
    <cellStyle name="Normal 2 2 2 2 2 2 2 6 3 2" xfId="18478" xr:uid="{34CEEAF8-1A69-4A83-A145-BA39E3F54E1F}"/>
    <cellStyle name="Normal 2 2 2 2 2 2 2 6 3 3" xfId="18479" xr:uid="{CC9402F9-F48C-45C8-9FE6-0031FEF5C87C}"/>
    <cellStyle name="Normal 2 2 2 2 2 2 2 6 3 4" xfId="18480" xr:uid="{7CE225B6-1FD4-4F47-AADA-2FE62A5FF8BC}"/>
    <cellStyle name="Normal 2 2 2 2 2 2 2 6 3 5" xfId="18481" xr:uid="{E6344474-DA27-4545-8289-36109996F562}"/>
    <cellStyle name="Normal 2 2 2 2 2 2 2 6 3 6" xfId="18482" xr:uid="{AEA20307-63F0-4E4D-A5B9-9486C1061749}"/>
    <cellStyle name="Normal 2 2 2 2 2 2 2 6 4" xfId="18483" xr:uid="{E827A7EC-13D6-46FD-B82A-719B6F424924}"/>
    <cellStyle name="Normal 2 2 2 2 2 2 2 6 4 2" xfId="18484" xr:uid="{3AEB5988-CFE1-44D8-B55A-BB3032D72F37}"/>
    <cellStyle name="Normal 2 2 2 2 2 2 2 6 4 3" xfId="18485" xr:uid="{CA6850F2-8215-4DEC-B177-48AD821A183D}"/>
    <cellStyle name="Normal 2 2 2 2 2 2 2 6 4 4" xfId="18486" xr:uid="{1765827E-94EA-46A0-B69F-FD8155B9CB23}"/>
    <cellStyle name="Normal 2 2 2 2 2 2 2 6 4 5" xfId="18487" xr:uid="{BA9EB82A-465F-4E2C-9C54-463A9E198550}"/>
    <cellStyle name="Normal 2 2 2 2 2 2 2 6 4 6" xfId="18488" xr:uid="{85EA1072-7593-4B67-8828-76C062F8A7A9}"/>
    <cellStyle name="Normal 2 2 2 2 2 2 2 6 5" xfId="18489" xr:uid="{0A1DD0E5-2996-46DE-B82A-65D729230F4A}"/>
    <cellStyle name="Normal 2 2 2 2 2 2 2 6 5 2" xfId="18490" xr:uid="{E2B5A284-580C-455B-9CDC-BFED261631D4}"/>
    <cellStyle name="Normal 2 2 2 2 2 2 2 6 5 3" xfId="18491" xr:uid="{6F8E10BA-6070-4C50-913E-86E58C1D2FFD}"/>
    <cellStyle name="Normal 2 2 2 2 2 2 2 6 5 4" xfId="18492" xr:uid="{ADD83B1F-A72E-4C3E-B76A-05BB0D149C1E}"/>
    <cellStyle name="Normal 2 2 2 2 2 2 2 6 5 5" xfId="18493" xr:uid="{824673B8-DDC1-4336-B757-2C0C529749DB}"/>
    <cellStyle name="Normal 2 2 2 2 2 2 2 6 5 6" xfId="18494" xr:uid="{0D9638FD-BF5A-4C1C-9E5E-BCD11D851AE1}"/>
    <cellStyle name="Normal 2 2 2 2 2 2 2 6 6" xfId="18495" xr:uid="{01675DC4-AEA1-48B1-8827-3ABC3309F284}"/>
    <cellStyle name="Normal 2 2 2 2 2 2 2 6 6 2" xfId="18496" xr:uid="{3D70FB19-513F-45E9-83FD-8B03BEDD68F8}"/>
    <cellStyle name="Normal 2 2 2 2 2 2 2 6 6 3" xfId="18497" xr:uid="{B7BB4FD1-D036-4834-A16F-AC3CF5A9B202}"/>
    <cellStyle name="Normal 2 2 2 2 2 2 2 6 6 4" xfId="18498" xr:uid="{251AE7C8-D8BB-467E-94AE-21EC67CB0F19}"/>
    <cellStyle name="Normal 2 2 2 2 2 2 2 6 6 5" xfId="18499" xr:uid="{F4438AFA-F2C1-44FA-B2C3-AB00908898C7}"/>
    <cellStyle name="Normal 2 2 2 2 2 2 2 6 6 6" xfId="18500" xr:uid="{5972F7B7-C47C-458C-848C-02415E8D2435}"/>
    <cellStyle name="Normal 2 2 2 2 2 2 2 6 7" xfId="18501" xr:uid="{1F944C91-7D5A-4210-B5E4-560A016ED1DE}"/>
    <cellStyle name="Normal 2 2 2 2 2 2 2 6 7 2" xfId="18502" xr:uid="{BF896E00-86A0-4A5F-B519-CE3E968CBCBE}"/>
    <cellStyle name="Normal 2 2 2 2 2 2 2 6 7 3" xfId="18503" xr:uid="{C82C4307-FC34-4A38-8E1E-73DA52D2BB10}"/>
    <cellStyle name="Normal 2 2 2 2 2 2 2 6 7 4" xfId="18504" xr:uid="{8EAF4E3A-0C68-49E8-930A-4986CDD6A1AB}"/>
    <cellStyle name="Normal 2 2 2 2 2 2 2 6 7 5" xfId="18505" xr:uid="{7941AE9B-F914-48BD-AFBB-A22EBCC88EAC}"/>
    <cellStyle name="Normal 2 2 2 2 2 2 2 6 7 6" xfId="18506" xr:uid="{D29BF109-5662-4951-9930-6F3F2DFC2490}"/>
    <cellStyle name="Normal 2 2 2 2 2 2 2 6 8" xfId="18507" xr:uid="{F8677C8F-80F1-4404-A1A2-8E51EE569EB7}"/>
    <cellStyle name="Normal 2 2 2 2 2 2 2 6 8 2" xfId="18508" xr:uid="{C86CAFC6-9353-413A-B0B8-C38801964C89}"/>
    <cellStyle name="Normal 2 2 2 2 2 2 2 6 8 3" xfId="18509" xr:uid="{DCB30424-20EE-47DA-ADC2-6CEF20A45EE2}"/>
    <cellStyle name="Normal 2 2 2 2 2 2 2 6 8 4" xfId="18510" xr:uid="{6E5DD1F5-B51D-4694-92B9-2B07A4B49BD0}"/>
    <cellStyle name="Normal 2 2 2 2 2 2 2 6 8 5" xfId="18511" xr:uid="{3996EE33-3D04-4BCA-B5BE-8367BF23592C}"/>
    <cellStyle name="Normal 2 2 2 2 2 2 2 6 8 6" xfId="18512" xr:uid="{9AC3C89F-8BFF-4217-8FC8-CA9E9B6E6D69}"/>
    <cellStyle name="Normal 2 2 2 2 2 2 2 6 9" xfId="18513" xr:uid="{A856B095-45B9-4495-BEED-21F06C74C27B}"/>
    <cellStyle name="Normal 2 2 2 2 2 2 2 60" xfId="18514" xr:uid="{6324D216-23E6-46B5-9FCC-A43E216223CB}"/>
    <cellStyle name="Normal 2 2 2 2 2 2 2 60 2" xfId="18515" xr:uid="{6ED79D35-09AA-4148-9CDD-4E8F01ED2D82}"/>
    <cellStyle name="Normal 2 2 2 2 2 2 2 60 3" xfId="18516" xr:uid="{BF38328E-B995-45C0-A47C-5AE166B855BF}"/>
    <cellStyle name="Normal 2 2 2 2 2 2 2 60 4" xfId="18517" xr:uid="{53E0BEBC-73B2-49F2-B21C-44BE6600F349}"/>
    <cellStyle name="Normal 2 2 2 2 2 2 2 60 5" xfId="18518" xr:uid="{EDA2607B-EB3E-400A-98A8-4ABA24590EB1}"/>
    <cellStyle name="Normal 2 2 2 2 2 2 2 60 6" xfId="18519" xr:uid="{E5E9C5F1-ED90-46DC-B2C5-6F57007A79FC}"/>
    <cellStyle name="Normal 2 2 2 2 2 2 2 61" xfId="18520" xr:uid="{05B508E0-6DF9-4750-8FC3-50B990E75C43}"/>
    <cellStyle name="Normal 2 2 2 2 2 2 2 61 2" xfId="18521" xr:uid="{AF126B2D-ED3B-4F67-8BA0-0F826194557A}"/>
    <cellStyle name="Normal 2 2 2 2 2 2 2 61 3" xfId="18522" xr:uid="{7E61B3B7-DA0B-4A5A-A6D1-411F8639ECBB}"/>
    <cellStyle name="Normal 2 2 2 2 2 2 2 61 4" xfId="18523" xr:uid="{C087396A-529E-41F9-826A-949C67A0AB8E}"/>
    <cellStyle name="Normal 2 2 2 2 2 2 2 61 5" xfId="18524" xr:uid="{EB4E8433-54E4-498F-BA88-4EDF4DAB6889}"/>
    <cellStyle name="Normal 2 2 2 2 2 2 2 61 6" xfId="18525" xr:uid="{93B34ED2-4DBB-457C-9D43-6EEE1FCDCF1A}"/>
    <cellStyle name="Normal 2 2 2 2 2 2 2 62" xfId="18526" xr:uid="{C201AF4F-0076-4EB9-A75B-7A4C56A528E8}"/>
    <cellStyle name="Normal 2 2 2 2 2 2 2 62 2" xfId="18527" xr:uid="{DB80C9E8-4ACF-4D73-9A61-DA9DEEC4B43A}"/>
    <cellStyle name="Normal 2 2 2 2 2 2 2 62 2 2" xfId="18528" xr:uid="{858A6210-CF77-427B-A9E9-EF842D3CDBFA}"/>
    <cellStyle name="Normal 2 2 2 2 2 2 2 62 2 3" xfId="18529" xr:uid="{A67182DC-5EC8-4DB6-AEE7-E9C7B646F335}"/>
    <cellStyle name="Normal 2 2 2 2 2 2 2 62 2 4" xfId="18530" xr:uid="{1172BA04-005C-400F-94F3-D22F4B0A9D7A}"/>
    <cellStyle name="Normal 2 2 2 2 2 2 2 62 2 5" xfId="18531" xr:uid="{3F1D79E1-D198-477C-8881-162654412327}"/>
    <cellStyle name="Normal 2 2 2 2 2 2 2 62 2 6" xfId="18532" xr:uid="{20ACDC23-5A73-4115-98B3-39D5BCC28742}"/>
    <cellStyle name="Normal 2 2 2 2 2 2 2 63" xfId="18533" xr:uid="{174FC90E-F6ED-49FB-8D96-26ABF1BF51EF}"/>
    <cellStyle name="Normal 2 2 2 2 2 2 2 63 10" xfId="18534" xr:uid="{8CE2E128-EE8B-440A-ADC1-63D567D21F89}"/>
    <cellStyle name="Normal 2 2 2 2 2 2 2 63 11" xfId="18535" xr:uid="{A245EB71-795B-4567-9D85-55D326FA37EE}"/>
    <cellStyle name="Normal 2 2 2 2 2 2 2 63 2" xfId="18536" xr:uid="{31EFBDFD-0ACF-4516-B0F9-03FB5319C467}"/>
    <cellStyle name="Normal 2 2 2 2 2 2 2 63 2 2" xfId="18537" xr:uid="{97AB26DA-7B2F-4BB3-AA60-C68A24DAAF6B}"/>
    <cellStyle name="Normal 2 2 2 2 2 2 2 63 2 2 2" xfId="18538" xr:uid="{70555817-5CDC-4646-A9E2-6044FD36438F}"/>
    <cellStyle name="Normal 2 2 2 2 2 2 2 63 2 2 3" xfId="18539" xr:uid="{C78DF322-F7C8-4141-A810-D9179BF602EB}"/>
    <cellStyle name="Normal 2 2 2 2 2 2 2 63 2 3" xfId="18540" xr:uid="{41FA20E6-3D8A-4C1A-9D9B-54CBBBD2E340}"/>
    <cellStyle name="Normal 2 2 2 2 2 2 2 63 2 4" xfId="18541" xr:uid="{3AE7EAE7-D64A-477C-B2AD-01AC3084AB61}"/>
    <cellStyle name="Normal 2 2 2 2 2 2 2 63 2 5" xfId="18542" xr:uid="{7666212E-F577-42FE-85F9-7A68EE29B169}"/>
    <cellStyle name="Normal 2 2 2 2 2 2 2 63 2 6" xfId="18543" xr:uid="{D5FDE3A6-1FE5-4100-B37A-61103009CE22}"/>
    <cellStyle name="Normal 2 2 2 2 2 2 2 63 2 7" xfId="18544" xr:uid="{8225DEAA-1632-44B1-918D-62C760AD6520}"/>
    <cellStyle name="Normal 2 2 2 2 2 2 2 63 2 8" xfId="18545" xr:uid="{8FCEFD4E-C78B-4996-8B99-B9A40FE22970}"/>
    <cellStyle name="Normal 2 2 2 2 2 2 2 63 2 9" xfId="18546" xr:uid="{94912611-F357-4D1F-BFE6-08A665963670}"/>
    <cellStyle name="Normal 2 2 2 2 2 2 2 63 3" xfId="18547" xr:uid="{14AD7B39-F072-4512-8ACC-D1F6F142B1F4}"/>
    <cellStyle name="Normal 2 2 2 2 2 2 2 63 4" xfId="18548" xr:uid="{EFE78FE2-02FB-4224-9D6C-C39A57BDFEF9}"/>
    <cellStyle name="Normal 2 2 2 2 2 2 2 63 5" xfId="18549" xr:uid="{E3AB40A8-2A9D-4DE2-B5C3-ECC0B2EC7563}"/>
    <cellStyle name="Normal 2 2 2 2 2 2 2 63 5 2" xfId="18550" xr:uid="{6D3D3C5A-CB97-4429-B4B9-E44E216B5A9B}"/>
    <cellStyle name="Normal 2 2 2 2 2 2 2 63 5 3" xfId="18551" xr:uid="{70C8BE0B-1272-4B2C-B495-033DB4C46A0E}"/>
    <cellStyle name="Normal 2 2 2 2 2 2 2 63 6" xfId="18552" xr:uid="{D82A1D79-96A5-46DF-BD87-740749750B00}"/>
    <cellStyle name="Normal 2 2 2 2 2 2 2 63 7" xfId="18553" xr:uid="{6CEECFCE-ED67-490C-BB01-7F27F12249CC}"/>
    <cellStyle name="Normal 2 2 2 2 2 2 2 63 8" xfId="18554" xr:uid="{E998B48D-7C73-4256-8D7D-2B66AB1FD0F2}"/>
    <cellStyle name="Normal 2 2 2 2 2 2 2 63 9" xfId="18555" xr:uid="{5EF9915F-CB63-4340-B613-1A2095B8080B}"/>
    <cellStyle name="Normal 2 2 2 2 2 2 2 64" xfId="18556" xr:uid="{30D6D96C-49A0-429B-9F78-8D0C458E4A28}"/>
    <cellStyle name="Normal 2 2 2 2 2 2 2 65" xfId="18557" xr:uid="{2593B098-8F04-4DD2-BB4F-8A2CF5B7EA52}"/>
    <cellStyle name="Normal 2 2 2 2 2 2 2 66" xfId="18558" xr:uid="{14178967-6C66-4FE3-A389-7E4C56DD974B}"/>
    <cellStyle name="Normal 2 2 2 2 2 2 2 66 2" xfId="18559" xr:uid="{BF5ADAD9-7B1D-4435-AD8F-D5DFE3FE4E0A}"/>
    <cellStyle name="Normal 2 2 2 2 2 2 2 66 2 2" xfId="18560" xr:uid="{E61A7E0A-D8E7-465C-B2B1-4E6044149211}"/>
    <cellStyle name="Normal 2 2 2 2 2 2 2 66 2 3" xfId="18561" xr:uid="{C6A3E3FB-1117-403F-BCEB-2ACEADAE2FFA}"/>
    <cellStyle name="Normal 2 2 2 2 2 2 2 66 3" xfId="18562" xr:uid="{060081B3-A1CC-42E9-8040-FD70499F957A}"/>
    <cellStyle name="Normal 2 2 2 2 2 2 2 66 4" xfId="18563" xr:uid="{BE8D68AB-9B1D-404E-BC46-4434D1F3C258}"/>
    <cellStyle name="Normal 2 2 2 2 2 2 2 66 5" xfId="18564" xr:uid="{CEC97D2D-923D-45B9-98AD-6510776F3F6A}"/>
    <cellStyle name="Normal 2 2 2 2 2 2 2 66 6" xfId="18565" xr:uid="{BB63743C-2E67-4824-A363-A23A43154676}"/>
    <cellStyle name="Normal 2 2 2 2 2 2 2 66 7" xfId="18566" xr:uid="{84762245-D8B9-4D2D-A301-2CFCCD453BE5}"/>
    <cellStyle name="Normal 2 2 2 2 2 2 2 66 8" xfId="18567" xr:uid="{18791CD8-7B5A-46A5-B7BA-4AFB441A899F}"/>
    <cellStyle name="Normal 2 2 2 2 2 2 2 66 9" xfId="18568" xr:uid="{7D6DA3FF-5C44-405F-AD95-433363B81676}"/>
    <cellStyle name="Normal 2 2 2 2 2 2 2 67" xfId="18569" xr:uid="{BA1B1F87-6242-41EF-935D-4D40EB93B893}"/>
    <cellStyle name="Normal 2 2 2 2 2 2 2 68" xfId="18570" xr:uid="{00DC173B-F4A3-4F88-903B-D5CB1E6026BA}"/>
    <cellStyle name="Normal 2 2 2 2 2 2 2 68 2" xfId="18571" xr:uid="{20995D9C-2190-49B7-A3E1-F4F0A79E814B}"/>
    <cellStyle name="Normal 2 2 2 2 2 2 2 68 3" xfId="18572" xr:uid="{DDCD045B-0C83-4B1F-9CAD-06D62D3D0EAE}"/>
    <cellStyle name="Normal 2 2 2 2 2 2 2 69" xfId="18573" xr:uid="{C208393A-7E5F-41B0-B7D4-D6F415118AD8}"/>
    <cellStyle name="Normal 2 2 2 2 2 2 2 7" xfId="18574" xr:uid="{68513726-A112-4D20-A3C3-74BE5B1429C3}"/>
    <cellStyle name="Normal 2 2 2 2 2 2 2 7 10" xfId="18575" xr:uid="{992CB220-83BB-456E-A89F-818EA4CA5282}"/>
    <cellStyle name="Normal 2 2 2 2 2 2 2 7 11" xfId="18576" xr:uid="{1A6FA2AE-FA4F-4F9A-9A30-271B02B15DFA}"/>
    <cellStyle name="Normal 2 2 2 2 2 2 2 7 12" xfId="18577" xr:uid="{8D4E6173-5E67-4E58-98CA-1D65C4989DD2}"/>
    <cellStyle name="Normal 2 2 2 2 2 2 2 7 13" xfId="18578" xr:uid="{994A089D-8439-4C76-A8AF-21E100CBABCE}"/>
    <cellStyle name="Normal 2 2 2 2 2 2 2 7 2" xfId="18579" xr:uid="{54BA7104-3A6C-4C68-BE30-51A038E87D38}"/>
    <cellStyle name="Normal 2 2 2 2 2 2 2 7 2 2" xfId="18580" xr:uid="{0ECE18B1-4655-4F60-8EAF-911BF8DA90EA}"/>
    <cellStyle name="Normal 2 2 2 2 2 2 2 7 2 3" xfId="18581" xr:uid="{E3FEAE4E-3031-448B-B02A-03CD529CFBE7}"/>
    <cellStyle name="Normal 2 2 2 2 2 2 2 7 2 4" xfId="18582" xr:uid="{12C78C08-D190-4E0B-B3C5-64AB0F5A2FB7}"/>
    <cellStyle name="Normal 2 2 2 2 2 2 2 7 2 5" xfId="18583" xr:uid="{CE62533A-D906-4653-90F7-7B584EC5686B}"/>
    <cellStyle name="Normal 2 2 2 2 2 2 2 7 2 6" xfId="18584" xr:uid="{397E8193-EC8B-4019-9D11-EB20E7AB26B6}"/>
    <cellStyle name="Normal 2 2 2 2 2 2 2 7 3" xfId="18585" xr:uid="{0442D4A4-6CDD-4FC8-A4A3-42D5CE4614A0}"/>
    <cellStyle name="Normal 2 2 2 2 2 2 2 7 3 2" xfId="18586" xr:uid="{26E81D27-E701-4FB1-A434-4DE2EBA8C2DD}"/>
    <cellStyle name="Normal 2 2 2 2 2 2 2 7 3 3" xfId="18587" xr:uid="{19B9FE94-662A-454A-8C68-EAAEAD41597E}"/>
    <cellStyle name="Normal 2 2 2 2 2 2 2 7 3 4" xfId="18588" xr:uid="{6848755D-7EA2-4FCC-A687-1315A580F015}"/>
    <cellStyle name="Normal 2 2 2 2 2 2 2 7 3 5" xfId="18589" xr:uid="{08CEEF37-DB65-4359-99A8-D88BDAA53B3E}"/>
    <cellStyle name="Normal 2 2 2 2 2 2 2 7 3 6" xfId="18590" xr:uid="{C33942CA-C890-4B7E-B2D3-C81235DC7319}"/>
    <cellStyle name="Normal 2 2 2 2 2 2 2 7 4" xfId="18591" xr:uid="{CDC852E4-B7C8-473A-B0DA-54902C6BBBC4}"/>
    <cellStyle name="Normal 2 2 2 2 2 2 2 7 4 2" xfId="18592" xr:uid="{156BECF3-6EFD-4F96-84AD-238ED9A89298}"/>
    <cellStyle name="Normal 2 2 2 2 2 2 2 7 4 3" xfId="18593" xr:uid="{D7821FB1-4DAC-4434-B430-FD2639CEC0B9}"/>
    <cellStyle name="Normal 2 2 2 2 2 2 2 7 4 4" xfId="18594" xr:uid="{3A1830FC-FDA6-49DE-9DB3-27A19F7862BD}"/>
    <cellStyle name="Normal 2 2 2 2 2 2 2 7 4 5" xfId="18595" xr:uid="{6083C286-138E-404B-ADEC-580E117FA811}"/>
    <cellStyle name="Normal 2 2 2 2 2 2 2 7 4 6" xfId="18596" xr:uid="{002D63DD-6FAE-4AA3-9E6F-4119F1942A62}"/>
    <cellStyle name="Normal 2 2 2 2 2 2 2 7 5" xfId="18597" xr:uid="{07917EB3-8A40-4374-8213-8637EBA8B791}"/>
    <cellStyle name="Normal 2 2 2 2 2 2 2 7 5 2" xfId="18598" xr:uid="{2808323D-0A09-4D05-87A3-FBEF281D2879}"/>
    <cellStyle name="Normal 2 2 2 2 2 2 2 7 5 3" xfId="18599" xr:uid="{1441E925-69D4-47C2-AF42-C70BB26A2739}"/>
    <cellStyle name="Normal 2 2 2 2 2 2 2 7 5 4" xfId="18600" xr:uid="{6CC94E73-64B6-44B6-B7E8-9DB27880EB32}"/>
    <cellStyle name="Normal 2 2 2 2 2 2 2 7 5 5" xfId="18601" xr:uid="{2EEB7E71-3E92-4B10-83DE-4A330C7B2545}"/>
    <cellStyle name="Normal 2 2 2 2 2 2 2 7 5 6" xfId="18602" xr:uid="{1E0BFF1A-59E0-44AB-A5BB-C169EB1EEA2A}"/>
    <cellStyle name="Normal 2 2 2 2 2 2 2 7 6" xfId="18603" xr:uid="{47BDDA77-486D-47E4-B44D-E9824D3BB96C}"/>
    <cellStyle name="Normal 2 2 2 2 2 2 2 7 6 2" xfId="18604" xr:uid="{EC073D8F-6A9B-41B1-B978-DA97C753EEB0}"/>
    <cellStyle name="Normal 2 2 2 2 2 2 2 7 6 3" xfId="18605" xr:uid="{FBB62E78-73CF-49BF-AEAB-C337AB3AD8C8}"/>
    <cellStyle name="Normal 2 2 2 2 2 2 2 7 6 4" xfId="18606" xr:uid="{91C1C921-9E78-4AEF-A27A-17369234FBCE}"/>
    <cellStyle name="Normal 2 2 2 2 2 2 2 7 6 5" xfId="18607" xr:uid="{138B0BA1-7C3C-4CDF-94C1-94CB48A27BBC}"/>
    <cellStyle name="Normal 2 2 2 2 2 2 2 7 6 6" xfId="18608" xr:uid="{73B798D7-0E36-4760-BCB0-8F773A5D37DF}"/>
    <cellStyle name="Normal 2 2 2 2 2 2 2 7 7" xfId="18609" xr:uid="{BECC9BDB-61FF-4253-9E2D-DF1872C1EBBC}"/>
    <cellStyle name="Normal 2 2 2 2 2 2 2 7 7 2" xfId="18610" xr:uid="{D751EB1C-363B-42E2-88B4-9598AC336FD5}"/>
    <cellStyle name="Normal 2 2 2 2 2 2 2 7 7 3" xfId="18611" xr:uid="{6010DCD9-FE28-4C80-9A03-4A0D24F12840}"/>
    <cellStyle name="Normal 2 2 2 2 2 2 2 7 7 4" xfId="18612" xr:uid="{AE0C0D77-A13B-423A-820F-C0FE27B55447}"/>
    <cellStyle name="Normal 2 2 2 2 2 2 2 7 7 5" xfId="18613" xr:uid="{5E3AD004-D721-4E8A-9678-FDE93212EB5D}"/>
    <cellStyle name="Normal 2 2 2 2 2 2 2 7 7 6" xfId="18614" xr:uid="{30650059-B8D0-463C-B722-8EBD9EF80459}"/>
    <cellStyle name="Normal 2 2 2 2 2 2 2 7 8" xfId="18615" xr:uid="{2F8F2100-D917-4B27-82D2-BD38CC0BC7A8}"/>
    <cellStyle name="Normal 2 2 2 2 2 2 2 7 8 2" xfId="18616" xr:uid="{B1DA0C1E-EF54-4DED-A743-1A2473992ACD}"/>
    <cellStyle name="Normal 2 2 2 2 2 2 2 7 8 3" xfId="18617" xr:uid="{240D3607-835F-4C99-AB1B-8DD5734596DA}"/>
    <cellStyle name="Normal 2 2 2 2 2 2 2 7 8 4" xfId="18618" xr:uid="{92D24277-C5EC-4C2B-880E-72E379769D92}"/>
    <cellStyle name="Normal 2 2 2 2 2 2 2 7 8 5" xfId="18619" xr:uid="{285EB7A7-1A92-4889-A909-27A63223DA22}"/>
    <cellStyle name="Normal 2 2 2 2 2 2 2 7 8 6" xfId="18620" xr:uid="{5A425F60-CDB6-4B15-9E3E-D65C8143B171}"/>
    <cellStyle name="Normal 2 2 2 2 2 2 2 7 9" xfId="18621" xr:uid="{71990B4D-B358-4C10-9F06-03B2A6DA032E}"/>
    <cellStyle name="Normal 2 2 2 2 2 2 2 70" xfId="18622" xr:uid="{3288D36A-E531-4248-8140-1213BEF62226}"/>
    <cellStyle name="Normal 2 2 2 2 2 2 2 71" xfId="18623" xr:uid="{EF14B7A2-4B0E-42B3-B4EF-B5E1D3550075}"/>
    <cellStyle name="Normal 2 2 2 2 2 2 2 72" xfId="18624" xr:uid="{CA4F70F2-B1FD-4B62-9C7C-3A384516D936}"/>
    <cellStyle name="Normal 2 2 2 2 2 2 2 73" xfId="18625" xr:uid="{ABADDA23-470D-482B-97E4-6BE31C5D2159}"/>
    <cellStyle name="Normal 2 2 2 2 2 2 2 74" xfId="18626" xr:uid="{99F8AB1F-EC6C-4804-B68C-0DD7190D23F4}"/>
    <cellStyle name="Normal 2 2 2 2 2 2 2 75" xfId="18627" xr:uid="{DFF5AC78-17E0-40EA-A0AB-98BAE1F52BB1}"/>
    <cellStyle name="Normal 2 2 2 2 2 2 2 8" xfId="18628" xr:uid="{74728ECB-0004-46F3-B529-DB1D4E73E969}"/>
    <cellStyle name="Normal 2 2 2 2 2 2 2 8 10" xfId="18629" xr:uid="{C91087EF-2AF9-4330-857A-7B86B74C1DFA}"/>
    <cellStyle name="Normal 2 2 2 2 2 2 2 8 11" xfId="18630" xr:uid="{DBA46F8A-E849-4D31-8AD1-A4ADAE2350C0}"/>
    <cellStyle name="Normal 2 2 2 2 2 2 2 8 12" xfId="18631" xr:uid="{1DB5BA0C-E419-430C-9234-A9D2C5AAC62C}"/>
    <cellStyle name="Normal 2 2 2 2 2 2 2 8 13" xfId="18632" xr:uid="{80AE7CE5-1944-4DB0-B5B7-B0369EF7DC87}"/>
    <cellStyle name="Normal 2 2 2 2 2 2 2 8 2" xfId="18633" xr:uid="{AE5C568E-2714-4000-896A-9E92FCD1D690}"/>
    <cellStyle name="Normal 2 2 2 2 2 2 2 8 2 2" xfId="18634" xr:uid="{8214D2C6-DDA3-4FA3-8B5E-67B15FB39481}"/>
    <cellStyle name="Normal 2 2 2 2 2 2 2 8 2 3" xfId="18635" xr:uid="{1195DA5B-D607-49D2-8D75-8020FE1BD419}"/>
    <cellStyle name="Normal 2 2 2 2 2 2 2 8 2 4" xfId="18636" xr:uid="{8DD2CE03-586B-4D3D-BA55-39005501C896}"/>
    <cellStyle name="Normal 2 2 2 2 2 2 2 8 2 5" xfId="18637" xr:uid="{AFC7F6AE-7887-4D56-86C0-B415A4399B56}"/>
    <cellStyle name="Normal 2 2 2 2 2 2 2 8 2 6" xfId="18638" xr:uid="{60F246ED-99C7-4ECA-AE05-FF1E30C89B52}"/>
    <cellStyle name="Normal 2 2 2 2 2 2 2 8 3" xfId="18639" xr:uid="{E928A933-C42F-403C-A029-7E29E0B0EABB}"/>
    <cellStyle name="Normal 2 2 2 2 2 2 2 8 3 2" xfId="18640" xr:uid="{208334F0-BE31-4409-A144-CF09FFA96E0F}"/>
    <cellStyle name="Normal 2 2 2 2 2 2 2 8 3 3" xfId="18641" xr:uid="{43B12AC0-3ACE-4922-BFE5-792AC9BB57C5}"/>
    <cellStyle name="Normal 2 2 2 2 2 2 2 8 3 4" xfId="18642" xr:uid="{8408CE9C-B2BB-4A7F-8F9A-64523E79ADF8}"/>
    <cellStyle name="Normal 2 2 2 2 2 2 2 8 3 5" xfId="18643" xr:uid="{744D86CC-D06C-444D-86F7-A8EBC6A20081}"/>
    <cellStyle name="Normal 2 2 2 2 2 2 2 8 3 6" xfId="18644" xr:uid="{CD320533-5EA6-43F6-90FA-430A1B13F9EC}"/>
    <cellStyle name="Normal 2 2 2 2 2 2 2 8 4" xfId="18645" xr:uid="{84496D3B-5FBA-46C4-AB26-4B6A8BF2BA3A}"/>
    <cellStyle name="Normal 2 2 2 2 2 2 2 8 4 2" xfId="18646" xr:uid="{68065D8F-3FB7-4E2D-BC44-FE075E841872}"/>
    <cellStyle name="Normal 2 2 2 2 2 2 2 8 4 3" xfId="18647" xr:uid="{023AA480-5FBC-4ED0-AA9B-1A2B2168A237}"/>
    <cellStyle name="Normal 2 2 2 2 2 2 2 8 4 4" xfId="18648" xr:uid="{446E3CCE-0C58-402B-876A-59A5D2A58AB4}"/>
    <cellStyle name="Normal 2 2 2 2 2 2 2 8 4 5" xfId="18649" xr:uid="{27447C92-CAE0-4AFA-8C36-0E4713345053}"/>
    <cellStyle name="Normal 2 2 2 2 2 2 2 8 4 6" xfId="18650" xr:uid="{599F40D7-2ADE-4168-A7ED-0DB1309673A7}"/>
    <cellStyle name="Normal 2 2 2 2 2 2 2 8 5" xfId="18651" xr:uid="{5E78D356-0AFE-408C-9D6C-E51F8B787ADF}"/>
    <cellStyle name="Normal 2 2 2 2 2 2 2 8 5 2" xfId="18652" xr:uid="{3FE5B396-B768-41B4-AD6F-018733B56A7B}"/>
    <cellStyle name="Normal 2 2 2 2 2 2 2 8 5 3" xfId="18653" xr:uid="{1CC987FD-7690-4A80-9CCE-DD387676D4E8}"/>
    <cellStyle name="Normal 2 2 2 2 2 2 2 8 5 4" xfId="18654" xr:uid="{E176E9F2-0AEF-46F7-9E94-2D3765DE3AE0}"/>
    <cellStyle name="Normal 2 2 2 2 2 2 2 8 5 5" xfId="18655" xr:uid="{DFBAB794-FA03-44E8-A797-525E2FCF55E9}"/>
    <cellStyle name="Normal 2 2 2 2 2 2 2 8 5 6" xfId="18656" xr:uid="{163DB350-4480-47A5-8B82-4EED5420A9F7}"/>
    <cellStyle name="Normal 2 2 2 2 2 2 2 8 6" xfId="18657" xr:uid="{1B794658-F822-4A83-9057-CA4680008FB2}"/>
    <cellStyle name="Normal 2 2 2 2 2 2 2 8 6 2" xfId="18658" xr:uid="{F90BF985-CD2A-4F93-92D5-EDBB81B2E2AC}"/>
    <cellStyle name="Normal 2 2 2 2 2 2 2 8 6 3" xfId="18659" xr:uid="{A9305F98-D79A-4AA6-B60C-5C20C929A699}"/>
    <cellStyle name="Normal 2 2 2 2 2 2 2 8 6 4" xfId="18660" xr:uid="{70B4912F-EB3E-4372-90CD-447916A23250}"/>
    <cellStyle name="Normal 2 2 2 2 2 2 2 8 6 5" xfId="18661" xr:uid="{127A323F-1AAD-4DDE-BCAB-50E3CCCE2036}"/>
    <cellStyle name="Normal 2 2 2 2 2 2 2 8 6 6" xfId="18662" xr:uid="{FF991EF0-40BE-4B2D-8A8E-F343E63DB7D0}"/>
    <cellStyle name="Normal 2 2 2 2 2 2 2 8 7" xfId="18663" xr:uid="{50590987-EA76-498B-8387-63E0520E638C}"/>
    <cellStyle name="Normal 2 2 2 2 2 2 2 8 7 2" xfId="18664" xr:uid="{44B25F7F-E109-4FBC-81B0-4CC0800D48F3}"/>
    <cellStyle name="Normal 2 2 2 2 2 2 2 8 7 3" xfId="18665" xr:uid="{581DF4D8-424F-4E3E-8FD6-188B9FB2D241}"/>
    <cellStyle name="Normal 2 2 2 2 2 2 2 8 7 4" xfId="18666" xr:uid="{CFB56A7D-382A-41AC-A9CE-25AA7EA38FF6}"/>
    <cellStyle name="Normal 2 2 2 2 2 2 2 8 7 5" xfId="18667" xr:uid="{8C139C61-435F-453F-8FE5-D2F8AD257377}"/>
    <cellStyle name="Normal 2 2 2 2 2 2 2 8 7 6" xfId="18668" xr:uid="{65D57CB2-3BA5-4055-A40E-36505567A299}"/>
    <cellStyle name="Normal 2 2 2 2 2 2 2 8 8" xfId="18669" xr:uid="{D727E4FA-737F-4DB3-AEE1-AB778B28D27F}"/>
    <cellStyle name="Normal 2 2 2 2 2 2 2 8 8 2" xfId="18670" xr:uid="{228D2E97-3A6C-43A4-9D8A-25095F48FF03}"/>
    <cellStyle name="Normal 2 2 2 2 2 2 2 8 8 3" xfId="18671" xr:uid="{CD251A9F-4EBC-4E74-B6CD-A4B69A5104F9}"/>
    <cellStyle name="Normal 2 2 2 2 2 2 2 8 8 4" xfId="18672" xr:uid="{27A70FA9-BE25-4414-BE25-0537CC1A6E57}"/>
    <cellStyle name="Normal 2 2 2 2 2 2 2 8 8 5" xfId="18673" xr:uid="{1DDE674E-07E0-44A4-BE2C-0F4001B3F03B}"/>
    <cellStyle name="Normal 2 2 2 2 2 2 2 8 8 6" xfId="18674" xr:uid="{DDDEB7C6-4C9A-4013-8D6D-2A6A3FF8E1E2}"/>
    <cellStyle name="Normal 2 2 2 2 2 2 2 8 9" xfId="18675" xr:uid="{670EBC67-CE8D-4324-AD24-0BF9419C4C4F}"/>
    <cellStyle name="Normal 2 2 2 2 2 2 2 9" xfId="18676" xr:uid="{EBFD7D6D-77C8-4C92-B07E-1147E3E8E691}"/>
    <cellStyle name="Normal 2 2 2 2 2 2 2 9 10" xfId="18677" xr:uid="{3FCE2EEB-1A64-4A1F-B578-45E064206968}"/>
    <cellStyle name="Normal 2 2 2 2 2 2 2 9 11" xfId="18678" xr:uid="{D6A4CD13-10CD-4ECD-8790-D3FA9FFF2B92}"/>
    <cellStyle name="Normal 2 2 2 2 2 2 2 9 12" xfId="18679" xr:uid="{2E3A4A52-CEE9-40C5-98FD-DDF7F6655093}"/>
    <cellStyle name="Normal 2 2 2 2 2 2 2 9 13" xfId="18680" xr:uid="{2C438B8D-94E9-4191-A9FD-EB0F93416E13}"/>
    <cellStyle name="Normal 2 2 2 2 2 2 2 9 2" xfId="18681" xr:uid="{E4AA3C95-97B7-4DC5-BCB8-32D4283D8330}"/>
    <cellStyle name="Normal 2 2 2 2 2 2 2 9 2 2" xfId="18682" xr:uid="{385A3F2B-BF78-41B4-9B25-76E97B7791A9}"/>
    <cellStyle name="Normal 2 2 2 2 2 2 2 9 2 3" xfId="18683" xr:uid="{D32E74BF-C134-41B0-889A-25EDDFECC117}"/>
    <cellStyle name="Normal 2 2 2 2 2 2 2 9 2 4" xfId="18684" xr:uid="{5930CA51-7F44-4604-8EC5-B58F18087B65}"/>
    <cellStyle name="Normal 2 2 2 2 2 2 2 9 2 5" xfId="18685" xr:uid="{BB9AFDBB-B34E-402B-8279-1B3141D196F1}"/>
    <cellStyle name="Normal 2 2 2 2 2 2 2 9 2 6" xfId="18686" xr:uid="{5F9B94AC-1302-48CA-9F42-B502F15E55FB}"/>
    <cellStyle name="Normal 2 2 2 2 2 2 2 9 3" xfId="18687" xr:uid="{51F721EE-83E6-419E-B563-8EDC71B2EA51}"/>
    <cellStyle name="Normal 2 2 2 2 2 2 2 9 3 2" xfId="18688" xr:uid="{CE94A025-B087-4BEA-8C88-049EC5F107CD}"/>
    <cellStyle name="Normal 2 2 2 2 2 2 2 9 3 3" xfId="18689" xr:uid="{2B13CCED-7BD7-454E-A684-F494FF7DDDB7}"/>
    <cellStyle name="Normal 2 2 2 2 2 2 2 9 3 4" xfId="18690" xr:uid="{65CFD24A-9F19-42EE-8483-222984F32F61}"/>
    <cellStyle name="Normal 2 2 2 2 2 2 2 9 3 5" xfId="18691" xr:uid="{1517CD4E-4F57-4D30-BD67-53E8240E9CC7}"/>
    <cellStyle name="Normal 2 2 2 2 2 2 2 9 3 6" xfId="18692" xr:uid="{DC84AC56-5904-4F64-ACB3-8227FB374D11}"/>
    <cellStyle name="Normal 2 2 2 2 2 2 2 9 4" xfId="18693" xr:uid="{FE0390E4-425E-4C4D-8A94-1914981731E0}"/>
    <cellStyle name="Normal 2 2 2 2 2 2 2 9 4 2" xfId="18694" xr:uid="{455B85F7-8F23-4FC0-8753-CB0E4F177626}"/>
    <cellStyle name="Normal 2 2 2 2 2 2 2 9 4 3" xfId="18695" xr:uid="{1B350CE3-1E60-4CBB-B6F2-752D29524406}"/>
    <cellStyle name="Normal 2 2 2 2 2 2 2 9 4 4" xfId="18696" xr:uid="{4756DA99-799C-4F4E-B33A-C76FCEF38880}"/>
    <cellStyle name="Normal 2 2 2 2 2 2 2 9 4 5" xfId="18697" xr:uid="{E4E88E17-72DE-4631-821E-E3BEACF3687A}"/>
    <cellStyle name="Normal 2 2 2 2 2 2 2 9 4 6" xfId="18698" xr:uid="{38570BEA-38BD-4B7E-8668-76B456A92C86}"/>
    <cellStyle name="Normal 2 2 2 2 2 2 2 9 5" xfId="18699" xr:uid="{A2658DB6-1B38-4B53-B2ED-58E5A39FBA3C}"/>
    <cellStyle name="Normal 2 2 2 2 2 2 2 9 5 2" xfId="18700" xr:uid="{036E6E10-D641-42F4-B185-87C5B81F5C16}"/>
    <cellStyle name="Normal 2 2 2 2 2 2 2 9 5 3" xfId="18701" xr:uid="{7964695F-82BC-45B5-A190-0DD8A754F143}"/>
    <cellStyle name="Normal 2 2 2 2 2 2 2 9 5 4" xfId="18702" xr:uid="{B137E2E7-976D-4533-A76B-1DE6E1186800}"/>
    <cellStyle name="Normal 2 2 2 2 2 2 2 9 5 5" xfId="18703" xr:uid="{1C88CFBA-1C04-449F-A33E-A7E8DD7323C6}"/>
    <cellStyle name="Normal 2 2 2 2 2 2 2 9 5 6" xfId="18704" xr:uid="{84724C90-A7DB-4C98-AD6E-AC4EE1818DDA}"/>
    <cellStyle name="Normal 2 2 2 2 2 2 2 9 6" xfId="18705" xr:uid="{8FDE31F1-0C8E-43AD-8DFF-9D5778AB9CDD}"/>
    <cellStyle name="Normal 2 2 2 2 2 2 2 9 6 2" xfId="18706" xr:uid="{F7C5D443-2771-4908-8D97-8E08E6093EF7}"/>
    <cellStyle name="Normal 2 2 2 2 2 2 2 9 6 3" xfId="18707" xr:uid="{2DC26B69-AB5C-4D93-A601-BA651D6DC0B1}"/>
    <cellStyle name="Normal 2 2 2 2 2 2 2 9 6 4" xfId="18708" xr:uid="{D1F0B92F-9BF6-41D0-B455-D54D2FBD25C7}"/>
    <cellStyle name="Normal 2 2 2 2 2 2 2 9 6 5" xfId="18709" xr:uid="{012A4CAB-3957-43B8-91CF-ADB7FC966FD3}"/>
    <cellStyle name="Normal 2 2 2 2 2 2 2 9 6 6" xfId="18710" xr:uid="{1072C228-2375-44E4-9198-B03F2A0E95DA}"/>
    <cellStyle name="Normal 2 2 2 2 2 2 2 9 7" xfId="18711" xr:uid="{CDD631A7-4FA1-4D73-9D22-A28A58FBDDD9}"/>
    <cellStyle name="Normal 2 2 2 2 2 2 2 9 7 2" xfId="18712" xr:uid="{A7A7E4C4-5ADB-45B2-9D5E-146DEC1EC3AA}"/>
    <cellStyle name="Normal 2 2 2 2 2 2 2 9 7 3" xfId="18713" xr:uid="{3F3F1974-B716-49C4-AE12-B6C6A217773D}"/>
    <cellStyle name="Normal 2 2 2 2 2 2 2 9 7 4" xfId="18714" xr:uid="{2493C797-3011-4742-99D0-16EEA066E203}"/>
    <cellStyle name="Normal 2 2 2 2 2 2 2 9 7 5" xfId="18715" xr:uid="{0F24463D-EE5C-4F15-9ED9-56773097E29B}"/>
    <cellStyle name="Normal 2 2 2 2 2 2 2 9 7 6" xfId="18716" xr:uid="{EA0DD887-C95B-4993-A44C-7751D88A6AD9}"/>
    <cellStyle name="Normal 2 2 2 2 2 2 2 9 8" xfId="18717" xr:uid="{B483C016-8174-4F4F-9AA6-10C967D1CD52}"/>
    <cellStyle name="Normal 2 2 2 2 2 2 2 9 8 2" xfId="18718" xr:uid="{56FDD23E-8A9D-40EF-B591-C04B2D210706}"/>
    <cellStyle name="Normal 2 2 2 2 2 2 2 9 8 3" xfId="18719" xr:uid="{8D508CDA-8479-4DE8-94FB-A7F2CC7B2308}"/>
    <cellStyle name="Normal 2 2 2 2 2 2 2 9 8 4" xfId="18720" xr:uid="{23BA9D75-81E3-412B-92E0-7F66D613413A}"/>
    <cellStyle name="Normal 2 2 2 2 2 2 2 9 8 5" xfId="18721" xr:uid="{B0EC56E1-CCFF-4B6F-AB89-C052BF189601}"/>
    <cellStyle name="Normal 2 2 2 2 2 2 2 9 8 6" xfId="18722" xr:uid="{E0B5A7E2-85A9-4549-B198-82136244262A}"/>
    <cellStyle name="Normal 2 2 2 2 2 2 2 9 9" xfId="18723" xr:uid="{572A2AA9-12CC-44B5-BC6A-41182BBB7A6F}"/>
    <cellStyle name="Normal 2 2 2 2 2 2 20" xfId="18724" xr:uid="{D1993BEE-1F4D-4AA3-8B9F-D3103896F2E6}"/>
    <cellStyle name="Normal 2 2 2 2 2 2 20 10" xfId="18725" xr:uid="{A57122FE-92C9-4E1C-BB03-71D3C2A313CE}"/>
    <cellStyle name="Normal 2 2 2 2 2 2 20 11" xfId="18726" xr:uid="{A4837175-6231-4E93-B446-5C1779D79C2F}"/>
    <cellStyle name="Normal 2 2 2 2 2 2 20 12" xfId="18727" xr:uid="{39D39B01-C9FD-4240-AC0F-E1F46F846AE9}"/>
    <cellStyle name="Normal 2 2 2 2 2 2 20 13" xfId="18728" xr:uid="{14310026-020F-4C16-A580-DFBD6AD608AF}"/>
    <cellStyle name="Normal 2 2 2 2 2 2 20 2" xfId="18729" xr:uid="{A0079217-30CA-4DDF-B910-23D1F9EEA1A3}"/>
    <cellStyle name="Normal 2 2 2 2 2 2 20 2 2" xfId="18730" xr:uid="{4B9C5EF2-64C1-4288-BF78-C6957611C021}"/>
    <cellStyle name="Normal 2 2 2 2 2 2 20 2 3" xfId="18731" xr:uid="{BE1DEFF2-5A95-41E4-A1B1-CA504258D282}"/>
    <cellStyle name="Normal 2 2 2 2 2 2 20 2 4" xfId="18732" xr:uid="{09ACBE0D-FCD3-470D-B0DA-5DEE7465F52B}"/>
    <cellStyle name="Normal 2 2 2 2 2 2 20 2 5" xfId="18733" xr:uid="{AFD36E03-0ADC-4A1F-B566-24B261C522B5}"/>
    <cellStyle name="Normal 2 2 2 2 2 2 20 2 6" xfId="18734" xr:uid="{F2FF4D6C-0CE2-44CF-8F78-B92E4776A6C8}"/>
    <cellStyle name="Normal 2 2 2 2 2 2 20 3" xfId="18735" xr:uid="{5C93B699-CDE7-40E7-AA64-6FD6F6E389EC}"/>
    <cellStyle name="Normal 2 2 2 2 2 2 20 3 2" xfId="18736" xr:uid="{10593F30-7539-47B8-A4C8-285594D1A0DB}"/>
    <cellStyle name="Normal 2 2 2 2 2 2 20 3 3" xfId="18737" xr:uid="{64055FE8-869A-4C5D-B313-FED8C1FFFEAF}"/>
    <cellStyle name="Normal 2 2 2 2 2 2 20 3 4" xfId="18738" xr:uid="{969D9533-6F90-4807-B7C2-09D7481B4BA3}"/>
    <cellStyle name="Normal 2 2 2 2 2 2 20 3 5" xfId="18739" xr:uid="{01E5CA78-8832-4AEA-95C2-E6F8383101D3}"/>
    <cellStyle name="Normal 2 2 2 2 2 2 20 3 6" xfId="18740" xr:uid="{0D4C6CEE-EBAB-40CE-9A56-97AA0DDBDB66}"/>
    <cellStyle name="Normal 2 2 2 2 2 2 20 4" xfId="18741" xr:uid="{7B7215DA-B602-4C3E-896A-BD44809319C7}"/>
    <cellStyle name="Normal 2 2 2 2 2 2 20 4 2" xfId="18742" xr:uid="{6030AD4D-CA51-4386-86C9-E4FAAB6A5CD3}"/>
    <cellStyle name="Normal 2 2 2 2 2 2 20 4 3" xfId="18743" xr:uid="{BAAFD322-03D0-4252-A977-CF1EF234CA2C}"/>
    <cellStyle name="Normal 2 2 2 2 2 2 20 4 4" xfId="18744" xr:uid="{4BC3BA9C-C747-4C48-8B63-D06A3910025C}"/>
    <cellStyle name="Normal 2 2 2 2 2 2 20 4 5" xfId="18745" xr:uid="{335EC6D0-C530-4DD8-8D3D-B22F7FFA34D5}"/>
    <cellStyle name="Normal 2 2 2 2 2 2 20 4 6" xfId="18746" xr:uid="{F6A4BA16-C9E5-49C1-BBE4-84C6E79A975E}"/>
    <cellStyle name="Normal 2 2 2 2 2 2 20 5" xfId="18747" xr:uid="{2FCA05DA-0552-49CB-97C1-CDA0DD9427E8}"/>
    <cellStyle name="Normal 2 2 2 2 2 2 20 5 2" xfId="18748" xr:uid="{07194E5E-A359-48C5-8578-2646782E7CA0}"/>
    <cellStyle name="Normal 2 2 2 2 2 2 20 5 3" xfId="18749" xr:uid="{68D746A9-CDB7-4B90-97DF-1A22F7DF9673}"/>
    <cellStyle name="Normal 2 2 2 2 2 2 20 5 4" xfId="18750" xr:uid="{B3BC3DC8-9EC7-45FA-BAC3-CAFB16100E42}"/>
    <cellStyle name="Normal 2 2 2 2 2 2 20 5 5" xfId="18751" xr:uid="{90EC6F8B-BA33-45C5-8329-E754E606E374}"/>
    <cellStyle name="Normal 2 2 2 2 2 2 20 5 6" xfId="18752" xr:uid="{53B2F8B2-E1A8-483F-AD33-9D2AA66816AC}"/>
    <cellStyle name="Normal 2 2 2 2 2 2 20 6" xfId="18753" xr:uid="{B4CFB670-E864-402B-8244-4DD61C0665B6}"/>
    <cellStyle name="Normal 2 2 2 2 2 2 20 6 2" xfId="18754" xr:uid="{1BC19EA3-5DDF-42DA-B84A-1116A7B88685}"/>
    <cellStyle name="Normal 2 2 2 2 2 2 20 6 3" xfId="18755" xr:uid="{9D0FE2B6-D67B-4381-A14E-C8D25BDBA388}"/>
    <cellStyle name="Normal 2 2 2 2 2 2 20 6 4" xfId="18756" xr:uid="{F3F56D47-E078-4D1A-82F8-028315D20CD4}"/>
    <cellStyle name="Normal 2 2 2 2 2 2 20 6 5" xfId="18757" xr:uid="{D80200A8-2D69-45C9-A838-B9CE3B4AD6AE}"/>
    <cellStyle name="Normal 2 2 2 2 2 2 20 6 6" xfId="18758" xr:uid="{85555AE1-B50F-4ADA-A435-597EFBEA1C2F}"/>
    <cellStyle name="Normal 2 2 2 2 2 2 20 7" xfId="18759" xr:uid="{2C53547F-CD44-413B-A3CC-978053FAC516}"/>
    <cellStyle name="Normal 2 2 2 2 2 2 20 7 2" xfId="18760" xr:uid="{6B2B53C6-2E20-46BD-AD42-F2B4D346997B}"/>
    <cellStyle name="Normal 2 2 2 2 2 2 20 7 3" xfId="18761" xr:uid="{0038DBF0-B056-4439-B28E-70A9785C0993}"/>
    <cellStyle name="Normal 2 2 2 2 2 2 20 7 4" xfId="18762" xr:uid="{29962DC3-949F-425A-A6F3-DD772EB886E8}"/>
    <cellStyle name="Normal 2 2 2 2 2 2 20 7 5" xfId="18763" xr:uid="{29ED6410-4433-4AD4-988B-F8EBCCE2EA47}"/>
    <cellStyle name="Normal 2 2 2 2 2 2 20 7 6" xfId="18764" xr:uid="{903F745D-AA76-4E53-90B0-AFDD56100774}"/>
    <cellStyle name="Normal 2 2 2 2 2 2 20 8" xfId="18765" xr:uid="{B193AB3C-02D4-469E-8617-647469A26A52}"/>
    <cellStyle name="Normal 2 2 2 2 2 2 20 8 2" xfId="18766" xr:uid="{2D37E2D7-DA5F-4365-AC78-A7014E613633}"/>
    <cellStyle name="Normal 2 2 2 2 2 2 20 8 3" xfId="18767" xr:uid="{1D431A36-B81B-42F9-94A7-8C294B6668BB}"/>
    <cellStyle name="Normal 2 2 2 2 2 2 20 8 4" xfId="18768" xr:uid="{B9BE99C6-23B9-44DC-B4EA-54F85925D754}"/>
    <cellStyle name="Normal 2 2 2 2 2 2 20 8 5" xfId="18769" xr:uid="{10F3398C-606E-41B6-AF2A-7252391D322D}"/>
    <cellStyle name="Normal 2 2 2 2 2 2 20 8 6" xfId="18770" xr:uid="{F9E078E1-DFDB-4102-988B-D25A9223F0DC}"/>
    <cellStyle name="Normal 2 2 2 2 2 2 20 9" xfId="18771" xr:uid="{D27BFC61-7076-455B-9DFF-731030853D6C}"/>
    <cellStyle name="Normal 2 2 2 2 2 2 21" xfId="18772" xr:uid="{918ED0D7-52C9-4AEC-BAF5-FBF4F26FC2ED}"/>
    <cellStyle name="Normal 2 2 2 2 2 2 21 10" xfId="18773" xr:uid="{280D6418-CEB9-4EF6-9608-53BE245704E2}"/>
    <cellStyle name="Normal 2 2 2 2 2 2 21 11" xfId="18774" xr:uid="{7706AD38-1BC4-4141-AC72-6E5AA4CC31D1}"/>
    <cellStyle name="Normal 2 2 2 2 2 2 21 12" xfId="18775" xr:uid="{F18B4411-0502-46B5-B4BB-0048ED5DDAC4}"/>
    <cellStyle name="Normal 2 2 2 2 2 2 21 13" xfId="18776" xr:uid="{2325672A-3A71-40A2-BF14-E6E4658460CC}"/>
    <cellStyle name="Normal 2 2 2 2 2 2 21 2" xfId="18777" xr:uid="{0CDC6940-E9E3-4790-979A-8B04E57E2099}"/>
    <cellStyle name="Normal 2 2 2 2 2 2 21 2 2" xfId="18778" xr:uid="{B14E5853-EBA2-41DB-92DE-D4D9EC1D6591}"/>
    <cellStyle name="Normal 2 2 2 2 2 2 21 2 3" xfId="18779" xr:uid="{60367F0B-DE1E-4FA5-A2A3-B5BF0FDCB6FF}"/>
    <cellStyle name="Normal 2 2 2 2 2 2 21 2 4" xfId="18780" xr:uid="{95F9674B-8231-489F-8704-69B47A840F60}"/>
    <cellStyle name="Normal 2 2 2 2 2 2 21 2 5" xfId="18781" xr:uid="{B8581D82-00EF-4EBF-8CEF-F8DD4FBD430F}"/>
    <cellStyle name="Normal 2 2 2 2 2 2 21 2 6" xfId="18782" xr:uid="{016C1D26-5039-4CF8-B5E2-C70310E4618A}"/>
    <cellStyle name="Normal 2 2 2 2 2 2 21 3" xfId="18783" xr:uid="{054740CD-4C64-45C0-8711-D912B09A89F5}"/>
    <cellStyle name="Normal 2 2 2 2 2 2 21 3 2" xfId="18784" xr:uid="{FC7E1694-1A4A-4698-A113-D802413D5BD6}"/>
    <cellStyle name="Normal 2 2 2 2 2 2 21 3 3" xfId="18785" xr:uid="{90765946-DA2D-4926-9B4E-3BD7628A0B53}"/>
    <cellStyle name="Normal 2 2 2 2 2 2 21 3 4" xfId="18786" xr:uid="{64323E7A-E617-44BB-B5EB-ECA78B6A08F2}"/>
    <cellStyle name="Normal 2 2 2 2 2 2 21 3 5" xfId="18787" xr:uid="{D367846C-F7B2-4E97-83E3-C8812B393091}"/>
    <cellStyle name="Normal 2 2 2 2 2 2 21 3 6" xfId="18788" xr:uid="{2CCF59D1-FCAF-4DCE-8026-6C7840D7101D}"/>
    <cellStyle name="Normal 2 2 2 2 2 2 21 4" xfId="18789" xr:uid="{B70D6FC0-B940-4305-A8C1-4CA8E6FEF3DE}"/>
    <cellStyle name="Normal 2 2 2 2 2 2 21 4 2" xfId="18790" xr:uid="{FC95ED4B-4A83-4C5D-A51E-F3B95D305735}"/>
    <cellStyle name="Normal 2 2 2 2 2 2 21 4 3" xfId="18791" xr:uid="{5B47903E-C9E1-4BFB-9203-D40DBDF71F76}"/>
    <cellStyle name="Normal 2 2 2 2 2 2 21 4 4" xfId="18792" xr:uid="{088D3E90-4E58-474D-9352-6F0EC93747F8}"/>
    <cellStyle name="Normal 2 2 2 2 2 2 21 4 5" xfId="18793" xr:uid="{B63DD3F4-77CE-45F5-851F-45D0925CD390}"/>
    <cellStyle name="Normal 2 2 2 2 2 2 21 4 6" xfId="18794" xr:uid="{718F1C30-5306-46D7-A478-8BAD30D048B1}"/>
    <cellStyle name="Normal 2 2 2 2 2 2 21 5" xfId="18795" xr:uid="{CAC796D1-6D3C-48D3-86FA-CFD9E3E00B0C}"/>
    <cellStyle name="Normal 2 2 2 2 2 2 21 5 2" xfId="18796" xr:uid="{B11DC273-A01C-4094-804A-90EDB65E9A72}"/>
    <cellStyle name="Normal 2 2 2 2 2 2 21 5 3" xfId="18797" xr:uid="{EB4BE1BC-585D-4F51-A06F-1EB000EE62EA}"/>
    <cellStyle name="Normal 2 2 2 2 2 2 21 5 4" xfId="18798" xr:uid="{2337A7DB-294C-4C1E-B2CE-99201BBE6B87}"/>
    <cellStyle name="Normal 2 2 2 2 2 2 21 5 5" xfId="18799" xr:uid="{C024F784-A5BB-4AA1-8F2B-F763BC481E1F}"/>
    <cellStyle name="Normal 2 2 2 2 2 2 21 5 6" xfId="18800" xr:uid="{85866699-B13D-47E8-83F0-18882A9AF54E}"/>
    <cellStyle name="Normal 2 2 2 2 2 2 21 6" xfId="18801" xr:uid="{1FF81357-EC25-4FB0-8C8F-8E5DEC193DBF}"/>
    <cellStyle name="Normal 2 2 2 2 2 2 21 6 2" xfId="18802" xr:uid="{039A7B87-A87B-4796-A518-EE12B633F32E}"/>
    <cellStyle name="Normal 2 2 2 2 2 2 21 6 3" xfId="18803" xr:uid="{BE018CDE-C316-4886-BC04-61D3099CF669}"/>
    <cellStyle name="Normal 2 2 2 2 2 2 21 6 4" xfId="18804" xr:uid="{3EA3E4BB-432C-4837-AA4C-D4FAB0C3D2D5}"/>
    <cellStyle name="Normal 2 2 2 2 2 2 21 6 5" xfId="18805" xr:uid="{4CB4287F-0191-47B5-926F-C02B2136D918}"/>
    <cellStyle name="Normal 2 2 2 2 2 2 21 6 6" xfId="18806" xr:uid="{E29B82CE-EEC1-45FC-A7D1-1B6FF3C43C08}"/>
    <cellStyle name="Normal 2 2 2 2 2 2 21 7" xfId="18807" xr:uid="{5EAECDEE-FE80-4FB2-A74C-BC6E90EA21A0}"/>
    <cellStyle name="Normal 2 2 2 2 2 2 21 7 2" xfId="18808" xr:uid="{DC76F2D1-59FA-49B6-B465-DEDD21D5590E}"/>
    <cellStyle name="Normal 2 2 2 2 2 2 21 7 3" xfId="18809" xr:uid="{61A4B10E-6421-49BD-AC2A-3B54D3A07D59}"/>
    <cellStyle name="Normal 2 2 2 2 2 2 21 7 4" xfId="18810" xr:uid="{4CA8478C-5EE9-433F-9EC9-13222974372D}"/>
    <cellStyle name="Normal 2 2 2 2 2 2 21 7 5" xfId="18811" xr:uid="{F591BE40-50B7-4E33-A98A-543F520B177E}"/>
    <cellStyle name="Normal 2 2 2 2 2 2 21 7 6" xfId="18812" xr:uid="{E23F87DB-4BB2-4AE2-8C8B-8D6418847ACE}"/>
    <cellStyle name="Normal 2 2 2 2 2 2 21 8" xfId="18813" xr:uid="{DDC43917-3D7F-4CE7-A8C8-27B6B4D737B1}"/>
    <cellStyle name="Normal 2 2 2 2 2 2 21 8 2" xfId="18814" xr:uid="{B5DDDAB1-F874-43C5-896D-215208862343}"/>
    <cellStyle name="Normal 2 2 2 2 2 2 21 8 3" xfId="18815" xr:uid="{76D0BBB5-1EB1-4BC7-B27F-0521E32EF1E8}"/>
    <cellStyle name="Normal 2 2 2 2 2 2 21 8 4" xfId="18816" xr:uid="{BBA723CD-8B47-4266-BAFF-D65504F259B7}"/>
    <cellStyle name="Normal 2 2 2 2 2 2 21 8 5" xfId="18817" xr:uid="{565C7348-8B0B-408F-99B0-C7F7B77DA50F}"/>
    <cellStyle name="Normal 2 2 2 2 2 2 21 8 6" xfId="18818" xr:uid="{033CA73E-EC89-40F8-9635-979D93188E53}"/>
    <cellStyle name="Normal 2 2 2 2 2 2 21 9" xfId="18819" xr:uid="{E2F05425-9443-495C-8797-AE482A033C3A}"/>
    <cellStyle name="Normal 2 2 2 2 2 2 22" xfId="18820" xr:uid="{67894565-50FD-441E-BE32-C67382AF4D1A}"/>
    <cellStyle name="Normal 2 2 2 2 2 2 22 10" xfId="18821" xr:uid="{9C42FE8D-A34A-49FD-A3DE-235DCF14F01F}"/>
    <cellStyle name="Normal 2 2 2 2 2 2 22 11" xfId="18822" xr:uid="{34C2D7CE-D69D-4E5D-9986-708B5A925E1D}"/>
    <cellStyle name="Normal 2 2 2 2 2 2 22 12" xfId="18823" xr:uid="{8CE85894-F46D-4989-A221-74DD7DEBBDFE}"/>
    <cellStyle name="Normal 2 2 2 2 2 2 22 13" xfId="18824" xr:uid="{3F84C638-5216-4258-999C-2B6F472F8D1B}"/>
    <cellStyle name="Normal 2 2 2 2 2 2 22 2" xfId="18825" xr:uid="{6F273DFB-615E-4314-A0AA-13F99B864367}"/>
    <cellStyle name="Normal 2 2 2 2 2 2 22 2 2" xfId="18826" xr:uid="{CB5791EC-7E42-480F-9AE9-8845C8F13F86}"/>
    <cellStyle name="Normal 2 2 2 2 2 2 22 2 3" xfId="18827" xr:uid="{2364D036-A697-434E-9A35-AE5FC5595B06}"/>
    <cellStyle name="Normal 2 2 2 2 2 2 22 2 4" xfId="18828" xr:uid="{28E2B7DF-7B51-4CDB-A09C-C628617C331E}"/>
    <cellStyle name="Normal 2 2 2 2 2 2 22 2 5" xfId="18829" xr:uid="{4A22134C-4FE3-4549-A760-A8B3303E9DC0}"/>
    <cellStyle name="Normal 2 2 2 2 2 2 22 2 6" xfId="18830" xr:uid="{3EA7BD6E-F132-43B0-93BB-F5F4938D752B}"/>
    <cellStyle name="Normal 2 2 2 2 2 2 22 3" xfId="18831" xr:uid="{502571F6-5990-495A-8EE1-326832561B47}"/>
    <cellStyle name="Normal 2 2 2 2 2 2 22 3 2" xfId="18832" xr:uid="{B0A6CB7C-AEF2-42F1-B46C-7E91DD1928FE}"/>
    <cellStyle name="Normal 2 2 2 2 2 2 22 3 3" xfId="18833" xr:uid="{5A23588B-BE75-4ABA-97A1-DFAABDC7348E}"/>
    <cellStyle name="Normal 2 2 2 2 2 2 22 3 4" xfId="18834" xr:uid="{C5F0ED65-BE21-42B0-A476-517BAF23A21E}"/>
    <cellStyle name="Normal 2 2 2 2 2 2 22 3 5" xfId="18835" xr:uid="{AFE8A2B9-9658-420D-AB30-6C6E389CA74C}"/>
    <cellStyle name="Normal 2 2 2 2 2 2 22 3 6" xfId="18836" xr:uid="{946D9357-3325-4F7E-A493-49F358390D6A}"/>
    <cellStyle name="Normal 2 2 2 2 2 2 22 4" xfId="18837" xr:uid="{D8FC419E-A902-4566-97F3-FE8611B996AD}"/>
    <cellStyle name="Normal 2 2 2 2 2 2 22 4 2" xfId="18838" xr:uid="{2FDBC9A6-D83F-49F0-80B1-CD08F2F317AF}"/>
    <cellStyle name="Normal 2 2 2 2 2 2 22 4 3" xfId="18839" xr:uid="{8D165164-A71D-4BA0-9B2A-146CAE60ED19}"/>
    <cellStyle name="Normal 2 2 2 2 2 2 22 4 4" xfId="18840" xr:uid="{32FEF369-226F-43D1-ABCB-82FE2DCE636A}"/>
    <cellStyle name="Normal 2 2 2 2 2 2 22 4 5" xfId="18841" xr:uid="{1ACC4F80-0D8B-4250-9494-557624B7D247}"/>
    <cellStyle name="Normal 2 2 2 2 2 2 22 4 6" xfId="18842" xr:uid="{B4EFF076-C53B-4170-AF85-D8D85EBB62FA}"/>
    <cellStyle name="Normal 2 2 2 2 2 2 22 5" xfId="18843" xr:uid="{3FAD5B56-AFFF-4AC5-9447-DBC630CD4800}"/>
    <cellStyle name="Normal 2 2 2 2 2 2 22 5 2" xfId="18844" xr:uid="{A2E4EAA5-FBAF-4F44-9171-771DA6B92C37}"/>
    <cellStyle name="Normal 2 2 2 2 2 2 22 5 3" xfId="18845" xr:uid="{4D7D78CD-7389-4F95-8DA0-70FDE8A14DB4}"/>
    <cellStyle name="Normal 2 2 2 2 2 2 22 5 4" xfId="18846" xr:uid="{99110AC4-641E-48C0-9701-6C7C7CC34FD1}"/>
    <cellStyle name="Normal 2 2 2 2 2 2 22 5 5" xfId="18847" xr:uid="{FD5CB480-CA5C-469A-B1AD-139636A88B89}"/>
    <cellStyle name="Normal 2 2 2 2 2 2 22 5 6" xfId="18848" xr:uid="{15DEC96E-2477-4295-AF31-6FC277B6F2C3}"/>
    <cellStyle name="Normal 2 2 2 2 2 2 22 6" xfId="18849" xr:uid="{2DBC6EEB-BC5B-48AA-AF3C-B5ADCC56A915}"/>
    <cellStyle name="Normal 2 2 2 2 2 2 22 6 2" xfId="18850" xr:uid="{29860D58-B9F3-40A0-BDEE-68F94A9FD594}"/>
    <cellStyle name="Normal 2 2 2 2 2 2 22 6 3" xfId="18851" xr:uid="{3C828DD1-3581-4D84-97D4-B6F6B28EAF5C}"/>
    <cellStyle name="Normal 2 2 2 2 2 2 22 6 4" xfId="18852" xr:uid="{2D44A780-5BB4-486E-BFC6-227359B4066E}"/>
    <cellStyle name="Normal 2 2 2 2 2 2 22 6 5" xfId="18853" xr:uid="{17634DE8-7281-4803-AA53-BFE057B233AD}"/>
    <cellStyle name="Normal 2 2 2 2 2 2 22 6 6" xfId="18854" xr:uid="{AF5F31F4-A1FB-498F-B6DA-FE587B12B17D}"/>
    <cellStyle name="Normal 2 2 2 2 2 2 22 7" xfId="18855" xr:uid="{2FFBB754-0A23-4DA5-B876-38DBF72872B3}"/>
    <cellStyle name="Normal 2 2 2 2 2 2 22 7 2" xfId="18856" xr:uid="{C8A7E6E7-AC7D-48C1-8FAE-E1432D9EA0F9}"/>
    <cellStyle name="Normal 2 2 2 2 2 2 22 7 3" xfId="18857" xr:uid="{DDBFAE0C-645B-4C69-A709-2B18C22D27AE}"/>
    <cellStyle name="Normal 2 2 2 2 2 2 22 7 4" xfId="18858" xr:uid="{4E6B8530-43F1-4F64-9674-65B783460EEC}"/>
    <cellStyle name="Normal 2 2 2 2 2 2 22 7 5" xfId="18859" xr:uid="{6C1D806B-D69C-42DF-B7DA-6A74D6FC8F25}"/>
    <cellStyle name="Normal 2 2 2 2 2 2 22 7 6" xfId="18860" xr:uid="{78B6A631-7D90-46D4-A4F8-2B7761B6AB0A}"/>
    <cellStyle name="Normal 2 2 2 2 2 2 22 8" xfId="18861" xr:uid="{D3719C64-822E-4D13-B628-7C3C345A31E2}"/>
    <cellStyle name="Normal 2 2 2 2 2 2 22 8 2" xfId="18862" xr:uid="{4FBA7779-718E-4555-914B-229E877C339C}"/>
    <cellStyle name="Normal 2 2 2 2 2 2 22 8 3" xfId="18863" xr:uid="{B7CEF3DF-833A-4A5C-B9E5-8C6E4CC7A8D0}"/>
    <cellStyle name="Normal 2 2 2 2 2 2 22 8 4" xfId="18864" xr:uid="{7B5B878B-22B3-4BFC-A27A-5FF194CE15EA}"/>
    <cellStyle name="Normal 2 2 2 2 2 2 22 8 5" xfId="18865" xr:uid="{B3591DB3-45F1-49D4-A3D2-D5E6360E4C56}"/>
    <cellStyle name="Normal 2 2 2 2 2 2 22 8 6" xfId="18866" xr:uid="{9CB699CE-C42E-4286-AB49-3B976D9B0926}"/>
    <cellStyle name="Normal 2 2 2 2 2 2 22 9" xfId="18867" xr:uid="{95B2C9EF-717E-4838-AC55-0B20BEB6AA35}"/>
    <cellStyle name="Normal 2 2 2 2 2 2 23" xfId="18868" xr:uid="{148A5C4E-BBE7-4787-BA19-22D72870FB1E}"/>
    <cellStyle name="Normal 2 2 2 2 2 2 23 10" xfId="18869" xr:uid="{D0B2C324-D234-4219-ABBB-F35DFCF61664}"/>
    <cellStyle name="Normal 2 2 2 2 2 2 23 11" xfId="18870" xr:uid="{8F10F1CC-5D46-4208-B2D6-19BF1C5FFD46}"/>
    <cellStyle name="Normal 2 2 2 2 2 2 23 12" xfId="18871" xr:uid="{B62139EF-2E6A-4A08-BEF1-6B1FCB4BF6C0}"/>
    <cellStyle name="Normal 2 2 2 2 2 2 23 13" xfId="18872" xr:uid="{68A185B6-3B71-49B7-AF2E-0A787403D94B}"/>
    <cellStyle name="Normal 2 2 2 2 2 2 23 2" xfId="18873" xr:uid="{09144B8C-2482-4043-B540-33A0B7233420}"/>
    <cellStyle name="Normal 2 2 2 2 2 2 23 2 2" xfId="18874" xr:uid="{C346C63A-6AC0-415B-8C91-4C1DCB1B3FF3}"/>
    <cellStyle name="Normal 2 2 2 2 2 2 23 2 3" xfId="18875" xr:uid="{9F384350-A2EB-4005-A63D-BC522D4DEC0C}"/>
    <cellStyle name="Normal 2 2 2 2 2 2 23 2 4" xfId="18876" xr:uid="{788A5E97-5B3D-4BA5-86D0-465F96FAB6B4}"/>
    <cellStyle name="Normal 2 2 2 2 2 2 23 2 5" xfId="18877" xr:uid="{08798980-A1A7-4C16-A72C-3BECA32016E2}"/>
    <cellStyle name="Normal 2 2 2 2 2 2 23 2 6" xfId="18878" xr:uid="{6F767E85-605B-4B97-82DD-9297F2756FD3}"/>
    <cellStyle name="Normal 2 2 2 2 2 2 23 3" xfId="18879" xr:uid="{021DF741-9AA2-4750-B4E9-D27DD405AC7C}"/>
    <cellStyle name="Normal 2 2 2 2 2 2 23 3 2" xfId="18880" xr:uid="{29D91063-D300-44A0-AF15-45344D089CE0}"/>
    <cellStyle name="Normal 2 2 2 2 2 2 23 3 3" xfId="18881" xr:uid="{65D53180-1B18-48C1-A118-D33663AFA5AC}"/>
    <cellStyle name="Normal 2 2 2 2 2 2 23 3 4" xfId="18882" xr:uid="{D4A9F2A9-A657-440D-8085-BEA161646378}"/>
    <cellStyle name="Normal 2 2 2 2 2 2 23 3 5" xfId="18883" xr:uid="{71F1F1B3-B661-47A4-9D7E-6E27B5795C92}"/>
    <cellStyle name="Normal 2 2 2 2 2 2 23 3 6" xfId="18884" xr:uid="{A57DE65D-17EC-490E-9C22-CA0B214B892D}"/>
    <cellStyle name="Normal 2 2 2 2 2 2 23 4" xfId="18885" xr:uid="{7110F3DE-CD1C-44FB-8E19-1C0EA01E1908}"/>
    <cellStyle name="Normal 2 2 2 2 2 2 23 4 2" xfId="18886" xr:uid="{BDC2A7DC-6DDA-4E1B-B7E9-8A8638393757}"/>
    <cellStyle name="Normal 2 2 2 2 2 2 23 4 3" xfId="18887" xr:uid="{6DA7AD2D-927E-42A9-BA42-91886380C003}"/>
    <cellStyle name="Normal 2 2 2 2 2 2 23 4 4" xfId="18888" xr:uid="{48E8CF21-3435-4095-B36A-08B485013FDD}"/>
    <cellStyle name="Normal 2 2 2 2 2 2 23 4 5" xfId="18889" xr:uid="{B9B6E84F-037D-4FF4-9A5F-8067053B5ACC}"/>
    <cellStyle name="Normal 2 2 2 2 2 2 23 4 6" xfId="18890" xr:uid="{B0C9E327-D84E-4B39-823F-7ACD5019757F}"/>
    <cellStyle name="Normal 2 2 2 2 2 2 23 5" xfId="18891" xr:uid="{7C28D102-02E3-4DDA-8366-B822AC5F4C93}"/>
    <cellStyle name="Normal 2 2 2 2 2 2 23 5 2" xfId="18892" xr:uid="{68FBF1C4-1275-4FAB-9F7F-F7E3DFC2BD53}"/>
    <cellStyle name="Normal 2 2 2 2 2 2 23 5 3" xfId="18893" xr:uid="{C0326AD2-B1B9-40E0-BBB1-013066879410}"/>
    <cellStyle name="Normal 2 2 2 2 2 2 23 5 4" xfId="18894" xr:uid="{73A95031-A4F6-47E0-82B5-560948D6B794}"/>
    <cellStyle name="Normal 2 2 2 2 2 2 23 5 5" xfId="18895" xr:uid="{13AA9F29-C029-40C3-A660-3CB3F9D2B04E}"/>
    <cellStyle name="Normal 2 2 2 2 2 2 23 5 6" xfId="18896" xr:uid="{87749004-BF3C-4BC0-A98B-BC75F442532C}"/>
    <cellStyle name="Normal 2 2 2 2 2 2 23 6" xfId="18897" xr:uid="{62276B98-B808-48C1-BA80-F587DB725E2C}"/>
    <cellStyle name="Normal 2 2 2 2 2 2 23 6 2" xfId="18898" xr:uid="{2DD11C94-7D8B-4AD3-96D3-85348F3F0476}"/>
    <cellStyle name="Normal 2 2 2 2 2 2 23 6 3" xfId="18899" xr:uid="{7791EDE8-C94D-4983-9F57-239D086C4A4D}"/>
    <cellStyle name="Normal 2 2 2 2 2 2 23 6 4" xfId="18900" xr:uid="{FBFEE19C-BDDD-44F8-9D39-C502E8A543DF}"/>
    <cellStyle name="Normal 2 2 2 2 2 2 23 6 5" xfId="18901" xr:uid="{D0E128C9-2896-495E-B0BE-A9E820C18F73}"/>
    <cellStyle name="Normal 2 2 2 2 2 2 23 6 6" xfId="18902" xr:uid="{2BFF1F65-086D-4FB6-A43E-D142B80FBE70}"/>
    <cellStyle name="Normal 2 2 2 2 2 2 23 7" xfId="18903" xr:uid="{9A015828-5237-4113-89C7-6C09195BE47A}"/>
    <cellStyle name="Normal 2 2 2 2 2 2 23 7 2" xfId="18904" xr:uid="{CFF0F80B-E9AE-44F0-9CFA-AA099AE0150D}"/>
    <cellStyle name="Normal 2 2 2 2 2 2 23 7 3" xfId="18905" xr:uid="{480B416E-3601-404E-8206-5D25C882C443}"/>
    <cellStyle name="Normal 2 2 2 2 2 2 23 7 4" xfId="18906" xr:uid="{B8A5EE77-8C6E-4C44-8109-C3076E471F2A}"/>
    <cellStyle name="Normal 2 2 2 2 2 2 23 7 5" xfId="18907" xr:uid="{CE3DD636-A9AA-4C81-A50A-52998F3FCADC}"/>
    <cellStyle name="Normal 2 2 2 2 2 2 23 7 6" xfId="18908" xr:uid="{A9336AC2-C009-4BAF-BF6B-90A2148BEBB4}"/>
    <cellStyle name="Normal 2 2 2 2 2 2 23 8" xfId="18909" xr:uid="{2EA4909F-5C3D-47DE-B2F2-FCA0F005089F}"/>
    <cellStyle name="Normal 2 2 2 2 2 2 23 8 2" xfId="18910" xr:uid="{41075C37-550A-429A-9E51-D7E8CD75B1BF}"/>
    <cellStyle name="Normal 2 2 2 2 2 2 23 8 3" xfId="18911" xr:uid="{F0314379-634A-4DBF-B223-07DCFED7FBB9}"/>
    <cellStyle name="Normal 2 2 2 2 2 2 23 8 4" xfId="18912" xr:uid="{99BC1F09-9D4A-4B44-A913-E3D6DDBD9DC7}"/>
    <cellStyle name="Normal 2 2 2 2 2 2 23 8 5" xfId="18913" xr:uid="{32443B54-3D31-41DE-8CD3-49369A1037A1}"/>
    <cellStyle name="Normal 2 2 2 2 2 2 23 8 6" xfId="18914" xr:uid="{7D83FA45-E58A-4964-AC87-82E6C17CF758}"/>
    <cellStyle name="Normal 2 2 2 2 2 2 23 9" xfId="18915" xr:uid="{95974FCC-0880-4CA8-88C1-B4EB7B260C6C}"/>
    <cellStyle name="Normal 2 2 2 2 2 2 24" xfId="18916" xr:uid="{757835F1-E38E-4E74-B2A8-7493A2CD4EE0}"/>
    <cellStyle name="Normal 2 2 2 2 2 2 24 10" xfId="18917" xr:uid="{02FC0D6A-C02C-4716-81DB-615F7855874D}"/>
    <cellStyle name="Normal 2 2 2 2 2 2 24 11" xfId="18918" xr:uid="{317CE3C5-BA66-48D9-962E-7AC9B520CC7A}"/>
    <cellStyle name="Normal 2 2 2 2 2 2 24 12" xfId="18919" xr:uid="{C31CDFD7-3425-48A9-A6C6-6982EF104748}"/>
    <cellStyle name="Normal 2 2 2 2 2 2 24 13" xfId="18920" xr:uid="{38324BCB-EEC6-43E1-AE53-2850670F6A26}"/>
    <cellStyle name="Normal 2 2 2 2 2 2 24 2" xfId="18921" xr:uid="{567DBD27-7931-4D88-8078-6D4E501493B5}"/>
    <cellStyle name="Normal 2 2 2 2 2 2 24 2 2" xfId="18922" xr:uid="{D1467169-67E4-40B5-98AC-DA67725F3F5C}"/>
    <cellStyle name="Normal 2 2 2 2 2 2 24 2 3" xfId="18923" xr:uid="{84C4F2B3-4363-4713-A02A-B07AABE7B3BF}"/>
    <cellStyle name="Normal 2 2 2 2 2 2 24 2 4" xfId="18924" xr:uid="{BEF67CC7-DFF8-402C-9A98-18CFA89CEA8F}"/>
    <cellStyle name="Normal 2 2 2 2 2 2 24 2 5" xfId="18925" xr:uid="{5F84061B-34C2-4937-8B04-154D10ADE9C4}"/>
    <cellStyle name="Normal 2 2 2 2 2 2 24 2 6" xfId="18926" xr:uid="{755CD4D3-B13E-4998-8F27-252571FCBB54}"/>
    <cellStyle name="Normal 2 2 2 2 2 2 24 3" xfId="18927" xr:uid="{AC5D2600-99AD-4DAB-AA7B-89EB9F429462}"/>
    <cellStyle name="Normal 2 2 2 2 2 2 24 3 2" xfId="18928" xr:uid="{8954279A-2B16-479E-A1A6-A829D4F9B057}"/>
    <cellStyle name="Normal 2 2 2 2 2 2 24 3 3" xfId="18929" xr:uid="{E171D0FB-81ED-44E7-BE59-76B5B4351993}"/>
    <cellStyle name="Normal 2 2 2 2 2 2 24 3 4" xfId="18930" xr:uid="{176936E1-59F1-44C2-8D03-A9CC92C58252}"/>
    <cellStyle name="Normal 2 2 2 2 2 2 24 3 5" xfId="18931" xr:uid="{DB6F39F3-7B88-4791-9E76-047FE5416AD5}"/>
    <cellStyle name="Normal 2 2 2 2 2 2 24 3 6" xfId="18932" xr:uid="{27ABD73E-51F0-4780-AA31-4CD04072DA6B}"/>
    <cellStyle name="Normal 2 2 2 2 2 2 24 4" xfId="18933" xr:uid="{8C842985-B64E-4C84-93AB-1AF432BBD30A}"/>
    <cellStyle name="Normal 2 2 2 2 2 2 24 4 2" xfId="18934" xr:uid="{66B993AE-DDAC-494A-877B-F5883430D5E2}"/>
    <cellStyle name="Normal 2 2 2 2 2 2 24 4 3" xfId="18935" xr:uid="{670340D8-9AF4-4CBC-89AC-D20DB47B0258}"/>
    <cellStyle name="Normal 2 2 2 2 2 2 24 4 4" xfId="18936" xr:uid="{02342CFC-87EA-4113-9B3D-866BFA919481}"/>
    <cellStyle name="Normal 2 2 2 2 2 2 24 4 5" xfId="18937" xr:uid="{34226755-A371-44A0-BBB6-5B3709C767C6}"/>
    <cellStyle name="Normal 2 2 2 2 2 2 24 4 6" xfId="18938" xr:uid="{B17D0F6F-1322-447C-8FD3-6BA6CEDF5141}"/>
    <cellStyle name="Normal 2 2 2 2 2 2 24 5" xfId="18939" xr:uid="{BAB762AA-C151-4A1D-83FC-CB6F137FC623}"/>
    <cellStyle name="Normal 2 2 2 2 2 2 24 5 2" xfId="18940" xr:uid="{E67DFD5E-D810-467F-85A0-240A2989BF35}"/>
    <cellStyle name="Normal 2 2 2 2 2 2 24 5 3" xfId="18941" xr:uid="{BB84ADF1-58C4-45B6-80B6-236B6E4CA887}"/>
    <cellStyle name="Normal 2 2 2 2 2 2 24 5 4" xfId="18942" xr:uid="{98E14E92-E6FC-4205-BC96-638C5B9AD3B6}"/>
    <cellStyle name="Normal 2 2 2 2 2 2 24 5 5" xfId="18943" xr:uid="{690CB16F-07F1-4F71-8414-F9A532D1B82D}"/>
    <cellStyle name="Normal 2 2 2 2 2 2 24 5 6" xfId="18944" xr:uid="{75741461-28D7-4519-9EB7-5DE8438971A1}"/>
    <cellStyle name="Normal 2 2 2 2 2 2 24 6" xfId="18945" xr:uid="{7C858232-E19F-4DC3-9685-FD2D36F4F180}"/>
    <cellStyle name="Normal 2 2 2 2 2 2 24 6 2" xfId="18946" xr:uid="{55D050ED-E0D1-4213-A3AC-139C5560D9A5}"/>
    <cellStyle name="Normal 2 2 2 2 2 2 24 6 3" xfId="18947" xr:uid="{9B4EC941-EAC3-4847-8AEE-7D307BA08F73}"/>
    <cellStyle name="Normal 2 2 2 2 2 2 24 6 4" xfId="18948" xr:uid="{0EF97BC9-C513-49DF-B132-D77ED738FD7C}"/>
    <cellStyle name="Normal 2 2 2 2 2 2 24 6 5" xfId="18949" xr:uid="{318DB9C4-BC6E-4B74-8BDD-3071634C0624}"/>
    <cellStyle name="Normal 2 2 2 2 2 2 24 6 6" xfId="18950" xr:uid="{09EF2ED9-95D3-47C2-8D30-847C1BF1C229}"/>
    <cellStyle name="Normal 2 2 2 2 2 2 24 7" xfId="18951" xr:uid="{79120ED4-F757-42A5-B3B4-AA12E34235BA}"/>
    <cellStyle name="Normal 2 2 2 2 2 2 24 7 2" xfId="18952" xr:uid="{3FDAD7A4-45CA-40A9-907F-F61B2F293222}"/>
    <cellStyle name="Normal 2 2 2 2 2 2 24 7 3" xfId="18953" xr:uid="{B5A6FD2F-A0FF-421C-941C-B8B185F84A71}"/>
    <cellStyle name="Normal 2 2 2 2 2 2 24 7 4" xfId="18954" xr:uid="{D76BE50D-4FE4-4F86-837A-7D12EBCA2D6F}"/>
    <cellStyle name="Normal 2 2 2 2 2 2 24 7 5" xfId="18955" xr:uid="{65FE5C1B-71D3-407E-95A9-C4D57AC12F5A}"/>
    <cellStyle name="Normal 2 2 2 2 2 2 24 7 6" xfId="18956" xr:uid="{4E39BC74-7669-401E-A011-FC16CEC8D926}"/>
    <cellStyle name="Normal 2 2 2 2 2 2 24 8" xfId="18957" xr:uid="{AB3846B3-04E9-42FC-A097-2F50D6D9AFE2}"/>
    <cellStyle name="Normal 2 2 2 2 2 2 24 8 2" xfId="18958" xr:uid="{A9AFACFC-A216-4679-A469-D3282775FB07}"/>
    <cellStyle name="Normal 2 2 2 2 2 2 24 8 3" xfId="18959" xr:uid="{D2A7538F-2C80-4AFB-92AB-21269D76F17A}"/>
    <cellStyle name="Normal 2 2 2 2 2 2 24 8 4" xfId="18960" xr:uid="{C1CF0F4A-55BC-4CA4-A0F2-A8EBD7E924B1}"/>
    <cellStyle name="Normal 2 2 2 2 2 2 24 8 5" xfId="18961" xr:uid="{92E001E4-D5CA-4A63-BC5C-3E26E02FD3E3}"/>
    <cellStyle name="Normal 2 2 2 2 2 2 24 8 6" xfId="18962" xr:uid="{17C7D2A0-B1CF-4019-95C9-49EE6368FAAB}"/>
    <cellStyle name="Normal 2 2 2 2 2 2 24 9" xfId="18963" xr:uid="{D07A153B-4E5E-4A80-B26D-C3AD3FD36602}"/>
    <cellStyle name="Normal 2 2 2 2 2 2 25" xfId="18964" xr:uid="{FE5E67F4-B839-426C-9F63-BE9FF3B9927E}"/>
    <cellStyle name="Normal 2 2 2 2 2 2 25 10" xfId="18965" xr:uid="{43B45B0E-0929-480D-8432-CFFA7A01FBA0}"/>
    <cellStyle name="Normal 2 2 2 2 2 2 25 11" xfId="18966" xr:uid="{46B0A1BA-0C54-46C5-AECE-26FEA9979179}"/>
    <cellStyle name="Normal 2 2 2 2 2 2 25 12" xfId="18967" xr:uid="{84FF6FCA-37DA-4AD8-93F5-6E68EFED6FDB}"/>
    <cellStyle name="Normal 2 2 2 2 2 2 25 13" xfId="18968" xr:uid="{080801AD-F3B3-492C-A14D-A454D5976A6B}"/>
    <cellStyle name="Normal 2 2 2 2 2 2 25 2" xfId="18969" xr:uid="{D83F34D1-5D0B-4081-8EDD-7B1C6E8EB765}"/>
    <cellStyle name="Normal 2 2 2 2 2 2 25 2 2" xfId="18970" xr:uid="{216238E8-1ACA-4D45-B71B-E1F53BF55947}"/>
    <cellStyle name="Normal 2 2 2 2 2 2 25 2 3" xfId="18971" xr:uid="{726C4FE4-070A-4A57-A8BE-E7B54EB9F374}"/>
    <cellStyle name="Normal 2 2 2 2 2 2 25 2 4" xfId="18972" xr:uid="{9773131F-42BC-48EF-B985-8EEC8DA7E982}"/>
    <cellStyle name="Normal 2 2 2 2 2 2 25 2 5" xfId="18973" xr:uid="{577BF6B6-8EEB-4804-B396-8DC561491B65}"/>
    <cellStyle name="Normal 2 2 2 2 2 2 25 2 6" xfId="18974" xr:uid="{1E3B53EC-EA90-4E49-9A7A-C70A9342493E}"/>
    <cellStyle name="Normal 2 2 2 2 2 2 25 3" xfId="18975" xr:uid="{9D566BEF-445F-45E3-BB30-6FFBBB3C8C28}"/>
    <cellStyle name="Normal 2 2 2 2 2 2 25 3 2" xfId="18976" xr:uid="{B1F37156-978D-4D51-A74D-C2E2C854E534}"/>
    <cellStyle name="Normal 2 2 2 2 2 2 25 3 3" xfId="18977" xr:uid="{1A792828-9439-4636-BC12-51A02AFDC28C}"/>
    <cellStyle name="Normal 2 2 2 2 2 2 25 3 4" xfId="18978" xr:uid="{8D5BD480-D6B5-4C95-BC84-74D9EE3148F8}"/>
    <cellStyle name="Normal 2 2 2 2 2 2 25 3 5" xfId="18979" xr:uid="{B667D5AC-F871-4846-A12F-BF4CE7E96535}"/>
    <cellStyle name="Normal 2 2 2 2 2 2 25 3 6" xfId="18980" xr:uid="{0ED8FD61-6308-47C4-92D6-544DB00EC7DA}"/>
    <cellStyle name="Normal 2 2 2 2 2 2 25 4" xfId="18981" xr:uid="{48C61466-8037-404E-A5A2-4E4D081072F7}"/>
    <cellStyle name="Normal 2 2 2 2 2 2 25 4 2" xfId="18982" xr:uid="{B7BED144-44F2-41E3-A037-E576AC6A8EDF}"/>
    <cellStyle name="Normal 2 2 2 2 2 2 25 4 3" xfId="18983" xr:uid="{9E9A3C07-AED5-4BA4-8AAF-7B9993117EA7}"/>
    <cellStyle name="Normal 2 2 2 2 2 2 25 4 4" xfId="18984" xr:uid="{2908D9A5-8FA0-4C2D-A8E4-695FB50E0B0D}"/>
    <cellStyle name="Normal 2 2 2 2 2 2 25 4 5" xfId="18985" xr:uid="{525E0AFB-F995-4CC0-9A59-59A2B5421B0A}"/>
    <cellStyle name="Normal 2 2 2 2 2 2 25 4 6" xfId="18986" xr:uid="{26912064-1FFC-47D1-B772-DC601AB4C923}"/>
    <cellStyle name="Normal 2 2 2 2 2 2 25 5" xfId="18987" xr:uid="{1C5B0FCD-95D6-48A6-97C4-12278DCF1B07}"/>
    <cellStyle name="Normal 2 2 2 2 2 2 25 5 2" xfId="18988" xr:uid="{BCD84C40-62FD-4EE3-9E22-ABAE2F700173}"/>
    <cellStyle name="Normal 2 2 2 2 2 2 25 5 3" xfId="18989" xr:uid="{83C77B91-85EC-446D-BC18-19FB98992B84}"/>
    <cellStyle name="Normal 2 2 2 2 2 2 25 5 4" xfId="18990" xr:uid="{B79632EA-E80F-4682-8CED-9EF56B65048A}"/>
    <cellStyle name="Normal 2 2 2 2 2 2 25 5 5" xfId="18991" xr:uid="{FEADAAA5-15EA-44C8-A3DC-3624BD11F251}"/>
    <cellStyle name="Normal 2 2 2 2 2 2 25 5 6" xfId="18992" xr:uid="{2BF754C7-626F-4CAB-A458-5B13F42E7D41}"/>
    <cellStyle name="Normal 2 2 2 2 2 2 25 6" xfId="18993" xr:uid="{58496954-7E06-4330-865E-F26EE98C045E}"/>
    <cellStyle name="Normal 2 2 2 2 2 2 25 6 2" xfId="18994" xr:uid="{94B21116-4296-4EC4-BD2C-D113795C96A1}"/>
    <cellStyle name="Normal 2 2 2 2 2 2 25 6 3" xfId="18995" xr:uid="{BC43337F-7F7F-419D-B2D8-0C10039DF6CC}"/>
    <cellStyle name="Normal 2 2 2 2 2 2 25 6 4" xfId="18996" xr:uid="{6F397680-A474-46B1-A263-DB708FB11F5D}"/>
    <cellStyle name="Normal 2 2 2 2 2 2 25 6 5" xfId="18997" xr:uid="{0683C94B-AC3F-401B-A8FE-07840BB0880F}"/>
    <cellStyle name="Normal 2 2 2 2 2 2 25 6 6" xfId="18998" xr:uid="{CDFA2426-9129-4A59-BAC6-B136BE6492F7}"/>
    <cellStyle name="Normal 2 2 2 2 2 2 25 7" xfId="18999" xr:uid="{5351E347-63A2-450D-90F8-FBA032507903}"/>
    <cellStyle name="Normal 2 2 2 2 2 2 25 7 2" xfId="19000" xr:uid="{CBC18B4F-B313-4473-8B7F-08E6EEBFD804}"/>
    <cellStyle name="Normal 2 2 2 2 2 2 25 7 3" xfId="19001" xr:uid="{C30DA2C8-81B1-4A08-BC92-48E20C06A8DC}"/>
    <cellStyle name="Normal 2 2 2 2 2 2 25 7 4" xfId="19002" xr:uid="{F8D6DD4B-126D-4612-94B5-FF141A0252DE}"/>
    <cellStyle name="Normal 2 2 2 2 2 2 25 7 5" xfId="19003" xr:uid="{00D28147-5CA6-487B-98F0-072D9D04CC7B}"/>
    <cellStyle name="Normal 2 2 2 2 2 2 25 7 6" xfId="19004" xr:uid="{8D09292F-226A-460E-93F4-04D92B21273D}"/>
    <cellStyle name="Normal 2 2 2 2 2 2 25 8" xfId="19005" xr:uid="{E7991CA5-E0F2-4459-B1AC-2204E6405950}"/>
    <cellStyle name="Normal 2 2 2 2 2 2 25 8 2" xfId="19006" xr:uid="{A3573A99-2024-4E58-A5D6-109E90255059}"/>
    <cellStyle name="Normal 2 2 2 2 2 2 25 8 3" xfId="19007" xr:uid="{5EED47B2-1DD7-4BE5-AF2A-0A980CCD8E82}"/>
    <cellStyle name="Normal 2 2 2 2 2 2 25 8 4" xfId="19008" xr:uid="{660E35B0-2E46-42A0-BC83-F74ADE28AFAF}"/>
    <cellStyle name="Normal 2 2 2 2 2 2 25 8 5" xfId="19009" xr:uid="{9E11DC77-FEBF-4618-B959-ADE287C559FB}"/>
    <cellStyle name="Normal 2 2 2 2 2 2 25 8 6" xfId="19010" xr:uid="{90256885-BF7F-42C9-95C2-5B84D3BDDC6A}"/>
    <cellStyle name="Normal 2 2 2 2 2 2 25 9" xfId="19011" xr:uid="{C004669D-42A2-491C-B664-CCD9385DC15B}"/>
    <cellStyle name="Normal 2 2 2 2 2 2 26" xfId="19012" xr:uid="{4445ACC0-B8AC-475E-9E33-3CB83753B1BF}"/>
    <cellStyle name="Normal 2 2 2 2 2 2 26 10" xfId="19013" xr:uid="{9B64A2DF-E977-4B1E-A4F6-B78195C3CD24}"/>
    <cellStyle name="Normal 2 2 2 2 2 2 26 11" xfId="19014" xr:uid="{F7495DA3-3698-4015-A97B-FAB84BBBD25D}"/>
    <cellStyle name="Normal 2 2 2 2 2 2 26 12" xfId="19015" xr:uid="{7CE7574A-78A8-4F22-8CF4-719E3D67ED26}"/>
    <cellStyle name="Normal 2 2 2 2 2 2 26 13" xfId="19016" xr:uid="{3AF9B4DC-FC0D-4EF0-871A-62E1C5287999}"/>
    <cellStyle name="Normal 2 2 2 2 2 2 26 2" xfId="19017" xr:uid="{404C2F98-731D-4DFF-9F1C-6B45698737EB}"/>
    <cellStyle name="Normal 2 2 2 2 2 2 26 2 2" xfId="19018" xr:uid="{9D4D0BAB-BDDC-4838-B5B5-E4A15148A9BF}"/>
    <cellStyle name="Normal 2 2 2 2 2 2 26 2 3" xfId="19019" xr:uid="{9797255D-7027-4718-92A0-2AC6C6E8D600}"/>
    <cellStyle name="Normal 2 2 2 2 2 2 26 2 4" xfId="19020" xr:uid="{F1324989-6413-4C1C-B20E-389F33AAC237}"/>
    <cellStyle name="Normal 2 2 2 2 2 2 26 2 5" xfId="19021" xr:uid="{54BD4B92-DD08-4FA4-A0B3-C372B534D8CF}"/>
    <cellStyle name="Normal 2 2 2 2 2 2 26 2 6" xfId="19022" xr:uid="{D9F0DEB6-26FB-4E36-B902-78E0C4818C1F}"/>
    <cellStyle name="Normal 2 2 2 2 2 2 26 3" xfId="19023" xr:uid="{89C19D14-E419-447F-91F9-E9D9E0D91CB9}"/>
    <cellStyle name="Normal 2 2 2 2 2 2 26 3 2" xfId="19024" xr:uid="{64953B0B-E05D-464F-8373-0736143D6076}"/>
    <cellStyle name="Normal 2 2 2 2 2 2 26 3 3" xfId="19025" xr:uid="{58C67EDD-E16D-4B01-B226-81B17B08A085}"/>
    <cellStyle name="Normal 2 2 2 2 2 2 26 3 4" xfId="19026" xr:uid="{684E1476-4AE3-4248-8FEE-4B8489F0D28B}"/>
    <cellStyle name="Normal 2 2 2 2 2 2 26 3 5" xfId="19027" xr:uid="{95C28C5C-35A1-4769-9348-66CEF87C6B9A}"/>
    <cellStyle name="Normal 2 2 2 2 2 2 26 3 6" xfId="19028" xr:uid="{44377AE2-659A-4658-8454-0D36C3E0AB40}"/>
    <cellStyle name="Normal 2 2 2 2 2 2 26 4" xfId="19029" xr:uid="{02289EE5-193A-40D9-ABB7-860E7048AC07}"/>
    <cellStyle name="Normal 2 2 2 2 2 2 26 4 2" xfId="19030" xr:uid="{81A8CC8F-BF0B-403C-8F6A-5FB49885BAF8}"/>
    <cellStyle name="Normal 2 2 2 2 2 2 26 4 3" xfId="19031" xr:uid="{6CF8C4CA-106A-46A4-956F-40B190CD8620}"/>
    <cellStyle name="Normal 2 2 2 2 2 2 26 4 4" xfId="19032" xr:uid="{31277BF5-2E3B-474C-9886-B969E5593331}"/>
    <cellStyle name="Normal 2 2 2 2 2 2 26 4 5" xfId="19033" xr:uid="{FEC93783-506A-4080-9AE8-04F3E59EAB5E}"/>
    <cellStyle name="Normal 2 2 2 2 2 2 26 4 6" xfId="19034" xr:uid="{8F8FA0E5-75DB-4B86-8359-E5E7E25CB62D}"/>
    <cellStyle name="Normal 2 2 2 2 2 2 26 5" xfId="19035" xr:uid="{5771BC56-4161-44E3-A12D-3222D2E99884}"/>
    <cellStyle name="Normal 2 2 2 2 2 2 26 5 2" xfId="19036" xr:uid="{2C0100CA-6925-47F1-B0B3-5A061FCE4638}"/>
    <cellStyle name="Normal 2 2 2 2 2 2 26 5 3" xfId="19037" xr:uid="{9DDC616B-BE81-4062-A9FC-45B71CD32B91}"/>
    <cellStyle name="Normal 2 2 2 2 2 2 26 5 4" xfId="19038" xr:uid="{BDE1D45E-8B90-4691-86EA-35D00A0F60DD}"/>
    <cellStyle name="Normal 2 2 2 2 2 2 26 5 5" xfId="19039" xr:uid="{29636DD2-864D-4D86-AE53-E21CF837DCE2}"/>
    <cellStyle name="Normal 2 2 2 2 2 2 26 5 6" xfId="19040" xr:uid="{969C74DD-3A59-472F-A588-1AB1C56975EA}"/>
    <cellStyle name="Normal 2 2 2 2 2 2 26 6" xfId="19041" xr:uid="{E53AE1F2-A7FB-4286-B149-45393E67C0B4}"/>
    <cellStyle name="Normal 2 2 2 2 2 2 26 6 2" xfId="19042" xr:uid="{43580DF4-39D1-496E-9EB2-ED8364CEDFF5}"/>
    <cellStyle name="Normal 2 2 2 2 2 2 26 6 3" xfId="19043" xr:uid="{70E25F81-0DD7-4887-9976-7DBABBD28DB2}"/>
    <cellStyle name="Normal 2 2 2 2 2 2 26 6 4" xfId="19044" xr:uid="{CF7E7C0D-7552-48C5-B2A5-0ACF8AD53E43}"/>
    <cellStyle name="Normal 2 2 2 2 2 2 26 6 5" xfId="19045" xr:uid="{B32BB1BD-5DF0-47F6-B88A-055E13810849}"/>
    <cellStyle name="Normal 2 2 2 2 2 2 26 6 6" xfId="19046" xr:uid="{A59F5BA7-0DFD-42E7-BEA1-ED83C5089393}"/>
    <cellStyle name="Normal 2 2 2 2 2 2 26 7" xfId="19047" xr:uid="{E8AA1C6F-9443-4D27-81F6-3BC8AD5467FA}"/>
    <cellStyle name="Normal 2 2 2 2 2 2 26 7 2" xfId="19048" xr:uid="{AE345B67-4705-4A8C-B67C-C54BD26185C4}"/>
    <cellStyle name="Normal 2 2 2 2 2 2 26 7 3" xfId="19049" xr:uid="{D173B211-1BA4-4920-A818-27A8E2964E43}"/>
    <cellStyle name="Normal 2 2 2 2 2 2 26 7 4" xfId="19050" xr:uid="{5C1C4EB6-6DE5-4BB2-B7E2-1DE88BF6F5C9}"/>
    <cellStyle name="Normal 2 2 2 2 2 2 26 7 5" xfId="19051" xr:uid="{368D74E0-A35C-4352-B237-8620E9E21856}"/>
    <cellStyle name="Normal 2 2 2 2 2 2 26 7 6" xfId="19052" xr:uid="{EB9462AC-CA3E-4993-9F31-DE7AC4962581}"/>
    <cellStyle name="Normal 2 2 2 2 2 2 26 8" xfId="19053" xr:uid="{C21B2752-5E2F-4448-8932-C516EC6AB10E}"/>
    <cellStyle name="Normal 2 2 2 2 2 2 26 8 2" xfId="19054" xr:uid="{BD006BCF-DCFE-47AA-BF4D-EA4DE2B2CD7B}"/>
    <cellStyle name="Normal 2 2 2 2 2 2 26 8 3" xfId="19055" xr:uid="{68AFCB7B-6FB0-4871-AF33-911BDC421E6A}"/>
    <cellStyle name="Normal 2 2 2 2 2 2 26 8 4" xfId="19056" xr:uid="{12BE1066-F565-4266-AD31-5C3D5E28035E}"/>
    <cellStyle name="Normal 2 2 2 2 2 2 26 8 5" xfId="19057" xr:uid="{21DEF9CC-3DF3-4152-9DD6-E431A1655684}"/>
    <cellStyle name="Normal 2 2 2 2 2 2 26 8 6" xfId="19058" xr:uid="{8E27E1C5-58B1-453C-B578-BE42903D1C21}"/>
    <cellStyle name="Normal 2 2 2 2 2 2 26 9" xfId="19059" xr:uid="{4A2D93AD-B342-499B-B1EF-BA81E01B71BD}"/>
    <cellStyle name="Normal 2 2 2 2 2 2 27" xfId="19060" xr:uid="{0684E499-AD2D-45FF-BD14-EF2DDD5B9A26}"/>
    <cellStyle name="Normal 2 2 2 2 2 2 27 10" xfId="19061" xr:uid="{AAA6D877-1D36-4146-99EF-583331AEEEF0}"/>
    <cellStyle name="Normal 2 2 2 2 2 2 27 11" xfId="19062" xr:uid="{7B04E070-BBD7-4258-A183-58C59BF43F4C}"/>
    <cellStyle name="Normal 2 2 2 2 2 2 27 12" xfId="19063" xr:uid="{FC108CE9-6D09-4E98-83FE-44F0DF7FCA6F}"/>
    <cellStyle name="Normal 2 2 2 2 2 2 27 13" xfId="19064" xr:uid="{ABB046F9-82AE-4BCA-A360-E7EB3A3BF3AB}"/>
    <cellStyle name="Normal 2 2 2 2 2 2 27 2" xfId="19065" xr:uid="{14425747-4777-4A65-B714-1DCBD14F033F}"/>
    <cellStyle name="Normal 2 2 2 2 2 2 27 2 2" xfId="19066" xr:uid="{0E26AB24-B665-4584-B9AD-177DDDC3030E}"/>
    <cellStyle name="Normal 2 2 2 2 2 2 27 2 3" xfId="19067" xr:uid="{A7AB0D4D-ED87-4DB2-9960-49612DE6BF20}"/>
    <cellStyle name="Normal 2 2 2 2 2 2 27 2 4" xfId="19068" xr:uid="{E3E29993-7811-4EB5-ACEC-8EA6EFDCE612}"/>
    <cellStyle name="Normal 2 2 2 2 2 2 27 2 5" xfId="19069" xr:uid="{F112B3DE-2A51-44DC-B9A2-4E1FAEA23D8A}"/>
    <cellStyle name="Normal 2 2 2 2 2 2 27 2 6" xfId="19070" xr:uid="{4A92C587-413F-4FEF-BE13-54CE757D0204}"/>
    <cellStyle name="Normal 2 2 2 2 2 2 27 3" xfId="19071" xr:uid="{374FF6EF-9003-4404-9B61-F29F36D01DE2}"/>
    <cellStyle name="Normal 2 2 2 2 2 2 27 3 2" xfId="19072" xr:uid="{61E22CD5-688F-4EB7-BAEE-3EE5490774CE}"/>
    <cellStyle name="Normal 2 2 2 2 2 2 27 3 3" xfId="19073" xr:uid="{98B23241-58A4-475F-9A9E-D82E36696BCE}"/>
    <cellStyle name="Normal 2 2 2 2 2 2 27 3 4" xfId="19074" xr:uid="{36DDDB31-69F2-4F83-9B0D-B8A38564E3D4}"/>
    <cellStyle name="Normal 2 2 2 2 2 2 27 3 5" xfId="19075" xr:uid="{1ED1767D-8F1B-4A12-B51B-952740FE99CF}"/>
    <cellStyle name="Normal 2 2 2 2 2 2 27 3 6" xfId="19076" xr:uid="{C5933B91-131E-41B8-B617-9722D0A38357}"/>
    <cellStyle name="Normal 2 2 2 2 2 2 27 4" xfId="19077" xr:uid="{079D87D4-DD40-4B2D-BD5A-A5030A8DE6FB}"/>
    <cellStyle name="Normal 2 2 2 2 2 2 27 4 2" xfId="19078" xr:uid="{7889EDC6-078F-4A20-A872-77310C53CE86}"/>
    <cellStyle name="Normal 2 2 2 2 2 2 27 4 3" xfId="19079" xr:uid="{8B9B341D-35B4-47DD-8A86-5DA5E17C5400}"/>
    <cellStyle name="Normal 2 2 2 2 2 2 27 4 4" xfId="19080" xr:uid="{FCB67CEF-274B-4EDD-B721-57065148C2A8}"/>
    <cellStyle name="Normal 2 2 2 2 2 2 27 4 5" xfId="19081" xr:uid="{C36A2B45-7940-43A0-8DED-A7D280AC2824}"/>
    <cellStyle name="Normal 2 2 2 2 2 2 27 4 6" xfId="19082" xr:uid="{DBE51D25-CAB1-4AD8-A8FB-AC3FD528FE04}"/>
    <cellStyle name="Normal 2 2 2 2 2 2 27 5" xfId="19083" xr:uid="{3F6F729F-67AF-4ECA-A250-E658C4DC51D2}"/>
    <cellStyle name="Normal 2 2 2 2 2 2 27 5 2" xfId="19084" xr:uid="{978B05F7-03B1-4725-AFFD-319F5A15817A}"/>
    <cellStyle name="Normal 2 2 2 2 2 2 27 5 3" xfId="19085" xr:uid="{5DCE8050-7D58-4397-8246-FDDA4BCDCC6F}"/>
    <cellStyle name="Normal 2 2 2 2 2 2 27 5 4" xfId="19086" xr:uid="{189024E2-024E-4488-A37A-A32D30776D9B}"/>
    <cellStyle name="Normal 2 2 2 2 2 2 27 5 5" xfId="19087" xr:uid="{77A073D7-A0EF-43C4-8396-264AA867BFA8}"/>
    <cellStyle name="Normal 2 2 2 2 2 2 27 5 6" xfId="19088" xr:uid="{B2E21105-1D57-42A4-A641-2EBC47A163FD}"/>
    <cellStyle name="Normal 2 2 2 2 2 2 27 6" xfId="19089" xr:uid="{A08A28CD-6178-413C-8B54-040E797797DC}"/>
    <cellStyle name="Normal 2 2 2 2 2 2 27 6 2" xfId="19090" xr:uid="{5D439D78-AC99-4FA7-A346-5BA8A15817E5}"/>
    <cellStyle name="Normal 2 2 2 2 2 2 27 6 3" xfId="19091" xr:uid="{479E9E88-5A4B-4B83-A140-27E51D757EEA}"/>
    <cellStyle name="Normal 2 2 2 2 2 2 27 6 4" xfId="19092" xr:uid="{590F10B5-F98D-4F55-B926-41549EC80CC4}"/>
    <cellStyle name="Normal 2 2 2 2 2 2 27 6 5" xfId="19093" xr:uid="{EE5CB00B-E078-4C48-B31B-C86E77239415}"/>
    <cellStyle name="Normal 2 2 2 2 2 2 27 6 6" xfId="19094" xr:uid="{93E785A7-BF6E-48A3-A042-62712CA250CB}"/>
    <cellStyle name="Normal 2 2 2 2 2 2 27 7" xfId="19095" xr:uid="{B84A77F1-A418-4DA5-85A2-63BE7ADA3963}"/>
    <cellStyle name="Normal 2 2 2 2 2 2 27 7 2" xfId="19096" xr:uid="{D5ECAB38-78FA-4E4D-BFE5-F5BB3D1EFDFA}"/>
    <cellStyle name="Normal 2 2 2 2 2 2 27 7 3" xfId="19097" xr:uid="{266AE55C-8DD2-4FA8-9348-69D8CA375CE1}"/>
    <cellStyle name="Normal 2 2 2 2 2 2 27 7 4" xfId="19098" xr:uid="{ADC9640E-B77D-4B9F-B450-7EED64A8EDB4}"/>
    <cellStyle name="Normal 2 2 2 2 2 2 27 7 5" xfId="19099" xr:uid="{0315EF26-0685-41DB-BC0C-6D02B65AD2AD}"/>
    <cellStyle name="Normal 2 2 2 2 2 2 27 7 6" xfId="19100" xr:uid="{01F117A7-7804-4C06-9738-7E1283DE193B}"/>
    <cellStyle name="Normal 2 2 2 2 2 2 27 8" xfId="19101" xr:uid="{3BE60341-1C3A-439D-B996-A5349736F6D3}"/>
    <cellStyle name="Normal 2 2 2 2 2 2 27 8 2" xfId="19102" xr:uid="{71C98BAC-BA8C-48C6-910A-619BA0342D82}"/>
    <cellStyle name="Normal 2 2 2 2 2 2 27 8 3" xfId="19103" xr:uid="{AA31C4F5-5BBE-4841-AE23-0B31C6409854}"/>
    <cellStyle name="Normal 2 2 2 2 2 2 27 8 4" xfId="19104" xr:uid="{4446F3A1-798C-4E04-9C95-0F029C1BC3F1}"/>
    <cellStyle name="Normal 2 2 2 2 2 2 27 8 5" xfId="19105" xr:uid="{944C7871-F4D5-4AB6-9316-F03931227C17}"/>
    <cellStyle name="Normal 2 2 2 2 2 2 27 8 6" xfId="19106" xr:uid="{4CB516EB-66BA-4F34-9F4F-FDE6BBA8F28F}"/>
    <cellStyle name="Normal 2 2 2 2 2 2 27 9" xfId="19107" xr:uid="{183ACE88-C44F-4B26-874D-F6AC41B1D584}"/>
    <cellStyle name="Normal 2 2 2 2 2 2 28" xfId="19108" xr:uid="{3D7D820A-A1F5-41D4-A1A1-5CB19E2B41DB}"/>
    <cellStyle name="Normal 2 2 2 2 2 2 28 10" xfId="19109" xr:uid="{FAB22556-A1B5-4103-91E5-DA0058DC5D7A}"/>
    <cellStyle name="Normal 2 2 2 2 2 2 28 11" xfId="19110" xr:uid="{CBBDD0CD-62DF-4C07-88B2-CAB9F64D0A18}"/>
    <cellStyle name="Normal 2 2 2 2 2 2 28 2" xfId="19111" xr:uid="{416F2922-F3B0-4C02-A1AF-8109980503CE}"/>
    <cellStyle name="Normal 2 2 2 2 2 2 28 3" xfId="19112" xr:uid="{4A078916-C812-4607-829E-C3DB5F445F72}"/>
    <cellStyle name="Normal 2 2 2 2 2 2 28 4" xfId="19113" xr:uid="{DA062E7C-9493-4CDF-AE38-F5D615C6AC0C}"/>
    <cellStyle name="Normal 2 2 2 2 2 2 28 5" xfId="19114" xr:uid="{A4A113ED-C01B-4DF1-9C33-900B8CC60D52}"/>
    <cellStyle name="Normal 2 2 2 2 2 2 28 6" xfId="19115" xr:uid="{332C0CAA-3B00-43E7-955D-3A1CC1E492C2}"/>
    <cellStyle name="Normal 2 2 2 2 2 2 28 7" xfId="19116" xr:uid="{8453947B-3C00-4AF6-85B0-46284F1B4138}"/>
    <cellStyle name="Normal 2 2 2 2 2 2 28 8" xfId="19117" xr:uid="{EE3BD5D3-4F43-40A4-83F0-125E62D0554F}"/>
    <cellStyle name="Normal 2 2 2 2 2 2 28 9" xfId="19118" xr:uid="{B7E46C74-BDAB-4EFB-AC39-0A22BBF94B80}"/>
    <cellStyle name="Normal 2 2 2 2 2 2 29" xfId="19119" xr:uid="{B3D7FD04-E1EC-4262-9425-0F75751B73C0}"/>
    <cellStyle name="Normal 2 2 2 2 2 2 3" xfId="19120" xr:uid="{E049006A-FDAB-473C-B6EC-CBD13944D523}"/>
    <cellStyle name="Normal 2 2 2 2 2 2 3 10" xfId="19121" xr:uid="{9CBD3124-B849-4578-B398-54D9C197512A}"/>
    <cellStyle name="Normal 2 2 2 2 2 2 3 11" xfId="19122" xr:uid="{AFE4AE48-98F9-42A1-BA55-C9043360DED1}"/>
    <cellStyle name="Normal 2 2 2 2 2 2 3 12" xfId="19123" xr:uid="{DC1F1801-E085-4CB2-9C1A-C051613FD22C}"/>
    <cellStyle name="Normal 2 2 2 2 2 2 3 13" xfId="19124" xr:uid="{1C6034B3-DA20-4C0B-9BA7-4E2FF86C6181}"/>
    <cellStyle name="Normal 2 2 2 2 2 2 3 14" xfId="19125" xr:uid="{32953F31-197D-408C-9E32-F6A73CB554D8}"/>
    <cellStyle name="Normal 2 2 2 2 2 2 3 2" xfId="19126" xr:uid="{E436A85E-632C-43CF-B815-9925542BDD14}"/>
    <cellStyle name="Normal 2 2 2 2 2 2 3 2 2" xfId="19127" xr:uid="{18E14A48-C619-41E8-8FFE-F669AF8C02B6}"/>
    <cellStyle name="Normal 2 2 2 2 2 2 3 2 3" xfId="19128" xr:uid="{69931959-B604-45BB-84D6-95F5AF8CEB0C}"/>
    <cellStyle name="Normal 2 2 2 2 2 2 3 2 4" xfId="19129" xr:uid="{3823AE31-923F-4B2D-B4F1-63ED88062B7E}"/>
    <cellStyle name="Normal 2 2 2 2 2 2 3 2 5" xfId="19130" xr:uid="{E422C8AE-5288-408B-89D6-2C99E3A361FB}"/>
    <cellStyle name="Normal 2 2 2 2 2 2 3 2 6" xfId="19131" xr:uid="{8580467D-97FC-409C-94A2-0EB30441A50B}"/>
    <cellStyle name="Normal 2 2 2 2 2 2 3 3" xfId="19132" xr:uid="{3164DA0C-79D4-4674-9D26-6C1DF914702B}"/>
    <cellStyle name="Normal 2 2 2 2 2 2 3 3 2" xfId="19133" xr:uid="{71A2C03B-EC03-4776-B252-AE91E60AD040}"/>
    <cellStyle name="Normal 2 2 2 2 2 2 3 3 3" xfId="19134" xr:uid="{9E59D4EA-C887-4EBF-965B-A0CC3B4A8289}"/>
    <cellStyle name="Normal 2 2 2 2 2 2 3 3 4" xfId="19135" xr:uid="{BCC314E4-FFF6-4F35-8A5C-2455863BBE74}"/>
    <cellStyle name="Normal 2 2 2 2 2 2 3 3 5" xfId="19136" xr:uid="{4AEFE589-DBE5-41C4-9853-6E9739CCC819}"/>
    <cellStyle name="Normal 2 2 2 2 2 2 3 3 6" xfId="19137" xr:uid="{87258550-AD3C-421B-A41B-46A6F11470DD}"/>
    <cellStyle name="Normal 2 2 2 2 2 2 3 4" xfId="19138" xr:uid="{018B3B25-9754-43BE-9141-6CB4501EB56D}"/>
    <cellStyle name="Normal 2 2 2 2 2 2 3 4 2" xfId="19139" xr:uid="{BDA99522-90D0-43A7-9141-5BB4FE593B00}"/>
    <cellStyle name="Normal 2 2 2 2 2 2 3 4 3" xfId="19140" xr:uid="{5D533F71-2247-453D-8D70-E6FB220B777E}"/>
    <cellStyle name="Normal 2 2 2 2 2 2 3 4 4" xfId="19141" xr:uid="{ECACB17D-ABE2-4F8A-B437-23E938EC8723}"/>
    <cellStyle name="Normal 2 2 2 2 2 2 3 4 5" xfId="19142" xr:uid="{4D17DFE3-32B8-4771-8772-B9670ED22910}"/>
    <cellStyle name="Normal 2 2 2 2 2 2 3 4 6" xfId="19143" xr:uid="{4C5F951E-965F-4D1D-A129-8A0F9EC60A0E}"/>
    <cellStyle name="Normal 2 2 2 2 2 2 3 5" xfId="19144" xr:uid="{2A1EA405-6A99-43E7-90A0-12C0A9142A84}"/>
    <cellStyle name="Normal 2 2 2 2 2 2 3 5 2" xfId="19145" xr:uid="{2F3C1A32-AF21-4B88-AC74-4D5C2921A2D8}"/>
    <cellStyle name="Normal 2 2 2 2 2 2 3 5 3" xfId="19146" xr:uid="{AABBAA60-9D73-4D4E-8A67-2681C8B6DE57}"/>
    <cellStyle name="Normal 2 2 2 2 2 2 3 5 4" xfId="19147" xr:uid="{DD319AC0-9821-48C9-B6B8-F8F076AA6D9F}"/>
    <cellStyle name="Normal 2 2 2 2 2 2 3 5 5" xfId="19148" xr:uid="{C0B9AB29-D7C9-465B-93CA-834C5EEE6F03}"/>
    <cellStyle name="Normal 2 2 2 2 2 2 3 5 6" xfId="19149" xr:uid="{AFFC4BED-BDF7-4AD5-8539-8A7601B5FEEF}"/>
    <cellStyle name="Normal 2 2 2 2 2 2 3 6" xfId="19150" xr:uid="{03B910BD-1629-45AF-9CF7-14637BE090F4}"/>
    <cellStyle name="Normal 2 2 2 2 2 2 3 6 2" xfId="19151" xr:uid="{DE2D6058-1D1E-4408-9A77-C2B09AD6DBE7}"/>
    <cellStyle name="Normal 2 2 2 2 2 2 3 6 3" xfId="19152" xr:uid="{3166AEA1-128F-4AB1-8412-22CA361E3116}"/>
    <cellStyle name="Normal 2 2 2 2 2 2 3 6 4" xfId="19153" xr:uid="{2F189E40-D645-4E25-833D-5D5D97EDE07C}"/>
    <cellStyle name="Normal 2 2 2 2 2 2 3 6 5" xfId="19154" xr:uid="{C0E31905-1A42-4AF7-9CE0-D3821EF60CF4}"/>
    <cellStyle name="Normal 2 2 2 2 2 2 3 6 6" xfId="19155" xr:uid="{DA618B99-9ACF-4338-AD56-1840C8815ECC}"/>
    <cellStyle name="Normal 2 2 2 2 2 2 3 7" xfId="19156" xr:uid="{01BD08E4-BD3C-4495-AB0A-93A2F6495F23}"/>
    <cellStyle name="Normal 2 2 2 2 2 2 3 7 2" xfId="19157" xr:uid="{D0E8CA73-4014-461F-960E-6DAEC8C1CA92}"/>
    <cellStyle name="Normal 2 2 2 2 2 2 3 7 3" xfId="19158" xr:uid="{8BFE4E41-6B23-4DA7-85E0-C599E027C7A3}"/>
    <cellStyle name="Normal 2 2 2 2 2 2 3 7 4" xfId="19159" xr:uid="{56DDBC5F-F9BF-426D-AD1D-256B2B29D3A7}"/>
    <cellStyle name="Normal 2 2 2 2 2 2 3 7 5" xfId="19160" xr:uid="{DA68B0C3-777D-49AD-B789-17B3415084E3}"/>
    <cellStyle name="Normal 2 2 2 2 2 2 3 7 6" xfId="19161" xr:uid="{4DDF766E-EB03-4FA8-B288-9BADCC5E8AE4}"/>
    <cellStyle name="Normal 2 2 2 2 2 2 3 8" xfId="19162" xr:uid="{5A6B2163-E9C7-4A17-A535-1A370687D8EC}"/>
    <cellStyle name="Normal 2 2 2 2 2 2 3 8 2" xfId="19163" xr:uid="{5AADFCFC-3A4F-4444-837E-C3A14A8E639C}"/>
    <cellStyle name="Normal 2 2 2 2 2 2 3 8 3" xfId="19164" xr:uid="{31AB30C6-9B81-409E-968F-F867074B2746}"/>
    <cellStyle name="Normal 2 2 2 2 2 2 3 8 4" xfId="19165" xr:uid="{D8B68508-30A1-4B24-BDCD-8CF3D6018A79}"/>
    <cellStyle name="Normal 2 2 2 2 2 2 3 8 5" xfId="19166" xr:uid="{3CF372D7-FA4D-48FE-A32D-8951A2E5936D}"/>
    <cellStyle name="Normal 2 2 2 2 2 2 3 8 6" xfId="19167" xr:uid="{3595F262-B190-464A-A02D-CA7C83A930E3}"/>
    <cellStyle name="Normal 2 2 2 2 2 2 3 9" xfId="19168" xr:uid="{171C9E03-C5E0-4A54-85CC-A2F52C692D02}"/>
    <cellStyle name="Normal 2 2 2 2 2 2 30" xfId="19169" xr:uid="{213C48D5-767C-4DB8-9F93-AB326A9112F6}"/>
    <cellStyle name="Normal 2 2 2 2 2 2 31" xfId="19170" xr:uid="{A83E02F0-E389-4BB2-A34A-6FC3F4C4D8C4}"/>
    <cellStyle name="Normal 2 2 2 2 2 2 32" xfId="19171" xr:uid="{548C0F39-6D2E-4F15-A84B-0BC9032485F0}"/>
    <cellStyle name="Normal 2 2 2 2 2 2 33" xfId="19172" xr:uid="{B5735573-B893-40A6-93E5-3F811561F4D9}"/>
    <cellStyle name="Normal 2 2 2 2 2 2 34" xfId="19173" xr:uid="{5954D815-A39A-4B4E-8B24-B541F2D22FD4}"/>
    <cellStyle name="Normal 2 2 2 2 2 2 35" xfId="19174" xr:uid="{7A7358B2-23E7-44A5-B9A1-935D8D4A62A2}"/>
    <cellStyle name="Normal 2 2 2 2 2 2 36" xfId="19175" xr:uid="{CBC94B97-8690-4571-9100-E106A58ED4B1}"/>
    <cellStyle name="Normal 2 2 2 2 2 2 37" xfId="19176" xr:uid="{616E700B-FE59-4EA5-924E-2A0A11EEA4D3}"/>
    <cellStyle name="Normal 2 2 2 2 2 2 38" xfId="19177" xr:uid="{FE9C4916-439A-4ABD-B7BF-5B1C904EEEB2}"/>
    <cellStyle name="Normal 2 2 2 2 2 2 39" xfId="19178" xr:uid="{D6522466-1013-4C2D-A299-66DB56C5629E}"/>
    <cellStyle name="Normal 2 2 2 2 2 2 4" xfId="19179" xr:uid="{6CE87AEF-E1B8-4D28-BEC9-AFA3C29E6E2B}"/>
    <cellStyle name="Normal 2 2 2 2 2 2 4 10" xfId="19180" xr:uid="{5F81C518-DF6C-4C7E-A0D4-CC1DC5DF3492}"/>
    <cellStyle name="Normal 2 2 2 2 2 2 4 11" xfId="19181" xr:uid="{076E976C-4BD2-477E-B097-94564BC6231D}"/>
    <cellStyle name="Normal 2 2 2 2 2 2 4 12" xfId="19182" xr:uid="{AA518A6C-F4D4-4915-8070-96E8EDCA4EAD}"/>
    <cellStyle name="Normal 2 2 2 2 2 2 4 13" xfId="19183" xr:uid="{A711DECE-62AB-475A-923F-33F4510286A2}"/>
    <cellStyle name="Normal 2 2 2 2 2 2 4 14" xfId="19184" xr:uid="{9CF2D8F5-83D3-42B0-A7E8-ABD2CE57CA9A}"/>
    <cellStyle name="Normal 2 2 2 2 2 2 4 2" xfId="19185" xr:uid="{D99BFA81-F69C-4A67-9756-8AC471904F6C}"/>
    <cellStyle name="Normal 2 2 2 2 2 2 4 2 2" xfId="19186" xr:uid="{6867EE57-930C-4B38-AAF9-F324E7EA17F0}"/>
    <cellStyle name="Normal 2 2 2 2 2 2 4 2 3" xfId="19187" xr:uid="{7ADBFE14-299C-4535-A1F5-8E521E493D6C}"/>
    <cellStyle name="Normal 2 2 2 2 2 2 4 2 4" xfId="19188" xr:uid="{E79BE2EF-D40D-4292-9FF4-975F6766EEE9}"/>
    <cellStyle name="Normal 2 2 2 2 2 2 4 2 5" xfId="19189" xr:uid="{399D9A72-A68F-4886-9058-9EA557F6D043}"/>
    <cellStyle name="Normal 2 2 2 2 2 2 4 2 6" xfId="19190" xr:uid="{4FA321B6-E3A3-4387-AC12-9DA9510483BF}"/>
    <cellStyle name="Normal 2 2 2 2 2 2 4 3" xfId="19191" xr:uid="{6A6C2341-96A7-4535-BF5F-985A8C508A6C}"/>
    <cellStyle name="Normal 2 2 2 2 2 2 4 3 2" xfId="19192" xr:uid="{D5C259C6-E684-4A0E-9113-5FACDDBBD774}"/>
    <cellStyle name="Normal 2 2 2 2 2 2 4 3 3" xfId="19193" xr:uid="{868D48F6-1D5D-44C8-B108-4B99A30B00B7}"/>
    <cellStyle name="Normal 2 2 2 2 2 2 4 3 4" xfId="19194" xr:uid="{67B1972E-0617-4342-9BBD-2E6ACD598013}"/>
    <cellStyle name="Normal 2 2 2 2 2 2 4 3 5" xfId="19195" xr:uid="{B8E33B92-C229-490F-9E13-8D1371A5C25D}"/>
    <cellStyle name="Normal 2 2 2 2 2 2 4 3 6" xfId="19196" xr:uid="{8254E5FB-3AD5-4ED1-A8EF-1D8A4E28F084}"/>
    <cellStyle name="Normal 2 2 2 2 2 2 4 4" xfId="19197" xr:uid="{8577AC9F-CB8A-4B21-B649-BB20BA5F94B5}"/>
    <cellStyle name="Normal 2 2 2 2 2 2 4 4 2" xfId="19198" xr:uid="{15EBFBC8-B435-4256-A519-ECA5342024B9}"/>
    <cellStyle name="Normal 2 2 2 2 2 2 4 4 3" xfId="19199" xr:uid="{BCCD393D-5CDF-47E7-AB39-46B87E0835CF}"/>
    <cellStyle name="Normal 2 2 2 2 2 2 4 4 4" xfId="19200" xr:uid="{C2D5E7EA-513F-4190-B8DD-2D5004B61DD0}"/>
    <cellStyle name="Normal 2 2 2 2 2 2 4 4 5" xfId="19201" xr:uid="{A1C2AB44-C9F6-4CE5-A186-FDE61B4651B0}"/>
    <cellStyle name="Normal 2 2 2 2 2 2 4 4 6" xfId="19202" xr:uid="{B9D203FB-6431-4B3F-9911-E031D9BE7714}"/>
    <cellStyle name="Normal 2 2 2 2 2 2 4 5" xfId="19203" xr:uid="{BC300574-D17C-4596-B44E-FE37210B066D}"/>
    <cellStyle name="Normal 2 2 2 2 2 2 4 5 2" xfId="19204" xr:uid="{8ECDF998-64DA-4448-8C68-CEFE2EF55569}"/>
    <cellStyle name="Normal 2 2 2 2 2 2 4 5 3" xfId="19205" xr:uid="{2C48FBE0-DB77-478C-BF56-2FC771ED49F2}"/>
    <cellStyle name="Normal 2 2 2 2 2 2 4 5 4" xfId="19206" xr:uid="{C08168C2-2617-494D-B202-4409B3E6FC2B}"/>
    <cellStyle name="Normal 2 2 2 2 2 2 4 5 5" xfId="19207" xr:uid="{5FF3DF27-AE88-43BF-810F-94BE0F34D4C1}"/>
    <cellStyle name="Normal 2 2 2 2 2 2 4 5 6" xfId="19208" xr:uid="{8887A1FF-2467-4E4F-9F32-B687D2ECF1DB}"/>
    <cellStyle name="Normal 2 2 2 2 2 2 4 6" xfId="19209" xr:uid="{26299865-EA4B-4779-B7B1-8AAC626EF0D4}"/>
    <cellStyle name="Normal 2 2 2 2 2 2 4 6 2" xfId="19210" xr:uid="{C9D5DFE2-3710-4F37-A969-7FC01EBD1AE9}"/>
    <cellStyle name="Normal 2 2 2 2 2 2 4 6 3" xfId="19211" xr:uid="{DBCCD44A-4421-4D37-B196-40E8155B0CBE}"/>
    <cellStyle name="Normal 2 2 2 2 2 2 4 6 4" xfId="19212" xr:uid="{C05FA127-AB33-4F2B-B87F-5380917E223E}"/>
    <cellStyle name="Normal 2 2 2 2 2 2 4 6 5" xfId="19213" xr:uid="{755FE20E-4FEE-4FFC-8EBE-C1CC275E62B8}"/>
    <cellStyle name="Normal 2 2 2 2 2 2 4 6 6" xfId="19214" xr:uid="{90FF34B6-2791-4B2C-98B3-467A78D84E6F}"/>
    <cellStyle name="Normal 2 2 2 2 2 2 4 7" xfId="19215" xr:uid="{5329EA21-519C-42C8-94FC-EEF74BBE3282}"/>
    <cellStyle name="Normal 2 2 2 2 2 2 4 7 2" xfId="19216" xr:uid="{DA2C7CAC-D2CF-41F0-B9BC-22F0E31C8A02}"/>
    <cellStyle name="Normal 2 2 2 2 2 2 4 7 3" xfId="19217" xr:uid="{0FB6817D-F485-4B4D-BB3B-AD83D3240B71}"/>
    <cellStyle name="Normal 2 2 2 2 2 2 4 7 4" xfId="19218" xr:uid="{88303348-F87F-422A-988A-2890384717A7}"/>
    <cellStyle name="Normal 2 2 2 2 2 2 4 7 5" xfId="19219" xr:uid="{751D09E8-68C3-4328-B713-0C5734D5944C}"/>
    <cellStyle name="Normal 2 2 2 2 2 2 4 7 6" xfId="19220" xr:uid="{F2F53B99-4898-4151-B722-908CFF47F6F0}"/>
    <cellStyle name="Normal 2 2 2 2 2 2 4 8" xfId="19221" xr:uid="{982C81B8-66CE-4B36-A06E-3AF4E91EF8B4}"/>
    <cellStyle name="Normal 2 2 2 2 2 2 4 8 2" xfId="19222" xr:uid="{F4266550-25BF-48C5-8D7C-9CEE0A57E454}"/>
    <cellStyle name="Normal 2 2 2 2 2 2 4 8 3" xfId="19223" xr:uid="{BD9F486C-286A-48AE-A505-4DD5E4B1C180}"/>
    <cellStyle name="Normal 2 2 2 2 2 2 4 8 4" xfId="19224" xr:uid="{80C0AC95-A58C-4273-9597-09DB1DAA2C36}"/>
    <cellStyle name="Normal 2 2 2 2 2 2 4 8 5" xfId="19225" xr:uid="{AF199392-220B-4AF6-861A-977A84007D28}"/>
    <cellStyle name="Normal 2 2 2 2 2 2 4 8 6" xfId="19226" xr:uid="{7A62BA96-0AA9-4A9E-A48E-37D571F1E76A}"/>
    <cellStyle name="Normal 2 2 2 2 2 2 4 9" xfId="19227" xr:uid="{B2E7060C-1ACD-4E18-AFFB-62BE203DFB89}"/>
    <cellStyle name="Normal 2 2 2 2 2 2 40" xfId="19228" xr:uid="{5AFA049C-F115-4882-8A97-921679C3F11D}"/>
    <cellStyle name="Normal 2 2 2 2 2 2 41" xfId="19229" xr:uid="{DC65E448-966F-4CA6-A26B-27C6E81CF340}"/>
    <cellStyle name="Normal 2 2 2 2 2 2 42" xfId="19230" xr:uid="{5876693B-DD73-4173-8DA3-0E87D5A88814}"/>
    <cellStyle name="Normal 2 2 2 2 2 2 43" xfId="19231" xr:uid="{1F0480E9-68C7-498B-B487-133468AC038C}"/>
    <cellStyle name="Normal 2 2 2 2 2 2 43 2" xfId="19232" xr:uid="{2D1AA0BC-F9EE-4BBE-B87B-D27F8CF90190}"/>
    <cellStyle name="Normal 2 2 2 2 2 2 43 3" xfId="19233" xr:uid="{EDF7F254-074A-4D72-AF8D-A2FDF7C7A126}"/>
    <cellStyle name="Normal 2 2 2 2 2 2 43 4" xfId="19234" xr:uid="{92139A23-636A-437E-9B2B-4587C2EA2946}"/>
    <cellStyle name="Normal 2 2 2 2 2 2 43 5" xfId="19235" xr:uid="{78891BEC-4E1D-4490-9627-A3A1E9D96C95}"/>
    <cellStyle name="Normal 2 2 2 2 2 2 43 6" xfId="19236" xr:uid="{F345F903-06D2-454B-92D4-8D418812CA4E}"/>
    <cellStyle name="Normal 2 2 2 2 2 2 44" xfId="19237" xr:uid="{E4CD4C3F-CF28-4BCB-A68F-88EA825A4A65}"/>
    <cellStyle name="Normal 2 2 2 2 2 2 44 2" xfId="19238" xr:uid="{454A564D-9923-4EA3-824D-7F62DB0BF23B}"/>
    <cellStyle name="Normal 2 2 2 2 2 2 44 3" xfId="19239" xr:uid="{8FCF5E3D-20B0-4A19-B25C-61681FA725E5}"/>
    <cellStyle name="Normal 2 2 2 2 2 2 44 4" xfId="19240" xr:uid="{75064D17-B533-45D2-AC2F-974B95A2BB11}"/>
    <cellStyle name="Normal 2 2 2 2 2 2 44 5" xfId="19241" xr:uid="{9BA2457E-2F84-49BE-9C4C-825AF3385E3A}"/>
    <cellStyle name="Normal 2 2 2 2 2 2 44 6" xfId="19242" xr:uid="{7EF82460-44E0-464B-97F2-41D135C7FEDA}"/>
    <cellStyle name="Normal 2 2 2 2 2 2 45" xfId="19243" xr:uid="{829A78C3-0C0E-4FB9-B4DF-EFDBF203150D}"/>
    <cellStyle name="Normal 2 2 2 2 2 2 45 2" xfId="19244" xr:uid="{3E393BE0-F720-4D30-88EF-A92FABA9E0D5}"/>
    <cellStyle name="Normal 2 2 2 2 2 2 45 3" xfId="19245" xr:uid="{5767D332-5E16-481E-A1A9-8D95DCD57C7B}"/>
    <cellStyle name="Normal 2 2 2 2 2 2 45 4" xfId="19246" xr:uid="{D148F0A3-5B2C-435A-9BB1-53F7FFC15C56}"/>
    <cellStyle name="Normal 2 2 2 2 2 2 45 5" xfId="19247" xr:uid="{571691A5-EC00-4627-B404-AB2A6C161DC2}"/>
    <cellStyle name="Normal 2 2 2 2 2 2 45 6" xfId="19248" xr:uid="{CB0B29BB-C61C-40B7-ADA0-45D54E582E3D}"/>
    <cellStyle name="Normal 2 2 2 2 2 2 46" xfId="19249" xr:uid="{A183CB84-C06F-4341-A7E7-4B9014DC1219}"/>
    <cellStyle name="Normal 2 2 2 2 2 2 46 2" xfId="19250" xr:uid="{A999657C-9079-420D-8CC2-9FB4E9E3B046}"/>
    <cellStyle name="Normal 2 2 2 2 2 2 46 3" xfId="19251" xr:uid="{5C106A9B-904B-4774-8A72-AD3DAB45B802}"/>
    <cellStyle name="Normal 2 2 2 2 2 2 46 4" xfId="19252" xr:uid="{C97AF264-8492-4065-81FB-4C9B38C0D8A3}"/>
    <cellStyle name="Normal 2 2 2 2 2 2 46 5" xfId="19253" xr:uid="{D36A182C-8580-4976-B9E1-E71F9993F0C2}"/>
    <cellStyle name="Normal 2 2 2 2 2 2 46 6" xfId="19254" xr:uid="{5039C0E2-A5EC-4292-9354-C0DFFFEE98F6}"/>
    <cellStyle name="Normal 2 2 2 2 2 2 47" xfId="19255" xr:uid="{65411510-E432-4D9C-AA77-228576A494F0}"/>
    <cellStyle name="Normal 2 2 2 2 2 2 47 2" xfId="19256" xr:uid="{839C5CB0-F807-4F6D-AFDA-47F94A1C0658}"/>
    <cellStyle name="Normal 2 2 2 2 2 2 47 2 2" xfId="19257" xr:uid="{B3D7ABDB-927B-4B65-B152-26C68AA7332D}"/>
    <cellStyle name="Normal 2 2 2 2 2 2 47 2 2 2" xfId="19258" xr:uid="{3F7756F8-967E-4BC7-BF6C-BFB4CB80FDD7}"/>
    <cellStyle name="Normal 2 2 2 2 2 2 47 2 2 3" xfId="19259" xr:uid="{014CEED2-7105-4E78-88C7-540E18CCAC70}"/>
    <cellStyle name="Normal 2 2 2 2 2 2 47 2 2 4" xfId="19260" xr:uid="{FB10F23B-D74C-4D88-B7A6-E051C4E59495}"/>
    <cellStyle name="Normal 2 2 2 2 2 2 47 2 2 5" xfId="19261" xr:uid="{3173BA64-EAC0-429A-A6AA-2863C915EC6F}"/>
    <cellStyle name="Normal 2 2 2 2 2 2 47 2 2 6" xfId="19262" xr:uid="{46B88C21-E9F4-48C9-BF05-5E34BFC50E75}"/>
    <cellStyle name="Normal 2 2 2 2 2 2 47 2 2 7" xfId="19263" xr:uid="{7B6A5025-5E44-4BA1-BE03-6E003B1B5D50}"/>
    <cellStyle name="Normal 2 2 2 2 2 2 47 3" xfId="19264" xr:uid="{F78E8438-E014-40ED-826C-E8CDAB062205}"/>
    <cellStyle name="Normal 2 2 2 2 2 2 47 4" xfId="19265" xr:uid="{DE869613-BF27-4A02-B7D7-E46C221143AC}"/>
    <cellStyle name="Normal 2 2 2 2 2 2 47 5" xfId="19266" xr:uid="{66E711F5-7EDF-401F-8983-FB9BB0FB2865}"/>
    <cellStyle name="Normal 2 2 2 2 2 2 47 6" xfId="19267" xr:uid="{0B045909-42F8-49C5-820C-81B1EE95DAC1}"/>
    <cellStyle name="Normal 2 2 2 2 2 2 47 7" xfId="19268" xr:uid="{798CDCC6-AA15-4E24-9F3C-B86B49A0C672}"/>
    <cellStyle name="Normal 2 2 2 2 2 2 47 8" xfId="19269" xr:uid="{69384794-D3AA-47B9-9278-1BBEB06D1AC9}"/>
    <cellStyle name="Normal 2 2 2 2 2 2 48" xfId="19270" xr:uid="{9F56220A-3A4F-4543-8FF6-4384531A9BB2}"/>
    <cellStyle name="Normal 2 2 2 2 2 2 49" xfId="19271" xr:uid="{E1CE4A3E-801A-4E3D-B133-433A9E71D32C}"/>
    <cellStyle name="Normal 2 2 2 2 2 2 5" xfId="19272" xr:uid="{62B62171-8440-45FD-9CB7-55322BD6250D}"/>
    <cellStyle name="Normal 2 2 2 2 2 2 5 10" xfId="19273" xr:uid="{6177FA41-C2FC-41B9-A850-81C2A81E6044}"/>
    <cellStyle name="Normal 2 2 2 2 2 2 5 11" xfId="19274" xr:uid="{CBFC59BC-C236-42C8-807B-9B448DB5F2CB}"/>
    <cellStyle name="Normal 2 2 2 2 2 2 5 12" xfId="19275" xr:uid="{F8E4F516-6303-4A7A-B84A-33335A73A03C}"/>
    <cellStyle name="Normal 2 2 2 2 2 2 5 13" xfId="19276" xr:uid="{9287B89C-7250-4AEA-9F0B-6463D3567F7E}"/>
    <cellStyle name="Normal 2 2 2 2 2 2 5 2" xfId="19277" xr:uid="{41ED8FDD-846D-46FC-88D9-D14BD128368E}"/>
    <cellStyle name="Normal 2 2 2 2 2 2 5 2 2" xfId="19278" xr:uid="{68397047-B32D-4864-8968-D95830A3F927}"/>
    <cellStyle name="Normal 2 2 2 2 2 2 5 2 3" xfId="19279" xr:uid="{F5B12845-5419-410E-AA41-36BB6E351776}"/>
    <cellStyle name="Normal 2 2 2 2 2 2 5 2 4" xfId="19280" xr:uid="{6BC44CDC-48D8-4F43-A6A5-58B0E5A52707}"/>
    <cellStyle name="Normal 2 2 2 2 2 2 5 2 5" xfId="19281" xr:uid="{B7C26FB2-8660-4D47-9D8D-9D9E239CB889}"/>
    <cellStyle name="Normal 2 2 2 2 2 2 5 2 6" xfId="19282" xr:uid="{AE214B0F-2FE3-4CBF-918F-0FC1C8AA02BE}"/>
    <cellStyle name="Normal 2 2 2 2 2 2 5 3" xfId="19283" xr:uid="{7ABA2AB8-E10A-49EA-BB71-491D361CEF34}"/>
    <cellStyle name="Normal 2 2 2 2 2 2 5 3 2" xfId="19284" xr:uid="{C6A13140-77A5-4C63-AE32-A138536C0C74}"/>
    <cellStyle name="Normal 2 2 2 2 2 2 5 3 3" xfId="19285" xr:uid="{2FED42E5-8B68-4955-ADE6-3B8D4181830C}"/>
    <cellStyle name="Normal 2 2 2 2 2 2 5 3 4" xfId="19286" xr:uid="{ECC213FB-319E-422F-B804-26F9DD2B5D4E}"/>
    <cellStyle name="Normal 2 2 2 2 2 2 5 3 5" xfId="19287" xr:uid="{ED2A0BBA-D03B-40D5-B2F4-5AD56700A807}"/>
    <cellStyle name="Normal 2 2 2 2 2 2 5 3 6" xfId="19288" xr:uid="{D8AF6D01-9E58-48BA-97E2-24BAECE7D319}"/>
    <cellStyle name="Normal 2 2 2 2 2 2 5 4" xfId="19289" xr:uid="{D92EED9D-79C0-4916-A8AA-7B567E2A10AE}"/>
    <cellStyle name="Normal 2 2 2 2 2 2 5 4 2" xfId="19290" xr:uid="{C90E7E8D-3965-4D77-ADC3-1170DF648C16}"/>
    <cellStyle name="Normal 2 2 2 2 2 2 5 4 3" xfId="19291" xr:uid="{E440F063-96C5-444A-88DB-F5A5B785FEF7}"/>
    <cellStyle name="Normal 2 2 2 2 2 2 5 4 4" xfId="19292" xr:uid="{004F14D2-11E4-42F2-96D6-FCC5A66AD6AB}"/>
    <cellStyle name="Normal 2 2 2 2 2 2 5 4 5" xfId="19293" xr:uid="{F217D16B-A33B-4154-8A97-32880E45D959}"/>
    <cellStyle name="Normal 2 2 2 2 2 2 5 4 6" xfId="19294" xr:uid="{EBD04531-14A3-4A05-BC02-7039DDE81778}"/>
    <cellStyle name="Normal 2 2 2 2 2 2 5 5" xfId="19295" xr:uid="{056E64B2-C3F4-4661-B7FC-DD1078541E44}"/>
    <cellStyle name="Normal 2 2 2 2 2 2 5 5 2" xfId="19296" xr:uid="{06554B4C-004A-45B6-BAE6-B3ECB066C4AC}"/>
    <cellStyle name="Normal 2 2 2 2 2 2 5 5 3" xfId="19297" xr:uid="{AE720ACB-BC49-403C-BA4E-0B70AD4086EA}"/>
    <cellStyle name="Normal 2 2 2 2 2 2 5 5 4" xfId="19298" xr:uid="{6AC62371-893F-4F6E-B7B9-B78300523F6A}"/>
    <cellStyle name="Normal 2 2 2 2 2 2 5 5 5" xfId="19299" xr:uid="{955AAFB7-7708-4256-84E7-DF19ABFF1315}"/>
    <cellStyle name="Normal 2 2 2 2 2 2 5 5 6" xfId="19300" xr:uid="{2CEEB108-8DBE-47BB-B970-BB94D6EDE72B}"/>
    <cellStyle name="Normal 2 2 2 2 2 2 5 6" xfId="19301" xr:uid="{607586C0-56F7-470D-8EB4-7BB93A7512D7}"/>
    <cellStyle name="Normal 2 2 2 2 2 2 5 6 2" xfId="19302" xr:uid="{66DF9375-B6A4-4B2D-934D-F718F9903163}"/>
    <cellStyle name="Normal 2 2 2 2 2 2 5 6 3" xfId="19303" xr:uid="{1BEB7CDA-5633-4353-98AB-93AA72628FE1}"/>
    <cellStyle name="Normal 2 2 2 2 2 2 5 6 4" xfId="19304" xr:uid="{89E19292-466F-4947-8081-49891D09039B}"/>
    <cellStyle name="Normal 2 2 2 2 2 2 5 6 5" xfId="19305" xr:uid="{D3A44E3B-0F0E-4931-8CEF-0AEE3C6D8E48}"/>
    <cellStyle name="Normal 2 2 2 2 2 2 5 6 6" xfId="19306" xr:uid="{B1427AF3-2D87-41FB-AE13-83631411C847}"/>
    <cellStyle name="Normal 2 2 2 2 2 2 5 7" xfId="19307" xr:uid="{8B3FC2CC-5C85-4A77-B5B5-40034EE08C7B}"/>
    <cellStyle name="Normal 2 2 2 2 2 2 5 7 2" xfId="19308" xr:uid="{882FC136-57B4-4687-AF92-0F0BC3E152B9}"/>
    <cellStyle name="Normal 2 2 2 2 2 2 5 7 3" xfId="19309" xr:uid="{69DB734D-BF6F-43BB-A866-84E92006500E}"/>
    <cellStyle name="Normal 2 2 2 2 2 2 5 7 4" xfId="19310" xr:uid="{9AB07637-AB3E-4CE0-A7E2-6781B76752F2}"/>
    <cellStyle name="Normal 2 2 2 2 2 2 5 7 5" xfId="19311" xr:uid="{6C21BCD1-3CB5-4D9A-B7A6-5943864124B8}"/>
    <cellStyle name="Normal 2 2 2 2 2 2 5 7 6" xfId="19312" xr:uid="{EBE07433-1852-4268-A226-AD6AD4C56575}"/>
    <cellStyle name="Normal 2 2 2 2 2 2 5 8" xfId="19313" xr:uid="{8A467F8F-CB52-41C7-A68B-744531AA7921}"/>
    <cellStyle name="Normal 2 2 2 2 2 2 5 8 2" xfId="19314" xr:uid="{9A60A128-7B5B-46E5-88A9-ECC4EB9AD95B}"/>
    <cellStyle name="Normal 2 2 2 2 2 2 5 8 3" xfId="19315" xr:uid="{F8E1BE8E-3F7E-446B-818F-0D1E84CBFA17}"/>
    <cellStyle name="Normal 2 2 2 2 2 2 5 8 4" xfId="19316" xr:uid="{2CF8373A-5B0B-4BDC-BEE2-F532169849ED}"/>
    <cellStyle name="Normal 2 2 2 2 2 2 5 8 5" xfId="19317" xr:uid="{A5527B43-BCD0-4FBF-AC50-0286D6DAC041}"/>
    <cellStyle name="Normal 2 2 2 2 2 2 5 8 6" xfId="19318" xr:uid="{B296AB06-8AD5-4199-BA59-4C33B60142E4}"/>
    <cellStyle name="Normal 2 2 2 2 2 2 5 9" xfId="19319" xr:uid="{FB1753A3-117D-4421-B781-42E5CC2EDD2C}"/>
    <cellStyle name="Normal 2 2 2 2 2 2 50" xfId="19320" xr:uid="{8A044549-0528-456F-AAFF-B1330A8AF96F}"/>
    <cellStyle name="Normal 2 2 2 2 2 2 51" xfId="19321" xr:uid="{CF43C8B0-3E9A-419D-B259-F93418FB7512}"/>
    <cellStyle name="Normal 2 2 2 2 2 2 52" xfId="19322" xr:uid="{EDC43025-4A92-4B37-8B8C-14DAF8EA3DD7}"/>
    <cellStyle name="Normal 2 2 2 2 2 2 53" xfId="19323" xr:uid="{1B4ABD9B-8122-40F3-AD6B-371CB1F5E43A}"/>
    <cellStyle name="Normal 2 2 2 2 2 2 54" xfId="19324" xr:uid="{1FDC29AD-DB32-4CD7-8CE2-A256A14E591A}"/>
    <cellStyle name="Normal 2 2 2 2 2 2 55" xfId="19325" xr:uid="{1AC3CCD2-181F-4730-8F64-682BB1ADCF3D}"/>
    <cellStyle name="Normal 2 2 2 2 2 2 56" xfId="19326" xr:uid="{32ABB8B4-E9CB-4BF8-8522-3C24C33FEBC8}"/>
    <cellStyle name="Normal 2 2 2 2 2 2 57" xfId="19327" xr:uid="{44159528-3056-4B06-8117-DAD5BC7FAA03}"/>
    <cellStyle name="Normal 2 2 2 2 2 2 58" xfId="19328" xr:uid="{4DF61C87-54F1-4101-89D4-D28BE1DD6966}"/>
    <cellStyle name="Normal 2 2 2 2 2 2 59" xfId="19329" xr:uid="{53593690-C81D-4565-A969-124F6BA766E3}"/>
    <cellStyle name="Normal 2 2 2 2 2 2 6" xfId="19330" xr:uid="{D9D4C8AE-0607-4CCE-A0B4-3EE17FBBD793}"/>
    <cellStyle name="Normal 2 2 2 2 2 2 6 10" xfId="19331" xr:uid="{D160C438-A5F5-4730-9D61-D6D849AA82D5}"/>
    <cellStyle name="Normal 2 2 2 2 2 2 6 11" xfId="19332" xr:uid="{8C7E983E-6419-4823-BDEB-C490E767B1E0}"/>
    <cellStyle name="Normal 2 2 2 2 2 2 6 12" xfId="19333" xr:uid="{7EBDF191-BFC0-4760-B606-AE74089BC574}"/>
    <cellStyle name="Normal 2 2 2 2 2 2 6 13" xfId="19334" xr:uid="{3268F3A7-D643-44DA-8852-E7091BB6EEDC}"/>
    <cellStyle name="Normal 2 2 2 2 2 2 6 2" xfId="19335" xr:uid="{D44FD4C4-3CC8-4F24-B194-E1A2EDBE6DDF}"/>
    <cellStyle name="Normal 2 2 2 2 2 2 6 2 2" xfId="19336" xr:uid="{9460B342-D698-4194-89F0-9AF1D0EDC235}"/>
    <cellStyle name="Normal 2 2 2 2 2 2 6 2 3" xfId="19337" xr:uid="{062B855A-353C-4892-B438-CBE7CD6832D9}"/>
    <cellStyle name="Normal 2 2 2 2 2 2 6 2 4" xfId="19338" xr:uid="{AEC47D2E-7EE1-4EFA-8CB6-7293029109B5}"/>
    <cellStyle name="Normal 2 2 2 2 2 2 6 2 5" xfId="19339" xr:uid="{59719A37-CE42-4DE1-BDC9-A68B81F7EA47}"/>
    <cellStyle name="Normal 2 2 2 2 2 2 6 2 6" xfId="19340" xr:uid="{B3D82552-E987-4019-933F-F557ADDB79F1}"/>
    <cellStyle name="Normal 2 2 2 2 2 2 6 3" xfId="19341" xr:uid="{42B8D5BB-3F67-463A-99A7-83E77A21AFEF}"/>
    <cellStyle name="Normal 2 2 2 2 2 2 6 3 2" xfId="19342" xr:uid="{342EC241-ED5A-4188-8256-C3BB187BF6B0}"/>
    <cellStyle name="Normal 2 2 2 2 2 2 6 3 3" xfId="19343" xr:uid="{F12D0EA1-3FEC-49AB-920B-0EE9EE55A86F}"/>
    <cellStyle name="Normal 2 2 2 2 2 2 6 3 4" xfId="19344" xr:uid="{1C5619A8-8289-4AC8-A293-283D74DF4917}"/>
    <cellStyle name="Normal 2 2 2 2 2 2 6 3 5" xfId="19345" xr:uid="{F66E1A9F-0E6B-49AD-A539-47AF62507247}"/>
    <cellStyle name="Normal 2 2 2 2 2 2 6 3 6" xfId="19346" xr:uid="{77D959A8-7915-4190-BCC2-6138E7704DF9}"/>
    <cellStyle name="Normal 2 2 2 2 2 2 6 4" xfId="19347" xr:uid="{E644D937-0A36-48FF-9A48-7FAC99AA33EB}"/>
    <cellStyle name="Normal 2 2 2 2 2 2 6 4 2" xfId="19348" xr:uid="{C0064FDF-4B6A-4122-B7C7-579EA0D075DA}"/>
    <cellStyle name="Normal 2 2 2 2 2 2 6 4 3" xfId="19349" xr:uid="{C08CEB9E-78CA-4CE3-B31E-009FCDAB5F51}"/>
    <cellStyle name="Normal 2 2 2 2 2 2 6 4 4" xfId="19350" xr:uid="{BB52392D-6278-451A-9BE0-F40F03CF1C6F}"/>
    <cellStyle name="Normal 2 2 2 2 2 2 6 4 5" xfId="19351" xr:uid="{50CB0FBE-4F76-4C25-92FB-CF77714AC737}"/>
    <cellStyle name="Normal 2 2 2 2 2 2 6 4 6" xfId="19352" xr:uid="{1BEA7233-844F-409D-9EDE-19D9FB20DDD2}"/>
    <cellStyle name="Normal 2 2 2 2 2 2 6 5" xfId="19353" xr:uid="{85F7BCCC-4E2C-4F0D-AC91-6A654F520BA3}"/>
    <cellStyle name="Normal 2 2 2 2 2 2 6 5 2" xfId="19354" xr:uid="{262F3478-3526-427F-AD8C-3D3C982EBAD0}"/>
    <cellStyle name="Normal 2 2 2 2 2 2 6 5 3" xfId="19355" xr:uid="{1769ED7E-A9C8-45B6-9B04-F8B068F6C1CF}"/>
    <cellStyle name="Normal 2 2 2 2 2 2 6 5 4" xfId="19356" xr:uid="{5CC11645-8597-4F32-B6FF-665B191F5160}"/>
    <cellStyle name="Normal 2 2 2 2 2 2 6 5 5" xfId="19357" xr:uid="{E8A412F5-1C61-42AC-9F1A-B9486E9EDF9D}"/>
    <cellStyle name="Normal 2 2 2 2 2 2 6 5 6" xfId="19358" xr:uid="{CCBA1FD3-FC8D-48EF-83E6-E40B45D74F2B}"/>
    <cellStyle name="Normal 2 2 2 2 2 2 6 6" xfId="19359" xr:uid="{F739AC64-383A-42AD-A5C7-D15039F06353}"/>
    <cellStyle name="Normal 2 2 2 2 2 2 6 6 2" xfId="19360" xr:uid="{7EBD0E3C-97BF-4B15-9735-E18516F2A4FF}"/>
    <cellStyle name="Normal 2 2 2 2 2 2 6 6 3" xfId="19361" xr:uid="{67757992-5782-499B-B006-C690F0CB9742}"/>
    <cellStyle name="Normal 2 2 2 2 2 2 6 6 4" xfId="19362" xr:uid="{64145F5A-7662-4AAF-8872-F7FA29681C67}"/>
    <cellStyle name="Normal 2 2 2 2 2 2 6 6 5" xfId="19363" xr:uid="{C8775FF5-5343-42A5-B360-9ACFDAE4B1F5}"/>
    <cellStyle name="Normal 2 2 2 2 2 2 6 6 6" xfId="19364" xr:uid="{46D1721A-667F-4E75-B591-814BAA5D3E6C}"/>
    <cellStyle name="Normal 2 2 2 2 2 2 6 7" xfId="19365" xr:uid="{592F4990-A181-4FF6-B6B8-C39B6DEFAC27}"/>
    <cellStyle name="Normal 2 2 2 2 2 2 6 7 2" xfId="19366" xr:uid="{F29E6074-5B6A-42AF-989E-8D8E6A033569}"/>
    <cellStyle name="Normal 2 2 2 2 2 2 6 7 3" xfId="19367" xr:uid="{371C9D45-DECF-4565-85C2-81AB08A08ACF}"/>
    <cellStyle name="Normal 2 2 2 2 2 2 6 7 4" xfId="19368" xr:uid="{07B1BA53-14FD-405A-BB4D-5ED15543C00C}"/>
    <cellStyle name="Normal 2 2 2 2 2 2 6 7 5" xfId="19369" xr:uid="{383EFF3E-4FE4-41DD-85B0-66D607C0A978}"/>
    <cellStyle name="Normal 2 2 2 2 2 2 6 7 6" xfId="19370" xr:uid="{EBE3C63B-AB65-424E-9BA6-2033E0ADF0D4}"/>
    <cellStyle name="Normal 2 2 2 2 2 2 6 8" xfId="19371" xr:uid="{B4F2E799-0FFC-4E92-B846-CF0C4E76132A}"/>
    <cellStyle name="Normal 2 2 2 2 2 2 6 8 2" xfId="19372" xr:uid="{D6477097-5BF5-4536-898B-8B23CF2CCD54}"/>
    <cellStyle name="Normal 2 2 2 2 2 2 6 8 3" xfId="19373" xr:uid="{B2A0402C-5877-43EF-BDCB-8786E484751F}"/>
    <cellStyle name="Normal 2 2 2 2 2 2 6 8 4" xfId="19374" xr:uid="{B4D8A9E6-4B09-4426-8C38-E96871CED0F2}"/>
    <cellStyle name="Normal 2 2 2 2 2 2 6 8 5" xfId="19375" xr:uid="{BEC1B3AB-497B-4836-BE64-E6F93D1CB2B8}"/>
    <cellStyle name="Normal 2 2 2 2 2 2 6 8 6" xfId="19376" xr:uid="{6DC3038C-8213-4E2B-AEF1-598608C06129}"/>
    <cellStyle name="Normal 2 2 2 2 2 2 6 9" xfId="19377" xr:uid="{EBC80369-180A-43FE-804D-525F0F7020B2}"/>
    <cellStyle name="Normal 2 2 2 2 2 2 60" xfId="19378" xr:uid="{4A0A274B-6586-4C88-B364-54CA675C5E9A}"/>
    <cellStyle name="Normal 2 2 2 2 2 2 61" xfId="19379" xr:uid="{CBBFCFE9-C785-44EF-B591-983320C527E0}"/>
    <cellStyle name="Normal 2 2 2 2 2 2 62" xfId="19380" xr:uid="{1EFDAEA9-7FB2-4C1D-8626-C39EF3E83F77}"/>
    <cellStyle name="Normal 2 2 2 2 2 2 63" xfId="19381" xr:uid="{8C92AD5A-A09E-4875-9FDE-EB6E37BAFC12}"/>
    <cellStyle name="Normal 2 2 2 2 2 2 64" xfId="19382" xr:uid="{0DFDF7C5-14F0-4DD0-8073-F7BF64587FD6}"/>
    <cellStyle name="Normal 2 2 2 2 2 2 65" xfId="19383" xr:uid="{205E9151-E813-4F80-931C-AC6A47B3C6E5}"/>
    <cellStyle name="Normal 2 2 2 2 2 2 66" xfId="19384" xr:uid="{C2464566-9251-43AE-9CC3-0E8A91BA2A9E}"/>
    <cellStyle name="Normal 2 2 2 2 2 2 67" xfId="19385" xr:uid="{C2D0679E-E9F0-44F6-93FD-0C7DC2255F5C}"/>
    <cellStyle name="Normal 2 2 2 2 2 2 67 2" xfId="19386" xr:uid="{C3B0DF5B-806E-4623-87DB-8931E91F2212}"/>
    <cellStyle name="Normal 2 2 2 2 2 2 67 3" xfId="19387" xr:uid="{8253DAC5-19BC-4E32-B703-C8872C5BEB50}"/>
    <cellStyle name="Normal 2 2 2 2 2 2 67 4" xfId="19388" xr:uid="{69748A47-F19E-4FC3-BBBC-82AE5DE54860}"/>
    <cellStyle name="Normal 2 2 2 2 2 2 67 5" xfId="19389" xr:uid="{141089D7-11E9-4FFB-B153-3DA2FDFAA8FD}"/>
    <cellStyle name="Normal 2 2 2 2 2 2 67 6" xfId="19390" xr:uid="{57BACBCD-2C81-4DF8-BABA-485974957272}"/>
    <cellStyle name="Normal 2 2 2 2 2 2 67 7" xfId="19391" xr:uid="{D0FB3AAF-7299-4F57-8CB8-C0030B436C64}"/>
    <cellStyle name="Normal 2 2 2 2 2 2 68" xfId="19392" xr:uid="{5EA19AD2-5B3B-4624-BC87-D4EC3480C490}"/>
    <cellStyle name="Normal 2 2 2 2 2 2 68 10" xfId="19393" xr:uid="{C576BC5F-1249-4D28-B65E-A763319AB6AD}"/>
    <cellStyle name="Normal 2 2 2 2 2 2 68 11" xfId="19394" xr:uid="{D917FF66-6003-4C22-B406-26B23158C5BA}"/>
    <cellStyle name="Normal 2 2 2 2 2 2 68 2" xfId="19395" xr:uid="{61581671-CF8E-41FE-A12C-36A06C1AFE80}"/>
    <cellStyle name="Normal 2 2 2 2 2 2 68 2 2" xfId="19396" xr:uid="{B98A2EB7-E511-4277-BB89-3ECFCF70F357}"/>
    <cellStyle name="Normal 2 2 2 2 2 2 68 2 2 2" xfId="19397" xr:uid="{39644252-4B3E-46FE-AEC7-A4F06F8C9445}"/>
    <cellStyle name="Normal 2 2 2 2 2 2 68 2 2 3" xfId="19398" xr:uid="{79972500-33A8-4419-BE92-ECB8CC81D22F}"/>
    <cellStyle name="Normal 2 2 2 2 2 2 68 2 3" xfId="19399" xr:uid="{201483B3-F9F4-4A71-913C-EDDEAA846D9A}"/>
    <cellStyle name="Normal 2 2 2 2 2 2 68 2 4" xfId="19400" xr:uid="{EB4793B1-9732-438A-81E2-AA7D20EB7CE8}"/>
    <cellStyle name="Normal 2 2 2 2 2 2 68 2 5" xfId="19401" xr:uid="{6B0895B9-0560-4422-94F1-D090896DB0D5}"/>
    <cellStyle name="Normal 2 2 2 2 2 2 68 2 6" xfId="19402" xr:uid="{D712E3FB-E10A-4DEA-BC81-508CF491FA3A}"/>
    <cellStyle name="Normal 2 2 2 2 2 2 68 2 7" xfId="19403" xr:uid="{55EC7B7F-BB5A-4E5A-B5D2-0E11A17E7E86}"/>
    <cellStyle name="Normal 2 2 2 2 2 2 68 2 8" xfId="19404" xr:uid="{A42C559C-7D7A-429C-91CF-024BB4A92439}"/>
    <cellStyle name="Normal 2 2 2 2 2 2 68 2 9" xfId="19405" xr:uid="{B903F8D8-9212-4FEF-8507-C054287126EB}"/>
    <cellStyle name="Normal 2 2 2 2 2 2 68 3" xfId="19406" xr:uid="{1ECFD88B-DDF7-47FA-9D20-D84041E1CDE1}"/>
    <cellStyle name="Normal 2 2 2 2 2 2 68 4" xfId="19407" xr:uid="{C9350C7A-14B3-4304-8636-3C024B44DC0B}"/>
    <cellStyle name="Normal 2 2 2 2 2 2 68 5" xfId="19408" xr:uid="{8148DB24-7B52-4269-AC44-DC69448EFB3B}"/>
    <cellStyle name="Normal 2 2 2 2 2 2 68 5 2" xfId="19409" xr:uid="{C2AB41C2-F67A-4AB8-9BD8-09835897102A}"/>
    <cellStyle name="Normal 2 2 2 2 2 2 68 5 3" xfId="19410" xr:uid="{54FF3573-E58D-47D7-A6AB-77797C852635}"/>
    <cellStyle name="Normal 2 2 2 2 2 2 68 6" xfId="19411" xr:uid="{028E8EDD-59E4-44FB-BC68-9A88C9EE5DE6}"/>
    <cellStyle name="Normal 2 2 2 2 2 2 68 7" xfId="19412" xr:uid="{1F4A6DAD-FFAE-4E8A-9173-18767CFB1C7B}"/>
    <cellStyle name="Normal 2 2 2 2 2 2 68 8" xfId="19413" xr:uid="{8E9768ED-CCB9-4AF6-8A87-BD9B3E5F2D57}"/>
    <cellStyle name="Normal 2 2 2 2 2 2 68 9" xfId="19414" xr:uid="{5834BAC9-F26E-471A-AF21-D3EC7394906F}"/>
    <cellStyle name="Normal 2 2 2 2 2 2 69" xfId="19415" xr:uid="{51423967-604E-481F-9BE2-39BB1EAF278E}"/>
    <cellStyle name="Normal 2 2 2 2 2 2 7" xfId="19416" xr:uid="{47D2947B-DF01-4837-A53C-A5C8AE4F31DD}"/>
    <cellStyle name="Normal 2 2 2 2 2 2 7 10" xfId="19417" xr:uid="{BF49E642-082B-4EFF-BAD9-A2BCD0AA9F07}"/>
    <cellStyle name="Normal 2 2 2 2 2 2 7 11" xfId="19418" xr:uid="{C4FC3E0F-AD74-407B-ADD0-015B4DB9C74E}"/>
    <cellStyle name="Normal 2 2 2 2 2 2 7 12" xfId="19419" xr:uid="{7AD21435-549B-435B-8E21-70B5808A9A8E}"/>
    <cellStyle name="Normal 2 2 2 2 2 2 7 13" xfId="19420" xr:uid="{507209E2-C4D1-4DF0-8E4A-115251D2BF1C}"/>
    <cellStyle name="Normal 2 2 2 2 2 2 7 2" xfId="19421" xr:uid="{2A22A5CA-9573-4B51-B140-AC2C4F6B0932}"/>
    <cellStyle name="Normal 2 2 2 2 2 2 7 2 2" xfId="19422" xr:uid="{A247C717-F19A-4F6F-B469-818C0758CA0B}"/>
    <cellStyle name="Normal 2 2 2 2 2 2 7 2 3" xfId="19423" xr:uid="{EF29DE1C-4B58-482F-8A67-C5F846F1A5B7}"/>
    <cellStyle name="Normal 2 2 2 2 2 2 7 2 4" xfId="19424" xr:uid="{D6745BCB-0E3B-47CC-9256-2F301C6EFA62}"/>
    <cellStyle name="Normal 2 2 2 2 2 2 7 2 5" xfId="19425" xr:uid="{7C9C82E2-B9A9-4487-984C-DD0D6F01C9A2}"/>
    <cellStyle name="Normal 2 2 2 2 2 2 7 2 6" xfId="19426" xr:uid="{55C7B700-4704-41C7-BA0E-993625EA5E08}"/>
    <cellStyle name="Normal 2 2 2 2 2 2 7 3" xfId="19427" xr:uid="{6882DB6E-5807-4D9D-8DEF-E04D0F44867A}"/>
    <cellStyle name="Normal 2 2 2 2 2 2 7 3 2" xfId="19428" xr:uid="{4CA3929A-2FDD-4454-B330-7C9252436504}"/>
    <cellStyle name="Normal 2 2 2 2 2 2 7 3 3" xfId="19429" xr:uid="{4347FE13-AF5B-4C2A-9DF6-A9C43294F2CC}"/>
    <cellStyle name="Normal 2 2 2 2 2 2 7 3 4" xfId="19430" xr:uid="{79A17302-BE56-4186-9F0B-9B8CF62BB43D}"/>
    <cellStyle name="Normal 2 2 2 2 2 2 7 3 5" xfId="19431" xr:uid="{1125BFC2-C57E-4CBF-B07E-DDC37A7A2068}"/>
    <cellStyle name="Normal 2 2 2 2 2 2 7 3 6" xfId="19432" xr:uid="{15BD637E-6164-4B51-9DA1-89AFB30402DD}"/>
    <cellStyle name="Normal 2 2 2 2 2 2 7 4" xfId="19433" xr:uid="{FDD8EC04-D1E0-417E-8A85-8668A1927157}"/>
    <cellStyle name="Normal 2 2 2 2 2 2 7 4 2" xfId="19434" xr:uid="{6D65EA1F-9C7D-4B73-A3F5-8155D53EA49E}"/>
    <cellStyle name="Normal 2 2 2 2 2 2 7 4 3" xfId="19435" xr:uid="{7EEF7086-7E75-4C41-AC91-E8DF397C1E59}"/>
    <cellStyle name="Normal 2 2 2 2 2 2 7 4 4" xfId="19436" xr:uid="{91706980-A98B-45A7-A472-B6150586F86F}"/>
    <cellStyle name="Normal 2 2 2 2 2 2 7 4 5" xfId="19437" xr:uid="{03946B11-C8F6-44C6-9E3E-C09078C28D9E}"/>
    <cellStyle name="Normal 2 2 2 2 2 2 7 4 6" xfId="19438" xr:uid="{01CFEF36-357E-4B05-BA2C-693D10AB5AB1}"/>
    <cellStyle name="Normal 2 2 2 2 2 2 7 5" xfId="19439" xr:uid="{1BA75F49-BE5F-4B98-A40C-B1DF085DC063}"/>
    <cellStyle name="Normal 2 2 2 2 2 2 7 5 2" xfId="19440" xr:uid="{49EE6470-59FE-4CF3-ABA8-FCBD9D35931C}"/>
    <cellStyle name="Normal 2 2 2 2 2 2 7 5 3" xfId="19441" xr:uid="{04445756-AAF1-4FDB-BED5-6C6B08CA95B7}"/>
    <cellStyle name="Normal 2 2 2 2 2 2 7 5 4" xfId="19442" xr:uid="{2905A154-D54A-435D-BA45-C57BBC90D1E2}"/>
    <cellStyle name="Normal 2 2 2 2 2 2 7 5 5" xfId="19443" xr:uid="{A9B78B24-C426-4245-A286-0756BEF21297}"/>
    <cellStyle name="Normal 2 2 2 2 2 2 7 5 6" xfId="19444" xr:uid="{6E97FFCB-94AE-4132-9268-87A58D86CF6E}"/>
    <cellStyle name="Normal 2 2 2 2 2 2 7 6" xfId="19445" xr:uid="{E852B357-B554-4781-8FEA-DC3CDF1891C9}"/>
    <cellStyle name="Normal 2 2 2 2 2 2 7 6 2" xfId="19446" xr:uid="{CFF6C3E4-1E5B-41AA-9B1B-B8535F2736AE}"/>
    <cellStyle name="Normal 2 2 2 2 2 2 7 6 3" xfId="19447" xr:uid="{629B7F74-91E4-43AA-8FA4-9EA903144815}"/>
    <cellStyle name="Normal 2 2 2 2 2 2 7 6 4" xfId="19448" xr:uid="{ABA6724B-FCCD-4D53-9124-4855F5CFD16D}"/>
    <cellStyle name="Normal 2 2 2 2 2 2 7 6 5" xfId="19449" xr:uid="{16F06029-E1FB-4566-9DCC-65DEF6F793E0}"/>
    <cellStyle name="Normal 2 2 2 2 2 2 7 6 6" xfId="19450" xr:uid="{7B3584B6-27A2-451D-90A8-D6E0827EC85A}"/>
    <cellStyle name="Normal 2 2 2 2 2 2 7 7" xfId="19451" xr:uid="{80552D3A-FDAD-40D5-99C4-F1838D03C30D}"/>
    <cellStyle name="Normal 2 2 2 2 2 2 7 7 2" xfId="19452" xr:uid="{102CBAFE-3EF9-4217-8479-292BBF8F14F0}"/>
    <cellStyle name="Normal 2 2 2 2 2 2 7 7 3" xfId="19453" xr:uid="{8F52BB47-FE5C-48B5-8231-803B3B72B901}"/>
    <cellStyle name="Normal 2 2 2 2 2 2 7 7 4" xfId="19454" xr:uid="{9CD657BC-9C5D-4798-A724-1671855E3CBB}"/>
    <cellStyle name="Normal 2 2 2 2 2 2 7 7 5" xfId="19455" xr:uid="{E2126F56-AB6A-48CE-9225-466BC024DD2F}"/>
    <cellStyle name="Normal 2 2 2 2 2 2 7 7 6" xfId="19456" xr:uid="{47F485E8-CD94-499C-9D16-025CD4335B88}"/>
    <cellStyle name="Normal 2 2 2 2 2 2 7 8" xfId="19457" xr:uid="{DC32C148-996F-4176-84E2-6C75A97F82E5}"/>
    <cellStyle name="Normal 2 2 2 2 2 2 7 8 2" xfId="19458" xr:uid="{40D9A527-F816-4B4D-9C2A-BA2F581DEDE8}"/>
    <cellStyle name="Normal 2 2 2 2 2 2 7 8 3" xfId="19459" xr:uid="{EB1EF869-1D51-4B23-8320-2391395A1950}"/>
    <cellStyle name="Normal 2 2 2 2 2 2 7 8 4" xfId="19460" xr:uid="{57ECA213-C815-4E02-90CE-32B6F801F70E}"/>
    <cellStyle name="Normal 2 2 2 2 2 2 7 8 5" xfId="19461" xr:uid="{95989CB3-DF70-46A8-8385-35398EEA5D55}"/>
    <cellStyle name="Normal 2 2 2 2 2 2 7 8 6" xfId="19462" xr:uid="{A9458AEC-6AD9-4245-B02C-923590DD22BF}"/>
    <cellStyle name="Normal 2 2 2 2 2 2 7 9" xfId="19463" xr:uid="{8E40ECA1-DCBF-4182-BB8C-490960EF6705}"/>
    <cellStyle name="Normal 2 2 2 2 2 2 70" xfId="19464" xr:uid="{A4A48E40-08B1-4EFC-BC1B-16CBE7D3000B}"/>
    <cellStyle name="Normal 2 2 2 2 2 2 71" xfId="19465" xr:uid="{8BFE8B8C-9F8E-45D1-9BF0-EE052ACE8048}"/>
    <cellStyle name="Normal 2 2 2 2 2 2 71 2" xfId="19466" xr:uid="{25260736-1EA4-41CB-9A2C-2D13416FC3B0}"/>
    <cellStyle name="Normal 2 2 2 2 2 2 71 2 2" xfId="19467" xr:uid="{6210C3D7-FBBE-4B6C-A26D-F1D554E875D7}"/>
    <cellStyle name="Normal 2 2 2 2 2 2 71 2 3" xfId="19468" xr:uid="{68B1CF06-9D88-4724-AB5D-568B77EF226E}"/>
    <cellStyle name="Normal 2 2 2 2 2 2 71 3" xfId="19469" xr:uid="{5A4B4564-FEF0-4470-9015-56120D11FBDC}"/>
    <cellStyle name="Normal 2 2 2 2 2 2 71 4" xfId="19470" xr:uid="{8A241349-BF36-4C1F-9893-EA6973C54226}"/>
    <cellStyle name="Normal 2 2 2 2 2 2 71 5" xfId="19471" xr:uid="{2BBEB810-C80A-4E9E-B819-22C5BAA6653A}"/>
    <cellStyle name="Normal 2 2 2 2 2 2 71 6" xfId="19472" xr:uid="{0F3C73AB-999D-466F-A2B2-0CCD5641B223}"/>
    <cellStyle name="Normal 2 2 2 2 2 2 71 7" xfId="19473" xr:uid="{C8DFE150-14C8-4C35-8C14-CA50CD710D98}"/>
    <cellStyle name="Normal 2 2 2 2 2 2 71 8" xfId="19474" xr:uid="{DE2D7B0F-6FC4-4856-AF51-73FFF03A93AA}"/>
    <cellStyle name="Normal 2 2 2 2 2 2 71 9" xfId="19475" xr:uid="{C698EBE9-EFC4-4212-98F0-8038FC182E96}"/>
    <cellStyle name="Normal 2 2 2 2 2 2 72" xfId="19476" xr:uid="{A9C79E96-161D-4A91-8185-F4CFFBBDCEA9}"/>
    <cellStyle name="Normal 2 2 2 2 2 2 73" xfId="19477" xr:uid="{60AC3E65-DCDC-403F-9591-628F19C22EAE}"/>
    <cellStyle name="Normal 2 2 2 2 2 2 73 2" xfId="19478" xr:uid="{6AF23CA0-C6B8-4594-8293-C2A42E854F43}"/>
    <cellStyle name="Normal 2 2 2 2 2 2 73 3" xfId="19479" xr:uid="{529D4AE0-8608-435A-BEE9-E02B9B41C564}"/>
    <cellStyle name="Normal 2 2 2 2 2 2 74" xfId="19480" xr:uid="{15EB2C93-1C78-43DE-B607-AD3717E771B8}"/>
    <cellStyle name="Normal 2 2 2 2 2 2 75" xfId="19481" xr:uid="{8CF247F0-99A3-43EF-BC2B-6FD705D85E04}"/>
    <cellStyle name="Normal 2 2 2 2 2 2 76" xfId="19482" xr:uid="{BD5293E0-F115-4FEF-B684-EFAF97976944}"/>
    <cellStyle name="Normal 2 2 2 2 2 2 77" xfId="19483" xr:uid="{5CE8BFD8-4135-40E0-AFE8-9CFCDE2B8470}"/>
    <cellStyle name="Normal 2 2 2 2 2 2 78" xfId="19484" xr:uid="{22708E9B-A886-47E4-953D-2B28AA6CFF75}"/>
    <cellStyle name="Normal 2 2 2 2 2 2 79" xfId="19485" xr:uid="{97E0FD9D-400D-4F76-92BB-6695123079A4}"/>
    <cellStyle name="Normal 2 2 2 2 2 2 8" xfId="19486" xr:uid="{6865E72C-7041-4C45-8B60-420C693497E6}"/>
    <cellStyle name="Normal 2 2 2 2 2 2 8 10" xfId="19487" xr:uid="{9EC16C17-04A5-4DD7-BF6D-A0E964A3B153}"/>
    <cellStyle name="Normal 2 2 2 2 2 2 8 11" xfId="19488" xr:uid="{60744557-9549-494B-B398-2DC0DA077163}"/>
    <cellStyle name="Normal 2 2 2 2 2 2 8 12" xfId="19489" xr:uid="{2F62964A-3A78-4E20-A0F4-E09B9AE67D88}"/>
    <cellStyle name="Normal 2 2 2 2 2 2 8 12 2" xfId="19490" xr:uid="{D9264B3A-70E4-45C9-BF03-DA2EBE63C86C}"/>
    <cellStyle name="Normal 2 2 2 2 2 2 8 12 3" xfId="19491" xr:uid="{B81347F3-7DFE-4FAD-B8F6-44A27806C929}"/>
    <cellStyle name="Normal 2 2 2 2 2 2 8 12 4" xfId="19492" xr:uid="{3DFE8320-F672-4FFF-8B72-8E845CC23BFC}"/>
    <cellStyle name="Normal 2 2 2 2 2 2 8 12 5" xfId="19493" xr:uid="{828DFEB3-34EB-4843-8989-109BD758CD8A}"/>
    <cellStyle name="Normal 2 2 2 2 2 2 8 12 6" xfId="19494" xr:uid="{8DD48DE7-402A-412C-9000-81CE77535B21}"/>
    <cellStyle name="Normal 2 2 2 2 2 2 8 13" xfId="19495" xr:uid="{4E1AE7A5-98BD-4F28-8D85-08930723816C}"/>
    <cellStyle name="Normal 2 2 2 2 2 2 8 13 2" xfId="19496" xr:uid="{75D18248-34DC-437D-A8D8-7C5D6EF12855}"/>
    <cellStyle name="Normal 2 2 2 2 2 2 8 13 3" xfId="19497" xr:uid="{B00CB5F8-2C5A-4B4F-BC80-BB2B24256ECD}"/>
    <cellStyle name="Normal 2 2 2 2 2 2 8 13 4" xfId="19498" xr:uid="{35203CD1-3E9F-4175-9DE5-C0F78E71B848}"/>
    <cellStyle name="Normal 2 2 2 2 2 2 8 13 5" xfId="19499" xr:uid="{D2EBF199-E59E-4877-A633-A9ADDF60C311}"/>
    <cellStyle name="Normal 2 2 2 2 2 2 8 13 6" xfId="19500" xr:uid="{6D691407-9D76-4CFF-B147-621DB91F9CC2}"/>
    <cellStyle name="Normal 2 2 2 2 2 2 8 14" xfId="19501" xr:uid="{9108B8D8-DAFB-4194-919F-FEBFEC5559A1}"/>
    <cellStyle name="Normal 2 2 2 2 2 2 8 14 2" xfId="19502" xr:uid="{3FA8E896-D5C6-49E6-A1D5-B35A07BCDACA}"/>
    <cellStyle name="Normal 2 2 2 2 2 2 8 14 3" xfId="19503" xr:uid="{CB17909C-77D7-4B7D-ABD7-096D070DE887}"/>
    <cellStyle name="Normal 2 2 2 2 2 2 8 14 4" xfId="19504" xr:uid="{71FDE7FB-501A-4BE0-AB49-E393895B9002}"/>
    <cellStyle name="Normal 2 2 2 2 2 2 8 14 5" xfId="19505" xr:uid="{C8380266-3E3C-4FB4-B849-3724750DB6F3}"/>
    <cellStyle name="Normal 2 2 2 2 2 2 8 14 6" xfId="19506" xr:uid="{677F9193-FC44-4147-BA6D-AF767CFA890E}"/>
    <cellStyle name="Normal 2 2 2 2 2 2 8 15" xfId="19507" xr:uid="{9511E16C-72F1-4390-B82D-ED950929DDD2}"/>
    <cellStyle name="Normal 2 2 2 2 2 2 8 15 2" xfId="19508" xr:uid="{CEC76F38-841F-4ABA-945D-3EB17AEAFB93}"/>
    <cellStyle name="Normal 2 2 2 2 2 2 8 15 3" xfId="19509" xr:uid="{92C5EC79-1F32-440E-8719-66B28BFF3A9E}"/>
    <cellStyle name="Normal 2 2 2 2 2 2 8 15 4" xfId="19510" xr:uid="{D8F26185-1ABA-4A07-86BA-3471951F6CE4}"/>
    <cellStyle name="Normal 2 2 2 2 2 2 8 15 5" xfId="19511" xr:uid="{1341049E-6937-47E5-AC48-EDF99E4DC445}"/>
    <cellStyle name="Normal 2 2 2 2 2 2 8 15 6" xfId="19512" xr:uid="{888C1904-4D01-40E5-A16E-2ED5F738FD1A}"/>
    <cellStyle name="Normal 2 2 2 2 2 2 8 16" xfId="19513" xr:uid="{5D29D5B2-34E1-48C6-B015-74FD18B0E719}"/>
    <cellStyle name="Normal 2 2 2 2 2 2 8 16 2" xfId="19514" xr:uid="{768EE921-651A-48D5-9CED-FB905043FA7B}"/>
    <cellStyle name="Normal 2 2 2 2 2 2 8 16 3" xfId="19515" xr:uid="{8A11F48D-C29C-439A-9489-D69503146042}"/>
    <cellStyle name="Normal 2 2 2 2 2 2 8 16 4" xfId="19516" xr:uid="{E8B6EBBB-C5B2-4C21-9131-A16ADEBEA2C3}"/>
    <cellStyle name="Normal 2 2 2 2 2 2 8 16 5" xfId="19517" xr:uid="{42ECADF9-C69B-40D6-ACC4-E5E69F61E902}"/>
    <cellStyle name="Normal 2 2 2 2 2 2 8 16 6" xfId="19518" xr:uid="{C532F05D-2677-4C54-8468-30371C7B7449}"/>
    <cellStyle name="Normal 2 2 2 2 2 2 8 17" xfId="19519" xr:uid="{AB41F012-E573-43D2-999A-0C69C5B20333}"/>
    <cellStyle name="Normal 2 2 2 2 2 2 8 17 2" xfId="19520" xr:uid="{B9133624-FB9F-405B-8353-9C5169D63D6E}"/>
    <cellStyle name="Normal 2 2 2 2 2 2 8 17 3" xfId="19521" xr:uid="{782C372C-5476-4990-B89B-C864D7E4B1D5}"/>
    <cellStyle name="Normal 2 2 2 2 2 2 8 17 4" xfId="19522" xr:uid="{0B2BDEBC-E95F-46AF-8A5B-B8E904CB6A30}"/>
    <cellStyle name="Normal 2 2 2 2 2 2 8 17 5" xfId="19523" xr:uid="{592400AC-89B7-47AD-B211-DF66E050E4CF}"/>
    <cellStyle name="Normal 2 2 2 2 2 2 8 17 6" xfId="19524" xr:uid="{3EEBA77C-D9BE-4BBB-AFE8-3EF84ACAB0EA}"/>
    <cellStyle name="Normal 2 2 2 2 2 2 8 18" xfId="19525" xr:uid="{DC9F431B-E881-4D89-843C-F6D086695640}"/>
    <cellStyle name="Normal 2 2 2 2 2 2 8 18 2" xfId="19526" xr:uid="{D79324E8-DCCF-40DF-8E3E-160769F8CEA1}"/>
    <cellStyle name="Normal 2 2 2 2 2 2 8 18 3" xfId="19527" xr:uid="{09C319B0-2DF9-4E9F-9047-BEAA7D3AB431}"/>
    <cellStyle name="Normal 2 2 2 2 2 2 8 18 4" xfId="19528" xr:uid="{36DA2BCF-FDBE-4F88-890C-D85786961DEC}"/>
    <cellStyle name="Normal 2 2 2 2 2 2 8 18 5" xfId="19529" xr:uid="{23269A49-7E34-48FD-9766-B9028F889CAA}"/>
    <cellStyle name="Normal 2 2 2 2 2 2 8 18 6" xfId="19530" xr:uid="{C46A1FF9-4034-4DF9-847E-838D9107D8DB}"/>
    <cellStyle name="Normal 2 2 2 2 2 2 8 19" xfId="19531" xr:uid="{68A8AE46-AD53-4A62-9904-A80B82A3AA5B}"/>
    <cellStyle name="Normal 2 2 2 2 2 2 8 2" xfId="19532" xr:uid="{497B36C0-ED04-4E9F-9BBC-2954BDE1CDB1}"/>
    <cellStyle name="Normal 2 2 2 2 2 2 8 20" xfId="19533" xr:uid="{8FF9D81C-AA79-4701-948C-5E7C38C20FCC}"/>
    <cellStyle name="Normal 2 2 2 2 2 2 8 21" xfId="19534" xr:uid="{3378958F-B96D-49AE-B94C-BABED15B2AEA}"/>
    <cellStyle name="Normal 2 2 2 2 2 2 8 22" xfId="19535" xr:uid="{7CCF30B7-FB54-431A-BDD3-46CDC3901CC0}"/>
    <cellStyle name="Normal 2 2 2 2 2 2 8 23" xfId="19536" xr:uid="{DE1CB124-541B-41F0-8DC6-7C5157064C70}"/>
    <cellStyle name="Normal 2 2 2 2 2 2 8 3" xfId="19537" xr:uid="{38BB79C5-2D54-43D7-9EC4-D4E981C7A0EB}"/>
    <cellStyle name="Normal 2 2 2 2 2 2 8 4" xfId="19538" xr:uid="{F58AAAFE-0FDD-4E41-8731-F7CB86F9BE0E}"/>
    <cellStyle name="Normal 2 2 2 2 2 2 8 5" xfId="19539" xr:uid="{AFD2B1A2-B1B7-48EC-B077-B5FF3DA679DA}"/>
    <cellStyle name="Normal 2 2 2 2 2 2 8 6" xfId="19540" xr:uid="{8F169C47-C3C1-40EF-9926-F0F65CA91E34}"/>
    <cellStyle name="Normal 2 2 2 2 2 2 8 7" xfId="19541" xr:uid="{2142F5A8-E525-4D7E-94EF-D80D203D1E86}"/>
    <cellStyle name="Normal 2 2 2 2 2 2 8 8" xfId="19542" xr:uid="{E8E563B7-913C-4F8F-99D8-649AE3BD0B6C}"/>
    <cellStyle name="Normal 2 2 2 2 2 2 8 9" xfId="19543" xr:uid="{5EE64819-88D0-422F-84A6-D082769C0C0F}"/>
    <cellStyle name="Normal 2 2 2 2 2 2 80" xfId="19544" xr:uid="{E926B466-1073-4BAF-B1C5-0B52E3543071}"/>
    <cellStyle name="Normal 2 2 2 2 2 2 9" xfId="19545" xr:uid="{25CB189E-F6D8-420C-8FDF-20C11ADDCC16}"/>
    <cellStyle name="Normal 2 2 2 2 2 20" xfId="19546" xr:uid="{B8C01A47-F3CE-4D07-9718-A5C0BADF2115}"/>
    <cellStyle name="Normal 2 2 2 2 2 20 10" xfId="19547" xr:uid="{33FC4E89-2355-4546-B2FD-E0DFC28BC5DF}"/>
    <cellStyle name="Normal 2 2 2 2 2 20 11" xfId="19548" xr:uid="{5BCFEA1A-9D5B-44B7-B305-2427C5AFEA4F}"/>
    <cellStyle name="Normal 2 2 2 2 2 20 12" xfId="19549" xr:uid="{1C71026E-E555-4629-B34D-12FC030373AB}"/>
    <cellStyle name="Normal 2 2 2 2 2 20 13" xfId="19550" xr:uid="{9CD5774F-A18E-4515-ABEF-763A06F4F952}"/>
    <cellStyle name="Normal 2 2 2 2 2 20 2" xfId="19551" xr:uid="{F91CC908-4BEE-4C13-899E-77383594F117}"/>
    <cellStyle name="Normal 2 2 2 2 2 20 2 2" xfId="19552" xr:uid="{070A466C-3EDD-466B-AD3D-A3D6B3C58B23}"/>
    <cellStyle name="Normal 2 2 2 2 2 20 2 3" xfId="19553" xr:uid="{E3B9E5BF-CE32-4930-9EC9-28591D9EC65D}"/>
    <cellStyle name="Normal 2 2 2 2 2 20 2 4" xfId="19554" xr:uid="{038982ED-0906-4C8F-9F1E-43C85D9BD54D}"/>
    <cellStyle name="Normal 2 2 2 2 2 20 2 5" xfId="19555" xr:uid="{DFDF33BA-24EF-489F-9098-23B55BC9C1D2}"/>
    <cellStyle name="Normal 2 2 2 2 2 20 2 6" xfId="19556" xr:uid="{FD2BDBAA-F856-4395-96CD-263C8D590D82}"/>
    <cellStyle name="Normal 2 2 2 2 2 20 3" xfId="19557" xr:uid="{ABF76BC1-E1C9-41DD-AF28-F07E5CB6C832}"/>
    <cellStyle name="Normal 2 2 2 2 2 20 3 2" xfId="19558" xr:uid="{5D6177F8-E7A2-4113-9D3F-5B16FA96FFEE}"/>
    <cellStyle name="Normal 2 2 2 2 2 20 3 3" xfId="19559" xr:uid="{0A5558B6-DB0A-4098-A342-0DCDD6F3655F}"/>
    <cellStyle name="Normal 2 2 2 2 2 20 3 4" xfId="19560" xr:uid="{E65E755D-806D-419B-AB06-60127255B582}"/>
    <cellStyle name="Normal 2 2 2 2 2 20 3 5" xfId="19561" xr:uid="{AF606145-E892-44A7-AD31-287436707109}"/>
    <cellStyle name="Normal 2 2 2 2 2 20 3 6" xfId="19562" xr:uid="{75ABD160-2D65-4AA2-8944-27B5D2A05B3A}"/>
    <cellStyle name="Normal 2 2 2 2 2 20 4" xfId="19563" xr:uid="{C10B9CD6-DFBB-464A-93BC-EE42BCAC3367}"/>
    <cellStyle name="Normal 2 2 2 2 2 20 4 2" xfId="19564" xr:uid="{EC317253-39A0-41BF-AD0A-E38EBFFDB9F8}"/>
    <cellStyle name="Normal 2 2 2 2 2 20 4 3" xfId="19565" xr:uid="{E9FF5A03-7E27-4CD7-A096-18D10FB55C57}"/>
    <cellStyle name="Normal 2 2 2 2 2 20 4 4" xfId="19566" xr:uid="{0000D843-01D7-4E0F-B738-3218CB6E5EBC}"/>
    <cellStyle name="Normal 2 2 2 2 2 20 4 5" xfId="19567" xr:uid="{07080251-C1C0-4F7A-AFB4-A8F658D85B69}"/>
    <cellStyle name="Normal 2 2 2 2 2 20 4 6" xfId="19568" xr:uid="{62E0245F-444B-4C5D-A90B-0DC0655AB17C}"/>
    <cellStyle name="Normal 2 2 2 2 2 20 5" xfId="19569" xr:uid="{D918F40F-5798-40C5-A6BA-35F7C58DD331}"/>
    <cellStyle name="Normal 2 2 2 2 2 20 5 2" xfId="19570" xr:uid="{138EE06C-609F-4AF3-BA41-38926148720E}"/>
    <cellStyle name="Normal 2 2 2 2 2 20 5 3" xfId="19571" xr:uid="{9AE749E8-37AE-46B2-BAEB-FBFE9798B1D2}"/>
    <cellStyle name="Normal 2 2 2 2 2 20 5 4" xfId="19572" xr:uid="{3F7C2846-1170-43D9-8521-76422BB412DF}"/>
    <cellStyle name="Normal 2 2 2 2 2 20 5 5" xfId="19573" xr:uid="{57C49CDD-B128-499C-A6C1-E0FF83FF9DBA}"/>
    <cellStyle name="Normal 2 2 2 2 2 20 5 6" xfId="19574" xr:uid="{8F115971-A3B3-4960-8E0C-617D789CE1D0}"/>
    <cellStyle name="Normal 2 2 2 2 2 20 6" xfId="19575" xr:uid="{32A5C280-52C1-4559-A7A0-A73758AC7142}"/>
    <cellStyle name="Normal 2 2 2 2 2 20 6 2" xfId="19576" xr:uid="{20EAB32E-C9F6-4CFF-BA67-9BA8024BBEE0}"/>
    <cellStyle name="Normal 2 2 2 2 2 20 6 3" xfId="19577" xr:uid="{0A9980AE-BD78-4A08-9470-FB7D2A7E0B71}"/>
    <cellStyle name="Normal 2 2 2 2 2 20 6 4" xfId="19578" xr:uid="{46147B25-97C3-42E4-A41C-E9043D0498CA}"/>
    <cellStyle name="Normal 2 2 2 2 2 20 6 5" xfId="19579" xr:uid="{7EBC7F86-C032-4BE2-B2ED-C7E7C1BC944C}"/>
    <cellStyle name="Normal 2 2 2 2 2 20 6 6" xfId="19580" xr:uid="{61F1A106-69DA-43ED-BEAF-DD77640F1877}"/>
    <cellStyle name="Normal 2 2 2 2 2 20 7" xfId="19581" xr:uid="{07E2446C-9080-46FA-AEB1-0F4E788B6FE5}"/>
    <cellStyle name="Normal 2 2 2 2 2 20 7 2" xfId="19582" xr:uid="{C546F4BF-76F9-4127-B0E1-AB1295968F00}"/>
    <cellStyle name="Normal 2 2 2 2 2 20 7 3" xfId="19583" xr:uid="{B0E08DF7-F98E-4780-91D1-3B0AB66AB8E4}"/>
    <cellStyle name="Normal 2 2 2 2 2 20 7 4" xfId="19584" xr:uid="{F39AB8A7-B34C-4A59-ACA7-E629C9ACF36E}"/>
    <cellStyle name="Normal 2 2 2 2 2 20 7 5" xfId="19585" xr:uid="{F65BCDD6-6602-49AB-9239-05DF583CC81D}"/>
    <cellStyle name="Normal 2 2 2 2 2 20 7 6" xfId="19586" xr:uid="{80A3BB49-B93A-43CA-B05D-8C2B1AAF19FB}"/>
    <cellStyle name="Normal 2 2 2 2 2 20 8" xfId="19587" xr:uid="{742332D6-CE3F-405B-BEEE-487628723FB2}"/>
    <cellStyle name="Normal 2 2 2 2 2 20 8 2" xfId="19588" xr:uid="{F64EAF40-7673-4030-9DB4-4844F9730122}"/>
    <cellStyle name="Normal 2 2 2 2 2 20 8 3" xfId="19589" xr:uid="{F901C32F-BCDA-4C9F-ACF2-A695364FA156}"/>
    <cellStyle name="Normal 2 2 2 2 2 20 8 4" xfId="19590" xr:uid="{324E13D0-1CC7-4879-8133-FB2AEFB0D7AB}"/>
    <cellStyle name="Normal 2 2 2 2 2 20 8 5" xfId="19591" xr:uid="{D193DDAD-E286-41B2-AE5F-0DF49CF9A92C}"/>
    <cellStyle name="Normal 2 2 2 2 2 20 8 6" xfId="19592" xr:uid="{84772B76-DD78-4E5B-997B-3537493056BE}"/>
    <cellStyle name="Normal 2 2 2 2 2 20 9" xfId="19593" xr:uid="{687819DD-3D82-4814-B7DC-A6CEE73C079E}"/>
    <cellStyle name="Normal 2 2 2 2 2 21" xfId="19594" xr:uid="{592671FE-003A-4B41-9ECA-7EFED002CA33}"/>
    <cellStyle name="Normal 2 2 2 2 2 21 10" xfId="19595" xr:uid="{EB256E60-7D2A-4C3C-8E14-5C00D1131B91}"/>
    <cellStyle name="Normal 2 2 2 2 2 21 11" xfId="19596" xr:uid="{3881A352-3323-44D9-AC5D-B2DEAD52C616}"/>
    <cellStyle name="Normal 2 2 2 2 2 21 12" xfId="19597" xr:uid="{F765779C-EAF8-4BB8-8756-04CF51F91AA8}"/>
    <cellStyle name="Normal 2 2 2 2 2 21 13" xfId="19598" xr:uid="{8A3F831E-4D47-4780-A9D0-6FC83A3ADA25}"/>
    <cellStyle name="Normal 2 2 2 2 2 21 2" xfId="19599" xr:uid="{14D6DEC2-9F01-4B73-9739-980F56904BD7}"/>
    <cellStyle name="Normal 2 2 2 2 2 21 2 2" xfId="19600" xr:uid="{F2410259-F2C8-405E-BE65-C067E2457219}"/>
    <cellStyle name="Normal 2 2 2 2 2 21 2 3" xfId="19601" xr:uid="{EC8D32F0-B658-4906-BBF6-F55FC8CD88E1}"/>
    <cellStyle name="Normal 2 2 2 2 2 21 2 4" xfId="19602" xr:uid="{1C130EE0-06E2-4155-BD23-6B4F8C6E77B6}"/>
    <cellStyle name="Normal 2 2 2 2 2 21 2 5" xfId="19603" xr:uid="{58A2D859-6BC8-4FC1-B6A8-E428963C57EC}"/>
    <cellStyle name="Normal 2 2 2 2 2 21 2 6" xfId="19604" xr:uid="{E1C7F3FB-308E-4B36-9098-898F355D5E82}"/>
    <cellStyle name="Normal 2 2 2 2 2 21 3" xfId="19605" xr:uid="{0A738A62-4CB8-4698-97FD-1F922E9EF443}"/>
    <cellStyle name="Normal 2 2 2 2 2 21 3 2" xfId="19606" xr:uid="{6213B46D-099F-44DF-B074-216B8CDBC952}"/>
    <cellStyle name="Normal 2 2 2 2 2 21 3 3" xfId="19607" xr:uid="{58021305-08FB-4710-8037-4CB5B231F7C5}"/>
    <cellStyle name="Normal 2 2 2 2 2 21 3 4" xfId="19608" xr:uid="{73E6861C-176D-4C3A-B541-ABEC06854B2D}"/>
    <cellStyle name="Normal 2 2 2 2 2 21 3 5" xfId="19609" xr:uid="{C6A9D07D-15BC-46B8-B6BF-F8AC7900D03B}"/>
    <cellStyle name="Normal 2 2 2 2 2 21 3 6" xfId="19610" xr:uid="{68D75910-C321-4BFE-A294-7B06B3451AF6}"/>
    <cellStyle name="Normal 2 2 2 2 2 21 4" xfId="19611" xr:uid="{5C3D4113-23A9-403A-B890-8F77E5914764}"/>
    <cellStyle name="Normal 2 2 2 2 2 21 4 2" xfId="19612" xr:uid="{D599C4E9-0946-47F9-824F-6D4C84B92814}"/>
    <cellStyle name="Normal 2 2 2 2 2 21 4 3" xfId="19613" xr:uid="{6F79EC09-BF7A-4C8D-B0E9-A882A19618F3}"/>
    <cellStyle name="Normal 2 2 2 2 2 21 4 4" xfId="19614" xr:uid="{466ACAC8-AD20-4C58-8AEA-CE843CFD9636}"/>
    <cellStyle name="Normal 2 2 2 2 2 21 4 5" xfId="19615" xr:uid="{F88C4929-FE90-4666-8C5D-17D72A2AE601}"/>
    <cellStyle name="Normal 2 2 2 2 2 21 4 6" xfId="19616" xr:uid="{533B957F-838D-4EAC-976A-4CFD41371350}"/>
    <cellStyle name="Normal 2 2 2 2 2 21 5" xfId="19617" xr:uid="{F2D08B9D-90C9-411E-BBDF-0C81B74E5BB4}"/>
    <cellStyle name="Normal 2 2 2 2 2 21 5 2" xfId="19618" xr:uid="{E006CC3C-4C96-4646-AD9B-6B119834251C}"/>
    <cellStyle name="Normal 2 2 2 2 2 21 5 3" xfId="19619" xr:uid="{DBCF6FE4-3CA6-48BB-944A-09121102E2F8}"/>
    <cellStyle name="Normal 2 2 2 2 2 21 5 4" xfId="19620" xr:uid="{B5A0C006-0859-4FE4-8216-373EDFCA7D41}"/>
    <cellStyle name="Normal 2 2 2 2 2 21 5 5" xfId="19621" xr:uid="{1DBC6EF3-05B6-444D-9533-B6B6CB3277AF}"/>
    <cellStyle name="Normal 2 2 2 2 2 21 5 6" xfId="19622" xr:uid="{38CE369E-AF15-4145-894A-90450E5A3E9C}"/>
    <cellStyle name="Normal 2 2 2 2 2 21 6" xfId="19623" xr:uid="{D8579EA9-8B3C-4214-9D61-A2DDFBDB73A3}"/>
    <cellStyle name="Normal 2 2 2 2 2 21 6 2" xfId="19624" xr:uid="{377EFC0D-AF47-4DBB-9ABE-3D943E3AFEF2}"/>
    <cellStyle name="Normal 2 2 2 2 2 21 6 3" xfId="19625" xr:uid="{E90B7756-A9B1-47BA-81F3-4B0FC970A103}"/>
    <cellStyle name="Normal 2 2 2 2 2 21 6 4" xfId="19626" xr:uid="{094114B7-43FD-4B44-BD9F-E8371F4B7BF6}"/>
    <cellStyle name="Normal 2 2 2 2 2 21 6 5" xfId="19627" xr:uid="{17230AE6-C152-44BE-8890-24CEDAB7BD41}"/>
    <cellStyle name="Normal 2 2 2 2 2 21 6 6" xfId="19628" xr:uid="{39F1D111-4925-4D16-95E2-D0934F27774E}"/>
    <cellStyle name="Normal 2 2 2 2 2 21 7" xfId="19629" xr:uid="{AB5E3D8E-DCB1-4534-A2C7-573B53FC7FC8}"/>
    <cellStyle name="Normal 2 2 2 2 2 21 7 2" xfId="19630" xr:uid="{43410DD4-1700-4888-8C3F-34AF6DF2EE9F}"/>
    <cellStyle name="Normal 2 2 2 2 2 21 7 3" xfId="19631" xr:uid="{D5A73AF2-5D15-46FD-8BEB-41EAE8515562}"/>
    <cellStyle name="Normal 2 2 2 2 2 21 7 4" xfId="19632" xr:uid="{3E6DEAC8-F08A-4F32-90BB-FFE5FC5B2FF3}"/>
    <cellStyle name="Normal 2 2 2 2 2 21 7 5" xfId="19633" xr:uid="{0BB9C3B0-147D-4C62-A0EB-1214F87FCAEF}"/>
    <cellStyle name="Normal 2 2 2 2 2 21 7 6" xfId="19634" xr:uid="{0314B023-8BEB-4E07-BC8F-99E21AEED91A}"/>
    <cellStyle name="Normal 2 2 2 2 2 21 8" xfId="19635" xr:uid="{D79EF2DE-B075-4DD1-BB80-D9B086E6E3EE}"/>
    <cellStyle name="Normal 2 2 2 2 2 21 8 2" xfId="19636" xr:uid="{3D163939-AE52-4E41-9CE5-CCDFA3BBC5AF}"/>
    <cellStyle name="Normal 2 2 2 2 2 21 8 3" xfId="19637" xr:uid="{A5FF3C7E-F21C-49F4-8853-A3CBE3034FE3}"/>
    <cellStyle name="Normal 2 2 2 2 2 21 8 4" xfId="19638" xr:uid="{7AFB6A51-13DA-4AAB-B622-4B10F14C3B04}"/>
    <cellStyle name="Normal 2 2 2 2 2 21 8 5" xfId="19639" xr:uid="{98309F12-4CBC-4A36-A322-F6D7F3376EC4}"/>
    <cellStyle name="Normal 2 2 2 2 2 21 8 6" xfId="19640" xr:uid="{FDB5C676-2D1C-4439-A990-5C70B72E9A2B}"/>
    <cellStyle name="Normal 2 2 2 2 2 21 9" xfId="19641" xr:uid="{C4D7CA04-81EC-4EBF-A48A-396042B1780E}"/>
    <cellStyle name="Normal 2 2 2 2 2 22" xfId="19642" xr:uid="{402446C5-716D-4023-BCD1-0B9596F3B746}"/>
    <cellStyle name="Normal 2 2 2 2 2 22 2" xfId="19643" xr:uid="{D7463AF5-96CF-466A-A649-4B59A430640B}"/>
    <cellStyle name="Normal 2 2 2 2 2 22 3" xfId="19644" xr:uid="{2DFE6868-ED38-4B80-8CFA-EC10A5C7F61E}"/>
    <cellStyle name="Normal 2 2 2 2 2 22 4" xfId="19645" xr:uid="{5CE3A4F6-2CA8-4039-BB3D-D49143C1A053}"/>
    <cellStyle name="Normal 2 2 2 2 2 23" xfId="19646" xr:uid="{582C912D-E95B-4CF9-89F5-CEF1E1C81380}"/>
    <cellStyle name="Normal 2 2 2 2 2 24" xfId="19647" xr:uid="{A54FFDDC-BED3-4C27-86EE-C6CCA17BF709}"/>
    <cellStyle name="Normal 2 2 2 2 2 25" xfId="19648" xr:uid="{F45F3AAD-91A0-4998-8708-C36A912DC02B}"/>
    <cellStyle name="Normal 2 2 2 2 2 26" xfId="19649" xr:uid="{7A772884-65F3-4503-B1CD-7951A55ED087}"/>
    <cellStyle name="Normal 2 2 2 2 2 27" xfId="19650" xr:uid="{07FD2DCE-25AA-4730-8752-05F4D72E8555}"/>
    <cellStyle name="Normal 2 2 2 2 2 28" xfId="19651" xr:uid="{65E526DB-51AC-458D-8154-7A5214082D93}"/>
    <cellStyle name="Normal 2 2 2 2 2 29" xfId="19652" xr:uid="{13F0758C-BD95-4982-99CC-332972D6B449}"/>
    <cellStyle name="Normal 2 2 2 2 2 3" xfId="19653" xr:uid="{C9A85EF6-F0A5-4935-9BB2-F978C6E365C2}"/>
    <cellStyle name="Normal 2 2 2 2 2 3 10" xfId="19654" xr:uid="{99549141-C5FB-4653-B021-073E1ECFD6CC}"/>
    <cellStyle name="Normal 2 2 2 2 2 3 11" xfId="19655" xr:uid="{2EEA1065-CA09-4713-AE78-A0CE2606ACDD}"/>
    <cellStyle name="Normal 2 2 2 2 2 3 12" xfId="19656" xr:uid="{81C46F88-6EE8-4CAB-A55D-1120BDB0F211}"/>
    <cellStyle name="Normal 2 2 2 2 2 3 13" xfId="19657" xr:uid="{390CE67F-3ECD-4DCD-8F38-90528DC46325}"/>
    <cellStyle name="Normal 2 2 2 2 2 3 14" xfId="19658" xr:uid="{85321419-DAA7-4B61-870D-C21B2B1BA466}"/>
    <cellStyle name="Normal 2 2 2 2 2 3 2" xfId="19659" xr:uid="{F010133A-0A70-4751-BBD3-A4EE34163CDB}"/>
    <cellStyle name="Normal 2 2 2 2 2 3 2 2" xfId="19660" xr:uid="{A9FDD497-7533-4FDB-BF42-6F0E46CD7211}"/>
    <cellStyle name="Normal 2 2 2 2 2 3 2 3" xfId="19661" xr:uid="{BA33BC3E-BAF9-4527-BC92-4E48AAFF2055}"/>
    <cellStyle name="Normal 2 2 2 2 2 3 2 4" xfId="19662" xr:uid="{C83F0583-E65F-417E-A1F6-02474BF44A4D}"/>
    <cellStyle name="Normal 2 2 2 2 2 3 2 5" xfId="19663" xr:uid="{72D6D752-C8B2-4FC0-9D87-7536E1EFFAD3}"/>
    <cellStyle name="Normal 2 2 2 2 2 3 2 6" xfId="19664" xr:uid="{CFCA71B4-9908-4C3B-8172-D1991E827E7C}"/>
    <cellStyle name="Normal 2 2 2 2 2 3 3" xfId="19665" xr:uid="{7B410409-3F8F-4851-B405-D706D6A90E21}"/>
    <cellStyle name="Normal 2 2 2 2 2 3 3 2" xfId="19666" xr:uid="{3E9415C6-E144-4E1A-8062-098BF2C57EB8}"/>
    <cellStyle name="Normal 2 2 2 2 2 3 3 3" xfId="19667" xr:uid="{C297B049-F8C0-4804-BB54-6934D756CCD9}"/>
    <cellStyle name="Normal 2 2 2 2 2 3 3 4" xfId="19668" xr:uid="{EFBB868F-B869-4E5B-84FE-9261E5C3BB2B}"/>
    <cellStyle name="Normal 2 2 2 2 2 3 3 5" xfId="19669" xr:uid="{7B6BE574-CF3F-446F-B563-5C4625123462}"/>
    <cellStyle name="Normal 2 2 2 2 2 3 3 6" xfId="19670" xr:uid="{26CA9337-0553-4842-8088-659201830EB0}"/>
    <cellStyle name="Normal 2 2 2 2 2 3 4" xfId="19671" xr:uid="{DEF5AF8A-EB47-449D-AA44-04BF3E97E762}"/>
    <cellStyle name="Normal 2 2 2 2 2 3 4 2" xfId="19672" xr:uid="{999450D6-176F-4105-AD93-5CF83E5AF854}"/>
    <cellStyle name="Normal 2 2 2 2 2 3 4 3" xfId="19673" xr:uid="{3760BBD4-4F3F-4D62-934C-A7F837D0C080}"/>
    <cellStyle name="Normal 2 2 2 2 2 3 4 4" xfId="19674" xr:uid="{7DC8B09E-5FE3-406F-9DC7-B967512937AC}"/>
    <cellStyle name="Normal 2 2 2 2 2 3 4 5" xfId="19675" xr:uid="{35C54A80-866E-4ABB-A7C1-68B1ED71446C}"/>
    <cellStyle name="Normal 2 2 2 2 2 3 4 6" xfId="19676" xr:uid="{F2AF1B93-68A4-4068-96CF-E5486031FC41}"/>
    <cellStyle name="Normal 2 2 2 2 2 3 5" xfId="19677" xr:uid="{383FBD14-AAA9-497F-A939-2DE9F17727EA}"/>
    <cellStyle name="Normal 2 2 2 2 2 3 5 2" xfId="19678" xr:uid="{7975CD21-E8A0-4577-BD49-EA50379CD78A}"/>
    <cellStyle name="Normal 2 2 2 2 2 3 5 3" xfId="19679" xr:uid="{7F3F7692-8912-48ED-AC62-7146F4B90D98}"/>
    <cellStyle name="Normal 2 2 2 2 2 3 5 4" xfId="19680" xr:uid="{0579BD5C-E65B-4BBC-970C-71B9C8C0A974}"/>
    <cellStyle name="Normal 2 2 2 2 2 3 5 5" xfId="19681" xr:uid="{E78E0495-74DF-4316-957B-C9E4FC5444B9}"/>
    <cellStyle name="Normal 2 2 2 2 2 3 5 6" xfId="19682" xr:uid="{29E8FDF9-2CF8-48E0-9B96-AC1B2E365DCB}"/>
    <cellStyle name="Normal 2 2 2 2 2 3 6" xfId="19683" xr:uid="{15635474-78C3-41A3-8E8B-CF2AF5A67549}"/>
    <cellStyle name="Normal 2 2 2 2 2 3 6 2" xfId="19684" xr:uid="{05FDA7F0-E857-4FF5-A886-C873C177782B}"/>
    <cellStyle name="Normal 2 2 2 2 2 3 6 3" xfId="19685" xr:uid="{A2562CF1-691C-474B-9890-6A3EAD4304CF}"/>
    <cellStyle name="Normal 2 2 2 2 2 3 6 4" xfId="19686" xr:uid="{FB7FDF5A-284C-4BD5-9CBC-98B4BB72A14B}"/>
    <cellStyle name="Normal 2 2 2 2 2 3 6 5" xfId="19687" xr:uid="{8D9717E8-CE8A-4B49-A5AC-6B64C08E0DD0}"/>
    <cellStyle name="Normal 2 2 2 2 2 3 6 6" xfId="19688" xr:uid="{53B6F655-5469-4D05-8768-48D09BB77968}"/>
    <cellStyle name="Normal 2 2 2 2 2 3 7" xfId="19689" xr:uid="{47079E8E-2FA5-4A65-955C-A420C69192ED}"/>
    <cellStyle name="Normal 2 2 2 2 2 3 7 2" xfId="19690" xr:uid="{73BE8224-AC68-47D1-809A-09485032DEE0}"/>
    <cellStyle name="Normal 2 2 2 2 2 3 7 3" xfId="19691" xr:uid="{2F2A6CA7-7A1C-4F00-836B-B5C7CEA1853B}"/>
    <cellStyle name="Normal 2 2 2 2 2 3 7 4" xfId="19692" xr:uid="{6A4CA7FD-28B5-4615-8F85-B31329BD9729}"/>
    <cellStyle name="Normal 2 2 2 2 2 3 7 5" xfId="19693" xr:uid="{9E6FFB33-FDE7-4C03-86D2-9D57AB1356D0}"/>
    <cellStyle name="Normal 2 2 2 2 2 3 7 6" xfId="19694" xr:uid="{3A1227A3-312D-482E-BA1B-3D41005E208A}"/>
    <cellStyle name="Normal 2 2 2 2 2 3 8" xfId="19695" xr:uid="{E89C8944-C637-4489-BE02-79BD7D32C02B}"/>
    <cellStyle name="Normal 2 2 2 2 2 3 8 2" xfId="19696" xr:uid="{A01EE699-793F-4D2A-875D-9AAF182F210C}"/>
    <cellStyle name="Normal 2 2 2 2 2 3 8 3" xfId="19697" xr:uid="{88A9AEC4-BD82-451D-B902-5C900D490B5C}"/>
    <cellStyle name="Normal 2 2 2 2 2 3 8 4" xfId="19698" xr:uid="{6F25AF94-7B88-4077-984C-EBDB6AC8376C}"/>
    <cellStyle name="Normal 2 2 2 2 2 3 8 5" xfId="19699" xr:uid="{077DF6AF-7E46-4AC8-B543-93B293B0CE7E}"/>
    <cellStyle name="Normal 2 2 2 2 2 3 8 6" xfId="19700" xr:uid="{41080B24-CFB6-4E57-944D-A4A17F54B2D6}"/>
    <cellStyle name="Normal 2 2 2 2 2 3 9" xfId="19701" xr:uid="{D336A478-30AE-4AE3-B3E0-70A297DF9E27}"/>
    <cellStyle name="Normal 2 2 2 2 2 30" xfId="19702" xr:uid="{79A43E39-C615-476B-980C-367FF0DFA384}"/>
    <cellStyle name="Normal 2 2 2 2 2 31" xfId="19703" xr:uid="{C816B64A-F08B-4CD0-A73B-4E659EA3DD67}"/>
    <cellStyle name="Normal 2 2 2 2 2 31 2" xfId="19704" xr:uid="{955A74E2-43DF-4949-9353-C4E2A01344C6}"/>
    <cellStyle name="Normal 2 2 2 2 2 31 2 2" xfId="19705" xr:uid="{8A33D033-4B1B-49B3-81D6-4813EE8FC9DE}"/>
    <cellStyle name="Normal 2 2 2 2 2 31 2 3" xfId="19706" xr:uid="{2BCC9C0A-A2EB-4A10-B77A-E9B711D9A6C3}"/>
    <cellStyle name="Normal 2 2 2 2 2 31 2 4" xfId="19707" xr:uid="{3139FE67-D6FB-4428-B48C-16661BA6D79C}"/>
    <cellStyle name="Normal 2 2 2 2 2 31 2 5" xfId="19708" xr:uid="{71BCBC97-CFAB-4E15-A4B4-F89D53D39123}"/>
    <cellStyle name="Normal 2 2 2 2 2 31 2 6" xfId="19709" xr:uid="{E5E43D93-5634-4B41-B520-B01F94F36C71}"/>
    <cellStyle name="Normal 2 2 2 2 2 31 3" xfId="19710" xr:uid="{C9AD1F6B-73B3-48B1-B720-D23C399BD508}"/>
    <cellStyle name="Normal 2 2 2 2 2 31 3 2" xfId="19711" xr:uid="{90057467-237E-4EF8-997B-A026C986D704}"/>
    <cellStyle name="Normal 2 2 2 2 2 31 3 3" xfId="19712" xr:uid="{7F75D444-690E-4F55-B746-63ECE5768FA0}"/>
    <cellStyle name="Normal 2 2 2 2 2 31 3 4" xfId="19713" xr:uid="{FD0D6476-2324-4BF9-8272-4521060BA6DC}"/>
    <cellStyle name="Normal 2 2 2 2 2 31 3 5" xfId="19714" xr:uid="{DAB10C2E-886D-4FD8-BEFB-3ABD36771564}"/>
    <cellStyle name="Normal 2 2 2 2 2 31 3 6" xfId="19715" xr:uid="{DE9E24BA-8F23-48C4-B0D4-B77C0A4C4694}"/>
    <cellStyle name="Normal 2 2 2 2 2 31 4" xfId="19716" xr:uid="{59674186-97D1-4DF7-87DC-3E7BEF5F5C23}"/>
    <cellStyle name="Normal 2 2 2 2 2 31 4 2" xfId="19717" xr:uid="{6F644424-97FB-49D9-99E6-380FB0D6BC9A}"/>
    <cellStyle name="Normal 2 2 2 2 2 31 4 3" xfId="19718" xr:uid="{656E057A-FDD2-4306-9607-48461EB817B1}"/>
    <cellStyle name="Normal 2 2 2 2 2 31 4 4" xfId="19719" xr:uid="{B4FD7C13-FA6B-4172-9A8E-3883228EFA0A}"/>
    <cellStyle name="Normal 2 2 2 2 2 31 4 5" xfId="19720" xr:uid="{B27BDD26-0BBF-4A00-90C2-C900CF7399E7}"/>
    <cellStyle name="Normal 2 2 2 2 2 31 4 6" xfId="19721" xr:uid="{2E5F3127-192A-4D11-9EA5-1605E9FA9D13}"/>
    <cellStyle name="Normal 2 2 2 2 2 31 5" xfId="19722" xr:uid="{A8BD42F9-63FE-478E-9E13-DF0FB27E361F}"/>
    <cellStyle name="Normal 2 2 2 2 2 31 5 2" xfId="19723" xr:uid="{B3BBF555-08AA-45F5-8D1A-382F68AF27AD}"/>
    <cellStyle name="Normal 2 2 2 2 2 31 5 3" xfId="19724" xr:uid="{8796F7E8-9D47-4EE9-8C6C-C142446B1116}"/>
    <cellStyle name="Normal 2 2 2 2 2 31 5 4" xfId="19725" xr:uid="{F18A3891-773A-4EED-9630-084456498AF9}"/>
    <cellStyle name="Normal 2 2 2 2 2 31 5 5" xfId="19726" xr:uid="{C6B8CB2C-11B3-4251-9D31-32D76F01067C}"/>
    <cellStyle name="Normal 2 2 2 2 2 31 5 6" xfId="19727" xr:uid="{3C09EED7-F4FE-4FDA-99B4-D8AD7C5AEC3C}"/>
    <cellStyle name="Normal 2 2 2 2 2 31 6" xfId="19728" xr:uid="{A73B62F1-FC43-4175-B8D9-9D089AC59CF4}"/>
    <cellStyle name="Normal 2 2 2 2 2 31 6 2" xfId="19729" xr:uid="{2BC5A59E-5F9D-4FC2-BB66-3A4E917D5CF0}"/>
    <cellStyle name="Normal 2 2 2 2 2 31 6 3" xfId="19730" xr:uid="{50CD205D-31C8-40EB-9EF1-893D23195A13}"/>
    <cellStyle name="Normal 2 2 2 2 2 31 6 4" xfId="19731" xr:uid="{FC36C873-454B-45A6-9E2B-0D1869EF2302}"/>
    <cellStyle name="Normal 2 2 2 2 2 31 6 5" xfId="19732" xr:uid="{13DC9490-0659-4C27-9DD8-BAA37CDF65D2}"/>
    <cellStyle name="Normal 2 2 2 2 2 31 6 6" xfId="19733" xr:uid="{FD77BDF8-0B64-4AD7-A181-7739B7EF1350}"/>
    <cellStyle name="Normal 2 2 2 2 2 32" xfId="19734" xr:uid="{5945C5E4-5566-455C-9076-331CC1A853AA}"/>
    <cellStyle name="Normal 2 2 2 2 2 32 2" xfId="19735" xr:uid="{7F88D852-78F5-44F7-A23F-67269363C51C}"/>
    <cellStyle name="Normal 2 2 2 2 2 32 3" xfId="19736" xr:uid="{3773092F-AD77-4E6D-9F51-54B111812AFD}"/>
    <cellStyle name="Normal 2 2 2 2 2 32 4" xfId="19737" xr:uid="{CFE5D2BB-05A5-4297-B72F-0D30FDD8937B}"/>
    <cellStyle name="Normal 2 2 2 2 2 32 5" xfId="19738" xr:uid="{56E96EB2-45C8-4299-A941-BA8AB0EA7759}"/>
    <cellStyle name="Normal 2 2 2 2 2 32 6" xfId="19739" xr:uid="{1F37512D-C4E1-463C-9DC3-C7458D7B6441}"/>
    <cellStyle name="Normal 2 2 2 2 2 33" xfId="19740" xr:uid="{4AFA7DDC-C55E-41E3-AB49-6B5C42237D57}"/>
    <cellStyle name="Normal 2 2 2 2 2 33 2" xfId="19741" xr:uid="{B3F6AB6B-C3B4-4AE7-890A-3B6E68B802BE}"/>
    <cellStyle name="Normal 2 2 2 2 2 33 3" xfId="19742" xr:uid="{3E68B115-C00B-44F8-BF2C-D72D379C34F8}"/>
    <cellStyle name="Normal 2 2 2 2 2 33 4" xfId="19743" xr:uid="{D96997A2-419E-44E6-8732-9D1000A8BA23}"/>
    <cellStyle name="Normal 2 2 2 2 2 33 5" xfId="19744" xr:uid="{7953465D-03C1-4C22-984B-2ADAA6F7828A}"/>
    <cellStyle name="Normal 2 2 2 2 2 33 6" xfId="19745" xr:uid="{9F6114CE-B418-435C-8D02-93B51BE149D8}"/>
    <cellStyle name="Normal 2 2 2 2 2 34" xfId="19746" xr:uid="{DEB290CD-070A-4A53-B52F-C79087007D2A}"/>
    <cellStyle name="Normal 2 2 2 2 2 34 2" xfId="19747" xr:uid="{11A4A399-8481-48E2-B7FD-A90111EE7060}"/>
    <cellStyle name="Normal 2 2 2 2 2 34 3" xfId="19748" xr:uid="{3B74F4F5-6501-4593-9A49-EF166B3BD373}"/>
    <cellStyle name="Normal 2 2 2 2 2 34 4" xfId="19749" xr:uid="{799A57F1-F1C2-435A-BE44-D6892F790356}"/>
    <cellStyle name="Normal 2 2 2 2 2 34 5" xfId="19750" xr:uid="{D11DECD3-C388-4DB0-A0D5-94454266050D}"/>
    <cellStyle name="Normal 2 2 2 2 2 34 6" xfId="19751" xr:uid="{A5537CC2-295E-4E6F-B548-52CD2DEEFE0C}"/>
    <cellStyle name="Normal 2 2 2 2 2 35" xfId="19752" xr:uid="{B2EDEBF1-962E-482A-9A8A-5F0F151B6E98}"/>
    <cellStyle name="Normal 2 2 2 2 2 35 2" xfId="19753" xr:uid="{4479B66D-CC3B-466B-8F38-EA4D67862B25}"/>
    <cellStyle name="Normal 2 2 2 2 2 35 3" xfId="19754" xr:uid="{EC7DF9A6-8686-4999-A558-4C6A54B165DA}"/>
    <cellStyle name="Normal 2 2 2 2 2 35 4" xfId="19755" xr:uid="{B1CE097F-F06E-44AC-AC48-FF28D94D57C2}"/>
    <cellStyle name="Normal 2 2 2 2 2 35 5" xfId="19756" xr:uid="{0FB59D9B-3F8C-446B-BFA9-47CC1561E3D8}"/>
    <cellStyle name="Normal 2 2 2 2 2 35 6" xfId="19757" xr:uid="{2277AC5D-FC82-4F7F-9C80-18302871A53E}"/>
    <cellStyle name="Normal 2 2 2 2 2 36" xfId="19758" xr:uid="{29874DB3-4691-4045-8C4B-A3EC7C9B2912}"/>
    <cellStyle name="Normal 2 2 2 2 2 36 2" xfId="19759" xr:uid="{7D709728-E139-44E8-9022-24AACBB5ACDD}"/>
    <cellStyle name="Normal 2 2 2 2 2 36 3" xfId="19760" xr:uid="{DC671289-C4C4-4899-B785-F54E02B7C317}"/>
    <cellStyle name="Normal 2 2 2 2 2 36 4" xfId="19761" xr:uid="{281F1CBE-E542-4F0E-9D7F-30F50CF02C69}"/>
    <cellStyle name="Normal 2 2 2 2 2 36 5" xfId="19762" xr:uid="{E7EBB930-BAE1-4189-9AE3-63FD9F67B9A3}"/>
    <cellStyle name="Normal 2 2 2 2 2 36 6" xfId="19763" xr:uid="{7EBA3EC7-B562-43DE-8AD9-21701C2C96FE}"/>
    <cellStyle name="Normal 2 2 2 2 2 37" xfId="19764" xr:uid="{5001FA0D-47DB-4C70-936C-9F06B250EF8E}"/>
    <cellStyle name="Normal 2 2 2 2 2 37 2" xfId="19765" xr:uid="{B5502E3D-27C3-4B18-AE92-E6EDC96DEE45}"/>
    <cellStyle name="Normal 2 2 2 2 2 37 3" xfId="19766" xr:uid="{7112B051-6921-4DF7-8C89-E6192DCEB38F}"/>
    <cellStyle name="Normal 2 2 2 2 2 37 4" xfId="19767" xr:uid="{FBEE5F3A-CE7D-4FD9-8C2C-CD7CB8872A70}"/>
    <cellStyle name="Normal 2 2 2 2 2 37 5" xfId="19768" xr:uid="{7CDCD3B1-5A9C-49B4-9471-4CAD6AB99358}"/>
    <cellStyle name="Normal 2 2 2 2 2 37 6" xfId="19769" xr:uid="{CD78467F-6523-42FE-9F1D-55904033AA75}"/>
    <cellStyle name="Normal 2 2 2 2 2 38" xfId="19770" xr:uid="{6EB67BB5-5C97-404A-A791-3FB520011754}"/>
    <cellStyle name="Normal 2 2 2 2 2 38 2" xfId="19771" xr:uid="{FDB0DD8F-B2D7-4695-A8F4-0ADFF6886B84}"/>
    <cellStyle name="Normal 2 2 2 2 2 38 3" xfId="19772" xr:uid="{83D2CB0D-BAD3-4288-979A-8DE95D0D45A2}"/>
    <cellStyle name="Normal 2 2 2 2 2 38 4" xfId="19773" xr:uid="{E0932310-84F2-4B5C-9467-6CA040743570}"/>
    <cellStyle name="Normal 2 2 2 2 2 38 5" xfId="19774" xr:uid="{26266C6B-512C-4CF6-BF0A-5A94588541FE}"/>
    <cellStyle name="Normal 2 2 2 2 2 38 6" xfId="19775" xr:uid="{7862DBFF-97E9-4ACC-A06D-D336B4AC2BAB}"/>
    <cellStyle name="Normal 2 2 2 2 2 39" xfId="19776" xr:uid="{6E6455AA-83B6-498E-A548-C750BDAC2DF3}"/>
    <cellStyle name="Normal 2 2 2 2 2 39 2" xfId="19777" xr:uid="{591C0816-6AA8-48FB-8CF1-8E7FFB0A439E}"/>
    <cellStyle name="Normal 2 2 2 2 2 39 3" xfId="19778" xr:uid="{F723F0B3-B605-455B-B700-2E01778C64F5}"/>
    <cellStyle name="Normal 2 2 2 2 2 39 4" xfId="19779" xr:uid="{2A2430FF-486B-4CBF-BDF1-BE322E828F07}"/>
    <cellStyle name="Normal 2 2 2 2 2 39 5" xfId="19780" xr:uid="{C993EECA-0F5A-44BB-A075-D75AD9CC39AE}"/>
    <cellStyle name="Normal 2 2 2 2 2 39 6" xfId="19781" xr:uid="{165B3B66-62D6-4310-AD0E-E5E614A6203A}"/>
    <cellStyle name="Normal 2 2 2 2 2 4" xfId="19782" xr:uid="{2385CCDA-C206-4110-A6B8-0C091D6F8240}"/>
    <cellStyle name="Normal 2 2 2 2 2 4 10" xfId="19783" xr:uid="{9EDC6433-5AC8-4A5F-932D-0DF0460419E0}"/>
    <cellStyle name="Normal 2 2 2 2 2 4 11" xfId="19784" xr:uid="{81D5A571-A3CD-4DF9-8772-028C217CDFA4}"/>
    <cellStyle name="Normal 2 2 2 2 2 4 12" xfId="19785" xr:uid="{6A0E19E7-0098-416E-92C8-BC7A038B40AE}"/>
    <cellStyle name="Normal 2 2 2 2 2 4 13" xfId="19786" xr:uid="{3324BD92-295A-4A80-BE73-BFF85638002B}"/>
    <cellStyle name="Normal 2 2 2 2 2 4 14" xfId="19787" xr:uid="{1CA03749-BC22-44DE-8BEC-8E2F56D0A1BD}"/>
    <cellStyle name="Normal 2 2 2 2 2 4 2" xfId="19788" xr:uid="{024A0A5A-4B8F-4809-99AA-93C49EC644ED}"/>
    <cellStyle name="Normal 2 2 2 2 2 4 2 2" xfId="19789" xr:uid="{A8100545-93EB-4D8B-8ED6-0F38CA661979}"/>
    <cellStyle name="Normal 2 2 2 2 2 4 2 3" xfId="19790" xr:uid="{555D2F8B-5ADA-472C-8823-74FF014BE6CA}"/>
    <cellStyle name="Normal 2 2 2 2 2 4 2 4" xfId="19791" xr:uid="{F9B252CA-B6AA-47B0-83C5-8A06DBFF8996}"/>
    <cellStyle name="Normal 2 2 2 2 2 4 2 5" xfId="19792" xr:uid="{F64479E5-4599-4769-9552-F4ED25DF9331}"/>
    <cellStyle name="Normal 2 2 2 2 2 4 2 6" xfId="19793" xr:uid="{4F8B988F-D5E5-4349-AB53-F10257ACA322}"/>
    <cellStyle name="Normal 2 2 2 2 2 4 3" xfId="19794" xr:uid="{CB789846-83CB-40B7-8269-3CEC11465903}"/>
    <cellStyle name="Normal 2 2 2 2 2 4 3 2" xfId="19795" xr:uid="{D24EFB72-B719-434A-9E00-DA01A509EB8D}"/>
    <cellStyle name="Normal 2 2 2 2 2 4 3 3" xfId="19796" xr:uid="{635CAFD3-FCF1-4239-AE82-000FDB856A5B}"/>
    <cellStyle name="Normal 2 2 2 2 2 4 3 4" xfId="19797" xr:uid="{7CCC7330-3FB7-4F07-AF17-CB62D0685ACE}"/>
    <cellStyle name="Normal 2 2 2 2 2 4 3 5" xfId="19798" xr:uid="{7625C90B-2D64-459B-A3E3-B9E94EEC812B}"/>
    <cellStyle name="Normal 2 2 2 2 2 4 3 6" xfId="19799" xr:uid="{9BF4F221-AA63-4B22-8EC9-7C75B3DE2BCC}"/>
    <cellStyle name="Normal 2 2 2 2 2 4 4" xfId="19800" xr:uid="{4FB1900B-B1A0-441D-AB38-25698F8C7929}"/>
    <cellStyle name="Normal 2 2 2 2 2 4 4 2" xfId="19801" xr:uid="{B9D908C6-2DF2-44BB-BADA-4E2332AE1DBC}"/>
    <cellStyle name="Normal 2 2 2 2 2 4 4 3" xfId="19802" xr:uid="{E366B6E3-1A42-466A-BA60-A9E49FFC8B18}"/>
    <cellStyle name="Normal 2 2 2 2 2 4 4 4" xfId="19803" xr:uid="{B49625C9-4432-4EC7-835D-D9D20542F3F2}"/>
    <cellStyle name="Normal 2 2 2 2 2 4 4 5" xfId="19804" xr:uid="{7D4D68B0-B9BE-46BC-BBED-D4A86D089337}"/>
    <cellStyle name="Normal 2 2 2 2 2 4 4 6" xfId="19805" xr:uid="{1C6453B4-D1AF-4F3E-B939-AD3E96BCDAAB}"/>
    <cellStyle name="Normal 2 2 2 2 2 4 5" xfId="19806" xr:uid="{9BE2C0A2-7284-438E-8EB1-DC11E136C292}"/>
    <cellStyle name="Normal 2 2 2 2 2 4 5 2" xfId="19807" xr:uid="{5E6A50D0-653F-4580-B93B-6F77CFD49EC5}"/>
    <cellStyle name="Normal 2 2 2 2 2 4 5 3" xfId="19808" xr:uid="{95F3B1E1-71F1-44F1-B932-F7371B9C6433}"/>
    <cellStyle name="Normal 2 2 2 2 2 4 5 4" xfId="19809" xr:uid="{C3C28CBA-CC0E-4561-B92D-9C12D936CD07}"/>
    <cellStyle name="Normal 2 2 2 2 2 4 5 5" xfId="19810" xr:uid="{9B7B30CE-8E1E-481B-9C93-32155E4910B4}"/>
    <cellStyle name="Normal 2 2 2 2 2 4 5 6" xfId="19811" xr:uid="{D2726A72-26A1-47EF-8134-510EFE4AB1E0}"/>
    <cellStyle name="Normal 2 2 2 2 2 4 6" xfId="19812" xr:uid="{FC733254-6930-4FF1-AD28-EE628047E436}"/>
    <cellStyle name="Normal 2 2 2 2 2 4 6 2" xfId="19813" xr:uid="{4517D1B9-7E13-4A79-8BAE-75D64C3724B6}"/>
    <cellStyle name="Normal 2 2 2 2 2 4 6 3" xfId="19814" xr:uid="{8D5B371A-C705-4E85-BBA6-C2B86C9AAC46}"/>
    <cellStyle name="Normal 2 2 2 2 2 4 6 4" xfId="19815" xr:uid="{61453DA3-146F-466D-BF3E-0DF9CD4B1F55}"/>
    <cellStyle name="Normal 2 2 2 2 2 4 6 5" xfId="19816" xr:uid="{F8C05C27-8B15-486A-8B35-9F727841E8B0}"/>
    <cellStyle name="Normal 2 2 2 2 2 4 6 6" xfId="19817" xr:uid="{8E8DCC17-AE65-4927-8E61-0B0D74834942}"/>
    <cellStyle name="Normal 2 2 2 2 2 4 7" xfId="19818" xr:uid="{B1BB4E74-1900-4175-B879-F89A9145C5AA}"/>
    <cellStyle name="Normal 2 2 2 2 2 4 7 2" xfId="19819" xr:uid="{39CDF23D-3F99-42E1-8DB2-B375296CC8A9}"/>
    <cellStyle name="Normal 2 2 2 2 2 4 7 3" xfId="19820" xr:uid="{1EA45EFD-2538-4E74-AE32-F7F50A16B58B}"/>
    <cellStyle name="Normal 2 2 2 2 2 4 7 4" xfId="19821" xr:uid="{48E989A5-836F-4B40-98A2-5E5626782B14}"/>
    <cellStyle name="Normal 2 2 2 2 2 4 7 5" xfId="19822" xr:uid="{2842057A-BC61-4621-8427-2D67CC8EC758}"/>
    <cellStyle name="Normal 2 2 2 2 2 4 7 6" xfId="19823" xr:uid="{B6D7CE3C-864C-4530-B5D4-204B92AC936B}"/>
    <cellStyle name="Normal 2 2 2 2 2 4 8" xfId="19824" xr:uid="{0CB6B836-4026-45FC-808F-7CF74EA1A2AC}"/>
    <cellStyle name="Normal 2 2 2 2 2 4 8 2" xfId="19825" xr:uid="{7318D739-5E90-4F43-9473-8E3BA27EA9FE}"/>
    <cellStyle name="Normal 2 2 2 2 2 4 8 3" xfId="19826" xr:uid="{CF004D03-2E17-4B04-82B6-A22D8DBC61B9}"/>
    <cellStyle name="Normal 2 2 2 2 2 4 8 4" xfId="19827" xr:uid="{4BE6FDA5-4E9B-44DD-962E-B29704C9938E}"/>
    <cellStyle name="Normal 2 2 2 2 2 4 8 5" xfId="19828" xr:uid="{56280E3E-E5CB-4CD0-ADE7-A151B9A2FEEA}"/>
    <cellStyle name="Normal 2 2 2 2 2 4 8 6" xfId="19829" xr:uid="{D685F829-4E59-4931-8457-82F48F53E290}"/>
    <cellStyle name="Normal 2 2 2 2 2 4 9" xfId="19830" xr:uid="{566700F9-D0AB-42D3-94AF-CC94B84F7CC6}"/>
    <cellStyle name="Normal 2 2 2 2 2 40" xfId="19831" xr:uid="{F638607B-6EBF-475B-8292-DE47FD807632}"/>
    <cellStyle name="Normal 2 2 2 2 2 40 2" xfId="19832" xr:uid="{C33A0591-DEBD-4956-802C-CE37C055EE08}"/>
    <cellStyle name="Normal 2 2 2 2 2 40 3" xfId="19833" xr:uid="{9E7E363A-0B17-451F-BF2A-6D5A0812CFA4}"/>
    <cellStyle name="Normal 2 2 2 2 2 40 4" xfId="19834" xr:uid="{9EE8C405-F9A9-428D-A7C1-5E7FD601D51C}"/>
    <cellStyle name="Normal 2 2 2 2 2 40 5" xfId="19835" xr:uid="{8C1E4E55-7CDA-49CB-90C3-A14E518A07DD}"/>
    <cellStyle name="Normal 2 2 2 2 2 40 6" xfId="19836" xr:uid="{35289E78-F074-402A-BB65-803BBDCE035E}"/>
    <cellStyle name="Normal 2 2 2 2 2 41" xfId="19837" xr:uid="{B0CE3C95-3F38-4E2B-841A-281EDD5A23DF}"/>
    <cellStyle name="Normal 2 2 2 2 2 41 2" xfId="19838" xr:uid="{5CDD5F5F-83B2-4A2B-B359-B5388DFE75A5}"/>
    <cellStyle name="Normal 2 2 2 2 2 41 3" xfId="19839" xr:uid="{90AC6934-901A-4408-BFAD-552C569A739D}"/>
    <cellStyle name="Normal 2 2 2 2 2 41 4" xfId="19840" xr:uid="{2A65A5A6-6ACE-40BE-A944-33875EA6AB72}"/>
    <cellStyle name="Normal 2 2 2 2 2 41 5" xfId="19841" xr:uid="{84A6ADE4-A370-4481-81C1-663E2F350E4D}"/>
    <cellStyle name="Normal 2 2 2 2 2 41 6" xfId="19842" xr:uid="{FAA48E95-B6CA-4763-BF6C-B636F14FA93D}"/>
    <cellStyle name="Normal 2 2 2 2 2 42" xfId="19843" xr:uid="{74794FC3-CD08-4C19-A4A8-503640E54D5C}"/>
    <cellStyle name="Normal 2 2 2 2 2 42 2" xfId="19844" xr:uid="{862CE1E2-21F3-42CB-A292-D07D3B8B4306}"/>
    <cellStyle name="Normal 2 2 2 2 2 42 3" xfId="19845" xr:uid="{C7342295-E860-4309-89A2-2F244D47C92C}"/>
    <cellStyle name="Normal 2 2 2 2 2 42 4" xfId="19846" xr:uid="{C742F3BD-1274-4780-AA95-D7F8D4BCAE61}"/>
    <cellStyle name="Normal 2 2 2 2 2 42 5" xfId="19847" xr:uid="{C398366E-5592-4352-87E1-E3009D8BC143}"/>
    <cellStyle name="Normal 2 2 2 2 2 42 6" xfId="19848" xr:uid="{425CBE16-7648-4EF2-ABCA-7585E69CA664}"/>
    <cellStyle name="Normal 2 2 2 2 2 43" xfId="19849" xr:uid="{A6CF8AC3-D830-4607-B96B-3B93483AC84F}"/>
    <cellStyle name="Normal 2 2 2 2 2 43 2" xfId="19850" xr:uid="{D52E9ED7-FC0B-4971-A5CA-8B8F1A829585}"/>
    <cellStyle name="Normal 2 2 2 2 2 43 3" xfId="19851" xr:uid="{8B42641E-5610-4A34-8FE9-86EC387798BB}"/>
    <cellStyle name="Normal 2 2 2 2 2 43 4" xfId="19852" xr:uid="{0F67A325-2AD6-4361-A395-3EDD15C4B408}"/>
    <cellStyle name="Normal 2 2 2 2 2 43 5" xfId="19853" xr:uid="{4DFDCA46-6E43-471E-9ED9-609F439C13C9}"/>
    <cellStyle name="Normal 2 2 2 2 2 43 6" xfId="19854" xr:uid="{A7EAFAD4-F8CC-4604-9D97-65CEEF3DEA93}"/>
    <cellStyle name="Normal 2 2 2 2 2 44" xfId="19855" xr:uid="{8E05DC5B-B72A-40E8-A1AD-7A8FD6E13D54}"/>
    <cellStyle name="Normal 2 2 2 2 2 44 2" xfId="19856" xr:uid="{FA92415E-BCCF-42B7-AF7F-11787659C9BC}"/>
    <cellStyle name="Normal 2 2 2 2 2 44 3" xfId="19857" xr:uid="{F5DAF7DC-9F29-4BCC-92F3-B79A3980CC26}"/>
    <cellStyle name="Normal 2 2 2 2 2 44 4" xfId="19858" xr:uid="{11B0A998-566C-46CC-AD33-C607DEE5A70D}"/>
    <cellStyle name="Normal 2 2 2 2 2 44 5" xfId="19859" xr:uid="{0660B122-AA30-475F-B2A3-04DC2C2C0650}"/>
    <cellStyle name="Normal 2 2 2 2 2 44 6" xfId="19860" xr:uid="{A0D85AE8-4FE3-4E34-8EA3-39DD766F3102}"/>
    <cellStyle name="Normal 2 2 2 2 2 45" xfId="19861" xr:uid="{A6C42A48-8286-42E1-BC11-7E37802783F7}"/>
    <cellStyle name="Normal 2 2 2 2 2 45 2" xfId="19862" xr:uid="{643BEDBD-0765-47FB-B325-11A1843DC96B}"/>
    <cellStyle name="Normal 2 2 2 2 2 45 3" xfId="19863" xr:uid="{705E534B-A895-45F4-B60E-3E2324428E00}"/>
    <cellStyle name="Normal 2 2 2 2 2 45 4" xfId="19864" xr:uid="{CA99B3EF-2785-435A-AC35-E808355E93FA}"/>
    <cellStyle name="Normal 2 2 2 2 2 45 5" xfId="19865" xr:uid="{DDA5F4BA-4663-4AA5-BF83-9BE1AD929EE8}"/>
    <cellStyle name="Normal 2 2 2 2 2 45 6" xfId="19866" xr:uid="{6789B08F-D8E8-4E68-AA54-8AE90C15F2EC}"/>
    <cellStyle name="Normal 2 2 2 2 2 46" xfId="19867" xr:uid="{F19B19CE-88EF-4BB3-AFA2-C91FEF33A3FA}"/>
    <cellStyle name="Normal 2 2 2 2 2 47" xfId="19868" xr:uid="{138A18C1-BA2D-48B5-A900-49EB45F2383F}"/>
    <cellStyle name="Normal 2 2 2 2 2 48" xfId="19869" xr:uid="{CC85E9BF-0961-4F96-BD61-0722FC2723B8}"/>
    <cellStyle name="Normal 2 2 2 2 2 49" xfId="19870" xr:uid="{4E856D14-D924-4700-B9D7-56AA1AAA9CBD}"/>
    <cellStyle name="Normal 2 2 2 2 2 5" xfId="19871" xr:uid="{5F922522-5497-4936-84B1-0C0391836827}"/>
    <cellStyle name="Normal 2 2 2 2 2 5 10" xfId="19872" xr:uid="{6BDAD187-D329-48F0-ACDD-6142C5C69364}"/>
    <cellStyle name="Normal 2 2 2 2 2 5 11" xfId="19873" xr:uid="{CA10759E-D0AF-426A-AB60-96E145AB9637}"/>
    <cellStyle name="Normal 2 2 2 2 2 5 12" xfId="19874" xr:uid="{F3E7067D-76FA-4C17-8601-98A83F013C39}"/>
    <cellStyle name="Normal 2 2 2 2 2 5 13" xfId="19875" xr:uid="{7D341E1A-4F6B-4B3F-BADF-E1DBBE9FE43B}"/>
    <cellStyle name="Normal 2 2 2 2 2 5 2" xfId="19876" xr:uid="{78BF4CFB-8586-40B1-A091-8E63D8F0426F}"/>
    <cellStyle name="Normal 2 2 2 2 2 5 2 2" xfId="19877" xr:uid="{B2189970-5250-4B33-836E-82C40AC05216}"/>
    <cellStyle name="Normal 2 2 2 2 2 5 2 3" xfId="19878" xr:uid="{1BA16980-DDAB-4018-B02C-E167981D2421}"/>
    <cellStyle name="Normal 2 2 2 2 2 5 2 4" xfId="19879" xr:uid="{4A4AF487-A3B1-4862-842B-A7027CE1EB23}"/>
    <cellStyle name="Normal 2 2 2 2 2 5 2 5" xfId="19880" xr:uid="{7D8572D4-89E9-43F8-89E9-0FDF27C4498D}"/>
    <cellStyle name="Normal 2 2 2 2 2 5 2 6" xfId="19881" xr:uid="{22DC6D8A-7BA6-49A3-96B6-27C4D4A78113}"/>
    <cellStyle name="Normal 2 2 2 2 2 5 3" xfId="19882" xr:uid="{42ACAE72-8B79-4281-9324-33EB72CC5180}"/>
    <cellStyle name="Normal 2 2 2 2 2 5 3 2" xfId="19883" xr:uid="{59DD4539-B603-483D-9DB0-C4B4D522773E}"/>
    <cellStyle name="Normal 2 2 2 2 2 5 3 3" xfId="19884" xr:uid="{E0B4C373-AC3F-412D-B87F-43B4941350DE}"/>
    <cellStyle name="Normal 2 2 2 2 2 5 3 4" xfId="19885" xr:uid="{3F53DC94-3B5E-464D-A815-FDD5BC19152B}"/>
    <cellStyle name="Normal 2 2 2 2 2 5 3 5" xfId="19886" xr:uid="{98A1A791-B9FF-4F49-AF26-BAE19D3CF98C}"/>
    <cellStyle name="Normal 2 2 2 2 2 5 3 6" xfId="19887" xr:uid="{7FD2C2FA-8103-42E7-BB3B-3891C31A9B83}"/>
    <cellStyle name="Normal 2 2 2 2 2 5 4" xfId="19888" xr:uid="{88BB67CD-EC6E-4CE4-A52A-5BCE17E349AE}"/>
    <cellStyle name="Normal 2 2 2 2 2 5 4 2" xfId="19889" xr:uid="{D3048CF2-F2CB-46EC-AB32-F080A6677ADB}"/>
    <cellStyle name="Normal 2 2 2 2 2 5 4 3" xfId="19890" xr:uid="{932C002C-B7CE-4632-A1B7-4FCC12D7D454}"/>
    <cellStyle name="Normal 2 2 2 2 2 5 4 4" xfId="19891" xr:uid="{2A413F5B-1143-41C1-845D-8B3EC2941B3D}"/>
    <cellStyle name="Normal 2 2 2 2 2 5 4 5" xfId="19892" xr:uid="{75286C84-3AF4-4802-B3EC-511BC9A2A4E2}"/>
    <cellStyle name="Normal 2 2 2 2 2 5 4 6" xfId="19893" xr:uid="{8524F2DC-33B7-4CFE-8257-AE9A027C6C8A}"/>
    <cellStyle name="Normal 2 2 2 2 2 5 5" xfId="19894" xr:uid="{A14EAFE0-4CF2-49E9-975A-46188DF54DDA}"/>
    <cellStyle name="Normal 2 2 2 2 2 5 5 2" xfId="19895" xr:uid="{9C07C3BB-9E78-4316-9157-B3C6B6B16DA4}"/>
    <cellStyle name="Normal 2 2 2 2 2 5 5 3" xfId="19896" xr:uid="{D4EFD9FF-7572-46F0-9860-9BB34B97F28F}"/>
    <cellStyle name="Normal 2 2 2 2 2 5 5 4" xfId="19897" xr:uid="{136EA3F4-8D90-4EA7-A547-0E4F9E0771CB}"/>
    <cellStyle name="Normal 2 2 2 2 2 5 5 5" xfId="19898" xr:uid="{2826FBA9-E505-456A-A6FB-F861B57E8575}"/>
    <cellStyle name="Normal 2 2 2 2 2 5 5 6" xfId="19899" xr:uid="{3C362F50-62A1-496B-B83E-A5BBD6901716}"/>
    <cellStyle name="Normal 2 2 2 2 2 5 6" xfId="19900" xr:uid="{BD12F560-FC1E-40CF-A986-564CD6DE47D7}"/>
    <cellStyle name="Normal 2 2 2 2 2 5 6 2" xfId="19901" xr:uid="{BEC16D57-EC43-4F1E-8128-592C8B39858F}"/>
    <cellStyle name="Normal 2 2 2 2 2 5 6 3" xfId="19902" xr:uid="{9A4DBAB4-B59C-4391-84D0-EB54894B73CD}"/>
    <cellStyle name="Normal 2 2 2 2 2 5 6 4" xfId="19903" xr:uid="{EBA7DF94-6864-4C60-A09F-C9FA195CD629}"/>
    <cellStyle name="Normal 2 2 2 2 2 5 6 5" xfId="19904" xr:uid="{2B2AB576-E088-4E55-AB4B-D14BA5AEED2C}"/>
    <cellStyle name="Normal 2 2 2 2 2 5 6 6" xfId="19905" xr:uid="{775FE14A-CFA6-4151-B409-DD425516DDB2}"/>
    <cellStyle name="Normal 2 2 2 2 2 5 7" xfId="19906" xr:uid="{D32C05A9-4634-43CB-9E39-9D2267C2F31F}"/>
    <cellStyle name="Normal 2 2 2 2 2 5 7 2" xfId="19907" xr:uid="{CD10A11E-7A10-4C09-B2EF-BBD052893704}"/>
    <cellStyle name="Normal 2 2 2 2 2 5 7 3" xfId="19908" xr:uid="{E35D9352-3C57-41AA-9123-8729AE4C476E}"/>
    <cellStyle name="Normal 2 2 2 2 2 5 7 4" xfId="19909" xr:uid="{0493DBB7-5F51-47D8-B9EA-23A772B9C0C1}"/>
    <cellStyle name="Normal 2 2 2 2 2 5 7 5" xfId="19910" xr:uid="{A48AC931-4EB8-493F-A81C-9488FFC82EC5}"/>
    <cellStyle name="Normal 2 2 2 2 2 5 7 6" xfId="19911" xr:uid="{BF1BE799-53D8-483F-9916-9862136D0968}"/>
    <cellStyle name="Normal 2 2 2 2 2 5 8" xfId="19912" xr:uid="{E7A853D9-EDB4-470B-B61B-80E435437A21}"/>
    <cellStyle name="Normal 2 2 2 2 2 5 8 2" xfId="19913" xr:uid="{82D9582D-583A-467A-8DDE-7244A2CA08AB}"/>
    <cellStyle name="Normal 2 2 2 2 2 5 8 3" xfId="19914" xr:uid="{41970C9E-980B-4218-84AF-2804DD0688BB}"/>
    <cellStyle name="Normal 2 2 2 2 2 5 8 4" xfId="19915" xr:uid="{B84E6772-D201-4CC3-ABB2-9C5427421FCC}"/>
    <cellStyle name="Normal 2 2 2 2 2 5 8 5" xfId="19916" xr:uid="{C521C943-A30C-4CBF-A7F4-77BD77DB7701}"/>
    <cellStyle name="Normal 2 2 2 2 2 5 8 6" xfId="19917" xr:uid="{C15AF1CE-FF13-4F7A-AE7C-8B35B54CA4F2}"/>
    <cellStyle name="Normal 2 2 2 2 2 5 9" xfId="19918" xr:uid="{9ECF3E77-C836-4313-89A9-544AB583F8DB}"/>
    <cellStyle name="Normal 2 2 2 2 2 50" xfId="19919" xr:uid="{DD689670-FD00-4D54-B7B7-3FBA379028D0}"/>
    <cellStyle name="Normal 2 2 2 2 2 50 2" xfId="19920" xr:uid="{7AAA2DA6-A39D-4200-A64D-3DED4A1705C2}"/>
    <cellStyle name="Normal 2 2 2 2 2 50 2 2" xfId="19921" xr:uid="{3D28FFDD-1504-4463-BC6B-7697D4E08FD5}"/>
    <cellStyle name="Normal 2 2 2 2 2 50 2 2 2" xfId="19922" xr:uid="{999E220E-C4FF-463F-949D-0CBB796DDFB4}"/>
    <cellStyle name="Normal 2 2 2 2 2 50 2 2 2 2" xfId="19923" xr:uid="{155C4625-58A8-4A2E-BF5D-A7364EB95B92}"/>
    <cellStyle name="Normal 2 2 2 2 2 50 2 2 2 3" xfId="19924" xr:uid="{B4B2E201-0E5D-4644-B513-5D0C16E0C230}"/>
    <cellStyle name="Normal 2 2 2 2 2 50 2 2 2 4" xfId="19925" xr:uid="{E6037D92-2D52-4F9E-B1A9-E291831854CA}"/>
    <cellStyle name="Normal 2 2 2 2 2 50 2 2 2 5" xfId="19926" xr:uid="{8F385A18-1FF9-40F0-BEAF-1585D6FA3425}"/>
    <cellStyle name="Normal 2 2 2 2 2 50 2 2 2 6" xfId="19927" xr:uid="{90931C67-2D1A-4DE5-A393-2AE37D90751D}"/>
    <cellStyle name="Normal 2 2 2 2 2 50 2 3" xfId="19928" xr:uid="{1BB261A9-EE09-4748-BF04-C69B4FFC576C}"/>
    <cellStyle name="Normal 2 2 2 2 2 50 2 4" xfId="19929" xr:uid="{A4F2BDCE-4417-456E-B2CF-2E5EAB9A89E7}"/>
    <cellStyle name="Normal 2 2 2 2 2 50 2 5" xfId="19930" xr:uid="{56D417DC-B4A8-4DE3-BC6F-CFDEBBA973D3}"/>
    <cellStyle name="Normal 2 2 2 2 2 50 2 6" xfId="19931" xr:uid="{9C6C37C8-3A67-4A4A-958F-D202290331DF}"/>
    <cellStyle name="Normal 2 2 2 2 2 50 2 7" xfId="19932" xr:uid="{27FC1B18-F816-4BCF-8AFB-91F6811085C9}"/>
    <cellStyle name="Normal 2 2 2 2 2 50 3" xfId="19933" xr:uid="{FA1ED3A0-9027-4CCF-B4C4-F38491C60ED2}"/>
    <cellStyle name="Normal 2 2 2 2 2 50 3 2" xfId="19934" xr:uid="{99E876C7-07B7-443B-9069-94C362FEE6EA}"/>
    <cellStyle name="Normal 2 2 2 2 2 50 3 3" xfId="19935" xr:uid="{75915CC7-75C4-4BA6-8CAA-9047138BDC89}"/>
    <cellStyle name="Normal 2 2 2 2 2 50 3 4" xfId="19936" xr:uid="{91ACC2DD-8531-47D7-BC06-FFED6374166C}"/>
    <cellStyle name="Normal 2 2 2 2 2 50 3 5" xfId="19937" xr:uid="{D1F48E64-9326-4CDA-97E0-2303AA3407BD}"/>
    <cellStyle name="Normal 2 2 2 2 2 50 3 6" xfId="19938" xr:uid="{8314EE1F-9282-4E01-9F32-E1CFBAC141B4}"/>
    <cellStyle name="Normal 2 2 2 2 2 51" xfId="19939" xr:uid="{9EB5B273-F62B-4B4F-BA4A-7FA35B7C3189}"/>
    <cellStyle name="Normal 2 2 2 2 2 51 2" xfId="19940" xr:uid="{A861AA72-0C79-40AF-96A1-E5D3A321691B}"/>
    <cellStyle name="Normal 2 2 2 2 2 51 3" xfId="19941" xr:uid="{81C79F1E-74F3-4EE5-803B-25B5AD594B93}"/>
    <cellStyle name="Normal 2 2 2 2 2 51 4" xfId="19942" xr:uid="{A4ED61AE-C85A-4221-A5AE-CB39E8DBEB39}"/>
    <cellStyle name="Normal 2 2 2 2 2 51 5" xfId="19943" xr:uid="{6B2B79B2-4BB9-440F-9F6E-C8D5753E4906}"/>
    <cellStyle name="Normal 2 2 2 2 2 51 6" xfId="19944" xr:uid="{8EE91F9C-DFC8-4F09-A178-0A050CF37B03}"/>
    <cellStyle name="Normal 2 2 2 2 2 52" xfId="19945" xr:uid="{93804229-6493-4BE3-8DB9-FD9A6FEF09D5}"/>
    <cellStyle name="Normal 2 2 2 2 2 52 2" xfId="19946" xr:uid="{2D376D14-F0D1-4DB1-A7E6-0DB1316FE167}"/>
    <cellStyle name="Normal 2 2 2 2 2 52 3" xfId="19947" xr:uid="{1620F54A-CFCE-4C01-85D5-F69A099D7BA3}"/>
    <cellStyle name="Normal 2 2 2 2 2 52 4" xfId="19948" xr:uid="{0249649D-903C-4FC4-B5C9-AC60B3C427EE}"/>
    <cellStyle name="Normal 2 2 2 2 2 52 5" xfId="19949" xr:uid="{2E7CE052-80AB-45E2-9146-54CF85411875}"/>
    <cellStyle name="Normal 2 2 2 2 2 52 6" xfId="19950" xr:uid="{18B3EAAD-7389-4E84-BDEC-3C185FFAFF39}"/>
    <cellStyle name="Normal 2 2 2 2 2 53" xfId="19951" xr:uid="{4667EC3B-231B-40ED-BE4A-B2529CA3D808}"/>
    <cellStyle name="Normal 2 2 2 2 2 53 2" xfId="19952" xr:uid="{13406C3E-5C66-4CE2-AB2E-FFD1A6DAC0E4}"/>
    <cellStyle name="Normal 2 2 2 2 2 53 3" xfId="19953" xr:uid="{2BCB8545-BEB1-4F67-97BE-3C5BD99C1789}"/>
    <cellStyle name="Normal 2 2 2 2 2 53 4" xfId="19954" xr:uid="{B962102E-B314-4168-B634-D799C7F98D1A}"/>
    <cellStyle name="Normal 2 2 2 2 2 53 5" xfId="19955" xr:uid="{BF64910D-7AE8-40A5-B0B5-EC9D7C197B48}"/>
    <cellStyle name="Normal 2 2 2 2 2 53 6" xfId="19956" xr:uid="{BE072762-894E-4F2B-AC44-179307208972}"/>
    <cellStyle name="Normal 2 2 2 2 2 54" xfId="19957" xr:uid="{424D531B-3CBC-476A-BB73-B43DC67AFC4B}"/>
    <cellStyle name="Normal 2 2 2 2 2 54 2" xfId="19958" xr:uid="{5870726B-5F1F-4B5A-B2DC-825A496A7283}"/>
    <cellStyle name="Normal 2 2 2 2 2 54 3" xfId="19959" xr:uid="{B5FBFD1F-892E-4BF1-8F70-210EF770BBC2}"/>
    <cellStyle name="Normal 2 2 2 2 2 54 4" xfId="19960" xr:uid="{D29F1412-456E-4953-84CA-1E3A7D6DEEBB}"/>
    <cellStyle name="Normal 2 2 2 2 2 54 5" xfId="19961" xr:uid="{02FA5718-5104-4640-BFBE-64D682EB98FD}"/>
    <cellStyle name="Normal 2 2 2 2 2 54 6" xfId="19962" xr:uid="{3E382F63-9221-4319-A36A-C81D73614D9A}"/>
    <cellStyle name="Normal 2 2 2 2 2 55" xfId="19963" xr:uid="{0D515C3B-DC93-4C3E-9655-AB41CCDF2F4E}"/>
    <cellStyle name="Normal 2 2 2 2 2 55 2" xfId="19964" xr:uid="{B0F48D9A-6F66-49E8-97FD-F1002C82A519}"/>
    <cellStyle name="Normal 2 2 2 2 2 55 3" xfId="19965" xr:uid="{E3F50D0A-66BF-4150-BD5D-252348727217}"/>
    <cellStyle name="Normal 2 2 2 2 2 55 4" xfId="19966" xr:uid="{C304EBD3-DE8A-4097-9FE7-61C3979D2362}"/>
    <cellStyle name="Normal 2 2 2 2 2 55 5" xfId="19967" xr:uid="{B2918D89-67B1-4FDD-BD40-AD10E336634E}"/>
    <cellStyle name="Normal 2 2 2 2 2 55 6" xfId="19968" xr:uid="{56D3781F-4BAC-4833-82B0-951FD36BA169}"/>
    <cellStyle name="Normal 2 2 2 2 2 56" xfId="19969" xr:uid="{41E28F8E-E739-4F49-AA48-B80E745753D4}"/>
    <cellStyle name="Normal 2 2 2 2 2 56 2" xfId="19970" xr:uid="{1E2FABBA-97AB-4066-A88C-1A8966DBC8A5}"/>
    <cellStyle name="Normal 2 2 2 2 2 56 3" xfId="19971" xr:uid="{F5F769BD-78BF-46BA-8A40-8EAA771DAF93}"/>
    <cellStyle name="Normal 2 2 2 2 2 56 4" xfId="19972" xr:uid="{D89DFB8C-FE44-4CD1-B044-6D1E4A3A1533}"/>
    <cellStyle name="Normal 2 2 2 2 2 56 5" xfId="19973" xr:uid="{32DCD39A-8989-48F5-B54E-66E0D039314D}"/>
    <cellStyle name="Normal 2 2 2 2 2 56 6" xfId="19974" xr:uid="{713434C2-E169-4972-AC4B-CED37FC2112F}"/>
    <cellStyle name="Normal 2 2 2 2 2 57" xfId="19975" xr:uid="{9BB4E40B-52B1-4814-BE15-10413CFED442}"/>
    <cellStyle name="Normal 2 2 2 2 2 57 2" xfId="19976" xr:uid="{1455BD1B-D0CF-4880-BBA8-72ACAF46A718}"/>
    <cellStyle name="Normal 2 2 2 2 2 57 3" xfId="19977" xr:uid="{2D54BFEA-4AEE-44B3-B298-06939E29A012}"/>
    <cellStyle name="Normal 2 2 2 2 2 57 4" xfId="19978" xr:uid="{AC1D2EC9-E03C-47F8-81A1-A6A2667713A8}"/>
    <cellStyle name="Normal 2 2 2 2 2 57 5" xfId="19979" xr:uid="{0B47A105-C520-4C00-8F4E-FD465A5BD00C}"/>
    <cellStyle name="Normal 2 2 2 2 2 57 6" xfId="19980" xr:uid="{E5E82BAB-DCF2-4130-87DD-181F71E3AEF6}"/>
    <cellStyle name="Normal 2 2 2 2 2 58" xfId="19981" xr:uid="{1B1B7AA7-D791-4AC8-BF87-66C083356A7E}"/>
    <cellStyle name="Normal 2 2 2 2 2 58 2" xfId="19982" xr:uid="{5AEDA714-AA15-46C2-B8DC-F9DDD3D57AC8}"/>
    <cellStyle name="Normal 2 2 2 2 2 58 3" xfId="19983" xr:uid="{128C1D63-EA13-4CF4-8F1B-B6F2079ADD10}"/>
    <cellStyle name="Normal 2 2 2 2 2 58 4" xfId="19984" xr:uid="{7AF752C6-9AD8-4421-B215-97F8A1B3D027}"/>
    <cellStyle name="Normal 2 2 2 2 2 58 5" xfId="19985" xr:uid="{C159ED5C-5D56-43E2-BE87-A56884E3CB16}"/>
    <cellStyle name="Normal 2 2 2 2 2 58 6" xfId="19986" xr:uid="{1E4A3A46-FCBB-4C5A-92A2-513F12CAF475}"/>
    <cellStyle name="Normal 2 2 2 2 2 59" xfId="19987" xr:uid="{47CE6645-C829-426B-ABE4-08DB7FB76C4C}"/>
    <cellStyle name="Normal 2 2 2 2 2 59 2" xfId="19988" xr:uid="{E309DFC1-7E88-49DB-8499-34DB17649FF9}"/>
    <cellStyle name="Normal 2 2 2 2 2 59 3" xfId="19989" xr:uid="{87F21B9E-5A27-4B66-832A-8368DA4C9792}"/>
    <cellStyle name="Normal 2 2 2 2 2 59 4" xfId="19990" xr:uid="{8B024625-E121-42BC-971F-274B52610269}"/>
    <cellStyle name="Normal 2 2 2 2 2 59 5" xfId="19991" xr:uid="{8371D230-808F-45E3-B7DB-0E589CD7C3AD}"/>
    <cellStyle name="Normal 2 2 2 2 2 59 6" xfId="19992" xr:uid="{DCDFC8C5-7ED3-4490-8830-1EDE6807B21D}"/>
    <cellStyle name="Normal 2 2 2 2 2 6" xfId="19993" xr:uid="{2B91D97A-A10A-4630-B8D5-47AD149086AE}"/>
    <cellStyle name="Normal 2 2 2 2 2 60" xfId="19994" xr:uid="{EFC6A9D6-3A41-43FE-A3B7-EEFFBF7DA45D}"/>
    <cellStyle name="Normal 2 2 2 2 2 60 2" xfId="19995" xr:uid="{D6EBF91D-2873-420C-B06E-A34C23B8172E}"/>
    <cellStyle name="Normal 2 2 2 2 2 60 3" xfId="19996" xr:uid="{3B881D6A-B0C5-4864-A690-8D1548BAA68A}"/>
    <cellStyle name="Normal 2 2 2 2 2 60 4" xfId="19997" xr:uid="{36FB70D5-2E97-4D7F-AA2A-C34172CA48C3}"/>
    <cellStyle name="Normal 2 2 2 2 2 60 5" xfId="19998" xr:uid="{D2E79F23-A602-4871-BE75-3826B89BAF44}"/>
    <cellStyle name="Normal 2 2 2 2 2 60 6" xfId="19999" xr:uid="{C1075616-C9F8-4533-99F0-00DD132F986E}"/>
    <cellStyle name="Normal 2 2 2 2 2 61" xfId="20000" xr:uid="{13A8DA99-2B1E-4522-B224-E91E82B8ABED}"/>
    <cellStyle name="Normal 2 2 2 2 2 61 2" xfId="20001" xr:uid="{398EC29C-1FFD-48FA-B707-74419665C072}"/>
    <cellStyle name="Normal 2 2 2 2 2 61 3" xfId="20002" xr:uid="{702A56BD-3741-4A16-A4C4-9A40E92E8871}"/>
    <cellStyle name="Normal 2 2 2 2 2 61 4" xfId="20003" xr:uid="{87C3A32E-1CC1-4DCB-9920-72875C1CE4E1}"/>
    <cellStyle name="Normal 2 2 2 2 2 61 5" xfId="20004" xr:uid="{30E48CF9-742A-4F56-8910-24E5842E97A6}"/>
    <cellStyle name="Normal 2 2 2 2 2 61 6" xfId="20005" xr:uid="{E0FD29C9-59D4-4CAE-BEEA-882DB164461A}"/>
    <cellStyle name="Normal 2 2 2 2 2 62" xfId="20006" xr:uid="{3AA9012E-92D6-45D4-A99F-321B81A05F7E}"/>
    <cellStyle name="Normal 2 2 2 2 2 62 2" xfId="20007" xr:uid="{DEBB7673-0DB6-43F7-94DE-E7189F9F580D}"/>
    <cellStyle name="Normal 2 2 2 2 2 62 3" xfId="20008" xr:uid="{902AE1F9-A7AB-4CDD-94C1-9A5B23A5295D}"/>
    <cellStyle name="Normal 2 2 2 2 2 62 4" xfId="20009" xr:uid="{A12E6755-EA46-4962-8B72-9E203E7CC094}"/>
    <cellStyle name="Normal 2 2 2 2 2 62 5" xfId="20010" xr:uid="{D8ABEF21-3006-41CD-825E-C5DF7FA51FBD}"/>
    <cellStyle name="Normal 2 2 2 2 2 62 6" xfId="20011" xr:uid="{D0980AA6-563E-44A0-A5DC-81355F4423EB}"/>
    <cellStyle name="Normal 2 2 2 2 2 63" xfId="20012" xr:uid="{F0446213-4460-4F9A-B8AA-854E62B6A82E}"/>
    <cellStyle name="Normal 2 2 2 2 2 63 2" xfId="20013" xr:uid="{27A7E6A0-7169-4E20-BC70-C92577357D35}"/>
    <cellStyle name="Normal 2 2 2 2 2 63 3" xfId="20014" xr:uid="{5105EED6-A555-4147-8DBA-F0760AA502B3}"/>
    <cellStyle name="Normal 2 2 2 2 2 63 4" xfId="20015" xr:uid="{4F2DCB6D-57EB-47B3-93CA-7C924ECE5C84}"/>
    <cellStyle name="Normal 2 2 2 2 2 63 5" xfId="20016" xr:uid="{6AF7830B-29E7-4393-887A-0557ECDA74EB}"/>
    <cellStyle name="Normal 2 2 2 2 2 63 6" xfId="20017" xr:uid="{660A5FFE-6DEF-450A-BEFB-E0E0C082EAA9}"/>
    <cellStyle name="Normal 2 2 2 2 2 64" xfId="20018" xr:uid="{42F844D1-6C05-4B96-84C7-98F4B6907002}"/>
    <cellStyle name="Normal 2 2 2 2 2 64 2" xfId="20019" xr:uid="{8309A68F-2AC7-4639-BA81-21D27F250352}"/>
    <cellStyle name="Normal 2 2 2 2 2 64 3" xfId="20020" xr:uid="{D8E9CB5D-4C26-4BB4-BB25-68F0EA8B053A}"/>
    <cellStyle name="Normal 2 2 2 2 2 64 4" xfId="20021" xr:uid="{45C5DAF7-7952-4730-9B6C-86443C0302E6}"/>
    <cellStyle name="Normal 2 2 2 2 2 64 5" xfId="20022" xr:uid="{23EB8470-892E-49D6-AA75-DA63A6448F7F}"/>
    <cellStyle name="Normal 2 2 2 2 2 64 6" xfId="20023" xr:uid="{EE32F664-F79B-4698-B778-0EC27AA4C201}"/>
    <cellStyle name="Normal 2 2 2 2 2 65" xfId="20024" xr:uid="{4EEB7561-5AF6-4FD1-81F7-6F57F2064E34}"/>
    <cellStyle name="Normal 2 2 2 2 2 65 2" xfId="20025" xr:uid="{03F9D791-00B8-4638-BFC3-57EDF618C6FF}"/>
    <cellStyle name="Normal 2 2 2 2 2 65 3" xfId="20026" xr:uid="{321C0F43-F04E-4EE2-B499-8AB43F711E12}"/>
    <cellStyle name="Normal 2 2 2 2 2 65 4" xfId="20027" xr:uid="{C3267101-289F-4F67-AB32-1A426543F209}"/>
    <cellStyle name="Normal 2 2 2 2 2 65 5" xfId="20028" xr:uid="{AD03D9A1-B839-416B-98CB-A7A3693B2B98}"/>
    <cellStyle name="Normal 2 2 2 2 2 65 6" xfId="20029" xr:uid="{68ABBF79-39A3-49BA-885D-333F4970F590}"/>
    <cellStyle name="Normal 2 2 2 2 2 66" xfId="20030" xr:uid="{433F3C1D-00FC-4E94-9620-54817F923829}"/>
    <cellStyle name="Normal 2 2 2 2 2 66 2" xfId="20031" xr:uid="{4E2719DF-E15A-4155-9DD4-1EDC06C6319C}"/>
    <cellStyle name="Normal 2 2 2 2 2 66 3" xfId="20032" xr:uid="{2F41BC4D-4529-45C4-847E-4641BB07C9A3}"/>
    <cellStyle name="Normal 2 2 2 2 2 66 4" xfId="20033" xr:uid="{10993BB7-0CCA-415E-8BAC-D87CBBDB3ACE}"/>
    <cellStyle name="Normal 2 2 2 2 2 66 5" xfId="20034" xr:uid="{994CE9DB-2F7D-434B-A233-C5F701F583DF}"/>
    <cellStyle name="Normal 2 2 2 2 2 66 6" xfId="20035" xr:uid="{2808CEC7-CF9A-45F8-B003-872C57112A34}"/>
    <cellStyle name="Normal 2 2 2 2 2 67" xfId="20036" xr:uid="{DA29333B-68A4-4C94-9A0F-D9FA8CF4CD47}"/>
    <cellStyle name="Normal 2 2 2 2 2 67 2" xfId="20037" xr:uid="{F755E545-D7EB-46B5-9EEA-4F1AE252DD02}"/>
    <cellStyle name="Normal 2 2 2 2 2 67 3" xfId="20038" xr:uid="{84C51AFC-D367-4BFA-9787-F32EE245CC8E}"/>
    <cellStyle name="Normal 2 2 2 2 2 67 4" xfId="20039" xr:uid="{7552C9FC-F2F4-4CF3-B258-A645CB2A0E27}"/>
    <cellStyle name="Normal 2 2 2 2 2 67 5" xfId="20040" xr:uid="{395F5B51-DF7B-4CB9-A2C8-8281EB3F3D96}"/>
    <cellStyle name="Normal 2 2 2 2 2 67 6" xfId="20041" xr:uid="{CE0A4F80-FF7B-4144-9A9F-C0254AA8036A}"/>
    <cellStyle name="Normal 2 2 2 2 2 68" xfId="20042" xr:uid="{EF0D55AC-55B6-4A28-B47A-6D68248D0031}"/>
    <cellStyle name="Normal 2 2 2 2 2 68 2" xfId="20043" xr:uid="{04FF0B55-CE54-48AC-A18F-5E57B95DFA82}"/>
    <cellStyle name="Normal 2 2 2 2 2 68 3" xfId="20044" xr:uid="{04DA5459-D02D-4E7F-8219-F3C6E532DF5C}"/>
    <cellStyle name="Normal 2 2 2 2 2 68 4" xfId="20045" xr:uid="{326B1190-6085-4833-9B51-B2CA9F030217}"/>
    <cellStyle name="Normal 2 2 2 2 2 68 5" xfId="20046" xr:uid="{5C745CC3-4B4F-48A4-BCB4-6AB24D29C714}"/>
    <cellStyle name="Normal 2 2 2 2 2 68 6" xfId="20047" xr:uid="{1D338165-6267-404D-B9A1-1E876D5BE213}"/>
    <cellStyle name="Normal 2 2 2 2 2 69" xfId="20048" xr:uid="{4E49646F-D966-4E62-A8D1-2FA10B2F44C5}"/>
    <cellStyle name="Normal 2 2 2 2 2 69 2" xfId="20049" xr:uid="{9BD83BCE-155E-46B2-ACC3-F2351BB2A4C3}"/>
    <cellStyle name="Normal 2 2 2 2 2 69 3" xfId="20050" xr:uid="{19BAE3B1-E788-4DC3-8647-FDCD8AC9EE99}"/>
    <cellStyle name="Normal 2 2 2 2 2 69 4" xfId="20051" xr:uid="{6F120C3C-B9B9-4FD6-B18B-E5FE7F7B83F8}"/>
    <cellStyle name="Normal 2 2 2 2 2 69 5" xfId="20052" xr:uid="{9360B4B2-A5DF-438B-8A4B-F9680F0CE014}"/>
    <cellStyle name="Normal 2 2 2 2 2 69 6" xfId="20053" xr:uid="{EC1AAB60-7F7C-4159-9B1D-9840DD01E029}"/>
    <cellStyle name="Normal 2 2 2 2 2 7" xfId="20054" xr:uid="{2286E29C-4286-4740-AA16-846E6B4BB88D}"/>
    <cellStyle name="Normal 2 2 2 2 2 70" xfId="20055" xr:uid="{BCB99806-A516-4955-B17B-D192A9FDFEF7}"/>
    <cellStyle name="Normal 2 2 2 2 2 70 2" xfId="20056" xr:uid="{1E9291D9-C5F8-4D61-8F4C-F6E759AF4A4F}"/>
    <cellStyle name="Normal 2 2 2 2 2 70 2 2" xfId="20057" xr:uid="{7A998CAD-B7AB-49EB-859B-9B8BF389704B}"/>
    <cellStyle name="Normal 2 2 2 2 2 70 2 3" xfId="20058" xr:uid="{7F5B3320-6573-44B6-B652-D82523618B58}"/>
    <cellStyle name="Normal 2 2 2 2 2 70 2 4" xfId="20059" xr:uid="{51E8E1E3-3FD1-4E40-996A-0FDB851727DD}"/>
    <cellStyle name="Normal 2 2 2 2 2 70 2 5" xfId="20060" xr:uid="{444BC26E-9369-41C6-806E-42BC6AC491A6}"/>
    <cellStyle name="Normal 2 2 2 2 2 70 2 6" xfId="20061" xr:uid="{C9EAB456-D6B4-4DB7-AD5B-9325624EC078}"/>
    <cellStyle name="Normal 2 2 2 2 2 71" xfId="20062" xr:uid="{FD69B429-2591-4767-BEE7-1CEC99E0D469}"/>
    <cellStyle name="Normal 2 2 2 2 2 71 10" xfId="20063" xr:uid="{E08F7ED3-FD96-4A0E-B871-89BD8EC355BC}"/>
    <cellStyle name="Normal 2 2 2 2 2 71 11" xfId="20064" xr:uid="{1CDDC43B-63CA-4F90-BD4F-1BE42ED16B46}"/>
    <cellStyle name="Normal 2 2 2 2 2 71 2" xfId="20065" xr:uid="{E78A4EF9-8304-4273-BBEB-8528A25CA63E}"/>
    <cellStyle name="Normal 2 2 2 2 2 71 2 2" xfId="20066" xr:uid="{39BEE029-E679-4152-A2D7-682E5EC0217F}"/>
    <cellStyle name="Normal 2 2 2 2 2 71 2 2 2" xfId="20067" xr:uid="{C41125FF-8A25-4C23-9591-1ADAB06D003D}"/>
    <cellStyle name="Normal 2 2 2 2 2 71 2 2 3" xfId="20068" xr:uid="{28F10D9D-7111-4C46-AB94-DE31801C63D4}"/>
    <cellStyle name="Normal 2 2 2 2 2 71 2 3" xfId="20069" xr:uid="{EA62861F-EAA2-497F-81FC-3EAA438DC8A8}"/>
    <cellStyle name="Normal 2 2 2 2 2 71 2 4" xfId="20070" xr:uid="{F09D4E99-683E-49D1-9EB8-CBEA094D3B66}"/>
    <cellStyle name="Normal 2 2 2 2 2 71 2 5" xfId="20071" xr:uid="{2E1819E7-8E45-480E-A4C5-BD4093A0682D}"/>
    <cellStyle name="Normal 2 2 2 2 2 71 2 6" xfId="20072" xr:uid="{B685F054-282F-40BB-9829-C0AED4E9F4AC}"/>
    <cellStyle name="Normal 2 2 2 2 2 71 2 7" xfId="20073" xr:uid="{3F1965F6-32EC-4BAB-B9ED-8A234303D0FD}"/>
    <cellStyle name="Normal 2 2 2 2 2 71 2 8" xfId="20074" xr:uid="{C60EBB43-5D58-455B-ADF4-4545965A1814}"/>
    <cellStyle name="Normal 2 2 2 2 2 71 2 9" xfId="20075" xr:uid="{AB478B7B-8406-4857-A27B-A900F3F68674}"/>
    <cellStyle name="Normal 2 2 2 2 2 71 3" xfId="20076" xr:uid="{09295636-3FB6-4166-88AB-25F8B77ED830}"/>
    <cellStyle name="Normal 2 2 2 2 2 71 4" xfId="20077" xr:uid="{56A0678B-A951-43CF-A162-D470E8A60712}"/>
    <cellStyle name="Normal 2 2 2 2 2 71 5" xfId="20078" xr:uid="{3957308B-AF31-427E-A2D6-FD724BBA2C19}"/>
    <cellStyle name="Normal 2 2 2 2 2 71 5 2" xfId="20079" xr:uid="{A9AD0FF3-114B-498A-B115-0C05D338C5CB}"/>
    <cellStyle name="Normal 2 2 2 2 2 71 5 3" xfId="20080" xr:uid="{EE4686A7-F6FA-4C94-BB10-861D977D4C13}"/>
    <cellStyle name="Normal 2 2 2 2 2 71 6" xfId="20081" xr:uid="{43A05EC6-4D62-43A3-8408-5A646EC17709}"/>
    <cellStyle name="Normal 2 2 2 2 2 71 7" xfId="20082" xr:uid="{C97DFA03-38DC-4C7E-9981-2EA47A52C1BE}"/>
    <cellStyle name="Normal 2 2 2 2 2 71 8" xfId="20083" xr:uid="{DFD68CB4-8F6D-4322-919B-AA5BE80992E8}"/>
    <cellStyle name="Normal 2 2 2 2 2 71 9" xfId="20084" xr:uid="{C45902B6-7705-4E1C-A247-5D0705EEEF71}"/>
    <cellStyle name="Normal 2 2 2 2 2 72" xfId="20085" xr:uid="{1D3377AA-0E91-46BC-AA40-B362F550155F}"/>
    <cellStyle name="Normal 2 2 2 2 2 73" xfId="20086" xr:uid="{F5C13F10-8E93-45CA-AFFC-38A4550F9B35}"/>
    <cellStyle name="Normal 2 2 2 2 2 74" xfId="20087" xr:uid="{B15487CD-84C9-4620-8F4F-CAFF8159F556}"/>
    <cellStyle name="Normal 2 2 2 2 2 74 2" xfId="20088" xr:uid="{2EC8BCB2-E654-408E-8E47-A824F5FC6514}"/>
    <cellStyle name="Normal 2 2 2 2 2 74 2 2" xfId="20089" xr:uid="{C39BB955-429E-4BF2-AE4A-6F733B601895}"/>
    <cellStyle name="Normal 2 2 2 2 2 74 2 3" xfId="20090" xr:uid="{60783121-28DE-44BC-9053-51B44FA17157}"/>
    <cellStyle name="Normal 2 2 2 2 2 74 3" xfId="20091" xr:uid="{84C96BB7-6024-476D-BB09-830282341C60}"/>
    <cellStyle name="Normal 2 2 2 2 2 74 4" xfId="20092" xr:uid="{37A1DD71-B427-4BFC-B134-6DF63E6568F2}"/>
    <cellStyle name="Normal 2 2 2 2 2 74 5" xfId="20093" xr:uid="{5B421CE6-3740-43D2-92F6-09E60A22D860}"/>
    <cellStyle name="Normal 2 2 2 2 2 74 6" xfId="20094" xr:uid="{1F2F8FFD-5C2E-4C5B-A45C-24027B939DC2}"/>
    <cellStyle name="Normal 2 2 2 2 2 74 7" xfId="20095" xr:uid="{3F34ABE4-02F6-4C69-8413-4C044A3B9E99}"/>
    <cellStyle name="Normal 2 2 2 2 2 74 8" xfId="20096" xr:uid="{857C6DA0-CE75-4419-A8E7-56ADB2479DE9}"/>
    <cellStyle name="Normal 2 2 2 2 2 74 9" xfId="20097" xr:uid="{9F208861-9EA6-4080-A64A-58416F272426}"/>
    <cellStyle name="Normal 2 2 2 2 2 75" xfId="20098" xr:uid="{53B75FEC-828E-4B3A-AE85-D3EECA76C9D6}"/>
    <cellStyle name="Normal 2 2 2 2 2 76" xfId="20099" xr:uid="{0380C003-B1BA-49BC-83C9-B6D5B906782F}"/>
    <cellStyle name="Normal 2 2 2 2 2 76 2" xfId="20100" xr:uid="{B73FD714-E44D-4A35-9F99-AAB062E2CEBC}"/>
    <cellStyle name="Normal 2 2 2 2 2 76 3" xfId="20101" xr:uid="{E0971E66-21FD-45BE-B210-D5BF1901EA4C}"/>
    <cellStyle name="Normal 2 2 2 2 2 77" xfId="20102" xr:uid="{1C92FE54-91D1-4AE0-A5AB-641354C3E233}"/>
    <cellStyle name="Normal 2 2 2 2 2 78" xfId="20103" xr:uid="{CC4ACA22-0500-41DA-9544-201ED14BE302}"/>
    <cellStyle name="Normal 2 2 2 2 2 79" xfId="20104" xr:uid="{675C6845-92FE-4EFA-8FA2-E28F14EB747E}"/>
    <cellStyle name="Normal 2 2 2 2 2 8" xfId="20105" xr:uid="{EF45E8EC-BAC4-4FE6-8AFF-30F5256D0BDA}"/>
    <cellStyle name="Normal 2 2 2 2 2 80" xfId="20106" xr:uid="{C10AAA66-1EBF-482B-B985-727F1F18182A}"/>
    <cellStyle name="Normal 2 2 2 2 2 81" xfId="20107" xr:uid="{512731D2-2490-42C9-BE76-D924DDEC6AD3}"/>
    <cellStyle name="Normal 2 2 2 2 2 82" xfId="20108" xr:uid="{42BD6539-7CC8-4074-8C4E-F3446ECADF5F}"/>
    <cellStyle name="Normal 2 2 2 2 2 83" xfId="20109" xr:uid="{BA14941D-CEB7-415E-901B-591E15D150B0}"/>
    <cellStyle name="Normal 2 2 2 2 2 9" xfId="20110" xr:uid="{0F974E29-28BE-4136-A070-30B6CED695DB}"/>
    <cellStyle name="Normal 2 2 2 2 20" xfId="20111" xr:uid="{A06C7AC4-87A7-4CFC-A91A-7028923CD882}"/>
    <cellStyle name="Normal 2 2 2 2 21" xfId="20112" xr:uid="{B22FB5D7-07A0-4E12-8769-F0E7DC01276C}"/>
    <cellStyle name="Normal 2 2 2 2 22" xfId="20113" xr:uid="{1785ECAE-8157-4213-9D4A-2B8011919A1F}"/>
    <cellStyle name="Normal 2 2 2 2 22 2" xfId="20114" xr:uid="{C830C2EE-28FD-4FA8-AC01-261CF1B3B718}"/>
    <cellStyle name="Normal 2 2 2 2 22 3" xfId="20115" xr:uid="{7FC2FC2C-0B09-4962-85E8-A5E96D165C50}"/>
    <cellStyle name="Normal 2 2 2 2 22 4" xfId="20116" xr:uid="{11E9A1A4-3399-43E6-B81B-FF6C29A2EEAF}"/>
    <cellStyle name="Normal 2 2 2 2 23" xfId="20117" xr:uid="{BEDB8A43-7186-492D-B5B1-FBBBA85A036A}"/>
    <cellStyle name="Normal 2 2 2 2 24" xfId="20118" xr:uid="{69DBD24C-DA52-47DC-B44B-973B6F9A7CB1}"/>
    <cellStyle name="Normal 2 2 2 2 25" xfId="20119" xr:uid="{D8FE1CB0-B378-414F-BAE2-A4B0F32E0C55}"/>
    <cellStyle name="Normal 2 2 2 2 26" xfId="20120" xr:uid="{4A137354-6F4C-467E-A1F7-89A165BD51DA}"/>
    <cellStyle name="Normal 2 2 2 2 27" xfId="20121" xr:uid="{E6DFE60F-8706-4C92-B446-0C0E72550E22}"/>
    <cellStyle name="Normal 2 2 2 2 28" xfId="20122" xr:uid="{CC08E7FE-51FD-442F-ACC8-E3A8C5E01C64}"/>
    <cellStyle name="Normal 2 2 2 2 28 10" xfId="20123" xr:uid="{BBA072DC-1E72-40A8-AC9E-73E01DA72899}"/>
    <cellStyle name="Normal 2 2 2 2 28 11" xfId="20124" xr:uid="{3A928932-74EE-4E11-A2EC-0FC7EF47E666}"/>
    <cellStyle name="Normal 2 2 2 2 28 12" xfId="20125" xr:uid="{580BBAF0-218E-4C0E-9702-54D4016D485A}"/>
    <cellStyle name="Normal 2 2 2 2 28 13" xfId="20126" xr:uid="{655002AF-AE10-415C-85D1-3F5F163A4DE3}"/>
    <cellStyle name="Normal 2 2 2 2 28 2" xfId="20127" xr:uid="{4B462906-092B-4621-BB5B-471D7422F838}"/>
    <cellStyle name="Normal 2 2 2 2 28 2 2" xfId="20128" xr:uid="{62B25E80-EE9F-4947-AA0D-159B69AE3B00}"/>
    <cellStyle name="Normal 2 2 2 2 28 2 3" xfId="20129" xr:uid="{63C535F3-B1E6-4578-B838-EF36ABBC114B}"/>
    <cellStyle name="Normal 2 2 2 2 28 2 4" xfId="20130" xr:uid="{43DD07F5-9BB3-491A-ACDC-F98CF97310AA}"/>
    <cellStyle name="Normal 2 2 2 2 28 2 5" xfId="20131" xr:uid="{BC9DA14C-A889-4993-8168-EDAAA16CF5B0}"/>
    <cellStyle name="Normal 2 2 2 2 28 2 6" xfId="20132" xr:uid="{1350DDC0-9607-4935-8A58-7443A2AC02B6}"/>
    <cellStyle name="Normal 2 2 2 2 28 3" xfId="20133" xr:uid="{739498D7-C6F0-42D2-B9FA-43CE865BE3F0}"/>
    <cellStyle name="Normal 2 2 2 2 28 3 2" xfId="20134" xr:uid="{BA0BEB32-046B-44D7-A2D1-D4F5589F9552}"/>
    <cellStyle name="Normal 2 2 2 2 28 3 3" xfId="20135" xr:uid="{79D11389-31D7-443A-8ECE-0260C78F094A}"/>
    <cellStyle name="Normal 2 2 2 2 28 3 4" xfId="20136" xr:uid="{6FE8396E-1DA3-4148-A5F4-CC649AAAA9AA}"/>
    <cellStyle name="Normal 2 2 2 2 28 3 5" xfId="20137" xr:uid="{2F25D7E3-58F6-46B5-BE20-52CCE7E8A0CC}"/>
    <cellStyle name="Normal 2 2 2 2 28 3 6" xfId="20138" xr:uid="{46F51DAD-2BF1-42AA-9FD3-64A3F89FE7E0}"/>
    <cellStyle name="Normal 2 2 2 2 28 4" xfId="20139" xr:uid="{A6CD93A1-A52C-4FD7-A186-28D7A3401FC4}"/>
    <cellStyle name="Normal 2 2 2 2 28 4 2" xfId="20140" xr:uid="{C54C02E1-E0E7-47CD-9C77-C55AE9CEBF8F}"/>
    <cellStyle name="Normal 2 2 2 2 28 4 3" xfId="20141" xr:uid="{12F70F47-D116-41C5-8254-7BDC1063FF36}"/>
    <cellStyle name="Normal 2 2 2 2 28 4 4" xfId="20142" xr:uid="{8B2055FF-EE55-48D1-9F35-1CB1E7F83774}"/>
    <cellStyle name="Normal 2 2 2 2 28 4 5" xfId="20143" xr:uid="{21C9309A-E405-4BE0-98A7-0C3AF0395A06}"/>
    <cellStyle name="Normal 2 2 2 2 28 4 6" xfId="20144" xr:uid="{12B36EB0-7780-4896-A1BA-981EE244B9B5}"/>
    <cellStyle name="Normal 2 2 2 2 28 5" xfId="20145" xr:uid="{2571A354-F26F-4A14-8EE1-0EACE9145944}"/>
    <cellStyle name="Normal 2 2 2 2 28 5 2" xfId="20146" xr:uid="{A88F22F6-5AB6-491B-AC9F-8FE2EAAD5763}"/>
    <cellStyle name="Normal 2 2 2 2 28 5 3" xfId="20147" xr:uid="{9EA06DB6-4D5F-4152-A530-1B16914CC1A8}"/>
    <cellStyle name="Normal 2 2 2 2 28 5 4" xfId="20148" xr:uid="{2D31795C-D442-46A4-8220-87FE9C0A59E0}"/>
    <cellStyle name="Normal 2 2 2 2 28 5 5" xfId="20149" xr:uid="{909D4B78-79E6-4800-8389-35927487AA56}"/>
    <cellStyle name="Normal 2 2 2 2 28 5 6" xfId="20150" xr:uid="{19646DBB-AD11-41E2-A4D1-EAB562875EE3}"/>
    <cellStyle name="Normal 2 2 2 2 28 6" xfId="20151" xr:uid="{5300BF33-DF15-492B-87F0-32FF0163FF98}"/>
    <cellStyle name="Normal 2 2 2 2 28 6 2" xfId="20152" xr:uid="{A56C9675-05D5-4ABF-A319-C8F5E9B229F2}"/>
    <cellStyle name="Normal 2 2 2 2 28 6 3" xfId="20153" xr:uid="{67074EE3-BF7C-4774-A6ED-9C462F5100EB}"/>
    <cellStyle name="Normal 2 2 2 2 28 6 4" xfId="20154" xr:uid="{5BEF67DC-74C0-4CF9-B078-404F52082419}"/>
    <cellStyle name="Normal 2 2 2 2 28 6 5" xfId="20155" xr:uid="{B45CD06D-C1EF-42F7-B733-48536F796542}"/>
    <cellStyle name="Normal 2 2 2 2 28 6 6" xfId="20156" xr:uid="{066035C3-6E43-434A-B164-01BB855599A4}"/>
    <cellStyle name="Normal 2 2 2 2 28 7" xfId="20157" xr:uid="{32899028-4883-4970-A51D-54574CCF7A4A}"/>
    <cellStyle name="Normal 2 2 2 2 28 7 2" xfId="20158" xr:uid="{47AD69B6-B501-4E4B-B7B6-216AE7F6BC46}"/>
    <cellStyle name="Normal 2 2 2 2 28 7 3" xfId="20159" xr:uid="{DF1CB78B-D953-414C-80BA-71565091BF19}"/>
    <cellStyle name="Normal 2 2 2 2 28 7 4" xfId="20160" xr:uid="{254F4671-0BAA-4874-852E-BEECD530CDF3}"/>
    <cellStyle name="Normal 2 2 2 2 28 7 5" xfId="20161" xr:uid="{8388A3B4-293F-46C5-9743-59184C9403D6}"/>
    <cellStyle name="Normal 2 2 2 2 28 7 6" xfId="20162" xr:uid="{CF3F1714-07FA-4447-A22C-E894F2A99A8A}"/>
    <cellStyle name="Normal 2 2 2 2 28 8" xfId="20163" xr:uid="{A38BD4A7-A0BA-4440-BE56-AE2B078BC50F}"/>
    <cellStyle name="Normal 2 2 2 2 28 8 2" xfId="20164" xr:uid="{3E3723D3-F8A1-491D-B311-F2311FA5F731}"/>
    <cellStyle name="Normal 2 2 2 2 28 8 3" xfId="20165" xr:uid="{551AA2F8-5576-4746-B8BA-1B59052E9411}"/>
    <cellStyle name="Normal 2 2 2 2 28 8 4" xfId="20166" xr:uid="{0F5B31B6-661F-429A-ABF8-4B848B8CF681}"/>
    <cellStyle name="Normal 2 2 2 2 28 8 5" xfId="20167" xr:uid="{BCEEA46D-F78F-41D8-822C-5E2CF266EE8F}"/>
    <cellStyle name="Normal 2 2 2 2 28 8 6" xfId="20168" xr:uid="{428DBF6F-AA31-4F01-9A1A-A4C91A441F98}"/>
    <cellStyle name="Normal 2 2 2 2 28 9" xfId="20169" xr:uid="{02C912D7-5CF4-4092-A13C-56F855142D0F}"/>
    <cellStyle name="Normal 2 2 2 2 29" xfId="20170" xr:uid="{13685B29-D6AC-47EF-9A93-E39603BA27EB}"/>
    <cellStyle name="Normal 2 2 2 2 29 10" xfId="20171" xr:uid="{BB537AC6-AE78-44DD-A09C-7CCBB205D363}"/>
    <cellStyle name="Normal 2 2 2 2 29 11" xfId="20172" xr:uid="{E00B91D9-F106-45F2-BA5E-7067AB4B9DCA}"/>
    <cellStyle name="Normal 2 2 2 2 29 12" xfId="20173" xr:uid="{F950FF9F-74F4-41AF-BA86-37398244E505}"/>
    <cellStyle name="Normal 2 2 2 2 29 13" xfId="20174" xr:uid="{0D445D9C-C399-4D28-9708-D7631F9AA44D}"/>
    <cellStyle name="Normal 2 2 2 2 29 2" xfId="20175" xr:uid="{3ABE07C1-7988-464B-97B1-DF51B52AA7F3}"/>
    <cellStyle name="Normal 2 2 2 2 29 2 2" xfId="20176" xr:uid="{EB6FC38B-390E-4379-A03F-B9D9F15C5E3D}"/>
    <cellStyle name="Normal 2 2 2 2 29 2 3" xfId="20177" xr:uid="{1E8007B3-0DD6-477D-8AA0-14CDFF28BD54}"/>
    <cellStyle name="Normal 2 2 2 2 29 2 4" xfId="20178" xr:uid="{905A8BE1-2936-4195-85FF-BCD70006AE0E}"/>
    <cellStyle name="Normal 2 2 2 2 29 2 5" xfId="20179" xr:uid="{690233DD-F84E-4114-B252-270B2089A188}"/>
    <cellStyle name="Normal 2 2 2 2 29 2 6" xfId="20180" xr:uid="{242C06DA-D0D6-45D0-89B6-38371EB9B6D8}"/>
    <cellStyle name="Normal 2 2 2 2 29 3" xfId="20181" xr:uid="{C87A9108-CF50-44FE-B223-ED761B65E560}"/>
    <cellStyle name="Normal 2 2 2 2 29 3 2" xfId="20182" xr:uid="{5B5B87D7-0E79-4617-93CF-05E998C124C6}"/>
    <cellStyle name="Normal 2 2 2 2 29 3 3" xfId="20183" xr:uid="{6BAA0979-76B8-428E-953B-12504352AAF3}"/>
    <cellStyle name="Normal 2 2 2 2 29 3 4" xfId="20184" xr:uid="{A76E76FE-A289-45FB-A283-30BEBFA69BC7}"/>
    <cellStyle name="Normal 2 2 2 2 29 3 5" xfId="20185" xr:uid="{A054353F-42F9-4CB8-862F-3ECD902F703C}"/>
    <cellStyle name="Normal 2 2 2 2 29 3 6" xfId="20186" xr:uid="{D24C8CAD-517A-49F4-A199-9BB9A24C701A}"/>
    <cellStyle name="Normal 2 2 2 2 29 4" xfId="20187" xr:uid="{D4F30886-8E44-4A93-93DD-E3F6B9C686FD}"/>
    <cellStyle name="Normal 2 2 2 2 29 4 2" xfId="20188" xr:uid="{AB0BB3B2-0971-4CDC-ABCC-39FC0ACBDB82}"/>
    <cellStyle name="Normal 2 2 2 2 29 4 3" xfId="20189" xr:uid="{5A392F18-0755-4D26-8E71-ED6A65C3672B}"/>
    <cellStyle name="Normal 2 2 2 2 29 4 4" xfId="20190" xr:uid="{C11553AD-C492-4774-A6C9-2648B461AA51}"/>
    <cellStyle name="Normal 2 2 2 2 29 4 5" xfId="20191" xr:uid="{6C0AB08E-1BC8-49E8-8B9A-73709FD080A4}"/>
    <cellStyle name="Normal 2 2 2 2 29 4 6" xfId="20192" xr:uid="{2BAE4910-C9A7-4B8A-BB5A-01460642279A}"/>
    <cellStyle name="Normal 2 2 2 2 29 5" xfId="20193" xr:uid="{E2F98649-83D9-4226-9B87-BF24CEB29CBB}"/>
    <cellStyle name="Normal 2 2 2 2 29 5 2" xfId="20194" xr:uid="{B4680041-AF2E-426A-A17F-49FA5CDB22A6}"/>
    <cellStyle name="Normal 2 2 2 2 29 5 3" xfId="20195" xr:uid="{E4D2E860-B370-465D-80CE-5E589429E835}"/>
    <cellStyle name="Normal 2 2 2 2 29 5 4" xfId="20196" xr:uid="{C807D4A5-BD87-443F-83F6-D792E6897F28}"/>
    <cellStyle name="Normal 2 2 2 2 29 5 5" xfId="20197" xr:uid="{0699687F-64BD-4B03-B3C7-DF0A5546ED53}"/>
    <cellStyle name="Normal 2 2 2 2 29 5 6" xfId="20198" xr:uid="{6C48C147-2192-49D4-9D94-8EEC829C0603}"/>
    <cellStyle name="Normal 2 2 2 2 29 6" xfId="20199" xr:uid="{A79F02B6-A9E6-45F1-AF7F-8E546E4F2459}"/>
    <cellStyle name="Normal 2 2 2 2 29 6 2" xfId="20200" xr:uid="{A071D67A-B6E5-498F-B11F-E5C5B568ABD7}"/>
    <cellStyle name="Normal 2 2 2 2 29 6 3" xfId="20201" xr:uid="{D116BC51-7AC2-4D23-91FA-DCE49F9ECC4B}"/>
    <cellStyle name="Normal 2 2 2 2 29 6 4" xfId="20202" xr:uid="{86363B36-A2CF-4ADD-B311-7EBE69DAEBFC}"/>
    <cellStyle name="Normal 2 2 2 2 29 6 5" xfId="20203" xr:uid="{913D6044-3CBA-458E-B91E-DF016A349875}"/>
    <cellStyle name="Normal 2 2 2 2 29 6 6" xfId="20204" xr:uid="{65B67A95-1A84-4701-90F5-963F0CEFB823}"/>
    <cellStyle name="Normal 2 2 2 2 29 7" xfId="20205" xr:uid="{46383321-47D0-4C93-ABF2-15D26C7EE89A}"/>
    <cellStyle name="Normal 2 2 2 2 29 7 2" xfId="20206" xr:uid="{A4722F6E-1706-4DF3-9A78-41997F963B77}"/>
    <cellStyle name="Normal 2 2 2 2 29 7 3" xfId="20207" xr:uid="{87E1D309-78BA-4AEE-8D31-E79B2A727538}"/>
    <cellStyle name="Normal 2 2 2 2 29 7 4" xfId="20208" xr:uid="{840BB223-7862-4857-A888-7D7506E4C4C1}"/>
    <cellStyle name="Normal 2 2 2 2 29 7 5" xfId="20209" xr:uid="{9B82A78A-83A0-4680-A4B0-4CF8EBE59F36}"/>
    <cellStyle name="Normal 2 2 2 2 29 7 6" xfId="20210" xr:uid="{ED8AB92F-21D5-4308-BD36-E136EE19B99E}"/>
    <cellStyle name="Normal 2 2 2 2 29 8" xfId="20211" xr:uid="{9DFA8C93-1F26-4F33-A487-2A7576ED2D30}"/>
    <cellStyle name="Normal 2 2 2 2 29 8 2" xfId="20212" xr:uid="{25AC8208-24EF-416F-8D8E-71C6F1434090}"/>
    <cellStyle name="Normal 2 2 2 2 29 8 3" xfId="20213" xr:uid="{6EC122FB-BD73-4F7F-8CFB-F743E1024FA5}"/>
    <cellStyle name="Normal 2 2 2 2 29 8 4" xfId="20214" xr:uid="{B9FD15FC-C0D9-45CC-A7F1-A130D6BE8C90}"/>
    <cellStyle name="Normal 2 2 2 2 29 8 5" xfId="20215" xr:uid="{98E2FBB7-5211-44CA-85FE-0BA575AB975D}"/>
    <cellStyle name="Normal 2 2 2 2 29 8 6" xfId="20216" xr:uid="{1168CFFC-2727-43DC-9957-5AB118673230}"/>
    <cellStyle name="Normal 2 2 2 2 29 9" xfId="20217" xr:uid="{7CC07186-95B4-4953-9A23-22A44C44F8D1}"/>
    <cellStyle name="Normal 2 2 2 2 3" xfId="20218" xr:uid="{51AE84C0-7299-41CA-82E4-7F6EC5EB4539}"/>
    <cellStyle name="Normal 2 2 2 2 3 10" xfId="20219" xr:uid="{6B54A6A4-BF83-4C78-9EB2-6CC2304CFD91}"/>
    <cellStyle name="Normal 2 2 2 2 3 11" xfId="20220" xr:uid="{8EFF2D1C-E9DA-4E9C-B279-49033641066C}"/>
    <cellStyle name="Normal 2 2 2 2 3 12" xfId="20221" xr:uid="{DA2FA098-88E3-4E08-BA12-2C2B9DD3FE10}"/>
    <cellStyle name="Normal 2 2 2 2 3 13" xfId="20222" xr:uid="{87091557-3A49-4AAA-8E68-5759B89CD047}"/>
    <cellStyle name="Normal 2 2 2 2 3 14" xfId="20223" xr:uid="{8D8D9BDC-F5A7-48AE-ACE1-C121F3AA3496}"/>
    <cellStyle name="Normal 2 2 2 2 3 2" xfId="20224" xr:uid="{9858B460-90E8-4AB2-A7BE-0B91626E6DF2}"/>
    <cellStyle name="Normal 2 2 2 2 3 2 2" xfId="20225" xr:uid="{472C3593-C6B4-4E0F-A1A2-F4DBBE4A5071}"/>
    <cellStyle name="Normal 2 2 2 2 3 2 2 2" xfId="20226" xr:uid="{77CE8E94-9461-489E-A955-25F1456978A8}"/>
    <cellStyle name="Normal 2 2 2 2 3 2 2 2 2" xfId="20227" xr:uid="{E66C14BD-5A73-42A3-98EF-F48517C26CED}"/>
    <cellStyle name="Normal 2 2 2 2 3 2 2 3" xfId="20228" xr:uid="{9FDDDDB4-820C-4C1B-855E-7C31C6297301}"/>
    <cellStyle name="Normal 2 2 2 2 3 2 3" xfId="20229" xr:uid="{1657BEBA-16A4-4A0F-9CD5-434652714B8B}"/>
    <cellStyle name="Normal 2 2 2 2 3 2 3 2" xfId="20230" xr:uid="{56EFEE2B-C308-46BB-8B11-A2D8DA8F8F19}"/>
    <cellStyle name="Normal 2 2 2 2 3 2 4" xfId="20231" xr:uid="{B531B013-B8A0-4B95-BDF5-4BFEB0210F02}"/>
    <cellStyle name="Normal 2 2 2 2 3 2 5" xfId="20232" xr:uid="{6DF7F676-5952-4EEB-83F5-FA6143C48C89}"/>
    <cellStyle name="Normal 2 2 2 2 3 2 6" xfId="20233" xr:uid="{71A79E15-5B89-461D-8B69-62755ABA2739}"/>
    <cellStyle name="Normal 2 2 2 2 3 3" xfId="20234" xr:uid="{B28E0180-9E07-4615-B3B2-522BA6BE1677}"/>
    <cellStyle name="Normal 2 2 2 2 3 3 2" xfId="20235" xr:uid="{074EFB13-7F1A-4B3A-B04F-AA51C5430220}"/>
    <cellStyle name="Normal 2 2 2 2 3 3 3" xfId="20236" xr:uid="{D731DBFB-DDE5-495A-A887-9A693E0466B6}"/>
    <cellStyle name="Normal 2 2 2 2 3 3 4" xfId="20237" xr:uid="{88BE5C9C-9F4B-4977-A9CD-BF59A35F81C4}"/>
    <cellStyle name="Normal 2 2 2 2 3 3 5" xfId="20238" xr:uid="{2DF70495-64B5-44CD-A9DF-6BF2E76B2168}"/>
    <cellStyle name="Normal 2 2 2 2 3 3 6" xfId="20239" xr:uid="{ADF9987C-302A-4E97-B271-5620C1BC014E}"/>
    <cellStyle name="Normal 2 2 2 2 3 4" xfId="20240" xr:uid="{EDE55C73-E873-4EA3-AE3E-1EE9865D3FF2}"/>
    <cellStyle name="Normal 2 2 2 2 3 4 2" xfId="20241" xr:uid="{BC2E12C9-D7F3-4CA4-9D55-336C6D3B1A29}"/>
    <cellStyle name="Normal 2 2 2 2 3 4 3" xfId="20242" xr:uid="{595309C9-10E0-4A67-9330-7B0D03D60997}"/>
    <cellStyle name="Normal 2 2 2 2 3 4 4" xfId="20243" xr:uid="{CBA9A38B-A3FC-43CD-91B9-F8EEF6265994}"/>
    <cellStyle name="Normal 2 2 2 2 3 4 5" xfId="20244" xr:uid="{37E02D8A-784C-4EB0-9164-6803EF1A2001}"/>
    <cellStyle name="Normal 2 2 2 2 3 4 6" xfId="20245" xr:uid="{CB089F71-EA1D-4E92-B569-781917A28867}"/>
    <cellStyle name="Normal 2 2 2 2 3 5" xfId="20246" xr:uid="{EEF5110A-5CEA-4A02-87F0-456E04614C91}"/>
    <cellStyle name="Normal 2 2 2 2 3 5 2" xfId="20247" xr:uid="{0F05CB8E-CB25-4050-B53F-86C88D5EB05D}"/>
    <cellStyle name="Normal 2 2 2 2 3 5 3" xfId="20248" xr:uid="{550A5B73-5D42-456C-A266-C48933093847}"/>
    <cellStyle name="Normal 2 2 2 2 3 5 4" xfId="20249" xr:uid="{7BC36B73-2F67-4A19-8544-4AC589A934D8}"/>
    <cellStyle name="Normal 2 2 2 2 3 5 5" xfId="20250" xr:uid="{9FF587A9-32BE-4630-8DB4-CF5576488B06}"/>
    <cellStyle name="Normal 2 2 2 2 3 5 6" xfId="20251" xr:uid="{D5082861-74C8-4766-AABA-F1D87D6BC366}"/>
    <cellStyle name="Normal 2 2 2 2 3 6" xfId="20252" xr:uid="{841CEE40-3CD0-4850-8447-5CDB86BC7A26}"/>
    <cellStyle name="Normal 2 2 2 2 3 6 2" xfId="20253" xr:uid="{D56A1090-719C-44F0-ACC2-FC4DD15B39E8}"/>
    <cellStyle name="Normal 2 2 2 2 3 6 3" xfId="20254" xr:uid="{3CA59D8F-E096-4E6F-B7E0-59F98C7B4303}"/>
    <cellStyle name="Normal 2 2 2 2 3 6 4" xfId="20255" xr:uid="{86EF1EC1-3ADB-443C-8729-19121C8DA263}"/>
    <cellStyle name="Normal 2 2 2 2 3 6 5" xfId="20256" xr:uid="{B34630BF-909D-4ED3-9D77-B63753B4080D}"/>
    <cellStyle name="Normal 2 2 2 2 3 6 6" xfId="20257" xr:uid="{97D83D43-E2BA-4514-BB5B-1F25268B8A36}"/>
    <cellStyle name="Normal 2 2 2 2 3 7" xfId="20258" xr:uid="{31A47FB2-114C-4E44-9693-A26653C2634D}"/>
    <cellStyle name="Normal 2 2 2 2 3 7 2" xfId="20259" xr:uid="{28DB35C0-58A8-42DC-853B-3142222CBC85}"/>
    <cellStyle name="Normal 2 2 2 2 3 7 3" xfId="20260" xr:uid="{0B9FC887-8BFE-4673-83E4-68EABD67B84F}"/>
    <cellStyle name="Normal 2 2 2 2 3 7 4" xfId="20261" xr:uid="{8FB5A704-7E25-4AFE-BA63-661C0967A44B}"/>
    <cellStyle name="Normal 2 2 2 2 3 7 5" xfId="20262" xr:uid="{6B4B9B9D-3912-4106-A9A3-489E04793B6C}"/>
    <cellStyle name="Normal 2 2 2 2 3 7 6" xfId="20263" xr:uid="{D43CE41F-7010-4322-9235-9D9E2C71D597}"/>
    <cellStyle name="Normal 2 2 2 2 3 8" xfId="20264" xr:uid="{3217D0FD-6977-4F1C-A9E2-46F8A277A84E}"/>
    <cellStyle name="Normal 2 2 2 2 3 8 2" xfId="20265" xr:uid="{7B25FC1F-1992-4A44-8B87-587580F09321}"/>
    <cellStyle name="Normal 2 2 2 2 3 8 3" xfId="20266" xr:uid="{F77DC72B-68AA-4B39-BBBF-AD0967CF42FA}"/>
    <cellStyle name="Normal 2 2 2 2 3 8 4" xfId="20267" xr:uid="{25012A91-4A6B-43A7-93EA-C7E69C9BDCBF}"/>
    <cellStyle name="Normal 2 2 2 2 3 8 5" xfId="20268" xr:uid="{67BA76EA-21F8-41E2-900F-C00BF17B68A1}"/>
    <cellStyle name="Normal 2 2 2 2 3 8 6" xfId="20269" xr:uid="{AE115A8C-FCC9-4EE1-A146-B7AF372B2FBD}"/>
    <cellStyle name="Normal 2 2 2 2 3 9" xfId="20270" xr:uid="{8FCBD4BE-C405-4575-883E-C6FC3C6C598F}"/>
    <cellStyle name="Normal 2 2 2 2 30" xfId="20271" xr:uid="{AA297B24-D32F-4804-B007-F4B4836D9646}"/>
    <cellStyle name="Normal 2 2 2 2 30 10" xfId="20272" xr:uid="{7113128C-648F-4047-A5CD-0466DFBFAFE7}"/>
    <cellStyle name="Normal 2 2 2 2 30 11" xfId="20273" xr:uid="{09BBEAC8-DD13-4BA6-B2BB-03CA079E03A8}"/>
    <cellStyle name="Normal 2 2 2 2 30 12" xfId="20274" xr:uid="{97697D53-5181-4AA8-9674-A305887B2616}"/>
    <cellStyle name="Normal 2 2 2 2 30 13" xfId="20275" xr:uid="{1A5DA827-FC82-4E0A-9FCC-D3353D570CC4}"/>
    <cellStyle name="Normal 2 2 2 2 30 2" xfId="20276" xr:uid="{C3C5D44D-E31B-4D0F-85B1-61C498FFF110}"/>
    <cellStyle name="Normal 2 2 2 2 30 2 2" xfId="20277" xr:uid="{F319ED7D-5DC0-405A-BB37-3F0FA7D7BAD2}"/>
    <cellStyle name="Normal 2 2 2 2 30 2 3" xfId="20278" xr:uid="{047D772C-B8A2-4966-8B97-2B08C2CB059A}"/>
    <cellStyle name="Normal 2 2 2 2 30 2 4" xfId="20279" xr:uid="{DCEEC328-654F-4D1F-AD6F-98D0884FFBE3}"/>
    <cellStyle name="Normal 2 2 2 2 30 2 5" xfId="20280" xr:uid="{0F09C3E4-58D9-4188-B6A6-340216DF149D}"/>
    <cellStyle name="Normal 2 2 2 2 30 2 6" xfId="20281" xr:uid="{8D04F49B-CFA6-4FCC-B58C-9CDA9DBFA17D}"/>
    <cellStyle name="Normal 2 2 2 2 30 3" xfId="20282" xr:uid="{52591702-C565-4AF4-99FF-BD088A55D2D2}"/>
    <cellStyle name="Normal 2 2 2 2 30 3 2" xfId="20283" xr:uid="{B276C3BB-7766-483F-B369-108FD0645A3F}"/>
    <cellStyle name="Normal 2 2 2 2 30 3 3" xfId="20284" xr:uid="{EB10EA34-7878-46F0-9CBA-DDE42A2FDF5D}"/>
    <cellStyle name="Normal 2 2 2 2 30 3 4" xfId="20285" xr:uid="{58A0EDCE-4B23-464F-9129-94A79E9028E6}"/>
    <cellStyle name="Normal 2 2 2 2 30 3 5" xfId="20286" xr:uid="{9FE1023A-11A9-4109-BCA1-1F2E27943688}"/>
    <cellStyle name="Normal 2 2 2 2 30 3 6" xfId="20287" xr:uid="{CB46D878-9553-4E86-9350-581A9BFD1EB1}"/>
    <cellStyle name="Normal 2 2 2 2 30 4" xfId="20288" xr:uid="{1157C79A-F348-43CE-B0DC-A58EC4746658}"/>
    <cellStyle name="Normal 2 2 2 2 30 4 2" xfId="20289" xr:uid="{F4E0F8C7-96CC-49A2-8B71-B35B7C955685}"/>
    <cellStyle name="Normal 2 2 2 2 30 4 3" xfId="20290" xr:uid="{8C8601F0-B756-4C04-A86C-2ACB6C6255B4}"/>
    <cellStyle name="Normal 2 2 2 2 30 4 4" xfId="20291" xr:uid="{05CF82FD-DE4E-4A57-8CB1-A4ED45970E2E}"/>
    <cellStyle name="Normal 2 2 2 2 30 4 5" xfId="20292" xr:uid="{889C31D8-9A63-40B5-B58A-9AE6E672DB46}"/>
    <cellStyle name="Normal 2 2 2 2 30 4 6" xfId="20293" xr:uid="{02E84A6B-F138-45D1-A0AE-62EAF43A4FEB}"/>
    <cellStyle name="Normal 2 2 2 2 30 5" xfId="20294" xr:uid="{6DD9E730-F46B-4574-BF4C-8086B766B338}"/>
    <cellStyle name="Normal 2 2 2 2 30 5 2" xfId="20295" xr:uid="{7219ED80-2F94-4727-B48A-46352734E6E3}"/>
    <cellStyle name="Normal 2 2 2 2 30 5 3" xfId="20296" xr:uid="{30904A0F-1BCB-425B-8C86-AF601BC83BFF}"/>
    <cellStyle name="Normal 2 2 2 2 30 5 4" xfId="20297" xr:uid="{2891F70A-D9A8-4FFB-98AD-C33183617ABB}"/>
    <cellStyle name="Normal 2 2 2 2 30 5 5" xfId="20298" xr:uid="{5A01D7E5-910D-46DF-881C-322DC5920551}"/>
    <cellStyle name="Normal 2 2 2 2 30 5 6" xfId="20299" xr:uid="{7D583DC3-9F10-45E7-BCE2-D11252964F16}"/>
    <cellStyle name="Normal 2 2 2 2 30 6" xfId="20300" xr:uid="{6BC8CD5D-2192-4C6B-BC8B-C5D73E372BD0}"/>
    <cellStyle name="Normal 2 2 2 2 30 6 2" xfId="20301" xr:uid="{7596F212-3B65-46C2-ABAF-19E47EB5A125}"/>
    <cellStyle name="Normal 2 2 2 2 30 6 3" xfId="20302" xr:uid="{B7DEF593-1DE5-4C6F-8A66-B5722F1E2E69}"/>
    <cellStyle name="Normal 2 2 2 2 30 6 4" xfId="20303" xr:uid="{6A262315-8152-4411-963C-BC1A943140E4}"/>
    <cellStyle name="Normal 2 2 2 2 30 6 5" xfId="20304" xr:uid="{D835B568-AAFB-4A29-A27D-A460D0C686E4}"/>
    <cellStyle name="Normal 2 2 2 2 30 6 6" xfId="20305" xr:uid="{807228E9-6BE7-4ABB-AA7E-6E696AEFF18A}"/>
    <cellStyle name="Normal 2 2 2 2 30 7" xfId="20306" xr:uid="{7E5ECC02-9EA7-431B-9BA5-1684C8F1093A}"/>
    <cellStyle name="Normal 2 2 2 2 30 7 2" xfId="20307" xr:uid="{CFED654A-5C98-4383-B6AF-C3787FC5E7E3}"/>
    <cellStyle name="Normal 2 2 2 2 30 7 3" xfId="20308" xr:uid="{F7C2410A-6F09-4FBE-BCEB-73B9DD06EA9E}"/>
    <cellStyle name="Normal 2 2 2 2 30 7 4" xfId="20309" xr:uid="{3FCB42D6-5D68-4577-B962-ECB2D137E4EE}"/>
    <cellStyle name="Normal 2 2 2 2 30 7 5" xfId="20310" xr:uid="{7C112B2F-49BB-4345-B7EC-2E0E14F9466F}"/>
    <cellStyle name="Normal 2 2 2 2 30 7 6" xfId="20311" xr:uid="{B01CC9FB-2423-4D37-AEDA-2BA249510FF1}"/>
    <cellStyle name="Normal 2 2 2 2 30 8" xfId="20312" xr:uid="{4FC7A824-1DEA-43D1-B1B0-BF397B046CDD}"/>
    <cellStyle name="Normal 2 2 2 2 30 8 2" xfId="20313" xr:uid="{3717F871-3D52-4408-AB4A-03756B07BDF9}"/>
    <cellStyle name="Normal 2 2 2 2 30 8 3" xfId="20314" xr:uid="{4D17BF09-1C7D-4FF2-B26F-9A96E825AC7A}"/>
    <cellStyle name="Normal 2 2 2 2 30 8 4" xfId="20315" xr:uid="{09CF5F8F-948C-461F-AF02-B7DFB47D91C3}"/>
    <cellStyle name="Normal 2 2 2 2 30 8 5" xfId="20316" xr:uid="{34BB725F-7C2B-4DE2-A7B3-889418D218D1}"/>
    <cellStyle name="Normal 2 2 2 2 30 8 6" xfId="20317" xr:uid="{1746C5CB-5C3A-4C0D-AC39-1847051ABD3A}"/>
    <cellStyle name="Normal 2 2 2 2 30 9" xfId="20318" xr:uid="{FB7C36EA-B496-4A26-9CE1-25C986CD803A}"/>
    <cellStyle name="Normal 2 2 2 2 31" xfId="20319" xr:uid="{22BEB9F7-D18E-4C43-B2D4-FB9FB129BCAD}"/>
    <cellStyle name="Normal 2 2 2 2 31 10" xfId="20320" xr:uid="{B0526051-1041-4249-AD52-CDAFF9E0CF17}"/>
    <cellStyle name="Normal 2 2 2 2 31 11" xfId="20321" xr:uid="{7EBBC1C0-0EED-4DCE-88BA-B47D00383BAD}"/>
    <cellStyle name="Normal 2 2 2 2 31 12" xfId="20322" xr:uid="{54A11F31-D8BC-45D1-B464-0CA422360ABB}"/>
    <cellStyle name="Normal 2 2 2 2 31 13" xfId="20323" xr:uid="{1EFB4F42-C334-4C04-B4E5-063ECD5364E4}"/>
    <cellStyle name="Normal 2 2 2 2 31 2" xfId="20324" xr:uid="{18918ED0-E973-43D5-B033-86CD13F7FE9A}"/>
    <cellStyle name="Normal 2 2 2 2 31 2 2" xfId="20325" xr:uid="{2896C94C-5ACC-4C97-9651-91D9EFC0E192}"/>
    <cellStyle name="Normal 2 2 2 2 31 2 3" xfId="20326" xr:uid="{12A8ECCF-335D-4DFE-8754-F744B1EFA0A3}"/>
    <cellStyle name="Normal 2 2 2 2 31 2 4" xfId="20327" xr:uid="{49DCA47C-1A81-4027-A2AC-71EEDF5F1B81}"/>
    <cellStyle name="Normal 2 2 2 2 31 2 5" xfId="20328" xr:uid="{C78BFCCA-1F8A-4D59-AC2C-0696F34BD961}"/>
    <cellStyle name="Normal 2 2 2 2 31 2 6" xfId="20329" xr:uid="{D03AABCC-7BD5-4FD5-97C3-C1F81DC43149}"/>
    <cellStyle name="Normal 2 2 2 2 31 3" xfId="20330" xr:uid="{9D7B0D57-30B8-4A5B-963E-AA38860F7C6C}"/>
    <cellStyle name="Normal 2 2 2 2 31 3 2" xfId="20331" xr:uid="{CAE2E397-7DB2-43A4-B64A-7C3281DE7B2E}"/>
    <cellStyle name="Normal 2 2 2 2 31 3 3" xfId="20332" xr:uid="{EF45A490-D275-4BE6-A53C-968E1A395D41}"/>
    <cellStyle name="Normal 2 2 2 2 31 3 4" xfId="20333" xr:uid="{98B43635-5B6B-4417-994A-6B57E3F7ED63}"/>
    <cellStyle name="Normal 2 2 2 2 31 3 5" xfId="20334" xr:uid="{D6E577CD-28B7-4DE9-B01D-5E4520EF9658}"/>
    <cellStyle name="Normal 2 2 2 2 31 3 6" xfId="20335" xr:uid="{E067632A-6648-4311-B3B2-D4F94B94C3EA}"/>
    <cellStyle name="Normal 2 2 2 2 31 4" xfId="20336" xr:uid="{3D14DC91-E94B-481B-B78A-A3B764813D56}"/>
    <cellStyle name="Normal 2 2 2 2 31 4 2" xfId="20337" xr:uid="{E55A8C45-B591-46A0-92D7-5DD9AAD90619}"/>
    <cellStyle name="Normal 2 2 2 2 31 4 3" xfId="20338" xr:uid="{478DCA04-C28E-443B-AB3F-1E433BAAB456}"/>
    <cellStyle name="Normal 2 2 2 2 31 4 4" xfId="20339" xr:uid="{DC9ADBC0-4547-46C0-8B3F-B7687B0BA923}"/>
    <cellStyle name="Normal 2 2 2 2 31 4 5" xfId="20340" xr:uid="{793C19A4-D282-4C46-BA6A-7DFCD7A4BB15}"/>
    <cellStyle name="Normal 2 2 2 2 31 4 6" xfId="20341" xr:uid="{26FCA5E3-7B9D-4B23-B337-CBBA671172E5}"/>
    <cellStyle name="Normal 2 2 2 2 31 5" xfId="20342" xr:uid="{51AC5CEC-84D8-45A3-A333-E68719AA2A25}"/>
    <cellStyle name="Normal 2 2 2 2 31 5 2" xfId="20343" xr:uid="{44B75C13-5D6C-4A7E-9BF1-7FEC5BCBF5B8}"/>
    <cellStyle name="Normal 2 2 2 2 31 5 3" xfId="20344" xr:uid="{45DD5FD7-38F4-43E5-B954-6C3B178331B2}"/>
    <cellStyle name="Normal 2 2 2 2 31 5 4" xfId="20345" xr:uid="{C1851D9F-60B7-4A11-8462-87CBC8D78CB2}"/>
    <cellStyle name="Normal 2 2 2 2 31 5 5" xfId="20346" xr:uid="{DB0B7D91-2AD7-4821-9483-92331D4D87EF}"/>
    <cellStyle name="Normal 2 2 2 2 31 5 6" xfId="20347" xr:uid="{E117A660-CD73-4F6E-B727-31894BBCA07D}"/>
    <cellStyle name="Normal 2 2 2 2 31 6" xfId="20348" xr:uid="{18CE74FE-B96E-4487-84E8-10DED46358B7}"/>
    <cellStyle name="Normal 2 2 2 2 31 6 2" xfId="20349" xr:uid="{39CE3B10-0734-4EC0-BA18-26064937F087}"/>
    <cellStyle name="Normal 2 2 2 2 31 6 3" xfId="20350" xr:uid="{5B8B13C8-CD69-4256-8BA8-D0C54E8C571D}"/>
    <cellStyle name="Normal 2 2 2 2 31 6 4" xfId="20351" xr:uid="{C7579D8D-AD90-4ABB-B706-AE254D01A377}"/>
    <cellStyle name="Normal 2 2 2 2 31 6 5" xfId="20352" xr:uid="{16E579AF-0846-4CB4-99FC-4F15A733D0E1}"/>
    <cellStyle name="Normal 2 2 2 2 31 6 6" xfId="20353" xr:uid="{C8780994-2E2D-4AAC-AB15-815AF596B78A}"/>
    <cellStyle name="Normal 2 2 2 2 31 7" xfId="20354" xr:uid="{F1C3C316-7CDA-4394-A542-3B011A12CCC6}"/>
    <cellStyle name="Normal 2 2 2 2 31 7 2" xfId="20355" xr:uid="{77427F8C-6CFD-4525-B372-C740B5BB2181}"/>
    <cellStyle name="Normal 2 2 2 2 31 7 3" xfId="20356" xr:uid="{4015AF9C-20AD-4DE2-88F9-CED611673FC8}"/>
    <cellStyle name="Normal 2 2 2 2 31 7 4" xfId="20357" xr:uid="{36638F58-3811-4527-B133-E121282EEF9C}"/>
    <cellStyle name="Normal 2 2 2 2 31 7 5" xfId="20358" xr:uid="{4CDE0029-644D-46DA-8D39-74BF866AF4E1}"/>
    <cellStyle name="Normal 2 2 2 2 31 7 6" xfId="20359" xr:uid="{88EDE0BC-2CAB-4051-AF9E-15E55C0D9F3E}"/>
    <cellStyle name="Normal 2 2 2 2 31 8" xfId="20360" xr:uid="{F36BA577-116F-4C4A-B693-DAE0739F7450}"/>
    <cellStyle name="Normal 2 2 2 2 31 8 2" xfId="20361" xr:uid="{AAEA7F1D-A47F-41C4-A933-CF7B13736D05}"/>
    <cellStyle name="Normal 2 2 2 2 31 8 3" xfId="20362" xr:uid="{0B8E2E75-8363-4C9A-8E8E-95FCACD59834}"/>
    <cellStyle name="Normal 2 2 2 2 31 8 4" xfId="20363" xr:uid="{C23AA5C7-B767-490C-A25F-FBDAE4FDDE5B}"/>
    <cellStyle name="Normal 2 2 2 2 31 8 5" xfId="20364" xr:uid="{2425B6C8-695F-40E0-9834-8B0397A28ED7}"/>
    <cellStyle name="Normal 2 2 2 2 31 8 6" xfId="20365" xr:uid="{40A22E85-EAC7-4088-B721-C9414044FEF2}"/>
    <cellStyle name="Normal 2 2 2 2 31 9" xfId="20366" xr:uid="{49FE7F3B-B266-4AF2-A9EF-627C7031B0AE}"/>
    <cellStyle name="Normal 2 2 2 2 32" xfId="20367" xr:uid="{1CAAD094-C738-4B69-8F02-A4B6F4B85245}"/>
    <cellStyle name="Normal 2 2 2 2 32 10" xfId="20368" xr:uid="{7ACB8B36-5238-4AFB-BAE6-1BCE0423BC80}"/>
    <cellStyle name="Normal 2 2 2 2 32 11" xfId="20369" xr:uid="{EA886863-9784-46D2-9F73-CCCC8E09620F}"/>
    <cellStyle name="Normal 2 2 2 2 32 12" xfId="20370" xr:uid="{3C4BA36E-3048-4662-B382-EA8600EF59F9}"/>
    <cellStyle name="Normal 2 2 2 2 32 13" xfId="20371" xr:uid="{739DDF9A-5967-4C45-BCB8-5077D55F2256}"/>
    <cellStyle name="Normal 2 2 2 2 32 2" xfId="20372" xr:uid="{CFF877CC-8691-4791-851A-BA29251A4655}"/>
    <cellStyle name="Normal 2 2 2 2 32 2 2" xfId="20373" xr:uid="{ABAD73F2-A87A-4B58-A297-F63665A0198A}"/>
    <cellStyle name="Normal 2 2 2 2 32 2 3" xfId="20374" xr:uid="{4DD1C313-FF82-46C7-8028-4BDC2BE895F2}"/>
    <cellStyle name="Normal 2 2 2 2 32 2 4" xfId="20375" xr:uid="{26236184-235B-4491-9143-3821CB2BE1F5}"/>
    <cellStyle name="Normal 2 2 2 2 32 2 5" xfId="20376" xr:uid="{08CB662C-C4A9-4190-B9A8-838AF24A7300}"/>
    <cellStyle name="Normal 2 2 2 2 32 2 6" xfId="20377" xr:uid="{684986AE-D855-46AC-AC6E-A7861F16195C}"/>
    <cellStyle name="Normal 2 2 2 2 32 3" xfId="20378" xr:uid="{ADC09206-A3BC-452C-8BBA-F808DB8974A2}"/>
    <cellStyle name="Normal 2 2 2 2 32 3 2" xfId="20379" xr:uid="{28228F28-1B64-43B4-A325-18A96DCCC4E6}"/>
    <cellStyle name="Normal 2 2 2 2 32 3 3" xfId="20380" xr:uid="{CE1E5F65-898E-4622-9275-6B7A2B5BC149}"/>
    <cellStyle name="Normal 2 2 2 2 32 3 4" xfId="20381" xr:uid="{4F992384-9582-4409-87F2-892E0EEFA435}"/>
    <cellStyle name="Normal 2 2 2 2 32 3 5" xfId="20382" xr:uid="{2AAF3E01-E340-4644-B036-28F87982298F}"/>
    <cellStyle name="Normal 2 2 2 2 32 3 6" xfId="20383" xr:uid="{E8F52BAA-DC62-4C34-AC5F-9BFDF024B0ED}"/>
    <cellStyle name="Normal 2 2 2 2 32 4" xfId="20384" xr:uid="{790D1EE2-3ADB-4E79-A62F-2E1D796FE39D}"/>
    <cellStyle name="Normal 2 2 2 2 32 4 2" xfId="20385" xr:uid="{8DE90E8A-6EE1-4727-B928-2E1F118F02A5}"/>
    <cellStyle name="Normal 2 2 2 2 32 4 3" xfId="20386" xr:uid="{F7AEDD79-340A-4132-8029-0FA48245A978}"/>
    <cellStyle name="Normal 2 2 2 2 32 4 4" xfId="20387" xr:uid="{AF0E8735-7F51-49FA-8D0F-851687CB6D82}"/>
    <cellStyle name="Normal 2 2 2 2 32 4 5" xfId="20388" xr:uid="{71EC8A07-5627-436B-9583-CB29113D7381}"/>
    <cellStyle name="Normal 2 2 2 2 32 4 6" xfId="20389" xr:uid="{C4A2431E-EACE-49DA-A47C-6AFD7396BEF3}"/>
    <cellStyle name="Normal 2 2 2 2 32 5" xfId="20390" xr:uid="{30364FA9-7D2A-4681-ABD7-244FEDA4778E}"/>
    <cellStyle name="Normal 2 2 2 2 32 5 2" xfId="20391" xr:uid="{9791389E-CA46-4E85-B59C-7C02EDEC7240}"/>
    <cellStyle name="Normal 2 2 2 2 32 5 3" xfId="20392" xr:uid="{DB06178F-6C7C-4FDB-A27A-1E47DB78369E}"/>
    <cellStyle name="Normal 2 2 2 2 32 5 4" xfId="20393" xr:uid="{182F9E69-2F06-4E92-8AE7-D5B452311A68}"/>
    <cellStyle name="Normal 2 2 2 2 32 5 5" xfId="20394" xr:uid="{FBF466BD-B199-41A4-89A7-5C55A58B7161}"/>
    <cellStyle name="Normal 2 2 2 2 32 5 6" xfId="20395" xr:uid="{90281ABB-5398-43EE-B657-21E4B73B36DF}"/>
    <cellStyle name="Normal 2 2 2 2 32 6" xfId="20396" xr:uid="{2EDEC624-BD83-47CF-BA6A-CB6E9D6C3A6A}"/>
    <cellStyle name="Normal 2 2 2 2 32 6 2" xfId="20397" xr:uid="{9FE06E8C-FC05-4429-A538-A966938AF1BA}"/>
    <cellStyle name="Normal 2 2 2 2 32 6 3" xfId="20398" xr:uid="{3AAAC7D5-DA71-4D67-B704-BEB99313A733}"/>
    <cellStyle name="Normal 2 2 2 2 32 6 4" xfId="20399" xr:uid="{0A06C421-F9D5-4121-BDDA-EBA70DB5ED83}"/>
    <cellStyle name="Normal 2 2 2 2 32 6 5" xfId="20400" xr:uid="{ED87C52C-1077-4B1C-9288-749C3FE42349}"/>
    <cellStyle name="Normal 2 2 2 2 32 6 6" xfId="20401" xr:uid="{CE95F627-35CC-4176-9EF6-F066B15E14D1}"/>
    <cellStyle name="Normal 2 2 2 2 32 7" xfId="20402" xr:uid="{C63138E5-3EB6-49A1-A215-86E00DB5AA55}"/>
    <cellStyle name="Normal 2 2 2 2 32 7 2" xfId="20403" xr:uid="{99D138C5-4B5A-4541-822E-A7DEEAE8A5B2}"/>
    <cellStyle name="Normal 2 2 2 2 32 7 3" xfId="20404" xr:uid="{6CC296A7-542E-48F7-A6FA-F352870D660E}"/>
    <cellStyle name="Normal 2 2 2 2 32 7 4" xfId="20405" xr:uid="{553AF067-2BCB-47D6-8046-E907389B6BD1}"/>
    <cellStyle name="Normal 2 2 2 2 32 7 5" xfId="20406" xr:uid="{D70F836B-B88E-4C44-9412-CCA71DEFFAC4}"/>
    <cellStyle name="Normal 2 2 2 2 32 7 6" xfId="20407" xr:uid="{57EFE77E-E0C7-4D81-B76E-354EB103CD23}"/>
    <cellStyle name="Normal 2 2 2 2 32 8" xfId="20408" xr:uid="{7874DB29-A132-4C8B-8956-7E4FE1E4C777}"/>
    <cellStyle name="Normal 2 2 2 2 32 8 2" xfId="20409" xr:uid="{95FC3467-8AC8-4F4B-A412-FC943B2DF6DE}"/>
    <cellStyle name="Normal 2 2 2 2 32 8 3" xfId="20410" xr:uid="{5A9E4503-122A-4B3B-BF3C-E661309EF792}"/>
    <cellStyle name="Normal 2 2 2 2 32 8 4" xfId="20411" xr:uid="{6A845CC6-EE40-4F9B-AABF-B6BC9310506E}"/>
    <cellStyle name="Normal 2 2 2 2 32 8 5" xfId="20412" xr:uid="{E3B68A20-5318-40EA-BB0C-2726B528B62F}"/>
    <cellStyle name="Normal 2 2 2 2 32 8 6" xfId="20413" xr:uid="{930DC762-B8C7-40CD-993C-EF2D610A0299}"/>
    <cellStyle name="Normal 2 2 2 2 32 9" xfId="20414" xr:uid="{537D10C6-926C-47E5-AD51-ED7A017A9E16}"/>
    <cellStyle name="Normal 2 2 2 2 33" xfId="20415" xr:uid="{5F60D328-D93A-4E90-B5B3-77A72540C466}"/>
    <cellStyle name="Normal 2 2 2 2 33 10" xfId="20416" xr:uid="{D16BF060-4C52-42F8-A746-54B9C10F5F92}"/>
    <cellStyle name="Normal 2 2 2 2 33 11" xfId="20417" xr:uid="{7FEAB640-6971-4468-87D3-0C6BD5A41D50}"/>
    <cellStyle name="Normal 2 2 2 2 33 12" xfId="20418" xr:uid="{5B0525CA-F99C-4700-8EE7-6BB0B2E27356}"/>
    <cellStyle name="Normal 2 2 2 2 33 13" xfId="20419" xr:uid="{84651470-FFFE-47E7-B18C-0B5A83FBD4FF}"/>
    <cellStyle name="Normal 2 2 2 2 33 2" xfId="20420" xr:uid="{DE354D81-D2F3-4795-9E3B-30FF5F5F2F44}"/>
    <cellStyle name="Normal 2 2 2 2 33 2 2" xfId="20421" xr:uid="{D77F8373-F12F-47B0-AE42-05AFC68EA3E3}"/>
    <cellStyle name="Normal 2 2 2 2 33 2 3" xfId="20422" xr:uid="{E754C878-C1E2-4AB6-8964-1A814A8670E1}"/>
    <cellStyle name="Normal 2 2 2 2 33 2 4" xfId="20423" xr:uid="{512E4EFE-B851-47AB-A307-B80A0BF9CEDD}"/>
    <cellStyle name="Normal 2 2 2 2 33 2 5" xfId="20424" xr:uid="{82D96116-976D-4383-BA80-2505DDFA8BEF}"/>
    <cellStyle name="Normal 2 2 2 2 33 2 6" xfId="20425" xr:uid="{E83505B8-4C76-44A5-99BD-5CE324497295}"/>
    <cellStyle name="Normal 2 2 2 2 33 3" xfId="20426" xr:uid="{6F997B7A-16A1-42CD-9720-EC6604F37DAD}"/>
    <cellStyle name="Normal 2 2 2 2 33 3 2" xfId="20427" xr:uid="{3872A4FA-F6E3-42CF-B50B-8CBD69602AF9}"/>
    <cellStyle name="Normal 2 2 2 2 33 3 3" xfId="20428" xr:uid="{DBFE4E4E-1E45-4BD7-80E5-2AE4289B34AD}"/>
    <cellStyle name="Normal 2 2 2 2 33 3 4" xfId="20429" xr:uid="{01389E0D-C5D9-40FE-A7EB-5FBF517984A9}"/>
    <cellStyle name="Normal 2 2 2 2 33 3 5" xfId="20430" xr:uid="{AC28D024-5045-4278-B9DE-847F459975EE}"/>
    <cellStyle name="Normal 2 2 2 2 33 3 6" xfId="20431" xr:uid="{B2453FDC-827F-4631-946E-486C64FB8784}"/>
    <cellStyle name="Normal 2 2 2 2 33 4" xfId="20432" xr:uid="{1C2D0CDA-7428-4615-86D2-EA42EE01CFCB}"/>
    <cellStyle name="Normal 2 2 2 2 33 4 2" xfId="20433" xr:uid="{6BEE6CA9-565F-445C-885D-2262BA6D6393}"/>
    <cellStyle name="Normal 2 2 2 2 33 4 3" xfId="20434" xr:uid="{918769DC-9098-44F9-B9C1-F5FE42923E1D}"/>
    <cellStyle name="Normal 2 2 2 2 33 4 4" xfId="20435" xr:uid="{3638485C-7AF1-4371-93D8-69C902C7514D}"/>
    <cellStyle name="Normal 2 2 2 2 33 4 5" xfId="20436" xr:uid="{E8B5B9D5-D9BD-44EB-B0F9-4F4421E59BE5}"/>
    <cellStyle name="Normal 2 2 2 2 33 4 6" xfId="20437" xr:uid="{3F95181F-190B-4193-80F8-CFD6CA38D71B}"/>
    <cellStyle name="Normal 2 2 2 2 33 5" xfId="20438" xr:uid="{43AE7ED0-F02E-4CA5-8EA7-36C3F1B99DB4}"/>
    <cellStyle name="Normal 2 2 2 2 33 5 2" xfId="20439" xr:uid="{3B154353-E251-4A87-AB56-90459EB91770}"/>
    <cellStyle name="Normal 2 2 2 2 33 5 3" xfId="20440" xr:uid="{3147B94F-52FF-4190-B9C1-AB334181D8A5}"/>
    <cellStyle name="Normal 2 2 2 2 33 5 4" xfId="20441" xr:uid="{7CF62137-D41E-4492-B01B-97E6F128D0B5}"/>
    <cellStyle name="Normal 2 2 2 2 33 5 5" xfId="20442" xr:uid="{0D6D3F52-1D08-404D-AE91-1251CB5B0ABF}"/>
    <cellStyle name="Normal 2 2 2 2 33 5 6" xfId="20443" xr:uid="{55C57122-B162-4485-96AE-D0E5EC6F4A88}"/>
    <cellStyle name="Normal 2 2 2 2 33 6" xfId="20444" xr:uid="{7C82001A-4AB8-4F59-8B0F-4B107FF29633}"/>
    <cellStyle name="Normal 2 2 2 2 33 6 2" xfId="20445" xr:uid="{D36BA7F7-501B-47CD-A130-5A733C50274E}"/>
    <cellStyle name="Normal 2 2 2 2 33 6 3" xfId="20446" xr:uid="{87F0AB62-E24D-45EC-B482-BD47FAA72F32}"/>
    <cellStyle name="Normal 2 2 2 2 33 6 4" xfId="20447" xr:uid="{A0CFE36C-FAC8-4486-8C59-BFB7B865CEC8}"/>
    <cellStyle name="Normal 2 2 2 2 33 6 5" xfId="20448" xr:uid="{4593E944-2FE8-4828-9EDD-C799B96C75CF}"/>
    <cellStyle name="Normal 2 2 2 2 33 6 6" xfId="20449" xr:uid="{B1018D86-57F7-4EA9-9031-AB6E96DB652C}"/>
    <cellStyle name="Normal 2 2 2 2 33 7" xfId="20450" xr:uid="{4C052E8A-7536-43B8-AAF2-6B082E26B6EB}"/>
    <cellStyle name="Normal 2 2 2 2 33 7 2" xfId="20451" xr:uid="{7C479004-E9DE-4CE4-9492-A5F229F107AC}"/>
    <cellStyle name="Normal 2 2 2 2 33 7 3" xfId="20452" xr:uid="{E09C987A-CA91-4BC7-8BB3-86387A3A3DD9}"/>
    <cellStyle name="Normal 2 2 2 2 33 7 4" xfId="20453" xr:uid="{A948C515-D1EB-4F1A-9BFF-8437DFD31830}"/>
    <cellStyle name="Normal 2 2 2 2 33 7 5" xfId="20454" xr:uid="{6BFB65DC-D479-4B87-84D2-C6B682BCA18A}"/>
    <cellStyle name="Normal 2 2 2 2 33 7 6" xfId="20455" xr:uid="{CB5827E1-D5D9-4A43-B477-DDFFBAED4AD6}"/>
    <cellStyle name="Normal 2 2 2 2 33 8" xfId="20456" xr:uid="{F4E7D6E6-3409-41D1-AA35-43CACF087EF1}"/>
    <cellStyle name="Normal 2 2 2 2 33 8 2" xfId="20457" xr:uid="{2F11A486-01D3-4090-A9D9-BF7C368CCCDB}"/>
    <cellStyle name="Normal 2 2 2 2 33 8 3" xfId="20458" xr:uid="{93FCB8A0-A9FC-4730-BFF8-C488D1728AAC}"/>
    <cellStyle name="Normal 2 2 2 2 33 8 4" xfId="20459" xr:uid="{71DBE54D-9FDB-43E2-B713-C107D3F2065F}"/>
    <cellStyle name="Normal 2 2 2 2 33 8 5" xfId="20460" xr:uid="{0CD4E2CA-985F-4B9B-983D-45FDF175701A}"/>
    <cellStyle name="Normal 2 2 2 2 33 8 6" xfId="20461" xr:uid="{EB4592BE-716A-4037-A941-2316ADEEC709}"/>
    <cellStyle name="Normal 2 2 2 2 33 9" xfId="20462" xr:uid="{BC0A6929-8BC7-4F53-9025-70D76AA64CFC}"/>
    <cellStyle name="Normal 2 2 2 2 34" xfId="20463" xr:uid="{C8E9EC6E-2940-454D-A638-E25C74EACB98}"/>
    <cellStyle name="Normal 2 2 2 2 34 10" xfId="20464" xr:uid="{210DE46E-1293-4DCC-B6EE-09CE20FFD495}"/>
    <cellStyle name="Normal 2 2 2 2 34 11" xfId="20465" xr:uid="{F513C0AB-6FBB-4808-8304-67CD441FC1E2}"/>
    <cellStyle name="Normal 2 2 2 2 34 12" xfId="20466" xr:uid="{54357A80-09DB-47F4-9719-03E84E9C7136}"/>
    <cellStyle name="Normal 2 2 2 2 34 13" xfId="20467" xr:uid="{6BDBC2FB-1BF5-4DF0-A6D3-A78ED6EBD501}"/>
    <cellStyle name="Normal 2 2 2 2 34 2" xfId="20468" xr:uid="{CFB89656-0721-4D33-BD7C-36C8E203BA07}"/>
    <cellStyle name="Normal 2 2 2 2 34 2 2" xfId="20469" xr:uid="{357CEFCC-D128-4C38-B0EA-461017D3BC76}"/>
    <cellStyle name="Normal 2 2 2 2 34 2 3" xfId="20470" xr:uid="{1BB55FE6-2494-412A-8684-AA0EE924A00C}"/>
    <cellStyle name="Normal 2 2 2 2 34 2 4" xfId="20471" xr:uid="{C324E36F-F507-49D8-A14C-3DA451B4A218}"/>
    <cellStyle name="Normal 2 2 2 2 34 2 5" xfId="20472" xr:uid="{396317ED-D99D-4129-A778-08EF59711F5B}"/>
    <cellStyle name="Normal 2 2 2 2 34 2 6" xfId="20473" xr:uid="{A4714C8B-2267-490D-8C05-2FBA1C4EAF1B}"/>
    <cellStyle name="Normal 2 2 2 2 34 3" xfId="20474" xr:uid="{91D30806-18A2-422A-A338-605E82CCF24D}"/>
    <cellStyle name="Normal 2 2 2 2 34 3 2" xfId="20475" xr:uid="{70B78F6B-30A8-4A1D-A569-C740E76CCF8C}"/>
    <cellStyle name="Normal 2 2 2 2 34 3 3" xfId="20476" xr:uid="{6191E379-F5E7-490F-AB20-4B5A1E96ACFD}"/>
    <cellStyle name="Normal 2 2 2 2 34 3 4" xfId="20477" xr:uid="{6F2CD213-8DCF-47A6-9318-8356271ED964}"/>
    <cellStyle name="Normal 2 2 2 2 34 3 5" xfId="20478" xr:uid="{3CAC3E0D-2FA0-4B49-8E47-C3F766573ECC}"/>
    <cellStyle name="Normal 2 2 2 2 34 3 6" xfId="20479" xr:uid="{499C2AE2-F7F0-4D08-AF79-E9FFD4159A8A}"/>
    <cellStyle name="Normal 2 2 2 2 34 4" xfId="20480" xr:uid="{7A00472E-DE01-4133-9BA6-CD90348D8200}"/>
    <cellStyle name="Normal 2 2 2 2 34 4 2" xfId="20481" xr:uid="{F6A47280-7C1F-47AD-AE45-7B5CA081F01E}"/>
    <cellStyle name="Normal 2 2 2 2 34 4 3" xfId="20482" xr:uid="{0594D014-EC60-426D-BF6B-B6E82A9B7519}"/>
    <cellStyle name="Normal 2 2 2 2 34 4 4" xfId="20483" xr:uid="{968D9108-5E40-4BD8-B9CC-9F9C5FE52CCA}"/>
    <cellStyle name="Normal 2 2 2 2 34 4 5" xfId="20484" xr:uid="{0B7E2930-4D8E-4EF4-9365-38B161FA7F0A}"/>
    <cellStyle name="Normal 2 2 2 2 34 4 6" xfId="20485" xr:uid="{D27ABA38-4480-4327-88BD-591ADBEB5556}"/>
    <cellStyle name="Normal 2 2 2 2 34 5" xfId="20486" xr:uid="{F52705D8-9A5A-4EB2-A36A-9177D2AFC816}"/>
    <cellStyle name="Normal 2 2 2 2 34 5 2" xfId="20487" xr:uid="{5EA6EAD8-5ADC-40C3-884C-74CFAFD7AE84}"/>
    <cellStyle name="Normal 2 2 2 2 34 5 3" xfId="20488" xr:uid="{F49F9C6B-5561-41D5-A587-5E9A2A462BC2}"/>
    <cellStyle name="Normal 2 2 2 2 34 5 4" xfId="20489" xr:uid="{930AACC9-E5FA-4282-8E40-BF60081283B7}"/>
    <cellStyle name="Normal 2 2 2 2 34 5 5" xfId="20490" xr:uid="{AD40950D-A123-4024-AE67-EFCFA582FEF4}"/>
    <cellStyle name="Normal 2 2 2 2 34 5 6" xfId="20491" xr:uid="{E3E50D0B-9761-4133-9CF6-CA8930C69995}"/>
    <cellStyle name="Normal 2 2 2 2 34 6" xfId="20492" xr:uid="{A6D0AF2D-617B-4BCE-B0E0-4EEC57BB93AA}"/>
    <cellStyle name="Normal 2 2 2 2 34 6 2" xfId="20493" xr:uid="{C1D41E08-6774-40DA-BF0D-35AC80A92602}"/>
    <cellStyle name="Normal 2 2 2 2 34 6 3" xfId="20494" xr:uid="{5BF585E9-15EE-4F3C-B36D-8ECE27792B97}"/>
    <cellStyle name="Normal 2 2 2 2 34 6 4" xfId="20495" xr:uid="{2AB7B22B-938A-4F81-8B7A-AD51EC3D66AD}"/>
    <cellStyle name="Normal 2 2 2 2 34 6 5" xfId="20496" xr:uid="{43012C43-66F0-4C3E-BE11-ECC39325E0D7}"/>
    <cellStyle name="Normal 2 2 2 2 34 6 6" xfId="20497" xr:uid="{D63D22B9-73D7-4B49-AFAE-4697E4CBC730}"/>
    <cellStyle name="Normal 2 2 2 2 34 7" xfId="20498" xr:uid="{540B36D8-7070-44BE-A93B-A79723D69626}"/>
    <cellStyle name="Normal 2 2 2 2 34 7 2" xfId="20499" xr:uid="{3F233F3F-E5E2-4F57-A5AB-380B44444C2C}"/>
    <cellStyle name="Normal 2 2 2 2 34 7 3" xfId="20500" xr:uid="{014E6259-3210-4034-9A0B-1D1779BCC186}"/>
    <cellStyle name="Normal 2 2 2 2 34 7 4" xfId="20501" xr:uid="{468218A6-BDEB-4A10-8FDB-2445C5CF627E}"/>
    <cellStyle name="Normal 2 2 2 2 34 7 5" xfId="20502" xr:uid="{564B5B21-F196-451E-A738-5660B53788DD}"/>
    <cellStyle name="Normal 2 2 2 2 34 7 6" xfId="20503" xr:uid="{9D055735-8FDD-4B8F-8732-2881814E7C70}"/>
    <cellStyle name="Normal 2 2 2 2 34 8" xfId="20504" xr:uid="{C0CEE1A8-8570-432E-AE1D-ABB3E8347B38}"/>
    <cellStyle name="Normal 2 2 2 2 34 8 2" xfId="20505" xr:uid="{70CFBF45-6D93-4C80-9662-6991512B2BD3}"/>
    <cellStyle name="Normal 2 2 2 2 34 8 3" xfId="20506" xr:uid="{29114D9A-D8B2-4232-86DA-FD3C023ACC07}"/>
    <cellStyle name="Normal 2 2 2 2 34 8 4" xfId="20507" xr:uid="{9FD73CCC-7F31-454B-82DF-F88FF5305BBE}"/>
    <cellStyle name="Normal 2 2 2 2 34 8 5" xfId="20508" xr:uid="{2C7EA93C-6841-48E4-A277-67B8F26238BF}"/>
    <cellStyle name="Normal 2 2 2 2 34 8 6" xfId="20509" xr:uid="{5C3B3C5E-10ED-4333-A4D4-1EE42A3952ED}"/>
    <cellStyle name="Normal 2 2 2 2 34 9" xfId="20510" xr:uid="{C3A1DE23-BC01-49F8-955A-420D9DB50A86}"/>
    <cellStyle name="Normal 2 2 2 2 35" xfId="20511" xr:uid="{F1165DF9-C85D-4369-BD71-33E3EC3EB532}"/>
    <cellStyle name="Normal 2 2 2 2 35 10" xfId="20512" xr:uid="{9E908027-30D5-441C-9F2E-09CB83683147}"/>
    <cellStyle name="Normal 2 2 2 2 35 11" xfId="20513" xr:uid="{454C191B-0CF2-4821-B311-B97383EE581F}"/>
    <cellStyle name="Normal 2 2 2 2 35 12" xfId="20514" xr:uid="{553608D7-CF52-41DF-8C72-41E9F835CA30}"/>
    <cellStyle name="Normal 2 2 2 2 35 13" xfId="20515" xr:uid="{7D436626-020E-425B-AEE4-755939F66485}"/>
    <cellStyle name="Normal 2 2 2 2 35 2" xfId="20516" xr:uid="{AA2B2AE3-33B0-489E-B7A3-4A2EE441AA3E}"/>
    <cellStyle name="Normal 2 2 2 2 35 2 2" xfId="20517" xr:uid="{CF2A5916-842A-4B0A-AED3-E594DF9DB71C}"/>
    <cellStyle name="Normal 2 2 2 2 35 2 3" xfId="20518" xr:uid="{D3B5FFC0-A630-4916-9D46-FE7188305044}"/>
    <cellStyle name="Normal 2 2 2 2 35 2 4" xfId="20519" xr:uid="{10DE54CD-DD20-4133-A537-1B01D626A45E}"/>
    <cellStyle name="Normal 2 2 2 2 35 2 5" xfId="20520" xr:uid="{6A7819F4-7AB9-4E1C-A113-73967EE2344D}"/>
    <cellStyle name="Normal 2 2 2 2 35 2 6" xfId="20521" xr:uid="{917AEEE1-230A-4002-929B-B86D7FF85516}"/>
    <cellStyle name="Normal 2 2 2 2 35 3" xfId="20522" xr:uid="{59A3873A-BFEE-45A1-A1A7-FE95EC8CF456}"/>
    <cellStyle name="Normal 2 2 2 2 35 3 2" xfId="20523" xr:uid="{A155F45B-7D2B-4A73-8DC5-8FDA0ED3C049}"/>
    <cellStyle name="Normal 2 2 2 2 35 3 3" xfId="20524" xr:uid="{00392E52-30D3-4C3E-94DF-136DCF7C8061}"/>
    <cellStyle name="Normal 2 2 2 2 35 3 4" xfId="20525" xr:uid="{A8C6CCCD-0364-4913-B04C-3C3B5C31DAE0}"/>
    <cellStyle name="Normal 2 2 2 2 35 3 5" xfId="20526" xr:uid="{7128759C-BB52-4821-A735-C9344514E74D}"/>
    <cellStyle name="Normal 2 2 2 2 35 3 6" xfId="20527" xr:uid="{0549572D-0C23-4BA3-8178-435488269357}"/>
    <cellStyle name="Normal 2 2 2 2 35 4" xfId="20528" xr:uid="{7A81BF6B-652B-4F82-91EF-749078A85901}"/>
    <cellStyle name="Normal 2 2 2 2 35 4 2" xfId="20529" xr:uid="{15117687-8B7B-4676-828A-9CA99221FF1A}"/>
    <cellStyle name="Normal 2 2 2 2 35 4 3" xfId="20530" xr:uid="{5F83CAE6-83CF-40A3-A0D7-BC6015CCA2AD}"/>
    <cellStyle name="Normal 2 2 2 2 35 4 4" xfId="20531" xr:uid="{B406E43B-FAD4-4BD2-BF72-58443455D430}"/>
    <cellStyle name="Normal 2 2 2 2 35 4 5" xfId="20532" xr:uid="{118D37C5-D773-4237-AD58-90A3D9341F22}"/>
    <cellStyle name="Normal 2 2 2 2 35 4 6" xfId="20533" xr:uid="{DFD1956B-3942-486E-AA83-502B390BE893}"/>
    <cellStyle name="Normal 2 2 2 2 35 5" xfId="20534" xr:uid="{1DEB1FC9-4D4A-4355-9517-E0157CEADD29}"/>
    <cellStyle name="Normal 2 2 2 2 35 5 2" xfId="20535" xr:uid="{655CD1AF-401B-472A-B02D-B777B3854BE9}"/>
    <cellStyle name="Normal 2 2 2 2 35 5 3" xfId="20536" xr:uid="{9CF33229-ED59-43E7-922A-0C0120ADA228}"/>
    <cellStyle name="Normal 2 2 2 2 35 5 4" xfId="20537" xr:uid="{2A9A73BE-A464-4B6C-91DA-AFEA75878C72}"/>
    <cellStyle name="Normal 2 2 2 2 35 5 5" xfId="20538" xr:uid="{D26781A5-686B-4CC0-A71F-2D4D95702EC1}"/>
    <cellStyle name="Normal 2 2 2 2 35 5 6" xfId="20539" xr:uid="{A3AE3FBF-259E-402B-998B-8F7F3E708E41}"/>
    <cellStyle name="Normal 2 2 2 2 35 6" xfId="20540" xr:uid="{4F782643-10CC-45CC-9694-FBE1A596EE46}"/>
    <cellStyle name="Normal 2 2 2 2 35 6 2" xfId="20541" xr:uid="{0FAC68A8-A98A-4329-BB52-18C738AEB2CD}"/>
    <cellStyle name="Normal 2 2 2 2 35 6 3" xfId="20542" xr:uid="{0F22DF39-820E-48AA-85E6-5E06A1F7E8FC}"/>
    <cellStyle name="Normal 2 2 2 2 35 6 4" xfId="20543" xr:uid="{0BDFA8BC-FEC1-490E-A705-FA27890DEC39}"/>
    <cellStyle name="Normal 2 2 2 2 35 6 5" xfId="20544" xr:uid="{C7D7BA57-4EB9-47B3-8844-DC8B565BFF2C}"/>
    <cellStyle name="Normal 2 2 2 2 35 6 6" xfId="20545" xr:uid="{5C989138-D4C1-4C0B-9E3D-B5256A71DD83}"/>
    <cellStyle name="Normal 2 2 2 2 35 7" xfId="20546" xr:uid="{33B69730-4900-4FD0-92F8-D2BF9198451B}"/>
    <cellStyle name="Normal 2 2 2 2 35 7 2" xfId="20547" xr:uid="{A43C5B68-6CAD-40D1-BA03-005156E75899}"/>
    <cellStyle name="Normal 2 2 2 2 35 7 3" xfId="20548" xr:uid="{DFADAD59-3AC5-4592-BC0B-1DCF4327CEEE}"/>
    <cellStyle name="Normal 2 2 2 2 35 7 4" xfId="20549" xr:uid="{60A4C7F8-0851-4EBD-B837-E70C0112C64B}"/>
    <cellStyle name="Normal 2 2 2 2 35 7 5" xfId="20550" xr:uid="{32E90F6B-5284-4A26-921A-CDCF6F50D4F0}"/>
    <cellStyle name="Normal 2 2 2 2 35 7 6" xfId="20551" xr:uid="{A296A34F-03E7-4B72-8E61-C0C44B62693A}"/>
    <cellStyle name="Normal 2 2 2 2 35 8" xfId="20552" xr:uid="{FCD7216B-96C7-4056-ACE7-F987169E9669}"/>
    <cellStyle name="Normal 2 2 2 2 35 8 2" xfId="20553" xr:uid="{99830038-0EF1-4B58-B07A-4784B6CDEDA3}"/>
    <cellStyle name="Normal 2 2 2 2 35 8 3" xfId="20554" xr:uid="{F0144778-342E-45A0-B8A3-3349CE4B8270}"/>
    <cellStyle name="Normal 2 2 2 2 35 8 4" xfId="20555" xr:uid="{B1FFDA81-0457-4F59-BDC8-5B4EF9F12F27}"/>
    <cellStyle name="Normal 2 2 2 2 35 8 5" xfId="20556" xr:uid="{A0DD2540-25BF-486E-BC3C-0DA7EE41E04D}"/>
    <cellStyle name="Normal 2 2 2 2 35 8 6" xfId="20557" xr:uid="{65C305AE-B422-4199-89D4-420747F1EF1A}"/>
    <cellStyle name="Normal 2 2 2 2 35 9" xfId="20558" xr:uid="{030FC40B-C255-4145-A4DE-4E30DFF43105}"/>
    <cellStyle name="Normal 2 2 2 2 36" xfId="20559" xr:uid="{5F5BA37B-2E43-48CB-9C13-B4D9800B4700}"/>
    <cellStyle name="Normal 2 2 2 2 36 10" xfId="20560" xr:uid="{F9018BEC-5209-4840-B1F8-3215192552C0}"/>
    <cellStyle name="Normal 2 2 2 2 36 11" xfId="20561" xr:uid="{5DC3B9FE-305E-408A-99E6-9D5EE5ABABE3}"/>
    <cellStyle name="Normal 2 2 2 2 36 12" xfId="20562" xr:uid="{B507AEEC-D825-46F5-8944-55EDC69B18C7}"/>
    <cellStyle name="Normal 2 2 2 2 36 13" xfId="20563" xr:uid="{D49C0672-8FF6-4F6E-A5FA-9F8B4B1F1CD7}"/>
    <cellStyle name="Normal 2 2 2 2 36 2" xfId="20564" xr:uid="{C92F23B7-FB7F-4227-B919-333147136AE3}"/>
    <cellStyle name="Normal 2 2 2 2 36 2 2" xfId="20565" xr:uid="{6E01EDF2-6ECB-4F4A-BBA5-46B52A03E69B}"/>
    <cellStyle name="Normal 2 2 2 2 36 2 3" xfId="20566" xr:uid="{93A6DBFB-2B72-4E68-8697-D8F71F886EA4}"/>
    <cellStyle name="Normal 2 2 2 2 36 2 4" xfId="20567" xr:uid="{CC74A212-2E9A-4745-BAC0-B7467CACB3B8}"/>
    <cellStyle name="Normal 2 2 2 2 36 2 5" xfId="20568" xr:uid="{A2D35C55-7F7D-4159-9FCD-BD24714D78DE}"/>
    <cellStyle name="Normal 2 2 2 2 36 2 6" xfId="20569" xr:uid="{DC18914C-8D51-4C55-836A-7D5C4CA4D91B}"/>
    <cellStyle name="Normal 2 2 2 2 36 3" xfId="20570" xr:uid="{ED4A2B4D-B791-4DCA-B1B9-BC24FEE573B3}"/>
    <cellStyle name="Normal 2 2 2 2 36 3 2" xfId="20571" xr:uid="{353802DD-A376-4928-9D48-1F298E9F0643}"/>
    <cellStyle name="Normal 2 2 2 2 36 3 3" xfId="20572" xr:uid="{C73D5C27-493F-4BF3-96B7-61F8F49D718C}"/>
    <cellStyle name="Normal 2 2 2 2 36 3 4" xfId="20573" xr:uid="{E69E2015-D9E1-4806-AF85-FED579F8F0F9}"/>
    <cellStyle name="Normal 2 2 2 2 36 3 5" xfId="20574" xr:uid="{A2AE982A-0D69-4806-843C-06B04F06D7EF}"/>
    <cellStyle name="Normal 2 2 2 2 36 3 6" xfId="20575" xr:uid="{9BB42767-19C1-49E5-BB64-2E9B9BC3391A}"/>
    <cellStyle name="Normal 2 2 2 2 36 4" xfId="20576" xr:uid="{01FF0E51-EE1C-45D8-B493-910B4C78A89F}"/>
    <cellStyle name="Normal 2 2 2 2 36 4 2" xfId="20577" xr:uid="{A470C666-5947-4910-AEBB-95447545AA78}"/>
    <cellStyle name="Normal 2 2 2 2 36 4 3" xfId="20578" xr:uid="{4488B873-CC69-4FC5-AC7B-42D7AAE504C5}"/>
    <cellStyle name="Normal 2 2 2 2 36 4 4" xfId="20579" xr:uid="{928C559B-9C54-4EF5-AF4B-55FD33E73355}"/>
    <cellStyle name="Normal 2 2 2 2 36 4 5" xfId="20580" xr:uid="{229FABD2-16FF-406D-ACAD-B7EBE65BCF61}"/>
    <cellStyle name="Normal 2 2 2 2 36 4 6" xfId="20581" xr:uid="{6B6AB8C4-470C-4CFE-861F-8F280D70BCB7}"/>
    <cellStyle name="Normal 2 2 2 2 36 5" xfId="20582" xr:uid="{E7269316-D830-4443-ADEC-DAA506DF407C}"/>
    <cellStyle name="Normal 2 2 2 2 36 5 2" xfId="20583" xr:uid="{95A1469F-EA51-49A1-ADC7-E45D6E8C4B4A}"/>
    <cellStyle name="Normal 2 2 2 2 36 5 3" xfId="20584" xr:uid="{C2DED73B-DA18-447F-B8C3-F410685CB537}"/>
    <cellStyle name="Normal 2 2 2 2 36 5 4" xfId="20585" xr:uid="{BCE76145-22C2-4C41-A044-303D41283393}"/>
    <cellStyle name="Normal 2 2 2 2 36 5 5" xfId="20586" xr:uid="{DE99A9B2-B1FF-442D-9629-4B8629431CFB}"/>
    <cellStyle name="Normal 2 2 2 2 36 5 6" xfId="20587" xr:uid="{BB903FED-AA80-4CDB-BEAD-7AF56682D5EF}"/>
    <cellStyle name="Normal 2 2 2 2 36 6" xfId="20588" xr:uid="{9A38D703-B4D3-44E3-8CAF-EF3B4AA953B4}"/>
    <cellStyle name="Normal 2 2 2 2 36 6 2" xfId="20589" xr:uid="{2A41C244-DD92-4E7E-B00E-453CBFA0F035}"/>
    <cellStyle name="Normal 2 2 2 2 36 6 3" xfId="20590" xr:uid="{AE4066C9-3657-4FDE-B067-B3EE95C5FF88}"/>
    <cellStyle name="Normal 2 2 2 2 36 6 4" xfId="20591" xr:uid="{16C64458-3D64-41FD-BD3F-7222C96DDB86}"/>
    <cellStyle name="Normal 2 2 2 2 36 6 5" xfId="20592" xr:uid="{73BFB583-EFC6-461E-93E9-742B0B392F5F}"/>
    <cellStyle name="Normal 2 2 2 2 36 6 6" xfId="20593" xr:uid="{7A0E3BBB-86A7-4714-AA73-B2D798967B60}"/>
    <cellStyle name="Normal 2 2 2 2 36 7" xfId="20594" xr:uid="{6783A23C-0C4A-4620-BB33-217C891ADE8C}"/>
    <cellStyle name="Normal 2 2 2 2 36 7 2" xfId="20595" xr:uid="{9CF9A388-AA99-452C-B80F-97E6640D5370}"/>
    <cellStyle name="Normal 2 2 2 2 36 7 3" xfId="20596" xr:uid="{41A6F7D5-D405-4B00-9326-347B26131DE3}"/>
    <cellStyle name="Normal 2 2 2 2 36 7 4" xfId="20597" xr:uid="{8A197BC2-1C70-4D6E-84F6-2F798B8B4856}"/>
    <cellStyle name="Normal 2 2 2 2 36 7 5" xfId="20598" xr:uid="{22FC0D73-5EEA-4B55-8828-69307F6F6601}"/>
    <cellStyle name="Normal 2 2 2 2 36 7 6" xfId="20599" xr:uid="{B525E186-053F-4DC7-B0E8-B520AA16F4D5}"/>
    <cellStyle name="Normal 2 2 2 2 36 8" xfId="20600" xr:uid="{3B3F5EFC-CCF2-4505-AACA-F6C36FE274D1}"/>
    <cellStyle name="Normal 2 2 2 2 36 8 2" xfId="20601" xr:uid="{BBD04F0E-6F5B-45E6-88E3-FE892D142408}"/>
    <cellStyle name="Normal 2 2 2 2 36 8 3" xfId="20602" xr:uid="{A2EAE0EB-D522-461F-8185-640E543B8F5A}"/>
    <cellStyle name="Normal 2 2 2 2 36 8 4" xfId="20603" xr:uid="{131D0529-9F12-4D99-ACF5-32B8353F0DF9}"/>
    <cellStyle name="Normal 2 2 2 2 36 8 5" xfId="20604" xr:uid="{516E17E3-E437-4CBA-94C5-F5B89EAF09B2}"/>
    <cellStyle name="Normal 2 2 2 2 36 8 6" xfId="20605" xr:uid="{42EF3F2E-1041-4C4B-BFD4-D234628796AD}"/>
    <cellStyle name="Normal 2 2 2 2 36 9" xfId="20606" xr:uid="{EBF5CABF-F15C-4524-9043-DC2A8124BC8F}"/>
    <cellStyle name="Normal 2 2 2 2 37" xfId="20607" xr:uid="{747A62BE-AD63-4126-B5BD-6510B27A3824}"/>
    <cellStyle name="Normal 2 2 2 2 37 10" xfId="20608" xr:uid="{FBFABFFB-0A7C-4F8B-BD06-A9253EF2306A}"/>
    <cellStyle name="Normal 2 2 2 2 37 11" xfId="20609" xr:uid="{F59B0ECC-CB41-4C10-AA59-DA16D6E85808}"/>
    <cellStyle name="Normal 2 2 2 2 37 2" xfId="20610" xr:uid="{B6416DCE-9D24-4B29-B011-480765638001}"/>
    <cellStyle name="Normal 2 2 2 2 37 3" xfId="20611" xr:uid="{E1B3E0CF-DA3C-4465-B103-07C2E3329050}"/>
    <cellStyle name="Normal 2 2 2 2 37 4" xfId="20612" xr:uid="{720A881B-8346-4239-9E20-2F27273CAE31}"/>
    <cellStyle name="Normal 2 2 2 2 37 5" xfId="20613" xr:uid="{60C52B6B-07A1-4D41-9509-063A545C7727}"/>
    <cellStyle name="Normal 2 2 2 2 37 6" xfId="20614" xr:uid="{17597F97-37E0-452E-8607-373848045BC7}"/>
    <cellStyle name="Normal 2 2 2 2 37 7" xfId="20615" xr:uid="{F9A9A0DA-9507-4B3C-BC2A-451104CF5944}"/>
    <cellStyle name="Normal 2 2 2 2 37 8" xfId="20616" xr:uid="{5E539FAA-637A-4CC7-854C-43D4774A3899}"/>
    <cellStyle name="Normal 2 2 2 2 37 9" xfId="20617" xr:uid="{B74B3EC3-2D96-4ED6-BFDE-2593CC1B22E2}"/>
    <cellStyle name="Normal 2 2 2 2 38" xfId="20618" xr:uid="{3069E50B-3A8A-4B91-A2E7-009017D15C66}"/>
    <cellStyle name="Normal 2 2 2 2 39" xfId="20619" xr:uid="{19723A21-FDDA-42E8-955B-9AC2561F07D6}"/>
    <cellStyle name="Normal 2 2 2 2 4" xfId="20620" xr:uid="{F7F97F68-0648-4B3D-ACA0-B247428D7A0E}"/>
    <cellStyle name="Normal 2 2 2 2 4 10" xfId="20621" xr:uid="{CD07E433-EC73-4274-99CF-82FCFAAA533E}"/>
    <cellStyle name="Normal 2 2 2 2 4 11" xfId="20622" xr:uid="{ED3EFBAC-ED51-4C96-93EE-CCA1678FC030}"/>
    <cellStyle name="Normal 2 2 2 2 4 12" xfId="20623" xr:uid="{179283F9-8830-4E93-A830-35E596AEE712}"/>
    <cellStyle name="Normal 2 2 2 2 4 13" xfId="20624" xr:uid="{6181944F-4254-4E99-A9A8-2F90B6E4EF8F}"/>
    <cellStyle name="Normal 2 2 2 2 4 14" xfId="20625" xr:uid="{D3CD90D8-C8B2-4134-8088-069B437E66F2}"/>
    <cellStyle name="Normal 2 2 2 2 4 2" xfId="20626" xr:uid="{9F7D2871-D470-4F1F-9806-797F64C18742}"/>
    <cellStyle name="Normal 2 2 2 2 4 2 2" xfId="20627" xr:uid="{A98886D9-B55F-4ACF-A252-ADD2893F707D}"/>
    <cellStyle name="Normal 2 2 2 2 4 2 3" xfId="20628" xr:uid="{4A4D50A4-CEFB-4B23-BB30-EA8863B184AB}"/>
    <cellStyle name="Normal 2 2 2 2 4 2 4" xfId="20629" xr:uid="{F46E5AE4-7440-4C4D-82BA-98ECFC0EF72B}"/>
    <cellStyle name="Normal 2 2 2 2 4 2 5" xfId="20630" xr:uid="{5DBD71D9-0B62-4C9D-AE9E-9C3169E97832}"/>
    <cellStyle name="Normal 2 2 2 2 4 2 6" xfId="20631" xr:uid="{8194C788-05A6-4A40-BF61-4239472554C0}"/>
    <cellStyle name="Normal 2 2 2 2 4 3" xfId="20632" xr:uid="{527B1E75-9503-47EA-B25B-FB8AEF2A901B}"/>
    <cellStyle name="Normal 2 2 2 2 4 3 2" xfId="20633" xr:uid="{7E21FD63-FEDD-4CA9-9DFA-2CF65190035E}"/>
    <cellStyle name="Normal 2 2 2 2 4 3 3" xfId="20634" xr:uid="{6347F6AF-7E29-4204-A941-AAF3C27F4513}"/>
    <cellStyle name="Normal 2 2 2 2 4 3 4" xfId="20635" xr:uid="{FDFA44AE-A69E-40F8-A37F-AFD316B0A4C5}"/>
    <cellStyle name="Normal 2 2 2 2 4 3 5" xfId="20636" xr:uid="{A3DB1DB5-DA0B-4E9F-84FA-59D3A37937DC}"/>
    <cellStyle name="Normal 2 2 2 2 4 3 6" xfId="20637" xr:uid="{7A5EFEEE-965F-4B45-B797-5AB673BE8B84}"/>
    <cellStyle name="Normal 2 2 2 2 4 4" xfId="20638" xr:uid="{9F5F70B8-6F7B-40FD-906C-C13D5239135A}"/>
    <cellStyle name="Normal 2 2 2 2 4 4 2" xfId="20639" xr:uid="{3BF7853C-99E1-4B64-BFD6-DFA5CCE15651}"/>
    <cellStyle name="Normal 2 2 2 2 4 4 3" xfId="20640" xr:uid="{B3441192-A485-44FE-B3F9-6AEBB60F814B}"/>
    <cellStyle name="Normal 2 2 2 2 4 4 4" xfId="20641" xr:uid="{F689E21B-9678-4DDB-9BDC-3F3C9E7649B6}"/>
    <cellStyle name="Normal 2 2 2 2 4 4 5" xfId="20642" xr:uid="{A6861276-9E20-42BF-BDF5-EEB2E01EA1D7}"/>
    <cellStyle name="Normal 2 2 2 2 4 4 6" xfId="20643" xr:uid="{5283C4B5-FD63-49EA-A9C5-BF9881844F4F}"/>
    <cellStyle name="Normal 2 2 2 2 4 5" xfId="20644" xr:uid="{A06CC0B5-B766-47F9-A775-1EBA9CE9A821}"/>
    <cellStyle name="Normal 2 2 2 2 4 5 2" xfId="20645" xr:uid="{6B80B205-6917-4FC0-89A7-BBC63FC530F4}"/>
    <cellStyle name="Normal 2 2 2 2 4 5 3" xfId="20646" xr:uid="{1C33595F-D264-4F58-AD7D-F6665C1216B5}"/>
    <cellStyle name="Normal 2 2 2 2 4 5 4" xfId="20647" xr:uid="{60618507-696A-475B-85FF-60369C0DC44D}"/>
    <cellStyle name="Normal 2 2 2 2 4 5 5" xfId="20648" xr:uid="{E2383FBE-D155-4AF7-B12A-1F5319AC50D6}"/>
    <cellStyle name="Normal 2 2 2 2 4 5 6" xfId="20649" xr:uid="{536AC97F-65DF-4279-A087-B328DA4F9698}"/>
    <cellStyle name="Normal 2 2 2 2 4 6" xfId="20650" xr:uid="{4625A2E8-31CF-4883-838B-A3FB6B2742F6}"/>
    <cellStyle name="Normal 2 2 2 2 4 6 2" xfId="20651" xr:uid="{0EF776BF-A016-41A1-98DD-6BB3602E8F61}"/>
    <cellStyle name="Normal 2 2 2 2 4 6 3" xfId="20652" xr:uid="{3C16252E-2BD5-4F6C-BAEF-68389C182C60}"/>
    <cellStyle name="Normal 2 2 2 2 4 6 4" xfId="20653" xr:uid="{31F794E6-13CA-4BC7-B415-3EA37E02A603}"/>
    <cellStyle name="Normal 2 2 2 2 4 6 5" xfId="20654" xr:uid="{825D21AF-552D-4E29-937E-E03786998AE7}"/>
    <cellStyle name="Normal 2 2 2 2 4 6 6" xfId="20655" xr:uid="{E0203BFA-4B38-4678-A983-6EEAFB0BD6CD}"/>
    <cellStyle name="Normal 2 2 2 2 4 7" xfId="20656" xr:uid="{35FD4FB8-7C7E-4421-8718-9B5F2E2AF3FE}"/>
    <cellStyle name="Normal 2 2 2 2 4 7 2" xfId="20657" xr:uid="{69DB7360-4F18-427E-A70F-331EEF1E6489}"/>
    <cellStyle name="Normal 2 2 2 2 4 7 3" xfId="20658" xr:uid="{1E62F12A-12BD-4499-A9E7-F1DB752BDE27}"/>
    <cellStyle name="Normal 2 2 2 2 4 7 4" xfId="20659" xr:uid="{65E3F41E-DF83-49CF-A015-8DC57982D371}"/>
    <cellStyle name="Normal 2 2 2 2 4 7 5" xfId="20660" xr:uid="{C870754E-26A7-403D-B714-7201F450202A}"/>
    <cellStyle name="Normal 2 2 2 2 4 7 6" xfId="20661" xr:uid="{EFA8E867-5A66-44DA-8EDD-47DDE71FDCF0}"/>
    <cellStyle name="Normal 2 2 2 2 4 8" xfId="20662" xr:uid="{61D2A276-0F82-4076-8D3E-10CCF930098C}"/>
    <cellStyle name="Normal 2 2 2 2 4 8 2" xfId="20663" xr:uid="{E90225E2-08A9-4D61-B9CC-C110367CC863}"/>
    <cellStyle name="Normal 2 2 2 2 4 8 3" xfId="20664" xr:uid="{833D0C58-E446-4582-B954-3E264798BA94}"/>
    <cellStyle name="Normal 2 2 2 2 4 8 4" xfId="20665" xr:uid="{E19B3676-035D-430D-B913-97D1787BC8B3}"/>
    <cellStyle name="Normal 2 2 2 2 4 8 5" xfId="20666" xr:uid="{9B778B47-532C-4483-8DA5-6285ED802DE5}"/>
    <cellStyle name="Normal 2 2 2 2 4 8 6" xfId="20667" xr:uid="{DD934FA2-587A-416D-90EC-C2D2C564A716}"/>
    <cellStyle name="Normal 2 2 2 2 4 9" xfId="20668" xr:uid="{34410E0D-A3E1-4992-B27D-E9D8A255945D}"/>
    <cellStyle name="Normal 2 2 2 2 40" xfId="20669" xr:uid="{E0F20A5A-0119-4723-A5D8-9E267E71616D}"/>
    <cellStyle name="Normal 2 2 2 2 41" xfId="20670" xr:uid="{7EF99E4D-316D-4816-80BD-ABD55BF84EC9}"/>
    <cellStyle name="Normal 2 2 2 2 42" xfId="20671" xr:uid="{DAAAD12F-2DFF-4BC1-A6CF-6CB9C7D08F67}"/>
    <cellStyle name="Normal 2 2 2 2 43" xfId="20672" xr:uid="{96196346-F866-4A18-949C-AE89300B611F}"/>
    <cellStyle name="Normal 2 2 2 2 44" xfId="20673" xr:uid="{3CCEA2CA-A3B3-4511-A2DF-436330D51CFC}"/>
    <cellStyle name="Normal 2 2 2 2 45" xfId="20674" xr:uid="{E0EA3633-A85D-4DDF-A374-159CF1EFD561}"/>
    <cellStyle name="Normal 2 2 2 2 46" xfId="20675" xr:uid="{3AFB4AD3-5EDB-4A7F-8794-F7C17C35D7B9}"/>
    <cellStyle name="Normal 2 2 2 2 47" xfId="20676" xr:uid="{E90AA40B-0A88-43C6-9A54-5C6B7A21291F}"/>
    <cellStyle name="Normal 2 2 2 2 48" xfId="20677" xr:uid="{6A08E7FD-A10F-4C4E-9715-61A55090B011}"/>
    <cellStyle name="Normal 2 2 2 2 49" xfId="20678" xr:uid="{6BA2450F-9922-4116-B70E-29CC14BBBA79}"/>
    <cellStyle name="Normal 2 2 2 2 5" xfId="20679" xr:uid="{1480E2A0-F866-4E0F-B6A6-FD469B4327E1}"/>
    <cellStyle name="Normal 2 2 2 2 5 10" xfId="20680" xr:uid="{C052850B-ECFE-411F-93D9-EB34A52B932D}"/>
    <cellStyle name="Normal 2 2 2 2 5 11" xfId="20681" xr:uid="{135FE563-90BB-4872-9D2C-B9584C68FF17}"/>
    <cellStyle name="Normal 2 2 2 2 5 12" xfId="20682" xr:uid="{E25F58A6-FB38-42A7-9069-6E8A55EDFBEA}"/>
    <cellStyle name="Normal 2 2 2 2 5 13" xfId="20683" xr:uid="{F65FDAF1-E316-4DB2-8CDF-BF923A2E271C}"/>
    <cellStyle name="Normal 2 2 2 2 5 2" xfId="20684" xr:uid="{B0BFF770-BA86-49F9-ABF6-48AFCA321FC5}"/>
    <cellStyle name="Normal 2 2 2 2 5 2 2" xfId="20685" xr:uid="{223D2169-4096-431A-97BC-5F723677B822}"/>
    <cellStyle name="Normal 2 2 2 2 5 2 3" xfId="20686" xr:uid="{7C8914C3-A5A4-4D4E-8CF7-9C1479C93B5B}"/>
    <cellStyle name="Normal 2 2 2 2 5 2 4" xfId="20687" xr:uid="{71152789-07C4-4FEB-8278-914B4D17C34D}"/>
    <cellStyle name="Normal 2 2 2 2 5 2 5" xfId="20688" xr:uid="{4C5006D4-BAAF-43C9-978E-581A11FD53C9}"/>
    <cellStyle name="Normal 2 2 2 2 5 2 6" xfId="20689" xr:uid="{C4AEC6AA-B20F-4120-A966-BC60E713B370}"/>
    <cellStyle name="Normal 2 2 2 2 5 3" xfId="20690" xr:uid="{66FD0240-FC3C-4BAD-81DC-0ED1B84393C7}"/>
    <cellStyle name="Normal 2 2 2 2 5 3 2" xfId="20691" xr:uid="{EC356807-2DB2-44DB-86F4-9FD448BD4239}"/>
    <cellStyle name="Normal 2 2 2 2 5 3 3" xfId="20692" xr:uid="{1CE0A3AE-7620-405E-BBE9-E7093ABAB8C1}"/>
    <cellStyle name="Normal 2 2 2 2 5 3 4" xfId="20693" xr:uid="{F4E747E2-F4D3-4888-8031-05652CED3825}"/>
    <cellStyle name="Normal 2 2 2 2 5 3 5" xfId="20694" xr:uid="{49D0D404-5C69-4F9C-A332-88658B11D72A}"/>
    <cellStyle name="Normal 2 2 2 2 5 3 6" xfId="20695" xr:uid="{4E444B16-B66A-4DA1-A552-045F267D4A31}"/>
    <cellStyle name="Normal 2 2 2 2 5 4" xfId="20696" xr:uid="{1095281D-B42C-49D6-8392-361F494746BF}"/>
    <cellStyle name="Normal 2 2 2 2 5 4 2" xfId="20697" xr:uid="{D4AF8911-82C9-466B-BF4B-0754E45CEDD4}"/>
    <cellStyle name="Normal 2 2 2 2 5 4 3" xfId="20698" xr:uid="{C74DA75E-7787-4172-9B3B-2458338B93A6}"/>
    <cellStyle name="Normal 2 2 2 2 5 4 4" xfId="20699" xr:uid="{F93A0815-5C6E-45E5-94C3-F6D4DA76E5CB}"/>
    <cellStyle name="Normal 2 2 2 2 5 4 5" xfId="20700" xr:uid="{EBD24338-C166-4D16-85BA-030C2C7779CC}"/>
    <cellStyle name="Normal 2 2 2 2 5 4 6" xfId="20701" xr:uid="{2D621A0F-E7D0-4AB6-907B-EFB475DD91AF}"/>
    <cellStyle name="Normal 2 2 2 2 5 5" xfId="20702" xr:uid="{EA9C8C3D-6368-49E1-ADA4-0B282E39CAA4}"/>
    <cellStyle name="Normal 2 2 2 2 5 5 2" xfId="20703" xr:uid="{40781705-1138-457B-B767-AFC7C9343C08}"/>
    <cellStyle name="Normal 2 2 2 2 5 5 3" xfId="20704" xr:uid="{7EB260FA-10AC-4268-9E9E-AB6E065E728B}"/>
    <cellStyle name="Normal 2 2 2 2 5 5 4" xfId="20705" xr:uid="{387DF619-D877-47F7-8252-D5D4AE0C00D8}"/>
    <cellStyle name="Normal 2 2 2 2 5 5 5" xfId="20706" xr:uid="{4F9DEA3D-B37B-4345-9379-89676BF2D826}"/>
    <cellStyle name="Normal 2 2 2 2 5 5 6" xfId="20707" xr:uid="{950F595B-C1DF-4297-881A-25FB4D79846D}"/>
    <cellStyle name="Normal 2 2 2 2 5 6" xfId="20708" xr:uid="{D6F1D491-E3E8-49C6-9226-C8A8E1648ADF}"/>
    <cellStyle name="Normal 2 2 2 2 5 6 2" xfId="20709" xr:uid="{EDD2A2C0-255F-4D56-9890-342F1533DF2E}"/>
    <cellStyle name="Normal 2 2 2 2 5 6 3" xfId="20710" xr:uid="{9312DF8C-A617-428F-8127-A3F0E8CC5524}"/>
    <cellStyle name="Normal 2 2 2 2 5 6 4" xfId="20711" xr:uid="{20DD9CA4-84F6-4A43-AEFD-607B831F48E7}"/>
    <cellStyle name="Normal 2 2 2 2 5 6 5" xfId="20712" xr:uid="{CB5C4813-340B-4A23-B86A-134E6BEEF2F0}"/>
    <cellStyle name="Normal 2 2 2 2 5 6 6" xfId="20713" xr:uid="{4B20FAFC-2267-4D07-B32F-C604579AF3D8}"/>
    <cellStyle name="Normal 2 2 2 2 5 7" xfId="20714" xr:uid="{E1B5ED87-DC89-4622-83A9-95AE07E3384A}"/>
    <cellStyle name="Normal 2 2 2 2 5 7 2" xfId="20715" xr:uid="{781484CE-C005-4A50-AF13-E6B80BFE3811}"/>
    <cellStyle name="Normal 2 2 2 2 5 7 3" xfId="20716" xr:uid="{FCC066F4-9B67-4AFD-AEED-37CD2AB06438}"/>
    <cellStyle name="Normal 2 2 2 2 5 7 4" xfId="20717" xr:uid="{97810998-4EBD-441C-B3B0-ECEB9582058D}"/>
    <cellStyle name="Normal 2 2 2 2 5 7 5" xfId="20718" xr:uid="{06E95EF5-B525-4BBC-A2A4-DDF4E8EC6D93}"/>
    <cellStyle name="Normal 2 2 2 2 5 7 6" xfId="20719" xr:uid="{AB0C6F7F-67C3-4A9E-922B-366CF76FB1F4}"/>
    <cellStyle name="Normal 2 2 2 2 5 8" xfId="20720" xr:uid="{FDA46EC5-CCCE-486C-9D33-49B87CAE8616}"/>
    <cellStyle name="Normal 2 2 2 2 5 8 2" xfId="20721" xr:uid="{E480EECC-B275-49F6-81B0-B687F60BCEF5}"/>
    <cellStyle name="Normal 2 2 2 2 5 8 3" xfId="20722" xr:uid="{7F60E48D-58CA-40AC-9FDB-47ECEFA155A7}"/>
    <cellStyle name="Normal 2 2 2 2 5 8 4" xfId="20723" xr:uid="{EAE471FA-A976-4C7B-BA11-85F19DA60266}"/>
    <cellStyle name="Normal 2 2 2 2 5 8 5" xfId="20724" xr:uid="{F53CE2C0-F933-4036-BC85-8834B1D62B4E}"/>
    <cellStyle name="Normal 2 2 2 2 5 8 6" xfId="20725" xr:uid="{F6EBF24F-E48F-4512-BD5A-C26914A2CC28}"/>
    <cellStyle name="Normal 2 2 2 2 5 9" xfId="20726" xr:uid="{74FDBBAD-747F-4007-9E63-7609B565B3D3}"/>
    <cellStyle name="Normal 2 2 2 2 50" xfId="20727" xr:uid="{3DC49FA0-7114-4EEB-B73E-C349B716CD54}"/>
    <cellStyle name="Normal 2 2 2 2 51" xfId="20728" xr:uid="{B01D9427-27FC-4094-9158-390B08A5E461}"/>
    <cellStyle name="Normal 2 2 2 2 52" xfId="20729" xr:uid="{0B15FB4B-7970-4957-A971-78A522BBB718}"/>
    <cellStyle name="Normal 2 2 2 2 52 2" xfId="20730" xr:uid="{6E6EC10B-6839-4794-BCF5-098FCA9B6263}"/>
    <cellStyle name="Normal 2 2 2 2 52 3" xfId="20731" xr:uid="{9CFE9252-D3DA-4443-84B2-1E7BD3CCC511}"/>
    <cellStyle name="Normal 2 2 2 2 52 4" xfId="20732" xr:uid="{B66DD54E-3106-4CE5-A79A-5DB29F881C91}"/>
    <cellStyle name="Normal 2 2 2 2 52 5" xfId="20733" xr:uid="{3D22F1D9-9374-4A18-B12B-9DD999B63C9F}"/>
    <cellStyle name="Normal 2 2 2 2 52 6" xfId="20734" xr:uid="{6A2E8EA1-F287-453A-A7BE-DE33DCE2F66D}"/>
    <cellStyle name="Normal 2 2 2 2 53" xfId="20735" xr:uid="{90750471-E50D-4AF7-8369-468DE0C391B0}"/>
    <cellStyle name="Normal 2 2 2 2 53 2" xfId="20736" xr:uid="{3798C76E-232D-4A14-8000-FD421D7F06F1}"/>
    <cellStyle name="Normal 2 2 2 2 53 3" xfId="20737" xr:uid="{D9D0F2CE-B6D7-46A2-BF22-9131902FEA67}"/>
    <cellStyle name="Normal 2 2 2 2 53 4" xfId="20738" xr:uid="{E7EE9AD8-72E5-430D-ACBE-737A2531A687}"/>
    <cellStyle name="Normal 2 2 2 2 53 5" xfId="20739" xr:uid="{9F746CEF-275A-486E-BD15-C8DF728D30F6}"/>
    <cellStyle name="Normal 2 2 2 2 53 6" xfId="20740" xr:uid="{5F5256C1-B986-4C17-8149-BE8A8E65B088}"/>
    <cellStyle name="Normal 2 2 2 2 54" xfId="20741" xr:uid="{C235275C-FEC8-4C37-B7E1-094A34BE798E}"/>
    <cellStyle name="Normal 2 2 2 2 54 2" xfId="20742" xr:uid="{C948B164-5B86-4749-8F40-BE5421854DB7}"/>
    <cellStyle name="Normal 2 2 2 2 54 3" xfId="20743" xr:uid="{703C9412-72AF-4888-A895-16F62FFBEFEE}"/>
    <cellStyle name="Normal 2 2 2 2 54 4" xfId="20744" xr:uid="{1669F0DD-65CE-4DE9-A907-057A9A58009B}"/>
    <cellStyle name="Normal 2 2 2 2 54 5" xfId="20745" xr:uid="{D0569376-EAC6-4173-9EA4-1256F6F47C01}"/>
    <cellStyle name="Normal 2 2 2 2 54 6" xfId="20746" xr:uid="{4E724FFF-4EA2-4619-A1CA-9502B1541FAA}"/>
    <cellStyle name="Normal 2 2 2 2 55" xfId="20747" xr:uid="{4111FED3-F5AD-4E1A-AB39-EC94A9916EFF}"/>
    <cellStyle name="Normal 2 2 2 2 55 2" xfId="20748" xr:uid="{B8A80491-CCDE-4253-93B5-61332AAA7508}"/>
    <cellStyle name="Normal 2 2 2 2 55 3" xfId="20749" xr:uid="{157938FC-75D9-445A-8E10-316E522F1508}"/>
    <cellStyle name="Normal 2 2 2 2 55 4" xfId="20750" xr:uid="{C0D850CA-EF3F-451C-B328-7C2583B47542}"/>
    <cellStyle name="Normal 2 2 2 2 55 5" xfId="20751" xr:uid="{0C4497C9-AB0B-4F8F-B328-BE8D165C77EA}"/>
    <cellStyle name="Normal 2 2 2 2 55 6" xfId="20752" xr:uid="{49FC5F18-D4BE-4DAC-8F6B-4AC942906BBE}"/>
    <cellStyle name="Normal 2 2 2 2 56" xfId="20753" xr:uid="{21AD3AD7-9A72-4FCB-B9C4-A332F862A222}"/>
    <cellStyle name="Normal 2 2 2 2 56 2" xfId="20754" xr:uid="{54FB61E0-16A7-40F6-8C50-1A246D311A27}"/>
    <cellStyle name="Normal 2 2 2 2 56 2 2" xfId="20755" xr:uid="{EC7A7148-2922-46CC-A5E7-BC97B8C4AA7A}"/>
    <cellStyle name="Normal 2 2 2 2 56 2 2 2" xfId="20756" xr:uid="{03FF9FD6-A5F0-45CC-AB6B-9221399C43EE}"/>
    <cellStyle name="Normal 2 2 2 2 56 2 2 3" xfId="20757" xr:uid="{DCF7FB34-9014-45B0-9354-EF5205280F3C}"/>
    <cellStyle name="Normal 2 2 2 2 56 2 2 4" xfId="20758" xr:uid="{77742A24-590E-4F26-8D79-67E088AAFCBA}"/>
    <cellStyle name="Normal 2 2 2 2 56 2 2 5" xfId="20759" xr:uid="{35CA078C-E5E0-4D06-B219-C3E56373F0C8}"/>
    <cellStyle name="Normal 2 2 2 2 56 2 2 6" xfId="20760" xr:uid="{F0606FC1-02CE-487F-A0A6-A707E0C4AC55}"/>
    <cellStyle name="Normal 2 2 2 2 56 2 2 7" xfId="20761" xr:uid="{C8927024-5B07-456D-867D-0C4B9D90E9C0}"/>
    <cellStyle name="Normal 2 2 2 2 56 3" xfId="20762" xr:uid="{F0ABBFBD-C1AE-4CBE-917D-6925FBF144D8}"/>
    <cellStyle name="Normal 2 2 2 2 56 4" xfId="20763" xr:uid="{02931702-E74B-4A06-B0D1-D1E51039B1A6}"/>
    <cellStyle name="Normal 2 2 2 2 56 5" xfId="20764" xr:uid="{E43F83E9-448F-4B3B-811D-5C5052CD16A2}"/>
    <cellStyle name="Normal 2 2 2 2 56 6" xfId="20765" xr:uid="{A22F0F3B-966B-4B07-AFB3-3F9D6DDC3684}"/>
    <cellStyle name="Normal 2 2 2 2 56 7" xfId="20766" xr:uid="{D8D13DC4-E20A-435A-A3B6-64C8E81B7ACC}"/>
    <cellStyle name="Normal 2 2 2 2 56 8" xfId="20767" xr:uid="{F0DCAD59-4F8B-447F-88D3-64042F3F711F}"/>
    <cellStyle name="Normal 2 2 2 2 57" xfId="20768" xr:uid="{1A4E0D59-48A6-4EF1-AB32-02FDB93401BB}"/>
    <cellStyle name="Normal 2 2 2 2 58" xfId="20769" xr:uid="{279A838D-ABDE-431B-A2B3-A14BBAA2FAD8}"/>
    <cellStyle name="Normal 2 2 2 2 59" xfId="20770" xr:uid="{46EA037C-2958-4E15-97F9-9B9AA16A4BA4}"/>
    <cellStyle name="Normal 2 2 2 2 6" xfId="20771" xr:uid="{EA3C7AE9-E2B0-49E4-9634-D3FD4B08EB58}"/>
    <cellStyle name="Normal 2 2 2 2 6 10" xfId="20772" xr:uid="{93D6E8CD-2908-4D62-A151-67E4C31D7CB8}"/>
    <cellStyle name="Normal 2 2 2 2 6 11" xfId="20773" xr:uid="{276B15EB-4EE5-444A-A93F-4C6E09B933E3}"/>
    <cellStyle name="Normal 2 2 2 2 6 12" xfId="20774" xr:uid="{443CDC8C-A84C-4EC4-A870-F9BCE00880BD}"/>
    <cellStyle name="Normal 2 2 2 2 6 13" xfId="20775" xr:uid="{244701B8-F2BC-4D13-A206-AD86267CCE5B}"/>
    <cellStyle name="Normal 2 2 2 2 6 2" xfId="20776" xr:uid="{EED720AE-4E0C-4D42-8A15-7D2B7143D168}"/>
    <cellStyle name="Normal 2 2 2 2 6 2 2" xfId="20777" xr:uid="{A4C44E83-9729-4790-84ED-DBD581F6338D}"/>
    <cellStyle name="Normal 2 2 2 2 6 2 3" xfId="20778" xr:uid="{69E5CCC2-2D1D-48F7-B62E-A520DC369F13}"/>
    <cellStyle name="Normal 2 2 2 2 6 2 4" xfId="20779" xr:uid="{08B8E22F-A427-410B-9787-A5EFB44522B7}"/>
    <cellStyle name="Normal 2 2 2 2 6 2 5" xfId="20780" xr:uid="{E7DFAFB3-3BDA-4EF2-B514-4671EDF89D9C}"/>
    <cellStyle name="Normal 2 2 2 2 6 2 6" xfId="20781" xr:uid="{851AFD49-9378-4AD2-B10D-AC225EBD1C4C}"/>
    <cellStyle name="Normal 2 2 2 2 6 3" xfId="20782" xr:uid="{074985C4-9121-4494-9F8E-C409C7F54A3D}"/>
    <cellStyle name="Normal 2 2 2 2 6 3 2" xfId="20783" xr:uid="{5CED8856-4333-4287-BF09-D0E780467D1D}"/>
    <cellStyle name="Normal 2 2 2 2 6 3 3" xfId="20784" xr:uid="{6FB69F30-5F21-487B-8C82-01A56C11B88B}"/>
    <cellStyle name="Normal 2 2 2 2 6 3 4" xfId="20785" xr:uid="{51990378-2960-4FC0-91E8-F7C2E7E5EA5B}"/>
    <cellStyle name="Normal 2 2 2 2 6 3 5" xfId="20786" xr:uid="{43F29D54-7AEA-4B2A-B865-E2502BDB090E}"/>
    <cellStyle name="Normal 2 2 2 2 6 3 6" xfId="20787" xr:uid="{36258C23-3994-40ED-9C03-DE51A2DC4701}"/>
    <cellStyle name="Normal 2 2 2 2 6 4" xfId="20788" xr:uid="{0187218C-6BBE-4EC0-B8BF-851CF573A8CF}"/>
    <cellStyle name="Normal 2 2 2 2 6 4 2" xfId="20789" xr:uid="{A91D36E0-766D-4FC0-B8A3-9644EF7516DE}"/>
    <cellStyle name="Normal 2 2 2 2 6 4 3" xfId="20790" xr:uid="{08BC11FA-CC8F-4F5C-BA71-B0B8D57008E1}"/>
    <cellStyle name="Normal 2 2 2 2 6 4 4" xfId="20791" xr:uid="{522CAA06-D348-452D-A609-6A25E9516FBF}"/>
    <cellStyle name="Normal 2 2 2 2 6 4 5" xfId="20792" xr:uid="{942E4AD6-8D6D-4B8A-AF09-265962EBE2D0}"/>
    <cellStyle name="Normal 2 2 2 2 6 4 6" xfId="20793" xr:uid="{8A606CF9-D1B3-4FA7-9CFA-8C7842B3BA68}"/>
    <cellStyle name="Normal 2 2 2 2 6 5" xfId="20794" xr:uid="{1A233048-64A0-42FA-8339-81CB40D45508}"/>
    <cellStyle name="Normal 2 2 2 2 6 5 2" xfId="20795" xr:uid="{B74BB953-3E50-4C71-88B4-7735FDBAC0FE}"/>
    <cellStyle name="Normal 2 2 2 2 6 5 3" xfId="20796" xr:uid="{7283B73B-06B2-4C30-994A-EA05EC1E817C}"/>
    <cellStyle name="Normal 2 2 2 2 6 5 4" xfId="20797" xr:uid="{88B17E17-DAB5-4AED-A55C-42C423FEFF80}"/>
    <cellStyle name="Normal 2 2 2 2 6 5 5" xfId="20798" xr:uid="{AF375B76-2879-4E08-B3D7-68ACECAFD53C}"/>
    <cellStyle name="Normal 2 2 2 2 6 5 6" xfId="20799" xr:uid="{053B4269-CED9-4987-A37B-2C993E6EE472}"/>
    <cellStyle name="Normal 2 2 2 2 6 6" xfId="20800" xr:uid="{137FB2F4-B2AE-4832-805F-B592835F88E4}"/>
    <cellStyle name="Normal 2 2 2 2 6 6 2" xfId="20801" xr:uid="{CD8673D1-4C03-4B22-B279-860D237489AF}"/>
    <cellStyle name="Normal 2 2 2 2 6 6 3" xfId="20802" xr:uid="{B1FE4C21-F3E9-4ED9-800D-18E9752D305E}"/>
    <cellStyle name="Normal 2 2 2 2 6 6 4" xfId="20803" xr:uid="{E9C56E09-4202-4142-BBEF-EB5CF051ECEB}"/>
    <cellStyle name="Normal 2 2 2 2 6 6 5" xfId="20804" xr:uid="{EC68D68E-D0FA-422F-8E9E-CD6E9D098151}"/>
    <cellStyle name="Normal 2 2 2 2 6 6 6" xfId="20805" xr:uid="{DB7A2848-7284-4D36-BA91-B4C70701DFCD}"/>
    <cellStyle name="Normal 2 2 2 2 6 7" xfId="20806" xr:uid="{E1692838-D0D3-48AB-8F44-3394A97131E6}"/>
    <cellStyle name="Normal 2 2 2 2 6 7 2" xfId="20807" xr:uid="{A93DD095-68B2-46EB-ADB8-B8E5A93C19CF}"/>
    <cellStyle name="Normal 2 2 2 2 6 7 3" xfId="20808" xr:uid="{9D6D220B-B5DA-4EE8-A899-739CDFD04DB3}"/>
    <cellStyle name="Normal 2 2 2 2 6 7 4" xfId="20809" xr:uid="{EEA7E5E5-268D-40FB-88C7-444FC82DA5B2}"/>
    <cellStyle name="Normal 2 2 2 2 6 7 5" xfId="20810" xr:uid="{EF725CE4-8EAD-4189-86E9-6916328AFDD4}"/>
    <cellStyle name="Normal 2 2 2 2 6 7 6" xfId="20811" xr:uid="{110C558B-45A2-491E-A595-B968B0FEFE8B}"/>
    <cellStyle name="Normal 2 2 2 2 6 8" xfId="20812" xr:uid="{6CD242E7-BAF6-452B-A19A-D201EEF2F801}"/>
    <cellStyle name="Normal 2 2 2 2 6 8 2" xfId="20813" xr:uid="{253B8D30-0A64-4EAC-98E4-BAB52291F752}"/>
    <cellStyle name="Normal 2 2 2 2 6 8 3" xfId="20814" xr:uid="{CCA469B7-B908-41A1-8C74-7D66D9A1DB35}"/>
    <cellStyle name="Normal 2 2 2 2 6 8 4" xfId="20815" xr:uid="{22F02E89-6481-435C-AEE2-A2148D8969C3}"/>
    <cellStyle name="Normal 2 2 2 2 6 8 5" xfId="20816" xr:uid="{D9B2D69F-3C5E-4FA9-9C15-F7CCEB7D5A52}"/>
    <cellStyle name="Normal 2 2 2 2 6 8 6" xfId="20817" xr:uid="{AE85F94A-77DE-4009-B68E-40289E705F77}"/>
    <cellStyle name="Normal 2 2 2 2 6 9" xfId="20818" xr:uid="{29475949-C555-4D1F-B38F-DB2A60AACA43}"/>
    <cellStyle name="Normal 2 2 2 2 60" xfId="20819" xr:uid="{59419595-0871-4704-96A0-B7FCDE98D0A9}"/>
    <cellStyle name="Normal 2 2 2 2 61" xfId="20820" xr:uid="{93E32644-BA40-4599-8627-E476426AED65}"/>
    <cellStyle name="Normal 2 2 2 2 62" xfId="20821" xr:uid="{C8BA9559-414A-4B4E-A957-4398804793CA}"/>
    <cellStyle name="Normal 2 2 2 2 63" xfId="20822" xr:uid="{F4452DB8-D1B9-4F8B-90CF-19DFCAE68E1C}"/>
    <cellStyle name="Normal 2 2 2 2 64" xfId="20823" xr:uid="{6E9B37F4-7FF9-451F-BB14-AFA8065F9823}"/>
    <cellStyle name="Normal 2 2 2 2 65" xfId="20824" xr:uid="{FF379D1C-590A-46D3-B9A2-59EC642A4B8C}"/>
    <cellStyle name="Normal 2 2 2 2 66" xfId="20825" xr:uid="{EA88C139-77CF-486B-B0F1-A8CDCE6BD99F}"/>
    <cellStyle name="Normal 2 2 2 2 67" xfId="20826" xr:uid="{862FB156-CA2E-4754-BEE4-C73C4459F57D}"/>
    <cellStyle name="Normal 2 2 2 2 68" xfId="20827" xr:uid="{A881615E-7B36-4961-9324-7268DDC5C89A}"/>
    <cellStyle name="Normal 2 2 2 2 69" xfId="20828" xr:uid="{309DBC53-B746-4350-AFFF-FC6D498586EC}"/>
    <cellStyle name="Normal 2 2 2 2 7" xfId="20829" xr:uid="{458503AA-34B4-41F2-9B55-86CAFDCCD6A3}"/>
    <cellStyle name="Normal 2 2 2 2 7 10" xfId="20830" xr:uid="{C85B94C8-FB0C-4FE0-A010-A20811C191E9}"/>
    <cellStyle name="Normal 2 2 2 2 7 11" xfId="20831" xr:uid="{F801EC70-E7B5-422E-A967-B65FC57A8190}"/>
    <cellStyle name="Normal 2 2 2 2 7 12" xfId="20832" xr:uid="{14651C52-8334-4679-A9D2-CC6D3F9F46FE}"/>
    <cellStyle name="Normal 2 2 2 2 7 13" xfId="20833" xr:uid="{3BAD01C4-E731-4E71-A038-B4D818E9ADAC}"/>
    <cellStyle name="Normal 2 2 2 2 7 2" xfId="20834" xr:uid="{92B1A597-E5DC-4726-B975-59A302380E3A}"/>
    <cellStyle name="Normal 2 2 2 2 7 2 2" xfId="20835" xr:uid="{1D69B18F-7698-4D72-85EE-4014D133BD58}"/>
    <cellStyle name="Normal 2 2 2 2 7 2 3" xfId="20836" xr:uid="{798A32A6-438A-4AE5-89AE-42085A7D5A8F}"/>
    <cellStyle name="Normal 2 2 2 2 7 2 4" xfId="20837" xr:uid="{971DDB69-7643-410B-8D1C-6E763D6413D4}"/>
    <cellStyle name="Normal 2 2 2 2 7 2 5" xfId="20838" xr:uid="{9BD01166-5AE6-411A-A993-BBEEF5A79D12}"/>
    <cellStyle name="Normal 2 2 2 2 7 2 6" xfId="20839" xr:uid="{EA4B481F-7967-4239-888C-38FF998F88E0}"/>
    <cellStyle name="Normal 2 2 2 2 7 3" xfId="20840" xr:uid="{B7F23DC3-EBF8-4424-BFF2-0954B1375151}"/>
    <cellStyle name="Normal 2 2 2 2 7 3 2" xfId="20841" xr:uid="{D6D3C462-58B6-4DF2-BC24-026781F8A17D}"/>
    <cellStyle name="Normal 2 2 2 2 7 3 3" xfId="20842" xr:uid="{F8C153AA-5C0D-495C-8300-F780B267837D}"/>
    <cellStyle name="Normal 2 2 2 2 7 3 4" xfId="20843" xr:uid="{2BB04FCD-49B5-4EBA-97FF-913891F2C76F}"/>
    <cellStyle name="Normal 2 2 2 2 7 3 5" xfId="20844" xr:uid="{58B3C070-95DB-4D59-94E3-AC6A6B814B31}"/>
    <cellStyle name="Normal 2 2 2 2 7 3 6" xfId="20845" xr:uid="{3D03FADE-F6B8-4AE6-BE32-670463233C1E}"/>
    <cellStyle name="Normal 2 2 2 2 7 4" xfId="20846" xr:uid="{FA2DF02F-BF19-4889-AC33-C8A2647E72B1}"/>
    <cellStyle name="Normal 2 2 2 2 7 4 2" xfId="20847" xr:uid="{D09BFC4B-DBBC-4225-97F1-523DE53F16FB}"/>
    <cellStyle name="Normal 2 2 2 2 7 4 3" xfId="20848" xr:uid="{6AB3676A-5EF5-480B-8B4C-9BBCDAE88F20}"/>
    <cellStyle name="Normal 2 2 2 2 7 4 4" xfId="20849" xr:uid="{9A1B807E-2C4A-48ED-865D-A7F2B31F06ED}"/>
    <cellStyle name="Normal 2 2 2 2 7 4 5" xfId="20850" xr:uid="{0261309E-A216-495C-8B10-6AAD6DCBADB2}"/>
    <cellStyle name="Normal 2 2 2 2 7 4 6" xfId="20851" xr:uid="{3669CE16-41F4-4EF1-99B1-C8539F24AAC9}"/>
    <cellStyle name="Normal 2 2 2 2 7 5" xfId="20852" xr:uid="{151D8E54-E88C-4B2D-9432-B0232F1953BB}"/>
    <cellStyle name="Normal 2 2 2 2 7 5 2" xfId="20853" xr:uid="{EE78EA2F-B1EA-4E8D-9F57-666D25665A3F}"/>
    <cellStyle name="Normal 2 2 2 2 7 5 3" xfId="20854" xr:uid="{A2AC71B0-7265-4669-BA8B-15979F0F088A}"/>
    <cellStyle name="Normal 2 2 2 2 7 5 4" xfId="20855" xr:uid="{49D35002-0CBA-43EC-B0A6-4CCF6360F96A}"/>
    <cellStyle name="Normal 2 2 2 2 7 5 5" xfId="20856" xr:uid="{A106674B-F667-429E-9EFA-243BEFFC72D0}"/>
    <cellStyle name="Normal 2 2 2 2 7 5 6" xfId="20857" xr:uid="{A065E7FC-1F65-4CA9-922D-8EA59997E80A}"/>
    <cellStyle name="Normal 2 2 2 2 7 6" xfId="20858" xr:uid="{C482A495-4F00-4D22-97BB-60D632AD65B2}"/>
    <cellStyle name="Normal 2 2 2 2 7 6 2" xfId="20859" xr:uid="{EB2F5D7F-EC84-4EC0-8646-2A2EEC1B7250}"/>
    <cellStyle name="Normal 2 2 2 2 7 6 3" xfId="20860" xr:uid="{41FAE00C-03B7-4290-AC30-75E02CD87138}"/>
    <cellStyle name="Normal 2 2 2 2 7 6 4" xfId="20861" xr:uid="{93B768A6-4FAA-446D-8691-DD78CE61C159}"/>
    <cellStyle name="Normal 2 2 2 2 7 6 5" xfId="20862" xr:uid="{03CDC8DF-F367-42A3-A232-E75EF91454F1}"/>
    <cellStyle name="Normal 2 2 2 2 7 6 6" xfId="20863" xr:uid="{1AC29964-AC65-4272-8745-BC7ED66A0EC8}"/>
    <cellStyle name="Normal 2 2 2 2 7 7" xfId="20864" xr:uid="{09A160A0-2649-4821-B720-A7E043F1B833}"/>
    <cellStyle name="Normal 2 2 2 2 7 7 2" xfId="20865" xr:uid="{D5DF0C4E-01EA-442E-A9E6-4FB47A8B9E52}"/>
    <cellStyle name="Normal 2 2 2 2 7 7 3" xfId="20866" xr:uid="{16D28680-5BBA-47E4-90AF-659AC402DC78}"/>
    <cellStyle name="Normal 2 2 2 2 7 7 4" xfId="20867" xr:uid="{356CFD98-A2EB-4BA5-B6AA-6D904364583C}"/>
    <cellStyle name="Normal 2 2 2 2 7 7 5" xfId="20868" xr:uid="{6F03FA5C-269E-4E82-8B9D-57591D42EBE6}"/>
    <cellStyle name="Normal 2 2 2 2 7 7 6" xfId="20869" xr:uid="{AF50174B-BC60-4E15-BDDD-512FA1EE3569}"/>
    <cellStyle name="Normal 2 2 2 2 7 8" xfId="20870" xr:uid="{C580488A-DA16-40CD-ADFC-0B6E8A2EEDCD}"/>
    <cellStyle name="Normal 2 2 2 2 7 8 2" xfId="20871" xr:uid="{1BAF6D88-674C-4D74-88D3-865196136BC4}"/>
    <cellStyle name="Normal 2 2 2 2 7 8 3" xfId="20872" xr:uid="{48A18CA2-7A58-4D04-8E83-AF4CA048630F}"/>
    <cellStyle name="Normal 2 2 2 2 7 8 4" xfId="20873" xr:uid="{0FD08173-3EE4-4AC7-BA18-19D4843B6AC6}"/>
    <cellStyle name="Normal 2 2 2 2 7 8 5" xfId="20874" xr:uid="{5C4CFAA4-BA23-4F66-B3E4-985CBB403C1C}"/>
    <cellStyle name="Normal 2 2 2 2 7 8 6" xfId="20875" xr:uid="{775B1D5B-3E33-4D67-AF0D-222CB30CC0EC}"/>
    <cellStyle name="Normal 2 2 2 2 7 9" xfId="20876" xr:uid="{FC3E7B34-1AE3-4A55-88B1-A6F4EF35FB47}"/>
    <cellStyle name="Normal 2 2 2 2 70" xfId="20877" xr:uid="{333DA16B-7952-4E73-B375-19D4D6A34408}"/>
    <cellStyle name="Normal 2 2 2 2 71" xfId="20878" xr:uid="{74F75C9F-D6F8-4CF1-A07A-7AA37B7CB026}"/>
    <cellStyle name="Normal 2 2 2 2 72" xfId="20879" xr:uid="{5D167AE7-ADE9-4183-88AD-5B3378B8D58D}"/>
    <cellStyle name="Normal 2 2 2 2 73" xfId="20880" xr:uid="{631E1AFB-CF3C-4139-B3C2-7CA41E3939B5}"/>
    <cellStyle name="Normal 2 2 2 2 74" xfId="20881" xr:uid="{99FEC04B-7333-4FD0-86E1-897436668B20}"/>
    <cellStyle name="Normal 2 2 2 2 75" xfId="20882" xr:uid="{CC26777E-845A-4B29-8AF6-43731D17A1A3}"/>
    <cellStyle name="Normal 2 2 2 2 76" xfId="20883" xr:uid="{11D01805-4E72-4A39-8BC6-1F4BA93FA0A7}"/>
    <cellStyle name="Normal 2 2 2 2 76 2" xfId="20884" xr:uid="{EF66F46E-0CFC-4811-AA04-B10DA5F5D023}"/>
    <cellStyle name="Normal 2 2 2 2 76 3" xfId="20885" xr:uid="{816119F7-E39E-4DE6-9031-69539D1A8FBC}"/>
    <cellStyle name="Normal 2 2 2 2 76 4" xfId="20886" xr:uid="{1F4E6177-385E-40E1-8738-877B79C347D6}"/>
    <cellStyle name="Normal 2 2 2 2 76 5" xfId="20887" xr:uid="{1C30BFDA-85B0-41A1-859A-D5EB5653B8C3}"/>
    <cellStyle name="Normal 2 2 2 2 76 6" xfId="20888" xr:uid="{00D3291E-3678-4F36-8530-0C3D0C303415}"/>
    <cellStyle name="Normal 2 2 2 2 76 7" xfId="20889" xr:uid="{F261F647-690D-4BA5-AB13-0BA4DF935FFD}"/>
    <cellStyle name="Normal 2 2 2 2 77" xfId="20890" xr:uid="{72527B6D-0FF2-40A4-A591-E202822ECCFF}"/>
    <cellStyle name="Normal 2 2 2 2 77 10" xfId="20891" xr:uid="{7356EAA9-8A4B-4431-8E77-6FF417861732}"/>
    <cellStyle name="Normal 2 2 2 2 77 11" xfId="20892" xr:uid="{9434E2B3-5F72-4776-96C6-F13A2D0418B8}"/>
    <cellStyle name="Normal 2 2 2 2 77 2" xfId="20893" xr:uid="{7AE507DF-C59B-4072-962D-4949D33779C2}"/>
    <cellStyle name="Normal 2 2 2 2 77 2 2" xfId="20894" xr:uid="{7783F319-A37A-41DD-8BDC-BF531F61D89A}"/>
    <cellStyle name="Normal 2 2 2 2 77 2 2 2" xfId="20895" xr:uid="{451AB68F-6090-40EE-9100-2EAF0C359DC1}"/>
    <cellStyle name="Normal 2 2 2 2 77 2 2 3" xfId="20896" xr:uid="{8059336B-88FA-49CE-988C-F393C023CEAF}"/>
    <cellStyle name="Normal 2 2 2 2 77 2 3" xfId="20897" xr:uid="{218CB4E7-0F6B-4A62-860C-061992EDCCA1}"/>
    <cellStyle name="Normal 2 2 2 2 77 2 4" xfId="20898" xr:uid="{845CC011-2DD1-4D0D-9EC7-9B28517E4080}"/>
    <cellStyle name="Normal 2 2 2 2 77 2 5" xfId="20899" xr:uid="{0B32F101-86DD-4EAB-9C6F-B781D0E2A6DC}"/>
    <cellStyle name="Normal 2 2 2 2 77 2 6" xfId="20900" xr:uid="{C567F78D-6BCF-43EF-BD6E-03C4B777EC4B}"/>
    <cellStyle name="Normal 2 2 2 2 77 2 7" xfId="20901" xr:uid="{10F79EC1-BD4C-49A0-9F3E-7729245C6BE3}"/>
    <cellStyle name="Normal 2 2 2 2 77 2 8" xfId="20902" xr:uid="{723F8CA8-0A99-4E0D-92E8-85A81FEB25F8}"/>
    <cellStyle name="Normal 2 2 2 2 77 2 9" xfId="20903" xr:uid="{CBE4D7B2-BF35-4263-A7C3-63EFE3494932}"/>
    <cellStyle name="Normal 2 2 2 2 77 3" xfId="20904" xr:uid="{D1A60C87-721D-4289-8256-873524ADC0C2}"/>
    <cellStyle name="Normal 2 2 2 2 77 4" xfId="20905" xr:uid="{39875DCA-EE27-4E7A-B3D9-96326DF8B1EB}"/>
    <cellStyle name="Normal 2 2 2 2 77 5" xfId="20906" xr:uid="{B16CD066-3125-4363-8ABE-2157DA89D0B0}"/>
    <cellStyle name="Normal 2 2 2 2 77 5 2" xfId="20907" xr:uid="{BDB09774-1E3D-4980-AABD-DEDDA1E7D8E0}"/>
    <cellStyle name="Normal 2 2 2 2 77 5 3" xfId="20908" xr:uid="{D0D03A1B-B8D1-4325-BBD5-6B9B5AC181ED}"/>
    <cellStyle name="Normal 2 2 2 2 77 6" xfId="20909" xr:uid="{3218D6B3-686D-4A30-9E93-96C9B88E02FE}"/>
    <cellStyle name="Normal 2 2 2 2 77 7" xfId="20910" xr:uid="{653F85B2-6E55-4F74-A304-7404F992A277}"/>
    <cellStyle name="Normal 2 2 2 2 77 8" xfId="20911" xr:uid="{A8C1D9AD-C6C5-42DF-A2A6-75FCA7A5C01F}"/>
    <cellStyle name="Normal 2 2 2 2 77 9" xfId="20912" xr:uid="{665619F6-5EB5-405B-AF56-7488750A9168}"/>
    <cellStyle name="Normal 2 2 2 2 78" xfId="20913" xr:uid="{394CA42D-314B-44AA-BC65-D330ACED2BCB}"/>
    <cellStyle name="Normal 2 2 2 2 79" xfId="20914" xr:uid="{4C37A8E6-6AAC-41A7-AA4D-5838EC25AC4F}"/>
    <cellStyle name="Normal 2 2 2 2 8" xfId="20915" xr:uid="{FF8A2C51-5E54-4F01-A2CF-447ED70C3F88}"/>
    <cellStyle name="Normal 2 2 2 2 8 10" xfId="20916" xr:uid="{12B26918-E8B1-47EF-9033-BA35528A6CA5}"/>
    <cellStyle name="Normal 2 2 2 2 8 11" xfId="20917" xr:uid="{7491125C-E349-4E06-A532-38CF0FD66825}"/>
    <cellStyle name="Normal 2 2 2 2 8 12" xfId="20918" xr:uid="{99070788-65C7-4F3A-9389-F8CE64480B77}"/>
    <cellStyle name="Normal 2 2 2 2 8 13" xfId="20919" xr:uid="{FE749BEF-0816-4541-ACC8-E447A958A1A5}"/>
    <cellStyle name="Normal 2 2 2 2 8 2" xfId="20920" xr:uid="{318F5640-6E30-40BF-9DA2-F484DDEFCAA2}"/>
    <cellStyle name="Normal 2 2 2 2 8 2 2" xfId="20921" xr:uid="{3523281D-B385-47D9-9487-B1AE147E6764}"/>
    <cellStyle name="Normal 2 2 2 2 8 2 3" xfId="20922" xr:uid="{5D4506D3-0B57-4F61-AFFE-8BAC6D8B7172}"/>
    <cellStyle name="Normal 2 2 2 2 8 2 4" xfId="20923" xr:uid="{0821195B-5FC1-4EC1-9443-84F137712FB7}"/>
    <cellStyle name="Normal 2 2 2 2 8 2 5" xfId="20924" xr:uid="{C9B6C943-2122-4FA2-80EC-4A134635BF30}"/>
    <cellStyle name="Normal 2 2 2 2 8 2 6" xfId="20925" xr:uid="{A614B9D6-6C49-4E84-AA99-7213F184D74D}"/>
    <cellStyle name="Normal 2 2 2 2 8 3" xfId="20926" xr:uid="{EB3724F8-60B8-443B-9C69-6D0C72A53988}"/>
    <cellStyle name="Normal 2 2 2 2 8 3 2" xfId="20927" xr:uid="{2FC546B4-C9B6-485B-B434-9F7A44C8389A}"/>
    <cellStyle name="Normal 2 2 2 2 8 3 3" xfId="20928" xr:uid="{7F4042C3-0FA6-4A59-8A95-9F2D70D82696}"/>
    <cellStyle name="Normal 2 2 2 2 8 3 4" xfId="20929" xr:uid="{D9CF66E5-1E5F-4DC4-97F2-0BC85A4752DC}"/>
    <cellStyle name="Normal 2 2 2 2 8 3 5" xfId="20930" xr:uid="{6F8973C9-2153-4B9B-9198-DC2E51F5F32B}"/>
    <cellStyle name="Normal 2 2 2 2 8 3 6" xfId="20931" xr:uid="{16B393C7-C791-4354-B580-A2F79739616B}"/>
    <cellStyle name="Normal 2 2 2 2 8 4" xfId="20932" xr:uid="{9281F2BB-99B7-4AEC-8D3F-688CEC93FD14}"/>
    <cellStyle name="Normal 2 2 2 2 8 4 2" xfId="20933" xr:uid="{1E835C5B-FCB9-44DB-92F1-ED861EC955D9}"/>
    <cellStyle name="Normal 2 2 2 2 8 4 3" xfId="20934" xr:uid="{4E081652-DA2A-4D6C-B46D-41A7B674D0A3}"/>
    <cellStyle name="Normal 2 2 2 2 8 4 4" xfId="20935" xr:uid="{2A8F74FE-D79A-441E-961A-5F5828BA0E85}"/>
    <cellStyle name="Normal 2 2 2 2 8 4 5" xfId="20936" xr:uid="{BD2FCFDC-21DE-4001-AFF1-4207EC80B439}"/>
    <cellStyle name="Normal 2 2 2 2 8 4 6" xfId="20937" xr:uid="{1CE192B9-052E-454C-B174-F30EB963372E}"/>
    <cellStyle name="Normal 2 2 2 2 8 5" xfId="20938" xr:uid="{D686363B-A97C-4A9B-985A-234259AF0960}"/>
    <cellStyle name="Normal 2 2 2 2 8 5 2" xfId="20939" xr:uid="{A1C0E941-A060-44D4-BF7A-C661FB554A08}"/>
    <cellStyle name="Normal 2 2 2 2 8 5 3" xfId="20940" xr:uid="{16CF3835-B53E-4D95-AE21-3F99DBE58DDA}"/>
    <cellStyle name="Normal 2 2 2 2 8 5 4" xfId="20941" xr:uid="{9366CA2E-B174-40D5-AE22-8463B6E07C89}"/>
    <cellStyle name="Normal 2 2 2 2 8 5 5" xfId="20942" xr:uid="{2D80B94C-EDBB-477C-91BB-E6F0BFA6766F}"/>
    <cellStyle name="Normal 2 2 2 2 8 5 6" xfId="20943" xr:uid="{CECAFED6-F275-450E-B4F3-905FBB1B561C}"/>
    <cellStyle name="Normal 2 2 2 2 8 6" xfId="20944" xr:uid="{B02FD5D7-788A-4AF1-A2E6-0A26B7FD8E31}"/>
    <cellStyle name="Normal 2 2 2 2 8 6 2" xfId="20945" xr:uid="{961AAB51-5986-4817-98EF-411B6540CE18}"/>
    <cellStyle name="Normal 2 2 2 2 8 6 3" xfId="20946" xr:uid="{40D559CA-B578-4C23-A48D-1A650BE04FAE}"/>
    <cellStyle name="Normal 2 2 2 2 8 6 4" xfId="20947" xr:uid="{E74600F0-EAFE-42D4-8D9C-6DFF9D7FF2CF}"/>
    <cellStyle name="Normal 2 2 2 2 8 6 5" xfId="20948" xr:uid="{E597BF3D-A491-4E82-AE45-4A06E7030C1E}"/>
    <cellStyle name="Normal 2 2 2 2 8 6 6" xfId="20949" xr:uid="{B18A1D40-3683-42A2-B972-0ED6A2613DF0}"/>
    <cellStyle name="Normal 2 2 2 2 8 7" xfId="20950" xr:uid="{53A6F238-F767-43E3-B0A0-4524EC496563}"/>
    <cellStyle name="Normal 2 2 2 2 8 7 2" xfId="20951" xr:uid="{3F0A0583-7C4D-488E-A6E2-5C68A2B5D7E4}"/>
    <cellStyle name="Normal 2 2 2 2 8 7 3" xfId="20952" xr:uid="{F77E40E2-4003-43B7-ABCE-F9FDBE8BA01C}"/>
    <cellStyle name="Normal 2 2 2 2 8 7 4" xfId="20953" xr:uid="{A83FAC15-43C0-4EF8-A241-2FE6E6D76188}"/>
    <cellStyle name="Normal 2 2 2 2 8 7 5" xfId="20954" xr:uid="{B7B46140-C566-4B83-B120-A51D3D4FFDC1}"/>
    <cellStyle name="Normal 2 2 2 2 8 7 6" xfId="20955" xr:uid="{29BB2A89-B40C-46E3-ABF7-520857B14F95}"/>
    <cellStyle name="Normal 2 2 2 2 8 8" xfId="20956" xr:uid="{E9FB0D04-22E6-4531-B6FA-979D24803FA8}"/>
    <cellStyle name="Normal 2 2 2 2 8 8 2" xfId="20957" xr:uid="{64436BD6-3919-4D2D-BCAC-947CB18498C5}"/>
    <cellStyle name="Normal 2 2 2 2 8 8 3" xfId="20958" xr:uid="{1C8726C9-C637-4F9E-A826-EC8C57664554}"/>
    <cellStyle name="Normal 2 2 2 2 8 8 4" xfId="20959" xr:uid="{011D7708-617D-433C-8524-30EC4D84DE1A}"/>
    <cellStyle name="Normal 2 2 2 2 8 8 5" xfId="20960" xr:uid="{E54D2FFF-0409-4261-9FFA-C74FBFB5425D}"/>
    <cellStyle name="Normal 2 2 2 2 8 8 6" xfId="20961" xr:uid="{69B9600F-7D37-4A98-ABD4-259A622039FE}"/>
    <cellStyle name="Normal 2 2 2 2 8 9" xfId="20962" xr:uid="{ADB7CE95-602E-4FFC-A979-6E11E7DE5A2D}"/>
    <cellStyle name="Normal 2 2 2 2 80" xfId="20963" xr:uid="{3C3B6BC9-1017-4CB6-A1E1-6E5DB9579C4E}"/>
    <cellStyle name="Normal 2 2 2 2 80 2" xfId="20964" xr:uid="{FF1FEBE8-EF7F-48A6-9C45-595C5E3F6E29}"/>
    <cellStyle name="Normal 2 2 2 2 80 2 2" xfId="20965" xr:uid="{0493C00E-59DD-4CBA-88D0-51990770BB25}"/>
    <cellStyle name="Normal 2 2 2 2 80 2 3" xfId="20966" xr:uid="{F98067CB-9753-4A7A-8F7E-68F158ABC05D}"/>
    <cellStyle name="Normal 2 2 2 2 80 3" xfId="20967" xr:uid="{76933FCB-9F2A-4821-A5F1-9279177B85E3}"/>
    <cellStyle name="Normal 2 2 2 2 80 4" xfId="20968" xr:uid="{601E1BF0-112E-49A9-883B-DD5A91DB3510}"/>
    <cellStyle name="Normal 2 2 2 2 80 5" xfId="20969" xr:uid="{C9A3839A-122C-4DF2-863E-972F2CC50D78}"/>
    <cellStyle name="Normal 2 2 2 2 80 6" xfId="20970" xr:uid="{587B0A8F-CDE0-4FCC-B21C-0D34C4AC03B2}"/>
    <cellStyle name="Normal 2 2 2 2 80 7" xfId="20971" xr:uid="{4759BB10-8DF6-40C1-A664-6B8C31AFFD30}"/>
    <cellStyle name="Normal 2 2 2 2 80 8" xfId="20972" xr:uid="{0CA89F62-10A4-4E81-9C19-E90F5F493CB3}"/>
    <cellStyle name="Normal 2 2 2 2 80 9" xfId="20973" xr:uid="{BF62201C-4050-4DA8-993C-9E0A31658CDE}"/>
    <cellStyle name="Normal 2 2 2 2 81" xfId="20974" xr:uid="{3CD3DF53-2875-4CBB-8283-CBC285045166}"/>
    <cellStyle name="Normal 2 2 2 2 82" xfId="20975" xr:uid="{D3749B2E-6A5A-444D-8872-01842E65C67C}"/>
    <cellStyle name="Normal 2 2 2 2 82 2" xfId="20976" xr:uid="{C67E1CA7-77E2-4CCB-A2B8-F7A5BB425A4C}"/>
    <cellStyle name="Normal 2 2 2 2 82 3" xfId="20977" xr:uid="{6EF06902-E9AF-4FDE-A289-1E879570037C}"/>
    <cellStyle name="Normal 2 2 2 2 83" xfId="20978" xr:uid="{55928568-B501-40FD-9224-B8313F87D496}"/>
    <cellStyle name="Normal 2 2 2 2 84" xfId="20979" xr:uid="{82D37A1A-955E-4662-A212-58C7D9C9AAE2}"/>
    <cellStyle name="Normal 2 2 2 2 85" xfId="20980" xr:uid="{6017BBCC-6E4D-4B53-88C2-3198045EB8C7}"/>
    <cellStyle name="Normal 2 2 2 2 86" xfId="20981" xr:uid="{A78AAAB1-0C42-4EF0-9B74-0E56204FCF2D}"/>
    <cellStyle name="Normal 2 2 2 2 87" xfId="20982" xr:uid="{2CCEB180-953C-4C3C-8183-14CA7646FCB9}"/>
    <cellStyle name="Normal 2 2 2 2 88" xfId="20983" xr:uid="{50901BDA-36F1-49B2-B8C6-6FEE1E4A55FD}"/>
    <cellStyle name="Normal 2 2 2 2 89" xfId="20984" xr:uid="{80430ACC-F5CB-4679-A1B9-8B2CB710D831}"/>
    <cellStyle name="Normal 2 2 2 2 9" xfId="20985" xr:uid="{2DECA147-CAFC-445D-BAC1-B23E0E7237E5}"/>
    <cellStyle name="Normal 2 2 2 2 9 10" xfId="20986" xr:uid="{D578639D-6AA4-48E3-AC0B-B324A16B7A39}"/>
    <cellStyle name="Normal 2 2 2 2 9 10 2" xfId="20987" xr:uid="{78D9A2CC-8F70-4060-BB3E-870D945181DA}"/>
    <cellStyle name="Normal 2 2 2 2 9 10 3" xfId="20988" xr:uid="{6C059163-D530-42BC-93D3-CA5C51DF5AED}"/>
    <cellStyle name="Normal 2 2 2 2 9 10 4" xfId="20989" xr:uid="{07676F58-357C-4B20-96C2-CF6BEB0EE710}"/>
    <cellStyle name="Normal 2 2 2 2 9 10 5" xfId="20990" xr:uid="{7AE528B2-F947-4210-A0B1-6D2DA32ADEE0}"/>
    <cellStyle name="Normal 2 2 2 2 9 10 6" xfId="20991" xr:uid="{1A31AAB3-8F2F-4D64-957D-A6A7B1408F6E}"/>
    <cellStyle name="Normal 2 2 2 2 9 11" xfId="20992" xr:uid="{58A23C88-3F35-45DB-A247-71A17AE1AB80}"/>
    <cellStyle name="Normal 2 2 2 2 9 11 2" xfId="20993" xr:uid="{402F5090-93D5-4A1A-9A63-15115878F3FA}"/>
    <cellStyle name="Normal 2 2 2 2 9 11 3" xfId="20994" xr:uid="{373390CE-A899-4E4F-A7E3-919E572C6C6A}"/>
    <cellStyle name="Normal 2 2 2 2 9 11 4" xfId="20995" xr:uid="{A23C89CD-1A3A-463F-9921-240353A566E3}"/>
    <cellStyle name="Normal 2 2 2 2 9 11 5" xfId="20996" xr:uid="{34AF4E2C-E182-47AB-83B4-1B4F321AC27F}"/>
    <cellStyle name="Normal 2 2 2 2 9 11 6" xfId="20997" xr:uid="{9E522B5B-B8DE-4097-8DCD-9A56162D4DB4}"/>
    <cellStyle name="Normal 2 2 2 2 9 12" xfId="20998" xr:uid="{61328EC8-ADB7-4E73-99B4-B9028027A836}"/>
    <cellStyle name="Normal 2 2 2 2 9 12 2" xfId="20999" xr:uid="{4EC388ED-0D64-4D60-8558-901C9785B244}"/>
    <cellStyle name="Normal 2 2 2 2 9 12 3" xfId="21000" xr:uid="{08F6A37D-3136-4AE1-94F3-CE3CEC884F5C}"/>
    <cellStyle name="Normal 2 2 2 2 9 12 4" xfId="21001" xr:uid="{1B2A373F-2E76-4163-AAFA-85CAB23E00E7}"/>
    <cellStyle name="Normal 2 2 2 2 9 12 5" xfId="21002" xr:uid="{C743D093-71D0-4599-BE8B-E7BD961D53D7}"/>
    <cellStyle name="Normal 2 2 2 2 9 12 6" xfId="21003" xr:uid="{6B97C3E3-5004-4DA5-BA8C-BDC00C8EB551}"/>
    <cellStyle name="Normal 2 2 2 2 9 13" xfId="21004" xr:uid="{108E0180-4CDB-44BB-8B72-546100B01637}"/>
    <cellStyle name="Normal 2 2 2 2 9 13 2" xfId="21005" xr:uid="{33C85423-09B7-4529-8035-65E314F27D20}"/>
    <cellStyle name="Normal 2 2 2 2 9 13 3" xfId="21006" xr:uid="{0A05FACA-9D61-4D82-828E-3B098D6081E8}"/>
    <cellStyle name="Normal 2 2 2 2 9 13 4" xfId="21007" xr:uid="{8D7AA0EB-33FF-4B77-953D-F57E86B8BF20}"/>
    <cellStyle name="Normal 2 2 2 2 9 13 5" xfId="21008" xr:uid="{733C4576-541D-449A-848A-B1674954F75B}"/>
    <cellStyle name="Normal 2 2 2 2 9 13 6" xfId="21009" xr:uid="{D292B061-522A-4D16-9063-25FE55FEA83E}"/>
    <cellStyle name="Normal 2 2 2 2 9 14" xfId="21010" xr:uid="{96A72437-7B42-4769-A911-B60AD49E0CAF}"/>
    <cellStyle name="Normal 2 2 2 2 9 14 2" xfId="21011" xr:uid="{43E43004-0D55-4BF5-8263-FABD96F7AD9E}"/>
    <cellStyle name="Normal 2 2 2 2 9 14 3" xfId="21012" xr:uid="{80135945-033D-4D5D-AA5C-B4A0421457D9}"/>
    <cellStyle name="Normal 2 2 2 2 9 14 4" xfId="21013" xr:uid="{C192B987-AE04-4BFD-AFFC-2F46D9965B45}"/>
    <cellStyle name="Normal 2 2 2 2 9 14 5" xfId="21014" xr:uid="{459A1585-1D7B-48B6-8EB3-7BB620D2C11B}"/>
    <cellStyle name="Normal 2 2 2 2 9 14 6" xfId="21015" xr:uid="{E8CA2332-9F31-4A9F-A171-2FDECFC22E08}"/>
    <cellStyle name="Normal 2 2 2 2 9 15" xfId="21016" xr:uid="{83135546-E12B-43F3-AED6-9BEA84E22A6C}"/>
    <cellStyle name="Normal 2 2 2 2 9 16" xfId="21017" xr:uid="{1632994D-4EE0-4BCD-B262-62C7B50017DD}"/>
    <cellStyle name="Normal 2 2 2 2 9 17" xfId="21018" xr:uid="{CAC644C0-ACB3-493A-A576-A53B0150E4F5}"/>
    <cellStyle name="Normal 2 2 2 2 9 18" xfId="21019" xr:uid="{C23FC47D-4754-4C50-BE74-621A8F1593E5}"/>
    <cellStyle name="Normal 2 2 2 2 9 19" xfId="21020" xr:uid="{FFA71864-C210-4CE1-8C93-9724E374C178}"/>
    <cellStyle name="Normal 2 2 2 2 9 2" xfId="21021" xr:uid="{4FC4593A-F577-4A49-832B-DB3A73C01993}"/>
    <cellStyle name="Normal 2 2 2 2 9 3" xfId="21022" xr:uid="{530348C4-DB35-4D1C-9BD0-C8D4A44FC01D}"/>
    <cellStyle name="Normal 2 2 2 2 9 4" xfId="21023" xr:uid="{9D4FDC1F-B804-40DC-AA66-BEB6AE453B0D}"/>
    <cellStyle name="Normal 2 2 2 2 9 5" xfId="21024" xr:uid="{1A211DB0-9BDB-4CD3-883B-064ECF3970BE}"/>
    <cellStyle name="Normal 2 2 2 2 9 6" xfId="21025" xr:uid="{D74F0110-52F5-4447-8897-ED000B1E6AD1}"/>
    <cellStyle name="Normal 2 2 2 2 9 7" xfId="21026" xr:uid="{D35BC3A5-FFE6-4C4C-8066-9F876FD17402}"/>
    <cellStyle name="Normal 2 2 2 2 9 8" xfId="21027" xr:uid="{3CC564EB-7033-4089-A346-81642390F0AC}"/>
    <cellStyle name="Normal 2 2 2 2 9 8 2" xfId="21028" xr:uid="{45AA1D7D-24FC-4C53-BBC8-B05515ECD33B}"/>
    <cellStyle name="Normal 2 2 2 2 9 8 3" xfId="21029" xr:uid="{90E45F8D-A470-4546-864E-126B6B9768FA}"/>
    <cellStyle name="Normal 2 2 2 2 9 8 4" xfId="21030" xr:uid="{24461CA0-98B9-43A9-9416-559ED869AC96}"/>
    <cellStyle name="Normal 2 2 2 2 9 8 5" xfId="21031" xr:uid="{3D91071A-D98B-49D1-9B15-CEAD5AF5DB3E}"/>
    <cellStyle name="Normal 2 2 2 2 9 8 6" xfId="21032" xr:uid="{F4EFD9C8-2DC1-459F-9EBE-3E9DC6F819DA}"/>
    <cellStyle name="Normal 2 2 2 2 9 9" xfId="21033" xr:uid="{E9D06F6C-63C0-4C1E-905B-C14D714CA92B}"/>
    <cellStyle name="Normal 2 2 2 2 9 9 2" xfId="21034" xr:uid="{131B5951-1CAC-48BC-8D40-991A74DCA8DB}"/>
    <cellStyle name="Normal 2 2 2 2 9 9 3" xfId="21035" xr:uid="{BDC174C3-CFC7-4F43-AD3E-AD431D0C9AF2}"/>
    <cellStyle name="Normal 2 2 2 2 9 9 4" xfId="21036" xr:uid="{CCF6549F-E36C-4403-A9B3-F11C1EF65355}"/>
    <cellStyle name="Normal 2 2 2 2 9 9 5" xfId="21037" xr:uid="{76223FAD-0B82-446D-B52A-0134C18DB92D}"/>
    <cellStyle name="Normal 2 2 2 2 9 9 6" xfId="21038" xr:uid="{CD1CDF48-D383-459D-9C72-987B9BF66A8D}"/>
    <cellStyle name="Normal 2 2 2 20" xfId="21039" xr:uid="{73877343-4736-486B-B9E1-7E0C2422D1F6}"/>
    <cellStyle name="Normal 2 2 2 20 10" xfId="21040" xr:uid="{5B3C6620-5538-4E05-9FB5-8410ADBF978D}"/>
    <cellStyle name="Normal 2 2 2 20 11" xfId="21041" xr:uid="{AA76250B-A114-464A-8F93-C57A820576A5}"/>
    <cellStyle name="Normal 2 2 2 20 12" xfId="21042" xr:uid="{2CCEE357-C271-4636-B6DB-DFA85566F296}"/>
    <cellStyle name="Normal 2 2 2 20 13" xfId="21043" xr:uid="{02E75E77-2932-4A33-B811-DC27309DBA66}"/>
    <cellStyle name="Normal 2 2 2 20 14" xfId="21044" xr:uid="{ED55BF5A-66EE-4E9F-AB15-10845FDD52E8}"/>
    <cellStyle name="Normal 2 2 2 20 2" xfId="21045" xr:uid="{6FFCDF56-A21E-41A8-AEEC-A033D7EE153D}"/>
    <cellStyle name="Normal 2 2 2 20 2 2" xfId="21046" xr:uid="{9BE1CF89-6317-4715-988B-7D49C2220A52}"/>
    <cellStyle name="Normal 2 2 2 20 2 2 2" xfId="21047" xr:uid="{118CEEF0-D912-4016-B1C0-01EA39CBF148}"/>
    <cellStyle name="Normal 2 2 2 20 2 3" xfId="21048" xr:uid="{E042A5F7-BE9D-4559-978D-DCC96F8CAF83}"/>
    <cellStyle name="Normal 2 2 2 20 2 4" xfId="21049" xr:uid="{366532D1-3372-49E3-BF69-F64CD055BBBB}"/>
    <cellStyle name="Normal 2 2 2 20 2 5" xfId="21050" xr:uid="{C0645742-2259-4BD0-B849-FA14D63AFD88}"/>
    <cellStyle name="Normal 2 2 2 20 2 6" xfId="21051" xr:uid="{2A1F7A67-D908-48B8-BF07-CEA88A375451}"/>
    <cellStyle name="Normal 2 2 2 20 3" xfId="21052" xr:uid="{F6493297-AAFD-4E8F-82C9-2C0AB08E5095}"/>
    <cellStyle name="Normal 2 2 2 20 3 2" xfId="21053" xr:uid="{F01A9CBD-BC45-4F85-9DEB-D5EDF20B29D1}"/>
    <cellStyle name="Normal 2 2 2 20 3 3" xfId="21054" xr:uid="{0DDA2CA8-07FE-4C47-9221-47CF756228D5}"/>
    <cellStyle name="Normal 2 2 2 20 3 4" xfId="21055" xr:uid="{A03CD1F9-FE08-4DAD-90F5-1F8778092AAA}"/>
    <cellStyle name="Normal 2 2 2 20 3 5" xfId="21056" xr:uid="{D9770212-102B-47F7-AF16-D499A36330FD}"/>
    <cellStyle name="Normal 2 2 2 20 3 6" xfId="21057" xr:uid="{6E21B006-A45D-42FB-9476-F6FA012FB797}"/>
    <cellStyle name="Normal 2 2 2 20 4" xfId="21058" xr:uid="{4138DBCF-1B3A-46B6-BF40-D29B4B7A8288}"/>
    <cellStyle name="Normal 2 2 2 20 4 2" xfId="21059" xr:uid="{EFA7DD10-43CB-448C-AEE5-2E8A1819E415}"/>
    <cellStyle name="Normal 2 2 2 20 4 3" xfId="21060" xr:uid="{35F6DF1D-074C-4DFC-BC4D-990E6EFD051B}"/>
    <cellStyle name="Normal 2 2 2 20 4 4" xfId="21061" xr:uid="{9E1DEA57-BA5D-4883-92E8-724F777CF0F5}"/>
    <cellStyle name="Normal 2 2 2 20 4 5" xfId="21062" xr:uid="{9B1B292D-5584-4FE9-A564-26E128DA59BE}"/>
    <cellStyle name="Normal 2 2 2 20 4 6" xfId="21063" xr:uid="{F99E2BD5-1CFE-48C2-BBBF-6E212F2CF642}"/>
    <cellStyle name="Normal 2 2 2 20 5" xfId="21064" xr:uid="{474EBD26-ECD0-4CAF-A7CE-889B2A3BBB60}"/>
    <cellStyle name="Normal 2 2 2 20 5 2" xfId="21065" xr:uid="{5DFDD4D0-DD3C-4649-9736-1C7D8C10A381}"/>
    <cellStyle name="Normal 2 2 2 20 5 3" xfId="21066" xr:uid="{2B051ADD-E6DD-4CBB-99BD-435C23A132C9}"/>
    <cellStyle name="Normal 2 2 2 20 5 4" xfId="21067" xr:uid="{8C34130C-B4F9-46B3-8D5B-E49004B86833}"/>
    <cellStyle name="Normal 2 2 2 20 5 5" xfId="21068" xr:uid="{CE87105B-DC1B-41B9-ABF8-B46EC990AA2B}"/>
    <cellStyle name="Normal 2 2 2 20 5 6" xfId="21069" xr:uid="{0D936B85-3A52-4315-8EB0-ACC54D9CCBF8}"/>
    <cellStyle name="Normal 2 2 2 20 6" xfId="21070" xr:uid="{3AAB4D90-1B7D-4196-8905-2108015F765D}"/>
    <cellStyle name="Normal 2 2 2 20 6 2" xfId="21071" xr:uid="{D700EE06-C23F-4BDE-B4E3-8BABE78A9211}"/>
    <cellStyle name="Normal 2 2 2 20 6 3" xfId="21072" xr:uid="{6A92DC76-F523-4FD6-A1AA-AC639C3AE430}"/>
    <cellStyle name="Normal 2 2 2 20 6 4" xfId="21073" xr:uid="{523CCED8-BEF6-4F8B-855D-755C2DB6CB01}"/>
    <cellStyle name="Normal 2 2 2 20 6 5" xfId="21074" xr:uid="{1A47BA16-BB8D-4F31-BDD9-1E266B0B56EF}"/>
    <cellStyle name="Normal 2 2 2 20 6 6" xfId="21075" xr:uid="{806C51B5-9973-4D55-971F-FD7B94EEA7D0}"/>
    <cellStyle name="Normal 2 2 2 20 7" xfId="21076" xr:uid="{83CF85F6-4D15-4A78-B4A7-C5E6D7F1858D}"/>
    <cellStyle name="Normal 2 2 2 20 7 2" xfId="21077" xr:uid="{D74F47CC-1176-4F09-AB74-AC479CB1FEF6}"/>
    <cellStyle name="Normal 2 2 2 20 7 3" xfId="21078" xr:uid="{FC5EF02A-4696-400F-8361-354E012D3161}"/>
    <cellStyle name="Normal 2 2 2 20 7 4" xfId="21079" xr:uid="{51ED059D-26E5-4DFF-8F07-27C6DB41BB87}"/>
    <cellStyle name="Normal 2 2 2 20 7 5" xfId="21080" xr:uid="{A75253D0-CE74-4B69-99DB-63F72F50D7FD}"/>
    <cellStyle name="Normal 2 2 2 20 7 6" xfId="21081" xr:uid="{57506D6A-1588-4E87-BEF1-510656F98B30}"/>
    <cellStyle name="Normal 2 2 2 20 8" xfId="21082" xr:uid="{3848BD8F-9A8F-4175-B182-2E821D232DED}"/>
    <cellStyle name="Normal 2 2 2 20 8 2" xfId="21083" xr:uid="{9A582698-F237-4D7B-B22C-BF7B4B819095}"/>
    <cellStyle name="Normal 2 2 2 20 8 3" xfId="21084" xr:uid="{A59CA53A-665C-40AE-B724-DB971F2DB12C}"/>
    <cellStyle name="Normal 2 2 2 20 8 4" xfId="21085" xr:uid="{92AED56B-4E0E-4CE0-9048-ABC19D4C7063}"/>
    <cellStyle name="Normal 2 2 2 20 8 5" xfId="21086" xr:uid="{D59C5708-51AD-4530-8E4C-C09D700EC769}"/>
    <cellStyle name="Normal 2 2 2 20 8 6" xfId="21087" xr:uid="{EA414C32-25DF-411C-8716-7518F9B065F3}"/>
    <cellStyle name="Normal 2 2 2 20 9" xfId="21088" xr:uid="{B8ADDDDE-649F-413F-860B-48A21D672A69}"/>
    <cellStyle name="Normal 2 2 2 21" xfId="21089" xr:uid="{3572CB9C-2B46-4B7F-8D2C-A780B2C06B0A}"/>
    <cellStyle name="Normal 2 2 2 21 10" xfId="21090" xr:uid="{150C3038-B5B0-4BE4-8C98-B1116681409D}"/>
    <cellStyle name="Normal 2 2 2 21 11" xfId="21091" xr:uid="{B1E32880-099B-475B-8B81-F8FF05B0AE14}"/>
    <cellStyle name="Normal 2 2 2 21 12" xfId="21092" xr:uid="{F8CB669D-8040-4DBA-BF15-69CC97E317B4}"/>
    <cellStyle name="Normal 2 2 2 21 13" xfId="21093" xr:uid="{8D5F4639-63AD-472E-99AE-F15E177A2CB5}"/>
    <cellStyle name="Normal 2 2 2 21 14" xfId="21094" xr:uid="{7CE13A38-3DCB-44DC-BD0D-61BE7ED73644}"/>
    <cellStyle name="Normal 2 2 2 21 2" xfId="21095" xr:uid="{934E9BE0-7B16-4323-A9A1-27316F2923AD}"/>
    <cellStyle name="Normal 2 2 2 21 2 2" xfId="21096" xr:uid="{AD5A6836-E4F8-4C74-BDA9-2841AC1A1054}"/>
    <cellStyle name="Normal 2 2 2 21 2 3" xfId="21097" xr:uid="{3C8DF1B5-1065-4BE8-9E90-898CFA94463E}"/>
    <cellStyle name="Normal 2 2 2 21 2 4" xfId="21098" xr:uid="{3738143D-82F9-44BA-8A39-CCF41E4401EB}"/>
    <cellStyle name="Normal 2 2 2 21 2 5" xfId="21099" xr:uid="{3077DAA8-97B7-44B9-BC1F-0FDD045E4939}"/>
    <cellStyle name="Normal 2 2 2 21 2 6" xfId="21100" xr:uid="{427E8072-5F0E-4197-A04A-20796B215AE2}"/>
    <cellStyle name="Normal 2 2 2 21 3" xfId="21101" xr:uid="{D75166AF-1A7B-4E46-A0AE-39BEE5ABAC49}"/>
    <cellStyle name="Normal 2 2 2 21 3 2" xfId="21102" xr:uid="{B9CA084F-DB5C-4F21-9C5A-74BB1CCDDB35}"/>
    <cellStyle name="Normal 2 2 2 21 3 3" xfId="21103" xr:uid="{81802D86-7CC8-4756-B2AB-AB1E8D182762}"/>
    <cellStyle name="Normal 2 2 2 21 3 4" xfId="21104" xr:uid="{58579DAE-92B6-4DEB-A6CA-05AC626F8A0C}"/>
    <cellStyle name="Normal 2 2 2 21 3 5" xfId="21105" xr:uid="{9E7F4858-A29C-4068-B399-582B718BB6BB}"/>
    <cellStyle name="Normal 2 2 2 21 3 6" xfId="21106" xr:uid="{D98A857B-46BD-4FCA-A187-0CE8228E7D7D}"/>
    <cellStyle name="Normal 2 2 2 21 4" xfId="21107" xr:uid="{40AC3686-DE07-4A3C-A7A6-33D86F7B093F}"/>
    <cellStyle name="Normal 2 2 2 21 4 2" xfId="21108" xr:uid="{0D93E831-11AA-4B07-94FB-F30B4440858A}"/>
    <cellStyle name="Normal 2 2 2 21 4 3" xfId="21109" xr:uid="{3BC1CAEB-40D5-4EED-8393-07866C94FE03}"/>
    <cellStyle name="Normal 2 2 2 21 4 4" xfId="21110" xr:uid="{9B43B306-5338-454C-BEF0-E4FBF80577EC}"/>
    <cellStyle name="Normal 2 2 2 21 4 5" xfId="21111" xr:uid="{212E5020-CE11-4824-BFC8-AFF2694B8F4E}"/>
    <cellStyle name="Normal 2 2 2 21 4 6" xfId="21112" xr:uid="{D41F4485-3B0B-4EE6-8EAC-B97142AF9D2F}"/>
    <cellStyle name="Normal 2 2 2 21 5" xfId="21113" xr:uid="{5FA7FA2E-80DF-4B88-A752-12568B5C3F6B}"/>
    <cellStyle name="Normal 2 2 2 21 5 2" xfId="21114" xr:uid="{F11B2DF1-2C8D-423A-857F-88F067F6C9FC}"/>
    <cellStyle name="Normal 2 2 2 21 5 3" xfId="21115" xr:uid="{BC0F5F8B-C079-42DC-9BFB-052F17808B13}"/>
    <cellStyle name="Normal 2 2 2 21 5 4" xfId="21116" xr:uid="{0305CD5B-E378-4FD2-8A25-9DD37DBF00F2}"/>
    <cellStyle name="Normal 2 2 2 21 5 5" xfId="21117" xr:uid="{BF83B656-C673-4E26-AB98-5F261E2F08D7}"/>
    <cellStyle name="Normal 2 2 2 21 5 6" xfId="21118" xr:uid="{A9604EA6-3724-491E-B0C1-E7AA9AB123DA}"/>
    <cellStyle name="Normal 2 2 2 21 6" xfId="21119" xr:uid="{6DB5AB15-0552-49E6-9F90-60A874773FEA}"/>
    <cellStyle name="Normal 2 2 2 21 6 2" xfId="21120" xr:uid="{E6C8FD1E-F684-4877-811C-1FF98F5D4A81}"/>
    <cellStyle name="Normal 2 2 2 21 6 3" xfId="21121" xr:uid="{C7B6BD96-7894-435D-8C30-E81534775CFA}"/>
    <cellStyle name="Normal 2 2 2 21 6 4" xfId="21122" xr:uid="{128EC597-1A04-47AF-A647-3F26DA883596}"/>
    <cellStyle name="Normal 2 2 2 21 6 5" xfId="21123" xr:uid="{5C3CC066-BF16-48BE-B398-8B559433489F}"/>
    <cellStyle name="Normal 2 2 2 21 6 6" xfId="21124" xr:uid="{2F2D83B0-BDE0-4C83-9E43-342743C1B1AF}"/>
    <cellStyle name="Normal 2 2 2 21 7" xfId="21125" xr:uid="{F2C6E676-DBC9-42D0-B3F2-E2C97F96EB8F}"/>
    <cellStyle name="Normal 2 2 2 21 7 2" xfId="21126" xr:uid="{F94742D7-FC04-46D0-84D8-6AA10846CB2A}"/>
    <cellStyle name="Normal 2 2 2 21 7 3" xfId="21127" xr:uid="{1517C055-11E6-456F-B9F5-3972DAC67715}"/>
    <cellStyle name="Normal 2 2 2 21 7 4" xfId="21128" xr:uid="{FA501198-7896-40ED-B01A-9FD31E0316A0}"/>
    <cellStyle name="Normal 2 2 2 21 7 5" xfId="21129" xr:uid="{F284ABF5-96CC-4B6A-B453-2C1AEC3757E1}"/>
    <cellStyle name="Normal 2 2 2 21 7 6" xfId="21130" xr:uid="{12F0A037-74F2-4148-B608-906E4D8DDCF6}"/>
    <cellStyle name="Normal 2 2 2 21 8" xfId="21131" xr:uid="{378A5202-D719-43F3-BD0C-45F0D29AAF5B}"/>
    <cellStyle name="Normal 2 2 2 21 8 2" xfId="21132" xr:uid="{FBC39B50-310B-460F-BF72-8D49F6B79DA9}"/>
    <cellStyle name="Normal 2 2 2 21 8 3" xfId="21133" xr:uid="{EA3C718F-EE6A-4D2F-8E5A-9C1C4C06161F}"/>
    <cellStyle name="Normal 2 2 2 21 8 4" xfId="21134" xr:uid="{9E7CFA4F-2EAF-4DF2-8FDD-5F81372AC441}"/>
    <cellStyle name="Normal 2 2 2 21 8 5" xfId="21135" xr:uid="{1A5A6AE0-880F-4821-AB86-D9AEBC39C1BC}"/>
    <cellStyle name="Normal 2 2 2 21 8 6" xfId="21136" xr:uid="{0E3473E0-6294-43E2-B0F6-0176F59DDF57}"/>
    <cellStyle name="Normal 2 2 2 21 9" xfId="21137" xr:uid="{F5499C5F-2B6C-48A8-985B-860ED543F183}"/>
    <cellStyle name="Normal 2 2 2 22" xfId="21138" xr:uid="{E03B449C-A38A-4591-943B-F0A0A939DE62}"/>
    <cellStyle name="Normal 2 2 2 22 10" xfId="21139" xr:uid="{7554D209-2DE4-4249-9E3D-B8660846AD5A}"/>
    <cellStyle name="Normal 2 2 2 22 11" xfId="21140" xr:uid="{BAF2E2AE-4915-459B-A5D4-E0347515EC23}"/>
    <cellStyle name="Normal 2 2 2 22 12" xfId="21141" xr:uid="{EC118806-78B0-4E2A-9E10-9BF406E83B8B}"/>
    <cellStyle name="Normal 2 2 2 22 13" xfId="21142" xr:uid="{629EACC2-C908-4E7E-88B5-5B953DC53C91}"/>
    <cellStyle name="Normal 2 2 2 22 14" xfId="21143" xr:uid="{C15E8614-83C2-4ECD-A500-AC13EAF7B8FD}"/>
    <cellStyle name="Normal 2 2 2 22 2" xfId="21144" xr:uid="{61009A5F-C5EC-491A-AB98-DD43D6A3F621}"/>
    <cellStyle name="Normal 2 2 2 22 2 2" xfId="21145" xr:uid="{411B33A0-5CF2-472A-9E48-1FC4497BFDEA}"/>
    <cellStyle name="Normal 2 2 2 22 2 3" xfId="21146" xr:uid="{B5A1A399-0AEC-4834-A5B3-D9CB53EE4D2D}"/>
    <cellStyle name="Normal 2 2 2 22 2 4" xfId="21147" xr:uid="{EC1AD4BD-7B9E-4F26-A3A4-59D7E9A04554}"/>
    <cellStyle name="Normal 2 2 2 22 2 5" xfId="21148" xr:uid="{21FC5A84-7D4C-4B68-A1B1-4D9F8CB74265}"/>
    <cellStyle name="Normal 2 2 2 22 2 6" xfId="21149" xr:uid="{AE82F7EE-F664-4482-9C5E-F7ACF786EC26}"/>
    <cellStyle name="Normal 2 2 2 22 3" xfId="21150" xr:uid="{31AB16B4-16F9-4404-9253-A4DBE76C6653}"/>
    <cellStyle name="Normal 2 2 2 22 3 2" xfId="21151" xr:uid="{FE20208E-789E-4308-A503-7F23ED7FBC99}"/>
    <cellStyle name="Normal 2 2 2 22 3 3" xfId="21152" xr:uid="{9F390DFA-4E38-40C0-81DD-6576AE53EFA4}"/>
    <cellStyle name="Normal 2 2 2 22 3 4" xfId="21153" xr:uid="{E386BC48-60C1-4BA4-BBEB-104CE9AE8335}"/>
    <cellStyle name="Normal 2 2 2 22 3 5" xfId="21154" xr:uid="{A043A62A-AB87-4FAA-867A-75CFCFCAD853}"/>
    <cellStyle name="Normal 2 2 2 22 3 6" xfId="21155" xr:uid="{89B18FAD-F27D-40E5-96B4-E3E8CF404109}"/>
    <cellStyle name="Normal 2 2 2 22 4" xfId="21156" xr:uid="{B836CB59-EF49-45C6-A64D-B2D41CDFDC03}"/>
    <cellStyle name="Normal 2 2 2 22 4 2" xfId="21157" xr:uid="{28279087-473C-4241-B259-C6A4891B95B3}"/>
    <cellStyle name="Normal 2 2 2 22 4 3" xfId="21158" xr:uid="{25C11419-75B2-4D20-B991-DD487542D038}"/>
    <cellStyle name="Normal 2 2 2 22 4 4" xfId="21159" xr:uid="{BDB57C44-F90D-4528-B7D7-A3369D6F724D}"/>
    <cellStyle name="Normal 2 2 2 22 4 5" xfId="21160" xr:uid="{63516857-B986-40CF-B497-2974C927146A}"/>
    <cellStyle name="Normal 2 2 2 22 4 6" xfId="21161" xr:uid="{B75B64AA-CF45-42C8-9255-1BD0EB19DD86}"/>
    <cellStyle name="Normal 2 2 2 22 5" xfId="21162" xr:uid="{C7BFDB59-ED8F-4F8B-8BD5-CA22F27BA515}"/>
    <cellStyle name="Normal 2 2 2 22 5 2" xfId="21163" xr:uid="{0DB50554-D0AD-4D81-BD65-DF3828F800F1}"/>
    <cellStyle name="Normal 2 2 2 22 5 3" xfId="21164" xr:uid="{E90D25AB-9381-4DB6-AD03-182003F17823}"/>
    <cellStyle name="Normal 2 2 2 22 5 4" xfId="21165" xr:uid="{ADCD5A7D-D9F2-45F1-906B-5A2282B8C9CF}"/>
    <cellStyle name="Normal 2 2 2 22 5 5" xfId="21166" xr:uid="{978AF701-85AB-470F-B16A-E715266D62D3}"/>
    <cellStyle name="Normal 2 2 2 22 5 6" xfId="21167" xr:uid="{DA4B01FB-2805-40B5-B07C-9F1FFA374D41}"/>
    <cellStyle name="Normal 2 2 2 22 6" xfId="21168" xr:uid="{A210B4C3-9064-49C2-826B-F74D646B4F31}"/>
    <cellStyle name="Normal 2 2 2 22 6 2" xfId="21169" xr:uid="{2AFF202F-85C6-40CA-B290-CBBA136F3847}"/>
    <cellStyle name="Normal 2 2 2 22 6 3" xfId="21170" xr:uid="{8FF9AE7D-39FD-4CC2-88E3-27BC1BCD1F7F}"/>
    <cellStyle name="Normal 2 2 2 22 6 4" xfId="21171" xr:uid="{273B8799-D4DE-4E30-92FF-8FE6B3906FDF}"/>
    <cellStyle name="Normal 2 2 2 22 6 5" xfId="21172" xr:uid="{0B3A0F65-21AF-45EB-ADE3-3E3D82B296C0}"/>
    <cellStyle name="Normal 2 2 2 22 6 6" xfId="21173" xr:uid="{07D77688-DDEA-4AB4-A9F4-328F87BDEB21}"/>
    <cellStyle name="Normal 2 2 2 22 7" xfId="21174" xr:uid="{ED5474E0-11C0-4ACA-A8EB-EE1AC831492E}"/>
    <cellStyle name="Normal 2 2 2 22 7 2" xfId="21175" xr:uid="{5422CB24-0273-47C1-A73F-F091EF705726}"/>
    <cellStyle name="Normal 2 2 2 22 7 3" xfId="21176" xr:uid="{DB63C813-760D-4758-AAD3-69942BBDB329}"/>
    <cellStyle name="Normal 2 2 2 22 7 4" xfId="21177" xr:uid="{1DC7B7A8-BDBE-4F54-B4D9-7AD8C6CDFE90}"/>
    <cellStyle name="Normal 2 2 2 22 7 5" xfId="21178" xr:uid="{03A83037-72B3-488C-BB7F-056CF586DF5D}"/>
    <cellStyle name="Normal 2 2 2 22 7 6" xfId="21179" xr:uid="{F8993098-A852-4ECD-BEF5-B5054C735227}"/>
    <cellStyle name="Normal 2 2 2 22 8" xfId="21180" xr:uid="{4652FE1E-EAB4-4A6D-9FCD-2A226617CDDA}"/>
    <cellStyle name="Normal 2 2 2 22 8 2" xfId="21181" xr:uid="{B45FAA8D-F3E8-4401-94A2-0898CC516A5D}"/>
    <cellStyle name="Normal 2 2 2 22 8 3" xfId="21182" xr:uid="{791090F0-0A44-4F1C-B661-DC6CC8822F18}"/>
    <cellStyle name="Normal 2 2 2 22 8 4" xfId="21183" xr:uid="{B2FC4FC2-DB4A-46BD-BE6A-107CFAAC172B}"/>
    <cellStyle name="Normal 2 2 2 22 8 5" xfId="21184" xr:uid="{81E6114C-2267-4BC4-9C85-8ADD57227F76}"/>
    <cellStyle name="Normal 2 2 2 22 8 6" xfId="21185" xr:uid="{AC06C391-0058-4325-A11A-A5C614E6B8CF}"/>
    <cellStyle name="Normal 2 2 2 22 9" xfId="21186" xr:uid="{9F1F74C9-5797-4B14-B26B-503D78604649}"/>
    <cellStyle name="Normal 2 2 2 23" xfId="21187" xr:uid="{C4FE72D7-9436-4992-A1FD-A3E5918B384D}"/>
    <cellStyle name="Normal 2 2 2 23 10" xfId="21188" xr:uid="{C90C6F2D-F49D-4FE6-B0B5-1660B14DEA55}"/>
    <cellStyle name="Normal 2 2 2 23 11" xfId="21189" xr:uid="{C499D2B5-10AF-41C3-9084-6E1EC9841A41}"/>
    <cellStyle name="Normal 2 2 2 23 12" xfId="21190" xr:uid="{6BCD5419-F9A7-4086-9591-E9F40FC3CDDC}"/>
    <cellStyle name="Normal 2 2 2 23 13" xfId="21191" xr:uid="{BB6D4D55-AA25-4CA7-81B5-5CD9AA0497DE}"/>
    <cellStyle name="Normal 2 2 2 23 14" xfId="21192" xr:uid="{928C98A7-9895-4024-ADAA-DEECAE2A04DD}"/>
    <cellStyle name="Normal 2 2 2 23 2" xfId="21193" xr:uid="{47E75D99-BA0B-4BE3-9B68-523FF0DA3635}"/>
    <cellStyle name="Normal 2 2 2 23 2 2" xfId="21194" xr:uid="{A59509F1-BE2B-4094-8A51-C83AA429645C}"/>
    <cellStyle name="Normal 2 2 2 23 2 3" xfId="21195" xr:uid="{5D7D460E-DB28-464C-AFA4-8362D12F0493}"/>
    <cellStyle name="Normal 2 2 2 23 2 4" xfId="21196" xr:uid="{7ABA204D-FC67-486D-A70E-DC827B06E326}"/>
    <cellStyle name="Normal 2 2 2 23 2 5" xfId="21197" xr:uid="{C5FB3B12-6A27-4B69-93F8-692418974440}"/>
    <cellStyle name="Normal 2 2 2 23 2 6" xfId="21198" xr:uid="{2180D412-477C-4AF6-8B82-40741316FE68}"/>
    <cellStyle name="Normal 2 2 2 23 3" xfId="21199" xr:uid="{AC9F65DA-974D-4556-B3C9-0E11B5083CD0}"/>
    <cellStyle name="Normal 2 2 2 23 3 2" xfId="21200" xr:uid="{83EE3D4A-E82F-4EFA-AE8D-3DCF662EAC3E}"/>
    <cellStyle name="Normal 2 2 2 23 3 3" xfId="21201" xr:uid="{E4E5114E-E758-4DD1-B8FC-59246E5BF65F}"/>
    <cellStyle name="Normal 2 2 2 23 3 4" xfId="21202" xr:uid="{B246339D-0278-4FB1-94C7-3AB997678B54}"/>
    <cellStyle name="Normal 2 2 2 23 3 5" xfId="21203" xr:uid="{021B9DAF-F81B-4CDE-9599-4AB920F55D48}"/>
    <cellStyle name="Normal 2 2 2 23 3 6" xfId="21204" xr:uid="{5764382A-67B5-4B6F-81A9-4EFB0C679D69}"/>
    <cellStyle name="Normal 2 2 2 23 4" xfId="21205" xr:uid="{FAA75F7F-463D-4A1D-B793-88145B91DA29}"/>
    <cellStyle name="Normal 2 2 2 23 4 2" xfId="21206" xr:uid="{6AF45962-95A6-4464-BC13-38F1D09F7D6B}"/>
    <cellStyle name="Normal 2 2 2 23 4 3" xfId="21207" xr:uid="{FE169DA2-1AF9-4E51-8814-3A9B738FB8F0}"/>
    <cellStyle name="Normal 2 2 2 23 4 4" xfId="21208" xr:uid="{21831ACD-0181-4715-BE3C-3FA5CCF8514F}"/>
    <cellStyle name="Normal 2 2 2 23 4 5" xfId="21209" xr:uid="{A30847D0-822C-425D-A86C-3959AC6B3CEE}"/>
    <cellStyle name="Normal 2 2 2 23 4 6" xfId="21210" xr:uid="{8C92AC07-6D6A-4AFA-B059-3FF602E776F1}"/>
    <cellStyle name="Normal 2 2 2 23 5" xfId="21211" xr:uid="{620599B2-9760-4B24-A31F-D7447D1D6E4C}"/>
    <cellStyle name="Normal 2 2 2 23 5 2" xfId="21212" xr:uid="{826D9850-34C5-4064-8784-7FA5E5292A0E}"/>
    <cellStyle name="Normal 2 2 2 23 5 3" xfId="21213" xr:uid="{62702782-E142-496A-94B4-5DAF0B6C6923}"/>
    <cellStyle name="Normal 2 2 2 23 5 4" xfId="21214" xr:uid="{3DE44629-F7AD-4A93-B6DE-C7DB13DC7D48}"/>
    <cellStyle name="Normal 2 2 2 23 5 5" xfId="21215" xr:uid="{06CD3AA9-4C61-47D7-8B7B-A311AFA3A487}"/>
    <cellStyle name="Normal 2 2 2 23 5 6" xfId="21216" xr:uid="{B3E0A68C-6360-4E1C-8070-F6F3C99A4D93}"/>
    <cellStyle name="Normal 2 2 2 23 6" xfId="21217" xr:uid="{66BE8D6D-DB0F-4AC2-B1FF-B07459356582}"/>
    <cellStyle name="Normal 2 2 2 23 6 2" xfId="21218" xr:uid="{02AA95D6-D5F7-48EC-AFB2-8B2F02FA4A43}"/>
    <cellStyle name="Normal 2 2 2 23 6 3" xfId="21219" xr:uid="{8BCEE8C3-3934-4703-B7BE-7734FFBE83A6}"/>
    <cellStyle name="Normal 2 2 2 23 6 4" xfId="21220" xr:uid="{30615698-0909-424C-9466-F6EB5EDC2F92}"/>
    <cellStyle name="Normal 2 2 2 23 6 5" xfId="21221" xr:uid="{D59DAD08-9FC6-47E8-B464-D1ACCF156126}"/>
    <cellStyle name="Normal 2 2 2 23 6 6" xfId="21222" xr:uid="{56F9FFAA-05E5-45F7-8B01-5CDB25F4A917}"/>
    <cellStyle name="Normal 2 2 2 23 7" xfId="21223" xr:uid="{273DE6CD-7D7F-4F97-A61E-1DCE519262B1}"/>
    <cellStyle name="Normal 2 2 2 23 7 2" xfId="21224" xr:uid="{54991285-CE5D-4A20-9A57-96AE6834622F}"/>
    <cellStyle name="Normal 2 2 2 23 7 3" xfId="21225" xr:uid="{1DEAA7E4-CA7F-47C1-9523-76A43A3D3401}"/>
    <cellStyle name="Normal 2 2 2 23 7 4" xfId="21226" xr:uid="{FE6F5377-E288-4B04-ADAD-558E3C4D7923}"/>
    <cellStyle name="Normal 2 2 2 23 7 5" xfId="21227" xr:uid="{5AA645C3-CE12-4773-BEAB-2FD33DFF4B57}"/>
    <cellStyle name="Normal 2 2 2 23 7 6" xfId="21228" xr:uid="{DFE642C7-DCA5-433B-A8AD-8108C4F6A0F6}"/>
    <cellStyle name="Normal 2 2 2 23 8" xfId="21229" xr:uid="{1E21D5E2-25E5-4A7B-960E-995742FC607F}"/>
    <cellStyle name="Normal 2 2 2 23 8 2" xfId="21230" xr:uid="{D2CC89D8-3524-4A76-B964-50BCAD1C332E}"/>
    <cellStyle name="Normal 2 2 2 23 8 3" xfId="21231" xr:uid="{74A800DA-939E-4178-954C-95F4DA153821}"/>
    <cellStyle name="Normal 2 2 2 23 8 4" xfId="21232" xr:uid="{BB62C385-DA11-4BAE-93CE-F21334D66B25}"/>
    <cellStyle name="Normal 2 2 2 23 8 5" xfId="21233" xr:uid="{E6B5A495-8A51-4D93-BD96-3DB30C799769}"/>
    <cellStyle name="Normal 2 2 2 23 8 6" xfId="21234" xr:uid="{601B6422-618B-4D8C-853A-36B240C62D66}"/>
    <cellStyle name="Normal 2 2 2 23 9" xfId="21235" xr:uid="{9B437565-4A6E-4542-BBAF-388BAB290188}"/>
    <cellStyle name="Normal 2 2 2 24" xfId="21236" xr:uid="{DC397257-4969-420A-A0B4-C9E0D730E7A1}"/>
    <cellStyle name="Normal 2 2 2 24 10" xfId="21237" xr:uid="{16FB934C-05D0-4D5B-BE47-F83FADDD9368}"/>
    <cellStyle name="Normal 2 2 2 24 11" xfId="21238" xr:uid="{4AB32AB9-3519-4B87-9168-D6A31BB3E520}"/>
    <cellStyle name="Normal 2 2 2 24 12" xfId="21239" xr:uid="{5EDC00E0-86E9-432A-BED0-DB642806EA73}"/>
    <cellStyle name="Normal 2 2 2 24 13" xfId="21240" xr:uid="{16242867-0ACE-4D47-BCD2-C58FF2041BDB}"/>
    <cellStyle name="Normal 2 2 2 24 14" xfId="21241" xr:uid="{C2282324-62D5-4AEE-BE8E-FC048800465C}"/>
    <cellStyle name="Normal 2 2 2 24 2" xfId="21242" xr:uid="{23B6A6AF-2645-4B2C-AC03-7C00215BFDCF}"/>
    <cellStyle name="Normal 2 2 2 24 2 2" xfId="21243" xr:uid="{E1AC9B11-57F3-45CF-8A8D-23AF28B2FA64}"/>
    <cellStyle name="Normal 2 2 2 24 2 3" xfId="21244" xr:uid="{774E33A1-4F9F-4E14-8E34-4BC2DD5CBCEA}"/>
    <cellStyle name="Normal 2 2 2 24 2 4" xfId="21245" xr:uid="{510BF804-CF0E-4F94-ACA4-38A12F89C7B9}"/>
    <cellStyle name="Normal 2 2 2 24 2 5" xfId="21246" xr:uid="{3FFA4BAC-AB2C-42A6-8052-595BE53D0F87}"/>
    <cellStyle name="Normal 2 2 2 24 2 6" xfId="21247" xr:uid="{B5EAF00E-31F5-4E9F-A8D9-2212552A5CFE}"/>
    <cellStyle name="Normal 2 2 2 24 3" xfId="21248" xr:uid="{3FEB50A3-0D74-49BD-B4D9-BBA3EE4C0305}"/>
    <cellStyle name="Normal 2 2 2 24 3 2" xfId="21249" xr:uid="{7C8C37C8-24DB-4E9B-A829-708C5894C806}"/>
    <cellStyle name="Normal 2 2 2 24 3 3" xfId="21250" xr:uid="{CC7CBCDF-15E4-4460-BB03-5F4998DEAF73}"/>
    <cellStyle name="Normal 2 2 2 24 3 4" xfId="21251" xr:uid="{7E08DE00-FB83-4847-948E-05AA49542806}"/>
    <cellStyle name="Normal 2 2 2 24 3 5" xfId="21252" xr:uid="{49FDD04C-02A5-4842-9C99-D01BF083A399}"/>
    <cellStyle name="Normal 2 2 2 24 3 6" xfId="21253" xr:uid="{15F49BBE-F514-4333-9B45-A216FCE27838}"/>
    <cellStyle name="Normal 2 2 2 24 4" xfId="21254" xr:uid="{BBE7012B-3D1F-486B-A888-528B37FA374E}"/>
    <cellStyle name="Normal 2 2 2 24 4 2" xfId="21255" xr:uid="{B99F0ECB-F432-453C-BC3B-E3977EDB09B0}"/>
    <cellStyle name="Normal 2 2 2 24 4 3" xfId="21256" xr:uid="{F5086DE4-BED3-4C67-92E7-E3E7B68AB512}"/>
    <cellStyle name="Normal 2 2 2 24 4 4" xfId="21257" xr:uid="{6B8C9316-A2CA-46AA-97CF-D1A780E7AE34}"/>
    <cellStyle name="Normal 2 2 2 24 4 5" xfId="21258" xr:uid="{FB6D764E-509C-48B3-97DD-654927C23701}"/>
    <cellStyle name="Normal 2 2 2 24 4 6" xfId="21259" xr:uid="{F576F994-A595-4E5A-BEDC-9B92C4596F98}"/>
    <cellStyle name="Normal 2 2 2 24 5" xfId="21260" xr:uid="{CD9D8263-F22E-48BB-9CA3-3B7D2DAF315F}"/>
    <cellStyle name="Normal 2 2 2 24 5 2" xfId="21261" xr:uid="{1BD025A1-CF78-4B11-8BEE-8ABFB5BE0A5F}"/>
    <cellStyle name="Normal 2 2 2 24 5 3" xfId="21262" xr:uid="{A9691FAC-3562-42D1-A26A-DB2CCF04EDD0}"/>
    <cellStyle name="Normal 2 2 2 24 5 4" xfId="21263" xr:uid="{922CB2DE-37B1-4237-B915-3E1488233B36}"/>
    <cellStyle name="Normal 2 2 2 24 5 5" xfId="21264" xr:uid="{19BC90BC-DAF5-4322-B112-FC9080893184}"/>
    <cellStyle name="Normal 2 2 2 24 5 6" xfId="21265" xr:uid="{56B486CA-8272-47AB-88AF-DC7F8FBCDD78}"/>
    <cellStyle name="Normal 2 2 2 24 6" xfId="21266" xr:uid="{D4286F41-7640-4CFD-856C-C25BCADF1FC5}"/>
    <cellStyle name="Normal 2 2 2 24 6 2" xfId="21267" xr:uid="{3E6CB6F9-9907-4215-9A71-6DDB8B798788}"/>
    <cellStyle name="Normal 2 2 2 24 6 3" xfId="21268" xr:uid="{D4D42ECE-153D-4B1E-BE24-0758937F06D3}"/>
    <cellStyle name="Normal 2 2 2 24 6 4" xfId="21269" xr:uid="{A8EAB8CA-4765-4711-8F08-2FE513CF75CD}"/>
    <cellStyle name="Normal 2 2 2 24 6 5" xfId="21270" xr:uid="{9DF6FE0D-FC06-476B-B2DA-28B82F2E5441}"/>
    <cellStyle name="Normal 2 2 2 24 6 6" xfId="21271" xr:uid="{40C42F1D-EC3E-4155-8671-95D70CC3C011}"/>
    <cellStyle name="Normal 2 2 2 24 7" xfId="21272" xr:uid="{7B93B3EF-5724-43EA-BC23-241E540728FA}"/>
    <cellStyle name="Normal 2 2 2 24 7 2" xfId="21273" xr:uid="{411AD25D-F58D-4360-9302-FCFF76AEB953}"/>
    <cellStyle name="Normal 2 2 2 24 7 3" xfId="21274" xr:uid="{1CBA7E44-BBCB-4E32-B2F1-6237F45FB731}"/>
    <cellStyle name="Normal 2 2 2 24 7 4" xfId="21275" xr:uid="{D71B797D-AF15-46C5-8895-160BC79B8641}"/>
    <cellStyle name="Normal 2 2 2 24 7 5" xfId="21276" xr:uid="{22814C83-F2DD-4CE5-85FE-E030CF7A23F3}"/>
    <cellStyle name="Normal 2 2 2 24 7 6" xfId="21277" xr:uid="{FBD5D028-3B05-41CE-B0DE-0D12994D434E}"/>
    <cellStyle name="Normal 2 2 2 24 8" xfId="21278" xr:uid="{6FC2F26C-6AD7-477E-8885-A70F1C958C70}"/>
    <cellStyle name="Normal 2 2 2 24 8 2" xfId="21279" xr:uid="{CE9FD50C-EE96-4DCB-B6C1-9165023CEBF3}"/>
    <cellStyle name="Normal 2 2 2 24 8 3" xfId="21280" xr:uid="{C2A8C184-96A3-438D-A1D2-6C400E3A0099}"/>
    <cellStyle name="Normal 2 2 2 24 8 4" xfId="21281" xr:uid="{698D20C7-E7C9-468D-834A-7168B9B11497}"/>
    <cellStyle name="Normal 2 2 2 24 8 5" xfId="21282" xr:uid="{86E3D6F8-95A7-4799-99F5-B27075766FA9}"/>
    <cellStyle name="Normal 2 2 2 24 8 6" xfId="21283" xr:uid="{EED4CF30-667E-4A7A-BA8E-B2787C5D0172}"/>
    <cellStyle name="Normal 2 2 2 24 9" xfId="21284" xr:uid="{FD6EDD92-20A8-4CFC-8425-9DCFB6348951}"/>
    <cellStyle name="Normal 2 2 2 25" xfId="21285" xr:uid="{AD89ED9D-6167-4623-B84F-F8AC48C8F077}"/>
    <cellStyle name="Normal 2 2 2 25 10" xfId="21286" xr:uid="{7A279025-C0C0-4F4E-8AB1-1EF4ED902C48}"/>
    <cellStyle name="Normal 2 2 2 25 11" xfId="21287" xr:uid="{FF1DFE9A-40EC-43EA-8E4C-ED083847E537}"/>
    <cellStyle name="Normal 2 2 2 25 12" xfId="21288" xr:uid="{2A7B5E78-BF7D-4048-873B-C121B97F4EFD}"/>
    <cellStyle name="Normal 2 2 2 25 13" xfId="21289" xr:uid="{01E04E32-DB5C-4284-B9E8-E0A5B64FAE12}"/>
    <cellStyle name="Normal 2 2 2 25 14" xfId="21290" xr:uid="{A3C99F4C-783D-4A82-BE27-7574A1E341B1}"/>
    <cellStyle name="Normal 2 2 2 25 2" xfId="21291" xr:uid="{2E2FCCDB-B6A1-4252-B58A-185841CA8D7B}"/>
    <cellStyle name="Normal 2 2 2 25 2 2" xfId="21292" xr:uid="{1738DC73-547A-4DA8-815E-99EA8620A2D7}"/>
    <cellStyle name="Normal 2 2 2 25 2 3" xfId="21293" xr:uid="{CDEB54E4-EF42-472C-AB8B-00EC0956784C}"/>
    <cellStyle name="Normal 2 2 2 25 2 4" xfId="21294" xr:uid="{59D14205-7E11-4E65-9F70-88656660FB20}"/>
    <cellStyle name="Normal 2 2 2 25 2 5" xfId="21295" xr:uid="{75240DAF-0B9A-4C0D-8408-C8938D3EB705}"/>
    <cellStyle name="Normal 2 2 2 25 2 6" xfId="21296" xr:uid="{5B073279-C3EB-4D2E-8287-7FF67F07AB4A}"/>
    <cellStyle name="Normal 2 2 2 25 3" xfId="21297" xr:uid="{E72CDE1B-1910-4AE6-8CB8-C291F3290279}"/>
    <cellStyle name="Normal 2 2 2 25 3 2" xfId="21298" xr:uid="{A2FFB2E6-03C1-4F59-904F-D2CED063EB50}"/>
    <cellStyle name="Normal 2 2 2 25 3 3" xfId="21299" xr:uid="{65FF3209-BD7A-4101-9EC7-4B1DF043EF41}"/>
    <cellStyle name="Normal 2 2 2 25 3 4" xfId="21300" xr:uid="{8A02B519-04CA-4C87-B3DF-06ED4D9AD67C}"/>
    <cellStyle name="Normal 2 2 2 25 3 5" xfId="21301" xr:uid="{D6EAE35B-7972-4E83-806A-0BB8D6ACE712}"/>
    <cellStyle name="Normal 2 2 2 25 3 6" xfId="21302" xr:uid="{617FB933-D711-42C4-99F3-4C99CEAE1DC5}"/>
    <cellStyle name="Normal 2 2 2 25 4" xfId="21303" xr:uid="{23B86127-3DA9-4F7F-9C9F-D9104F93CBA7}"/>
    <cellStyle name="Normal 2 2 2 25 4 2" xfId="21304" xr:uid="{9DF057F2-1BBB-4CC3-BE64-6FE08B0F97E5}"/>
    <cellStyle name="Normal 2 2 2 25 4 3" xfId="21305" xr:uid="{1E0FC3BC-58D6-4449-A1D0-22B3C259CE4E}"/>
    <cellStyle name="Normal 2 2 2 25 4 4" xfId="21306" xr:uid="{5CC0E1E4-A2C7-479A-8E63-1A8A088C113B}"/>
    <cellStyle name="Normal 2 2 2 25 4 5" xfId="21307" xr:uid="{0140ADB2-C2F6-43A1-B7B0-F468D17FA57F}"/>
    <cellStyle name="Normal 2 2 2 25 4 6" xfId="21308" xr:uid="{64549D03-0FA2-4022-AC8C-707DD8FCFA68}"/>
    <cellStyle name="Normal 2 2 2 25 5" xfId="21309" xr:uid="{9F0265FF-7228-4C5D-AEE6-9028DA62DE4D}"/>
    <cellStyle name="Normal 2 2 2 25 5 2" xfId="21310" xr:uid="{F609B131-EFCD-4A62-A9CA-588BF407F937}"/>
    <cellStyle name="Normal 2 2 2 25 5 3" xfId="21311" xr:uid="{15132ECA-A813-4BEA-8516-E3581ABC77EA}"/>
    <cellStyle name="Normal 2 2 2 25 5 4" xfId="21312" xr:uid="{069AA1E1-3770-4E12-9868-624C68990B74}"/>
    <cellStyle name="Normal 2 2 2 25 5 5" xfId="21313" xr:uid="{C78B3762-3768-4F60-9CC8-9DDDADE0CAD8}"/>
    <cellStyle name="Normal 2 2 2 25 5 6" xfId="21314" xr:uid="{77A1CD4E-58FD-4EE2-914E-5164EB321A1A}"/>
    <cellStyle name="Normal 2 2 2 25 6" xfId="21315" xr:uid="{C2716167-0FEA-4A79-A19B-0D21860F823C}"/>
    <cellStyle name="Normal 2 2 2 25 6 2" xfId="21316" xr:uid="{4A6C590A-C0DE-4EE5-BD10-B4534255D26D}"/>
    <cellStyle name="Normal 2 2 2 25 6 3" xfId="21317" xr:uid="{117FB058-FF20-434E-921A-3C53CFA2D87D}"/>
    <cellStyle name="Normal 2 2 2 25 6 4" xfId="21318" xr:uid="{B2AA71D6-DB06-4767-AA98-5FB2DCBD368E}"/>
    <cellStyle name="Normal 2 2 2 25 6 5" xfId="21319" xr:uid="{DE2C91A8-B482-4010-81E0-11EE0C434C14}"/>
    <cellStyle name="Normal 2 2 2 25 6 6" xfId="21320" xr:uid="{8C6AE4DA-ECB7-49AA-B994-38F05C262372}"/>
    <cellStyle name="Normal 2 2 2 25 7" xfId="21321" xr:uid="{9044C4CE-89A6-4AB0-B74C-E08467FC764C}"/>
    <cellStyle name="Normal 2 2 2 25 7 2" xfId="21322" xr:uid="{41693B17-8AC3-4532-9E46-5C17907ACF96}"/>
    <cellStyle name="Normal 2 2 2 25 7 3" xfId="21323" xr:uid="{6E7ACA6B-9974-4F52-87D6-B2524BA6ECAC}"/>
    <cellStyle name="Normal 2 2 2 25 7 4" xfId="21324" xr:uid="{58E82DB0-B3F3-4FE4-B90A-86E918F0F84A}"/>
    <cellStyle name="Normal 2 2 2 25 7 5" xfId="21325" xr:uid="{794119E0-474C-46F4-934A-D738861570D5}"/>
    <cellStyle name="Normal 2 2 2 25 7 6" xfId="21326" xr:uid="{B0DD9242-1C36-4EAD-87A6-D396EA135C4F}"/>
    <cellStyle name="Normal 2 2 2 25 8" xfId="21327" xr:uid="{86A8C71E-00B1-4768-9BDB-8BD5DCCFF701}"/>
    <cellStyle name="Normal 2 2 2 25 8 2" xfId="21328" xr:uid="{D3B2FADE-F910-424C-8832-01B5F9F4044E}"/>
    <cellStyle name="Normal 2 2 2 25 8 3" xfId="21329" xr:uid="{51E94C3F-F835-4892-8A4E-24F83D751BA2}"/>
    <cellStyle name="Normal 2 2 2 25 8 4" xfId="21330" xr:uid="{4DE1C7D4-B556-4924-ACC1-C6C9E177EF71}"/>
    <cellStyle name="Normal 2 2 2 25 8 5" xfId="21331" xr:uid="{D9D6F734-436A-4B85-A034-E1E4467C6217}"/>
    <cellStyle name="Normal 2 2 2 25 8 6" xfId="21332" xr:uid="{E9F903F7-F3C4-429A-9182-00AD51AA5395}"/>
    <cellStyle name="Normal 2 2 2 25 9" xfId="21333" xr:uid="{A97BA2FF-2861-4DB7-B255-7ED84AB95015}"/>
    <cellStyle name="Normal 2 2 2 26" xfId="21334" xr:uid="{8184B6D1-887F-4B0E-ADAB-A9A5B757F562}"/>
    <cellStyle name="Normal 2 2 2 26 10" xfId="21335" xr:uid="{BC884791-8F0F-482D-A285-60EC7D048654}"/>
    <cellStyle name="Normal 2 2 2 26 11" xfId="21336" xr:uid="{09B4AE36-6D18-46CC-9730-3C12900BF8EE}"/>
    <cellStyle name="Normal 2 2 2 26 12" xfId="21337" xr:uid="{59BD8F32-6C51-44C6-9542-7CED2AEBBABF}"/>
    <cellStyle name="Normal 2 2 2 26 13" xfId="21338" xr:uid="{38011BB3-253D-43F7-BD6D-1F92CDC644F5}"/>
    <cellStyle name="Normal 2 2 2 26 14" xfId="21339" xr:uid="{2D943035-EED6-44D1-AD07-91DD3237B23C}"/>
    <cellStyle name="Normal 2 2 2 26 2" xfId="21340" xr:uid="{2C538314-B456-419E-86B7-EC1CDD098E97}"/>
    <cellStyle name="Normal 2 2 2 26 2 2" xfId="21341" xr:uid="{26DA15AF-E618-4264-A7BC-17E73BF51C25}"/>
    <cellStyle name="Normal 2 2 2 26 2 3" xfId="21342" xr:uid="{FE3FDE7C-D7DA-405F-8C8B-26252137B2CE}"/>
    <cellStyle name="Normal 2 2 2 26 2 4" xfId="21343" xr:uid="{9234D1FC-AD3C-41DF-A0B0-39F50C49AF5E}"/>
    <cellStyle name="Normal 2 2 2 26 2 5" xfId="21344" xr:uid="{40B75D9D-CEEC-46B9-880D-6B36397B85B0}"/>
    <cellStyle name="Normal 2 2 2 26 2 6" xfId="21345" xr:uid="{D8EE1DC0-9538-4955-9CB9-B5BC7476C79D}"/>
    <cellStyle name="Normal 2 2 2 26 3" xfId="21346" xr:uid="{94AF0970-1C1E-4F5E-897C-57356F24C704}"/>
    <cellStyle name="Normal 2 2 2 26 3 2" xfId="21347" xr:uid="{D60CC294-B9A0-43A3-8166-467245D5A9C9}"/>
    <cellStyle name="Normal 2 2 2 26 3 3" xfId="21348" xr:uid="{1DE132DB-402C-4DBA-82D7-95437BE4D074}"/>
    <cellStyle name="Normal 2 2 2 26 3 4" xfId="21349" xr:uid="{18510687-00E5-4384-9A1B-374ACC215BF6}"/>
    <cellStyle name="Normal 2 2 2 26 3 5" xfId="21350" xr:uid="{190C11F2-BE32-4DC4-8144-241A18CD70A0}"/>
    <cellStyle name="Normal 2 2 2 26 3 6" xfId="21351" xr:uid="{785F9333-CF86-440F-894F-4BC3BC3E54AC}"/>
    <cellStyle name="Normal 2 2 2 26 4" xfId="21352" xr:uid="{6600053F-1201-423E-BBC5-4D7CCECD7349}"/>
    <cellStyle name="Normal 2 2 2 26 4 2" xfId="21353" xr:uid="{95C98FEC-49D0-4194-9C3C-2CDC5163080B}"/>
    <cellStyle name="Normal 2 2 2 26 4 3" xfId="21354" xr:uid="{CB4621C8-12AD-4C2D-85DC-078E56138A0B}"/>
    <cellStyle name="Normal 2 2 2 26 4 4" xfId="21355" xr:uid="{37B6FE7B-5CE9-461E-A9CA-945BD16517C6}"/>
    <cellStyle name="Normal 2 2 2 26 4 5" xfId="21356" xr:uid="{825E7733-590E-4DB7-8090-5F37956CA445}"/>
    <cellStyle name="Normal 2 2 2 26 4 6" xfId="21357" xr:uid="{33678BEC-DA42-4800-AEFD-260831C8FE1E}"/>
    <cellStyle name="Normal 2 2 2 26 5" xfId="21358" xr:uid="{F34C17F7-41B4-4A3C-B5EF-F4F7C2673521}"/>
    <cellStyle name="Normal 2 2 2 26 5 2" xfId="21359" xr:uid="{B844C7BE-F86D-4E26-A74C-E94006BDFD64}"/>
    <cellStyle name="Normal 2 2 2 26 5 3" xfId="21360" xr:uid="{E5ADE1B5-AF31-4BCF-99EE-7DBCA02AD40E}"/>
    <cellStyle name="Normal 2 2 2 26 5 4" xfId="21361" xr:uid="{275203C3-6F19-47BF-94BA-3754E82F7F45}"/>
    <cellStyle name="Normal 2 2 2 26 5 5" xfId="21362" xr:uid="{A0458801-6A90-45E6-BC32-F0A2F3881B98}"/>
    <cellStyle name="Normal 2 2 2 26 5 6" xfId="21363" xr:uid="{3E3C7E29-5A8B-47D8-90B2-6F09B0C14339}"/>
    <cellStyle name="Normal 2 2 2 26 6" xfId="21364" xr:uid="{B4B308EC-A31B-4534-9F2E-76517BB16C94}"/>
    <cellStyle name="Normal 2 2 2 26 6 2" xfId="21365" xr:uid="{D92896B2-F946-43DF-9AC4-53A92114E780}"/>
    <cellStyle name="Normal 2 2 2 26 6 3" xfId="21366" xr:uid="{960AD8DA-9BA1-4308-B800-7C1BBA655C6C}"/>
    <cellStyle name="Normal 2 2 2 26 6 4" xfId="21367" xr:uid="{0CC1A5F5-40E1-4813-A438-5E960EC4C8CB}"/>
    <cellStyle name="Normal 2 2 2 26 6 5" xfId="21368" xr:uid="{02FBFE97-4DEB-40D4-AE2B-2505B19EE275}"/>
    <cellStyle name="Normal 2 2 2 26 6 6" xfId="21369" xr:uid="{E7721C8A-7F9F-4450-9534-48CCDCBA52E7}"/>
    <cellStyle name="Normal 2 2 2 26 7" xfId="21370" xr:uid="{AE0445FA-6A4B-4D57-93DF-3D1E22EAEB7A}"/>
    <cellStyle name="Normal 2 2 2 26 7 2" xfId="21371" xr:uid="{C9A61952-E099-4741-923C-DFA457A446A2}"/>
    <cellStyle name="Normal 2 2 2 26 7 3" xfId="21372" xr:uid="{3BEE1722-0C55-4B21-A53F-9572B03FFED7}"/>
    <cellStyle name="Normal 2 2 2 26 7 4" xfId="21373" xr:uid="{79B0ED40-5C2E-4B1C-A621-8AE5098D428D}"/>
    <cellStyle name="Normal 2 2 2 26 7 5" xfId="21374" xr:uid="{3E7AB1BE-F0F2-4B17-B772-2197E3D84A60}"/>
    <cellStyle name="Normal 2 2 2 26 7 6" xfId="21375" xr:uid="{F729DD1A-7917-43C3-963E-2778A74813E4}"/>
    <cellStyle name="Normal 2 2 2 26 8" xfId="21376" xr:uid="{FC09F027-6FC0-4421-B89C-948AF8D9F115}"/>
    <cellStyle name="Normal 2 2 2 26 8 2" xfId="21377" xr:uid="{C5149B61-7C7E-470A-AF21-5F463961B69E}"/>
    <cellStyle name="Normal 2 2 2 26 8 3" xfId="21378" xr:uid="{D55EBE33-4C3C-410C-BF03-111876E3FAAE}"/>
    <cellStyle name="Normal 2 2 2 26 8 4" xfId="21379" xr:uid="{9A623DA6-F946-4EED-A4AC-8EA097E174D9}"/>
    <cellStyle name="Normal 2 2 2 26 8 5" xfId="21380" xr:uid="{66F15FC0-5D33-476E-A0C3-F59A6ABD12BB}"/>
    <cellStyle name="Normal 2 2 2 26 8 6" xfId="21381" xr:uid="{9D24CF81-32CE-4E7F-A2D1-AA67B8888535}"/>
    <cellStyle name="Normal 2 2 2 26 9" xfId="21382" xr:uid="{54E3A4FC-6061-4808-B19E-8B79059B56D3}"/>
    <cellStyle name="Normal 2 2 2 27" xfId="21383" xr:uid="{506A1DCB-ADF6-4BBE-9990-B07D3CE681BE}"/>
    <cellStyle name="Normal 2 2 2 27 10" xfId="21384" xr:uid="{0D4CADBD-2EC9-46ED-99DA-05ACB5274A7E}"/>
    <cellStyle name="Normal 2 2 2 27 11" xfId="21385" xr:uid="{698B09D4-BF7A-428B-BAF2-E9F6CE684BA8}"/>
    <cellStyle name="Normal 2 2 2 27 12" xfId="21386" xr:uid="{05EEBCDA-55BD-42B0-9B47-7AF402700A24}"/>
    <cellStyle name="Normal 2 2 2 27 13" xfId="21387" xr:uid="{CFA6308B-6568-4716-BF7E-7D5FAA6ABFBC}"/>
    <cellStyle name="Normal 2 2 2 27 14" xfId="21388" xr:uid="{3426B566-D9B5-469C-BFFF-D5684FDE07BA}"/>
    <cellStyle name="Normal 2 2 2 27 2" xfId="21389" xr:uid="{E8437D3B-79EE-4304-8297-51843F39B04F}"/>
    <cellStyle name="Normal 2 2 2 27 2 2" xfId="21390" xr:uid="{4E2EA61A-2284-4625-89FE-318F1440C2A2}"/>
    <cellStyle name="Normal 2 2 2 27 2 3" xfId="21391" xr:uid="{522A926E-5CC6-488D-BD67-6FC139B9341E}"/>
    <cellStyle name="Normal 2 2 2 27 2 4" xfId="21392" xr:uid="{90462528-2E90-42BD-86AD-A4343D5BE18C}"/>
    <cellStyle name="Normal 2 2 2 27 2 5" xfId="21393" xr:uid="{D3E5E320-A60A-4C4F-8A1F-4F1FBE0559D6}"/>
    <cellStyle name="Normal 2 2 2 27 2 6" xfId="21394" xr:uid="{6A0D816D-3C0B-473D-97CD-1C17A0AA786E}"/>
    <cellStyle name="Normal 2 2 2 27 3" xfId="21395" xr:uid="{BC28814B-F863-4C96-B4BB-95F10BBED7E1}"/>
    <cellStyle name="Normal 2 2 2 27 3 2" xfId="21396" xr:uid="{4680E0AF-80EA-491E-A609-B3C35CE38D87}"/>
    <cellStyle name="Normal 2 2 2 27 3 3" xfId="21397" xr:uid="{A74BA307-62BD-4819-A514-FB3A4CD705F3}"/>
    <cellStyle name="Normal 2 2 2 27 3 4" xfId="21398" xr:uid="{4EA97F24-BABE-4B23-8BC5-667AEF013E3D}"/>
    <cellStyle name="Normal 2 2 2 27 3 5" xfId="21399" xr:uid="{1D6314C3-602D-4B54-BA69-CE3620B58104}"/>
    <cellStyle name="Normal 2 2 2 27 3 6" xfId="21400" xr:uid="{A1D625E5-9A64-46FB-80DC-85A04853F491}"/>
    <cellStyle name="Normal 2 2 2 27 4" xfId="21401" xr:uid="{65652DC6-30B3-4358-868E-B75476ED6422}"/>
    <cellStyle name="Normal 2 2 2 27 4 2" xfId="21402" xr:uid="{048CEDBA-BCB6-458A-AB2A-93607C25C879}"/>
    <cellStyle name="Normal 2 2 2 27 4 3" xfId="21403" xr:uid="{8C5C640B-AF7A-4D8E-AD6E-E1A1EEE708B9}"/>
    <cellStyle name="Normal 2 2 2 27 4 4" xfId="21404" xr:uid="{A187C3E2-1D73-47BF-A4DA-0AC8F36D256D}"/>
    <cellStyle name="Normal 2 2 2 27 4 5" xfId="21405" xr:uid="{8FAB8197-3C63-45B5-B585-CEDEC4947420}"/>
    <cellStyle name="Normal 2 2 2 27 4 6" xfId="21406" xr:uid="{A4A81573-A43F-4287-B4FC-9EC8F98DC584}"/>
    <cellStyle name="Normal 2 2 2 27 5" xfId="21407" xr:uid="{7D37F1A9-2037-478C-AA7F-F9FBBAAE0CDF}"/>
    <cellStyle name="Normal 2 2 2 27 5 2" xfId="21408" xr:uid="{5DBCD144-02F3-4F54-9447-6833C8640EA8}"/>
    <cellStyle name="Normal 2 2 2 27 5 3" xfId="21409" xr:uid="{B2ABEE46-0C7A-4588-A9FC-0811B8E6655C}"/>
    <cellStyle name="Normal 2 2 2 27 5 4" xfId="21410" xr:uid="{29278641-BF37-4E13-8AC9-1F8F4C595295}"/>
    <cellStyle name="Normal 2 2 2 27 5 5" xfId="21411" xr:uid="{5C3F95C5-91A9-4853-88B1-C4375A0EF7E3}"/>
    <cellStyle name="Normal 2 2 2 27 5 6" xfId="21412" xr:uid="{5C7BD536-0B2E-40AC-B241-E535C1D39CEF}"/>
    <cellStyle name="Normal 2 2 2 27 6" xfId="21413" xr:uid="{3569A34B-5CE6-4A3C-A21D-2EB453623327}"/>
    <cellStyle name="Normal 2 2 2 27 6 2" xfId="21414" xr:uid="{37CC34A6-ACAA-49B8-A8A4-AF4BBD460B14}"/>
    <cellStyle name="Normal 2 2 2 27 6 3" xfId="21415" xr:uid="{497F76AD-A40D-4C03-A11E-41F74516FC99}"/>
    <cellStyle name="Normal 2 2 2 27 6 4" xfId="21416" xr:uid="{C5D181E9-E8D9-4E55-8844-F6DCE7ABB092}"/>
    <cellStyle name="Normal 2 2 2 27 6 5" xfId="21417" xr:uid="{3CF3AFCA-4AE0-4E48-9DF9-0BDA8148259B}"/>
    <cellStyle name="Normal 2 2 2 27 6 6" xfId="21418" xr:uid="{E005DECE-98DB-4255-A480-EC084E4D03DE}"/>
    <cellStyle name="Normal 2 2 2 27 7" xfId="21419" xr:uid="{5275B722-8776-4564-B083-09B8217DAFC1}"/>
    <cellStyle name="Normal 2 2 2 27 7 2" xfId="21420" xr:uid="{860EA610-7015-4BEE-9A2E-2572AA7C9CB0}"/>
    <cellStyle name="Normal 2 2 2 27 7 3" xfId="21421" xr:uid="{590381D9-938F-47B6-BEF8-A86884075F10}"/>
    <cellStyle name="Normal 2 2 2 27 7 4" xfId="21422" xr:uid="{5F9D7E36-21ED-4ADB-993F-9D08F64D03EB}"/>
    <cellStyle name="Normal 2 2 2 27 7 5" xfId="21423" xr:uid="{488AAA8E-248B-413F-AA57-5CFF88630BD2}"/>
    <cellStyle name="Normal 2 2 2 27 7 6" xfId="21424" xr:uid="{BE097AAF-9D6F-4B19-AEF8-B1678DC89757}"/>
    <cellStyle name="Normal 2 2 2 27 8" xfId="21425" xr:uid="{B2BDDCFC-C543-4374-BFAC-583AE20FF5AC}"/>
    <cellStyle name="Normal 2 2 2 27 8 2" xfId="21426" xr:uid="{3A607061-57E8-4A60-80E8-F9EA54B3C803}"/>
    <cellStyle name="Normal 2 2 2 27 8 3" xfId="21427" xr:uid="{3203163A-5F2B-4A0D-AE66-68255D42775E}"/>
    <cellStyle name="Normal 2 2 2 27 8 4" xfId="21428" xr:uid="{5D4E513B-D006-4253-8672-E41D604F155E}"/>
    <cellStyle name="Normal 2 2 2 27 8 5" xfId="21429" xr:uid="{62E9DA95-BA7A-4825-9052-FBC242F84DE1}"/>
    <cellStyle name="Normal 2 2 2 27 8 6" xfId="21430" xr:uid="{5F3302B9-B03E-43D9-9CFD-88067DE7B2C8}"/>
    <cellStyle name="Normal 2 2 2 27 9" xfId="21431" xr:uid="{412B476A-41C3-4F69-B00F-9F7ED7A1DF80}"/>
    <cellStyle name="Normal 2 2 2 28" xfId="21432" xr:uid="{0D4C409D-DFEF-45A3-892C-D718548E21C1}"/>
    <cellStyle name="Normal 2 2 2 28 10" xfId="21433" xr:uid="{AB63A4BE-7191-4353-B927-6797B538FAE2}"/>
    <cellStyle name="Normal 2 2 2 28 11" xfId="21434" xr:uid="{94200EB6-EFFC-40DD-B3EF-E3547EFEF9A7}"/>
    <cellStyle name="Normal 2 2 2 28 12" xfId="21435" xr:uid="{5EB8D1E8-4EDD-4678-9F24-FC0F3D0AC9F2}"/>
    <cellStyle name="Normal 2 2 2 28 13" xfId="21436" xr:uid="{55FE4D72-3860-4603-8D90-59B3A18A2D2B}"/>
    <cellStyle name="Normal 2 2 2 28 14" xfId="21437" xr:uid="{6C89E89E-3073-4747-A0CB-B1E1C3855B74}"/>
    <cellStyle name="Normal 2 2 2 28 15" xfId="21438" xr:uid="{CD9C197E-F29C-44C9-9F13-68C20433EABE}"/>
    <cellStyle name="Normal 2 2 2 28 16" xfId="21439" xr:uid="{D7142F94-FDBC-459F-BC77-BDBB7CC1D609}"/>
    <cellStyle name="Normal 2 2 2 28 17" xfId="21440" xr:uid="{433B0847-8250-4BB8-9060-2D7F0517BBE9}"/>
    <cellStyle name="Normal 2 2 2 28 18" xfId="21441" xr:uid="{F0D5F1AD-384A-418F-B171-86739E7BCC48}"/>
    <cellStyle name="Normal 2 2 2 28 19" xfId="21442" xr:uid="{A53D6676-8799-4177-8412-C782FDA672AE}"/>
    <cellStyle name="Normal 2 2 2 28 2" xfId="21443" xr:uid="{AB7E20C2-EC32-4C16-889B-6D97174C0D27}"/>
    <cellStyle name="Normal 2 2 2 28 20" xfId="21444" xr:uid="{9C135B49-5170-47DD-811E-5C7F737515AD}"/>
    <cellStyle name="Normal 2 2 2 28 21" xfId="21445" xr:uid="{D8251FDE-0A52-46A4-BD11-184DF881C766}"/>
    <cellStyle name="Normal 2 2 2 28 22" xfId="21446" xr:uid="{7D0B290F-F604-4B60-A39F-15A051F2F002}"/>
    <cellStyle name="Normal 2 2 2 28 23" xfId="21447" xr:uid="{1AF33F2D-950D-4519-9546-74FA1B8B076B}"/>
    <cellStyle name="Normal 2 2 2 28 24" xfId="21448" xr:uid="{8CA9A2D6-7C57-4AE2-81AB-0BFB52862B0E}"/>
    <cellStyle name="Normal 2 2 2 28 25" xfId="21449" xr:uid="{FD88FECF-F38F-4E9D-8C4D-EAA02771194B}"/>
    <cellStyle name="Normal 2 2 2 28 26" xfId="21450" xr:uid="{316A56B3-C532-4275-ACB5-FF06D1657985}"/>
    <cellStyle name="Normal 2 2 2 28 27" xfId="21451" xr:uid="{F73A6E7F-CCB8-40A3-972A-2A340743066D}"/>
    <cellStyle name="Normal 2 2 2 28 28" xfId="21452" xr:uid="{9FB88030-1C02-4301-BAFD-EC9B2D0F6A36}"/>
    <cellStyle name="Normal 2 2 2 28 29" xfId="21453" xr:uid="{526FEB79-083C-4C8C-A590-69AD35007D7C}"/>
    <cellStyle name="Normal 2 2 2 28 3" xfId="21454" xr:uid="{E4DC5715-A29D-466F-9CAB-B708C42C8B9A}"/>
    <cellStyle name="Normal 2 2 2 28 30" xfId="21455" xr:uid="{E9664BEA-248F-4608-AE2B-51DE60822E62}"/>
    <cellStyle name="Normal 2 2 2 28 31" xfId="21456" xr:uid="{7438A7A0-BE0F-4802-A55F-191898098FF1}"/>
    <cellStyle name="Normal 2 2 2 28 32" xfId="21457" xr:uid="{ABCDA079-6C76-427A-8BAE-B6CE248F4695}"/>
    <cellStyle name="Normal 2 2 2 28 33" xfId="21458" xr:uid="{6F5B5CD9-2DE1-408E-B775-3BB7C8A8861E}"/>
    <cellStyle name="Normal 2 2 2 28 34" xfId="21459" xr:uid="{28DBC31D-2A4C-4C4F-AC79-2CF149AB8292}"/>
    <cellStyle name="Normal 2 2 2 28 35" xfId="21460" xr:uid="{52650F18-48A5-4462-97B9-0353772EBC96}"/>
    <cellStyle name="Normal 2 2 2 28 36" xfId="21461" xr:uid="{34B871CE-272A-4E88-A322-456E82D5FD15}"/>
    <cellStyle name="Normal 2 2 2 28 37" xfId="21462" xr:uid="{5285CDB9-E4F6-4313-A0E7-B64E32AD3B2C}"/>
    <cellStyle name="Normal 2 2 2 28 38" xfId="21463" xr:uid="{DB03941F-AAF2-4B25-9E00-373B35CE1272}"/>
    <cellStyle name="Normal 2 2 2 28 4" xfId="21464" xr:uid="{8BBE9942-10FC-4519-B522-6165B59BE6DD}"/>
    <cellStyle name="Normal 2 2 2 28 5" xfId="21465" xr:uid="{38232811-E52E-41FC-8DF9-66B2D8CFEE62}"/>
    <cellStyle name="Normal 2 2 2 28 6" xfId="21466" xr:uid="{D18C71BF-3A34-47D1-A12C-526660CF40B2}"/>
    <cellStyle name="Normal 2 2 2 28 7" xfId="21467" xr:uid="{EAEADA9A-63A8-4D4A-97F2-6D7B45ABE170}"/>
    <cellStyle name="Normal 2 2 2 28 8" xfId="21468" xr:uid="{F5BFA63B-473D-4C2C-ABA3-76365CDB828D}"/>
    <cellStyle name="Normal 2 2 2 28 9" xfId="21469" xr:uid="{E7FA7234-62C4-4664-ADF8-8F12D846AC96}"/>
    <cellStyle name="Normal 2 2 2 29" xfId="21470" xr:uid="{511E5A29-7E19-433F-B87A-F1CAC167FEB7}"/>
    <cellStyle name="Normal 2 2 2 29 10" xfId="21471" xr:uid="{AA401544-61F0-4DA4-B46D-D724318D2537}"/>
    <cellStyle name="Normal 2 2 2 29 11" xfId="21472" xr:uid="{0B589F8D-9EB8-4307-A528-957B64D7A081}"/>
    <cellStyle name="Normal 2 2 2 29 12" xfId="21473" xr:uid="{32D01BEB-63D1-4EC4-8C6C-01DB7A7363A0}"/>
    <cellStyle name="Normal 2 2 2 29 13" xfId="21474" xr:uid="{807AF0BC-C736-4721-9804-6F33EE964503}"/>
    <cellStyle name="Normal 2 2 2 29 14" xfId="21475" xr:uid="{06453712-439E-419A-AECF-D969D8B28CE7}"/>
    <cellStyle name="Normal 2 2 2 29 15" xfId="21476" xr:uid="{6B4D1698-2A8C-4053-8D36-DC81B31F662C}"/>
    <cellStyle name="Normal 2 2 2 29 16" xfId="21477" xr:uid="{59211A7A-2766-40B8-922E-599086BFD524}"/>
    <cellStyle name="Normal 2 2 2 29 17" xfId="21478" xr:uid="{3DBA42D2-20B5-4C58-8085-93EE29FCCD4F}"/>
    <cellStyle name="Normal 2 2 2 29 18" xfId="21479" xr:uid="{FF0A0CB4-C909-4081-8FFE-B0B108F9AB0A}"/>
    <cellStyle name="Normal 2 2 2 29 19" xfId="21480" xr:uid="{D1EE5FC0-1993-4AB9-9601-17D2F99FB058}"/>
    <cellStyle name="Normal 2 2 2 29 2" xfId="21481" xr:uid="{E7DDCB45-ED11-4D19-9AC8-3813D274BFB0}"/>
    <cellStyle name="Normal 2 2 2 29 20" xfId="21482" xr:uid="{75356FA8-CB35-491E-8C18-6D8219284281}"/>
    <cellStyle name="Normal 2 2 2 29 21" xfId="21483" xr:uid="{2C84F5F6-3912-48E9-996C-0ABF05DDEF22}"/>
    <cellStyle name="Normal 2 2 2 29 22" xfId="21484" xr:uid="{22679C3B-11E5-47B0-9E02-18E504A27475}"/>
    <cellStyle name="Normal 2 2 2 29 23" xfId="21485" xr:uid="{D5D17D5F-0FC4-44EF-B327-6F3BC0B6159A}"/>
    <cellStyle name="Normal 2 2 2 29 24" xfId="21486" xr:uid="{0392DBCD-78D7-4279-9A41-4004D5DBF93A}"/>
    <cellStyle name="Normal 2 2 2 29 25" xfId="21487" xr:uid="{E7447406-48D9-4ED6-B87C-EF5A9839308E}"/>
    <cellStyle name="Normal 2 2 2 29 26" xfId="21488" xr:uid="{6AA915A9-3E10-420A-AAE0-302D56F83A79}"/>
    <cellStyle name="Normal 2 2 2 29 27" xfId="21489" xr:uid="{C2D390DE-C886-4D91-88E8-6EE195FCD6B3}"/>
    <cellStyle name="Normal 2 2 2 29 28" xfId="21490" xr:uid="{489A745E-8245-4397-8F5B-D51E83CA7386}"/>
    <cellStyle name="Normal 2 2 2 29 29" xfId="21491" xr:uid="{605D2278-6FCC-4E64-81EA-019845FB624C}"/>
    <cellStyle name="Normal 2 2 2 29 3" xfId="21492" xr:uid="{24C377E6-DA36-49F7-97A9-315E77CF8D6D}"/>
    <cellStyle name="Normal 2 2 2 29 30" xfId="21493" xr:uid="{BBFCA371-89ED-414A-9727-B527D6E013C7}"/>
    <cellStyle name="Normal 2 2 2 29 31" xfId="21494" xr:uid="{FFD07890-A6A8-4DEE-9686-FC849168B982}"/>
    <cellStyle name="Normal 2 2 2 29 32" xfId="21495" xr:uid="{130590C1-0266-4052-9C88-85F233B98F41}"/>
    <cellStyle name="Normal 2 2 2 29 33" xfId="21496" xr:uid="{5B43A8FD-C9CB-4B08-B288-8AB81714C4BE}"/>
    <cellStyle name="Normal 2 2 2 29 34" xfId="21497" xr:uid="{CEA83BFF-99C1-4D55-BC97-9B77316BF6F6}"/>
    <cellStyle name="Normal 2 2 2 29 35" xfId="21498" xr:uid="{01D2D29B-9B06-4014-83B1-1CD7AFD61F56}"/>
    <cellStyle name="Normal 2 2 2 29 36" xfId="21499" xr:uid="{7AA0E296-F6E8-427D-A2F4-3FF884148995}"/>
    <cellStyle name="Normal 2 2 2 29 37" xfId="21500" xr:uid="{E6C9A3D5-AC50-4F0C-9170-9DD392BD523B}"/>
    <cellStyle name="Normal 2 2 2 29 38" xfId="21501" xr:uid="{132E4FEF-0D1E-48DF-B4E6-4AE66E6B19AA}"/>
    <cellStyle name="Normal 2 2 2 29 4" xfId="21502" xr:uid="{EA4441EF-E9B3-46BD-8E39-D453B4D3B00D}"/>
    <cellStyle name="Normal 2 2 2 29 5" xfId="21503" xr:uid="{05FBEDBD-F56C-4D3B-A9D9-8493ACE120C1}"/>
    <cellStyle name="Normal 2 2 2 29 6" xfId="21504" xr:uid="{965A4006-A4AA-469D-AC60-2964F58F9048}"/>
    <cellStyle name="Normal 2 2 2 29 7" xfId="21505" xr:uid="{4D87C591-17A0-4A21-9D77-A4F2CA59B671}"/>
    <cellStyle name="Normal 2 2 2 29 8" xfId="21506" xr:uid="{718AFB28-CD8B-408A-915C-6B96792ED3AE}"/>
    <cellStyle name="Normal 2 2 2 29 9" xfId="21507" xr:uid="{D5F1A705-81D6-478C-B906-216925EF46E0}"/>
    <cellStyle name="Normal 2 2 2 3" xfId="21508" xr:uid="{FFE55AB3-4765-47C0-A0AF-1FE224DECAFF}"/>
    <cellStyle name="Normal 2 2 2 3 2" xfId="21509" xr:uid="{DE43963E-4F65-429C-9654-95D6F8328BAA}"/>
    <cellStyle name="Normal 2 2 2 30" xfId="21510" xr:uid="{F49A89A6-7F59-4B76-A4CC-C27D38F455E7}"/>
    <cellStyle name="Normal 2 2 2 30 10" xfId="21511" xr:uid="{C67F73EA-409D-4BEF-ACA9-C5005CC27F10}"/>
    <cellStyle name="Normal 2 2 2 30 11" xfId="21512" xr:uid="{96BA4473-D0AE-4E5E-B992-1355342BD29D}"/>
    <cellStyle name="Normal 2 2 2 30 12" xfId="21513" xr:uid="{9D4E0F45-6937-4137-ABD6-7DD6A936B7ED}"/>
    <cellStyle name="Normal 2 2 2 30 13" xfId="21514" xr:uid="{A8B7D096-5B9D-4F9C-928C-BC047EFE76B4}"/>
    <cellStyle name="Normal 2 2 2 30 14" xfId="21515" xr:uid="{BA8065B5-680B-4F5E-A3DA-BDBAF033363D}"/>
    <cellStyle name="Normal 2 2 2 30 15" xfId="21516" xr:uid="{0AD9AB4E-255C-4601-8D3E-A5312BA50CB9}"/>
    <cellStyle name="Normal 2 2 2 30 16" xfId="21517" xr:uid="{0881CE63-B8D7-4623-B751-2A9A917ADD2B}"/>
    <cellStyle name="Normal 2 2 2 30 17" xfId="21518" xr:uid="{F4F3BAFD-E025-43E4-B389-4671D4CED035}"/>
    <cellStyle name="Normal 2 2 2 30 18" xfId="21519" xr:uid="{D9C4F122-D628-40C9-A859-42F786FE0654}"/>
    <cellStyle name="Normal 2 2 2 30 19" xfId="21520" xr:uid="{ADD8EF2C-2C33-4500-8D85-47F3355C3C00}"/>
    <cellStyle name="Normal 2 2 2 30 2" xfId="21521" xr:uid="{68BFB2C2-4A9C-42C1-B2B4-B754EAD5EA9B}"/>
    <cellStyle name="Normal 2 2 2 30 20" xfId="21522" xr:uid="{F9CB42D7-0B42-4FE6-AD4C-3DC12102FBB2}"/>
    <cellStyle name="Normal 2 2 2 30 21" xfId="21523" xr:uid="{71C97C86-FA9D-4A4D-B47F-948AB9F55A44}"/>
    <cellStyle name="Normal 2 2 2 30 22" xfId="21524" xr:uid="{4B761639-1A72-4348-9316-93979F069D67}"/>
    <cellStyle name="Normal 2 2 2 30 23" xfId="21525" xr:uid="{F2159CB2-5949-4D48-A3B8-D078938B50A9}"/>
    <cellStyle name="Normal 2 2 2 30 24" xfId="21526" xr:uid="{26E9D217-4811-4BDD-AE1B-95165721DB55}"/>
    <cellStyle name="Normal 2 2 2 30 25" xfId="21527" xr:uid="{50B9C856-783D-401D-8C0C-AA0686AEFE61}"/>
    <cellStyle name="Normal 2 2 2 30 26" xfId="21528" xr:uid="{68BA5D2D-8F99-4AE3-8588-1C7C54A0042A}"/>
    <cellStyle name="Normal 2 2 2 30 27" xfId="21529" xr:uid="{9C39F1EA-872A-4577-A0B1-5D16FFE0158B}"/>
    <cellStyle name="Normal 2 2 2 30 28" xfId="21530" xr:uid="{0A362638-EB5F-4498-AE2D-6F5A4A2DA71F}"/>
    <cellStyle name="Normal 2 2 2 30 29" xfId="21531" xr:uid="{6748316C-5BC2-4008-88F6-C236DA08A07A}"/>
    <cellStyle name="Normal 2 2 2 30 3" xfId="21532" xr:uid="{D43C962B-7E9C-43D6-A253-FA368AE16E3A}"/>
    <cellStyle name="Normal 2 2 2 30 30" xfId="21533" xr:uid="{E3C52F50-2CE3-442A-BD50-0CD86F16F805}"/>
    <cellStyle name="Normal 2 2 2 30 31" xfId="21534" xr:uid="{559B5F47-0A96-4929-A065-22AE350CB2A4}"/>
    <cellStyle name="Normal 2 2 2 30 32" xfId="21535" xr:uid="{3B8915C4-DEEC-4759-AC5B-42C2082661DF}"/>
    <cellStyle name="Normal 2 2 2 30 33" xfId="21536" xr:uid="{B7BB6BD4-1CE9-4D61-8D2B-49C56AB73408}"/>
    <cellStyle name="Normal 2 2 2 30 34" xfId="21537" xr:uid="{87B97DCD-7C14-41B7-AB2D-289C6E325564}"/>
    <cellStyle name="Normal 2 2 2 30 35" xfId="21538" xr:uid="{987446DA-6847-42A4-B539-5A5B61D147B8}"/>
    <cellStyle name="Normal 2 2 2 30 36" xfId="21539" xr:uid="{594827A3-D5A3-47D1-94F1-D8DA6BD887B5}"/>
    <cellStyle name="Normal 2 2 2 30 37" xfId="21540" xr:uid="{AC3F7B55-0A2F-41EA-92B3-AE1625B5EC50}"/>
    <cellStyle name="Normal 2 2 2 30 38" xfId="21541" xr:uid="{814E75B6-07FE-465A-94C9-E33B2182DB09}"/>
    <cellStyle name="Normal 2 2 2 30 4" xfId="21542" xr:uid="{D9D35CE3-ACBE-4694-8CB5-F71A57AD6461}"/>
    <cellStyle name="Normal 2 2 2 30 5" xfId="21543" xr:uid="{7435CA65-6883-4F2C-8F8A-615865668121}"/>
    <cellStyle name="Normal 2 2 2 30 6" xfId="21544" xr:uid="{DB6B8C65-F9B5-485F-9D88-40C24D6F624C}"/>
    <cellStyle name="Normal 2 2 2 30 7" xfId="21545" xr:uid="{7EC91F00-7379-468A-A76B-B1C6C618257D}"/>
    <cellStyle name="Normal 2 2 2 30 8" xfId="21546" xr:uid="{1D8C23AD-A2AA-4E2C-B3DD-89E86A1F03D7}"/>
    <cellStyle name="Normal 2 2 2 30 9" xfId="21547" xr:uid="{2E2D211E-B116-49A7-9E95-58624188B9CE}"/>
    <cellStyle name="Normal 2 2 2 31" xfId="21548" xr:uid="{C4CF70B0-45F4-406E-8921-D85246A3588F}"/>
    <cellStyle name="Normal 2 2 2 31 10" xfId="21549" xr:uid="{C7E323CC-6B1E-43A3-A0F9-A1AFD47A3FAC}"/>
    <cellStyle name="Normal 2 2 2 31 11" xfId="21550" xr:uid="{A71640E5-0E59-4C25-8D06-974413D4DD26}"/>
    <cellStyle name="Normal 2 2 2 31 12" xfId="21551" xr:uid="{F75FF9ED-207A-4BA2-9056-6BFDF860D7B5}"/>
    <cellStyle name="Normal 2 2 2 31 13" xfId="21552" xr:uid="{29A21FFF-975E-4E72-BCCF-2BCC8E45AF8A}"/>
    <cellStyle name="Normal 2 2 2 31 14" xfId="21553" xr:uid="{EB2C2AE5-A429-4904-9157-F8E97D4BE679}"/>
    <cellStyle name="Normal 2 2 2 31 15" xfId="21554" xr:uid="{91491957-67DF-43EC-B8B1-2AF5C91904A2}"/>
    <cellStyle name="Normal 2 2 2 31 16" xfId="21555" xr:uid="{D1E43537-0BD3-4418-B2C9-27FDEAFBCFE6}"/>
    <cellStyle name="Normal 2 2 2 31 17" xfId="21556" xr:uid="{4D72CF5C-C24A-4F45-9EF4-690B3E158008}"/>
    <cellStyle name="Normal 2 2 2 31 18" xfId="21557" xr:uid="{78DE5FCD-B63D-4018-A645-390753837130}"/>
    <cellStyle name="Normal 2 2 2 31 19" xfId="21558" xr:uid="{E2767CE1-CCB1-421C-A5BD-8C7EE7DE64DB}"/>
    <cellStyle name="Normal 2 2 2 31 2" xfId="21559" xr:uid="{6DA04D3B-8C03-4E67-A85D-0E04AC8B4F18}"/>
    <cellStyle name="Normal 2 2 2 31 20" xfId="21560" xr:uid="{6D39D8FF-9983-4A84-8772-1A902BEBF3BA}"/>
    <cellStyle name="Normal 2 2 2 31 21" xfId="21561" xr:uid="{B5709875-20AA-480A-A9AC-9A4094D62EF9}"/>
    <cellStyle name="Normal 2 2 2 31 22" xfId="21562" xr:uid="{1F0EB880-30BA-402D-9E53-805D1D9D2EC6}"/>
    <cellStyle name="Normal 2 2 2 31 23" xfId="21563" xr:uid="{A0F0B784-59A0-4980-9C57-A48E3DA31518}"/>
    <cellStyle name="Normal 2 2 2 31 24" xfId="21564" xr:uid="{BAE4E77F-3381-4624-90FE-247BF6F00E8A}"/>
    <cellStyle name="Normal 2 2 2 31 25" xfId="21565" xr:uid="{554FE1DA-162A-4C18-8991-6056FAF232CA}"/>
    <cellStyle name="Normal 2 2 2 31 26" xfId="21566" xr:uid="{730EE94F-B2EE-4120-BA88-6B0FEE4C73DF}"/>
    <cellStyle name="Normal 2 2 2 31 27" xfId="21567" xr:uid="{55863F76-AAB5-4F46-B732-12A2FE9FB4EC}"/>
    <cellStyle name="Normal 2 2 2 31 28" xfId="21568" xr:uid="{1A4E5EF1-CCA9-4382-AC73-EE799A25097A}"/>
    <cellStyle name="Normal 2 2 2 31 29" xfId="21569" xr:uid="{1CC9936D-5F61-4282-A353-843CABC209DC}"/>
    <cellStyle name="Normal 2 2 2 31 3" xfId="21570" xr:uid="{5D0BE221-6707-484B-8EFD-FE58B1D29987}"/>
    <cellStyle name="Normal 2 2 2 31 30" xfId="21571" xr:uid="{77F98494-575B-45FB-BFDA-4DA30D3F4DB7}"/>
    <cellStyle name="Normal 2 2 2 31 31" xfId="21572" xr:uid="{9A6E6CC4-54D8-45A1-86FE-E89E1289C86F}"/>
    <cellStyle name="Normal 2 2 2 31 32" xfId="21573" xr:uid="{11344EC8-DC4D-4B22-9701-0739AF0441C5}"/>
    <cellStyle name="Normal 2 2 2 31 33" xfId="21574" xr:uid="{071CA60E-537D-4B1D-BF5F-C2F0B266C8BC}"/>
    <cellStyle name="Normal 2 2 2 31 34" xfId="21575" xr:uid="{B105A64E-ABBB-41B1-A5E2-AEE86572F200}"/>
    <cellStyle name="Normal 2 2 2 31 35" xfId="21576" xr:uid="{1CCBB738-848B-4556-852D-0CFFFBA46E5F}"/>
    <cellStyle name="Normal 2 2 2 31 36" xfId="21577" xr:uid="{A6ED491D-BE7F-4768-B987-AA159A562055}"/>
    <cellStyle name="Normal 2 2 2 31 37" xfId="21578" xr:uid="{C039E476-E37F-4285-984B-20DE330A6CB2}"/>
    <cellStyle name="Normal 2 2 2 31 38" xfId="21579" xr:uid="{6F366FFA-F259-4FCB-BF2D-08B87FCD62E0}"/>
    <cellStyle name="Normal 2 2 2 31 4" xfId="21580" xr:uid="{CD3E398C-42FD-421C-99B0-DB6D7F7785FB}"/>
    <cellStyle name="Normal 2 2 2 31 5" xfId="21581" xr:uid="{236FEFF7-86BA-42B5-B21E-3078DE882D74}"/>
    <cellStyle name="Normal 2 2 2 31 6" xfId="21582" xr:uid="{D63A9A7D-9CDD-483C-BA8D-08F4C5FD85A3}"/>
    <cellStyle name="Normal 2 2 2 31 7" xfId="21583" xr:uid="{22F141C1-4FB0-4465-8DDE-E3D6CD26C33A}"/>
    <cellStyle name="Normal 2 2 2 31 8" xfId="21584" xr:uid="{8C8EE7E8-F2C7-4343-BE72-1061FB64E8E8}"/>
    <cellStyle name="Normal 2 2 2 31 9" xfId="21585" xr:uid="{73CD4681-AA9C-4CA6-A259-BB8A9C2A368B}"/>
    <cellStyle name="Normal 2 2 2 32" xfId="21586" xr:uid="{9987BEA0-4A55-4890-987D-765214966C3E}"/>
    <cellStyle name="Normal 2 2 2 32 10" xfId="21587" xr:uid="{C6EEC54C-162D-4D7D-B7DB-D5CE94393B65}"/>
    <cellStyle name="Normal 2 2 2 32 11" xfId="21588" xr:uid="{5EAD6BBC-5585-48F2-8159-BEB6C5DA31A7}"/>
    <cellStyle name="Normal 2 2 2 32 12" xfId="21589" xr:uid="{01141B83-761D-4EC0-8B55-EFD46A6DA7F6}"/>
    <cellStyle name="Normal 2 2 2 32 13" xfId="21590" xr:uid="{5FF1B46B-C3F7-49C0-B911-46115E32843B}"/>
    <cellStyle name="Normal 2 2 2 32 14" xfId="21591" xr:uid="{E81A92B8-09AF-4B7F-935D-D8D8E2ACF525}"/>
    <cellStyle name="Normal 2 2 2 32 15" xfId="21592" xr:uid="{1E851D96-2092-4E2E-9FBA-D127A570689C}"/>
    <cellStyle name="Normal 2 2 2 32 16" xfId="21593" xr:uid="{265C0610-9D96-450A-A588-D1A09909E481}"/>
    <cellStyle name="Normal 2 2 2 32 17" xfId="21594" xr:uid="{39DCA906-F27A-4977-BF3B-A8305C8435A1}"/>
    <cellStyle name="Normal 2 2 2 32 18" xfId="21595" xr:uid="{CEB4F191-A451-4AC7-8DED-392F09E8CD5F}"/>
    <cellStyle name="Normal 2 2 2 32 19" xfId="21596" xr:uid="{2319CDE1-18E8-453D-BB5B-FA988FAB6344}"/>
    <cellStyle name="Normal 2 2 2 32 2" xfId="21597" xr:uid="{E005E606-5F05-4A90-8C8C-768EC9969663}"/>
    <cellStyle name="Normal 2 2 2 32 20" xfId="21598" xr:uid="{3AEAD3F2-A0EF-425F-ABE9-5D86044CD543}"/>
    <cellStyle name="Normal 2 2 2 32 21" xfId="21599" xr:uid="{30E73A64-01AB-4A77-B8CC-2628288F13E6}"/>
    <cellStyle name="Normal 2 2 2 32 22" xfId="21600" xr:uid="{00BD56A3-FA64-409D-8589-C496E5E52976}"/>
    <cellStyle name="Normal 2 2 2 32 23" xfId="21601" xr:uid="{365AECCD-D3A9-482F-93AC-DFEB58FEF725}"/>
    <cellStyle name="Normal 2 2 2 32 24" xfId="21602" xr:uid="{2F84C72A-BD5B-4426-A09B-BFFC02321886}"/>
    <cellStyle name="Normal 2 2 2 32 25" xfId="21603" xr:uid="{DA5AD5B3-9853-46F7-9838-0586803949C9}"/>
    <cellStyle name="Normal 2 2 2 32 26" xfId="21604" xr:uid="{0192275C-5745-4436-9579-BAEB308DE138}"/>
    <cellStyle name="Normal 2 2 2 32 27" xfId="21605" xr:uid="{EBA8CC42-9D67-4743-969F-9ACEAFE5C60B}"/>
    <cellStyle name="Normal 2 2 2 32 28" xfId="21606" xr:uid="{E54D1ECF-C0CD-4ED9-B1DB-EFF543AAA60B}"/>
    <cellStyle name="Normal 2 2 2 32 29" xfId="21607" xr:uid="{0D173E0B-134B-4514-B1FF-77087FF134D1}"/>
    <cellStyle name="Normal 2 2 2 32 3" xfId="21608" xr:uid="{923D1398-5B97-4103-AA19-F0DCC616136F}"/>
    <cellStyle name="Normal 2 2 2 32 30" xfId="21609" xr:uid="{07447C8D-FC8D-4AFF-B70F-08859FD1D825}"/>
    <cellStyle name="Normal 2 2 2 32 31" xfId="21610" xr:uid="{A30E1D60-A10C-47CE-9952-528FAF43FCC4}"/>
    <cellStyle name="Normal 2 2 2 32 32" xfId="21611" xr:uid="{8F876B0F-9A80-4FF1-BC65-AF390F0B76E3}"/>
    <cellStyle name="Normal 2 2 2 32 33" xfId="21612" xr:uid="{E8D3D457-6674-4C18-81E7-882B92267BBD}"/>
    <cellStyle name="Normal 2 2 2 32 34" xfId="21613" xr:uid="{4892F495-F7D6-4442-AEA9-0F04AB026D38}"/>
    <cellStyle name="Normal 2 2 2 32 35" xfId="21614" xr:uid="{01C42636-89CD-49E9-93F4-FFE7BF02EB80}"/>
    <cellStyle name="Normal 2 2 2 32 36" xfId="21615" xr:uid="{B46210E1-3349-4DEB-A9D2-63851FCE6CC5}"/>
    <cellStyle name="Normal 2 2 2 32 37" xfId="21616" xr:uid="{3AFF88B8-561B-47F7-8852-4C8FBDD96271}"/>
    <cellStyle name="Normal 2 2 2 32 38" xfId="21617" xr:uid="{1B387094-738B-4992-AEA9-F189B519F7E0}"/>
    <cellStyle name="Normal 2 2 2 32 4" xfId="21618" xr:uid="{4FD2AD68-9F6A-4ABE-A3C3-19749002DC6C}"/>
    <cellStyle name="Normal 2 2 2 32 5" xfId="21619" xr:uid="{2A558FCE-2F8D-45F5-B732-DB7339966497}"/>
    <cellStyle name="Normal 2 2 2 32 6" xfId="21620" xr:uid="{86936AE5-BA82-476C-BD8E-AAF0E41C5411}"/>
    <cellStyle name="Normal 2 2 2 32 7" xfId="21621" xr:uid="{0830BDCD-D7F4-4F0A-8D27-41915262B6C8}"/>
    <cellStyle name="Normal 2 2 2 32 8" xfId="21622" xr:uid="{3415946B-646C-45AE-A886-48004C94133A}"/>
    <cellStyle name="Normal 2 2 2 32 9" xfId="21623" xr:uid="{395790C2-B320-41A5-88B1-473494ADBB99}"/>
    <cellStyle name="Normal 2 2 2 33" xfId="21624" xr:uid="{9246B217-65B8-4156-8C5E-B511DA9DB7D9}"/>
    <cellStyle name="Normal 2 2 2 33 10" xfId="21625" xr:uid="{6E8832DD-9CED-474E-AEC6-953FB9C0A51C}"/>
    <cellStyle name="Normal 2 2 2 33 11" xfId="21626" xr:uid="{870F7D08-4DF6-42E1-A3A0-E74C5DAA068E}"/>
    <cellStyle name="Normal 2 2 2 33 12" xfId="21627" xr:uid="{F721763B-38CC-470C-84A9-C2BA51A71B90}"/>
    <cellStyle name="Normal 2 2 2 33 13" xfId="21628" xr:uid="{C66BD20D-03FB-4029-995D-969647F7EFB7}"/>
    <cellStyle name="Normal 2 2 2 33 14" xfId="21629" xr:uid="{47A95F36-3464-430D-90C9-6D44279CC63B}"/>
    <cellStyle name="Normal 2 2 2 33 15" xfId="21630" xr:uid="{21DCDFCF-84CE-4004-B74C-64F9F8D9FFE8}"/>
    <cellStyle name="Normal 2 2 2 33 16" xfId="21631" xr:uid="{B48E7880-FF57-4CFD-A68B-55CF2C43DDFE}"/>
    <cellStyle name="Normal 2 2 2 33 17" xfId="21632" xr:uid="{65CAFB96-A9A5-4212-AF8B-4976B1478686}"/>
    <cellStyle name="Normal 2 2 2 33 18" xfId="21633" xr:uid="{8909431D-DF18-4B3C-8A12-A1604762DD05}"/>
    <cellStyle name="Normal 2 2 2 33 19" xfId="21634" xr:uid="{9AB3BC9B-9C2F-436D-B084-8BA969BDFA4D}"/>
    <cellStyle name="Normal 2 2 2 33 2" xfId="21635" xr:uid="{E05B9E73-1A04-455F-8E8A-6C3224542D21}"/>
    <cellStyle name="Normal 2 2 2 33 20" xfId="21636" xr:uid="{7EBE293F-BB9F-461D-82CF-8D07283B6CAE}"/>
    <cellStyle name="Normal 2 2 2 33 21" xfId="21637" xr:uid="{82A92ABF-6894-44BA-933D-2650F6DF2A02}"/>
    <cellStyle name="Normal 2 2 2 33 22" xfId="21638" xr:uid="{E62A2BA0-5AE3-4062-AA64-737A087CD4B0}"/>
    <cellStyle name="Normal 2 2 2 33 23" xfId="21639" xr:uid="{E2197CFC-9755-4354-ADA4-3AD8A0137FF3}"/>
    <cellStyle name="Normal 2 2 2 33 24" xfId="21640" xr:uid="{D90FDF3D-F970-4216-AE65-8B0F6B3E94F0}"/>
    <cellStyle name="Normal 2 2 2 33 25" xfId="21641" xr:uid="{8FC00155-8044-4EEE-B5D7-23F26669B8EF}"/>
    <cellStyle name="Normal 2 2 2 33 26" xfId="21642" xr:uid="{7072CF84-CA1B-4586-93C2-CD34304B5296}"/>
    <cellStyle name="Normal 2 2 2 33 27" xfId="21643" xr:uid="{03A622CF-967D-4097-93BC-5A8015E8E0A5}"/>
    <cellStyle name="Normal 2 2 2 33 28" xfId="21644" xr:uid="{37EE078D-E665-4F68-883D-2B6E488718EC}"/>
    <cellStyle name="Normal 2 2 2 33 29" xfId="21645" xr:uid="{73ABC853-FC3D-4E3D-BA20-128810D4910E}"/>
    <cellStyle name="Normal 2 2 2 33 3" xfId="21646" xr:uid="{7023B324-9004-4E0B-B2FC-479DF854093A}"/>
    <cellStyle name="Normal 2 2 2 33 30" xfId="21647" xr:uid="{8473B9B1-8AC0-4064-8FD2-46EFAB9A1367}"/>
    <cellStyle name="Normal 2 2 2 33 31" xfId="21648" xr:uid="{8E97A5BC-4FF3-4618-95DA-D204BBBF5766}"/>
    <cellStyle name="Normal 2 2 2 33 32" xfId="21649" xr:uid="{2A43E260-5497-4E5B-B20D-3BEDBF0C452A}"/>
    <cellStyle name="Normal 2 2 2 33 33" xfId="21650" xr:uid="{710F33B0-5CC7-4837-B0ED-9921D2B84DCF}"/>
    <cellStyle name="Normal 2 2 2 33 34" xfId="21651" xr:uid="{ABAB694F-13F6-45CE-B30F-3D05B83F3EB5}"/>
    <cellStyle name="Normal 2 2 2 33 35" xfId="21652" xr:uid="{BADB34D8-5C5E-4CE9-953F-13DE7B1AC4DA}"/>
    <cellStyle name="Normal 2 2 2 33 36" xfId="21653" xr:uid="{00C2E673-8CA0-4703-8ED9-C2F02CC13889}"/>
    <cellStyle name="Normal 2 2 2 33 37" xfId="21654" xr:uid="{0253BB2D-0888-41E1-9EFA-6C3739AC717D}"/>
    <cellStyle name="Normal 2 2 2 33 38" xfId="21655" xr:uid="{099B7C80-1C2D-427D-96DA-622CA8A7DEFA}"/>
    <cellStyle name="Normal 2 2 2 33 4" xfId="21656" xr:uid="{ABCBE333-77CF-4A79-8325-395E3A7D51FD}"/>
    <cellStyle name="Normal 2 2 2 33 5" xfId="21657" xr:uid="{850F1930-59DB-44AD-BF46-2E18AC2CD6A2}"/>
    <cellStyle name="Normal 2 2 2 33 6" xfId="21658" xr:uid="{6482C88D-2021-46FD-BBBE-0A64CF606325}"/>
    <cellStyle name="Normal 2 2 2 33 7" xfId="21659" xr:uid="{5A01CFAC-A77E-44D0-821C-57D7CFD8C21B}"/>
    <cellStyle name="Normal 2 2 2 33 8" xfId="21660" xr:uid="{4E2B4318-AB84-4738-ADD1-19C331D9425A}"/>
    <cellStyle name="Normal 2 2 2 33 9" xfId="21661" xr:uid="{6B0E885D-35B3-44A1-8875-AEEBB7815D99}"/>
    <cellStyle name="Normal 2 2 2 34" xfId="21662" xr:uid="{F53522B3-CB81-4D03-9754-19ACD1A5BF18}"/>
    <cellStyle name="Normal 2 2 2 34 10" xfId="21663" xr:uid="{0126D901-493F-4E4F-9478-2F32A8EC15E9}"/>
    <cellStyle name="Normal 2 2 2 34 11" xfId="21664" xr:uid="{679E2749-CDDB-4AF0-A3BE-DC5B35991E79}"/>
    <cellStyle name="Normal 2 2 2 34 12" xfId="21665" xr:uid="{CD7D5126-FF8F-46F1-B60F-9DFA546A5F02}"/>
    <cellStyle name="Normal 2 2 2 34 13" xfId="21666" xr:uid="{800A13C9-B674-4BCF-B6F9-B04872B18708}"/>
    <cellStyle name="Normal 2 2 2 34 14" xfId="21667" xr:uid="{C12EA8E4-0883-496B-A648-C56B8B446557}"/>
    <cellStyle name="Normal 2 2 2 34 15" xfId="21668" xr:uid="{A1DF664F-261A-479C-9E8E-04C0505B6BD7}"/>
    <cellStyle name="Normal 2 2 2 34 16" xfId="21669" xr:uid="{C671D7D5-EDC2-4DE5-9DAA-850F1AAECDCB}"/>
    <cellStyle name="Normal 2 2 2 34 17" xfId="21670" xr:uid="{F6248D88-6751-4BDD-BF16-4BDF97DE5FDE}"/>
    <cellStyle name="Normal 2 2 2 34 18" xfId="21671" xr:uid="{BC6B0728-0DEB-400F-98A4-C4C38E0D908B}"/>
    <cellStyle name="Normal 2 2 2 34 19" xfId="21672" xr:uid="{B1AF3007-F19A-4D41-AF9B-5F2E6A89E320}"/>
    <cellStyle name="Normal 2 2 2 34 2" xfId="21673" xr:uid="{960E7E47-BEBF-4BFA-9F5C-F7278ABFFBF6}"/>
    <cellStyle name="Normal 2 2 2 34 20" xfId="21674" xr:uid="{9CDDACC2-261F-4149-97BF-6861DD38F2FC}"/>
    <cellStyle name="Normal 2 2 2 34 21" xfId="21675" xr:uid="{810AA2A2-AEB6-4C8A-BC60-7B9A2F7E9B57}"/>
    <cellStyle name="Normal 2 2 2 34 22" xfId="21676" xr:uid="{21CABE68-2BAC-44A1-A3CE-F336D30253B9}"/>
    <cellStyle name="Normal 2 2 2 34 23" xfId="21677" xr:uid="{5F965072-ECFE-4BD0-A88C-9945389A8184}"/>
    <cellStyle name="Normal 2 2 2 34 24" xfId="21678" xr:uid="{135438CA-4FD0-40AD-BB8D-A529A7CBEC53}"/>
    <cellStyle name="Normal 2 2 2 34 25" xfId="21679" xr:uid="{C6E10FDE-A0D2-4B81-B2A9-2ACB2FEBA6BA}"/>
    <cellStyle name="Normal 2 2 2 34 26" xfId="21680" xr:uid="{307123C1-207B-47BA-8E7D-FE9D1B10A1C1}"/>
    <cellStyle name="Normal 2 2 2 34 27" xfId="21681" xr:uid="{23E1DE98-E402-424B-8F97-1968A31066AD}"/>
    <cellStyle name="Normal 2 2 2 34 28" xfId="21682" xr:uid="{A5D97FBC-5E1B-4951-A843-DB71BEEB574D}"/>
    <cellStyle name="Normal 2 2 2 34 29" xfId="21683" xr:uid="{03769BB1-EA09-4AE2-AF8C-CAA4E92A7FBE}"/>
    <cellStyle name="Normal 2 2 2 34 3" xfId="21684" xr:uid="{D7E68B2F-8841-445A-8276-45D7D78E7483}"/>
    <cellStyle name="Normal 2 2 2 34 30" xfId="21685" xr:uid="{36ADD59A-CB77-4318-9867-4363FD67EE99}"/>
    <cellStyle name="Normal 2 2 2 34 31" xfId="21686" xr:uid="{9307FAB1-E883-4E4D-982E-A9B9465B8C0D}"/>
    <cellStyle name="Normal 2 2 2 34 32" xfId="21687" xr:uid="{CB83163A-2283-468C-98B8-29EFCE24139C}"/>
    <cellStyle name="Normal 2 2 2 34 33" xfId="21688" xr:uid="{8595AFCE-9DB7-4512-8199-5E0EEE8B7896}"/>
    <cellStyle name="Normal 2 2 2 34 34" xfId="21689" xr:uid="{E7087F00-9F71-4BCA-B929-5D4EBB50E118}"/>
    <cellStyle name="Normal 2 2 2 34 35" xfId="21690" xr:uid="{CA70C59A-4B7E-4FE3-B028-62FCAD4F1982}"/>
    <cellStyle name="Normal 2 2 2 34 36" xfId="21691" xr:uid="{A0554F60-AE5A-41F9-91C5-214CF52E942D}"/>
    <cellStyle name="Normal 2 2 2 34 37" xfId="21692" xr:uid="{7A8FA0FA-ED85-4E83-B9E1-3E341905F12E}"/>
    <cellStyle name="Normal 2 2 2 34 38" xfId="21693" xr:uid="{5FB6FB73-6249-489B-978A-1E3C358CC9F7}"/>
    <cellStyle name="Normal 2 2 2 34 4" xfId="21694" xr:uid="{7211C969-EC81-4CAD-B26D-3FE39B7CDD8C}"/>
    <cellStyle name="Normal 2 2 2 34 5" xfId="21695" xr:uid="{313D9D41-C7D2-4E1F-BA1D-D0839048F053}"/>
    <cellStyle name="Normal 2 2 2 34 6" xfId="21696" xr:uid="{30E568C3-D754-488F-9D32-0D1E02BBD1B4}"/>
    <cellStyle name="Normal 2 2 2 34 7" xfId="21697" xr:uid="{04D23FAD-8E0C-4FC1-A313-93467CF65144}"/>
    <cellStyle name="Normal 2 2 2 34 8" xfId="21698" xr:uid="{3E7AE1A7-92C1-4E72-BD9A-45CC6B161EC1}"/>
    <cellStyle name="Normal 2 2 2 34 9" xfId="21699" xr:uid="{FEDD7C48-6E9B-488C-BBC6-86CA6262893C}"/>
    <cellStyle name="Normal 2 2 2 35" xfId="21700" xr:uid="{0BC37283-B2B9-466C-88B5-BEAD72EE4ED3}"/>
    <cellStyle name="Normal 2 2 2 35 10" xfId="21701" xr:uid="{DEB3BBA5-5EDD-4DF4-9BB7-2309E0CB1D20}"/>
    <cellStyle name="Normal 2 2 2 35 11" xfId="21702" xr:uid="{5FA0A76E-93BC-4369-BE7C-DF6373AFF14C}"/>
    <cellStyle name="Normal 2 2 2 35 12" xfId="21703" xr:uid="{F8186410-BD4A-4456-B781-3A89C218DB26}"/>
    <cellStyle name="Normal 2 2 2 35 13" xfId="21704" xr:uid="{96BA0C2D-CB2B-4735-8FB8-BE80126C4843}"/>
    <cellStyle name="Normal 2 2 2 35 14" xfId="21705" xr:uid="{0CC049D1-377B-4CF8-B43E-4F87EE397029}"/>
    <cellStyle name="Normal 2 2 2 35 15" xfId="21706" xr:uid="{A47C55A7-9184-4B39-BB59-69243108524A}"/>
    <cellStyle name="Normal 2 2 2 35 16" xfId="21707" xr:uid="{05B95DE2-74F6-4B0C-8EC0-EE26CDEDB5DD}"/>
    <cellStyle name="Normal 2 2 2 35 17" xfId="21708" xr:uid="{D775B6CF-D6A6-4740-9F72-E9D2310518FF}"/>
    <cellStyle name="Normal 2 2 2 35 18" xfId="21709" xr:uid="{8F8280BB-710A-4B59-AF6B-C83A2B7CD086}"/>
    <cellStyle name="Normal 2 2 2 35 19" xfId="21710" xr:uid="{0C3FFD21-4719-488A-8FBF-D01B64C0EBCC}"/>
    <cellStyle name="Normal 2 2 2 35 2" xfId="21711" xr:uid="{69B89D75-E838-4214-A7A5-0CA20F303C55}"/>
    <cellStyle name="Normal 2 2 2 35 20" xfId="21712" xr:uid="{A7044C1D-1DAD-4C5E-BCE7-61884D2BB23D}"/>
    <cellStyle name="Normal 2 2 2 35 21" xfId="21713" xr:uid="{4973AE55-80E9-40FD-9E38-DA5AC6BC8E95}"/>
    <cellStyle name="Normal 2 2 2 35 22" xfId="21714" xr:uid="{660EDD81-2B32-4999-ACE9-EB1D9175B878}"/>
    <cellStyle name="Normal 2 2 2 35 23" xfId="21715" xr:uid="{66BFC4F9-09EB-43F2-8DEF-261D4F2F40FB}"/>
    <cellStyle name="Normal 2 2 2 35 24" xfId="21716" xr:uid="{5A00DF37-BCF3-4858-9903-C11FFC8282D3}"/>
    <cellStyle name="Normal 2 2 2 35 25" xfId="21717" xr:uid="{B8B44EBB-4360-42F6-9F46-ED39927DE6EF}"/>
    <cellStyle name="Normal 2 2 2 35 26" xfId="21718" xr:uid="{578394AE-80FD-47F9-8962-C6F65C51C3F1}"/>
    <cellStyle name="Normal 2 2 2 35 27" xfId="21719" xr:uid="{18176C85-56D4-4C32-A174-42AE985FECCA}"/>
    <cellStyle name="Normal 2 2 2 35 28" xfId="21720" xr:uid="{AC8358EA-1530-4531-AD0B-C10BC606E6A9}"/>
    <cellStyle name="Normal 2 2 2 35 29" xfId="21721" xr:uid="{FB6F0C79-5816-4267-BB44-EEAA7BCF1CF2}"/>
    <cellStyle name="Normal 2 2 2 35 3" xfId="21722" xr:uid="{A2B373C7-E15D-4391-9AF4-895AF3F7B746}"/>
    <cellStyle name="Normal 2 2 2 35 30" xfId="21723" xr:uid="{840E10A4-D9C4-49CC-A5D2-A99D30E07E68}"/>
    <cellStyle name="Normal 2 2 2 35 31" xfId="21724" xr:uid="{04D8E5F5-3484-4FFF-BE13-1944A6F95793}"/>
    <cellStyle name="Normal 2 2 2 35 32" xfId="21725" xr:uid="{B85CC810-EEC0-4715-98B2-85A240E2630D}"/>
    <cellStyle name="Normal 2 2 2 35 33" xfId="21726" xr:uid="{F42B2F08-85BB-4BC5-9393-984D1144E8DA}"/>
    <cellStyle name="Normal 2 2 2 35 34" xfId="21727" xr:uid="{1A290A60-793E-44D8-A005-C114DB584A37}"/>
    <cellStyle name="Normal 2 2 2 35 35" xfId="21728" xr:uid="{C07B4941-AFCC-4752-9076-3C372D822374}"/>
    <cellStyle name="Normal 2 2 2 35 36" xfId="21729" xr:uid="{41CB6917-A700-4A90-A0F9-B54CFC0423F4}"/>
    <cellStyle name="Normal 2 2 2 35 37" xfId="21730" xr:uid="{8449D336-8E3D-4875-8248-C8A2109A7BBB}"/>
    <cellStyle name="Normal 2 2 2 35 38" xfId="21731" xr:uid="{A0B2E978-D6FF-4CEB-BA24-9B9E76BAD045}"/>
    <cellStyle name="Normal 2 2 2 35 4" xfId="21732" xr:uid="{C0355538-4DDB-428A-B45E-E11E3EA51040}"/>
    <cellStyle name="Normal 2 2 2 35 5" xfId="21733" xr:uid="{AA12976E-9B15-4735-8C95-FA44BB00ECA0}"/>
    <cellStyle name="Normal 2 2 2 35 6" xfId="21734" xr:uid="{EB23D2C5-F60F-4457-B6F4-7B3B2EEA7AE2}"/>
    <cellStyle name="Normal 2 2 2 35 7" xfId="21735" xr:uid="{063BCC1F-4C45-4BA8-A276-C21ECE2BECB2}"/>
    <cellStyle name="Normal 2 2 2 35 8" xfId="21736" xr:uid="{F76D6C13-5997-4B40-A845-624357B8C96C}"/>
    <cellStyle name="Normal 2 2 2 35 9" xfId="21737" xr:uid="{788F3562-F65B-4969-9C82-8D56DAF3BD4C}"/>
    <cellStyle name="Normal 2 2 2 36" xfId="21738" xr:uid="{EE3F95C8-F370-481E-ADEA-8DC53FCCEF05}"/>
    <cellStyle name="Normal 2 2 2 36 10" xfId="21739" xr:uid="{DD5D28A7-FA94-4F8E-BC3A-5CA9FF26FE76}"/>
    <cellStyle name="Normal 2 2 2 36 11" xfId="21740" xr:uid="{B537E4F1-6231-42C2-B643-C5B132352756}"/>
    <cellStyle name="Normal 2 2 2 36 12" xfId="21741" xr:uid="{C0F9C979-8261-4BB3-AC52-0B21B888B4D5}"/>
    <cellStyle name="Normal 2 2 2 36 13" xfId="21742" xr:uid="{3A07D8B4-0BC8-4019-8F97-3305ADCD2ACB}"/>
    <cellStyle name="Normal 2 2 2 36 14" xfId="21743" xr:uid="{71D71F0F-EBE0-4D24-A781-5F4A089CD2C8}"/>
    <cellStyle name="Normal 2 2 2 36 15" xfId="21744" xr:uid="{0491A981-E287-475E-A296-E5E5FE7F6011}"/>
    <cellStyle name="Normal 2 2 2 36 16" xfId="21745" xr:uid="{7AC31A2D-22E7-4AFA-88FA-94F7E61F06AE}"/>
    <cellStyle name="Normal 2 2 2 36 17" xfId="21746" xr:uid="{68902F00-1C2C-4A79-9407-4AAB21CF6F46}"/>
    <cellStyle name="Normal 2 2 2 36 18" xfId="21747" xr:uid="{9F13F374-11BA-4590-9BE7-B6D886FCFBC5}"/>
    <cellStyle name="Normal 2 2 2 36 19" xfId="21748" xr:uid="{2C72AF28-6F4B-4B79-8F79-CE486F1598AB}"/>
    <cellStyle name="Normal 2 2 2 36 2" xfId="21749" xr:uid="{A866244D-9410-4589-83EA-D1913D1FC4E5}"/>
    <cellStyle name="Normal 2 2 2 36 20" xfId="21750" xr:uid="{5807DDE7-C9F6-4154-A4FF-403A89EB51CE}"/>
    <cellStyle name="Normal 2 2 2 36 21" xfId="21751" xr:uid="{FE5E98D9-32B4-494B-9EF1-0086F93F53EE}"/>
    <cellStyle name="Normal 2 2 2 36 22" xfId="21752" xr:uid="{67801A65-57E6-4B39-B384-2DF4AFCA45D9}"/>
    <cellStyle name="Normal 2 2 2 36 23" xfId="21753" xr:uid="{A0E6F726-A813-4070-A96C-3D8C429616EE}"/>
    <cellStyle name="Normal 2 2 2 36 24" xfId="21754" xr:uid="{E21853C2-6537-4768-ADBE-BCEA4F1EA8E5}"/>
    <cellStyle name="Normal 2 2 2 36 25" xfId="21755" xr:uid="{7F78B60C-823C-473A-9750-5331B3DE926B}"/>
    <cellStyle name="Normal 2 2 2 36 26" xfId="21756" xr:uid="{8C750972-F0FA-44FA-A614-E4CA260F017D}"/>
    <cellStyle name="Normal 2 2 2 36 27" xfId="21757" xr:uid="{633B131E-9BFD-46D9-881A-FA899C2D1C0D}"/>
    <cellStyle name="Normal 2 2 2 36 28" xfId="21758" xr:uid="{1C1021D5-44C5-4A51-8CC9-1517C27DB417}"/>
    <cellStyle name="Normal 2 2 2 36 29" xfId="21759" xr:uid="{03FF9550-6CF6-4DBF-8062-B15B365B4B7A}"/>
    <cellStyle name="Normal 2 2 2 36 3" xfId="21760" xr:uid="{CA35B894-9CE8-44CF-82FC-4C786094A3BB}"/>
    <cellStyle name="Normal 2 2 2 36 30" xfId="21761" xr:uid="{F878BC6E-192D-482B-A5A3-BFE7BC130DE4}"/>
    <cellStyle name="Normal 2 2 2 36 31" xfId="21762" xr:uid="{39A88C78-0F10-46D5-86B1-8C0A504632E7}"/>
    <cellStyle name="Normal 2 2 2 36 32" xfId="21763" xr:uid="{2A12F3CF-378D-4872-AC92-EF73619FD635}"/>
    <cellStyle name="Normal 2 2 2 36 33" xfId="21764" xr:uid="{AE4F06E2-B1E2-4EAF-B8A2-AB56992E4C29}"/>
    <cellStyle name="Normal 2 2 2 36 34" xfId="21765" xr:uid="{457417A6-9DBE-4090-A6D7-F3B3B83F90AC}"/>
    <cellStyle name="Normal 2 2 2 36 35" xfId="21766" xr:uid="{1920D1DD-1EDF-4B0A-B4DC-7ADC94C1AE5E}"/>
    <cellStyle name="Normal 2 2 2 36 36" xfId="21767" xr:uid="{E60B7112-2492-4ED8-9214-F652D4E9767F}"/>
    <cellStyle name="Normal 2 2 2 36 37" xfId="21768" xr:uid="{A096CDFB-E4D1-469D-8031-3711C7DC21A3}"/>
    <cellStyle name="Normal 2 2 2 36 38" xfId="21769" xr:uid="{04A715A5-79C6-4C35-9F27-F8FFEF98D859}"/>
    <cellStyle name="Normal 2 2 2 36 4" xfId="21770" xr:uid="{B6080E93-17B9-4796-AB71-41C43C54FC6A}"/>
    <cellStyle name="Normal 2 2 2 36 5" xfId="21771" xr:uid="{4AA4ACAB-A26A-4FD0-93A5-C61EAFE4FCD9}"/>
    <cellStyle name="Normal 2 2 2 36 6" xfId="21772" xr:uid="{67A2B2B8-D029-48D2-BFC2-5767BF22BB28}"/>
    <cellStyle name="Normal 2 2 2 36 7" xfId="21773" xr:uid="{240C38EB-D421-42BD-882B-1E90E78A8FB7}"/>
    <cellStyle name="Normal 2 2 2 36 8" xfId="21774" xr:uid="{121F2BD1-1A5B-427A-A7A3-96736B145958}"/>
    <cellStyle name="Normal 2 2 2 36 9" xfId="21775" xr:uid="{CEDCB554-FA76-4F2B-99A7-903302D56969}"/>
    <cellStyle name="Normal 2 2 2 37" xfId="21776" xr:uid="{2C409C01-21CD-4A14-B1D3-2CACCD38671C}"/>
    <cellStyle name="Normal 2 2 2 37 10" xfId="21777" xr:uid="{F6529359-074E-429F-B73D-FB33894E051A}"/>
    <cellStyle name="Normal 2 2 2 37 11" xfId="21778" xr:uid="{0CECA37D-6A89-462D-AF65-F0D61D184077}"/>
    <cellStyle name="Normal 2 2 2 37 12" xfId="21779" xr:uid="{735F0814-0386-4B83-A8BC-1173A85904FB}"/>
    <cellStyle name="Normal 2 2 2 37 13" xfId="21780" xr:uid="{E633F40D-2680-4518-91D2-BA13B32D81DF}"/>
    <cellStyle name="Normal 2 2 2 37 14" xfId="21781" xr:uid="{6BA78B26-F904-4A81-A95D-0E023F4E2F7A}"/>
    <cellStyle name="Normal 2 2 2 37 15" xfId="21782" xr:uid="{5810DEC5-E24A-4FE5-BC26-0306D86FDDA0}"/>
    <cellStyle name="Normal 2 2 2 37 16" xfId="21783" xr:uid="{20D3E413-8D8F-4C04-A810-0EFE5B20C3F6}"/>
    <cellStyle name="Normal 2 2 2 37 17" xfId="21784" xr:uid="{5600AFE1-B46D-4F27-ADBB-710D37A543CC}"/>
    <cellStyle name="Normal 2 2 2 37 18" xfId="21785" xr:uid="{1DD26129-342B-4105-899D-E90D38698288}"/>
    <cellStyle name="Normal 2 2 2 37 19" xfId="21786" xr:uid="{44CAE8CC-6BEC-49B5-8E26-85C036DEAEAD}"/>
    <cellStyle name="Normal 2 2 2 37 2" xfId="21787" xr:uid="{9B51A59F-914D-45A6-AAE0-02E9A37548AA}"/>
    <cellStyle name="Normal 2 2 2 37 2 2" xfId="21788" xr:uid="{DB6DA623-A587-4625-9B90-60B7DE2C45B0}"/>
    <cellStyle name="Normal 2 2 2 37 2 3" xfId="21789" xr:uid="{DAB2C583-842B-4B02-A92E-1D276587EBE7}"/>
    <cellStyle name="Normal 2 2 2 37 2 4" xfId="21790" xr:uid="{7B82AAFB-FA3F-4D22-B1DF-67F64BE08C8C}"/>
    <cellStyle name="Normal 2 2 2 37 2 5" xfId="21791" xr:uid="{5137E1A6-CD12-4D05-8330-801A822F7BAD}"/>
    <cellStyle name="Normal 2 2 2 37 2 6" xfId="21792" xr:uid="{B9CED0CF-7C45-444E-B6EE-C7E0944865D8}"/>
    <cellStyle name="Normal 2 2 2 37 20" xfId="21793" xr:uid="{DBFC613D-C71A-4757-AFF0-1DA2F2063797}"/>
    <cellStyle name="Normal 2 2 2 37 21" xfId="21794" xr:uid="{E637499D-312E-4B42-91E4-F98FCA2E415E}"/>
    <cellStyle name="Normal 2 2 2 37 22" xfId="21795" xr:uid="{FFAEDD85-104F-49E7-B484-9D77CD321F66}"/>
    <cellStyle name="Normal 2 2 2 37 23" xfId="21796" xr:uid="{148B15DB-1A04-4874-987F-2AC2EE3B2419}"/>
    <cellStyle name="Normal 2 2 2 37 24" xfId="21797" xr:uid="{5D7D52E5-4053-4439-9BA4-2F17713F2D92}"/>
    <cellStyle name="Normal 2 2 2 37 25" xfId="21798" xr:uid="{60EC7474-26E8-4B8F-8F54-B4A113BA0944}"/>
    <cellStyle name="Normal 2 2 2 37 26" xfId="21799" xr:uid="{C24D9703-B949-4C65-8B32-1BDC316B2E13}"/>
    <cellStyle name="Normal 2 2 2 37 27" xfId="21800" xr:uid="{278BB6BF-57F0-4EF6-80BC-B6C4A152978F}"/>
    <cellStyle name="Normal 2 2 2 37 28" xfId="21801" xr:uid="{5C26CD1C-B909-45E6-92BB-DC2943658E9E}"/>
    <cellStyle name="Normal 2 2 2 37 29" xfId="21802" xr:uid="{8A9C1570-E561-4A93-B71B-462A24910518}"/>
    <cellStyle name="Normal 2 2 2 37 3" xfId="21803" xr:uid="{3E25F660-A9F3-4960-AADA-DA7C72AF3A4C}"/>
    <cellStyle name="Normal 2 2 2 37 3 2" xfId="21804" xr:uid="{9F34DAC6-5966-4965-944B-EE0897E5B642}"/>
    <cellStyle name="Normal 2 2 2 37 3 3" xfId="21805" xr:uid="{B42B6966-BB62-499C-ACFD-1B444E7F6C2A}"/>
    <cellStyle name="Normal 2 2 2 37 3 4" xfId="21806" xr:uid="{1D4F93AE-BA08-4D7C-8C2C-AB52BC61DF55}"/>
    <cellStyle name="Normal 2 2 2 37 3 5" xfId="21807" xr:uid="{212B1966-DCB9-4098-86DE-6CCCDF7D6C51}"/>
    <cellStyle name="Normal 2 2 2 37 3 6" xfId="21808" xr:uid="{0B64211A-48A6-460B-8705-0CCC7B5721A7}"/>
    <cellStyle name="Normal 2 2 2 37 30" xfId="21809" xr:uid="{D7C5B725-B5D3-4536-BD84-29F99570AAC4}"/>
    <cellStyle name="Normal 2 2 2 37 31" xfId="21810" xr:uid="{C7138788-0879-43DA-851F-64A57D629271}"/>
    <cellStyle name="Normal 2 2 2 37 32" xfId="21811" xr:uid="{EA2F54E9-EFCD-4CF5-BD01-F7C8478F1778}"/>
    <cellStyle name="Normal 2 2 2 37 33" xfId="21812" xr:uid="{DB1F31C1-0236-4E44-90A6-BE425F8E5A36}"/>
    <cellStyle name="Normal 2 2 2 37 34" xfId="21813" xr:uid="{D6F51560-DE72-4CF6-9C2A-5C9FD0054057}"/>
    <cellStyle name="Normal 2 2 2 37 35" xfId="21814" xr:uid="{3B877CB4-2EF5-4D64-B87E-939FA17588C3}"/>
    <cellStyle name="Normal 2 2 2 37 4" xfId="21815" xr:uid="{D52501C5-F987-463A-BA9A-F50FF37A67B6}"/>
    <cellStyle name="Normal 2 2 2 37 4 2" xfId="21816" xr:uid="{CE052C72-C913-4D78-9530-5DD84A752E87}"/>
    <cellStyle name="Normal 2 2 2 37 4 3" xfId="21817" xr:uid="{1261CB9F-1567-4EA0-9316-A4B8D653D76D}"/>
    <cellStyle name="Normal 2 2 2 37 4 4" xfId="21818" xr:uid="{856132D3-A278-4861-A55F-930CA7345DF7}"/>
    <cellStyle name="Normal 2 2 2 37 4 5" xfId="21819" xr:uid="{B315EB38-9A0E-4710-B3D4-26E559D6EED4}"/>
    <cellStyle name="Normal 2 2 2 37 4 6" xfId="21820" xr:uid="{C57BED7C-2E8E-4CE9-B115-69E9A64F356C}"/>
    <cellStyle name="Normal 2 2 2 37 5" xfId="21821" xr:uid="{1BD6FC50-B627-4349-8A6D-5C325B05A22C}"/>
    <cellStyle name="Normal 2 2 2 37 5 2" xfId="21822" xr:uid="{939E338D-E35B-483A-B284-D066DB751E1B}"/>
    <cellStyle name="Normal 2 2 2 37 5 3" xfId="21823" xr:uid="{D4A6ECF6-A79E-4BEA-8ED5-BD4BE4EA055C}"/>
    <cellStyle name="Normal 2 2 2 37 5 4" xfId="21824" xr:uid="{DB5BD13A-54B6-4EC3-B785-BE736B22A51A}"/>
    <cellStyle name="Normal 2 2 2 37 5 5" xfId="21825" xr:uid="{B504995F-C6BC-42D6-BE46-FACD738FA5FB}"/>
    <cellStyle name="Normal 2 2 2 37 5 6" xfId="21826" xr:uid="{65253D3E-FCE7-4718-9F66-EE7A580C4783}"/>
    <cellStyle name="Normal 2 2 2 37 6" xfId="21827" xr:uid="{1372562B-7B6B-41F0-8EF1-2F735EBD974B}"/>
    <cellStyle name="Normal 2 2 2 37 6 2" xfId="21828" xr:uid="{2A445478-5047-42DA-9F0A-4C8334B09C53}"/>
    <cellStyle name="Normal 2 2 2 37 6 3" xfId="21829" xr:uid="{BF2E1770-B194-4D81-A419-4520D458EECC}"/>
    <cellStyle name="Normal 2 2 2 37 6 4" xfId="21830" xr:uid="{CA8B1B54-E4B9-42C8-AA19-C755139971A7}"/>
    <cellStyle name="Normal 2 2 2 37 6 5" xfId="21831" xr:uid="{8F35FF82-A9BB-432D-BF14-DA7DAE28DDCE}"/>
    <cellStyle name="Normal 2 2 2 37 6 6" xfId="21832" xr:uid="{27721795-0FC2-49B3-8D4A-0AFD94A42392}"/>
    <cellStyle name="Normal 2 2 2 37 7" xfId="21833" xr:uid="{4BA76B46-561D-4480-81EB-9DED0DB828BE}"/>
    <cellStyle name="Normal 2 2 2 37 8" xfId="21834" xr:uid="{EBC1AEE0-E1CB-4F8A-97AC-75443ED8541A}"/>
    <cellStyle name="Normal 2 2 2 37 9" xfId="21835" xr:uid="{CA4DBE5D-7DB1-442F-82D9-F7E5868B3CF3}"/>
    <cellStyle name="Normal 2 2 2 38" xfId="21836" xr:uid="{5563F1F1-9784-468A-A668-A1C1E359822D}"/>
    <cellStyle name="Normal 2 2 2 38 2" xfId="21837" xr:uid="{57F69EEE-D63D-4AE7-A896-1B4BF670D724}"/>
    <cellStyle name="Normal 2 2 2 38 3" xfId="21838" xr:uid="{079E97DE-8CBE-41C7-9714-B292612C6CFD}"/>
    <cellStyle name="Normal 2 2 2 38 4" xfId="21839" xr:uid="{711717BC-5FA9-4BA9-A8AB-62AF94A388D5}"/>
    <cellStyle name="Normal 2 2 2 38 5" xfId="21840" xr:uid="{2853BDD1-A47E-4609-9562-A42D66EE9BB2}"/>
    <cellStyle name="Normal 2 2 2 38 6" xfId="21841" xr:uid="{B939BED7-1544-429A-A9DB-B36C35298D75}"/>
    <cellStyle name="Normal 2 2 2 38 7" xfId="21842" xr:uid="{D914E617-C7B5-4BA3-B827-234B5995E3E8}"/>
    <cellStyle name="Normal 2 2 2 39" xfId="21843" xr:uid="{87010CE1-54B7-4E16-A19E-100634C84CF4}"/>
    <cellStyle name="Normal 2 2 2 39 2" xfId="21844" xr:uid="{A8FE886F-A017-4425-A360-11FAF8B3416D}"/>
    <cellStyle name="Normal 2 2 2 39 3" xfId="21845" xr:uid="{88F15380-08F7-4E69-B7C3-1C4A41465371}"/>
    <cellStyle name="Normal 2 2 2 39 4" xfId="21846" xr:uid="{E30BF44A-DF44-4193-B15B-BF0200F6E3A9}"/>
    <cellStyle name="Normal 2 2 2 39 5" xfId="21847" xr:uid="{78F28FDD-823B-4166-9A81-B92A5610374A}"/>
    <cellStyle name="Normal 2 2 2 39 6" xfId="21848" xr:uid="{B7688669-0355-4E39-AC29-0C79383F328D}"/>
    <cellStyle name="Normal 2 2 2 39 7" xfId="21849" xr:uid="{6088895B-B14D-4D6B-B07D-721F338F2CBF}"/>
    <cellStyle name="Normal 2 2 2 4" xfId="21850" xr:uid="{4CDE8272-B6FC-45A1-ADCE-592520199603}"/>
    <cellStyle name="Normal 2 2 2 4 2" xfId="21851" xr:uid="{F906233C-F145-442C-A9D3-93BC19AD9F1C}"/>
    <cellStyle name="Normal 2 2 2 4 2 2" xfId="21852" xr:uid="{0CA16CCC-4B62-486C-8DA2-EDF88C0C5E54}"/>
    <cellStyle name="Normal 2 2 2 4 2 2 2" xfId="21853" xr:uid="{33517420-FE3E-48FF-8B6C-E1BD24D27932}"/>
    <cellStyle name="Normal 2 2 2 4 2 2 2 2" xfId="21854" xr:uid="{D93414BD-B708-40A1-8359-A9037C738FAF}"/>
    <cellStyle name="Normal 2 2 2 4 2 2 3" xfId="21855" xr:uid="{1CAF4164-67D6-4806-9009-B070BD05F2AF}"/>
    <cellStyle name="Normal 2 2 2 4 2 3" xfId="21856" xr:uid="{823F921C-1AFD-4759-B544-98D30FE0D642}"/>
    <cellStyle name="Normal 2 2 2 4 2 3 2" xfId="21857" xr:uid="{F049B019-BE83-4312-9D26-9679C4690F87}"/>
    <cellStyle name="Normal 2 2 2 4 2 4" xfId="21858" xr:uid="{82067FF7-C17C-422B-9904-27F85B70DD91}"/>
    <cellStyle name="Normal 2 2 2 4 2 5" xfId="21859" xr:uid="{7EF04448-C11F-4866-A5B0-BB6C019234B3}"/>
    <cellStyle name="Normal 2 2 2 4 3" xfId="21860" xr:uid="{29F212C5-E605-47F5-94FC-C6A40554A494}"/>
    <cellStyle name="Normal 2 2 2 4 3 2" xfId="21861" xr:uid="{1D914E42-A8A7-466F-A0DC-16F6D0EA1692}"/>
    <cellStyle name="Normal 2 2 2 4 4" xfId="21862" xr:uid="{6A6AB942-2ED1-4C9D-A4EB-448BD9B84574}"/>
    <cellStyle name="Normal 2 2 2 4 4 2" xfId="21863" xr:uid="{F348E0C3-31ED-4A76-939C-862B174C067B}"/>
    <cellStyle name="Normal 2 2 2 4 5" xfId="21864" xr:uid="{EF108513-5457-425C-98FC-8E302743825C}"/>
    <cellStyle name="Normal 2 2 2 4 6" xfId="21865" xr:uid="{0DD116AA-7B82-41B6-88A1-61F2EA48FE45}"/>
    <cellStyle name="Normal 2 2 2 40" xfId="21866" xr:uid="{FBD9D056-D316-4F40-A7D4-B70576AD5786}"/>
    <cellStyle name="Normal 2 2 2 40 2" xfId="21867" xr:uid="{FE0CAF8E-6B50-418E-9AB8-5BF7A4AEF5FB}"/>
    <cellStyle name="Normal 2 2 2 40 3" xfId="21868" xr:uid="{543D1C11-789A-4C05-80FD-A81C1FD09B47}"/>
    <cellStyle name="Normal 2 2 2 40 4" xfId="21869" xr:uid="{D3DDC2C3-3AA3-42D3-BC26-04F38D341B91}"/>
    <cellStyle name="Normal 2 2 2 40 5" xfId="21870" xr:uid="{92ED1E0E-EF50-4EC8-83D8-E966D7CBB25E}"/>
    <cellStyle name="Normal 2 2 2 40 6" xfId="21871" xr:uid="{CD6E6CE8-0B0C-403B-A8BA-D98F057C9074}"/>
    <cellStyle name="Normal 2 2 2 40 7" xfId="21872" xr:uid="{641EF381-44E9-4D3C-82B8-8F5256436E23}"/>
    <cellStyle name="Normal 2 2 2 41" xfId="21873" xr:uid="{7A284F98-80CE-454D-914F-D0B3F5928EB9}"/>
    <cellStyle name="Normal 2 2 2 41 2" xfId="21874" xr:uid="{06EFFBA7-CD41-4FAF-B18C-08438344BFC0}"/>
    <cellStyle name="Normal 2 2 2 41 3" xfId="21875" xr:uid="{6BA54A2E-1744-4BD7-945C-2478CF09A69A}"/>
    <cellStyle name="Normal 2 2 2 41 4" xfId="21876" xr:uid="{DD0FF3F4-E22F-4AFB-86C3-B5455B619ED8}"/>
    <cellStyle name="Normal 2 2 2 41 5" xfId="21877" xr:uid="{017E1A31-504F-4267-8ABA-E7BCF22CEF60}"/>
    <cellStyle name="Normal 2 2 2 41 6" xfId="21878" xr:uid="{32AB414B-49FB-456E-A934-5AF1CD94965E}"/>
    <cellStyle name="Normal 2 2 2 41 7" xfId="21879" xr:uid="{7813340B-4672-4399-B47E-B4E1997AB2CE}"/>
    <cellStyle name="Normal 2 2 2 42" xfId="21880" xr:uid="{9D2CE4CB-4369-484F-A8B4-22438125DFD4}"/>
    <cellStyle name="Normal 2 2 2 42 2" xfId="21881" xr:uid="{F264B543-B127-4063-9D89-419BA5E829FB}"/>
    <cellStyle name="Normal 2 2 2 42 3" xfId="21882" xr:uid="{928B3C4E-DA83-4663-9807-E184EE92387B}"/>
    <cellStyle name="Normal 2 2 2 42 4" xfId="21883" xr:uid="{D7B83EE9-49F4-4206-B495-82B483687960}"/>
    <cellStyle name="Normal 2 2 2 42 5" xfId="21884" xr:uid="{3105298E-572C-48EE-8DE5-E6AEBB700E87}"/>
    <cellStyle name="Normal 2 2 2 42 6" xfId="21885" xr:uid="{A4536B77-84EF-4FB6-A7A8-51DC61BF991C}"/>
    <cellStyle name="Normal 2 2 2 42 7" xfId="21886" xr:uid="{59EE51BA-0929-456E-8903-5367C0B74ADE}"/>
    <cellStyle name="Normal 2 2 2 43" xfId="21887" xr:uid="{EE202E04-8293-47B3-928A-DAC3B4676FD9}"/>
    <cellStyle name="Normal 2 2 2 43 2" xfId="21888" xr:uid="{96F0CE44-DF6A-4166-947D-EB0F0799F318}"/>
    <cellStyle name="Normal 2 2 2 43 3" xfId="21889" xr:uid="{598E3B9C-A7CA-4BE9-B749-C5FD38C6FC52}"/>
    <cellStyle name="Normal 2 2 2 43 4" xfId="21890" xr:uid="{C926D85E-DEB6-4450-A5F3-22D06589277D}"/>
    <cellStyle name="Normal 2 2 2 43 5" xfId="21891" xr:uid="{97EE0E18-74BD-4A90-A9FF-3D6AF42FBA37}"/>
    <cellStyle name="Normal 2 2 2 43 6" xfId="21892" xr:uid="{0155B41C-206F-4BDF-B403-A56F23153C67}"/>
    <cellStyle name="Normal 2 2 2 43 7" xfId="21893" xr:uid="{E0CADE0E-A9CA-4A05-992D-29E41596871E}"/>
    <cellStyle name="Normal 2 2 2 44" xfId="21894" xr:uid="{18C596EB-F527-44E8-A256-A0EC2DE44972}"/>
    <cellStyle name="Normal 2 2 2 44 2" xfId="21895" xr:uid="{B11EA815-DC90-4F84-A6D3-BE4EF6B1042F}"/>
    <cellStyle name="Normal 2 2 2 44 3" xfId="21896" xr:uid="{89A27417-FDF5-44DB-8654-9A8E56F46F0B}"/>
    <cellStyle name="Normal 2 2 2 44 4" xfId="21897" xr:uid="{B79C2BC8-D9FE-44B6-BF78-C356F1004E7E}"/>
    <cellStyle name="Normal 2 2 2 44 5" xfId="21898" xr:uid="{4AF55364-99B4-4341-90E1-AF46C5D72B32}"/>
    <cellStyle name="Normal 2 2 2 44 6" xfId="21899" xr:uid="{FFBB382E-350E-45F2-B33B-1B7A0D1DC5F3}"/>
    <cellStyle name="Normal 2 2 2 44 7" xfId="21900" xr:uid="{81D989FD-F0AC-453B-81A5-CD7D3E8B4524}"/>
    <cellStyle name="Normal 2 2 2 45" xfId="21901" xr:uid="{770E1702-3FEC-4EB5-A1B4-2F622549AF2D}"/>
    <cellStyle name="Normal 2 2 2 45 2" xfId="21902" xr:uid="{BDA2BE88-402F-47EF-98F4-18F33950BAE6}"/>
    <cellStyle name="Normal 2 2 2 45 3" xfId="21903" xr:uid="{E8E9915E-5862-4692-B108-505C52AE70FD}"/>
    <cellStyle name="Normal 2 2 2 45 4" xfId="21904" xr:uid="{8890BD44-B959-4966-B7EE-3BC787D62CCE}"/>
    <cellStyle name="Normal 2 2 2 45 5" xfId="21905" xr:uid="{AA3D5EFE-F3D0-4DFF-AD22-454CF7016CF3}"/>
    <cellStyle name="Normal 2 2 2 45 6" xfId="21906" xr:uid="{54A5D37B-B0E3-4E79-8A57-DCED76C6E744}"/>
    <cellStyle name="Normal 2 2 2 45 7" xfId="21907" xr:uid="{26C6DD71-F893-4EA2-AE08-4FC2F2B36C2F}"/>
    <cellStyle name="Normal 2 2 2 46" xfId="21908" xr:uid="{26EAF1D0-8F5B-46BA-873B-B51FCA50527E}"/>
    <cellStyle name="Normal 2 2 2 46 2" xfId="21909" xr:uid="{59E28848-8CE1-44D3-8C70-92AC046E5DEA}"/>
    <cellStyle name="Normal 2 2 2 46 3" xfId="21910" xr:uid="{4AC2EBBB-9596-4327-A333-FB1464C9B0F9}"/>
    <cellStyle name="Normal 2 2 2 46 4" xfId="21911" xr:uid="{C11E5258-CB35-4C30-9B3F-6B3A72744EE0}"/>
    <cellStyle name="Normal 2 2 2 46 5" xfId="21912" xr:uid="{11DA2FD0-F63C-4AAF-8AA6-05D6B7163A13}"/>
    <cellStyle name="Normal 2 2 2 46 6" xfId="21913" xr:uid="{39B2271E-5009-4481-BDBF-DFDDD181438C}"/>
    <cellStyle name="Normal 2 2 2 46 7" xfId="21914" xr:uid="{014A0C72-9ACA-4915-A7D0-13ECF6E90ED8}"/>
    <cellStyle name="Normal 2 2 2 47" xfId="21915" xr:uid="{1ED7B85D-2F01-4A5F-84F5-A5C5F1AA7681}"/>
    <cellStyle name="Normal 2 2 2 47 2" xfId="21916" xr:uid="{0ABFDA46-4FDA-4139-BEC9-129853BF0EA6}"/>
    <cellStyle name="Normal 2 2 2 47 3" xfId="21917" xr:uid="{5F42DDF3-4E39-41D3-A0E8-AE6BE807C496}"/>
    <cellStyle name="Normal 2 2 2 47 4" xfId="21918" xr:uid="{7749B06D-FC39-48CF-A540-7B9396375091}"/>
    <cellStyle name="Normal 2 2 2 47 5" xfId="21919" xr:uid="{C79C250E-F248-4D27-B5FD-652E188220B9}"/>
    <cellStyle name="Normal 2 2 2 47 6" xfId="21920" xr:uid="{BCBB3E81-315B-433F-8FE5-9B105239B0EA}"/>
    <cellStyle name="Normal 2 2 2 47 7" xfId="21921" xr:uid="{7741373D-DD66-449E-A7A7-645BC9B4F771}"/>
    <cellStyle name="Normal 2 2 2 48" xfId="21922" xr:uid="{88F4E60B-4A9A-4A2D-B4AD-50181E211EE7}"/>
    <cellStyle name="Normal 2 2 2 48 2" xfId="21923" xr:uid="{15DE0E2C-BD0A-426E-B87B-F66A2936B74E}"/>
    <cellStyle name="Normal 2 2 2 48 3" xfId="21924" xr:uid="{24F3A920-1E64-45FB-86BD-F6D651878507}"/>
    <cellStyle name="Normal 2 2 2 48 4" xfId="21925" xr:uid="{F5585782-880D-45C6-8DA8-5FC5ABE9BDF9}"/>
    <cellStyle name="Normal 2 2 2 48 5" xfId="21926" xr:uid="{E6BB659C-885F-4805-8410-88204DF4C3D4}"/>
    <cellStyle name="Normal 2 2 2 48 6" xfId="21927" xr:uid="{2A259E68-756C-4AC3-91E1-4F89F3BA7830}"/>
    <cellStyle name="Normal 2 2 2 48 7" xfId="21928" xr:uid="{DED42796-EABE-4863-861E-CCF85A1A639B}"/>
    <cellStyle name="Normal 2 2 2 49" xfId="21929" xr:uid="{70162910-16B8-49DB-A0F0-38E383E02042}"/>
    <cellStyle name="Normal 2 2 2 49 2" xfId="21930" xr:uid="{FC335C93-A91B-48CB-967F-79659478C383}"/>
    <cellStyle name="Normal 2 2 2 49 3" xfId="21931" xr:uid="{DF687CBE-7911-4F97-9C98-EF9A826847B5}"/>
    <cellStyle name="Normal 2 2 2 49 4" xfId="21932" xr:uid="{146BBD1B-24FE-4BDD-810E-675D2B846D78}"/>
    <cellStyle name="Normal 2 2 2 49 5" xfId="21933" xr:uid="{5A62E282-D333-47D4-925E-130C9C752159}"/>
    <cellStyle name="Normal 2 2 2 49 6" xfId="21934" xr:uid="{D9C86E68-F2AA-4B43-ABC1-75A89CACD600}"/>
    <cellStyle name="Normal 2 2 2 49 7" xfId="21935" xr:uid="{15E182F7-BA2F-4802-A182-4E7698ACFC43}"/>
    <cellStyle name="Normal 2 2 2 5" xfId="21936" xr:uid="{3AA2EBE2-2589-4994-8B1C-C2D3D65BFF16}"/>
    <cellStyle name="Normal 2 2 2 5 2" xfId="21937" xr:uid="{604695F3-827C-436F-AD10-4F8A73096F7C}"/>
    <cellStyle name="Normal 2 2 2 50" xfId="21938" xr:uid="{9D9AE294-B7C6-416E-A831-015E7594F37B}"/>
    <cellStyle name="Normal 2 2 2 50 2" xfId="21939" xr:uid="{5C28FC13-617E-4E30-8F8C-45863AE48499}"/>
    <cellStyle name="Normal 2 2 2 50 3" xfId="21940" xr:uid="{367B1846-694B-4868-879A-162F849935F3}"/>
    <cellStyle name="Normal 2 2 2 50 4" xfId="21941" xr:uid="{4EC0FF93-8D1B-44BB-8170-C1AB76474E7D}"/>
    <cellStyle name="Normal 2 2 2 50 5" xfId="21942" xr:uid="{F60BCB03-53CA-4BA1-AE07-A7DA90E30EBC}"/>
    <cellStyle name="Normal 2 2 2 50 6" xfId="21943" xr:uid="{90BF7B54-8AC5-430F-8E3E-0EFE5F69F5B6}"/>
    <cellStyle name="Normal 2 2 2 50 7" xfId="21944" xr:uid="{D72441D9-7C48-46D4-B0EF-F1CA1F1A000A}"/>
    <cellStyle name="Normal 2 2 2 51" xfId="21945" xr:uid="{0938153E-1F26-41F7-959A-1EA2A6AC342D}"/>
    <cellStyle name="Normal 2 2 2 51 2" xfId="21946" xr:uid="{102B3606-FEDF-46D7-BDA2-A1BF9D407E57}"/>
    <cellStyle name="Normal 2 2 2 51 3" xfId="21947" xr:uid="{73872BEC-8F81-4016-AF4B-891DB576C062}"/>
    <cellStyle name="Normal 2 2 2 51 4" xfId="21948" xr:uid="{51C56046-1D95-4F53-B59E-B4647C16B182}"/>
    <cellStyle name="Normal 2 2 2 51 5" xfId="21949" xr:uid="{36F4FA44-B77A-4808-9DFA-4BF539507799}"/>
    <cellStyle name="Normal 2 2 2 51 6" xfId="21950" xr:uid="{B8596F47-ABCC-4435-A788-80C74788AF91}"/>
    <cellStyle name="Normal 2 2 2 51 7" xfId="21951" xr:uid="{6CCB4D2C-50EF-45AD-9740-23D02EE40BD1}"/>
    <cellStyle name="Normal 2 2 2 52" xfId="21952" xr:uid="{8820DCCD-1FDA-4C59-A1BC-DCDD61E2DDE6}"/>
    <cellStyle name="Normal 2 2 2 52 2" xfId="21953" xr:uid="{59D88106-7562-4AB3-8429-01DE51559872}"/>
    <cellStyle name="Normal 2 2 2 53" xfId="21954" xr:uid="{7FC9AB73-ACCA-4B4F-9AB6-C0BF71094E38}"/>
    <cellStyle name="Normal 2 2 2 53 2" xfId="21955" xr:uid="{070DD445-3207-4AE2-90AA-9530873F04AE}"/>
    <cellStyle name="Normal 2 2 2 54" xfId="21956" xr:uid="{8216B7E1-CBBC-4129-8DC0-68962847EFAF}"/>
    <cellStyle name="Normal 2 2 2 54 2" xfId="21957" xr:uid="{2CBBC7D8-5D34-49EB-8D00-E40BC533CE64}"/>
    <cellStyle name="Normal 2 2 2 55" xfId="21958" xr:uid="{AB4AAB48-86BC-4940-AE1C-E77AAB2308A0}"/>
    <cellStyle name="Normal 2 2 2 55 2" xfId="21959" xr:uid="{ABF87589-9CDF-4973-A372-CAA3BF18FF97}"/>
    <cellStyle name="Normal 2 2 2 56" xfId="21960" xr:uid="{8B9468DB-8C12-4F00-811B-55FA7D262241}"/>
    <cellStyle name="Normal 2 2 2 56 2" xfId="21961" xr:uid="{E8EB4743-71CB-43BF-A7D4-398648FE601E}"/>
    <cellStyle name="Normal 2 2 2 56 2 2" xfId="21962" xr:uid="{76A587D0-5C0A-40CD-B9DE-EEEACEA75F65}"/>
    <cellStyle name="Normal 2 2 2 56 2 2 2" xfId="21963" xr:uid="{F0C24227-10CF-4FE4-B69A-BAFC3EE98199}"/>
    <cellStyle name="Normal 2 2 2 56 2 2 2 2" xfId="21964" xr:uid="{73D7730D-2A1E-4EC6-9EC4-845C063571A4}"/>
    <cellStyle name="Normal 2 2 2 56 2 2 2 3" xfId="21965" xr:uid="{4A77FDC6-DD2C-464D-A423-838D3D63B111}"/>
    <cellStyle name="Normal 2 2 2 56 2 2 2 4" xfId="21966" xr:uid="{B5DA2883-23F3-4CB1-8A0F-A8545BD83BCC}"/>
    <cellStyle name="Normal 2 2 2 56 2 2 2 5" xfId="21967" xr:uid="{29347EEA-D635-4EAF-A2A0-852407C58EFC}"/>
    <cellStyle name="Normal 2 2 2 56 2 2 2 6" xfId="21968" xr:uid="{BB55EB21-1B49-4C5B-90EB-C4C019C6D00C}"/>
    <cellStyle name="Normal 2 2 2 56 2 3" xfId="21969" xr:uid="{459F0BD6-8ACB-4FDF-95B1-475BAC4E1AAA}"/>
    <cellStyle name="Normal 2 2 2 56 2 4" xfId="21970" xr:uid="{BB75A64D-917A-447A-A9AF-16189BC14B58}"/>
    <cellStyle name="Normal 2 2 2 56 2 5" xfId="21971" xr:uid="{3D97F0BB-E6D3-4B82-9CD4-084E6434E102}"/>
    <cellStyle name="Normal 2 2 2 56 2 6" xfId="21972" xr:uid="{74330358-D01C-4AE5-9155-B2AAD1993527}"/>
    <cellStyle name="Normal 2 2 2 56 2 7" xfId="21973" xr:uid="{E9E93F5F-5016-4E0A-B580-B5738C1C3E15}"/>
    <cellStyle name="Normal 2 2 2 56 3" xfId="21974" xr:uid="{B6E4FE5D-197E-408E-A2F9-8EB6DAF960D5}"/>
    <cellStyle name="Normal 2 2 2 56 3 2" xfId="21975" xr:uid="{60DFE9AD-1AD5-49AF-BB53-A5E1A7FB385A}"/>
    <cellStyle name="Normal 2 2 2 56 3 3" xfId="21976" xr:uid="{DA218254-FB96-4C5C-8AEF-045C250A503F}"/>
    <cellStyle name="Normal 2 2 2 56 3 4" xfId="21977" xr:uid="{9FD83E6D-B7FE-4210-8370-F9DC50896BF5}"/>
    <cellStyle name="Normal 2 2 2 56 3 5" xfId="21978" xr:uid="{0F8EB00D-FEC6-4DCA-8C1B-2B3BD695BF8F}"/>
    <cellStyle name="Normal 2 2 2 56 3 6" xfId="21979" xr:uid="{9E0D4BD1-31C1-4DB0-9D56-1B1E76151D05}"/>
    <cellStyle name="Normal 2 2 2 56 4" xfId="21980" xr:uid="{3E382BEC-61FB-4FB3-8A2C-7272461A04B4}"/>
    <cellStyle name="Normal 2 2 2 57" xfId="21981" xr:uid="{43FADA44-9CDE-412E-9BDF-FE924088ABCC}"/>
    <cellStyle name="Normal 2 2 2 57 2" xfId="21982" xr:uid="{5F58F587-BD80-47E5-A9D6-93CB617C9F2B}"/>
    <cellStyle name="Normal 2 2 2 57 3" xfId="21983" xr:uid="{743E21D9-B7FD-4AE3-8DCD-F20B9D5D1571}"/>
    <cellStyle name="Normal 2 2 2 57 4" xfId="21984" xr:uid="{DBDFB2E1-9677-4452-983F-F84661F35264}"/>
    <cellStyle name="Normal 2 2 2 57 5" xfId="21985" xr:uid="{C05EA980-800B-4928-98C0-0D7F61485D5A}"/>
    <cellStyle name="Normal 2 2 2 57 6" xfId="21986" xr:uid="{EA5BA330-34BC-4540-9B96-5995E895A3E2}"/>
    <cellStyle name="Normal 2 2 2 57 7" xfId="21987" xr:uid="{F77205D1-4EB2-47F4-A679-54FC890588B9}"/>
    <cellStyle name="Normal 2 2 2 58" xfId="21988" xr:uid="{D749F125-93DB-4F7D-BB16-3A2B413CABE6}"/>
    <cellStyle name="Normal 2 2 2 58 2" xfId="21989" xr:uid="{8FB3021F-7786-4F81-A521-E0D59B7AFECD}"/>
    <cellStyle name="Normal 2 2 2 58 3" xfId="21990" xr:uid="{92C59A0F-FA85-44FE-8C83-882F34BD97A7}"/>
    <cellStyle name="Normal 2 2 2 58 4" xfId="21991" xr:uid="{C22B8209-06DF-42B3-8680-4CFE7100927B}"/>
    <cellStyle name="Normal 2 2 2 58 5" xfId="21992" xr:uid="{C940DAD5-A81A-4259-BA87-04815DDA5844}"/>
    <cellStyle name="Normal 2 2 2 58 6" xfId="21993" xr:uid="{4CA2B5BB-CD2D-4DA2-BE76-9F0CAD195453}"/>
    <cellStyle name="Normal 2 2 2 58 7" xfId="21994" xr:uid="{37386AF7-0601-490D-9126-ECFD6421131B}"/>
    <cellStyle name="Normal 2 2 2 59" xfId="21995" xr:uid="{D3688F4C-98B1-436E-A502-BF2532A5E62C}"/>
    <cellStyle name="Normal 2 2 2 59 2" xfId="21996" xr:uid="{D2A3F2DB-EF3A-4F65-A4E0-28C6E14DFF98}"/>
    <cellStyle name="Normal 2 2 2 59 3" xfId="21997" xr:uid="{A638D0B2-E942-4E16-8677-02FC9D2282B3}"/>
    <cellStyle name="Normal 2 2 2 59 4" xfId="21998" xr:uid="{09473EEA-CA74-4BF9-B09B-E427847B99D2}"/>
    <cellStyle name="Normal 2 2 2 59 5" xfId="21999" xr:uid="{EAF0A94D-189F-4846-B4F7-7C4D020C4FE0}"/>
    <cellStyle name="Normal 2 2 2 59 6" xfId="22000" xr:uid="{6BF453CF-A23A-4D54-8434-B6F92BEFB939}"/>
    <cellStyle name="Normal 2 2 2 6" xfId="22001" xr:uid="{CB0EFA8E-FD76-41FE-A600-679786CF8C10}"/>
    <cellStyle name="Normal 2 2 2 6 2" xfId="22002" xr:uid="{7AF95AEA-D31D-46C4-A573-52B7001964E3}"/>
    <cellStyle name="Normal 2 2 2 60" xfId="22003" xr:uid="{F9FF9343-6A49-4617-A298-0ACD61B6F219}"/>
    <cellStyle name="Normal 2 2 2 60 2" xfId="22004" xr:uid="{D16745B9-33EE-4E68-BEF4-545E067ECE20}"/>
    <cellStyle name="Normal 2 2 2 60 3" xfId="22005" xr:uid="{A1FF77E1-A315-4DD6-AB54-152765D4D96A}"/>
    <cellStyle name="Normal 2 2 2 60 4" xfId="22006" xr:uid="{3DDC820A-8D73-435E-9D16-C91761E5D67E}"/>
    <cellStyle name="Normal 2 2 2 60 5" xfId="22007" xr:uid="{BC6E096E-1032-4F02-8C81-6FBC8773837D}"/>
    <cellStyle name="Normal 2 2 2 60 6" xfId="22008" xr:uid="{8856922A-9C52-47D7-83DA-F59AF51DF600}"/>
    <cellStyle name="Normal 2 2 2 61" xfId="22009" xr:uid="{0CA48A15-AF78-4102-989C-2AAD7348355A}"/>
    <cellStyle name="Normal 2 2 2 61 2" xfId="22010" xr:uid="{82609B98-21DD-43A6-A483-BB86A1928FF8}"/>
    <cellStyle name="Normal 2 2 2 61 3" xfId="22011" xr:uid="{F8F66F89-3C89-4AAF-96E5-60D4A42968A4}"/>
    <cellStyle name="Normal 2 2 2 61 4" xfId="22012" xr:uid="{432C96BB-3A7D-40D9-A69F-7886C9F4AE32}"/>
    <cellStyle name="Normal 2 2 2 61 5" xfId="22013" xr:uid="{1C7879F8-9C2E-44EC-8C63-702B08549648}"/>
    <cellStyle name="Normal 2 2 2 61 6" xfId="22014" xr:uid="{A4823E5B-2016-4959-8977-E55A4E594146}"/>
    <cellStyle name="Normal 2 2 2 62" xfId="22015" xr:uid="{BC0B297B-F4BF-4CDC-8B79-1C12261BE464}"/>
    <cellStyle name="Normal 2 2 2 62 2" xfId="22016" xr:uid="{FAA888DC-21E1-4080-9115-CEC420F5D0F1}"/>
    <cellStyle name="Normal 2 2 2 62 3" xfId="22017" xr:uid="{71D03698-94F7-4C17-AB40-2A5E1AEC26F9}"/>
    <cellStyle name="Normal 2 2 2 62 4" xfId="22018" xr:uid="{418A5031-2075-43FD-89B3-187A813B78EC}"/>
    <cellStyle name="Normal 2 2 2 62 5" xfId="22019" xr:uid="{3C1C4E8A-BA0E-4C7B-B834-C65C5CDBCA57}"/>
    <cellStyle name="Normal 2 2 2 62 6" xfId="22020" xr:uid="{EBDA083C-6F17-483D-9242-C2ECF9E156D0}"/>
    <cellStyle name="Normal 2 2 2 63" xfId="22021" xr:uid="{B2AE94C8-1771-4EC6-80F1-80955EF0E7A2}"/>
    <cellStyle name="Normal 2 2 2 63 2" xfId="22022" xr:uid="{ECE3E71B-9636-4621-8277-2B6B9E5E92EC}"/>
    <cellStyle name="Normal 2 2 2 63 3" xfId="22023" xr:uid="{F7127D62-5B2C-498A-A9C3-0264F4407D33}"/>
    <cellStyle name="Normal 2 2 2 63 4" xfId="22024" xr:uid="{8FFC810F-100B-42F4-A3EA-63249574F5CE}"/>
    <cellStyle name="Normal 2 2 2 63 5" xfId="22025" xr:uid="{ACB7E51D-6419-435E-8754-0F7B0CBF8A05}"/>
    <cellStyle name="Normal 2 2 2 63 6" xfId="22026" xr:uid="{9D10EB7A-E489-4D5F-9CCE-8570C1673D71}"/>
    <cellStyle name="Normal 2 2 2 64" xfId="22027" xr:uid="{5D249464-E702-40CB-83E5-E522DB73811C}"/>
    <cellStyle name="Normal 2 2 2 64 2" xfId="22028" xr:uid="{8ECE552F-58AC-4872-A928-730C0C45A515}"/>
    <cellStyle name="Normal 2 2 2 64 3" xfId="22029" xr:uid="{BA0D776A-51C7-483E-BAF4-881395EAE0D8}"/>
    <cellStyle name="Normal 2 2 2 64 4" xfId="22030" xr:uid="{4928E555-42F8-4987-A69C-69F4294E51F6}"/>
    <cellStyle name="Normal 2 2 2 64 5" xfId="22031" xr:uid="{03E4DF74-B856-48CB-841A-96A8573B15FB}"/>
    <cellStyle name="Normal 2 2 2 64 6" xfId="22032" xr:uid="{618AEB65-EC23-487F-B17A-479EEDEC8228}"/>
    <cellStyle name="Normal 2 2 2 65" xfId="22033" xr:uid="{0E2DFCE3-E7C0-4AC6-953C-920601BC4876}"/>
    <cellStyle name="Normal 2 2 2 65 2" xfId="22034" xr:uid="{DD683E2B-3A08-49E7-B951-DA58343EEB9F}"/>
    <cellStyle name="Normal 2 2 2 65 3" xfId="22035" xr:uid="{CB7D6194-48EA-4FA9-950C-05B121D5C563}"/>
    <cellStyle name="Normal 2 2 2 65 4" xfId="22036" xr:uid="{418CA8C8-D0A1-40B0-BA6A-A32910197F8D}"/>
    <cellStyle name="Normal 2 2 2 65 5" xfId="22037" xr:uid="{4177066C-75C5-4E35-94E2-568722D94919}"/>
    <cellStyle name="Normal 2 2 2 65 6" xfId="22038" xr:uid="{25CA46CA-F1FD-4391-BE7A-B94F53F54FFA}"/>
    <cellStyle name="Normal 2 2 2 66" xfId="22039" xr:uid="{9922EC32-44B7-4291-9186-C479ED51B790}"/>
    <cellStyle name="Normal 2 2 2 66 2" xfId="22040" xr:uid="{4C50A822-5917-4DC7-9612-83ED073FF0AB}"/>
    <cellStyle name="Normal 2 2 2 66 3" xfId="22041" xr:uid="{0D40C213-4A4D-4819-A428-F179175DC88B}"/>
    <cellStyle name="Normal 2 2 2 66 4" xfId="22042" xr:uid="{8713C734-69F2-49D1-93FC-550A894DD97A}"/>
    <cellStyle name="Normal 2 2 2 66 5" xfId="22043" xr:uid="{F37CA712-48BB-4645-B0B5-AF31EEA88ACF}"/>
    <cellStyle name="Normal 2 2 2 66 6" xfId="22044" xr:uid="{BB7630E1-8C88-4505-AC88-263D12C5B651}"/>
    <cellStyle name="Normal 2 2 2 67" xfId="22045" xr:uid="{1ABB4B06-3560-4724-B2D5-CFEA01783FA3}"/>
    <cellStyle name="Normal 2 2 2 67 2" xfId="22046" xr:uid="{D84E90F1-2774-47B8-9312-1E7CF71A7091}"/>
    <cellStyle name="Normal 2 2 2 67 3" xfId="22047" xr:uid="{6E33665A-24C6-4263-8B15-730A82939B58}"/>
    <cellStyle name="Normal 2 2 2 67 4" xfId="22048" xr:uid="{71012E27-6BD0-4E0C-A4E0-87CC469DB7D2}"/>
    <cellStyle name="Normal 2 2 2 67 5" xfId="22049" xr:uid="{D87481A1-FF33-43D3-BD51-42F137BEFDF5}"/>
    <cellStyle name="Normal 2 2 2 67 6" xfId="22050" xr:uid="{917E49D1-092D-4744-B864-D1F9A3FE38C3}"/>
    <cellStyle name="Normal 2 2 2 68" xfId="22051" xr:uid="{CA9D258A-E293-4A24-89E0-A93913A342D6}"/>
    <cellStyle name="Normal 2 2 2 68 2" xfId="22052" xr:uid="{EB476003-729C-4402-AE09-448337B72F8E}"/>
    <cellStyle name="Normal 2 2 2 68 3" xfId="22053" xr:uid="{53944426-D667-4346-ABE9-DC38C14F15D1}"/>
    <cellStyle name="Normal 2 2 2 68 4" xfId="22054" xr:uid="{5E75B0B4-4375-4B11-B95B-32CE28C95F0A}"/>
    <cellStyle name="Normal 2 2 2 68 5" xfId="22055" xr:uid="{4F637C52-8439-48E4-BBA1-701349BF9CD4}"/>
    <cellStyle name="Normal 2 2 2 68 6" xfId="22056" xr:uid="{944F54E0-A75E-4195-959F-703DEBA059EC}"/>
    <cellStyle name="Normal 2 2 2 69" xfId="22057" xr:uid="{FFAB64C6-7AFB-45B7-927B-D3437E056033}"/>
    <cellStyle name="Normal 2 2 2 69 2" xfId="22058" xr:uid="{5158CB5E-E1D4-43AE-8D69-713781D2257E}"/>
    <cellStyle name="Normal 2 2 2 69 3" xfId="22059" xr:uid="{6092D918-CC5C-4F52-9DC6-688CE1EA6591}"/>
    <cellStyle name="Normal 2 2 2 69 4" xfId="22060" xr:uid="{CBF83A51-D070-4B03-B7F2-D75F3C58AAC3}"/>
    <cellStyle name="Normal 2 2 2 69 5" xfId="22061" xr:uid="{02655F52-C99A-447B-B4AA-754DBEA7C82C}"/>
    <cellStyle name="Normal 2 2 2 69 6" xfId="22062" xr:uid="{26436DEF-0613-4D6B-8E1F-A110F199C17B}"/>
    <cellStyle name="Normal 2 2 2 7" xfId="22063" xr:uid="{C4B194E0-777D-42F2-B071-AB1649BDA486}"/>
    <cellStyle name="Normal 2 2 2 7 2" xfId="22064" xr:uid="{17AB9428-4772-4314-BEA4-8EE71C744A33}"/>
    <cellStyle name="Normal 2 2 2 70" xfId="22065" xr:uid="{DB8C556C-BEE5-4A9D-BA60-505F005177E7}"/>
    <cellStyle name="Normal 2 2 2 70 2" xfId="22066" xr:uid="{CA47162C-DB54-4D60-AB1E-8C08B7329477}"/>
    <cellStyle name="Normal 2 2 2 70 3" xfId="22067" xr:uid="{62068FF7-7B1D-4860-96C2-EC8ECCFBE8CF}"/>
    <cellStyle name="Normal 2 2 2 70 4" xfId="22068" xr:uid="{653E2D04-8E1F-4DD0-A429-2B90817A47BA}"/>
    <cellStyle name="Normal 2 2 2 70 5" xfId="22069" xr:uid="{883F7667-B75F-4CB0-955A-845592D7DBFC}"/>
    <cellStyle name="Normal 2 2 2 70 6" xfId="22070" xr:uid="{649C1744-2B7C-4156-9892-19AAE335EDF3}"/>
    <cellStyle name="Normal 2 2 2 71" xfId="22071" xr:uid="{B39B2ED5-3A23-4066-89B5-C96913F28D56}"/>
    <cellStyle name="Normal 2 2 2 71 2" xfId="22072" xr:uid="{0AF3B278-8FF8-4456-8F97-52B8910B098B}"/>
    <cellStyle name="Normal 2 2 2 71 3" xfId="22073" xr:uid="{721824FC-9EC7-495C-8AD3-87FE72F451C7}"/>
    <cellStyle name="Normal 2 2 2 71 4" xfId="22074" xr:uid="{602886EC-2D47-4E8D-9BC7-9F59CFD7C7A1}"/>
    <cellStyle name="Normal 2 2 2 71 5" xfId="22075" xr:uid="{37223E8C-D2F9-4CA9-BB7B-4A2D93B6024B}"/>
    <cellStyle name="Normal 2 2 2 71 6" xfId="22076" xr:uid="{68D237E8-FDC2-4F23-BBCF-430F166FC9C0}"/>
    <cellStyle name="Normal 2 2 2 72" xfId="22077" xr:uid="{70C28385-7D0C-4D91-B32E-19BEFA3B7863}"/>
    <cellStyle name="Normal 2 2 2 72 2" xfId="22078" xr:uid="{1BC2033A-EA4D-4A01-BE29-30507D52E24B}"/>
    <cellStyle name="Normal 2 2 2 72 3" xfId="22079" xr:uid="{F5C3F1F0-9C40-47D1-9072-7455A4686A16}"/>
    <cellStyle name="Normal 2 2 2 72 4" xfId="22080" xr:uid="{AFBF2057-C961-4375-91A4-AD41B31BF11F}"/>
    <cellStyle name="Normal 2 2 2 72 5" xfId="22081" xr:uid="{26B4DF4A-00A6-4988-AD54-DA1062020D99}"/>
    <cellStyle name="Normal 2 2 2 72 6" xfId="22082" xr:uid="{2400AC6B-624A-45C7-9FF9-EEEA0C7491FF}"/>
    <cellStyle name="Normal 2 2 2 73" xfId="22083" xr:uid="{FED2B341-60C5-4E9E-9E5B-C170CD90324E}"/>
    <cellStyle name="Normal 2 2 2 73 2" xfId="22084" xr:uid="{5502F29C-CD59-4A11-AA11-522AE9AA39AA}"/>
    <cellStyle name="Normal 2 2 2 73 3" xfId="22085" xr:uid="{73BC5F1E-BCE4-4859-9B00-3D3B93495BEA}"/>
    <cellStyle name="Normal 2 2 2 73 4" xfId="22086" xr:uid="{308FCE5C-060F-42B5-876F-F37414A9C60D}"/>
    <cellStyle name="Normal 2 2 2 73 5" xfId="22087" xr:uid="{7225CB28-FD38-4042-8218-3C2169CE419C}"/>
    <cellStyle name="Normal 2 2 2 73 6" xfId="22088" xr:uid="{D90AC689-7952-40E8-ABBD-55EBCC2471DA}"/>
    <cellStyle name="Normal 2 2 2 74" xfId="22089" xr:uid="{594682AB-A285-49C0-8A19-18ACF3CBABD5}"/>
    <cellStyle name="Normal 2 2 2 74 2" xfId="22090" xr:uid="{9ABB5263-28C0-4FB2-A421-F6BF7E8443F1}"/>
    <cellStyle name="Normal 2 2 2 74 3" xfId="22091" xr:uid="{A75FB456-10ED-4F7B-8CB6-74211615D8E4}"/>
    <cellStyle name="Normal 2 2 2 74 4" xfId="22092" xr:uid="{E152BE35-FCC9-44FD-BC89-1BE02F38C4D4}"/>
    <cellStyle name="Normal 2 2 2 74 5" xfId="22093" xr:uid="{78D17AD8-55A3-4221-8754-79FF2D2986B3}"/>
    <cellStyle name="Normal 2 2 2 74 6" xfId="22094" xr:uid="{6E9881B9-62F9-4D67-BB98-927091DE68AA}"/>
    <cellStyle name="Normal 2 2 2 75" xfId="22095" xr:uid="{B459964F-B02B-41C7-BF12-1290263FA18C}"/>
    <cellStyle name="Normal 2 2 2 75 2" xfId="22096" xr:uid="{C081B78F-ACB3-4F43-8F34-C7B88157A4F2}"/>
    <cellStyle name="Normal 2 2 2 75 3" xfId="22097" xr:uid="{E58C686F-18EA-4931-BB5B-676E91D52EBF}"/>
    <cellStyle name="Normal 2 2 2 75 4" xfId="22098" xr:uid="{4AFD1FE3-2E01-4E2E-A16A-2A6A12F09795}"/>
    <cellStyle name="Normal 2 2 2 75 5" xfId="22099" xr:uid="{32EC0541-DD97-48D3-A5D7-8E2C51D7A6FE}"/>
    <cellStyle name="Normal 2 2 2 75 6" xfId="22100" xr:uid="{F781EEAE-CDED-4467-9CCA-DCA307ABA0F2}"/>
    <cellStyle name="Normal 2 2 2 76" xfId="22101" xr:uid="{D5CA2E84-5AE7-481E-85E0-9DCAC44890A9}"/>
    <cellStyle name="Normal 2 2 2 76 2" xfId="22102" xr:uid="{CE7B63ED-CF42-4273-9245-302D1DED4B3A}"/>
    <cellStyle name="Normal 2 2 2 76 2 2" xfId="22103" xr:uid="{F578C64E-9186-401E-9DA1-3ABC610C87B8}"/>
    <cellStyle name="Normal 2 2 2 76 2 3" xfId="22104" xr:uid="{9B344F36-D5C2-471E-8353-C19F2859E6DA}"/>
    <cellStyle name="Normal 2 2 2 76 2 4" xfId="22105" xr:uid="{AA2D1F46-49E9-42BE-A543-097E00E71C7C}"/>
    <cellStyle name="Normal 2 2 2 76 2 5" xfId="22106" xr:uid="{7523313F-279A-4719-84EE-3459D04DE333}"/>
    <cellStyle name="Normal 2 2 2 76 2 6" xfId="22107" xr:uid="{FED07A90-DC2A-4CAE-BB5A-0A89A857C8E0}"/>
    <cellStyle name="Normal 2 2 2 77" xfId="22108" xr:uid="{27575A8E-771B-4A0A-BD71-6AA9A8981750}"/>
    <cellStyle name="Normal 2 2 2 77 10" xfId="22109" xr:uid="{EA9A2B7B-E2B1-4784-A43B-D159680D8676}"/>
    <cellStyle name="Normal 2 2 2 77 11" xfId="22110" xr:uid="{CB268F37-9C8F-401B-89E2-473086D807EC}"/>
    <cellStyle name="Normal 2 2 2 77 2" xfId="22111" xr:uid="{F887058E-0EEE-4FF2-9350-B3ECD3BEFBAD}"/>
    <cellStyle name="Normal 2 2 2 77 2 2" xfId="22112" xr:uid="{C2ECD492-C5A0-41EC-BC86-AD751A9787A4}"/>
    <cellStyle name="Normal 2 2 2 77 2 2 2" xfId="22113" xr:uid="{2C5392FB-C04D-4199-AE96-C4531B97FD6C}"/>
    <cellStyle name="Normal 2 2 2 77 2 2 3" xfId="22114" xr:uid="{435B89AE-CF60-4577-934B-07DC0AB491AC}"/>
    <cellStyle name="Normal 2 2 2 77 2 3" xfId="22115" xr:uid="{6D4E728C-BBDF-463A-A4D2-5EA5807F7DAC}"/>
    <cellStyle name="Normal 2 2 2 77 2 4" xfId="22116" xr:uid="{DA302462-0870-4ADD-B0E3-B34974EA4120}"/>
    <cellStyle name="Normal 2 2 2 77 2 5" xfId="22117" xr:uid="{8221571C-4D2C-4E80-89C6-6377720D5FEE}"/>
    <cellStyle name="Normal 2 2 2 77 2 6" xfId="22118" xr:uid="{D90DE806-0155-4B7F-8975-17A31420AAC9}"/>
    <cellStyle name="Normal 2 2 2 77 2 7" xfId="22119" xr:uid="{83FA95E5-FC3D-4C7A-B2A7-2FF1F6A6E60E}"/>
    <cellStyle name="Normal 2 2 2 77 2 8" xfId="22120" xr:uid="{4871FEC2-0E10-43BC-A4AF-DD876DF40991}"/>
    <cellStyle name="Normal 2 2 2 77 2 9" xfId="22121" xr:uid="{2FCE4136-5F53-452E-BB6E-D67D73353DD3}"/>
    <cellStyle name="Normal 2 2 2 77 3" xfId="22122" xr:uid="{9C2B9911-4E45-4035-BFB4-72E255D84040}"/>
    <cellStyle name="Normal 2 2 2 77 4" xfId="22123" xr:uid="{9C4BBE1D-1DAB-45D3-B4D7-E4DC4BBA4BD4}"/>
    <cellStyle name="Normal 2 2 2 77 5" xfId="22124" xr:uid="{B4ABC6A9-C658-4AD2-8DCE-B5745ABFF927}"/>
    <cellStyle name="Normal 2 2 2 77 5 2" xfId="22125" xr:uid="{D9812477-3028-433F-8FD1-344747DD90B7}"/>
    <cellStyle name="Normal 2 2 2 77 5 3" xfId="22126" xr:uid="{6BDE2F32-2CD9-4C08-A0FE-FBFD73D36657}"/>
    <cellStyle name="Normal 2 2 2 77 6" xfId="22127" xr:uid="{3868BB78-ED8B-424B-A966-E3C4BCDBC541}"/>
    <cellStyle name="Normal 2 2 2 77 7" xfId="22128" xr:uid="{3190AB9E-6B9C-44A3-B583-5054F071F2F7}"/>
    <cellStyle name="Normal 2 2 2 77 8" xfId="22129" xr:uid="{F8E12BBE-16C6-42DA-BB0C-728387B9EB18}"/>
    <cellStyle name="Normal 2 2 2 77 9" xfId="22130" xr:uid="{9756F875-164E-4D7B-A254-ED17635A8916}"/>
    <cellStyle name="Normal 2 2 2 78" xfId="22131" xr:uid="{65E92A9B-FFFB-4F9A-BD01-7C0CC0769E6D}"/>
    <cellStyle name="Normal 2 2 2 79" xfId="22132" xr:uid="{6211E83D-8E72-464A-8821-1B7359646738}"/>
    <cellStyle name="Normal 2 2 2 8" xfId="22133" xr:uid="{D9F5F777-0B98-4974-8181-8FBBFEFC9929}"/>
    <cellStyle name="Normal 2 2 2 8 2" xfId="22134" xr:uid="{1605CD37-DC4D-4EE5-9B22-E450BA560902}"/>
    <cellStyle name="Normal 2 2 2 80" xfId="22135" xr:uid="{BA439CB0-0A52-4AA6-8B75-531514513953}"/>
    <cellStyle name="Normal 2 2 2 80 2" xfId="22136" xr:uid="{B5A5027F-E79E-4686-BCFF-A3205EB89406}"/>
    <cellStyle name="Normal 2 2 2 80 2 2" xfId="22137" xr:uid="{50A16557-84CE-469B-916E-0B3A41EAAF3D}"/>
    <cellStyle name="Normal 2 2 2 80 2 3" xfId="22138" xr:uid="{02FFB3D1-E773-49CC-8BE0-62C5665D0D0A}"/>
    <cellStyle name="Normal 2 2 2 80 3" xfId="22139" xr:uid="{9DEE686E-266C-4CA1-9B88-23C90A723679}"/>
    <cellStyle name="Normal 2 2 2 80 4" xfId="22140" xr:uid="{3D167683-FB88-42FB-ABDD-6681FB1CD593}"/>
    <cellStyle name="Normal 2 2 2 80 5" xfId="22141" xr:uid="{0535E27F-9FF9-4C97-B55A-32E622B53F6E}"/>
    <cellStyle name="Normal 2 2 2 80 6" xfId="22142" xr:uid="{846CEE83-51AF-4809-BD05-BE66BE61C3F9}"/>
    <cellStyle name="Normal 2 2 2 80 7" xfId="22143" xr:uid="{81BAE77E-21E3-4909-B2FA-D4083A91048F}"/>
    <cellStyle name="Normal 2 2 2 80 8" xfId="22144" xr:uid="{FFC85786-082F-4262-823D-92D02270DEA1}"/>
    <cellStyle name="Normal 2 2 2 80 9" xfId="22145" xr:uid="{2AF0A332-5DC5-4CAC-8B7E-1CFBAE7079D7}"/>
    <cellStyle name="Normal 2 2 2 81" xfId="22146" xr:uid="{9DA1BFB2-57F8-44FD-88F5-87018A652536}"/>
    <cellStyle name="Normal 2 2 2 82" xfId="22147" xr:uid="{B5D0C729-0F3F-4A47-B7BB-DA8A0FE84C38}"/>
    <cellStyle name="Normal 2 2 2 82 2" xfId="22148" xr:uid="{3D317DDC-87CC-442B-AAFD-10240FDC5041}"/>
    <cellStyle name="Normal 2 2 2 82 3" xfId="22149" xr:uid="{A15FD0F3-E034-4475-A793-D29818F25CDA}"/>
    <cellStyle name="Normal 2 2 2 83" xfId="22150" xr:uid="{68670F10-8B34-48F6-B139-64481BF9B684}"/>
    <cellStyle name="Normal 2 2 2 84" xfId="22151" xr:uid="{57313F98-87EF-4B37-BA52-A8879243FF5C}"/>
    <cellStyle name="Normal 2 2 2 85" xfId="22152" xr:uid="{0DC9C81A-DCE7-4C73-AEFE-D464C9D05168}"/>
    <cellStyle name="Normal 2 2 2 86" xfId="22153" xr:uid="{90A4E3EE-9409-4AD3-AE36-44A96EA1CD7F}"/>
    <cellStyle name="Normal 2 2 2 87" xfId="22154" xr:uid="{CCE17943-11CE-4BA5-957B-F381DB802AC6}"/>
    <cellStyle name="Normal 2 2 2 88" xfId="22155" xr:uid="{E99ECE90-CCEE-4FAA-A81C-FAF79818FA6A}"/>
    <cellStyle name="Normal 2 2 2 89" xfId="22156" xr:uid="{20E09F3A-2FD8-4664-84FC-97F2D37AF003}"/>
    <cellStyle name="Normal 2 2 2 9" xfId="22157" xr:uid="{366249D2-F67C-40B0-BC55-4AC6B81F6B0D}"/>
    <cellStyle name="Normal 2 2 2 9 10" xfId="22158" xr:uid="{E41BDFDB-6912-400C-9814-FCD714D11646}"/>
    <cellStyle name="Normal 2 2 2 9 11" xfId="22159" xr:uid="{CD6E28D2-3EB4-4965-9228-8554BCA39297}"/>
    <cellStyle name="Normal 2 2 2 9 12" xfId="22160" xr:uid="{24EF1794-88C5-4F33-9F49-647D5801B706}"/>
    <cellStyle name="Normal 2 2 2 9 13" xfId="22161" xr:uid="{7E51882B-92EB-4FCF-9068-CE8B091C06CF}"/>
    <cellStyle name="Normal 2 2 2 9 14" xfId="22162" xr:uid="{C4584E7B-5E10-4ADC-93F8-68F05DA253D1}"/>
    <cellStyle name="Normal 2 2 2 9 15" xfId="22163" xr:uid="{87EDF8F0-09C6-4C66-84D7-8A1CDCFBFAC7}"/>
    <cellStyle name="Normal 2 2 2 9 16" xfId="22164" xr:uid="{51E27E35-4755-4FFB-8470-E6C2FD1EE9B5}"/>
    <cellStyle name="Normal 2 2 2 9 17" xfId="22165" xr:uid="{9BD7D64B-9E6F-4D1A-ADE0-BB44980C9999}"/>
    <cellStyle name="Normal 2 2 2 9 18" xfId="22166" xr:uid="{D09CC62E-DB28-4D61-B408-C84140E222DE}"/>
    <cellStyle name="Normal 2 2 2 9 19" xfId="22167" xr:uid="{EDFF6B01-027F-49D1-B2A0-1674476D1843}"/>
    <cellStyle name="Normal 2 2 2 9 2" xfId="22168" xr:uid="{BA14EF6D-A38A-4731-913E-BCB815A09A9E}"/>
    <cellStyle name="Normal 2 2 2 9 2 10" xfId="22169" xr:uid="{EDB7A1A2-4DB7-4757-BFA3-EC958BE0447C}"/>
    <cellStyle name="Normal 2 2 2 9 2 11" xfId="22170" xr:uid="{512FBBA8-18B3-4F48-95C5-626E18C19D07}"/>
    <cellStyle name="Normal 2 2 2 9 2 12" xfId="22171" xr:uid="{A33FD4B1-CC56-4E67-8A07-497663DB3680}"/>
    <cellStyle name="Normal 2 2 2 9 2 13" xfId="22172" xr:uid="{C3CC86AB-DA16-4D5F-9A97-8DA937D38CE4}"/>
    <cellStyle name="Normal 2 2 2 9 2 2" xfId="22173" xr:uid="{7CDC74E1-3ED7-4E77-A800-3AB3F1CB6E7F}"/>
    <cellStyle name="Normal 2 2 2 9 2 2 2" xfId="22174" xr:uid="{CFEF58FA-B81E-4598-A8B6-3CBE20847A5B}"/>
    <cellStyle name="Normal 2 2 2 9 2 2 3" xfId="22175" xr:uid="{58FE7C55-3D48-40D4-97D6-C0DCA2F0FCE8}"/>
    <cellStyle name="Normal 2 2 2 9 2 2 4" xfId="22176" xr:uid="{E6B02EA7-E43B-4F77-A5C9-A46599C64863}"/>
    <cellStyle name="Normal 2 2 2 9 2 2 5" xfId="22177" xr:uid="{14722D12-6728-464C-B41A-97639A704EB4}"/>
    <cellStyle name="Normal 2 2 2 9 2 2 6" xfId="22178" xr:uid="{A8AC6B23-D989-457B-B094-09E6C5BEFEAF}"/>
    <cellStyle name="Normal 2 2 2 9 2 3" xfId="22179" xr:uid="{DC9DC400-1336-4651-8520-E6A0CC666E79}"/>
    <cellStyle name="Normal 2 2 2 9 2 3 2" xfId="22180" xr:uid="{187D6D86-8561-4976-B756-288826CC21D4}"/>
    <cellStyle name="Normal 2 2 2 9 2 3 3" xfId="22181" xr:uid="{E31C7ED7-C6C0-4A15-A7E3-26DA0564CFCF}"/>
    <cellStyle name="Normal 2 2 2 9 2 3 4" xfId="22182" xr:uid="{964C5117-FBF9-4422-8F6E-965B6BFA4A11}"/>
    <cellStyle name="Normal 2 2 2 9 2 3 5" xfId="22183" xr:uid="{78A11151-C33B-4838-A0E3-88CE5DEC1BC5}"/>
    <cellStyle name="Normal 2 2 2 9 2 3 6" xfId="22184" xr:uid="{EB0016DA-F93B-4813-92A0-3824489E1B60}"/>
    <cellStyle name="Normal 2 2 2 9 2 4" xfId="22185" xr:uid="{459E33CB-2889-4240-A746-76411CEDEBB0}"/>
    <cellStyle name="Normal 2 2 2 9 2 4 2" xfId="22186" xr:uid="{6DEE152C-9CFF-4119-9D0E-C04FEE2A158C}"/>
    <cellStyle name="Normal 2 2 2 9 2 4 3" xfId="22187" xr:uid="{8AC5201B-8F85-4570-804F-DD0E4BDFD709}"/>
    <cellStyle name="Normal 2 2 2 9 2 4 4" xfId="22188" xr:uid="{E7104591-8649-4B04-8C3C-92DC55BCC579}"/>
    <cellStyle name="Normal 2 2 2 9 2 4 5" xfId="22189" xr:uid="{F47D4576-39F1-492C-BE58-780295692E23}"/>
    <cellStyle name="Normal 2 2 2 9 2 4 6" xfId="22190" xr:uid="{C5B130CB-DFA5-40AF-8639-FDCABB2D9D85}"/>
    <cellStyle name="Normal 2 2 2 9 2 5" xfId="22191" xr:uid="{CA162788-D9B3-452E-BD61-BE700F9A5CD6}"/>
    <cellStyle name="Normal 2 2 2 9 2 5 2" xfId="22192" xr:uid="{E5C018EF-50D8-4C4D-9694-D717E4114933}"/>
    <cellStyle name="Normal 2 2 2 9 2 5 3" xfId="22193" xr:uid="{6EFE2A62-BA66-421C-A54F-B2241110663F}"/>
    <cellStyle name="Normal 2 2 2 9 2 5 4" xfId="22194" xr:uid="{004FDB2D-30A8-4C22-AA9E-DD97F05C419F}"/>
    <cellStyle name="Normal 2 2 2 9 2 5 5" xfId="22195" xr:uid="{E816C57C-09A0-4553-85CA-E70FF966BA9E}"/>
    <cellStyle name="Normal 2 2 2 9 2 5 6" xfId="22196" xr:uid="{D773EC82-9BD1-4ED4-81FC-860B323E55EF}"/>
    <cellStyle name="Normal 2 2 2 9 2 6" xfId="22197" xr:uid="{E48FF069-221B-4AD7-AA75-4BB34D22D1ED}"/>
    <cellStyle name="Normal 2 2 2 9 2 6 2" xfId="22198" xr:uid="{FFC88CED-8D17-48C5-AAB7-08FD49C092FB}"/>
    <cellStyle name="Normal 2 2 2 9 2 6 3" xfId="22199" xr:uid="{1A91D143-C587-4F9F-BA99-6FEADC7178A0}"/>
    <cellStyle name="Normal 2 2 2 9 2 6 4" xfId="22200" xr:uid="{D7B1F1B2-8506-4C4A-BCBD-AD9CE44ED340}"/>
    <cellStyle name="Normal 2 2 2 9 2 6 5" xfId="22201" xr:uid="{A73527E7-69A1-45EC-A6F7-076C63B3D889}"/>
    <cellStyle name="Normal 2 2 2 9 2 6 6" xfId="22202" xr:uid="{845E5E4F-CFF8-40E1-B460-E552449B0685}"/>
    <cellStyle name="Normal 2 2 2 9 2 7" xfId="22203" xr:uid="{2BC18BE3-C070-4A84-AA3C-0DF73B799A51}"/>
    <cellStyle name="Normal 2 2 2 9 2 7 2" xfId="22204" xr:uid="{2EBF9CBF-F310-4FB9-AA5D-EF4AC513631B}"/>
    <cellStyle name="Normal 2 2 2 9 2 7 3" xfId="22205" xr:uid="{F9171217-4CAC-49CD-88C8-7DCCD096354C}"/>
    <cellStyle name="Normal 2 2 2 9 2 7 4" xfId="22206" xr:uid="{EB6E8CF1-E98F-4D39-93DA-77C056C414D4}"/>
    <cellStyle name="Normal 2 2 2 9 2 7 5" xfId="22207" xr:uid="{59C9BF95-BCF0-4285-B0AF-B05FACF116AB}"/>
    <cellStyle name="Normal 2 2 2 9 2 7 6" xfId="22208" xr:uid="{DA79A1C7-85A3-4139-8496-BC59933DBF1D}"/>
    <cellStyle name="Normal 2 2 2 9 2 8" xfId="22209" xr:uid="{26F35BF9-D3C7-4E10-9E29-D6CCF6BA8A06}"/>
    <cellStyle name="Normal 2 2 2 9 2 8 2" xfId="22210" xr:uid="{8DCB9598-4AAF-47F4-B8A9-E2C6478CAC1C}"/>
    <cellStyle name="Normal 2 2 2 9 2 8 3" xfId="22211" xr:uid="{2DF9B3A0-FCED-4685-B205-BC4C439C090D}"/>
    <cellStyle name="Normal 2 2 2 9 2 8 4" xfId="22212" xr:uid="{2C4FAEBF-9495-4CBC-A2D2-B31B1A9E8CA6}"/>
    <cellStyle name="Normal 2 2 2 9 2 8 5" xfId="22213" xr:uid="{25A57EC2-F1FC-40EF-96E9-79223B8545BA}"/>
    <cellStyle name="Normal 2 2 2 9 2 8 6" xfId="22214" xr:uid="{C35129E6-9B88-4246-8047-3CF958D9E349}"/>
    <cellStyle name="Normal 2 2 2 9 2 9" xfId="22215" xr:uid="{64B6E47F-7274-41C2-98D6-3961E752F4BA}"/>
    <cellStyle name="Normal 2 2 2 9 20" xfId="22216" xr:uid="{2128C9DA-DBF9-4816-A9FA-616240D7EFCE}"/>
    <cellStyle name="Normal 2 2 2 9 21" xfId="22217" xr:uid="{9667A563-50AC-4E2C-BB1C-35B95B1061B6}"/>
    <cellStyle name="Normal 2 2 2 9 22" xfId="22218" xr:uid="{CA43A20A-CACB-4603-A86A-4AA5A52BCA4D}"/>
    <cellStyle name="Normal 2 2 2 9 23" xfId="22219" xr:uid="{3267AC95-5441-4BB9-85CC-20DA84E795B9}"/>
    <cellStyle name="Normal 2 2 2 9 24" xfId="22220" xr:uid="{E2753A57-7F55-4BB1-A2D0-7C42677E95BD}"/>
    <cellStyle name="Normal 2 2 2 9 25" xfId="22221" xr:uid="{0BC3BEBB-DE30-4381-BF33-C55FE2480E74}"/>
    <cellStyle name="Normal 2 2 2 9 26" xfId="22222" xr:uid="{6EE1429F-52A1-4FC8-B6CE-BD56787FBD08}"/>
    <cellStyle name="Normal 2 2 2 9 27" xfId="22223" xr:uid="{0EF96C21-04DC-4AAC-B038-F5240A640C4E}"/>
    <cellStyle name="Normal 2 2 2 9 28" xfId="22224" xr:uid="{2D030A0E-0CA2-40D1-8C52-ED8EB134082B}"/>
    <cellStyle name="Normal 2 2 2 9 29" xfId="22225" xr:uid="{6F2D7D2B-1EF0-4268-9CFF-E1A0B7048E86}"/>
    <cellStyle name="Normal 2 2 2 9 3" xfId="22226" xr:uid="{B91AB950-9C9D-4901-AC14-31E33B6D0592}"/>
    <cellStyle name="Normal 2 2 2 9 3 10" xfId="22227" xr:uid="{AA244EA7-A6C0-4C40-81A3-D76BE9E67AF1}"/>
    <cellStyle name="Normal 2 2 2 9 3 11" xfId="22228" xr:uid="{2EE0B57F-ED80-41A8-A795-792E1B7A3441}"/>
    <cellStyle name="Normal 2 2 2 9 3 12" xfId="22229" xr:uid="{FE7036D4-51F4-438F-8D69-52CD18BC3F51}"/>
    <cellStyle name="Normal 2 2 2 9 3 13" xfId="22230" xr:uid="{9C2054A0-FFD7-4C4E-AC7E-ABBC47E8053D}"/>
    <cellStyle name="Normal 2 2 2 9 3 2" xfId="22231" xr:uid="{6711DB43-1E85-4998-AE26-1E10775D18E2}"/>
    <cellStyle name="Normal 2 2 2 9 3 2 2" xfId="22232" xr:uid="{019D6CC9-846C-4E7A-9422-65FAE2012CAD}"/>
    <cellStyle name="Normal 2 2 2 9 3 2 3" xfId="22233" xr:uid="{0C555A89-53DA-4C77-BB87-C7CB18DE92DE}"/>
    <cellStyle name="Normal 2 2 2 9 3 2 4" xfId="22234" xr:uid="{DB2BBE56-51E9-45FE-91A1-F39CBC5BD9E8}"/>
    <cellStyle name="Normal 2 2 2 9 3 2 5" xfId="22235" xr:uid="{43053AE0-A8C8-41EC-9DD9-AA6CA006C069}"/>
    <cellStyle name="Normal 2 2 2 9 3 2 6" xfId="22236" xr:uid="{0116BB1B-0D75-44ED-BD21-BAEF6022CF86}"/>
    <cellStyle name="Normal 2 2 2 9 3 3" xfId="22237" xr:uid="{00B775D4-783B-4066-8B80-E751BB1EAEAC}"/>
    <cellStyle name="Normal 2 2 2 9 3 3 2" xfId="22238" xr:uid="{0F3E8AC4-CB7F-45C0-9F2A-386D293C81BB}"/>
    <cellStyle name="Normal 2 2 2 9 3 3 3" xfId="22239" xr:uid="{C6CF5465-7089-46BE-993A-558239743957}"/>
    <cellStyle name="Normal 2 2 2 9 3 3 4" xfId="22240" xr:uid="{5F9BCF60-9522-4099-85AD-24A175F3EBE1}"/>
    <cellStyle name="Normal 2 2 2 9 3 3 5" xfId="22241" xr:uid="{466FFC69-BEB5-4403-852B-C96D73A0C832}"/>
    <cellStyle name="Normal 2 2 2 9 3 3 6" xfId="22242" xr:uid="{C0D6A618-3489-41D0-96C7-46C8A4AEAD9D}"/>
    <cellStyle name="Normal 2 2 2 9 3 4" xfId="22243" xr:uid="{90A2BE8A-D3C9-4540-8120-FBC0D93B0E16}"/>
    <cellStyle name="Normal 2 2 2 9 3 4 2" xfId="22244" xr:uid="{64AC9C5F-A178-473C-BA91-654C71C88ABA}"/>
    <cellStyle name="Normal 2 2 2 9 3 4 3" xfId="22245" xr:uid="{7A437F71-B805-4D73-9D10-6ED7D6847C86}"/>
    <cellStyle name="Normal 2 2 2 9 3 4 4" xfId="22246" xr:uid="{BBCE5B40-34E8-4F18-9B7B-4E7A14A00A9B}"/>
    <cellStyle name="Normal 2 2 2 9 3 4 5" xfId="22247" xr:uid="{F9860A64-7421-498C-8AE8-A1EED0905550}"/>
    <cellStyle name="Normal 2 2 2 9 3 4 6" xfId="22248" xr:uid="{DA47D453-764C-47ED-8CB4-2AC4A800EE30}"/>
    <cellStyle name="Normal 2 2 2 9 3 5" xfId="22249" xr:uid="{D2A6262D-EF0C-4C26-AD7C-11CDFA29F1D9}"/>
    <cellStyle name="Normal 2 2 2 9 3 5 2" xfId="22250" xr:uid="{9EF46405-1298-4CFE-8770-A0B3EC40FF10}"/>
    <cellStyle name="Normal 2 2 2 9 3 5 3" xfId="22251" xr:uid="{533A19B0-AD96-4377-8910-AE69347379C3}"/>
    <cellStyle name="Normal 2 2 2 9 3 5 4" xfId="22252" xr:uid="{FED73496-0B3D-4E24-887E-11BF29B32FD9}"/>
    <cellStyle name="Normal 2 2 2 9 3 5 5" xfId="22253" xr:uid="{DFE0807F-355A-4CAC-B6F6-AA9938D9AA55}"/>
    <cellStyle name="Normal 2 2 2 9 3 5 6" xfId="22254" xr:uid="{D451F0E8-343C-40B2-ADDE-599D443C791F}"/>
    <cellStyle name="Normal 2 2 2 9 3 6" xfId="22255" xr:uid="{D52A3AC3-C5B0-4B8A-95C7-65253ABFDEB1}"/>
    <cellStyle name="Normal 2 2 2 9 3 6 2" xfId="22256" xr:uid="{307A09E6-CE50-4405-A3A4-856ABD47BBDD}"/>
    <cellStyle name="Normal 2 2 2 9 3 6 3" xfId="22257" xr:uid="{B85A8D94-0C2F-4759-B8FC-E3BA59448C2F}"/>
    <cellStyle name="Normal 2 2 2 9 3 6 4" xfId="22258" xr:uid="{FA3DEB4B-0A58-4473-9CB4-489F5812C502}"/>
    <cellStyle name="Normal 2 2 2 9 3 6 5" xfId="22259" xr:uid="{CC99D243-5620-40EE-9303-24F7DFB85D80}"/>
    <cellStyle name="Normal 2 2 2 9 3 6 6" xfId="22260" xr:uid="{5AA979E3-9145-4998-9872-90C117D6E419}"/>
    <cellStyle name="Normal 2 2 2 9 3 7" xfId="22261" xr:uid="{1495A4B8-1668-4C29-8E4B-528ACCABB544}"/>
    <cellStyle name="Normal 2 2 2 9 3 7 2" xfId="22262" xr:uid="{12C9F759-8D99-49FA-8B88-F85B4FA408F0}"/>
    <cellStyle name="Normal 2 2 2 9 3 7 3" xfId="22263" xr:uid="{6E2846EB-2DC0-4BEB-A050-DCB18289B6FD}"/>
    <cellStyle name="Normal 2 2 2 9 3 7 4" xfId="22264" xr:uid="{4158FA8E-CC76-43C3-8699-C6A008479CC7}"/>
    <cellStyle name="Normal 2 2 2 9 3 7 5" xfId="22265" xr:uid="{EF740F36-522E-4621-BDD1-937577A7D2D5}"/>
    <cellStyle name="Normal 2 2 2 9 3 7 6" xfId="22266" xr:uid="{33E69050-EB0A-490F-ADDB-348B692ECDE1}"/>
    <cellStyle name="Normal 2 2 2 9 3 8" xfId="22267" xr:uid="{702D51E1-4C7A-4902-934B-DD23FAB7A7D8}"/>
    <cellStyle name="Normal 2 2 2 9 3 8 2" xfId="22268" xr:uid="{DFE54051-8732-4704-B932-B96BB07EE906}"/>
    <cellStyle name="Normal 2 2 2 9 3 8 3" xfId="22269" xr:uid="{DABCBF06-BC3C-4148-8B55-C55D30852558}"/>
    <cellStyle name="Normal 2 2 2 9 3 8 4" xfId="22270" xr:uid="{A08A89C6-F0BD-490B-A2F1-0AA89B843E33}"/>
    <cellStyle name="Normal 2 2 2 9 3 8 5" xfId="22271" xr:uid="{9FB10914-B185-4A0F-80FF-389CA1256375}"/>
    <cellStyle name="Normal 2 2 2 9 3 8 6" xfId="22272" xr:uid="{A44FD34B-ED65-4555-83BB-0E0CB9D28DCC}"/>
    <cellStyle name="Normal 2 2 2 9 3 9" xfId="22273" xr:uid="{6049F3DE-2C6D-4F36-B3A7-6AE109E623CC}"/>
    <cellStyle name="Normal 2 2 2 9 30" xfId="22274" xr:uid="{77E3174D-51E0-4A3E-A6D0-0A9A8C9DF43F}"/>
    <cellStyle name="Normal 2 2 2 9 31" xfId="22275" xr:uid="{E6725B59-3962-4835-868E-908083E22D2E}"/>
    <cellStyle name="Normal 2 2 2 9 32" xfId="22276" xr:uid="{DAD191CE-8F28-4F5C-9B6D-688146CCA5CF}"/>
    <cellStyle name="Normal 2 2 2 9 33" xfId="22277" xr:uid="{5AC6C9D9-66BA-4D17-81BE-2107713E2BA2}"/>
    <cellStyle name="Normal 2 2 2 9 34" xfId="22278" xr:uid="{4A549C07-0777-4F01-92F8-BA63FD29788A}"/>
    <cellStyle name="Normal 2 2 2 9 35" xfId="22279" xr:uid="{1F972A5C-9746-460C-A5A8-557A122118D1}"/>
    <cellStyle name="Normal 2 2 2 9 36" xfId="22280" xr:uid="{EA56B47E-100E-4585-BBED-4C390F9D77DE}"/>
    <cellStyle name="Normal 2 2 2 9 37" xfId="22281" xr:uid="{0AF7A296-6CEC-4D2C-96E6-DFF78C9F66BC}"/>
    <cellStyle name="Normal 2 2 2 9 38" xfId="22282" xr:uid="{46078875-486F-4EF6-871D-6E47993DEDD8}"/>
    <cellStyle name="Normal 2 2 2 9 39" xfId="22283" xr:uid="{82A07E95-1077-4262-AEA3-EBEA9448DC01}"/>
    <cellStyle name="Normal 2 2 2 9 4" xfId="22284" xr:uid="{AB7259C8-FFA8-4D78-8F3B-537FD667C2EF}"/>
    <cellStyle name="Normal 2 2 2 9 4 10" xfId="22285" xr:uid="{2660AD95-F6CD-4D79-AC18-03FE84191EA0}"/>
    <cellStyle name="Normal 2 2 2 9 4 11" xfId="22286" xr:uid="{721B7790-68C4-416F-A1F6-E9AD520B2395}"/>
    <cellStyle name="Normal 2 2 2 9 4 12" xfId="22287" xr:uid="{95D66FB4-3461-46EE-8C23-F7302A82D07F}"/>
    <cellStyle name="Normal 2 2 2 9 4 13" xfId="22288" xr:uid="{887B8BBA-2996-4DCB-A32A-320E6CDC8558}"/>
    <cellStyle name="Normal 2 2 2 9 4 2" xfId="22289" xr:uid="{5006BD86-57F2-4951-9F6C-4901072F3904}"/>
    <cellStyle name="Normal 2 2 2 9 4 2 2" xfId="22290" xr:uid="{9DFE42D7-7123-411E-B2DE-5BE82C26CAEF}"/>
    <cellStyle name="Normal 2 2 2 9 4 2 3" xfId="22291" xr:uid="{C672D7B3-960A-46FD-B46D-03F470FB95B3}"/>
    <cellStyle name="Normal 2 2 2 9 4 2 4" xfId="22292" xr:uid="{3AAFCC76-9BD8-4FC5-88DE-1EBA766EDDB4}"/>
    <cellStyle name="Normal 2 2 2 9 4 2 5" xfId="22293" xr:uid="{23D373C6-D32A-4AC7-84E3-4F49F0D939F3}"/>
    <cellStyle name="Normal 2 2 2 9 4 2 6" xfId="22294" xr:uid="{EC116AD0-B6CD-40C3-9F7B-174C3DA4B3CE}"/>
    <cellStyle name="Normal 2 2 2 9 4 3" xfId="22295" xr:uid="{B7DC4BDA-D1E4-4460-B126-FE9CB7350F11}"/>
    <cellStyle name="Normal 2 2 2 9 4 3 2" xfId="22296" xr:uid="{A77F80DD-3516-47DF-882F-99FADC9B6680}"/>
    <cellStyle name="Normal 2 2 2 9 4 3 3" xfId="22297" xr:uid="{467BBF46-CDE4-4411-B9F2-2CAD340A23AB}"/>
    <cellStyle name="Normal 2 2 2 9 4 3 4" xfId="22298" xr:uid="{059F50A4-A3F3-45E5-9DC1-0C9E6FA91547}"/>
    <cellStyle name="Normal 2 2 2 9 4 3 5" xfId="22299" xr:uid="{5F633112-7A20-447E-BBE6-876C55892CCE}"/>
    <cellStyle name="Normal 2 2 2 9 4 3 6" xfId="22300" xr:uid="{9118A7A0-B2FE-4E2F-B6A6-21220BABD9E4}"/>
    <cellStyle name="Normal 2 2 2 9 4 4" xfId="22301" xr:uid="{027EC200-A5BE-487D-AA60-1CFC0706B3F3}"/>
    <cellStyle name="Normal 2 2 2 9 4 4 2" xfId="22302" xr:uid="{FE434955-D012-4ED9-8901-2C7B61EF69F7}"/>
    <cellStyle name="Normal 2 2 2 9 4 4 3" xfId="22303" xr:uid="{67347323-3658-4EA4-B0BE-FC73E7C14D2D}"/>
    <cellStyle name="Normal 2 2 2 9 4 4 4" xfId="22304" xr:uid="{96D45C2C-5919-4E36-AAD9-6834998FB62E}"/>
    <cellStyle name="Normal 2 2 2 9 4 4 5" xfId="22305" xr:uid="{F92679F8-FC85-46AD-882F-083B992689D8}"/>
    <cellStyle name="Normal 2 2 2 9 4 4 6" xfId="22306" xr:uid="{77DE9AC2-B08E-470B-B975-FBA489464624}"/>
    <cellStyle name="Normal 2 2 2 9 4 5" xfId="22307" xr:uid="{4E31BCEE-DFB9-4B29-8BCB-CB7CBD48FF28}"/>
    <cellStyle name="Normal 2 2 2 9 4 5 2" xfId="22308" xr:uid="{77E4CFBD-5C9C-40A3-B6DD-F36DADB1E659}"/>
    <cellStyle name="Normal 2 2 2 9 4 5 3" xfId="22309" xr:uid="{CBE237DD-4B0E-4F4B-8CD7-A6FE580C3149}"/>
    <cellStyle name="Normal 2 2 2 9 4 5 4" xfId="22310" xr:uid="{4A19AA58-5931-4D43-99D9-E410AA0D8FE5}"/>
    <cellStyle name="Normal 2 2 2 9 4 5 5" xfId="22311" xr:uid="{A7591541-0E28-481C-89AF-011C6D98995C}"/>
    <cellStyle name="Normal 2 2 2 9 4 5 6" xfId="22312" xr:uid="{8BD172A0-0D38-486B-86AD-B57061345589}"/>
    <cellStyle name="Normal 2 2 2 9 4 6" xfId="22313" xr:uid="{499BD22E-A219-429F-9879-CB5360C8A070}"/>
    <cellStyle name="Normal 2 2 2 9 4 6 2" xfId="22314" xr:uid="{3F944F3E-2628-42C9-8E88-15A223F92098}"/>
    <cellStyle name="Normal 2 2 2 9 4 6 3" xfId="22315" xr:uid="{7F8C01B9-895B-46B6-8996-CF738E5343E1}"/>
    <cellStyle name="Normal 2 2 2 9 4 6 4" xfId="22316" xr:uid="{8A2B73C9-6F83-4BB6-80DB-F2183281BA36}"/>
    <cellStyle name="Normal 2 2 2 9 4 6 5" xfId="22317" xr:uid="{8B7C502D-6029-4582-9CF4-8905B0F0F66C}"/>
    <cellStyle name="Normal 2 2 2 9 4 6 6" xfId="22318" xr:uid="{182EA48C-FC3C-46F7-83C5-8BA7F6453D17}"/>
    <cellStyle name="Normal 2 2 2 9 4 7" xfId="22319" xr:uid="{B5ECA2AA-8254-453F-877E-0CA2EDF7A1BD}"/>
    <cellStyle name="Normal 2 2 2 9 4 7 2" xfId="22320" xr:uid="{89059D5D-FE99-4621-A192-A7A7626137C4}"/>
    <cellStyle name="Normal 2 2 2 9 4 7 3" xfId="22321" xr:uid="{517BA532-C2D8-4479-ABEB-BFC9D8BD83E4}"/>
    <cellStyle name="Normal 2 2 2 9 4 7 4" xfId="22322" xr:uid="{BF34A2DF-A7C4-420D-BD42-F3398A342BBD}"/>
    <cellStyle name="Normal 2 2 2 9 4 7 5" xfId="22323" xr:uid="{4A2C3A56-E959-4EA7-9BAE-E3C9D4103577}"/>
    <cellStyle name="Normal 2 2 2 9 4 7 6" xfId="22324" xr:uid="{1B60DCF1-310D-4A2D-947B-840F15E49F9B}"/>
    <cellStyle name="Normal 2 2 2 9 4 8" xfId="22325" xr:uid="{2F6984FC-D2BD-416E-8554-0A7C332F6894}"/>
    <cellStyle name="Normal 2 2 2 9 4 8 2" xfId="22326" xr:uid="{29B0E9DA-F3BC-408C-90C4-7F1A29237CBC}"/>
    <cellStyle name="Normal 2 2 2 9 4 8 3" xfId="22327" xr:uid="{2648CCA4-9BC0-436B-8B7E-E605F3C43A8D}"/>
    <cellStyle name="Normal 2 2 2 9 4 8 4" xfId="22328" xr:uid="{EE4FAA95-ADDB-4FD8-A1BD-33E38995E1F9}"/>
    <cellStyle name="Normal 2 2 2 9 4 8 5" xfId="22329" xr:uid="{D9616810-A688-4D22-B5A1-51C6D9967100}"/>
    <cellStyle name="Normal 2 2 2 9 4 8 6" xfId="22330" xr:uid="{25B9CC66-66CE-4EDA-827B-964A4AB59E2F}"/>
    <cellStyle name="Normal 2 2 2 9 4 9" xfId="22331" xr:uid="{FEFD5CFD-2842-4D33-A299-1000CF6839CF}"/>
    <cellStyle name="Normal 2 2 2 9 40" xfId="22332" xr:uid="{D4721FB5-3E7E-4A1E-93F0-76268F1C31F9}"/>
    <cellStyle name="Normal 2 2 2 9 41" xfId="22333" xr:uid="{307CEF55-0BC7-4FD7-BAB3-FFD262DBAF76}"/>
    <cellStyle name="Normal 2 2 2 9 42" xfId="22334" xr:uid="{1C8E0D6B-187B-412A-AAEE-48BDB8A52DF2}"/>
    <cellStyle name="Normal 2 2 2 9 43" xfId="22335" xr:uid="{6590F16E-3BEA-42DA-9512-63FCA48815CF}"/>
    <cellStyle name="Normal 2 2 2 9 44" xfId="22336" xr:uid="{FDEEA663-5B62-45F2-ACDC-FE1F93A61D21}"/>
    <cellStyle name="Normal 2 2 2 9 45" xfId="22337" xr:uid="{49478B82-92E0-4114-BD60-9EC5F56631BE}"/>
    <cellStyle name="Normal 2 2 2 9 46" xfId="22338" xr:uid="{89044F75-A901-4352-8505-895766C8D459}"/>
    <cellStyle name="Normal 2 2 2 9 47" xfId="22339" xr:uid="{23137C0A-8CEB-4D22-87FE-C878D756268A}"/>
    <cellStyle name="Normal 2 2 2 9 48" xfId="22340" xr:uid="{A9B71718-A3DE-4002-851B-A865A8CD4CA5}"/>
    <cellStyle name="Normal 2 2 2 9 49" xfId="22341" xr:uid="{E5C5CB32-7A0C-4620-B214-2D124C26F9B4}"/>
    <cellStyle name="Normal 2 2 2 9 5" xfId="22342" xr:uid="{530CC708-40C3-41B6-8FAA-96A9D4750640}"/>
    <cellStyle name="Normal 2 2 2 9 5 10" xfId="22343" xr:uid="{9A244036-27A2-41AE-AFDF-CB76A3A9E8D7}"/>
    <cellStyle name="Normal 2 2 2 9 5 11" xfId="22344" xr:uid="{0E3E97B0-676F-45B9-B534-6B05073840C0}"/>
    <cellStyle name="Normal 2 2 2 9 5 12" xfId="22345" xr:uid="{478C6FB3-75DF-4F4C-B045-55B7B8439598}"/>
    <cellStyle name="Normal 2 2 2 9 5 13" xfId="22346" xr:uid="{224E7881-1F1A-491A-93CE-65642640B7F1}"/>
    <cellStyle name="Normal 2 2 2 9 5 2" xfId="22347" xr:uid="{E1E2ACB7-AD19-4035-8993-01C44B1DABC2}"/>
    <cellStyle name="Normal 2 2 2 9 5 2 2" xfId="22348" xr:uid="{DB82E0CB-1D89-447D-A450-712A2B96282C}"/>
    <cellStyle name="Normal 2 2 2 9 5 2 3" xfId="22349" xr:uid="{FFBCD14D-4E8C-4F9C-891A-00ED34F2B770}"/>
    <cellStyle name="Normal 2 2 2 9 5 2 4" xfId="22350" xr:uid="{3B63080F-352B-4395-9724-3F1B59A2C5B1}"/>
    <cellStyle name="Normal 2 2 2 9 5 2 5" xfId="22351" xr:uid="{CE886772-4287-42EF-8D7F-658BAD8CFBD4}"/>
    <cellStyle name="Normal 2 2 2 9 5 2 6" xfId="22352" xr:uid="{939B81DC-E36E-432F-84F8-F1A1B4B1A642}"/>
    <cellStyle name="Normal 2 2 2 9 5 3" xfId="22353" xr:uid="{9B04C259-200E-47DB-B692-C441AEE454DA}"/>
    <cellStyle name="Normal 2 2 2 9 5 3 2" xfId="22354" xr:uid="{8AE85673-CB57-4DA8-AB22-5399BD982FBA}"/>
    <cellStyle name="Normal 2 2 2 9 5 3 3" xfId="22355" xr:uid="{AC3F0597-A80A-40C6-B50F-00A0BF99C729}"/>
    <cellStyle name="Normal 2 2 2 9 5 3 4" xfId="22356" xr:uid="{1C8DB370-9946-4F9D-AB05-35595404D9BD}"/>
    <cellStyle name="Normal 2 2 2 9 5 3 5" xfId="22357" xr:uid="{4C355B33-A15E-4AD6-98FB-1F6339C910DC}"/>
    <cellStyle name="Normal 2 2 2 9 5 3 6" xfId="22358" xr:uid="{A8A70306-9666-4349-AB8C-F91F52738E60}"/>
    <cellStyle name="Normal 2 2 2 9 5 4" xfId="22359" xr:uid="{EBAA52B6-CF09-4E60-828C-F6DD08099065}"/>
    <cellStyle name="Normal 2 2 2 9 5 4 2" xfId="22360" xr:uid="{BBA74EA1-055D-4248-8544-EFAC606E915D}"/>
    <cellStyle name="Normal 2 2 2 9 5 4 3" xfId="22361" xr:uid="{9BF82BDF-EF44-48B0-91E1-2DD5483EBF2D}"/>
    <cellStyle name="Normal 2 2 2 9 5 4 4" xfId="22362" xr:uid="{062E30D2-67B2-43F0-B2C2-390881FEFCF2}"/>
    <cellStyle name="Normal 2 2 2 9 5 4 5" xfId="22363" xr:uid="{027B0034-DF8E-4468-B7DA-22C226A60CDB}"/>
    <cellStyle name="Normal 2 2 2 9 5 4 6" xfId="22364" xr:uid="{CAF81029-206F-44F6-BC0B-5717953C4622}"/>
    <cellStyle name="Normal 2 2 2 9 5 5" xfId="22365" xr:uid="{95A70818-3401-4868-BC49-3DCEE5146268}"/>
    <cellStyle name="Normal 2 2 2 9 5 5 2" xfId="22366" xr:uid="{4618B0AF-26DA-4CC1-BD2B-392EFC962F84}"/>
    <cellStyle name="Normal 2 2 2 9 5 5 3" xfId="22367" xr:uid="{0DBD0889-EE8D-41B4-B3C7-173BD253F3C8}"/>
    <cellStyle name="Normal 2 2 2 9 5 5 4" xfId="22368" xr:uid="{AFB4588B-AA0A-4EA9-9EB5-388499D473AC}"/>
    <cellStyle name="Normal 2 2 2 9 5 5 5" xfId="22369" xr:uid="{BCD2BED1-CC54-44F7-AFA2-866ECBCB5A68}"/>
    <cellStyle name="Normal 2 2 2 9 5 5 6" xfId="22370" xr:uid="{DB65EC16-2D99-4E7B-8157-5428548599B2}"/>
    <cellStyle name="Normal 2 2 2 9 5 6" xfId="22371" xr:uid="{E8AAC6CA-D831-4C1A-B85D-4E6A3BD4A8FD}"/>
    <cellStyle name="Normal 2 2 2 9 5 6 2" xfId="22372" xr:uid="{E240D3AC-78DD-4D60-BB34-BB8A7E5BA3E5}"/>
    <cellStyle name="Normal 2 2 2 9 5 6 3" xfId="22373" xr:uid="{099D32C7-63D0-4059-9B21-1DC037DE2FDC}"/>
    <cellStyle name="Normal 2 2 2 9 5 6 4" xfId="22374" xr:uid="{B88762F5-E461-4882-B262-7627D24608D1}"/>
    <cellStyle name="Normal 2 2 2 9 5 6 5" xfId="22375" xr:uid="{D6973EA9-C7F2-4D5D-96F9-0C13CE73E3E7}"/>
    <cellStyle name="Normal 2 2 2 9 5 6 6" xfId="22376" xr:uid="{3DC56EC4-F8D1-41B3-B904-C81BEAF3EBEE}"/>
    <cellStyle name="Normal 2 2 2 9 5 7" xfId="22377" xr:uid="{420FC52A-6A5A-4F59-AA0D-CE894ADBC100}"/>
    <cellStyle name="Normal 2 2 2 9 5 7 2" xfId="22378" xr:uid="{02D3E352-84CA-4282-892B-B9FAA2E535C6}"/>
    <cellStyle name="Normal 2 2 2 9 5 7 3" xfId="22379" xr:uid="{0EFB24DD-F4A4-45B6-BB47-292594F68E67}"/>
    <cellStyle name="Normal 2 2 2 9 5 7 4" xfId="22380" xr:uid="{ABF353F3-A891-480D-AF73-F30D4858B200}"/>
    <cellStyle name="Normal 2 2 2 9 5 7 5" xfId="22381" xr:uid="{3351792F-7782-4C69-895D-B0E29AB69355}"/>
    <cellStyle name="Normal 2 2 2 9 5 7 6" xfId="22382" xr:uid="{C6070850-870B-4135-98C1-A0B8469F3256}"/>
    <cellStyle name="Normal 2 2 2 9 5 8" xfId="22383" xr:uid="{7618AC0F-6093-4ABC-96C8-A588BFA75EAE}"/>
    <cellStyle name="Normal 2 2 2 9 5 8 2" xfId="22384" xr:uid="{F7012607-4269-4E1A-B446-4827F9484E2E}"/>
    <cellStyle name="Normal 2 2 2 9 5 8 3" xfId="22385" xr:uid="{20110D49-5F29-446F-9E26-8F7999022977}"/>
    <cellStyle name="Normal 2 2 2 9 5 8 4" xfId="22386" xr:uid="{2874B4CD-0182-45C6-9345-B934609C3751}"/>
    <cellStyle name="Normal 2 2 2 9 5 8 5" xfId="22387" xr:uid="{812BEC6A-A7D9-4317-ACFF-36FB90ABA4CD}"/>
    <cellStyle name="Normal 2 2 2 9 5 8 6" xfId="22388" xr:uid="{A45FC74C-B9AE-4F8F-8615-731E8BDA5DD7}"/>
    <cellStyle name="Normal 2 2 2 9 5 9" xfId="22389" xr:uid="{202A3759-E301-418E-9525-65218767B58E}"/>
    <cellStyle name="Normal 2 2 2 9 50" xfId="22390" xr:uid="{FBB83EC8-0F09-43C9-A426-51774C8CAEF3}"/>
    <cellStyle name="Normal 2 2 2 9 51" xfId="22391" xr:uid="{1E3C20A7-7573-460C-90F2-78274B01C1AC}"/>
    <cellStyle name="Normal 2 2 2 9 52" xfId="22392" xr:uid="{87C5F226-6122-4020-8D94-8091C8FE39FC}"/>
    <cellStyle name="Normal 2 2 2 9 6" xfId="22393" xr:uid="{0F3C6A70-A4C9-4E49-A739-1EDE5CD70F85}"/>
    <cellStyle name="Normal 2 2 2 9 6 10" xfId="22394" xr:uid="{9FA441D2-EBA8-4B9E-BC6B-ADF2BF2D0454}"/>
    <cellStyle name="Normal 2 2 2 9 6 11" xfId="22395" xr:uid="{0388F114-FFF1-4735-A403-EE50E5E76750}"/>
    <cellStyle name="Normal 2 2 2 9 6 12" xfId="22396" xr:uid="{BC338DDE-F35B-4884-8936-7279FC04A9AC}"/>
    <cellStyle name="Normal 2 2 2 9 6 13" xfId="22397" xr:uid="{A4BFC429-34E3-49BB-BEDF-934368C59AB8}"/>
    <cellStyle name="Normal 2 2 2 9 6 2" xfId="22398" xr:uid="{80387DFC-5FFE-4A20-9996-5B30B07A269F}"/>
    <cellStyle name="Normal 2 2 2 9 6 2 2" xfId="22399" xr:uid="{41F8EEBB-A793-479E-A4E2-5AF0FFF6277C}"/>
    <cellStyle name="Normal 2 2 2 9 6 2 3" xfId="22400" xr:uid="{5D5F60A6-03AA-4A5B-907A-A66E60937A2C}"/>
    <cellStyle name="Normal 2 2 2 9 6 2 4" xfId="22401" xr:uid="{20CBEE48-51A5-43E3-A672-2664B741AA9C}"/>
    <cellStyle name="Normal 2 2 2 9 6 2 5" xfId="22402" xr:uid="{77A6CB64-8A9E-4D17-A10B-EF72BC56C771}"/>
    <cellStyle name="Normal 2 2 2 9 6 2 6" xfId="22403" xr:uid="{CEA31A41-C997-491C-A78D-FD0DAEDD54F6}"/>
    <cellStyle name="Normal 2 2 2 9 6 3" xfId="22404" xr:uid="{A6B65961-BF22-4AF3-A92A-B27A7858DEEE}"/>
    <cellStyle name="Normal 2 2 2 9 6 3 2" xfId="22405" xr:uid="{D9748940-9770-4F25-AE06-2BA336CFA8BB}"/>
    <cellStyle name="Normal 2 2 2 9 6 3 3" xfId="22406" xr:uid="{E8218955-D043-4AFE-BA08-B26E1007F3DE}"/>
    <cellStyle name="Normal 2 2 2 9 6 3 4" xfId="22407" xr:uid="{95B8DBD7-CF23-4D92-8C7A-7CAAA9B1D803}"/>
    <cellStyle name="Normal 2 2 2 9 6 3 5" xfId="22408" xr:uid="{E8EB6718-336F-41B7-8092-1D9D4478A2A9}"/>
    <cellStyle name="Normal 2 2 2 9 6 3 6" xfId="22409" xr:uid="{3E4AB315-A5CC-4B3A-9022-8ECA1B0E3750}"/>
    <cellStyle name="Normal 2 2 2 9 6 4" xfId="22410" xr:uid="{FA75329A-578C-4013-AED2-0E5FF10FBA9B}"/>
    <cellStyle name="Normal 2 2 2 9 6 4 2" xfId="22411" xr:uid="{3A146E68-C077-4D34-8870-BB00886B674C}"/>
    <cellStyle name="Normal 2 2 2 9 6 4 3" xfId="22412" xr:uid="{06C880C4-BA79-42C4-9157-C36B6C0E94ED}"/>
    <cellStyle name="Normal 2 2 2 9 6 4 4" xfId="22413" xr:uid="{B507F7FD-9E3F-4179-8426-B1440FF2F8D1}"/>
    <cellStyle name="Normal 2 2 2 9 6 4 5" xfId="22414" xr:uid="{05CAABF7-CE2B-43AC-A671-C3162897A800}"/>
    <cellStyle name="Normal 2 2 2 9 6 4 6" xfId="22415" xr:uid="{B504899F-A077-4994-9384-7AA6ED7CDE92}"/>
    <cellStyle name="Normal 2 2 2 9 6 5" xfId="22416" xr:uid="{34FA03CE-9A50-4890-88E6-F74E18C72235}"/>
    <cellStyle name="Normal 2 2 2 9 6 5 2" xfId="22417" xr:uid="{AF3FE360-43C1-4D8F-A4C5-2849E740AD06}"/>
    <cellStyle name="Normal 2 2 2 9 6 5 3" xfId="22418" xr:uid="{CB43CBDC-60C5-4604-822B-19A386E2A2FE}"/>
    <cellStyle name="Normal 2 2 2 9 6 5 4" xfId="22419" xr:uid="{AE85E239-7A75-44A0-BC7F-38751C363F64}"/>
    <cellStyle name="Normal 2 2 2 9 6 5 5" xfId="22420" xr:uid="{78763E8D-886C-477E-B4DD-357E2FEBF58A}"/>
    <cellStyle name="Normal 2 2 2 9 6 5 6" xfId="22421" xr:uid="{FAD638A8-AA55-4679-B98F-3C2B0FA52D4B}"/>
    <cellStyle name="Normal 2 2 2 9 6 6" xfId="22422" xr:uid="{D6384993-BB80-4AE6-BEFF-679683B6A35B}"/>
    <cellStyle name="Normal 2 2 2 9 6 6 2" xfId="22423" xr:uid="{ED8CCDD0-2A02-4E6E-A64C-03D1E45F3122}"/>
    <cellStyle name="Normal 2 2 2 9 6 6 3" xfId="22424" xr:uid="{0C15C85A-A592-4965-A0FE-CA796991F80A}"/>
    <cellStyle name="Normal 2 2 2 9 6 6 4" xfId="22425" xr:uid="{A8761EB4-E295-4AF6-85C1-B5BD9DA6F708}"/>
    <cellStyle name="Normal 2 2 2 9 6 6 5" xfId="22426" xr:uid="{DF6C5A3D-7600-466E-B110-5195EAE92F10}"/>
    <cellStyle name="Normal 2 2 2 9 6 6 6" xfId="22427" xr:uid="{0481C8F8-AB56-42D1-B05D-148D397419C6}"/>
    <cellStyle name="Normal 2 2 2 9 6 7" xfId="22428" xr:uid="{36DDC52A-1080-4F68-B273-28F27A345589}"/>
    <cellStyle name="Normal 2 2 2 9 6 7 2" xfId="22429" xr:uid="{1E2D7CF7-4E13-4899-B0E7-AEDB4B2AAB9D}"/>
    <cellStyle name="Normal 2 2 2 9 6 7 3" xfId="22430" xr:uid="{30EB3472-1305-4D13-8359-21DA0207135A}"/>
    <cellStyle name="Normal 2 2 2 9 6 7 4" xfId="22431" xr:uid="{6D9DE737-7E67-4797-947A-EB0C7A855559}"/>
    <cellStyle name="Normal 2 2 2 9 6 7 5" xfId="22432" xr:uid="{803C4147-AFBD-4CC9-8E1C-F1BA698028F8}"/>
    <cellStyle name="Normal 2 2 2 9 6 7 6" xfId="22433" xr:uid="{A16368A7-C279-4299-86CB-24812694D274}"/>
    <cellStyle name="Normal 2 2 2 9 6 8" xfId="22434" xr:uid="{E01FBFE8-AF15-45EC-8691-1EBBF86929CA}"/>
    <cellStyle name="Normal 2 2 2 9 6 8 2" xfId="22435" xr:uid="{44EE7329-362C-4FC6-A711-D09FC07A440A}"/>
    <cellStyle name="Normal 2 2 2 9 6 8 3" xfId="22436" xr:uid="{B8566D61-962D-44E6-82BA-7F365EDD6A9C}"/>
    <cellStyle name="Normal 2 2 2 9 6 8 4" xfId="22437" xr:uid="{258BD283-966D-4D38-857D-97B7E7DFFC6A}"/>
    <cellStyle name="Normal 2 2 2 9 6 8 5" xfId="22438" xr:uid="{8F50201A-77A3-4F51-9069-EA7B89A71B0F}"/>
    <cellStyle name="Normal 2 2 2 9 6 8 6" xfId="22439" xr:uid="{DBD2C7CF-C55D-415A-A7C9-4828E7A45938}"/>
    <cellStyle name="Normal 2 2 2 9 6 9" xfId="22440" xr:uid="{62B6964C-6B05-4669-AA59-C7EE5F86379A}"/>
    <cellStyle name="Normal 2 2 2 9 7" xfId="22441" xr:uid="{F19DAECA-23D6-44D6-A635-F44B94714837}"/>
    <cellStyle name="Normal 2 2 2 9 7 10" xfId="22442" xr:uid="{51348F94-BCBF-4FBF-BE87-48A142953EEA}"/>
    <cellStyle name="Normal 2 2 2 9 7 11" xfId="22443" xr:uid="{C1842248-9745-4B48-99C2-1C5CF68AF908}"/>
    <cellStyle name="Normal 2 2 2 9 7 12" xfId="22444" xr:uid="{66CB510E-6BDC-4F01-97BE-3F47E30A99E7}"/>
    <cellStyle name="Normal 2 2 2 9 7 13" xfId="22445" xr:uid="{337DABD8-0720-4B3E-8595-D92FBFC8C817}"/>
    <cellStyle name="Normal 2 2 2 9 7 2" xfId="22446" xr:uid="{764BE87F-E08F-442E-AB0E-67151BD465CA}"/>
    <cellStyle name="Normal 2 2 2 9 7 2 2" xfId="22447" xr:uid="{A35AADBE-AE44-4396-95FB-4F1594103CCF}"/>
    <cellStyle name="Normal 2 2 2 9 7 2 3" xfId="22448" xr:uid="{DC53C261-8548-4368-BF23-97818636A60E}"/>
    <cellStyle name="Normal 2 2 2 9 7 2 4" xfId="22449" xr:uid="{BAA9D6E2-AA45-4EFA-A484-528A0D3AE4F1}"/>
    <cellStyle name="Normal 2 2 2 9 7 2 5" xfId="22450" xr:uid="{F936AB6F-173C-4D6D-9620-A460FD6BE276}"/>
    <cellStyle name="Normal 2 2 2 9 7 2 6" xfId="22451" xr:uid="{303325E2-4152-4BB2-B8C5-17C50C72FA7B}"/>
    <cellStyle name="Normal 2 2 2 9 7 3" xfId="22452" xr:uid="{52FC80FF-C0E2-4745-AFA0-4EB4BA7857BB}"/>
    <cellStyle name="Normal 2 2 2 9 7 3 2" xfId="22453" xr:uid="{3037CDBE-43F9-4134-A9B1-E275D7DC2719}"/>
    <cellStyle name="Normal 2 2 2 9 7 3 3" xfId="22454" xr:uid="{335EB845-51A9-4188-BCCD-FBC87B756FCA}"/>
    <cellStyle name="Normal 2 2 2 9 7 3 4" xfId="22455" xr:uid="{D307E14D-A0A7-4492-8643-23694B33191B}"/>
    <cellStyle name="Normal 2 2 2 9 7 3 5" xfId="22456" xr:uid="{EFDA68F6-5E13-4FC1-BB8C-D250DE27AA18}"/>
    <cellStyle name="Normal 2 2 2 9 7 3 6" xfId="22457" xr:uid="{51F477A1-112A-45F1-8841-77F20160A68E}"/>
    <cellStyle name="Normal 2 2 2 9 7 4" xfId="22458" xr:uid="{48465E19-6CAC-4FAD-8B79-6117373FFFDD}"/>
    <cellStyle name="Normal 2 2 2 9 7 4 2" xfId="22459" xr:uid="{D2E36725-DDF2-46A1-B48F-8E81D3927406}"/>
    <cellStyle name="Normal 2 2 2 9 7 4 3" xfId="22460" xr:uid="{2CC348C6-BBAB-4B01-AB64-D5633C40737A}"/>
    <cellStyle name="Normal 2 2 2 9 7 4 4" xfId="22461" xr:uid="{3A7E143C-E8E8-45B8-87EB-12754C4EB29E}"/>
    <cellStyle name="Normal 2 2 2 9 7 4 5" xfId="22462" xr:uid="{B4118475-8BC2-4217-B52B-7873A8EFBDEE}"/>
    <cellStyle name="Normal 2 2 2 9 7 4 6" xfId="22463" xr:uid="{D07F9E45-714B-47EA-9AAE-3117E2CCFAF6}"/>
    <cellStyle name="Normal 2 2 2 9 7 5" xfId="22464" xr:uid="{EABA7506-D5C1-4C5D-AAAE-331FFBD6A46B}"/>
    <cellStyle name="Normal 2 2 2 9 7 5 2" xfId="22465" xr:uid="{F1987BAC-4BDB-4ED1-A847-CF3333C6CC46}"/>
    <cellStyle name="Normal 2 2 2 9 7 5 3" xfId="22466" xr:uid="{56DE3E10-A1DC-4A93-BD5D-AF3B2F2482B7}"/>
    <cellStyle name="Normal 2 2 2 9 7 5 4" xfId="22467" xr:uid="{6247AC7A-DEE1-4A3D-963F-675AEA7A8E15}"/>
    <cellStyle name="Normal 2 2 2 9 7 5 5" xfId="22468" xr:uid="{F92ED6C5-C815-458F-BB5B-08C7A864221E}"/>
    <cellStyle name="Normal 2 2 2 9 7 5 6" xfId="22469" xr:uid="{92E26595-3156-4E52-8D9C-95F82AF3BDD6}"/>
    <cellStyle name="Normal 2 2 2 9 7 6" xfId="22470" xr:uid="{0ACA5F6D-ACCA-437D-8FB8-54B614AD1ED3}"/>
    <cellStyle name="Normal 2 2 2 9 7 6 2" xfId="22471" xr:uid="{02C5F2F2-B1C1-4993-9F0B-F56CA0C817EC}"/>
    <cellStyle name="Normal 2 2 2 9 7 6 3" xfId="22472" xr:uid="{A41E1253-1DCC-45BA-9CE4-7481F91DF9D2}"/>
    <cellStyle name="Normal 2 2 2 9 7 6 4" xfId="22473" xr:uid="{279EB774-80E5-43FD-8C0B-0EDBC1FC6457}"/>
    <cellStyle name="Normal 2 2 2 9 7 6 5" xfId="22474" xr:uid="{DE593111-6BF6-4453-ACED-E36C8CE76C52}"/>
    <cellStyle name="Normal 2 2 2 9 7 6 6" xfId="22475" xr:uid="{6C7D9433-7693-4B9F-961F-7733FCAD2E7D}"/>
    <cellStyle name="Normal 2 2 2 9 7 7" xfId="22476" xr:uid="{B8DE1702-F6F3-4F2F-A3C4-3989CF090BA8}"/>
    <cellStyle name="Normal 2 2 2 9 7 7 2" xfId="22477" xr:uid="{CA9FC583-E916-428F-978B-62AC04D2F392}"/>
    <cellStyle name="Normal 2 2 2 9 7 7 3" xfId="22478" xr:uid="{37BAE67B-9F60-46FD-9551-A74D172A91FC}"/>
    <cellStyle name="Normal 2 2 2 9 7 7 4" xfId="22479" xr:uid="{232820F3-9F65-4B6F-90BF-DD0F59C02097}"/>
    <cellStyle name="Normal 2 2 2 9 7 7 5" xfId="22480" xr:uid="{E9591238-DD8F-49B8-9ABB-AC4693811922}"/>
    <cellStyle name="Normal 2 2 2 9 7 7 6" xfId="22481" xr:uid="{BF563A6C-C5B7-4921-98C6-F073202F4BAA}"/>
    <cellStyle name="Normal 2 2 2 9 7 8" xfId="22482" xr:uid="{7963EEF0-08BD-45A7-812B-5A2383E38946}"/>
    <cellStyle name="Normal 2 2 2 9 7 8 2" xfId="22483" xr:uid="{2E36428B-1531-4F9F-9CC6-4FC4D9A98588}"/>
    <cellStyle name="Normal 2 2 2 9 7 8 3" xfId="22484" xr:uid="{5C8E482E-6D54-49D9-9813-43E824AF085F}"/>
    <cellStyle name="Normal 2 2 2 9 7 8 4" xfId="22485" xr:uid="{A1ED1947-89EB-4E46-A93E-2AB5557C4E04}"/>
    <cellStyle name="Normal 2 2 2 9 7 8 5" xfId="22486" xr:uid="{0A8068E1-BA48-4F68-9368-5B6A77ED203C}"/>
    <cellStyle name="Normal 2 2 2 9 7 8 6" xfId="22487" xr:uid="{7D085FA6-E71F-49B5-80FD-64A8697B7B72}"/>
    <cellStyle name="Normal 2 2 2 9 7 9" xfId="22488" xr:uid="{1AA994AB-1178-4DC7-8244-79C13FE7B0BE}"/>
    <cellStyle name="Normal 2 2 2 9 8" xfId="22489" xr:uid="{C62382F8-1824-479B-87C5-894B130BD27C}"/>
    <cellStyle name="Normal 2 2 2 9 9" xfId="22490" xr:uid="{611173F5-CAA8-4886-8625-19E849824C72}"/>
    <cellStyle name="Normal 2 2 20" xfId="22491" xr:uid="{9CA3AA64-2ED3-49A0-A52A-E9409A3DC2A5}"/>
    <cellStyle name="Normal 2 2 20 10" xfId="22492" xr:uid="{9803D274-CEEE-4C4E-9F93-743E0F931E2F}"/>
    <cellStyle name="Normal 2 2 20 11" xfId="22493" xr:uid="{59D1A933-1C78-491F-A827-426BF50128B3}"/>
    <cellStyle name="Normal 2 2 20 12" xfId="22494" xr:uid="{29F35E6A-5F8B-4846-9A4E-7A52A1AAB358}"/>
    <cellStyle name="Normal 2 2 20 13" xfId="22495" xr:uid="{66154239-0F8B-4549-A5F7-04C3A8538A7B}"/>
    <cellStyle name="Normal 2 2 20 14" xfId="22496" xr:uid="{A73AC27C-3F57-41BD-AF79-996CB535E566}"/>
    <cellStyle name="Normal 2 2 20 15" xfId="22497" xr:uid="{61116813-0C5C-4CB5-BDBC-544692A1FE55}"/>
    <cellStyle name="Normal 2 2 20 16" xfId="22498" xr:uid="{33CFD6B1-BE52-44EF-9C05-7A70B42DA2FE}"/>
    <cellStyle name="Normal 2 2 20 17" xfId="22499" xr:uid="{1EB50C6F-7F42-4A23-BF85-0C2EDDD2854D}"/>
    <cellStyle name="Normal 2 2 20 18" xfId="22500" xr:uid="{9E9FE8C1-22A0-4B1B-88A6-31C77588B361}"/>
    <cellStyle name="Normal 2 2 20 19" xfId="22501" xr:uid="{0B06524E-E264-4976-96C0-91CCC5DF0EE2}"/>
    <cellStyle name="Normal 2 2 20 2" xfId="22502" xr:uid="{1B426EAF-9187-4612-923A-B26CE1F2782D}"/>
    <cellStyle name="Normal 2 2 20 20" xfId="22503" xr:uid="{3EED5CCF-5BE2-4808-B30F-3B173F7D1CFE}"/>
    <cellStyle name="Normal 2 2 20 21" xfId="22504" xr:uid="{B0B0F78C-D16C-4348-94A0-268F82C98B34}"/>
    <cellStyle name="Normal 2 2 20 22" xfId="22505" xr:uid="{CD78DFC1-406B-46BC-8E7A-8B975CFACB7D}"/>
    <cellStyle name="Normal 2 2 20 23" xfId="22506" xr:uid="{EC8E7806-DC9A-4E8D-A08C-32AC3394BF44}"/>
    <cellStyle name="Normal 2 2 20 24" xfId="22507" xr:uid="{6ECC7C1C-9284-424F-A37A-26325230BAE8}"/>
    <cellStyle name="Normal 2 2 20 25" xfId="22508" xr:uid="{A8C095A4-5E5C-4FFC-A802-486E663C9F84}"/>
    <cellStyle name="Normal 2 2 20 26" xfId="22509" xr:uid="{D1C1EA31-E9E0-4699-A6FC-441308553737}"/>
    <cellStyle name="Normal 2 2 20 27" xfId="22510" xr:uid="{5B01BDF0-4848-4350-890D-615539C5F315}"/>
    <cellStyle name="Normal 2 2 20 28" xfId="22511" xr:uid="{15669F3B-BB0C-4628-876D-81DBCB89E2C3}"/>
    <cellStyle name="Normal 2 2 20 29" xfId="22512" xr:uid="{E9EC339E-0F1D-438E-845C-6574F09CCEB0}"/>
    <cellStyle name="Normal 2 2 20 3" xfId="22513" xr:uid="{308CB789-385F-4BB3-AA16-314D64B6C608}"/>
    <cellStyle name="Normal 2 2 20 30" xfId="22514" xr:uid="{59B531A3-E39E-475E-B6BF-DB3F1FA1BD77}"/>
    <cellStyle name="Normal 2 2 20 31" xfId="22515" xr:uid="{1E035EAA-DC05-43D5-9DD0-E1A166C2A0EF}"/>
    <cellStyle name="Normal 2 2 20 32" xfId="22516" xr:uid="{DC463448-8ACB-42A6-BE64-83E73CDFCEC9}"/>
    <cellStyle name="Normal 2 2 20 33" xfId="22517" xr:uid="{7878D7CB-407C-4A8D-90F7-096D0DAA4B02}"/>
    <cellStyle name="Normal 2 2 20 34" xfId="22518" xr:uid="{9BE52469-8F45-46AB-8F05-36F296714593}"/>
    <cellStyle name="Normal 2 2 20 35" xfId="22519" xr:uid="{A675C967-A27B-4E55-8832-DD44F5A4A662}"/>
    <cellStyle name="Normal 2 2 20 36" xfId="22520" xr:uid="{BC770A07-CD8F-430E-95EE-AD7E552F0B3C}"/>
    <cellStyle name="Normal 2 2 20 37" xfId="22521" xr:uid="{FDA94768-FAE3-4ED3-A31D-88CEDA7382C2}"/>
    <cellStyle name="Normal 2 2 20 38" xfId="22522" xr:uid="{D33EF5F9-ED2E-4264-AC7E-6FDCF5701D16}"/>
    <cellStyle name="Normal 2 2 20 39" xfId="22523" xr:uid="{F2C87E1A-CE0E-4167-B258-720EB054A689}"/>
    <cellStyle name="Normal 2 2 20 4" xfId="22524" xr:uid="{759962BA-550D-46BE-B52B-23D9A3EA1D7F}"/>
    <cellStyle name="Normal 2 2 20 40" xfId="22525" xr:uid="{4E2561CD-CF5F-4524-B7F6-6A0EB7EFDE8A}"/>
    <cellStyle name="Normal 2 2 20 41" xfId="22526" xr:uid="{E8969131-A9C3-416F-8DFE-1B921C5B6431}"/>
    <cellStyle name="Normal 2 2 20 42" xfId="22527" xr:uid="{85B15C83-DE14-491F-8712-4A5EEA7542C8}"/>
    <cellStyle name="Normal 2 2 20 43" xfId="22528" xr:uid="{9495D37B-D407-4200-B2AA-F56BF0FF10D5}"/>
    <cellStyle name="Normal 2 2 20 44" xfId="22529" xr:uid="{142A89A3-404C-4B5E-AD86-547BCB18E4BD}"/>
    <cellStyle name="Normal 2 2 20 45" xfId="22530" xr:uid="{28919A26-D4F3-4638-B156-6436BF755B3E}"/>
    <cellStyle name="Normal 2 2 20 46" xfId="22531" xr:uid="{0161F665-D949-4198-89DC-0F8AF0896585}"/>
    <cellStyle name="Normal 2 2 20 5" xfId="22532" xr:uid="{49B862BD-67AF-48A3-B750-849882839B0A}"/>
    <cellStyle name="Normal 2 2 20 6" xfId="22533" xr:uid="{53D518F0-1861-4009-8D9D-0A3567F34F6A}"/>
    <cellStyle name="Normal 2 2 20 7" xfId="22534" xr:uid="{E4A3AB3D-D8ED-41E4-93BF-15DCAFFEA0FF}"/>
    <cellStyle name="Normal 2 2 20 8" xfId="22535" xr:uid="{D58DF77A-EF78-4E59-8347-4CC551231705}"/>
    <cellStyle name="Normal 2 2 20 9" xfId="22536" xr:uid="{F71D5F69-E204-486D-AE4F-AAB8063E0E13}"/>
    <cellStyle name="Normal 2 2 21" xfId="22537" xr:uid="{530402C8-F0E2-4661-BCA2-8F01A006393B}"/>
    <cellStyle name="Normal 2 2 21 10" xfId="22538" xr:uid="{4AC26C00-2C1F-45CD-A0B9-430E2F1A12DB}"/>
    <cellStyle name="Normal 2 2 21 11" xfId="22539" xr:uid="{23F4CEAE-B644-4FF3-8CCA-51D49C432D10}"/>
    <cellStyle name="Normal 2 2 21 12" xfId="22540" xr:uid="{F50F8C27-671A-409E-AD58-F6C07E26C0EF}"/>
    <cellStyle name="Normal 2 2 21 13" xfId="22541" xr:uid="{189B5DF1-A876-4008-968A-367DA5C1BB93}"/>
    <cellStyle name="Normal 2 2 21 14" xfId="22542" xr:uid="{3892E125-2BF5-4C6C-8ACF-2C1EAAA1B076}"/>
    <cellStyle name="Normal 2 2 21 2" xfId="22543" xr:uid="{CCBBB4E6-A036-4089-9FC3-ADBF4DF4C32F}"/>
    <cellStyle name="Normal 2 2 21 2 2" xfId="22544" xr:uid="{DC9A6866-6BD0-4E69-AD72-99177453FCE2}"/>
    <cellStyle name="Normal 2 2 21 2 2 2" xfId="22545" xr:uid="{E5D5CBC3-6B9D-460E-B2B2-386F1C444152}"/>
    <cellStyle name="Normal 2 2 21 2 3" xfId="22546" xr:uid="{F3AE1B67-BDA7-4264-81D0-B83740D3A425}"/>
    <cellStyle name="Normal 2 2 21 2 4" xfId="22547" xr:uid="{3B7608B7-B7BB-4C6F-BC72-EA7F99B73A08}"/>
    <cellStyle name="Normal 2 2 21 2 5" xfId="22548" xr:uid="{58D86309-A5F5-49E4-A856-03697B36565F}"/>
    <cellStyle name="Normal 2 2 21 2 6" xfId="22549" xr:uid="{310B3D87-9827-4310-8803-8F29D9CE2EDC}"/>
    <cellStyle name="Normal 2 2 21 3" xfId="22550" xr:uid="{3FB7CD35-C01B-4A46-9F36-E24881B26CB8}"/>
    <cellStyle name="Normal 2 2 21 3 2" xfId="22551" xr:uid="{49D3AC4D-1C47-45AE-A328-583ADFB7B6D3}"/>
    <cellStyle name="Normal 2 2 21 3 3" xfId="22552" xr:uid="{A3C41EBC-A6DC-4FE2-B76F-3CF9BFA87D1D}"/>
    <cellStyle name="Normal 2 2 21 3 4" xfId="22553" xr:uid="{680FDFBD-622F-492B-A273-5113E4803EAA}"/>
    <cellStyle name="Normal 2 2 21 3 5" xfId="22554" xr:uid="{788561A8-FA72-4477-B0AB-B53AB528156F}"/>
    <cellStyle name="Normal 2 2 21 3 6" xfId="22555" xr:uid="{4C23F4C5-89DE-4A0D-A929-05E178A58065}"/>
    <cellStyle name="Normal 2 2 21 4" xfId="22556" xr:uid="{7F8EACC3-57B8-48EB-87C5-82CD99B9F114}"/>
    <cellStyle name="Normal 2 2 21 4 2" xfId="22557" xr:uid="{3B3990C5-DC37-4E7F-90F3-BE84465B47FA}"/>
    <cellStyle name="Normal 2 2 21 4 3" xfId="22558" xr:uid="{86D150A2-895A-49C4-9914-58A988152C2A}"/>
    <cellStyle name="Normal 2 2 21 4 4" xfId="22559" xr:uid="{4D87E7B2-3CB0-4204-A84B-AEE51BC2178F}"/>
    <cellStyle name="Normal 2 2 21 4 5" xfId="22560" xr:uid="{0ACD7071-8ECC-4671-AAAE-B11006A304D2}"/>
    <cellStyle name="Normal 2 2 21 4 6" xfId="22561" xr:uid="{EE646C42-5CB2-4305-A304-62A8B4DCB8A3}"/>
    <cellStyle name="Normal 2 2 21 5" xfId="22562" xr:uid="{FD2735B0-754A-40DA-9858-E93D638268F6}"/>
    <cellStyle name="Normal 2 2 21 5 2" xfId="22563" xr:uid="{BC60FC57-3128-43F3-9DCB-F24332CB65CB}"/>
    <cellStyle name="Normal 2 2 21 5 3" xfId="22564" xr:uid="{333966D4-D07A-4CCF-887D-6BE3F2225C00}"/>
    <cellStyle name="Normal 2 2 21 5 4" xfId="22565" xr:uid="{29175A4D-7632-4C73-AF3C-76AF3C2553C7}"/>
    <cellStyle name="Normal 2 2 21 5 5" xfId="22566" xr:uid="{A79FEAC0-D6EB-4C6C-9AB6-B840EFCBAA04}"/>
    <cellStyle name="Normal 2 2 21 5 6" xfId="22567" xr:uid="{D8DC8FA6-AB17-4C0C-9322-AB2C21608A36}"/>
    <cellStyle name="Normal 2 2 21 6" xfId="22568" xr:uid="{65C6EFEE-32F9-41BC-A92A-B87492CD035D}"/>
    <cellStyle name="Normal 2 2 21 6 2" xfId="22569" xr:uid="{02703FF3-3BA1-41CB-9BDD-11ED6AF0F585}"/>
    <cellStyle name="Normal 2 2 21 6 3" xfId="22570" xr:uid="{6ECC1EE0-E3A7-4643-B638-7FBA737074D6}"/>
    <cellStyle name="Normal 2 2 21 6 4" xfId="22571" xr:uid="{0BE788D3-F9D0-46BE-AE3E-E011E0DACF3E}"/>
    <cellStyle name="Normal 2 2 21 6 5" xfId="22572" xr:uid="{437762FA-3497-42CA-9842-CE7E8D86B6D7}"/>
    <cellStyle name="Normal 2 2 21 6 6" xfId="22573" xr:uid="{DE112128-425A-4E6A-940D-FB184D090739}"/>
    <cellStyle name="Normal 2 2 21 7" xfId="22574" xr:uid="{A37C694A-A34E-4624-ABC3-077BCE2833C9}"/>
    <cellStyle name="Normal 2 2 21 7 2" xfId="22575" xr:uid="{B3E05191-E3BE-4908-A383-3F79B93675D9}"/>
    <cellStyle name="Normal 2 2 21 7 3" xfId="22576" xr:uid="{BD470DF9-A7E8-4CAE-9300-8995B430DF10}"/>
    <cellStyle name="Normal 2 2 21 7 4" xfId="22577" xr:uid="{BC88F7D7-8956-459E-8DD8-11D41AB04B22}"/>
    <cellStyle name="Normal 2 2 21 7 5" xfId="22578" xr:uid="{9935CB20-72FC-4565-81FB-7D3F4BA5BB7F}"/>
    <cellStyle name="Normal 2 2 21 7 6" xfId="22579" xr:uid="{715A5EF6-AE53-49B7-9125-E65F01C69BA2}"/>
    <cellStyle name="Normal 2 2 21 8" xfId="22580" xr:uid="{AEE668D8-C3CD-4A81-BBDE-B2474423A983}"/>
    <cellStyle name="Normal 2 2 21 8 2" xfId="22581" xr:uid="{105A0365-6B0F-42E6-A751-D82D29AEC181}"/>
    <cellStyle name="Normal 2 2 21 8 3" xfId="22582" xr:uid="{3B835EB8-848F-4738-88CF-C6AA2CD591A9}"/>
    <cellStyle name="Normal 2 2 21 8 4" xfId="22583" xr:uid="{B8D15283-AEC8-405D-AE1F-DAB23BDF8E35}"/>
    <cellStyle name="Normal 2 2 21 8 5" xfId="22584" xr:uid="{3783BBD5-319B-4B6B-9C32-0F6923390504}"/>
    <cellStyle name="Normal 2 2 21 8 6" xfId="22585" xr:uid="{F2A998B9-F303-45E0-A37B-E876C153C6BB}"/>
    <cellStyle name="Normal 2 2 21 9" xfId="22586" xr:uid="{5B7B1794-0A2F-4889-94D8-37C835D1F7D2}"/>
    <cellStyle name="Normal 2 2 22" xfId="22587" xr:uid="{F529BB72-B2F7-47B4-8EA7-37C56A3C9E52}"/>
    <cellStyle name="Normal 2 2 22 10" xfId="22588" xr:uid="{D9DEBCE8-3A0D-4179-8F80-F851A5B8B70D}"/>
    <cellStyle name="Normal 2 2 22 11" xfId="22589" xr:uid="{2633DA8B-D3D7-4A4F-8A83-D181C75B86F9}"/>
    <cellStyle name="Normal 2 2 22 12" xfId="22590" xr:uid="{5E14EB67-E73C-4658-9E14-F8D9EB0D1E89}"/>
    <cellStyle name="Normal 2 2 22 13" xfId="22591" xr:uid="{4AA02D1F-D041-4268-874D-AF68C4C57506}"/>
    <cellStyle name="Normal 2 2 22 14" xfId="22592" xr:uid="{477A6917-487B-4FD0-9524-CF8F2149AB26}"/>
    <cellStyle name="Normal 2 2 22 2" xfId="22593" xr:uid="{C7B7DEF5-19B5-4F7B-BB8E-9488E7CE6281}"/>
    <cellStyle name="Normal 2 2 22 2 2" xfId="22594" xr:uid="{056FAA30-243D-47C6-8E7B-9DA1262549BC}"/>
    <cellStyle name="Normal 2 2 22 2 3" xfId="22595" xr:uid="{837E8982-ECB0-4FC7-BA9B-0C2C49BF415A}"/>
    <cellStyle name="Normal 2 2 22 2 4" xfId="22596" xr:uid="{1A189965-0733-4133-9851-AE4BE211673A}"/>
    <cellStyle name="Normal 2 2 22 2 5" xfId="22597" xr:uid="{0D408973-4171-43AD-A980-785E2A276B28}"/>
    <cellStyle name="Normal 2 2 22 2 6" xfId="22598" xr:uid="{8646A1B9-E209-4D4E-9AC0-109D490D8078}"/>
    <cellStyle name="Normal 2 2 22 3" xfId="22599" xr:uid="{140A280D-2A48-402A-9D9A-DC6585CE2066}"/>
    <cellStyle name="Normal 2 2 22 3 2" xfId="22600" xr:uid="{6FE0D697-4741-413E-AE26-0B7A96D27FB9}"/>
    <cellStyle name="Normal 2 2 22 3 3" xfId="22601" xr:uid="{0FB06991-2104-432B-A30F-BD04751B00B7}"/>
    <cellStyle name="Normal 2 2 22 3 4" xfId="22602" xr:uid="{D42DAD3B-A94C-486F-BFD1-B73C94D20B65}"/>
    <cellStyle name="Normal 2 2 22 3 5" xfId="22603" xr:uid="{588BB48B-456E-46D0-B21E-1AF667D5071F}"/>
    <cellStyle name="Normal 2 2 22 3 6" xfId="22604" xr:uid="{2FB53789-847F-46A2-ADFE-6B9394821F1B}"/>
    <cellStyle name="Normal 2 2 22 4" xfId="22605" xr:uid="{CBE5E0CF-E064-477D-A55D-3847FBA798D5}"/>
    <cellStyle name="Normal 2 2 22 4 2" xfId="22606" xr:uid="{B7DA0D20-3FCB-43C4-BF23-582B73B59975}"/>
    <cellStyle name="Normal 2 2 22 4 3" xfId="22607" xr:uid="{ADFF2DB1-FE90-4A0F-B6E3-FC98110D390B}"/>
    <cellStyle name="Normal 2 2 22 4 4" xfId="22608" xr:uid="{7A6C4C95-28CB-4B7B-A47A-4787FEF4845F}"/>
    <cellStyle name="Normal 2 2 22 4 5" xfId="22609" xr:uid="{20C0AF46-DC9F-45B3-9740-CD3B304A2EBF}"/>
    <cellStyle name="Normal 2 2 22 4 6" xfId="22610" xr:uid="{1688D03B-0F0F-428B-824E-556F58F446F4}"/>
    <cellStyle name="Normal 2 2 22 5" xfId="22611" xr:uid="{2BA349C8-8C24-475C-A771-1D341E4FAE66}"/>
    <cellStyle name="Normal 2 2 22 5 2" xfId="22612" xr:uid="{41B3075A-DCE7-4C7F-8890-5A2FF898FFBB}"/>
    <cellStyle name="Normal 2 2 22 5 3" xfId="22613" xr:uid="{EC641FCF-BE3C-4905-9BEA-97C0F64690AE}"/>
    <cellStyle name="Normal 2 2 22 5 4" xfId="22614" xr:uid="{9AB1B288-3162-4512-8975-6550ED9E7C72}"/>
    <cellStyle name="Normal 2 2 22 5 5" xfId="22615" xr:uid="{5E219D9B-7D0B-422F-A7BA-17589427B06A}"/>
    <cellStyle name="Normal 2 2 22 5 6" xfId="22616" xr:uid="{81883F2E-88A5-4A97-9542-F75E6918F75B}"/>
    <cellStyle name="Normal 2 2 22 6" xfId="22617" xr:uid="{A0336213-FB4C-4449-877C-D71D54BB55BD}"/>
    <cellStyle name="Normal 2 2 22 6 2" xfId="22618" xr:uid="{715DCC8F-2B64-486C-A85C-186FA2BA8187}"/>
    <cellStyle name="Normal 2 2 22 6 3" xfId="22619" xr:uid="{B7A099F6-117A-418E-98AC-7CC8D0222D73}"/>
    <cellStyle name="Normal 2 2 22 6 4" xfId="22620" xr:uid="{AA093C1F-8909-458C-84A1-289B8EDEDD01}"/>
    <cellStyle name="Normal 2 2 22 6 5" xfId="22621" xr:uid="{32025637-71A5-45A4-A7A6-72C26E7AFEAE}"/>
    <cellStyle name="Normal 2 2 22 6 6" xfId="22622" xr:uid="{2F0C8D75-E794-4DCB-848F-6065D9770790}"/>
    <cellStyle name="Normal 2 2 22 7" xfId="22623" xr:uid="{4F2ADD42-06E8-479F-9031-EAD694C4A639}"/>
    <cellStyle name="Normal 2 2 22 7 2" xfId="22624" xr:uid="{3BC5032F-B883-4715-831D-308E81771361}"/>
    <cellStyle name="Normal 2 2 22 7 3" xfId="22625" xr:uid="{1022DFDA-0ED6-40BD-9779-6078B5ADC5CF}"/>
    <cellStyle name="Normal 2 2 22 7 4" xfId="22626" xr:uid="{F64DCE16-D155-48FB-8840-F3155BA5AD8A}"/>
    <cellStyle name="Normal 2 2 22 7 5" xfId="22627" xr:uid="{C0CDEF8A-BABA-414E-ABC7-1224CAC4BD98}"/>
    <cellStyle name="Normal 2 2 22 7 6" xfId="22628" xr:uid="{92B48CA9-54D4-4B17-B83E-EE4C9C54B731}"/>
    <cellStyle name="Normal 2 2 22 8" xfId="22629" xr:uid="{1EEFF624-BE24-484F-96C4-FB336223B6B5}"/>
    <cellStyle name="Normal 2 2 22 8 2" xfId="22630" xr:uid="{B8F3FB0E-63E8-4729-A513-80DD0240107B}"/>
    <cellStyle name="Normal 2 2 22 8 3" xfId="22631" xr:uid="{22C548AF-D4B0-49B6-B226-0B447A56E7E7}"/>
    <cellStyle name="Normal 2 2 22 8 4" xfId="22632" xr:uid="{5782F4A5-9113-493C-815B-567AA26815C7}"/>
    <cellStyle name="Normal 2 2 22 8 5" xfId="22633" xr:uid="{523809B0-F305-4ADD-B820-F7F5DFCF3DDA}"/>
    <cellStyle name="Normal 2 2 22 8 6" xfId="22634" xr:uid="{E6AE4318-A762-4112-9184-36840AE6EC20}"/>
    <cellStyle name="Normal 2 2 22 9" xfId="22635" xr:uid="{9C7C08E2-45AE-4D7C-A175-2367A563C420}"/>
    <cellStyle name="Normal 2 2 23" xfId="22636" xr:uid="{3E8A436D-84E4-4FDB-8BB3-BA511AA48C3B}"/>
    <cellStyle name="Normal 2 2 23 10" xfId="22637" xr:uid="{5C5AD9F1-E1B6-4ED1-A69A-0BBE0825BEC9}"/>
    <cellStyle name="Normal 2 2 23 11" xfId="22638" xr:uid="{76013B73-DE31-4654-8A3A-9623273D04E8}"/>
    <cellStyle name="Normal 2 2 23 12" xfId="22639" xr:uid="{FE84AD94-8361-4847-8AAE-80139FF4A7CC}"/>
    <cellStyle name="Normal 2 2 23 13" xfId="22640" xr:uid="{C390C03E-114E-45EB-B4C6-5D03666895BB}"/>
    <cellStyle name="Normal 2 2 23 14" xfId="22641" xr:uid="{D725B006-F352-4D27-AEAF-3B7C72D765B8}"/>
    <cellStyle name="Normal 2 2 23 2" xfId="22642" xr:uid="{C9B66D4E-346B-4E42-A00D-7C0795B5C42A}"/>
    <cellStyle name="Normal 2 2 23 2 2" xfId="22643" xr:uid="{DDF2B6C1-B8BC-4149-B7EC-85375A214F65}"/>
    <cellStyle name="Normal 2 2 23 2 3" xfId="22644" xr:uid="{6C385488-DF2B-4303-ACA3-057696405612}"/>
    <cellStyle name="Normal 2 2 23 2 4" xfId="22645" xr:uid="{4E3057EC-64CB-478C-AA18-AFC85B2E0BFC}"/>
    <cellStyle name="Normal 2 2 23 2 5" xfId="22646" xr:uid="{20BCDFFF-0701-461A-A50F-AD7622347D46}"/>
    <cellStyle name="Normal 2 2 23 2 6" xfId="22647" xr:uid="{1B90F8F6-B273-426D-A13E-145F8A9381ED}"/>
    <cellStyle name="Normal 2 2 23 3" xfId="22648" xr:uid="{9E7DE010-2A88-4534-8CE0-409306047334}"/>
    <cellStyle name="Normal 2 2 23 3 2" xfId="22649" xr:uid="{BFEDF408-94F5-44F6-B60F-12B37D013C56}"/>
    <cellStyle name="Normal 2 2 23 3 3" xfId="22650" xr:uid="{AA772FE7-7033-472C-8933-56D3706AD25C}"/>
    <cellStyle name="Normal 2 2 23 3 4" xfId="22651" xr:uid="{EFCE9C74-1F69-437D-83D4-7B11D07CB0FF}"/>
    <cellStyle name="Normal 2 2 23 3 5" xfId="22652" xr:uid="{EB5E0958-2355-4F61-A387-9A366FFE1D70}"/>
    <cellStyle name="Normal 2 2 23 3 6" xfId="22653" xr:uid="{E37D938A-D895-453E-B8EA-F8A828B0D7F2}"/>
    <cellStyle name="Normal 2 2 23 4" xfId="22654" xr:uid="{96AF3C56-9EA3-4373-83C5-2F03394407EE}"/>
    <cellStyle name="Normal 2 2 23 4 2" xfId="22655" xr:uid="{9486EB25-CF8D-4058-BE76-07E0813D3688}"/>
    <cellStyle name="Normal 2 2 23 4 3" xfId="22656" xr:uid="{7A85C0A0-48D7-4A37-8E79-7306B439F1BF}"/>
    <cellStyle name="Normal 2 2 23 4 4" xfId="22657" xr:uid="{98A85ABC-3294-4244-B351-1A37BCE80DDF}"/>
    <cellStyle name="Normal 2 2 23 4 5" xfId="22658" xr:uid="{33ED9B94-B6CB-4AC6-8AB8-0EC050F45A8A}"/>
    <cellStyle name="Normal 2 2 23 4 6" xfId="22659" xr:uid="{4469A97E-30A3-4C16-9816-E558688831B2}"/>
    <cellStyle name="Normal 2 2 23 5" xfId="22660" xr:uid="{EB6AF71C-F1A4-4C78-9944-AABA91B035F9}"/>
    <cellStyle name="Normal 2 2 23 5 2" xfId="22661" xr:uid="{5AA09401-EA37-4A58-8306-62C9ACB89849}"/>
    <cellStyle name="Normal 2 2 23 5 3" xfId="22662" xr:uid="{B69E94AB-718B-4032-A931-54F46D59EBCF}"/>
    <cellStyle name="Normal 2 2 23 5 4" xfId="22663" xr:uid="{71629191-1932-42D9-822F-439473A2C066}"/>
    <cellStyle name="Normal 2 2 23 5 5" xfId="22664" xr:uid="{7B9B6CA2-4E03-4427-9007-EE055BFB1261}"/>
    <cellStyle name="Normal 2 2 23 5 6" xfId="22665" xr:uid="{B629B25A-25BB-472A-824D-7E731108B3A0}"/>
    <cellStyle name="Normal 2 2 23 6" xfId="22666" xr:uid="{F09B81A4-EABD-4F5C-B0D4-935BC00AEFAD}"/>
    <cellStyle name="Normal 2 2 23 6 2" xfId="22667" xr:uid="{2CDCD061-C836-4F08-84EC-25F31DD11086}"/>
    <cellStyle name="Normal 2 2 23 6 3" xfId="22668" xr:uid="{9E438D18-2E2F-4E01-80AB-5CBF547F3E73}"/>
    <cellStyle name="Normal 2 2 23 6 4" xfId="22669" xr:uid="{A57A3CF9-27B2-43C9-9ADE-82645AD79716}"/>
    <cellStyle name="Normal 2 2 23 6 5" xfId="22670" xr:uid="{8C88BE7F-5E24-40A3-933E-967C45151BBF}"/>
    <cellStyle name="Normal 2 2 23 6 6" xfId="22671" xr:uid="{C8FE7E69-2CA0-47F1-9BA4-05EAF3CD9FEB}"/>
    <cellStyle name="Normal 2 2 23 7" xfId="22672" xr:uid="{DA2AE92C-7BF2-4431-9AD9-1637FB6B672B}"/>
    <cellStyle name="Normal 2 2 23 7 2" xfId="22673" xr:uid="{E400E50C-2A58-4EFB-BA6C-DD7B232A65D4}"/>
    <cellStyle name="Normal 2 2 23 7 3" xfId="22674" xr:uid="{8BBB0E0D-1EF4-4308-97D1-050B25B61E2A}"/>
    <cellStyle name="Normal 2 2 23 7 4" xfId="22675" xr:uid="{F0C39163-F5A8-4163-BC32-985A0B95004C}"/>
    <cellStyle name="Normal 2 2 23 7 5" xfId="22676" xr:uid="{97473D29-D5AD-4B5F-BA41-8794933B1673}"/>
    <cellStyle name="Normal 2 2 23 7 6" xfId="22677" xr:uid="{5B51DFD7-E1B3-4529-BEC7-1BC78BCDB7BE}"/>
    <cellStyle name="Normal 2 2 23 8" xfId="22678" xr:uid="{EE541D81-9C2A-48F3-842D-9732BFB393CD}"/>
    <cellStyle name="Normal 2 2 23 8 2" xfId="22679" xr:uid="{E5FD8C05-EEE9-4EFB-8DD8-5E454B290B2A}"/>
    <cellStyle name="Normal 2 2 23 8 3" xfId="22680" xr:uid="{513531B9-CB4B-40FB-9032-E63305CB46C5}"/>
    <cellStyle name="Normal 2 2 23 8 4" xfId="22681" xr:uid="{2F3235AD-D9BA-451C-9E58-65D868D1CD7C}"/>
    <cellStyle name="Normal 2 2 23 8 5" xfId="22682" xr:uid="{EF0D90BB-D5C9-4311-B1A9-485A1E7DCD59}"/>
    <cellStyle name="Normal 2 2 23 8 6" xfId="22683" xr:uid="{1C50D0D3-1891-4A71-9AB1-73BB1BBB1861}"/>
    <cellStyle name="Normal 2 2 23 9" xfId="22684" xr:uid="{4CFA0324-4AEB-461E-8359-1BD9004A72E0}"/>
    <cellStyle name="Normal 2 2 24" xfId="22685" xr:uid="{499BD59F-CF63-4F4C-94A8-6516F45E5DF1}"/>
    <cellStyle name="Normal 2 2 24 10" xfId="22686" xr:uid="{DEEA9A70-C1CE-4DAD-9977-88A48D85E638}"/>
    <cellStyle name="Normal 2 2 24 11" xfId="22687" xr:uid="{4CC8E5A0-1934-40F9-909F-52FB2C7DF40E}"/>
    <cellStyle name="Normal 2 2 24 12" xfId="22688" xr:uid="{B0EB66A2-4865-4CE1-B3D1-CC5F63AFABB4}"/>
    <cellStyle name="Normal 2 2 24 13" xfId="22689" xr:uid="{DA430D71-218C-4E05-A224-E11591586AC8}"/>
    <cellStyle name="Normal 2 2 24 14" xfId="22690" xr:uid="{10F32045-AD14-41B7-9D15-04E6BDFB38D8}"/>
    <cellStyle name="Normal 2 2 24 2" xfId="22691" xr:uid="{1C0CA0DF-C1DC-4328-A048-EDDE414462F5}"/>
    <cellStyle name="Normal 2 2 24 2 2" xfId="22692" xr:uid="{EEDE0497-A796-4DD5-952F-AC12DEFF11C3}"/>
    <cellStyle name="Normal 2 2 24 2 3" xfId="22693" xr:uid="{9DC1E2A7-F9B8-442B-9339-A45AAB776336}"/>
    <cellStyle name="Normal 2 2 24 2 4" xfId="22694" xr:uid="{41795B38-4D44-4638-B347-B13058148C8A}"/>
    <cellStyle name="Normal 2 2 24 2 5" xfId="22695" xr:uid="{B5939CB7-6026-478B-B612-783C6CD69D1C}"/>
    <cellStyle name="Normal 2 2 24 2 6" xfId="22696" xr:uid="{99E5C647-0632-4E25-A526-341594BBD135}"/>
    <cellStyle name="Normal 2 2 24 3" xfId="22697" xr:uid="{2A1709F4-4512-4DC2-814B-86A8569B4F78}"/>
    <cellStyle name="Normal 2 2 24 3 2" xfId="22698" xr:uid="{4CC0FCE6-40DC-4922-9DC0-4F917BCD8B2B}"/>
    <cellStyle name="Normal 2 2 24 3 3" xfId="22699" xr:uid="{A484DCE5-FC64-464C-8EB3-87466783BC8E}"/>
    <cellStyle name="Normal 2 2 24 3 4" xfId="22700" xr:uid="{FFB04F1C-273E-4EB4-96B1-636F8A383D65}"/>
    <cellStyle name="Normal 2 2 24 3 5" xfId="22701" xr:uid="{A0CC3598-141A-46F9-8E6A-49429AA845FF}"/>
    <cellStyle name="Normal 2 2 24 3 6" xfId="22702" xr:uid="{5D6F6789-098D-4236-B23E-BD5703C07FD7}"/>
    <cellStyle name="Normal 2 2 24 4" xfId="22703" xr:uid="{0C62C397-208B-46C1-A37E-A40D43C21ED2}"/>
    <cellStyle name="Normal 2 2 24 4 2" xfId="22704" xr:uid="{1FF3320B-B662-474B-BAF4-28A6CF650A13}"/>
    <cellStyle name="Normal 2 2 24 4 3" xfId="22705" xr:uid="{25574DDC-297D-47C5-9098-9016B918A13B}"/>
    <cellStyle name="Normal 2 2 24 4 4" xfId="22706" xr:uid="{56F57FD1-C7EA-45B3-BE77-D792F5732828}"/>
    <cellStyle name="Normal 2 2 24 4 5" xfId="22707" xr:uid="{21E81D83-CC1B-4854-910F-025A479E72BC}"/>
    <cellStyle name="Normal 2 2 24 4 6" xfId="22708" xr:uid="{291AADDA-9E05-4C01-9931-084F844F2298}"/>
    <cellStyle name="Normal 2 2 24 5" xfId="22709" xr:uid="{EB81E5DD-6C3F-45ED-889A-1A36EF405236}"/>
    <cellStyle name="Normal 2 2 24 5 2" xfId="22710" xr:uid="{CECA4493-7CDF-4EBA-992E-54A6CC1A54CF}"/>
    <cellStyle name="Normal 2 2 24 5 3" xfId="22711" xr:uid="{0CDF8D77-A08A-4AF7-9CEE-3FC540C1D0E9}"/>
    <cellStyle name="Normal 2 2 24 5 4" xfId="22712" xr:uid="{66060CB2-CDBF-4436-9B72-806686916046}"/>
    <cellStyle name="Normal 2 2 24 5 5" xfId="22713" xr:uid="{1666C117-DA3D-4B94-850F-B6113C890820}"/>
    <cellStyle name="Normal 2 2 24 5 6" xfId="22714" xr:uid="{AA20F6E6-58DD-47AB-AFFE-C3622EB58D36}"/>
    <cellStyle name="Normal 2 2 24 6" xfId="22715" xr:uid="{18750F63-F1C0-4BE2-835A-669690ED6C2F}"/>
    <cellStyle name="Normal 2 2 24 6 2" xfId="22716" xr:uid="{611B09C1-ADFF-42FC-874F-B0F371AD8A46}"/>
    <cellStyle name="Normal 2 2 24 6 3" xfId="22717" xr:uid="{063FA1DA-8DAC-4F91-9F74-E6B10CB8A9B1}"/>
    <cellStyle name="Normal 2 2 24 6 4" xfId="22718" xr:uid="{7F49BF5B-C0B5-4E40-95E7-E42936C476BC}"/>
    <cellStyle name="Normal 2 2 24 6 5" xfId="22719" xr:uid="{88697761-E316-4F70-91A5-2CECE082283A}"/>
    <cellStyle name="Normal 2 2 24 6 6" xfId="22720" xr:uid="{00FC97D5-6D22-4860-BD15-8BD5AB47CFC2}"/>
    <cellStyle name="Normal 2 2 24 7" xfId="22721" xr:uid="{6982369B-8DFC-41B3-ADC8-84BFD4D2AF84}"/>
    <cellStyle name="Normal 2 2 24 7 2" xfId="22722" xr:uid="{F961BF59-AFFF-4EDE-AB1D-CE493B9C76B2}"/>
    <cellStyle name="Normal 2 2 24 7 3" xfId="22723" xr:uid="{4FBE5392-F642-44A8-A12E-CF13E8AD4126}"/>
    <cellStyle name="Normal 2 2 24 7 4" xfId="22724" xr:uid="{CE9E25B6-A065-4C29-A1CD-9D9EAD3CB782}"/>
    <cellStyle name="Normal 2 2 24 7 5" xfId="22725" xr:uid="{A0154A0E-23FB-406F-84EC-9FE5D4D3B9A0}"/>
    <cellStyle name="Normal 2 2 24 7 6" xfId="22726" xr:uid="{23E4F754-4433-4AED-8D9C-41E99C0B51E4}"/>
    <cellStyle name="Normal 2 2 24 8" xfId="22727" xr:uid="{C1321F10-FAAC-4F5C-BC6A-D166D3D404D8}"/>
    <cellStyle name="Normal 2 2 24 8 2" xfId="22728" xr:uid="{BBE89BBE-98F9-4B64-9B32-D8D833A7D6B7}"/>
    <cellStyle name="Normal 2 2 24 8 3" xfId="22729" xr:uid="{252C809C-3189-41EB-93DA-BEF35CDA9FCB}"/>
    <cellStyle name="Normal 2 2 24 8 4" xfId="22730" xr:uid="{6020DCF7-3776-4231-AD21-15C51607C261}"/>
    <cellStyle name="Normal 2 2 24 8 5" xfId="22731" xr:uid="{AE001C4C-158A-4F07-B4D7-52F14259D3E0}"/>
    <cellStyle name="Normal 2 2 24 8 6" xfId="22732" xr:uid="{A0311DE5-F565-4573-A12F-46974ED831BE}"/>
    <cellStyle name="Normal 2 2 24 9" xfId="22733" xr:uid="{9B6479D7-D21A-4040-99B1-81CF38C29719}"/>
    <cellStyle name="Normal 2 2 25" xfId="22734" xr:uid="{2ECFC9C9-8107-42A7-B74A-9E0F8AAF6005}"/>
    <cellStyle name="Normal 2 2 25 10" xfId="22735" xr:uid="{16905A7A-9A8D-4748-A536-1938278A5480}"/>
    <cellStyle name="Normal 2 2 25 11" xfId="22736" xr:uid="{DA5CA55D-937B-4E78-8F00-A89D40611F6E}"/>
    <cellStyle name="Normal 2 2 25 12" xfId="22737" xr:uid="{81402DA7-03C3-4680-95E6-255AC619FF34}"/>
    <cellStyle name="Normal 2 2 25 13" xfId="22738" xr:uid="{78BE841D-17F5-4BE2-902C-92063EDCB93F}"/>
    <cellStyle name="Normal 2 2 25 14" xfId="22739" xr:uid="{D5660EA3-ED20-4492-A319-677C268E9EBC}"/>
    <cellStyle name="Normal 2 2 25 2" xfId="22740" xr:uid="{18100680-0444-4D15-A6E5-7EE96AEBD392}"/>
    <cellStyle name="Normal 2 2 25 2 2" xfId="22741" xr:uid="{2EA67BE2-7E72-4805-9251-EB793ADA03B6}"/>
    <cellStyle name="Normal 2 2 25 2 3" xfId="22742" xr:uid="{CE649DD5-8BA1-46D1-9DD6-673A95C125F5}"/>
    <cellStyle name="Normal 2 2 25 2 4" xfId="22743" xr:uid="{9DAECAD7-6ECD-4E09-B25D-A5589F4B67BC}"/>
    <cellStyle name="Normal 2 2 25 2 5" xfId="22744" xr:uid="{7D70D199-7730-428C-92C5-436361376FBB}"/>
    <cellStyle name="Normal 2 2 25 2 6" xfId="22745" xr:uid="{CC58D4CF-A0F1-4BE7-B640-A65BD9AAB518}"/>
    <cellStyle name="Normal 2 2 25 3" xfId="22746" xr:uid="{C1F5AD04-D3EA-4EA5-8C73-6B7B0634ACC8}"/>
    <cellStyle name="Normal 2 2 25 3 2" xfId="22747" xr:uid="{FC3DB9EB-1884-43F2-9F58-CB680E5FB62C}"/>
    <cellStyle name="Normal 2 2 25 3 3" xfId="22748" xr:uid="{DA753E75-3DDE-4AA4-BDC7-F215B3E76519}"/>
    <cellStyle name="Normal 2 2 25 3 4" xfId="22749" xr:uid="{FEBABFAE-76B0-4606-B3E4-E554CE11ECD6}"/>
    <cellStyle name="Normal 2 2 25 3 5" xfId="22750" xr:uid="{F30F91AB-F9A6-4818-9F80-9A188F0A81FE}"/>
    <cellStyle name="Normal 2 2 25 3 6" xfId="22751" xr:uid="{CCA936F1-9BC6-43F3-85F7-D11428D506D9}"/>
    <cellStyle name="Normal 2 2 25 4" xfId="22752" xr:uid="{5A36D75B-69CB-4CB7-A270-4FE608B5CB10}"/>
    <cellStyle name="Normal 2 2 25 4 2" xfId="22753" xr:uid="{6E83B385-5253-4616-A295-B450FC7CFB7A}"/>
    <cellStyle name="Normal 2 2 25 4 3" xfId="22754" xr:uid="{CF0C7DD4-7735-4AA7-A57C-FF2CED568519}"/>
    <cellStyle name="Normal 2 2 25 4 4" xfId="22755" xr:uid="{416C880B-FEC4-4BDB-93A4-FF3B5E5A97CB}"/>
    <cellStyle name="Normal 2 2 25 4 5" xfId="22756" xr:uid="{E81A452E-CE1F-4844-A7FD-6FE3A677F2FC}"/>
    <cellStyle name="Normal 2 2 25 4 6" xfId="22757" xr:uid="{FD906B01-B637-4421-AC2C-14B9119616AD}"/>
    <cellStyle name="Normal 2 2 25 5" xfId="22758" xr:uid="{5DDBA9EF-1A61-4ADF-8C43-936FD4F31109}"/>
    <cellStyle name="Normal 2 2 25 5 2" xfId="22759" xr:uid="{F3C9C240-5B2D-43CB-8F10-AB73C5AEC168}"/>
    <cellStyle name="Normal 2 2 25 5 3" xfId="22760" xr:uid="{FC67D099-72D6-4940-938D-B39280D48B59}"/>
    <cellStyle name="Normal 2 2 25 5 4" xfId="22761" xr:uid="{D3A3F8E3-9B92-4944-865D-F9028A8833C6}"/>
    <cellStyle name="Normal 2 2 25 5 5" xfId="22762" xr:uid="{674BCD80-B33F-4D07-BFF9-18C42544137F}"/>
    <cellStyle name="Normal 2 2 25 5 6" xfId="22763" xr:uid="{E3AFC7C9-D7C5-4EF1-98B4-FDE25374923C}"/>
    <cellStyle name="Normal 2 2 25 6" xfId="22764" xr:uid="{DEA6857C-00D4-4CD0-9139-5110B2903A7C}"/>
    <cellStyle name="Normal 2 2 25 6 2" xfId="22765" xr:uid="{3350A4F9-AC5D-4D7C-8559-26AA24A1636D}"/>
    <cellStyle name="Normal 2 2 25 6 3" xfId="22766" xr:uid="{FE03CF63-3DD9-459B-A241-4309F5C8BFD1}"/>
    <cellStyle name="Normal 2 2 25 6 4" xfId="22767" xr:uid="{94FD4621-E821-40BE-B38C-32E0D30ACE05}"/>
    <cellStyle name="Normal 2 2 25 6 5" xfId="22768" xr:uid="{CF7AEDB1-58F6-4123-BA89-A320391D2D62}"/>
    <cellStyle name="Normal 2 2 25 6 6" xfId="22769" xr:uid="{1851C9AE-124B-44C1-878A-F4B7424E176E}"/>
    <cellStyle name="Normal 2 2 25 7" xfId="22770" xr:uid="{5F0C97E9-4E30-46FB-AB60-B22A2F181412}"/>
    <cellStyle name="Normal 2 2 25 7 2" xfId="22771" xr:uid="{774A3607-EBE9-4A96-A93D-EB65DB92CEC3}"/>
    <cellStyle name="Normal 2 2 25 7 3" xfId="22772" xr:uid="{74637DD6-751E-41D5-9D64-83569744678D}"/>
    <cellStyle name="Normal 2 2 25 7 4" xfId="22773" xr:uid="{DEA5BBAF-0C7B-48C9-9755-0E599D8B1DAF}"/>
    <cellStyle name="Normal 2 2 25 7 5" xfId="22774" xr:uid="{4BC37389-94DA-439E-B47A-61681489479E}"/>
    <cellStyle name="Normal 2 2 25 7 6" xfId="22775" xr:uid="{81E9276B-0E0C-4112-9E9E-FBE122573E9F}"/>
    <cellStyle name="Normal 2 2 25 8" xfId="22776" xr:uid="{DEF3304B-B6EC-4116-BC84-D3B784427849}"/>
    <cellStyle name="Normal 2 2 25 8 2" xfId="22777" xr:uid="{C58B82B1-CE20-4337-BE9D-BC9640707F4A}"/>
    <cellStyle name="Normal 2 2 25 8 3" xfId="22778" xr:uid="{811BAECC-F466-4DAD-BB23-6A1E348F0DFD}"/>
    <cellStyle name="Normal 2 2 25 8 4" xfId="22779" xr:uid="{E6779495-3C9F-4C33-B032-F9CF5A1DA416}"/>
    <cellStyle name="Normal 2 2 25 8 5" xfId="22780" xr:uid="{F821DCD2-F598-4A0E-BC3C-27D097758897}"/>
    <cellStyle name="Normal 2 2 25 8 6" xfId="22781" xr:uid="{7FFA0FB5-4FC8-4DC3-B2A9-528B8F63B44A}"/>
    <cellStyle name="Normal 2 2 25 9" xfId="22782" xr:uid="{91EDF063-FE6D-467F-85E6-FE0A6F323EDB}"/>
    <cellStyle name="Normal 2 2 26" xfId="22783" xr:uid="{1B85E219-19D8-466C-AF66-E7CA3BE698AE}"/>
    <cellStyle name="Normal 2 2 26 10" xfId="22784" xr:uid="{6DD46070-8C62-470B-879F-8F5EC31C47AB}"/>
    <cellStyle name="Normal 2 2 26 10 10" xfId="22785" xr:uid="{01D23DBA-F421-4348-A4A1-59FD069959EB}"/>
    <cellStyle name="Normal 2 2 26 10 11" xfId="22786" xr:uid="{9A5AEC17-4539-4825-A545-8C05EF30CFFA}"/>
    <cellStyle name="Normal 2 2 26 10 12" xfId="22787" xr:uid="{DC153FC9-14FE-4127-8808-CB0974752BA5}"/>
    <cellStyle name="Normal 2 2 26 10 13" xfId="22788" xr:uid="{9FC3F31A-CE9A-4DA2-BA77-7FA9360CB4E1}"/>
    <cellStyle name="Normal 2 2 26 10 14" xfId="22789" xr:uid="{41283996-4016-4151-A3B5-C1F2FD3960DA}"/>
    <cellStyle name="Normal 2 2 26 10 15" xfId="22790" xr:uid="{6E3CA4B7-49F6-4760-A65E-7C88377DF6F0}"/>
    <cellStyle name="Normal 2 2 26 10 16" xfId="22791" xr:uid="{F62425A5-95CE-4651-BD6D-C3F01543FE40}"/>
    <cellStyle name="Normal 2 2 26 10 17" xfId="22792" xr:uid="{9D1875CF-BBA3-4C2F-85A8-5F17807C4145}"/>
    <cellStyle name="Normal 2 2 26 10 18" xfId="22793" xr:uid="{6596E766-D248-475A-AFDF-85184A2030D9}"/>
    <cellStyle name="Normal 2 2 26 10 19" xfId="22794" xr:uid="{75133A12-344A-48E7-90D2-C9D195112723}"/>
    <cellStyle name="Normal 2 2 26 10 2" xfId="22795" xr:uid="{9ACB78DC-6F31-4CA5-8DEA-DCA706B7EBA4}"/>
    <cellStyle name="Normal 2 2 26 10 20" xfId="22796" xr:uid="{D3352A30-C43D-4192-8490-03B09B8B0F74}"/>
    <cellStyle name="Normal 2 2 26 10 21" xfId="22797" xr:uid="{AA9FB67D-AF33-4ED5-9458-A0AEF45C968B}"/>
    <cellStyle name="Normal 2 2 26 10 22" xfId="22798" xr:uid="{5FAB7655-C89F-4B1F-B852-0072281D2F69}"/>
    <cellStyle name="Normal 2 2 26 10 23" xfId="22799" xr:uid="{628CC5D4-9743-4AC4-AC4C-29C190F32A5E}"/>
    <cellStyle name="Normal 2 2 26 10 24" xfId="22800" xr:uid="{15DD3A81-E05E-459F-8C12-DAF17DFDBCA6}"/>
    <cellStyle name="Normal 2 2 26 10 25" xfId="22801" xr:uid="{8FCF63F8-0FC7-4E83-8B92-256B0EE3C054}"/>
    <cellStyle name="Normal 2 2 26 10 26" xfId="22802" xr:uid="{2DD9ADE4-7C44-4BFE-A0D2-09C23F38DBDF}"/>
    <cellStyle name="Normal 2 2 26 10 27" xfId="22803" xr:uid="{DA1E78E0-9C5D-4261-BCFA-A19B0E3DEA99}"/>
    <cellStyle name="Normal 2 2 26 10 28" xfId="22804" xr:uid="{226D9A62-2AE6-4F73-AE64-20B3C912FC94}"/>
    <cellStyle name="Normal 2 2 26 10 29" xfId="22805" xr:uid="{9A5FCFC5-76D1-4886-B64B-A27BA0BC624F}"/>
    <cellStyle name="Normal 2 2 26 10 3" xfId="22806" xr:uid="{F17BB24A-8775-4259-8C8A-9415F1DCD390}"/>
    <cellStyle name="Normal 2 2 26 10 30" xfId="22807" xr:uid="{ABBCFE02-FA47-4CF1-977A-EC141702A8CB}"/>
    <cellStyle name="Normal 2 2 26 10 31" xfId="22808" xr:uid="{C03FC851-8F2D-47AC-9515-E6C96CA42B39}"/>
    <cellStyle name="Normal 2 2 26 10 32" xfId="22809" xr:uid="{19CBB8FC-AE2C-4803-8B01-EB540F711AFE}"/>
    <cellStyle name="Normal 2 2 26 10 33" xfId="22810" xr:uid="{E4260B9B-8EA6-4B40-993E-4AF76804E327}"/>
    <cellStyle name="Normal 2 2 26 10 34" xfId="22811" xr:uid="{760A0E51-F702-421E-AB00-ECEE9B2C7F2E}"/>
    <cellStyle name="Normal 2 2 26 10 35" xfId="22812" xr:uid="{A3F93273-1948-4F0E-8FCF-E0FE8C7BC3E8}"/>
    <cellStyle name="Normal 2 2 26 10 36" xfId="22813" xr:uid="{ED70182C-7745-4E0F-AE6C-1107344506D9}"/>
    <cellStyle name="Normal 2 2 26 10 37" xfId="22814" xr:uid="{02B5929C-11F0-4CFF-AABC-BDA58497E905}"/>
    <cellStyle name="Normal 2 2 26 10 4" xfId="22815" xr:uid="{0A0DBCA5-C483-4BB7-B634-C162ECAA1B5D}"/>
    <cellStyle name="Normal 2 2 26 10 5" xfId="22816" xr:uid="{6CD4C63B-A15D-4AC2-B555-D5E9E814A729}"/>
    <cellStyle name="Normal 2 2 26 10 6" xfId="22817" xr:uid="{C3830268-6FC6-4F0A-BC91-D68707BB7BD0}"/>
    <cellStyle name="Normal 2 2 26 10 7" xfId="22818" xr:uid="{E350F6C6-A02E-4B19-B6D5-13B750C62C7F}"/>
    <cellStyle name="Normal 2 2 26 10 8" xfId="22819" xr:uid="{FFA8E546-7788-499E-A4FD-6788A3037712}"/>
    <cellStyle name="Normal 2 2 26 10 9" xfId="22820" xr:uid="{67C6D9F2-3B0A-4872-9824-AEED5C67236A}"/>
    <cellStyle name="Normal 2 2 26 11" xfId="22821" xr:uid="{F434A75A-DA7D-4FF9-B38E-21FC63F9762D}"/>
    <cellStyle name="Normal 2 2 26 11 10" xfId="22822" xr:uid="{C29E7795-665D-499F-BAF0-FE9063936655}"/>
    <cellStyle name="Normal 2 2 26 11 11" xfId="22823" xr:uid="{BC2657F6-031C-4F04-A1CD-C1491BCCB2D8}"/>
    <cellStyle name="Normal 2 2 26 11 12" xfId="22824" xr:uid="{E8ADB747-E2DB-46E8-8511-3B67889889F5}"/>
    <cellStyle name="Normal 2 2 26 11 13" xfId="22825" xr:uid="{4A32BDF0-0666-499E-B244-0E1496CBA7B1}"/>
    <cellStyle name="Normal 2 2 26 11 14" xfId="22826" xr:uid="{65EFF58C-8EEF-475B-8588-8DBC602F9723}"/>
    <cellStyle name="Normal 2 2 26 11 15" xfId="22827" xr:uid="{74476CFF-E349-4A12-814C-FDF74ED0535C}"/>
    <cellStyle name="Normal 2 2 26 11 16" xfId="22828" xr:uid="{AF44A1C5-9BFC-43AF-8D06-6982F69805C4}"/>
    <cellStyle name="Normal 2 2 26 11 17" xfId="22829" xr:uid="{48778D79-005D-4BA9-9166-B8219B401979}"/>
    <cellStyle name="Normal 2 2 26 11 18" xfId="22830" xr:uid="{E3DC0566-D210-4C0A-B6B8-8E989806B7BA}"/>
    <cellStyle name="Normal 2 2 26 11 19" xfId="22831" xr:uid="{F22D8404-90B7-4A6D-A1E0-B80DE09BE93D}"/>
    <cellStyle name="Normal 2 2 26 11 2" xfId="22832" xr:uid="{ACD7FBBF-0E11-4CE3-A406-EF1273329341}"/>
    <cellStyle name="Normal 2 2 26 11 20" xfId="22833" xr:uid="{C3F85B3C-F83B-4A1B-BFCE-682F2CF5625B}"/>
    <cellStyle name="Normal 2 2 26 11 21" xfId="22834" xr:uid="{03A20695-8445-4DC9-B90C-949B45D382C6}"/>
    <cellStyle name="Normal 2 2 26 11 22" xfId="22835" xr:uid="{14A60EA1-36B4-424E-869B-45AA11619B87}"/>
    <cellStyle name="Normal 2 2 26 11 23" xfId="22836" xr:uid="{9A5E5D53-F5B9-41B4-831D-624785FDC064}"/>
    <cellStyle name="Normal 2 2 26 11 24" xfId="22837" xr:uid="{D751546E-8C2E-4B7E-93BC-C05FB1CBF234}"/>
    <cellStyle name="Normal 2 2 26 11 25" xfId="22838" xr:uid="{467D114D-BDB8-4231-AF05-CFF676633A3D}"/>
    <cellStyle name="Normal 2 2 26 11 26" xfId="22839" xr:uid="{CAF63C93-7FE9-40CA-A538-C7E4BC5E1861}"/>
    <cellStyle name="Normal 2 2 26 11 27" xfId="22840" xr:uid="{2268387E-A6AE-486D-8EF5-8A174751BB87}"/>
    <cellStyle name="Normal 2 2 26 11 28" xfId="22841" xr:uid="{61948D86-F18B-46A8-B9B5-975D73AE7A28}"/>
    <cellStyle name="Normal 2 2 26 11 29" xfId="22842" xr:uid="{1026EC8E-11C0-4E95-82F7-8A2DCB2A7DCB}"/>
    <cellStyle name="Normal 2 2 26 11 3" xfId="22843" xr:uid="{A3A8176A-20D1-476F-94A3-D1EBE0494B6F}"/>
    <cellStyle name="Normal 2 2 26 11 30" xfId="22844" xr:uid="{B38FE56D-751F-45D6-9DA7-C9DF3CFDA709}"/>
    <cellStyle name="Normal 2 2 26 11 31" xfId="22845" xr:uid="{9478FFF4-28CC-4095-BB88-262DBD598AF1}"/>
    <cellStyle name="Normal 2 2 26 11 32" xfId="22846" xr:uid="{18EB5F0F-DC08-4C65-9124-DDBB8FC39749}"/>
    <cellStyle name="Normal 2 2 26 11 33" xfId="22847" xr:uid="{87E4035B-CE51-4CDC-B7F6-C926A8A130E9}"/>
    <cellStyle name="Normal 2 2 26 11 34" xfId="22848" xr:uid="{8D55F4E1-E281-4766-BB36-460E46B45BFC}"/>
    <cellStyle name="Normal 2 2 26 11 35" xfId="22849" xr:uid="{F9C881D4-F6E2-44FE-BC3B-7691D5906AF1}"/>
    <cellStyle name="Normal 2 2 26 11 36" xfId="22850" xr:uid="{72ED38DC-44F6-4A09-81F2-1EB3E72FA233}"/>
    <cellStyle name="Normal 2 2 26 11 37" xfId="22851" xr:uid="{CDFD8CD7-321A-4C02-B8A0-8BC1DEA1A949}"/>
    <cellStyle name="Normal 2 2 26 11 4" xfId="22852" xr:uid="{FAA40814-BDD1-4A29-9A66-2BE383F37010}"/>
    <cellStyle name="Normal 2 2 26 11 5" xfId="22853" xr:uid="{BB5B1831-4D6E-4A87-BF7E-375674A30938}"/>
    <cellStyle name="Normal 2 2 26 11 6" xfId="22854" xr:uid="{AA8CC99A-30DE-41A8-9D2E-710AC5F0E769}"/>
    <cellStyle name="Normal 2 2 26 11 7" xfId="22855" xr:uid="{B62BD9F0-F278-42ED-88C9-13F04BD16C1C}"/>
    <cellStyle name="Normal 2 2 26 11 8" xfId="22856" xr:uid="{BCE7EA90-B75A-42DD-80D3-B23D2FD22D78}"/>
    <cellStyle name="Normal 2 2 26 11 9" xfId="22857" xr:uid="{9AE2EC11-F256-4E18-9DBF-8CB22AE45A7F}"/>
    <cellStyle name="Normal 2 2 26 12" xfId="22858" xr:uid="{14EBB3F1-50C1-478F-91A6-9E3F96C57FAF}"/>
    <cellStyle name="Normal 2 2 26 12 2" xfId="22859" xr:uid="{883D169F-2249-4B18-B33F-9AE45A96EA8F}"/>
    <cellStyle name="Normal 2 2 26 12 3" xfId="22860" xr:uid="{2FEA2749-53FD-4AD3-92FF-C1B5E837F090}"/>
    <cellStyle name="Normal 2 2 26 12 4" xfId="22861" xr:uid="{B354D127-88FA-4593-B8B0-8906AF812CCD}"/>
    <cellStyle name="Normal 2 2 26 12 5" xfId="22862" xr:uid="{4038B76A-0BDB-42D2-A9B7-B0003C470506}"/>
    <cellStyle name="Normal 2 2 26 12 6" xfId="22863" xr:uid="{6075E5D5-55A0-42AE-863F-44CCCA23202C}"/>
    <cellStyle name="Normal 2 2 26 13" xfId="22864" xr:uid="{9EAA43D6-087E-4D4D-96DD-BB92D6FB0B69}"/>
    <cellStyle name="Normal 2 2 26 13 2" xfId="22865" xr:uid="{4C47170D-F320-40D2-A956-E02ABD7C87C1}"/>
    <cellStyle name="Normal 2 2 26 13 3" xfId="22866" xr:uid="{E3DA5D56-B4C2-467E-B0DC-58FD61B2AA1C}"/>
    <cellStyle name="Normal 2 2 26 13 4" xfId="22867" xr:uid="{DBF224BB-DC7A-467E-9DA2-E37CC6340595}"/>
    <cellStyle name="Normal 2 2 26 13 5" xfId="22868" xr:uid="{4500A8E8-62DF-4B8C-866F-A93F9A0FB0F2}"/>
    <cellStyle name="Normal 2 2 26 13 6" xfId="22869" xr:uid="{E64C96E1-E4E9-4BE6-9E3B-1336D4815D93}"/>
    <cellStyle name="Normal 2 2 26 14" xfId="22870" xr:uid="{ED6E66FA-A1D4-4234-AAF1-570838E0BA4A}"/>
    <cellStyle name="Normal 2 2 26 14 2" xfId="22871" xr:uid="{6022811E-B102-44C2-9529-D02F2FDA4CDE}"/>
    <cellStyle name="Normal 2 2 26 14 3" xfId="22872" xr:uid="{3E7D9E36-CF9F-4A3B-AFA9-6CFC89C8CCFC}"/>
    <cellStyle name="Normal 2 2 26 14 4" xfId="22873" xr:uid="{31C4E8E6-C802-4602-90BA-945E5A87D752}"/>
    <cellStyle name="Normal 2 2 26 14 5" xfId="22874" xr:uid="{1C53FF0F-25BD-4A23-BC6B-252B6C3FDA32}"/>
    <cellStyle name="Normal 2 2 26 14 6" xfId="22875" xr:uid="{F17286E2-0430-44BB-AC29-2B6761C0DDEE}"/>
    <cellStyle name="Normal 2 2 26 15" xfId="22876" xr:uid="{2EA92A2D-6917-4BCE-AB51-E05F9643B566}"/>
    <cellStyle name="Normal 2 2 26 15 2" xfId="22877" xr:uid="{D259434A-8CD9-4DDD-B986-D70765AB78CA}"/>
    <cellStyle name="Normal 2 2 26 15 3" xfId="22878" xr:uid="{980D26FC-0652-4144-94AA-CBA7CFB5C299}"/>
    <cellStyle name="Normal 2 2 26 15 4" xfId="22879" xr:uid="{E644874A-9D0E-431C-8772-E0D259D10848}"/>
    <cellStyle name="Normal 2 2 26 15 5" xfId="22880" xr:uid="{2D1ABE1E-B4C1-45B2-ADBF-BC5D41FF4C25}"/>
    <cellStyle name="Normal 2 2 26 15 6" xfId="22881" xr:uid="{D4600A94-C1F8-47F7-82ED-52B5D7CF6B72}"/>
    <cellStyle name="Normal 2 2 26 16" xfId="22882" xr:uid="{D0A464F6-A5EC-4B6B-9D57-4B70BE69E2A1}"/>
    <cellStyle name="Normal 2 2 26 16 2" xfId="22883" xr:uid="{E81F46BE-DD7B-413A-A68E-91519096C1BA}"/>
    <cellStyle name="Normal 2 2 26 16 3" xfId="22884" xr:uid="{40B0BAAF-637A-4F0E-926E-C15086DABBEC}"/>
    <cellStyle name="Normal 2 2 26 16 4" xfId="22885" xr:uid="{043C9E36-AD6F-4D07-9573-D047579DE747}"/>
    <cellStyle name="Normal 2 2 26 16 5" xfId="22886" xr:uid="{A24CCA84-71C2-470A-8AB0-FD8C0DA94763}"/>
    <cellStyle name="Normal 2 2 26 16 6" xfId="22887" xr:uid="{F1D6E6EC-90F1-4076-975D-4C7CADF9D0C2}"/>
    <cellStyle name="Normal 2 2 26 17" xfId="22888" xr:uid="{E1846199-9C46-48FB-A708-7D26C0E602C0}"/>
    <cellStyle name="Normal 2 2 26 17 2" xfId="22889" xr:uid="{C2188BBD-1226-4B54-8285-76EFEDF49AB8}"/>
    <cellStyle name="Normal 2 2 26 17 3" xfId="22890" xr:uid="{CBA22AE2-0CEE-4D24-BC97-B743412653DA}"/>
    <cellStyle name="Normal 2 2 26 17 4" xfId="22891" xr:uid="{05B652CC-91E0-44F6-8016-3A2BC941A2C2}"/>
    <cellStyle name="Normal 2 2 26 17 5" xfId="22892" xr:uid="{0568F353-6EE8-4E52-A56D-7093209BBCD3}"/>
    <cellStyle name="Normal 2 2 26 17 6" xfId="22893" xr:uid="{2C5D5C01-AC34-4439-9597-2ABA064A5B93}"/>
    <cellStyle name="Normal 2 2 26 18" xfId="22894" xr:uid="{A8E15F6F-05FC-49DB-9066-BD7DC67791DA}"/>
    <cellStyle name="Normal 2 2 26 18 2" xfId="22895" xr:uid="{BCCA29A4-64E9-48C0-BF95-29FFBFE447A5}"/>
    <cellStyle name="Normal 2 2 26 18 3" xfId="22896" xr:uid="{C538A9EF-5C7C-4FEA-9B95-0149B33056F4}"/>
    <cellStyle name="Normal 2 2 26 18 4" xfId="22897" xr:uid="{08159BC8-82AF-46C7-BABD-84C28B1C1B54}"/>
    <cellStyle name="Normal 2 2 26 18 5" xfId="22898" xr:uid="{43AB2355-0DF4-4CE1-A7D5-6FEF89EDB687}"/>
    <cellStyle name="Normal 2 2 26 18 6" xfId="22899" xr:uid="{0837A2CE-9C89-4A9A-BB31-610E19860EE9}"/>
    <cellStyle name="Normal 2 2 26 19" xfId="22900" xr:uid="{5516E198-A152-492D-85D1-3D4E0F00A123}"/>
    <cellStyle name="Normal 2 2 26 2" xfId="22901" xr:uid="{773F7879-AD6B-42BA-A0BE-1EEE50D722F9}"/>
    <cellStyle name="Normal 2 2 26 2 10" xfId="22902" xr:uid="{D6D02F13-0EA3-4DFB-86A3-C112C45ABFB3}"/>
    <cellStyle name="Normal 2 2 26 2 11" xfId="22903" xr:uid="{34547DB8-187B-402E-B079-49F2E66FC86A}"/>
    <cellStyle name="Normal 2 2 26 2 12" xfId="22904" xr:uid="{BB9979F2-6FE4-4F9B-82A3-498C0025D899}"/>
    <cellStyle name="Normal 2 2 26 2 13" xfId="22905" xr:uid="{305CB254-F16A-497E-A87D-793E1A8196D5}"/>
    <cellStyle name="Normal 2 2 26 2 14" xfId="22906" xr:uid="{CA035265-ADB8-4F39-9199-726BECBACBFB}"/>
    <cellStyle name="Normal 2 2 26 2 15" xfId="22907" xr:uid="{28019C26-9AB7-4D32-97DB-5D811A67A064}"/>
    <cellStyle name="Normal 2 2 26 2 16" xfId="22908" xr:uid="{9830F570-5259-4A17-AC4E-636538384D34}"/>
    <cellStyle name="Normal 2 2 26 2 17" xfId="22909" xr:uid="{11913E12-A749-4A33-9BF7-43E3607E3F79}"/>
    <cellStyle name="Normal 2 2 26 2 18" xfId="22910" xr:uid="{984D6BD2-F15F-4CD1-AFE8-1142039D2793}"/>
    <cellStyle name="Normal 2 2 26 2 19" xfId="22911" xr:uid="{380FA476-7F0F-459D-B1DF-C724F0749B42}"/>
    <cellStyle name="Normal 2 2 26 2 2" xfId="22912" xr:uid="{FAC8C262-C160-4ABC-A4BB-5B30E6BE3731}"/>
    <cellStyle name="Normal 2 2 26 2 20" xfId="22913" xr:uid="{38915C44-270A-4FAB-B93A-77C371F7621B}"/>
    <cellStyle name="Normal 2 2 26 2 21" xfId="22914" xr:uid="{11C328F8-58CA-4F7A-8825-C9B906D2355D}"/>
    <cellStyle name="Normal 2 2 26 2 22" xfId="22915" xr:uid="{51A97E32-EF34-4AAD-926A-0466A197A6FC}"/>
    <cellStyle name="Normal 2 2 26 2 23" xfId="22916" xr:uid="{88B9039D-C6B2-4506-A54E-E6AE364E2155}"/>
    <cellStyle name="Normal 2 2 26 2 24" xfId="22917" xr:uid="{79D3187A-151E-4758-AC94-6AC1C998D590}"/>
    <cellStyle name="Normal 2 2 26 2 25" xfId="22918" xr:uid="{2CC75728-419A-456E-98B7-64050A9632AA}"/>
    <cellStyle name="Normal 2 2 26 2 26" xfId="22919" xr:uid="{FE9FB417-B782-4B57-8B6F-F8D59D9171CF}"/>
    <cellStyle name="Normal 2 2 26 2 27" xfId="22920" xr:uid="{5FE8CDD2-B836-42DF-840D-022E9248E0DD}"/>
    <cellStyle name="Normal 2 2 26 2 28" xfId="22921" xr:uid="{F38FC28E-7E67-42D9-A8DD-9F5DD5172598}"/>
    <cellStyle name="Normal 2 2 26 2 29" xfId="22922" xr:uid="{008F330B-DAAD-42D4-B6FE-9A4B4B6BBACF}"/>
    <cellStyle name="Normal 2 2 26 2 3" xfId="22923" xr:uid="{2EE734D1-BD93-4C2C-B920-E9FAEDF136D9}"/>
    <cellStyle name="Normal 2 2 26 2 30" xfId="22924" xr:uid="{FC2A5293-F605-4734-BC9B-F0B82F9EE912}"/>
    <cellStyle name="Normal 2 2 26 2 31" xfId="22925" xr:uid="{C5CCEF03-D4BE-403A-A39C-C63D724E52A9}"/>
    <cellStyle name="Normal 2 2 26 2 32" xfId="22926" xr:uid="{D0D1FA4B-DD62-47B7-88C5-7C71259F496E}"/>
    <cellStyle name="Normal 2 2 26 2 33" xfId="22927" xr:uid="{11C97C83-4459-4676-B30F-094E570E11F7}"/>
    <cellStyle name="Normal 2 2 26 2 34" xfId="22928" xr:uid="{21E99447-AF8E-44EC-A91E-BA498E234169}"/>
    <cellStyle name="Normal 2 2 26 2 35" xfId="22929" xr:uid="{0D5F06BF-201A-493A-9C66-766398AD08BD}"/>
    <cellStyle name="Normal 2 2 26 2 36" xfId="22930" xr:uid="{02CFC582-6A49-4EE5-AE40-F8C2191A9F93}"/>
    <cellStyle name="Normal 2 2 26 2 37" xfId="22931" xr:uid="{B5E9DE32-9537-4DC6-B912-B121979F4AF5}"/>
    <cellStyle name="Normal 2 2 26 2 4" xfId="22932" xr:uid="{38EF6311-634C-4CC6-8C1E-D591B46EAC3E}"/>
    <cellStyle name="Normal 2 2 26 2 5" xfId="22933" xr:uid="{982F62A5-3E4D-4A74-8D00-621D0C9C709A}"/>
    <cellStyle name="Normal 2 2 26 2 6" xfId="22934" xr:uid="{4974BB27-4ECE-4DAB-926C-6B875208DAD0}"/>
    <cellStyle name="Normal 2 2 26 2 7" xfId="22935" xr:uid="{5C92DA51-72C9-457D-94BD-AE2ECA13455D}"/>
    <cellStyle name="Normal 2 2 26 2 8" xfId="22936" xr:uid="{E0EF42AA-3D2E-4F1B-A235-3B58A1C8A1AB}"/>
    <cellStyle name="Normal 2 2 26 2 9" xfId="22937" xr:uid="{21F751FD-2EDE-4616-8EB3-CB2965C41D38}"/>
    <cellStyle name="Normal 2 2 26 20" xfId="22938" xr:uid="{63A1B81A-3BE6-40D0-8A77-8ECF8A6D9DF8}"/>
    <cellStyle name="Normal 2 2 26 21" xfId="22939" xr:uid="{170DF23F-C1FF-41F7-A170-75A57208A78A}"/>
    <cellStyle name="Normal 2 2 26 22" xfId="22940" xr:uid="{485FA629-76B4-40E1-818C-8CB7E347F40C}"/>
    <cellStyle name="Normal 2 2 26 23" xfId="22941" xr:uid="{ECA54098-DBD3-4321-9F1A-CBE1F076AC24}"/>
    <cellStyle name="Normal 2 2 26 24" xfId="22942" xr:uid="{E41A5618-A618-4F67-AEE8-C5FB055399B3}"/>
    <cellStyle name="Normal 2 2 26 3" xfId="22943" xr:uid="{F22C07C8-04DF-49E2-9DC5-22E23263AD3A}"/>
    <cellStyle name="Normal 2 2 26 3 10" xfId="22944" xr:uid="{D3F1EE81-1895-4E4D-BBDD-0CAC82A4466E}"/>
    <cellStyle name="Normal 2 2 26 3 11" xfId="22945" xr:uid="{56DF6FA7-FBC6-4F46-8198-571FE6589425}"/>
    <cellStyle name="Normal 2 2 26 3 12" xfId="22946" xr:uid="{B8B78043-8516-4659-9444-E3DC46A5D134}"/>
    <cellStyle name="Normal 2 2 26 3 13" xfId="22947" xr:uid="{C9E0E657-A869-4CC8-BFF0-A3032688CB2C}"/>
    <cellStyle name="Normal 2 2 26 3 14" xfId="22948" xr:uid="{037F2E31-9269-4BA2-B807-59E831340B5D}"/>
    <cellStyle name="Normal 2 2 26 3 15" xfId="22949" xr:uid="{0234CD3E-7752-477E-819E-EED2EAF4B6DC}"/>
    <cellStyle name="Normal 2 2 26 3 16" xfId="22950" xr:uid="{2E1F869B-615A-4795-8946-C07E35DA5FED}"/>
    <cellStyle name="Normal 2 2 26 3 17" xfId="22951" xr:uid="{A8E1DCC1-06BB-4DE1-92B0-E6693DCD4FE5}"/>
    <cellStyle name="Normal 2 2 26 3 18" xfId="22952" xr:uid="{9210FF9E-6073-4A24-820A-F922C6B29D84}"/>
    <cellStyle name="Normal 2 2 26 3 19" xfId="22953" xr:uid="{F97FE20F-2150-4C73-8466-9EC7FC610417}"/>
    <cellStyle name="Normal 2 2 26 3 2" xfId="22954" xr:uid="{1D02BE72-0912-45A4-A1A3-73B15C153FA1}"/>
    <cellStyle name="Normal 2 2 26 3 20" xfId="22955" xr:uid="{5A968110-5868-4C6E-9026-C8C2A32BBEFC}"/>
    <cellStyle name="Normal 2 2 26 3 21" xfId="22956" xr:uid="{5FA1D93A-1269-4B92-B964-DE3BEBC6B9D3}"/>
    <cellStyle name="Normal 2 2 26 3 22" xfId="22957" xr:uid="{6A2B2ADD-0C8C-493F-ADD8-C4D0C1C5958E}"/>
    <cellStyle name="Normal 2 2 26 3 23" xfId="22958" xr:uid="{3BF0ACA4-56E8-4DE0-8513-EF9E19C303BE}"/>
    <cellStyle name="Normal 2 2 26 3 24" xfId="22959" xr:uid="{EE6A1232-19BD-46FB-B784-F96E8757F5E3}"/>
    <cellStyle name="Normal 2 2 26 3 25" xfId="22960" xr:uid="{500D2100-58FD-47C6-9EB8-7E4DFFAF02C7}"/>
    <cellStyle name="Normal 2 2 26 3 26" xfId="22961" xr:uid="{2CEDD348-56AB-406D-8F29-3225EA034299}"/>
    <cellStyle name="Normal 2 2 26 3 27" xfId="22962" xr:uid="{03DD4DE1-67A8-4DE0-A3C9-9756A3EEACB8}"/>
    <cellStyle name="Normal 2 2 26 3 28" xfId="22963" xr:uid="{8CD44BBC-5DE8-4AB8-9F04-B6394FAD3BB6}"/>
    <cellStyle name="Normal 2 2 26 3 29" xfId="22964" xr:uid="{0BF393BE-4DBD-4656-9BD8-80AB36292EF0}"/>
    <cellStyle name="Normal 2 2 26 3 3" xfId="22965" xr:uid="{2243CCF5-8048-45E5-AED4-6C31A713A89B}"/>
    <cellStyle name="Normal 2 2 26 3 30" xfId="22966" xr:uid="{0A87F302-5998-48D6-9A6C-D1825458F511}"/>
    <cellStyle name="Normal 2 2 26 3 31" xfId="22967" xr:uid="{1E0DEE90-6741-4F58-80A4-008C0E5B0B66}"/>
    <cellStyle name="Normal 2 2 26 3 32" xfId="22968" xr:uid="{2C9C9062-83D6-4B02-B346-62A7E3A93EAC}"/>
    <cellStyle name="Normal 2 2 26 3 33" xfId="22969" xr:uid="{60C9CFF0-BB21-4D24-ABF8-FC5F1B05577E}"/>
    <cellStyle name="Normal 2 2 26 3 34" xfId="22970" xr:uid="{62BA1F94-6237-47BD-A2B9-EC1210E8FB0F}"/>
    <cellStyle name="Normal 2 2 26 3 35" xfId="22971" xr:uid="{13114493-5C99-4B67-90A1-955CB87FFE8F}"/>
    <cellStyle name="Normal 2 2 26 3 36" xfId="22972" xr:uid="{58C0B467-D457-40C1-B942-9A68D7FAB2B5}"/>
    <cellStyle name="Normal 2 2 26 3 37" xfId="22973" xr:uid="{C34C251D-FEEA-4FFE-8A27-41CC01BC5DC1}"/>
    <cellStyle name="Normal 2 2 26 3 4" xfId="22974" xr:uid="{833FC114-8CD5-4347-BD7B-3B2873BB5134}"/>
    <cellStyle name="Normal 2 2 26 3 5" xfId="22975" xr:uid="{EABAD645-581B-4C84-89B1-4B756DC5CA1D}"/>
    <cellStyle name="Normal 2 2 26 3 6" xfId="22976" xr:uid="{A0BA1F3A-F0B2-4A2F-B52F-600AF6FF7F76}"/>
    <cellStyle name="Normal 2 2 26 3 7" xfId="22977" xr:uid="{28213D92-42CF-4809-AD0E-85B58B41EB19}"/>
    <cellStyle name="Normal 2 2 26 3 8" xfId="22978" xr:uid="{9ACB9CA6-47A5-4B70-8EF5-B8A501AF5E4D}"/>
    <cellStyle name="Normal 2 2 26 3 9" xfId="22979" xr:uid="{8740AF32-956E-4F3E-97D2-AFE8DCBC26E7}"/>
    <cellStyle name="Normal 2 2 26 4" xfId="22980" xr:uid="{DC430AFD-5091-4A01-80CE-031B65FC83BB}"/>
    <cellStyle name="Normal 2 2 26 4 10" xfId="22981" xr:uid="{4ADAB51D-82C3-4E5E-A523-16D859946146}"/>
    <cellStyle name="Normal 2 2 26 4 11" xfId="22982" xr:uid="{4E62E3A1-B421-4878-9A4D-7569FFEA9EFD}"/>
    <cellStyle name="Normal 2 2 26 4 12" xfId="22983" xr:uid="{C07BDFA5-5CCB-4684-A273-ABAA413FD060}"/>
    <cellStyle name="Normal 2 2 26 4 13" xfId="22984" xr:uid="{FDF5B2B7-1FE4-4AA3-A061-EC383B632E9F}"/>
    <cellStyle name="Normal 2 2 26 4 14" xfId="22985" xr:uid="{70556D84-E726-4491-B8AF-2166E584B1FB}"/>
    <cellStyle name="Normal 2 2 26 4 15" xfId="22986" xr:uid="{B36ABA2E-C33E-48A2-825D-DCB062C663E0}"/>
    <cellStyle name="Normal 2 2 26 4 16" xfId="22987" xr:uid="{4D1ACF3C-4F2D-430E-B429-205F1BBB6448}"/>
    <cellStyle name="Normal 2 2 26 4 17" xfId="22988" xr:uid="{072CCA64-A5D7-4A83-AEF4-49844CCAAD4B}"/>
    <cellStyle name="Normal 2 2 26 4 18" xfId="22989" xr:uid="{6BCF0219-D429-461E-BF3C-62BD5C8AFDE3}"/>
    <cellStyle name="Normal 2 2 26 4 19" xfId="22990" xr:uid="{0892B776-9062-46E2-8313-114C469BAE2E}"/>
    <cellStyle name="Normal 2 2 26 4 2" xfId="22991" xr:uid="{E6C7351F-D724-4FD6-B4C9-007558F6C5A9}"/>
    <cellStyle name="Normal 2 2 26 4 20" xfId="22992" xr:uid="{C8643CD0-96D5-4098-85C5-50A4011F5585}"/>
    <cellStyle name="Normal 2 2 26 4 21" xfId="22993" xr:uid="{2F88973D-D07E-4F52-B9B0-CC16BEF3D9F4}"/>
    <cellStyle name="Normal 2 2 26 4 22" xfId="22994" xr:uid="{B6FF85F6-9A6F-4F4F-AB15-496BA744ECEE}"/>
    <cellStyle name="Normal 2 2 26 4 23" xfId="22995" xr:uid="{86508F44-0642-4302-A749-6C17880AB138}"/>
    <cellStyle name="Normal 2 2 26 4 24" xfId="22996" xr:uid="{702026D0-B1CC-4CBE-B30E-459DE38D09C0}"/>
    <cellStyle name="Normal 2 2 26 4 25" xfId="22997" xr:uid="{37D811E4-CA66-431E-B702-07BAA881ECCD}"/>
    <cellStyle name="Normal 2 2 26 4 26" xfId="22998" xr:uid="{6E103BB3-8D91-4471-8DB9-E6E0EF5DF8D4}"/>
    <cellStyle name="Normal 2 2 26 4 27" xfId="22999" xr:uid="{907762DD-9F48-46FE-966B-FED6CEF94354}"/>
    <cellStyle name="Normal 2 2 26 4 28" xfId="23000" xr:uid="{2DB151FB-81D2-43AE-9C74-E9ED2B97E695}"/>
    <cellStyle name="Normal 2 2 26 4 29" xfId="23001" xr:uid="{BC46E210-727F-41BF-AA24-8CBE1099E3AE}"/>
    <cellStyle name="Normal 2 2 26 4 3" xfId="23002" xr:uid="{FE7303DB-BE66-48EA-BA50-81571E0099C0}"/>
    <cellStyle name="Normal 2 2 26 4 30" xfId="23003" xr:uid="{9FBC1E0D-B121-43DA-8BE9-C35BF570F0D4}"/>
    <cellStyle name="Normal 2 2 26 4 31" xfId="23004" xr:uid="{7490831D-C712-47BA-9F0F-928EB383A928}"/>
    <cellStyle name="Normal 2 2 26 4 32" xfId="23005" xr:uid="{9D8D6549-E2BA-43DA-817E-42859855DDA9}"/>
    <cellStyle name="Normal 2 2 26 4 33" xfId="23006" xr:uid="{E290C988-D3C2-4F61-8F19-0FB6ED1DA438}"/>
    <cellStyle name="Normal 2 2 26 4 34" xfId="23007" xr:uid="{48654B8D-804C-4218-AA1B-1E14384F1FA9}"/>
    <cellStyle name="Normal 2 2 26 4 35" xfId="23008" xr:uid="{91660F79-8AF8-4E96-8214-519614A77FF9}"/>
    <cellStyle name="Normal 2 2 26 4 36" xfId="23009" xr:uid="{A78036A8-1BB0-455F-A30E-7704A0846A92}"/>
    <cellStyle name="Normal 2 2 26 4 37" xfId="23010" xr:uid="{B8A74223-0E55-4C2E-BFED-349F000549C4}"/>
    <cellStyle name="Normal 2 2 26 4 4" xfId="23011" xr:uid="{9677D4F2-1210-46EC-80C4-3F252140863B}"/>
    <cellStyle name="Normal 2 2 26 4 5" xfId="23012" xr:uid="{0C821886-7FD4-45B4-A680-664ECDE7BFA6}"/>
    <cellStyle name="Normal 2 2 26 4 6" xfId="23013" xr:uid="{06F143E2-D626-4454-8C8F-EEFA3C61FE47}"/>
    <cellStyle name="Normal 2 2 26 4 7" xfId="23014" xr:uid="{DA57BA8E-9F33-4FD4-AD09-06B6B43C55F9}"/>
    <cellStyle name="Normal 2 2 26 4 8" xfId="23015" xr:uid="{5FAACDCC-16B5-4DF8-8104-C6826BAD6EE3}"/>
    <cellStyle name="Normal 2 2 26 4 9" xfId="23016" xr:uid="{42C14DA5-AD04-48E4-9397-38BB63E97632}"/>
    <cellStyle name="Normal 2 2 26 5" xfId="23017" xr:uid="{875A3223-FA10-4B14-BE81-796D55A49EB8}"/>
    <cellStyle name="Normal 2 2 26 5 10" xfId="23018" xr:uid="{CC4AEBA5-79AB-415B-BF1D-F0DDA4662E71}"/>
    <cellStyle name="Normal 2 2 26 5 11" xfId="23019" xr:uid="{06F6E362-4878-48D1-AB02-ECC8C30E9700}"/>
    <cellStyle name="Normal 2 2 26 5 12" xfId="23020" xr:uid="{34770F65-0D31-4EF0-BFEB-CFF627D0E723}"/>
    <cellStyle name="Normal 2 2 26 5 13" xfId="23021" xr:uid="{29F6D846-4773-4F21-BEF8-BC39D8E04BCB}"/>
    <cellStyle name="Normal 2 2 26 5 14" xfId="23022" xr:uid="{4A487EA9-402D-4B0D-93C9-2E66DC7034CC}"/>
    <cellStyle name="Normal 2 2 26 5 15" xfId="23023" xr:uid="{D4AC0DB4-BF28-40C7-9169-1138C5BCC9B9}"/>
    <cellStyle name="Normal 2 2 26 5 16" xfId="23024" xr:uid="{4711B3BC-8FBF-48D6-832C-8EB7E56B6366}"/>
    <cellStyle name="Normal 2 2 26 5 17" xfId="23025" xr:uid="{67D5ECA7-3162-45E6-B1A1-C6FFEE7A3E18}"/>
    <cellStyle name="Normal 2 2 26 5 18" xfId="23026" xr:uid="{5F6524D1-1B29-4F32-AA51-1060CFD4D8F8}"/>
    <cellStyle name="Normal 2 2 26 5 19" xfId="23027" xr:uid="{E86BEE6C-0AA5-4F72-B0D2-6BD3EA35EE23}"/>
    <cellStyle name="Normal 2 2 26 5 2" xfId="23028" xr:uid="{17873E3B-2CFD-4DDE-9BBB-3F53C712F605}"/>
    <cellStyle name="Normal 2 2 26 5 20" xfId="23029" xr:uid="{5C65BF60-1C00-42F8-AAEF-8F2BF2F24ACE}"/>
    <cellStyle name="Normal 2 2 26 5 21" xfId="23030" xr:uid="{F9465857-E1C9-477B-8E3E-AC557731A64B}"/>
    <cellStyle name="Normal 2 2 26 5 22" xfId="23031" xr:uid="{6F3CEAEC-2488-4947-B213-FC6BB67E1091}"/>
    <cellStyle name="Normal 2 2 26 5 23" xfId="23032" xr:uid="{5F1ABB57-D848-441A-A6D3-1D498DB2A155}"/>
    <cellStyle name="Normal 2 2 26 5 24" xfId="23033" xr:uid="{12D06D77-DB00-4F4D-B6C6-2B0BFD4E57FB}"/>
    <cellStyle name="Normal 2 2 26 5 25" xfId="23034" xr:uid="{143C0994-A9D3-489A-B73D-558BE4D44DBB}"/>
    <cellStyle name="Normal 2 2 26 5 26" xfId="23035" xr:uid="{9FB1AF7D-B979-4B05-8828-0AFE9108FBA3}"/>
    <cellStyle name="Normal 2 2 26 5 27" xfId="23036" xr:uid="{4A0DBA6C-4033-4B6B-B667-3210A2123473}"/>
    <cellStyle name="Normal 2 2 26 5 28" xfId="23037" xr:uid="{735B9609-7EC3-4CF0-8873-6FC7993447CA}"/>
    <cellStyle name="Normal 2 2 26 5 29" xfId="23038" xr:uid="{AF7128C5-E2C3-4529-8344-27851E324DDD}"/>
    <cellStyle name="Normal 2 2 26 5 3" xfId="23039" xr:uid="{7B280025-324C-4F29-B807-E5F8D8EA0B91}"/>
    <cellStyle name="Normal 2 2 26 5 30" xfId="23040" xr:uid="{74FAC4B5-7602-4FCE-AAFD-B8FA2EF75BFD}"/>
    <cellStyle name="Normal 2 2 26 5 31" xfId="23041" xr:uid="{03FB655E-6D31-4153-A0F3-BB2B0FF157D0}"/>
    <cellStyle name="Normal 2 2 26 5 32" xfId="23042" xr:uid="{2B1D5C32-90FF-4F94-A4FE-4D7866B1569D}"/>
    <cellStyle name="Normal 2 2 26 5 33" xfId="23043" xr:uid="{E76817C0-9E2F-459B-A27C-A98902B91B8D}"/>
    <cellStyle name="Normal 2 2 26 5 34" xfId="23044" xr:uid="{E21CFD94-5E50-4401-A14D-BF7B930AF327}"/>
    <cellStyle name="Normal 2 2 26 5 35" xfId="23045" xr:uid="{A78683E0-4421-456C-BAE8-3F6849D1C4CB}"/>
    <cellStyle name="Normal 2 2 26 5 36" xfId="23046" xr:uid="{C47BA7C9-580D-4128-859E-0ED1E07CD283}"/>
    <cellStyle name="Normal 2 2 26 5 37" xfId="23047" xr:uid="{777A30D8-65A2-4EFF-BEA2-D4D136333C3D}"/>
    <cellStyle name="Normal 2 2 26 5 4" xfId="23048" xr:uid="{FA84C0C5-3C95-4CF9-BAD4-A2CC410780DD}"/>
    <cellStyle name="Normal 2 2 26 5 5" xfId="23049" xr:uid="{271CB82F-CBB2-40BE-BFA3-0F8BD11A687D}"/>
    <cellStyle name="Normal 2 2 26 5 6" xfId="23050" xr:uid="{B32EE18D-E5A6-443A-9BC6-2BB1AE71DD3E}"/>
    <cellStyle name="Normal 2 2 26 5 7" xfId="23051" xr:uid="{9982A701-0B9E-4F71-A1E7-3A691D585701}"/>
    <cellStyle name="Normal 2 2 26 5 8" xfId="23052" xr:uid="{4865F26D-E835-42F9-9615-45A74F33B67D}"/>
    <cellStyle name="Normal 2 2 26 5 9" xfId="23053" xr:uid="{8368E252-DF0D-45BF-859D-ECF64977C996}"/>
    <cellStyle name="Normal 2 2 26 6" xfId="23054" xr:uid="{93E70764-F659-438F-88F2-5043DAB38E51}"/>
    <cellStyle name="Normal 2 2 26 6 10" xfId="23055" xr:uid="{1BA7D3DE-F932-4977-872F-980D2203E46E}"/>
    <cellStyle name="Normal 2 2 26 6 11" xfId="23056" xr:uid="{83CD16B7-EAAB-4D9D-851B-0610BA16F7BA}"/>
    <cellStyle name="Normal 2 2 26 6 12" xfId="23057" xr:uid="{ACCA10D2-71FE-44A8-B09C-941DF6EAE9A3}"/>
    <cellStyle name="Normal 2 2 26 6 13" xfId="23058" xr:uid="{EF424842-451B-4DDC-9AB2-FE404E6CCC07}"/>
    <cellStyle name="Normal 2 2 26 6 14" xfId="23059" xr:uid="{8DD34933-4964-42F1-BAA5-ADEE77C40FCE}"/>
    <cellStyle name="Normal 2 2 26 6 15" xfId="23060" xr:uid="{13B848B2-0C1C-4D20-A11F-A157D99DFA25}"/>
    <cellStyle name="Normal 2 2 26 6 16" xfId="23061" xr:uid="{3653EB80-7C9F-4CF3-A8DC-F3FC44BF8B86}"/>
    <cellStyle name="Normal 2 2 26 6 17" xfId="23062" xr:uid="{4071F329-C598-4A61-B463-DA42BA7081DA}"/>
    <cellStyle name="Normal 2 2 26 6 18" xfId="23063" xr:uid="{85FA8486-D379-428A-B8A8-3D0FB3661A29}"/>
    <cellStyle name="Normal 2 2 26 6 19" xfId="23064" xr:uid="{8B09608E-789F-4D18-B476-6420902F0EF7}"/>
    <cellStyle name="Normal 2 2 26 6 2" xfId="23065" xr:uid="{99538E95-CCCE-44F9-B457-4F33603787B8}"/>
    <cellStyle name="Normal 2 2 26 6 20" xfId="23066" xr:uid="{6A1FD8A7-C00C-4867-9164-1496977C928D}"/>
    <cellStyle name="Normal 2 2 26 6 21" xfId="23067" xr:uid="{1F886830-D037-45AA-AB0F-E185458236A0}"/>
    <cellStyle name="Normal 2 2 26 6 22" xfId="23068" xr:uid="{30DEB259-9173-4025-A674-00F6B964707C}"/>
    <cellStyle name="Normal 2 2 26 6 23" xfId="23069" xr:uid="{02C79210-20E1-4C64-80B6-909425AF85C7}"/>
    <cellStyle name="Normal 2 2 26 6 24" xfId="23070" xr:uid="{FC6427AC-F35A-45E9-A68B-0892690A2502}"/>
    <cellStyle name="Normal 2 2 26 6 25" xfId="23071" xr:uid="{1306114B-F2ED-43CE-91A8-91BA2ABCBACD}"/>
    <cellStyle name="Normal 2 2 26 6 26" xfId="23072" xr:uid="{D35A1773-D3BC-409D-B572-BC7C56D3F1ED}"/>
    <cellStyle name="Normal 2 2 26 6 27" xfId="23073" xr:uid="{F5BF8591-9A2D-4324-B3D1-361A5BF53BA9}"/>
    <cellStyle name="Normal 2 2 26 6 28" xfId="23074" xr:uid="{74885E4A-D89F-4645-953A-202CCDB35521}"/>
    <cellStyle name="Normal 2 2 26 6 29" xfId="23075" xr:uid="{A067C8B2-D1DC-4188-A000-F7AF6D57CF4E}"/>
    <cellStyle name="Normal 2 2 26 6 3" xfId="23076" xr:uid="{23E2D517-25B6-400B-A3B0-BBF3D2379783}"/>
    <cellStyle name="Normal 2 2 26 6 30" xfId="23077" xr:uid="{62CAE7B6-BA0D-4DA2-94BD-F04AE85B0BB4}"/>
    <cellStyle name="Normal 2 2 26 6 31" xfId="23078" xr:uid="{04D520BB-D2D6-4FD7-B013-38BABE7BE5E0}"/>
    <cellStyle name="Normal 2 2 26 6 32" xfId="23079" xr:uid="{C6320B5A-96AC-47D9-B8EC-791B9F26E966}"/>
    <cellStyle name="Normal 2 2 26 6 33" xfId="23080" xr:uid="{CA39E0D0-4C64-49B2-B237-27DB1979CFB4}"/>
    <cellStyle name="Normal 2 2 26 6 34" xfId="23081" xr:uid="{1AC88C94-BBB4-43A4-A0DB-31E36B7549D0}"/>
    <cellStyle name="Normal 2 2 26 6 35" xfId="23082" xr:uid="{412F303E-93C4-4036-A449-EFCC844AB580}"/>
    <cellStyle name="Normal 2 2 26 6 36" xfId="23083" xr:uid="{150377F4-5985-4057-84CE-C4D51EB2D433}"/>
    <cellStyle name="Normal 2 2 26 6 37" xfId="23084" xr:uid="{14AECA17-9EDB-4F88-AF3E-65575D263C8F}"/>
    <cellStyle name="Normal 2 2 26 6 4" xfId="23085" xr:uid="{B43D9796-1CD3-4C69-9FCE-70BD2D7A8FC2}"/>
    <cellStyle name="Normal 2 2 26 6 5" xfId="23086" xr:uid="{3769D2E8-9331-42EB-BEF7-90AF1D85574F}"/>
    <cellStyle name="Normal 2 2 26 6 6" xfId="23087" xr:uid="{140C6AD9-9C6E-4EA6-B026-30E562DC5982}"/>
    <cellStyle name="Normal 2 2 26 6 7" xfId="23088" xr:uid="{1DDBC2C4-E6DB-4920-9D3B-B4D5089778FC}"/>
    <cellStyle name="Normal 2 2 26 6 8" xfId="23089" xr:uid="{486A7269-9DE8-4826-BC12-68F9C1C101EE}"/>
    <cellStyle name="Normal 2 2 26 6 9" xfId="23090" xr:uid="{852A4A3C-BAE4-4D4B-93AC-BCF21E31CBA5}"/>
    <cellStyle name="Normal 2 2 26 7" xfId="23091" xr:uid="{ABD6EA4A-ECE3-4094-AD55-17518ACAEDD8}"/>
    <cellStyle name="Normal 2 2 26 7 10" xfId="23092" xr:uid="{C15CD90B-3EE3-4BE7-89C6-0E124AE7F42A}"/>
    <cellStyle name="Normal 2 2 26 7 11" xfId="23093" xr:uid="{ED796040-3B8C-4230-B22A-D1312FA27BF2}"/>
    <cellStyle name="Normal 2 2 26 7 12" xfId="23094" xr:uid="{DE9DFD24-EE07-4BA9-A7AC-09DB0BDEEE68}"/>
    <cellStyle name="Normal 2 2 26 7 13" xfId="23095" xr:uid="{3017C8B4-6082-47CE-A90F-B1601CABE202}"/>
    <cellStyle name="Normal 2 2 26 7 14" xfId="23096" xr:uid="{D16E5DD4-75D6-4B21-88B6-05A03C1C6381}"/>
    <cellStyle name="Normal 2 2 26 7 15" xfId="23097" xr:uid="{E4ADBB60-7F66-4CDF-A1F9-E64B06926D92}"/>
    <cellStyle name="Normal 2 2 26 7 16" xfId="23098" xr:uid="{B1A05515-332C-4156-A913-2D5A262C4B9B}"/>
    <cellStyle name="Normal 2 2 26 7 17" xfId="23099" xr:uid="{7D6C9137-AE5E-4791-86D8-FB328D8FBDDD}"/>
    <cellStyle name="Normal 2 2 26 7 18" xfId="23100" xr:uid="{3D7CBF16-508E-428E-8A2C-914ED7E488E0}"/>
    <cellStyle name="Normal 2 2 26 7 19" xfId="23101" xr:uid="{E5D0DE88-BE76-48EF-9F9B-A1682095673B}"/>
    <cellStyle name="Normal 2 2 26 7 2" xfId="23102" xr:uid="{5BBDF886-4A45-4462-BDEA-18553DEBC26D}"/>
    <cellStyle name="Normal 2 2 26 7 20" xfId="23103" xr:uid="{EE503AD9-2EC5-4C7C-B356-418DD2396B1A}"/>
    <cellStyle name="Normal 2 2 26 7 21" xfId="23104" xr:uid="{1BF1E3A3-CE64-4EA9-A09F-7DD70504768C}"/>
    <cellStyle name="Normal 2 2 26 7 22" xfId="23105" xr:uid="{9614D70C-1EE0-4AF6-8DD8-41AAEA683086}"/>
    <cellStyle name="Normal 2 2 26 7 23" xfId="23106" xr:uid="{78059695-C350-4492-A224-356768BB0D8D}"/>
    <cellStyle name="Normal 2 2 26 7 24" xfId="23107" xr:uid="{55A48BBD-5A03-4A28-94B4-F7784C416CD0}"/>
    <cellStyle name="Normal 2 2 26 7 25" xfId="23108" xr:uid="{F43C1125-7A49-4E27-BB9F-436472CDB9B6}"/>
    <cellStyle name="Normal 2 2 26 7 26" xfId="23109" xr:uid="{15CCC2B4-4A66-4381-B87D-4554310B325D}"/>
    <cellStyle name="Normal 2 2 26 7 27" xfId="23110" xr:uid="{4AB937EB-90DF-42A2-BD0A-EAB4C3B1FFAA}"/>
    <cellStyle name="Normal 2 2 26 7 28" xfId="23111" xr:uid="{DB921186-5EF5-453B-8342-AB6159D21D14}"/>
    <cellStyle name="Normal 2 2 26 7 29" xfId="23112" xr:uid="{165C630F-CD24-43AB-A739-94398764BBFB}"/>
    <cellStyle name="Normal 2 2 26 7 3" xfId="23113" xr:uid="{072E6C70-9D6D-4C41-9B6F-1F57B6072778}"/>
    <cellStyle name="Normal 2 2 26 7 30" xfId="23114" xr:uid="{921B7F94-938D-4293-BC76-B2A273A444FE}"/>
    <cellStyle name="Normal 2 2 26 7 31" xfId="23115" xr:uid="{0563FB27-0564-412A-8A2A-38E12FD4A8B3}"/>
    <cellStyle name="Normal 2 2 26 7 32" xfId="23116" xr:uid="{71F9D00D-DFD7-49C2-96DF-A84E972B6758}"/>
    <cellStyle name="Normal 2 2 26 7 33" xfId="23117" xr:uid="{AF38D442-4645-430A-9081-7F0D749C03AC}"/>
    <cellStyle name="Normal 2 2 26 7 34" xfId="23118" xr:uid="{F8555E60-AC3F-4810-B949-F807EE1EEACD}"/>
    <cellStyle name="Normal 2 2 26 7 35" xfId="23119" xr:uid="{1847E518-64E6-46B8-8670-9B66A90296E2}"/>
    <cellStyle name="Normal 2 2 26 7 36" xfId="23120" xr:uid="{1369B58B-952B-4E98-A4F5-F24AD90879BE}"/>
    <cellStyle name="Normal 2 2 26 7 37" xfId="23121" xr:uid="{B6FEE538-428F-4F7D-9D08-9964EC08DFDD}"/>
    <cellStyle name="Normal 2 2 26 7 4" xfId="23122" xr:uid="{8A973FB7-F775-470F-B07B-84107104BBFC}"/>
    <cellStyle name="Normal 2 2 26 7 5" xfId="23123" xr:uid="{C1DC5A85-8C06-42C8-BA35-F3AC30789846}"/>
    <cellStyle name="Normal 2 2 26 7 6" xfId="23124" xr:uid="{E1F9F82D-6B99-44F8-A55E-CF37C273D877}"/>
    <cellStyle name="Normal 2 2 26 7 7" xfId="23125" xr:uid="{6863C495-EC10-4273-AFB4-408EC7FEFCBC}"/>
    <cellStyle name="Normal 2 2 26 7 8" xfId="23126" xr:uid="{5671CEB6-0807-4E6C-B07D-2944C5F33104}"/>
    <cellStyle name="Normal 2 2 26 7 9" xfId="23127" xr:uid="{2BE2C88E-07F5-4761-81EF-D265CB859541}"/>
    <cellStyle name="Normal 2 2 26 8" xfId="23128" xr:uid="{19C0E3CD-9BBA-4300-BD52-74B4FC4C068C}"/>
    <cellStyle name="Normal 2 2 26 8 10" xfId="23129" xr:uid="{2F55010B-A0BC-4991-BB1E-679DDA44B466}"/>
    <cellStyle name="Normal 2 2 26 8 11" xfId="23130" xr:uid="{47E9092E-E0D8-46AC-9ED7-E96A4F8F5842}"/>
    <cellStyle name="Normal 2 2 26 8 12" xfId="23131" xr:uid="{D3004AAE-0FEF-4BAD-A044-7AE40E67AD24}"/>
    <cellStyle name="Normal 2 2 26 8 13" xfId="23132" xr:uid="{AEC1EC34-9145-4988-8542-F91805B80695}"/>
    <cellStyle name="Normal 2 2 26 8 14" xfId="23133" xr:uid="{952BAF3F-5760-46FA-8A80-2368DBC0A8AE}"/>
    <cellStyle name="Normal 2 2 26 8 15" xfId="23134" xr:uid="{8045DCC6-EA3C-4AA3-B5D3-8491D3578F54}"/>
    <cellStyle name="Normal 2 2 26 8 16" xfId="23135" xr:uid="{427715C2-28EE-4780-AC6B-CE8D35C12310}"/>
    <cellStyle name="Normal 2 2 26 8 17" xfId="23136" xr:uid="{54E3548B-4CD6-436F-9026-ABF9D7E3AA7D}"/>
    <cellStyle name="Normal 2 2 26 8 18" xfId="23137" xr:uid="{22205771-D6B4-4E62-BA07-3F779FA02D0B}"/>
    <cellStyle name="Normal 2 2 26 8 19" xfId="23138" xr:uid="{463B2586-1819-4914-B797-3B6353767439}"/>
    <cellStyle name="Normal 2 2 26 8 2" xfId="23139" xr:uid="{A6FD02F6-870F-408A-A71F-6DC63BC8C79E}"/>
    <cellStyle name="Normal 2 2 26 8 20" xfId="23140" xr:uid="{2A6C2F9E-31BB-4674-8A0C-21EAAB8BF89C}"/>
    <cellStyle name="Normal 2 2 26 8 21" xfId="23141" xr:uid="{52334F31-357F-49B9-8284-90903CF3E84A}"/>
    <cellStyle name="Normal 2 2 26 8 22" xfId="23142" xr:uid="{55A99DD5-07B9-43FA-97FA-190DEC6673CC}"/>
    <cellStyle name="Normal 2 2 26 8 23" xfId="23143" xr:uid="{6882AA7A-B841-4744-8A04-B6205AB6AD34}"/>
    <cellStyle name="Normal 2 2 26 8 24" xfId="23144" xr:uid="{14B160D8-174A-4908-AB7A-D2B030002CE6}"/>
    <cellStyle name="Normal 2 2 26 8 25" xfId="23145" xr:uid="{E63C2510-E062-470A-A86D-62BCEA47F096}"/>
    <cellStyle name="Normal 2 2 26 8 26" xfId="23146" xr:uid="{5AF39DED-6012-45C8-AFD6-2F7E3D31AF0D}"/>
    <cellStyle name="Normal 2 2 26 8 27" xfId="23147" xr:uid="{36E257A1-BBAE-401E-B2CC-81E9295C9ED4}"/>
    <cellStyle name="Normal 2 2 26 8 28" xfId="23148" xr:uid="{E6FDE992-5A5C-41F1-965D-4A0E5EC35E66}"/>
    <cellStyle name="Normal 2 2 26 8 29" xfId="23149" xr:uid="{36E01A22-2089-40F4-A490-340DB85AD64E}"/>
    <cellStyle name="Normal 2 2 26 8 3" xfId="23150" xr:uid="{6D7848A8-C0F7-4E83-9DA3-8B3E4B92E284}"/>
    <cellStyle name="Normal 2 2 26 8 30" xfId="23151" xr:uid="{5C7F3C05-547B-40B3-A3CC-1E2A18F50B67}"/>
    <cellStyle name="Normal 2 2 26 8 31" xfId="23152" xr:uid="{0EA6167F-F231-4C15-BF87-2C3563DA3EAD}"/>
    <cellStyle name="Normal 2 2 26 8 32" xfId="23153" xr:uid="{9D0CA97B-1EB0-4C13-863B-2E6894143D6D}"/>
    <cellStyle name="Normal 2 2 26 8 33" xfId="23154" xr:uid="{351455A3-4BB2-4C50-8170-9FA0E00CB7A4}"/>
    <cellStyle name="Normal 2 2 26 8 34" xfId="23155" xr:uid="{6267B560-443D-4997-BCDE-7C38AAAA7EE4}"/>
    <cellStyle name="Normal 2 2 26 8 35" xfId="23156" xr:uid="{F2B76DB5-E656-47B0-A48A-1F96B3B972D3}"/>
    <cellStyle name="Normal 2 2 26 8 36" xfId="23157" xr:uid="{5631CB7E-D30E-49BF-B9AB-950851B02F35}"/>
    <cellStyle name="Normal 2 2 26 8 37" xfId="23158" xr:uid="{8C597318-5AA3-422A-9FD2-2AC008427435}"/>
    <cellStyle name="Normal 2 2 26 8 4" xfId="23159" xr:uid="{14868259-676C-4177-9D29-BE7ED22B5A0F}"/>
    <cellStyle name="Normal 2 2 26 8 5" xfId="23160" xr:uid="{50A61962-D0EA-42EC-BA9E-1448F9E8ED16}"/>
    <cellStyle name="Normal 2 2 26 8 6" xfId="23161" xr:uid="{81084933-05A3-4E6C-A57C-78777BE18649}"/>
    <cellStyle name="Normal 2 2 26 8 7" xfId="23162" xr:uid="{EA786E1D-F0EC-42B6-9787-219301FE0DBB}"/>
    <cellStyle name="Normal 2 2 26 8 8" xfId="23163" xr:uid="{8FF6F35D-4A7F-403E-ACDC-CFF207A0428C}"/>
    <cellStyle name="Normal 2 2 26 8 9" xfId="23164" xr:uid="{A098C269-07D6-4FEB-BD72-96B2A72F3B95}"/>
    <cellStyle name="Normal 2 2 26 9" xfId="23165" xr:uid="{F4777921-3925-4FFD-BDFD-9B29935A2032}"/>
    <cellStyle name="Normal 2 2 26 9 10" xfId="23166" xr:uid="{B2CF963E-3D76-4C5F-AE68-573139223CB9}"/>
    <cellStyle name="Normal 2 2 26 9 11" xfId="23167" xr:uid="{8EBF2EE6-7D96-4786-811D-3D58C2F08970}"/>
    <cellStyle name="Normal 2 2 26 9 12" xfId="23168" xr:uid="{4171B4C3-ECAF-4F28-97A7-0C356953E4B7}"/>
    <cellStyle name="Normal 2 2 26 9 13" xfId="23169" xr:uid="{E7C32709-E77C-4935-A7BE-4ADD31AD8735}"/>
    <cellStyle name="Normal 2 2 26 9 14" xfId="23170" xr:uid="{E862CCDF-A79A-48E2-9DF1-A18884B1A103}"/>
    <cellStyle name="Normal 2 2 26 9 15" xfId="23171" xr:uid="{678EFE46-F5C1-4067-BD83-2F06DA3DA444}"/>
    <cellStyle name="Normal 2 2 26 9 16" xfId="23172" xr:uid="{5EC0B73F-2596-43C9-A0E0-30999E3C6019}"/>
    <cellStyle name="Normal 2 2 26 9 17" xfId="23173" xr:uid="{65580B95-5FAF-481E-A976-DAEA24216C02}"/>
    <cellStyle name="Normal 2 2 26 9 18" xfId="23174" xr:uid="{EE0F0D5C-1C49-4E99-8644-DA611CB97D72}"/>
    <cellStyle name="Normal 2 2 26 9 19" xfId="23175" xr:uid="{925E6655-8D43-447C-970D-2D44F6F94FC9}"/>
    <cellStyle name="Normal 2 2 26 9 2" xfId="23176" xr:uid="{165189FC-DD40-4DF6-87EA-0E421B5A2125}"/>
    <cellStyle name="Normal 2 2 26 9 20" xfId="23177" xr:uid="{9F609401-C082-42F5-AEFB-A7A1F7988011}"/>
    <cellStyle name="Normal 2 2 26 9 21" xfId="23178" xr:uid="{2610769C-CCE1-4283-A716-147D8A16843E}"/>
    <cellStyle name="Normal 2 2 26 9 22" xfId="23179" xr:uid="{B0477D51-5C44-4BA9-9C93-7BA8053914C8}"/>
    <cellStyle name="Normal 2 2 26 9 23" xfId="23180" xr:uid="{741F5C2C-CCB0-4C9A-9421-482FC9D90F16}"/>
    <cellStyle name="Normal 2 2 26 9 24" xfId="23181" xr:uid="{64A9518F-9069-4453-B941-D66EAA060004}"/>
    <cellStyle name="Normal 2 2 26 9 25" xfId="23182" xr:uid="{042CA65A-5E58-42E1-A2BC-2AA69BF8ECFD}"/>
    <cellStyle name="Normal 2 2 26 9 26" xfId="23183" xr:uid="{7CE1E20A-B2B8-4386-80E3-A689166C8606}"/>
    <cellStyle name="Normal 2 2 26 9 27" xfId="23184" xr:uid="{D26C6E59-742A-4065-8FA7-6F2D4EC39FCB}"/>
    <cellStyle name="Normal 2 2 26 9 28" xfId="23185" xr:uid="{6DEADC3E-BC2E-45EB-BA5C-3E953F27A52F}"/>
    <cellStyle name="Normal 2 2 26 9 29" xfId="23186" xr:uid="{1BE1B2A2-C83D-4E18-A53A-A6D6B9056BD8}"/>
    <cellStyle name="Normal 2 2 26 9 3" xfId="23187" xr:uid="{B85A1A55-DD8D-481F-B369-F62CF39337DB}"/>
    <cellStyle name="Normal 2 2 26 9 30" xfId="23188" xr:uid="{615886BA-FC9A-4E6F-95BD-CD9DACD5AD5E}"/>
    <cellStyle name="Normal 2 2 26 9 31" xfId="23189" xr:uid="{AA3C999C-C900-4107-8510-CA4770E776DF}"/>
    <cellStyle name="Normal 2 2 26 9 32" xfId="23190" xr:uid="{2B900D35-02F9-47E1-90FD-6F9A6AA8BF13}"/>
    <cellStyle name="Normal 2 2 26 9 33" xfId="23191" xr:uid="{80E702F7-3C37-4DF0-B584-5C7E8F2E7FE3}"/>
    <cellStyle name="Normal 2 2 26 9 34" xfId="23192" xr:uid="{7CD5ACD5-365E-4A71-A64F-A3A8685468E5}"/>
    <cellStyle name="Normal 2 2 26 9 35" xfId="23193" xr:uid="{D9AB6D60-AE7C-42C6-BEA6-EF729A4218F7}"/>
    <cellStyle name="Normal 2 2 26 9 36" xfId="23194" xr:uid="{367EE44A-A240-460C-95EE-C20607B4441A}"/>
    <cellStyle name="Normal 2 2 26 9 37" xfId="23195" xr:uid="{071DFAE0-A1A7-49BC-87F8-C03B4F0A2801}"/>
    <cellStyle name="Normal 2 2 26 9 4" xfId="23196" xr:uid="{F5B9FF7B-55AA-4216-95A1-7D6F8E613E4B}"/>
    <cellStyle name="Normal 2 2 26 9 5" xfId="23197" xr:uid="{B0DFA462-868D-4BEA-A2D7-592D7EFAAD2E}"/>
    <cellStyle name="Normal 2 2 26 9 6" xfId="23198" xr:uid="{275BC474-E026-4BD3-AF59-BB5707AE2BE0}"/>
    <cellStyle name="Normal 2 2 26 9 7" xfId="23199" xr:uid="{EBD6A8F8-39A7-4981-B175-DDEBFCCCAA7B}"/>
    <cellStyle name="Normal 2 2 26 9 8" xfId="23200" xr:uid="{7C9CD756-695B-4AB2-8495-D6C39FBD1D43}"/>
    <cellStyle name="Normal 2 2 26 9 9" xfId="23201" xr:uid="{394D50B0-AC82-4F95-94E4-ACED18BE6793}"/>
    <cellStyle name="Normal 2 2 27" xfId="23202" xr:uid="{D1E69FA4-C11A-4588-90F4-A558A5F2282F}"/>
    <cellStyle name="Normal 2 2 27 10" xfId="23203" xr:uid="{65EC2BDF-7D71-43CF-9468-09B465C18D58}"/>
    <cellStyle name="Normal 2 2 27 11" xfId="23204" xr:uid="{68C1C1E2-0C6A-435F-83CD-81F1F3BF824A}"/>
    <cellStyle name="Normal 2 2 27 12" xfId="23205" xr:uid="{9E2276F9-220C-45B4-878E-94014E3C8CFD}"/>
    <cellStyle name="Normal 2 2 27 13" xfId="23206" xr:uid="{E7329A82-363F-4001-A104-27732EBA2C5F}"/>
    <cellStyle name="Normal 2 2 27 14" xfId="23207" xr:uid="{39CC980E-B748-49D4-B860-CF7FACC50268}"/>
    <cellStyle name="Normal 2 2 27 15" xfId="23208" xr:uid="{99672856-4F11-4FD9-825E-67682B8335E7}"/>
    <cellStyle name="Normal 2 2 27 16" xfId="23209" xr:uid="{04312280-389A-46DE-8B79-A7C4A4EBD23E}"/>
    <cellStyle name="Normal 2 2 27 17" xfId="23210" xr:uid="{8E5E8F65-F7C5-4D18-AB16-A6D18A250087}"/>
    <cellStyle name="Normal 2 2 27 18" xfId="23211" xr:uid="{EAAAC311-3922-467C-B44F-C14861E0863C}"/>
    <cellStyle name="Normal 2 2 27 19" xfId="23212" xr:uid="{E7E22D39-D715-4935-A208-90F6BF6753B5}"/>
    <cellStyle name="Normal 2 2 27 2" xfId="23213" xr:uid="{A2E4E8C1-2F74-4DD6-BBAE-E727AAC9A27F}"/>
    <cellStyle name="Normal 2 2 27 20" xfId="23214" xr:uid="{D379478C-FCED-4579-9569-4A4B86A45DE6}"/>
    <cellStyle name="Normal 2 2 27 21" xfId="23215" xr:uid="{51B8A14E-2A59-4E62-98D9-D4FF9704F9A3}"/>
    <cellStyle name="Normal 2 2 27 22" xfId="23216" xr:uid="{EC36C07B-5DF5-4BA6-8C97-00E3C8B9709D}"/>
    <cellStyle name="Normal 2 2 27 23" xfId="23217" xr:uid="{EB86BD3F-7D70-4B12-A642-54A7DB8988C7}"/>
    <cellStyle name="Normal 2 2 27 24" xfId="23218" xr:uid="{F9ABA63A-72D7-4DE5-A73C-A146BC63CB0D}"/>
    <cellStyle name="Normal 2 2 27 25" xfId="23219" xr:uid="{FEAF6A4B-3A31-4611-A901-4834A9F82BB0}"/>
    <cellStyle name="Normal 2 2 27 26" xfId="23220" xr:uid="{583C2668-6F89-44EF-9BD2-43CA014072F1}"/>
    <cellStyle name="Normal 2 2 27 27" xfId="23221" xr:uid="{1F44A229-26B1-45BE-B162-66E9CA2BFFB3}"/>
    <cellStyle name="Normal 2 2 27 28" xfId="23222" xr:uid="{0A7CFBAD-651C-4045-9170-D144ABEB4A1F}"/>
    <cellStyle name="Normal 2 2 27 29" xfId="23223" xr:uid="{5C0F777D-0A9E-4FD9-9ABF-A003EBBFAC8A}"/>
    <cellStyle name="Normal 2 2 27 3" xfId="23224" xr:uid="{9D287D1B-8D33-4789-92BE-3F8D3E5F94CC}"/>
    <cellStyle name="Normal 2 2 27 30" xfId="23225" xr:uid="{5756E1DA-0B43-47E2-B0F0-ACC71F2CC0A4}"/>
    <cellStyle name="Normal 2 2 27 31" xfId="23226" xr:uid="{4866F423-3BBC-4CBA-A8FB-A12179B26B38}"/>
    <cellStyle name="Normal 2 2 27 32" xfId="23227" xr:uid="{0703BA9F-BD53-420D-A587-CEE7B4E5589B}"/>
    <cellStyle name="Normal 2 2 27 33" xfId="23228" xr:uid="{21657CAF-E5B6-4462-8976-6518B63573FA}"/>
    <cellStyle name="Normal 2 2 27 34" xfId="23229" xr:uid="{564BBC1B-DE37-4A02-BDBE-647409AC30F3}"/>
    <cellStyle name="Normal 2 2 27 35" xfId="23230" xr:uid="{684A7E5A-3A36-4CA7-BEDC-F2CD0E690C63}"/>
    <cellStyle name="Normal 2 2 27 36" xfId="23231" xr:uid="{12EA8130-D85F-4E35-B2BD-65C2C1FAC66A}"/>
    <cellStyle name="Normal 2 2 27 37" xfId="23232" xr:uid="{8E80ADDF-3EC2-4611-9E7A-0952060F5EF8}"/>
    <cellStyle name="Normal 2 2 27 38" xfId="23233" xr:uid="{D8065AC4-D91F-4373-AC29-3316D701D292}"/>
    <cellStyle name="Normal 2 2 27 4" xfId="23234" xr:uid="{F400B6E5-3433-490C-8678-B41891DA3165}"/>
    <cellStyle name="Normal 2 2 27 5" xfId="23235" xr:uid="{338805BC-8421-4747-86E7-BA6EB0DF2D70}"/>
    <cellStyle name="Normal 2 2 27 6" xfId="23236" xr:uid="{FDAE6846-1FFB-499C-AFA8-2EFC404FDB9A}"/>
    <cellStyle name="Normal 2 2 27 7" xfId="23237" xr:uid="{90F18CB7-9E15-4D54-BC2A-62E0862C1CF3}"/>
    <cellStyle name="Normal 2 2 27 8" xfId="23238" xr:uid="{0C5A34D5-C396-40BD-B2E5-9E6D4E8E6137}"/>
    <cellStyle name="Normal 2 2 27 9" xfId="23239" xr:uid="{A5EE6321-BFF7-4E0A-B979-D5B3EBCAD126}"/>
    <cellStyle name="Normal 2 2 28" xfId="23240" xr:uid="{4E66CD2C-1436-4132-8914-8BCB09B00025}"/>
    <cellStyle name="Normal 2 2 28 10" xfId="23241" xr:uid="{459F5F7F-890F-4DF9-ABED-972FCC99860D}"/>
    <cellStyle name="Normal 2 2 28 11" xfId="23242" xr:uid="{9994E1D7-C156-4369-80C6-D3F6B41EC179}"/>
    <cellStyle name="Normal 2 2 28 12" xfId="23243" xr:uid="{2CC0B6BF-1531-4D3C-BAD7-CD74972C9EB3}"/>
    <cellStyle name="Normal 2 2 28 13" xfId="23244" xr:uid="{4E7EB458-5DE2-4451-BDAB-8F1CAEB204D6}"/>
    <cellStyle name="Normal 2 2 28 14" xfId="23245" xr:uid="{CBC208FC-84BB-4164-81C9-54B595D92A3D}"/>
    <cellStyle name="Normal 2 2 28 15" xfId="23246" xr:uid="{90884A05-FA46-4A3A-8B0B-82952FD6638F}"/>
    <cellStyle name="Normal 2 2 28 16" xfId="23247" xr:uid="{C8143DEA-A804-4E8D-9951-50080AC89173}"/>
    <cellStyle name="Normal 2 2 28 17" xfId="23248" xr:uid="{44B816E6-E652-479B-8CAF-6C19FD17DF54}"/>
    <cellStyle name="Normal 2 2 28 18" xfId="23249" xr:uid="{49763D35-06FD-4E59-857A-3422FA7263C5}"/>
    <cellStyle name="Normal 2 2 28 19" xfId="23250" xr:uid="{F34A98E7-85F2-41F8-8419-CED07CE09D77}"/>
    <cellStyle name="Normal 2 2 28 2" xfId="23251" xr:uid="{9B0A69D9-A33D-4DBA-8427-FB272EAE0012}"/>
    <cellStyle name="Normal 2 2 28 20" xfId="23252" xr:uid="{D76EB744-C575-4D0D-B2C4-89265CFB4C79}"/>
    <cellStyle name="Normal 2 2 28 21" xfId="23253" xr:uid="{48F357A8-58A1-4947-8312-70277CBA347A}"/>
    <cellStyle name="Normal 2 2 28 22" xfId="23254" xr:uid="{EC0BCBBE-9DC8-4BA6-BD1E-724614B42670}"/>
    <cellStyle name="Normal 2 2 28 23" xfId="23255" xr:uid="{76D8075B-3474-4065-817C-0C0167D7EC8F}"/>
    <cellStyle name="Normal 2 2 28 24" xfId="23256" xr:uid="{17E790FC-669A-49ED-9DC0-DB3BB0C39859}"/>
    <cellStyle name="Normal 2 2 28 25" xfId="23257" xr:uid="{B596F74E-71EE-4695-9E65-5F18614A4809}"/>
    <cellStyle name="Normal 2 2 28 26" xfId="23258" xr:uid="{02F9883A-4EA0-431D-A8B3-21BFCA247DF5}"/>
    <cellStyle name="Normal 2 2 28 27" xfId="23259" xr:uid="{D1CEE173-2F0D-498B-924C-FD99D5BC20B4}"/>
    <cellStyle name="Normal 2 2 28 28" xfId="23260" xr:uid="{C385CFEC-297B-4498-9E4C-6FD90B4E2763}"/>
    <cellStyle name="Normal 2 2 28 29" xfId="23261" xr:uid="{DF6B855D-6DE6-4EBD-A5C4-8A5342C578DC}"/>
    <cellStyle name="Normal 2 2 28 3" xfId="23262" xr:uid="{E2C82002-E54D-499D-80A1-EFFF1B0CAB2F}"/>
    <cellStyle name="Normal 2 2 28 30" xfId="23263" xr:uid="{226E56DF-8BB5-4BD8-931F-4B48CC8B4824}"/>
    <cellStyle name="Normal 2 2 28 31" xfId="23264" xr:uid="{E5F11A34-9BA8-40D8-8099-FECE9DCB3C27}"/>
    <cellStyle name="Normal 2 2 28 32" xfId="23265" xr:uid="{5C85EA6B-447A-43F4-8480-2CF08A1DC1C9}"/>
    <cellStyle name="Normal 2 2 28 33" xfId="23266" xr:uid="{0791DFF2-E7D6-4EFA-96F7-F030D9BFEE53}"/>
    <cellStyle name="Normal 2 2 28 34" xfId="23267" xr:uid="{62C17208-E473-4775-BAFA-6D889CC31781}"/>
    <cellStyle name="Normal 2 2 28 35" xfId="23268" xr:uid="{E5F4E292-A53C-46AE-927D-674165A00A3F}"/>
    <cellStyle name="Normal 2 2 28 36" xfId="23269" xr:uid="{B474D52A-84BC-4896-A578-B7B251CD5C91}"/>
    <cellStyle name="Normal 2 2 28 37" xfId="23270" xr:uid="{0E1B9D58-D3BD-49CF-81AD-13A6F8ED40C7}"/>
    <cellStyle name="Normal 2 2 28 38" xfId="23271" xr:uid="{E574CE73-31DF-49CB-8768-BEE0DD423101}"/>
    <cellStyle name="Normal 2 2 28 4" xfId="23272" xr:uid="{F36675E9-2F1F-4FD1-8985-9CC80A332DFA}"/>
    <cellStyle name="Normal 2 2 28 5" xfId="23273" xr:uid="{3A3142E4-5D3F-4040-8DE4-3C8C70D9E412}"/>
    <cellStyle name="Normal 2 2 28 6" xfId="23274" xr:uid="{9103ADE2-5849-4C79-BCA2-43E6523746F8}"/>
    <cellStyle name="Normal 2 2 28 7" xfId="23275" xr:uid="{F319AB3F-7E75-4654-AA43-A9B5F16CF83C}"/>
    <cellStyle name="Normal 2 2 28 8" xfId="23276" xr:uid="{0741F262-3EC2-4333-B94D-62DDB20D44C6}"/>
    <cellStyle name="Normal 2 2 28 9" xfId="23277" xr:uid="{F1693E0D-003B-48ED-A583-807E37BB97E1}"/>
    <cellStyle name="Normal 2 2 29" xfId="23278" xr:uid="{1D23A7B6-547F-47C9-91B2-E968B550CE30}"/>
    <cellStyle name="Normal 2 2 29 2" xfId="23279" xr:uid="{F9D5A573-1772-41A3-BF8A-0A0C9DFFDAFD}"/>
    <cellStyle name="Normal 2 2 3" xfId="1077" xr:uid="{A7A26A4F-38A5-454A-973F-89B49D03E1CC}"/>
    <cellStyle name="Normal 2 2 3 10" xfId="23280" xr:uid="{538615CA-1A0E-4E07-A63C-8213CEEE3320}"/>
    <cellStyle name="Normal 2 2 3 11" xfId="23281" xr:uid="{1705639F-FBE7-49D6-9D43-D915FA33FB8E}"/>
    <cellStyle name="Normal 2 2 3 12" xfId="23282" xr:uid="{B991341F-649A-496C-AB99-5D1C35CE5C2A}"/>
    <cellStyle name="Normal 2 2 3 13" xfId="23283" xr:uid="{4C7CDB54-9777-4FE6-AE86-72E1418BCB84}"/>
    <cellStyle name="Normal 2 2 3 14" xfId="23284" xr:uid="{973C2B86-C323-4D8B-A720-40A161CE6454}"/>
    <cellStyle name="Normal 2 2 3 2" xfId="23285" xr:uid="{3F339FF1-67B1-4F48-8ACA-A65A0DC1122D}"/>
    <cellStyle name="Normal 2 2 3 2 2" xfId="23286" xr:uid="{8F9A7DB4-37C3-4041-826C-F066A485A6B2}"/>
    <cellStyle name="Normal 2 2 3 2 3" xfId="23287" xr:uid="{E503412A-FB74-4BD9-B918-B7EA01EC6B31}"/>
    <cellStyle name="Normal 2 2 3 2 4" xfId="23288" xr:uid="{0162AF76-35AB-4519-A036-FB1265F1789E}"/>
    <cellStyle name="Normal 2 2 3 2 5" xfId="23289" xr:uid="{62DAF996-CB84-480B-846C-4FC0226FFE6B}"/>
    <cellStyle name="Normal 2 2 3 2 6" xfId="23290" xr:uid="{6BEF5A76-2011-417B-8A2B-39DD6A8FB0EB}"/>
    <cellStyle name="Normal 2 2 3 3" xfId="23291" xr:uid="{D723A1B0-3487-4E8F-BC19-9870FFF40875}"/>
    <cellStyle name="Normal 2 2 3 3 2" xfId="23292" xr:uid="{A43AEE4F-D13A-48B9-8564-81CA2E67FFEF}"/>
    <cellStyle name="Normal 2 2 3 3 3" xfId="23293" xr:uid="{364B2D4B-C250-43BF-82F9-AC2AE357226A}"/>
    <cellStyle name="Normal 2 2 3 3 4" xfId="23294" xr:uid="{97C619D1-1116-4792-8DDA-6C59CC43BD18}"/>
    <cellStyle name="Normal 2 2 3 3 5" xfId="23295" xr:uid="{C904AAF0-1F80-4D0B-8B1A-7E06C168464C}"/>
    <cellStyle name="Normal 2 2 3 3 6" xfId="23296" xr:uid="{6D623FBB-89F9-4C7D-AFB4-4A1573A2CE4A}"/>
    <cellStyle name="Normal 2 2 3 4" xfId="23297" xr:uid="{A08CB62D-5E1C-4104-AD5D-23E8B6BEA2C1}"/>
    <cellStyle name="Normal 2 2 3 4 2" xfId="23298" xr:uid="{C6CD764E-F700-4D56-8E65-BCD69DA82696}"/>
    <cellStyle name="Normal 2 2 3 4 3" xfId="23299" xr:uid="{16F77B73-8425-449A-BBDE-AD3523B45A02}"/>
    <cellStyle name="Normal 2 2 3 4 4" xfId="23300" xr:uid="{08FEAA73-3518-4466-B8BB-69365F536132}"/>
    <cellStyle name="Normal 2 2 3 4 5" xfId="23301" xr:uid="{67E0E55B-20A9-4DF9-8F5B-FA34585F5CE9}"/>
    <cellStyle name="Normal 2 2 3 4 6" xfId="23302" xr:uid="{465A4CC2-7EDD-4108-BFF6-C254BBBD8427}"/>
    <cellStyle name="Normal 2 2 3 5" xfId="23303" xr:uid="{7C32E13C-3351-43F1-9D2F-94E9DB5FE4F9}"/>
    <cellStyle name="Normal 2 2 3 5 2" xfId="23304" xr:uid="{439D99D1-6277-45D0-BE4D-AAB289E6626A}"/>
    <cellStyle name="Normal 2 2 3 5 3" xfId="23305" xr:uid="{62D5F525-F940-45EA-BC7F-660977F478C6}"/>
    <cellStyle name="Normal 2 2 3 5 4" xfId="23306" xr:uid="{99F1DE60-EF0D-440F-9B78-67E247A4A767}"/>
    <cellStyle name="Normal 2 2 3 5 5" xfId="23307" xr:uid="{AB744DEB-D524-481B-8DCD-4871EDDEE1EA}"/>
    <cellStyle name="Normal 2 2 3 5 6" xfId="23308" xr:uid="{B941B6D6-4037-4279-A1E6-B3980F7B981C}"/>
    <cellStyle name="Normal 2 2 3 6" xfId="23309" xr:uid="{F561DF2B-A4B1-423F-A62E-58618DE30691}"/>
    <cellStyle name="Normal 2 2 3 6 2" xfId="23310" xr:uid="{18414477-AC5C-4718-8159-0DD19C4CFA4E}"/>
    <cellStyle name="Normal 2 2 3 6 3" xfId="23311" xr:uid="{8514B304-CB68-4450-92F1-3A276A1A5D47}"/>
    <cellStyle name="Normal 2 2 3 6 4" xfId="23312" xr:uid="{84312D28-3ACC-4C1B-9988-0519B5D22078}"/>
    <cellStyle name="Normal 2 2 3 6 5" xfId="23313" xr:uid="{119A67D2-6C15-4DFA-91A7-3E8298784FC6}"/>
    <cellStyle name="Normal 2 2 3 6 6" xfId="23314" xr:uid="{243DC616-FBC8-4A65-9FA3-FC5794DFE4BE}"/>
    <cellStyle name="Normal 2 2 3 7" xfId="23315" xr:uid="{06C4F21A-633A-4018-B963-52B61AC9C2C6}"/>
    <cellStyle name="Normal 2 2 3 7 2" xfId="23316" xr:uid="{6CEC36FA-B72F-4C53-9792-D8C646345711}"/>
    <cellStyle name="Normal 2 2 3 7 3" xfId="23317" xr:uid="{EE5FEDC9-C6EF-4282-8092-1445E80E6C64}"/>
    <cellStyle name="Normal 2 2 3 7 4" xfId="23318" xr:uid="{DDA39BD4-8820-42FB-9C22-82403F78405E}"/>
    <cellStyle name="Normal 2 2 3 7 5" xfId="23319" xr:uid="{813089E0-1818-43AE-98F5-066FA702FAF4}"/>
    <cellStyle name="Normal 2 2 3 7 6" xfId="23320" xr:uid="{087A768C-BD75-4A7B-9E8B-B2A642C135FC}"/>
    <cellStyle name="Normal 2 2 3 8" xfId="23321" xr:uid="{20BCC46E-ECB4-49DE-8628-15392B084F06}"/>
    <cellStyle name="Normal 2 2 3 8 2" xfId="23322" xr:uid="{6912A994-CC0A-4BD1-AAAC-3A56697E0701}"/>
    <cellStyle name="Normal 2 2 3 8 3" xfId="23323" xr:uid="{F6906C34-FEDF-4E10-B214-932614B016D7}"/>
    <cellStyle name="Normal 2 2 3 8 4" xfId="23324" xr:uid="{FCDEF6CD-7A7C-4300-904B-563B85A78342}"/>
    <cellStyle name="Normal 2 2 3 8 5" xfId="23325" xr:uid="{D4DCF905-58B6-4475-98FE-D2F9042CE88B}"/>
    <cellStyle name="Normal 2 2 3 8 6" xfId="23326" xr:uid="{1960F39F-42D8-4E0B-9E22-D8C57E95C215}"/>
    <cellStyle name="Normal 2 2 3 9" xfId="23327" xr:uid="{8F3E5031-5A05-45F2-87DC-2653DFBD7E7A}"/>
    <cellStyle name="Normal 2 2 30" xfId="23328" xr:uid="{9F54A3AD-9C1B-45A1-A36B-0795C385ACB3}"/>
    <cellStyle name="Normal 2 2 30 2" xfId="23329" xr:uid="{5B2DFAF5-E8C7-424E-A9F1-519A5DC5B11D}"/>
    <cellStyle name="Normal 2 2 31" xfId="23330" xr:uid="{B6A02AD0-D9E7-4612-BC6E-F3876A61456A}"/>
    <cellStyle name="Normal 2 2 31 2" xfId="23331" xr:uid="{87FE8B28-8792-4BF9-9EAE-566FAEBD57A8}"/>
    <cellStyle name="Normal 2 2 32" xfId="23332" xr:uid="{8297A377-10D9-4DB1-911D-A6AA7B8675C4}"/>
    <cellStyle name="Normal 2 2 32 2" xfId="23333" xr:uid="{5547C003-75BB-446D-A5B1-0AEC621D3BC6}"/>
    <cellStyle name="Normal 2 2 33" xfId="23334" xr:uid="{232A3A13-3B8A-49F8-A113-C72B9D13B393}"/>
    <cellStyle name="Normal 2 2 33 2" xfId="23335" xr:uid="{E8B82991-C738-4B61-8AB1-7143B31095F6}"/>
    <cellStyle name="Normal 2 2 34" xfId="23336" xr:uid="{B91B99CE-FFB3-4582-AE03-4EEB0FE6772F}"/>
    <cellStyle name="Normal 2 2 34 2" xfId="23337" xr:uid="{D9370644-308F-4424-9CC1-E38AEACC1677}"/>
    <cellStyle name="Normal 2 2 35" xfId="23338" xr:uid="{A2269613-9838-4DB0-A9BA-FDE9FFB04D78}"/>
    <cellStyle name="Normal 2 2 35 2" xfId="23339" xr:uid="{CAC05965-C945-4EB6-A2BB-9E71CB8C5F61}"/>
    <cellStyle name="Normal 2 2 36" xfId="23340" xr:uid="{E48AAA13-D804-4875-9B06-B0940B46F948}"/>
    <cellStyle name="Normal 2 2 36 2" xfId="23341" xr:uid="{F1F334D8-6E4D-4A18-B3D9-C7A059BB3425}"/>
    <cellStyle name="Normal 2 2 37" xfId="23342" xr:uid="{A753A70A-1A49-422D-883B-EDD6FF9675B4}"/>
    <cellStyle name="Normal 2 2 37 10" xfId="23343" xr:uid="{8C59C051-CCA9-45EA-984A-B4F3043D0B81}"/>
    <cellStyle name="Normal 2 2 37 11" xfId="23344" xr:uid="{9C9024D2-4BFB-44E7-BF31-E6393C4C6979}"/>
    <cellStyle name="Normal 2 2 37 12" xfId="23345" xr:uid="{8FB3EC9B-B27E-410D-BCCB-747DBAAEA660}"/>
    <cellStyle name="Normal 2 2 37 13" xfId="23346" xr:uid="{8F0C7B17-7248-47E6-BA8B-8FFF8A2930AF}"/>
    <cellStyle name="Normal 2 2 37 14" xfId="23347" xr:uid="{4D0E45C1-2C76-4BF5-ABC3-50326291AA72}"/>
    <cellStyle name="Normal 2 2 37 2" xfId="23348" xr:uid="{38EEBE04-7397-45FD-9437-45C7AE3543AF}"/>
    <cellStyle name="Normal 2 2 37 2 2" xfId="23349" xr:uid="{7769190F-71C7-4D8C-AEAF-E0D8351EAF42}"/>
    <cellStyle name="Normal 2 2 37 2 3" xfId="23350" xr:uid="{37073E3D-8833-47DE-BD5F-8A272ABB69D5}"/>
    <cellStyle name="Normal 2 2 37 2 4" xfId="23351" xr:uid="{A96FF1B9-3997-4105-A89E-AC224972569F}"/>
    <cellStyle name="Normal 2 2 37 2 5" xfId="23352" xr:uid="{9C9A3601-5693-44BE-BD82-96BD505419BD}"/>
    <cellStyle name="Normal 2 2 37 2 6" xfId="23353" xr:uid="{DDC2375F-25AB-40A0-8FB8-8EED6DD67F69}"/>
    <cellStyle name="Normal 2 2 37 3" xfId="23354" xr:uid="{5389AF4B-D51B-4A79-AFCB-A620B36C5D5F}"/>
    <cellStyle name="Normal 2 2 37 3 2" xfId="23355" xr:uid="{5DE2B20C-6C8E-4E35-8EEA-909C3299700D}"/>
    <cellStyle name="Normal 2 2 37 3 3" xfId="23356" xr:uid="{52C91C30-4D47-42B9-A91C-5B3EB26CE990}"/>
    <cellStyle name="Normal 2 2 37 3 4" xfId="23357" xr:uid="{81945751-70E6-4B9E-894A-1E4F8B0520C8}"/>
    <cellStyle name="Normal 2 2 37 3 5" xfId="23358" xr:uid="{2FDB16F0-7D95-446A-8B57-9B32BFDAAB3D}"/>
    <cellStyle name="Normal 2 2 37 3 6" xfId="23359" xr:uid="{37E9D0C2-167B-491C-AD1E-6160AB1FCFBE}"/>
    <cellStyle name="Normal 2 2 37 4" xfId="23360" xr:uid="{ED90732F-325E-46F5-BDAD-2BCBD4465D0A}"/>
    <cellStyle name="Normal 2 2 37 4 2" xfId="23361" xr:uid="{02C5BD86-D8A2-4AAF-ACD5-79067E8CE93B}"/>
    <cellStyle name="Normal 2 2 37 4 3" xfId="23362" xr:uid="{2C2AEB45-9B9D-4218-BA92-BFDF3B531484}"/>
    <cellStyle name="Normal 2 2 37 4 4" xfId="23363" xr:uid="{A6F4B9DF-0CF5-46B7-B0BD-AB8000B17461}"/>
    <cellStyle name="Normal 2 2 37 4 5" xfId="23364" xr:uid="{45202EB8-E987-4C03-8076-261763689530}"/>
    <cellStyle name="Normal 2 2 37 4 6" xfId="23365" xr:uid="{2CBE6EBF-886C-4BEB-8111-59C2F677C01E}"/>
    <cellStyle name="Normal 2 2 37 5" xfId="23366" xr:uid="{DDF2E69E-BB75-4995-9E1B-DD5858CB08E0}"/>
    <cellStyle name="Normal 2 2 37 5 2" xfId="23367" xr:uid="{C92C28DB-32F5-4555-A95D-87CA791796E2}"/>
    <cellStyle name="Normal 2 2 37 5 3" xfId="23368" xr:uid="{5C983978-FFF9-40E8-9A91-B8589315AC72}"/>
    <cellStyle name="Normal 2 2 37 5 4" xfId="23369" xr:uid="{19AAEFE4-C4A7-442D-AC83-73138DD81169}"/>
    <cellStyle name="Normal 2 2 37 5 5" xfId="23370" xr:uid="{83A93C43-6E85-40BA-8D1B-EFBB0CC63467}"/>
    <cellStyle name="Normal 2 2 37 5 6" xfId="23371" xr:uid="{D00771BB-72E3-4011-9959-E773A7D8856B}"/>
    <cellStyle name="Normal 2 2 37 6" xfId="23372" xr:uid="{EBDBF304-80E2-413F-9A7F-4CC35CD1F0B4}"/>
    <cellStyle name="Normal 2 2 37 6 2" xfId="23373" xr:uid="{F1AC51B8-4470-470F-87B8-43EE14EF7BC2}"/>
    <cellStyle name="Normal 2 2 37 6 3" xfId="23374" xr:uid="{834B0A7B-1B07-452A-8E69-F50162054704}"/>
    <cellStyle name="Normal 2 2 37 6 4" xfId="23375" xr:uid="{33A0A96C-A95F-4584-BE7A-3BAFB2AB2E8A}"/>
    <cellStyle name="Normal 2 2 37 6 5" xfId="23376" xr:uid="{049DAAD6-BFC6-46B9-8AC1-C8E238D6CC85}"/>
    <cellStyle name="Normal 2 2 37 6 6" xfId="23377" xr:uid="{B6A96CA2-6C22-411B-BFCA-BA4B94858E3F}"/>
    <cellStyle name="Normal 2 2 37 7" xfId="23378" xr:uid="{4579F84E-51A7-4D15-A734-D46A341B8B06}"/>
    <cellStyle name="Normal 2 2 37 7 2" xfId="23379" xr:uid="{61B5B39C-4C92-4830-9402-0C8B04E3930F}"/>
    <cellStyle name="Normal 2 2 37 7 3" xfId="23380" xr:uid="{88D6341D-2543-4E24-A56B-9D8834772364}"/>
    <cellStyle name="Normal 2 2 37 7 4" xfId="23381" xr:uid="{50BB7450-5D5C-4BC5-A9FF-AA261AA8E49C}"/>
    <cellStyle name="Normal 2 2 37 7 5" xfId="23382" xr:uid="{1DD9BBE4-6065-4F34-A86D-71E7F0742A2E}"/>
    <cellStyle name="Normal 2 2 37 7 6" xfId="23383" xr:uid="{D84D81D0-89C3-42D9-884E-C3B24B66732D}"/>
    <cellStyle name="Normal 2 2 37 8" xfId="23384" xr:uid="{A8162EB3-92B9-4553-9A78-A7EC3FB7EF7D}"/>
    <cellStyle name="Normal 2 2 37 8 2" xfId="23385" xr:uid="{957A5347-62CF-48E1-BB7A-1A862799AB66}"/>
    <cellStyle name="Normal 2 2 37 8 3" xfId="23386" xr:uid="{7BB18813-80BF-4870-9246-A4A25B34880E}"/>
    <cellStyle name="Normal 2 2 37 8 4" xfId="23387" xr:uid="{C6FE3839-93E2-42B6-BF85-445632F95DBA}"/>
    <cellStyle name="Normal 2 2 37 8 5" xfId="23388" xr:uid="{0A36CD62-9A38-497D-8459-96AC19F358A0}"/>
    <cellStyle name="Normal 2 2 37 8 6" xfId="23389" xr:uid="{1FD6C842-509E-461A-BAA9-1A932BAA0A39}"/>
    <cellStyle name="Normal 2 2 37 9" xfId="23390" xr:uid="{45ABC22D-9CD6-46AF-80C3-FCDD24B28FE5}"/>
    <cellStyle name="Normal 2 2 38" xfId="23391" xr:uid="{FE2DE39B-293D-40BE-AA56-46D2872698D9}"/>
    <cellStyle name="Normal 2 2 38 10" xfId="23392" xr:uid="{A10FB1D3-D83D-4AF1-BC73-061FEFE8395D}"/>
    <cellStyle name="Normal 2 2 38 11" xfId="23393" xr:uid="{47963136-CCF4-4436-B7C7-A831D9E54565}"/>
    <cellStyle name="Normal 2 2 38 12" xfId="23394" xr:uid="{179C33A7-97D0-47E3-B7DA-CAC9F80F0988}"/>
    <cellStyle name="Normal 2 2 38 13" xfId="23395" xr:uid="{43A16A3F-9BA1-4519-931C-81872EDCFF2C}"/>
    <cellStyle name="Normal 2 2 38 14" xfId="23396" xr:uid="{5966C8FA-7F42-46E6-9DB4-A20C0318D9F9}"/>
    <cellStyle name="Normal 2 2 38 2" xfId="23397" xr:uid="{91BB0A6A-10FB-4F26-B7AA-DBCDEBEB386D}"/>
    <cellStyle name="Normal 2 2 38 2 2" xfId="23398" xr:uid="{25A78C85-C5FF-431D-ADA7-A584F294387E}"/>
    <cellStyle name="Normal 2 2 38 2 3" xfId="23399" xr:uid="{E82230A0-4952-44A8-B9F3-3CDE04952D62}"/>
    <cellStyle name="Normal 2 2 38 2 4" xfId="23400" xr:uid="{114F7A2B-F218-48E3-B897-25731CA8466B}"/>
    <cellStyle name="Normal 2 2 38 2 5" xfId="23401" xr:uid="{50BFF466-C08B-4CE3-9071-B88E4137B325}"/>
    <cellStyle name="Normal 2 2 38 2 6" xfId="23402" xr:uid="{04E329AE-2306-412A-8094-E582A1684FA8}"/>
    <cellStyle name="Normal 2 2 38 3" xfId="23403" xr:uid="{D80CC5E0-61B2-48A1-BC9D-00EAD985A8A5}"/>
    <cellStyle name="Normal 2 2 38 3 2" xfId="23404" xr:uid="{5C3114C7-FC39-4587-85C1-290A38CFC49E}"/>
    <cellStyle name="Normal 2 2 38 3 3" xfId="23405" xr:uid="{5E3DE5F7-0AEF-4B98-B496-A7C7C783BFDE}"/>
    <cellStyle name="Normal 2 2 38 3 4" xfId="23406" xr:uid="{F256BDBC-C441-4E00-A274-F29D226CEC1E}"/>
    <cellStyle name="Normal 2 2 38 3 5" xfId="23407" xr:uid="{055F71C3-B1A8-4F86-B012-DF5E3A0BC294}"/>
    <cellStyle name="Normal 2 2 38 3 6" xfId="23408" xr:uid="{5F2A0D83-2E18-4E77-BC95-EE8EB1DB3DD4}"/>
    <cellStyle name="Normal 2 2 38 4" xfId="23409" xr:uid="{D9A1E802-2DD0-4AD9-A779-534C38A238A4}"/>
    <cellStyle name="Normal 2 2 38 4 2" xfId="23410" xr:uid="{CF3606E6-0829-4903-BEDE-9D17F8B71371}"/>
    <cellStyle name="Normal 2 2 38 4 3" xfId="23411" xr:uid="{044ADE56-E6BE-46BC-B7E5-71EF2A2CA120}"/>
    <cellStyle name="Normal 2 2 38 4 4" xfId="23412" xr:uid="{991034AB-FBE1-4AEE-A9E0-B1FCB7E4C191}"/>
    <cellStyle name="Normal 2 2 38 4 5" xfId="23413" xr:uid="{F22C3987-D4BB-4984-BB2E-FF6CF886D1D0}"/>
    <cellStyle name="Normal 2 2 38 4 6" xfId="23414" xr:uid="{426A7C30-7ED1-40BE-B65E-42DDBCF6BEAD}"/>
    <cellStyle name="Normal 2 2 38 5" xfId="23415" xr:uid="{0B0871C2-4F67-44E1-8135-73966691AAC8}"/>
    <cellStyle name="Normal 2 2 38 5 2" xfId="23416" xr:uid="{2A5403B6-B758-414E-8142-710A753D7148}"/>
    <cellStyle name="Normal 2 2 38 5 3" xfId="23417" xr:uid="{97BC1A43-EC15-473D-87C9-AB76A815AEF1}"/>
    <cellStyle name="Normal 2 2 38 5 4" xfId="23418" xr:uid="{DACCD06F-B222-41D7-9CAA-58EC7C534A7F}"/>
    <cellStyle name="Normal 2 2 38 5 5" xfId="23419" xr:uid="{82FBB987-16BA-4828-A057-FE5BC80C202B}"/>
    <cellStyle name="Normal 2 2 38 5 6" xfId="23420" xr:uid="{5F5174EF-FCCA-422D-B7B9-7C38EDA9DA31}"/>
    <cellStyle name="Normal 2 2 38 6" xfId="23421" xr:uid="{6F8BDCF1-5365-4DE9-A4FE-DDC71C861D17}"/>
    <cellStyle name="Normal 2 2 38 6 2" xfId="23422" xr:uid="{BC980B86-AF41-453A-97BF-DE9500A30D3B}"/>
    <cellStyle name="Normal 2 2 38 6 3" xfId="23423" xr:uid="{BDBBF1F1-4856-4F73-8871-6CB53960AF59}"/>
    <cellStyle name="Normal 2 2 38 6 4" xfId="23424" xr:uid="{DB6FE40E-64CA-4B63-ACD9-18DB06E8E7C6}"/>
    <cellStyle name="Normal 2 2 38 6 5" xfId="23425" xr:uid="{9C208442-DFB1-428A-A124-DF13D9010AE2}"/>
    <cellStyle name="Normal 2 2 38 6 6" xfId="23426" xr:uid="{6DCB635B-8DA0-4D57-A470-971C0023E662}"/>
    <cellStyle name="Normal 2 2 38 7" xfId="23427" xr:uid="{6ACC15AE-A18D-47F2-87C1-E65603DA2B7B}"/>
    <cellStyle name="Normal 2 2 38 7 2" xfId="23428" xr:uid="{D3657CAB-B601-492A-8879-5257D4A60C55}"/>
    <cellStyle name="Normal 2 2 38 7 3" xfId="23429" xr:uid="{296750BE-9393-40FB-87FE-B5352B7F429A}"/>
    <cellStyle name="Normal 2 2 38 7 4" xfId="23430" xr:uid="{7EA832EC-950D-42FA-A137-50EDB93BBA15}"/>
    <cellStyle name="Normal 2 2 38 7 5" xfId="23431" xr:uid="{E3B2FE4D-DEE6-40F6-A401-DBE68A51F965}"/>
    <cellStyle name="Normal 2 2 38 7 6" xfId="23432" xr:uid="{55AB38FC-F0F5-467D-8570-E023E9B78B31}"/>
    <cellStyle name="Normal 2 2 38 8" xfId="23433" xr:uid="{961EB996-1012-4C87-BD2C-059F2C64C17E}"/>
    <cellStyle name="Normal 2 2 38 8 2" xfId="23434" xr:uid="{3DECD0B1-6467-4F28-AC77-E68AD0C3440F}"/>
    <cellStyle name="Normal 2 2 38 8 3" xfId="23435" xr:uid="{309D1E32-188F-4B5E-979E-D7DE19936DFF}"/>
    <cellStyle name="Normal 2 2 38 8 4" xfId="23436" xr:uid="{E3FE230A-D1DE-49A1-8FA6-F914CD42B189}"/>
    <cellStyle name="Normal 2 2 38 8 5" xfId="23437" xr:uid="{411872E0-F214-470D-9181-B5BDBD05AC2C}"/>
    <cellStyle name="Normal 2 2 38 8 6" xfId="23438" xr:uid="{30CB4B5C-5EA2-4A97-A6DE-45B964C73ED6}"/>
    <cellStyle name="Normal 2 2 38 9" xfId="23439" xr:uid="{C195DA04-828F-46EE-A837-C3B664A4348C}"/>
    <cellStyle name="Normal 2 2 39" xfId="23440" xr:uid="{0D5D1A53-B106-4454-A47F-92A2E7B35792}"/>
    <cellStyle name="Normal 2 2 39 10" xfId="23441" xr:uid="{4F185655-6F98-47E7-9BD2-F3A53014363E}"/>
    <cellStyle name="Normal 2 2 39 11" xfId="23442" xr:uid="{9E7588E2-6AA8-437F-B0F9-B95FDDE3190B}"/>
    <cellStyle name="Normal 2 2 39 12" xfId="23443" xr:uid="{6DBA7A2A-2FCA-452E-9167-CD1AF1B5B08A}"/>
    <cellStyle name="Normal 2 2 39 13" xfId="23444" xr:uid="{F7FCEF5C-4280-4AA8-885A-4AB1946FFB9A}"/>
    <cellStyle name="Normal 2 2 39 14" xfId="23445" xr:uid="{FC88B3EA-82C9-4C73-8EF2-5E5E47F8326A}"/>
    <cellStyle name="Normal 2 2 39 2" xfId="23446" xr:uid="{224BE81E-BFF8-42D4-801D-C5FC4E3622A8}"/>
    <cellStyle name="Normal 2 2 39 2 2" xfId="23447" xr:uid="{47AC0868-C74B-4208-954C-DAF13A608C0E}"/>
    <cellStyle name="Normal 2 2 39 2 3" xfId="23448" xr:uid="{ABFE4215-3A0E-417E-9416-1E198EE26ED8}"/>
    <cellStyle name="Normal 2 2 39 2 4" xfId="23449" xr:uid="{AB2E6639-42A7-48E0-B741-67EC98277EE6}"/>
    <cellStyle name="Normal 2 2 39 2 5" xfId="23450" xr:uid="{AEFF7DC5-E463-469F-A20C-B75BB38389A1}"/>
    <cellStyle name="Normal 2 2 39 2 6" xfId="23451" xr:uid="{94D79380-6B24-425C-BD54-14917515BEF0}"/>
    <cellStyle name="Normal 2 2 39 3" xfId="23452" xr:uid="{19D7FC1A-6A90-4C4B-9010-4F0967E8CFFA}"/>
    <cellStyle name="Normal 2 2 39 3 2" xfId="23453" xr:uid="{4F76573D-009C-4BCE-AB56-0747C165ABDB}"/>
    <cellStyle name="Normal 2 2 39 3 3" xfId="23454" xr:uid="{D9BF337D-F8ED-410F-A3DE-BE06ACE25E4A}"/>
    <cellStyle name="Normal 2 2 39 3 4" xfId="23455" xr:uid="{0B191260-6D99-4CCF-897A-021A7BD0B84F}"/>
    <cellStyle name="Normal 2 2 39 3 5" xfId="23456" xr:uid="{0D7FE4EC-DF98-4A20-A59A-CE592910F146}"/>
    <cellStyle name="Normal 2 2 39 3 6" xfId="23457" xr:uid="{0955C688-DD9A-4ED5-A6F8-52A5A9E628EB}"/>
    <cellStyle name="Normal 2 2 39 4" xfId="23458" xr:uid="{24E3DF22-743B-46C4-A805-7AABF38F3F4D}"/>
    <cellStyle name="Normal 2 2 39 4 2" xfId="23459" xr:uid="{9600E6CA-1CD8-409C-A690-376849891690}"/>
    <cellStyle name="Normal 2 2 39 4 3" xfId="23460" xr:uid="{2795C39C-64A5-4869-AFF4-8A94D7B6788C}"/>
    <cellStyle name="Normal 2 2 39 4 4" xfId="23461" xr:uid="{28528DDB-A0F7-4C0C-A169-0001117A8CCB}"/>
    <cellStyle name="Normal 2 2 39 4 5" xfId="23462" xr:uid="{C3993C0B-B4B3-46C8-B13C-BAF041E3E10B}"/>
    <cellStyle name="Normal 2 2 39 4 6" xfId="23463" xr:uid="{0211BAC6-7DAB-48AE-8FCC-FD90D1C8DD48}"/>
    <cellStyle name="Normal 2 2 39 5" xfId="23464" xr:uid="{7E4F6E2D-CF35-4B1A-90FC-AEF309E7C832}"/>
    <cellStyle name="Normal 2 2 39 5 2" xfId="23465" xr:uid="{215467CF-5F05-46A0-BF81-A9C74AA0DA0B}"/>
    <cellStyle name="Normal 2 2 39 5 3" xfId="23466" xr:uid="{E52C73D0-E5CB-4180-9B00-E131F764314E}"/>
    <cellStyle name="Normal 2 2 39 5 4" xfId="23467" xr:uid="{5BA45A5E-5378-414A-B5F4-5811E4F84AED}"/>
    <cellStyle name="Normal 2 2 39 5 5" xfId="23468" xr:uid="{46102D7B-3A26-48A2-8982-B93D6F963770}"/>
    <cellStyle name="Normal 2 2 39 5 6" xfId="23469" xr:uid="{33DB5B1C-CCB1-4EE5-9834-296D160570FB}"/>
    <cellStyle name="Normal 2 2 39 6" xfId="23470" xr:uid="{98221414-4F10-4F9C-B40F-538321550F7A}"/>
    <cellStyle name="Normal 2 2 39 6 2" xfId="23471" xr:uid="{D77E4603-2689-47AD-BFD5-9B14E7E0FD5D}"/>
    <cellStyle name="Normal 2 2 39 6 3" xfId="23472" xr:uid="{27824790-290D-4FF8-991C-1C9CFDE6DCDC}"/>
    <cellStyle name="Normal 2 2 39 6 4" xfId="23473" xr:uid="{21403BE2-DE62-44E0-8822-41E3AE3E9EB4}"/>
    <cellStyle name="Normal 2 2 39 6 5" xfId="23474" xr:uid="{7300348D-E2D3-4B0E-BF52-CAD929E6E40F}"/>
    <cellStyle name="Normal 2 2 39 6 6" xfId="23475" xr:uid="{2DC4C28D-0A8E-4D27-8577-BF61D3F5179E}"/>
    <cellStyle name="Normal 2 2 39 7" xfId="23476" xr:uid="{F1CECDB8-6BE9-4A6B-A8ED-3C62E27C8C75}"/>
    <cellStyle name="Normal 2 2 39 7 2" xfId="23477" xr:uid="{018B6FAA-6C39-4FF2-995A-34591B7783E4}"/>
    <cellStyle name="Normal 2 2 39 7 3" xfId="23478" xr:uid="{170353D9-D97F-42C4-9DEA-C315EE3B6A0A}"/>
    <cellStyle name="Normal 2 2 39 7 4" xfId="23479" xr:uid="{15380FF4-5FFB-4087-BBAC-13CE02BC504D}"/>
    <cellStyle name="Normal 2 2 39 7 5" xfId="23480" xr:uid="{F2FC005C-2CA9-4A1A-BE5B-8D695269B9F8}"/>
    <cellStyle name="Normal 2 2 39 7 6" xfId="23481" xr:uid="{775CFBDE-95AD-4A92-8899-1ADB32F945E1}"/>
    <cellStyle name="Normal 2 2 39 8" xfId="23482" xr:uid="{C786951C-09CC-4477-ADDF-B86FC1AA4C5C}"/>
    <cellStyle name="Normal 2 2 39 8 2" xfId="23483" xr:uid="{17E74A3A-9077-43A2-AF60-82DEA4AC8C8D}"/>
    <cellStyle name="Normal 2 2 39 8 3" xfId="23484" xr:uid="{729A10C2-037B-43AB-837E-C290705F8B95}"/>
    <cellStyle name="Normal 2 2 39 8 4" xfId="23485" xr:uid="{27D8E6BE-2305-477C-B371-4704E0D4D055}"/>
    <cellStyle name="Normal 2 2 39 8 5" xfId="23486" xr:uid="{508BCEAA-0231-4414-9696-76EC147429CA}"/>
    <cellStyle name="Normal 2 2 39 8 6" xfId="23487" xr:uid="{7B287A74-F29E-45BF-B390-CFE0515BC2D7}"/>
    <cellStyle name="Normal 2 2 39 9" xfId="23488" xr:uid="{F5F6628F-95AE-49D8-9E03-8226C057F345}"/>
    <cellStyle name="Normal 2 2 4" xfId="1078" xr:uid="{8FF6638C-9F31-48BA-8D24-35C1D8498689}"/>
    <cellStyle name="Normal 2 2 4 10" xfId="23489" xr:uid="{FCF1EDC4-1D1E-4B86-9438-A10E716A52A0}"/>
    <cellStyle name="Normal 2 2 4 11" xfId="23490" xr:uid="{BB11BF00-E766-4EFC-A7F4-87887F9A9034}"/>
    <cellStyle name="Normal 2 2 4 12" xfId="23491" xr:uid="{33793313-9337-4250-BE18-BB54F4786B2B}"/>
    <cellStyle name="Normal 2 2 4 13" xfId="23492" xr:uid="{C1A5307A-E069-4061-9C1B-3680AF8297E1}"/>
    <cellStyle name="Normal 2 2 4 14" xfId="23493" xr:uid="{9D63FDBF-8EC8-4AB7-BD92-27456F9CD4DE}"/>
    <cellStyle name="Normal 2 2 4 2" xfId="23494" xr:uid="{44CE2102-CF12-4DC9-8323-7794045C6C64}"/>
    <cellStyle name="Normal 2 2 4 2 2" xfId="23495" xr:uid="{BD436D1D-B8F4-4D38-981C-2B6E3A3A14E9}"/>
    <cellStyle name="Normal 2 2 4 2 3" xfId="23496" xr:uid="{58B8B7B0-CB4A-4EDC-B592-1DE32FFB3346}"/>
    <cellStyle name="Normal 2 2 4 2 4" xfId="23497" xr:uid="{E4861777-D8EB-4020-86E8-FE5A03FA3503}"/>
    <cellStyle name="Normal 2 2 4 2 5" xfId="23498" xr:uid="{DFD1FFEB-F858-484B-B3E7-63194AF99276}"/>
    <cellStyle name="Normal 2 2 4 2 6" xfId="23499" xr:uid="{73B18484-9397-4AD8-AD0A-0D4C23B8754F}"/>
    <cellStyle name="Normal 2 2 4 3" xfId="23500" xr:uid="{42A96F9C-6D63-400A-8A86-34662330ED59}"/>
    <cellStyle name="Normal 2 2 4 3 2" xfId="23501" xr:uid="{1CCE4348-F875-4E7D-85E0-4DF01B78FF27}"/>
    <cellStyle name="Normal 2 2 4 3 3" xfId="23502" xr:uid="{E96D42D0-501D-4B1F-B6AA-4040BC534901}"/>
    <cellStyle name="Normal 2 2 4 3 4" xfId="23503" xr:uid="{5754D8E3-ACEA-4342-B96C-28FC29AA9001}"/>
    <cellStyle name="Normal 2 2 4 3 5" xfId="23504" xr:uid="{AE2BC86C-8E6B-40DA-A58E-4846A70F5263}"/>
    <cellStyle name="Normal 2 2 4 3 6" xfId="23505" xr:uid="{D6A3AD6F-6B65-4DF2-9FDA-0AB21F266561}"/>
    <cellStyle name="Normal 2 2 4 4" xfId="23506" xr:uid="{49BD114C-8092-400D-8285-CEBE2F4ECAA6}"/>
    <cellStyle name="Normal 2 2 4 4 2" xfId="23507" xr:uid="{CFEDDA9A-978F-4558-B683-F9A17373648F}"/>
    <cellStyle name="Normal 2 2 4 4 3" xfId="23508" xr:uid="{9B42E658-625A-4AA4-AC0E-949AAF066247}"/>
    <cellStyle name="Normal 2 2 4 4 4" xfId="23509" xr:uid="{7672A7F1-D810-4BC7-A439-98C37CF16EFA}"/>
    <cellStyle name="Normal 2 2 4 4 5" xfId="23510" xr:uid="{E6EF1887-EF00-4825-93A6-2F0C5B8312C6}"/>
    <cellStyle name="Normal 2 2 4 4 6" xfId="23511" xr:uid="{FE180C1C-6DB4-4AC5-985E-F6A551BB7985}"/>
    <cellStyle name="Normal 2 2 4 5" xfId="23512" xr:uid="{595FEB25-B676-4B34-99C1-9C5EB998B49F}"/>
    <cellStyle name="Normal 2 2 4 5 2" xfId="23513" xr:uid="{DBE660FB-1E96-430B-8AD4-898FA8ACC84D}"/>
    <cellStyle name="Normal 2 2 4 5 3" xfId="23514" xr:uid="{503B874A-CA65-4800-85BD-D4C8EEB57269}"/>
    <cellStyle name="Normal 2 2 4 5 4" xfId="23515" xr:uid="{8724CD18-E3DB-46FB-9136-AF86F1EE5D81}"/>
    <cellStyle name="Normal 2 2 4 5 5" xfId="23516" xr:uid="{D0CE821F-C39A-43B6-8D9B-201C01A9655F}"/>
    <cellStyle name="Normal 2 2 4 5 6" xfId="23517" xr:uid="{3D42DADD-D9C8-4E18-9C68-5CAFC150EBE7}"/>
    <cellStyle name="Normal 2 2 4 6" xfId="23518" xr:uid="{005971A3-4C2E-4855-AD52-5D115BD79456}"/>
    <cellStyle name="Normal 2 2 4 6 2" xfId="23519" xr:uid="{D5AEC4AA-D004-472A-A137-64D07C7162C4}"/>
    <cellStyle name="Normal 2 2 4 6 3" xfId="23520" xr:uid="{44E6278F-0346-4BD3-850C-6432CD494FD2}"/>
    <cellStyle name="Normal 2 2 4 6 4" xfId="23521" xr:uid="{A31398EF-153D-410A-9F95-AAEE73B7D459}"/>
    <cellStyle name="Normal 2 2 4 6 5" xfId="23522" xr:uid="{6E9A58D5-40CF-4FEA-96F6-7B7CD135F3D2}"/>
    <cellStyle name="Normal 2 2 4 6 6" xfId="23523" xr:uid="{BB9ED347-3D06-4A5E-AB56-FF3D4D4888D1}"/>
    <cellStyle name="Normal 2 2 4 7" xfId="23524" xr:uid="{76E3517A-E09F-48F5-B596-A9A548B783FD}"/>
    <cellStyle name="Normal 2 2 4 7 2" xfId="23525" xr:uid="{00ED3EFB-3432-4AD9-95FA-6F8D31520FD5}"/>
    <cellStyle name="Normal 2 2 4 7 3" xfId="23526" xr:uid="{77988C7A-A33F-498C-95DF-F5344FE54C3A}"/>
    <cellStyle name="Normal 2 2 4 7 4" xfId="23527" xr:uid="{395F8A2C-7732-47DB-9D54-83F1821F81D0}"/>
    <cellStyle name="Normal 2 2 4 7 5" xfId="23528" xr:uid="{C256A773-08F0-4BB1-9375-4F8B16AC2362}"/>
    <cellStyle name="Normal 2 2 4 7 6" xfId="23529" xr:uid="{12F2BDD0-6D0A-4287-83AE-07EC4BE90A57}"/>
    <cellStyle name="Normal 2 2 4 8" xfId="23530" xr:uid="{5DE01910-93B8-468A-AF64-208D9B923002}"/>
    <cellStyle name="Normal 2 2 4 8 2" xfId="23531" xr:uid="{80A05507-2923-40D5-974A-3C6F614E1FDE}"/>
    <cellStyle name="Normal 2 2 4 8 3" xfId="23532" xr:uid="{79D84548-1087-455F-B083-EA9363FDED97}"/>
    <cellStyle name="Normal 2 2 4 8 4" xfId="23533" xr:uid="{35B6022E-7F0B-43FE-B314-2A7DB7B314DC}"/>
    <cellStyle name="Normal 2 2 4 8 5" xfId="23534" xr:uid="{B960497D-1C21-45BE-A907-7653C55CB944}"/>
    <cellStyle name="Normal 2 2 4 8 6" xfId="23535" xr:uid="{82A2201A-9974-426F-A06E-BD02CC3E99C8}"/>
    <cellStyle name="Normal 2 2 4 9" xfId="23536" xr:uid="{2DD18155-AAEE-4C77-BE85-6CDD17604592}"/>
    <cellStyle name="Normal 2 2 40" xfId="23537" xr:uid="{516994AF-9462-40C2-9E77-E683CDDAFB3A}"/>
    <cellStyle name="Normal 2 2 40 10" xfId="23538" xr:uid="{67E6A43E-20F3-4E45-A80E-6DFADCA8B4C8}"/>
    <cellStyle name="Normal 2 2 40 11" xfId="23539" xr:uid="{BD3B5BDF-4419-4CF6-9011-2F75F447FF9A}"/>
    <cellStyle name="Normal 2 2 40 12" xfId="23540" xr:uid="{283461AA-CBBF-4750-B9C9-8569EFD896E9}"/>
    <cellStyle name="Normal 2 2 40 13" xfId="23541" xr:uid="{4CD0FD8B-F56E-4DA7-BEA4-A3AF9A4FB161}"/>
    <cellStyle name="Normal 2 2 40 14" xfId="23542" xr:uid="{5AF42EFB-8EC0-4AF6-B41E-DDA33D95F93F}"/>
    <cellStyle name="Normal 2 2 40 2" xfId="23543" xr:uid="{1BC54242-8313-4D55-9E7E-F1A10B164AD5}"/>
    <cellStyle name="Normal 2 2 40 2 2" xfId="23544" xr:uid="{DE1365D0-4A20-4B1F-90CD-C7A80CA78C5B}"/>
    <cellStyle name="Normal 2 2 40 2 3" xfId="23545" xr:uid="{0719247E-54D3-4E4B-A945-6D0E22AF28B8}"/>
    <cellStyle name="Normal 2 2 40 2 4" xfId="23546" xr:uid="{D00CC4E4-F658-49EB-8B22-676604F3F22C}"/>
    <cellStyle name="Normal 2 2 40 2 5" xfId="23547" xr:uid="{930820B6-5F59-4097-A55E-F41D8A916932}"/>
    <cellStyle name="Normal 2 2 40 2 6" xfId="23548" xr:uid="{991F1B48-4A0E-43FB-913F-14284EAF930B}"/>
    <cellStyle name="Normal 2 2 40 3" xfId="23549" xr:uid="{15ECBAAE-FD1E-408A-AE96-FB181934D365}"/>
    <cellStyle name="Normal 2 2 40 3 2" xfId="23550" xr:uid="{906DD094-0597-4A46-99A2-122303A02DC3}"/>
    <cellStyle name="Normal 2 2 40 3 3" xfId="23551" xr:uid="{C9435C2D-9CE3-4973-89B1-9F39EB64DFD2}"/>
    <cellStyle name="Normal 2 2 40 3 4" xfId="23552" xr:uid="{8932B2A6-A759-40D7-8EC2-697BE330A47F}"/>
    <cellStyle name="Normal 2 2 40 3 5" xfId="23553" xr:uid="{304FFDF6-914E-49F9-A277-EA649F6ACD52}"/>
    <cellStyle name="Normal 2 2 40 3 6" xfId="23554" xr:uid="{A853DE3C-3487-4CB4-A8CC-03C347117EDA}"/>
    <cellStyle name="Normal 2 2 40 4" xfId="23555" xr:uid="{F3575F80-1289-4D8B-83AA-72D7B79336CC}"/>
    <cellStyle name="Normal 2 2 40 4 2" xfId="23556" xr:uid="{8C294823-B69B-439F-A42E-8D783ED10B6A}"/>
    <cellStyle name="Normal 2 2 40 4 3" xfId="23557" xr:uid="{9E05A142-9DA0-4E62-B799-865F7E2F3016}"/>
    <cellStyle name="Normal 2 2 40 4 4" xfId="23558" xr:uid="{BD35A0D4-C8A3-4306-9759-8E6F4D4F5081}"/>
    <cellStyle name="Normal 2 2 40 4 5" xfId="23559" xr:uid="{1272B3C6-3CF0-4238-B349-94ED34F8EB11}"/>
    <cellStyle name="Normal 2 2 40 4 6" xfId="23560" xr:uid="{E588A386-C9D8-4A3E-A2E3-3E9FADD4118E}"/>
    <cellStyle name="Normal 2 2 40 5" xfId="23561" xr:uid="{EBF41AB9-37E0-4DCA-BF3C-52A2C64A3AC0}"/>
    <cellStyle name="Normal 2 2 40 5 2" xfId="23562" xr:uid="{D4D93C94-1352-4120-A97B-5C511F533F60}"/>
    <cellStyle name="Normal 2 2 40 5 3" xfId="23563" xr:uid="{CC05D2FF-CD51-4E46-92D1-E1E49CC2ADF1}"/>
    <cellStyle name="Normal 2 2 40 5 4" xfId="23564" xr:uid="{F98AEDA1-661C-4E1B-8CE8-45A0E4BCD7E8}"/>
    <cellStyle name="Normal 2 2 40 5 5" xfId="23565" xr:uid="{15C99BD0-11AE-42D2-9EA4-81FCDC0A5225}"/>
    <cellStyle name="Normal 2 2 40 5 6" xfId="23566" xr:uid="{31BF56A5-CFCB-4444-9207-6856918780C6}"/>
    <cellStyle name="Normal 2 2 40 6" xfId="23567" xr:uid="{04D1D215-393F-4347-889C-2876D26F821D}"/>
    <cellStyle name="Normal 2 2 40 6 2" xfId="23568" xr:uid="{85C3CC77-3D9B-4697-ABA1-5CF42186353F}"/>
    <cellStyle name="Normal 2 2 40 6 3" xfId="23569" xr:uid="{8F65EE78-802B-4359-8AFB-9337C51D89DC}"/>
    <cellStyle name="Normal 2 2 40 6 4" xfId="23570" xr:uid="{4B42FB74-682A-4E38-A338-DE5679FD9072}"/>
    <cellStyle name="Normal 2 2 40 6 5" xfId="23571" xr:uid="{3044D9B4-82CF-407E-806D-7DB9FDD8776D}"/>
    <cellStyle name="Normal 2 2 40 6 6" xfId="23572" xr:uid="{E39F6FFE-771E-4C06-B6DD-CF5095D44F8D}"/>
    <cellStyle name="Normal 2 2 40 7" xfId="23573" xr:uid="{EBFFCD81-71FD-495B-9D9A-AE1DF75DEBC9}"/>
    <cellStyle name="Normal 2 2 40 7 2" xfId="23574" xr:uid="{F9CCE760-E8D4-4473-AFAD-984555F84824}"/>
    <cellStyle name="Normal 2 2 40 7 3" xfId="23575" xr:uid="{FFA55D55-6AA3-414C-BC04-A592BE3ED7AD}"/>
    <cellStyle name="Normal 2 2 40 7 4" xfId="23576" xr:uid="{65F48BAB-C30A-42FD-980F-077700C8F496}"/>
    <cellStyle name="Normal 2 2 40 7 5" xfId="23577" xr:uid="{E6962978-2263-40F0-BEC0-1A53DD903DB4}"/>
    <cellStyle name="Normal 2 2 40 7 6" xfId="23578" xr:uid="{11219072-20C6-465D-B402-F57AE7681A72}"/>
    <cellStyle name="Normal 2 2 40 8" xfId="23579" xr:uid="{E1E017F9-EEA0-4123-84F7-56C9557AD167}"/>
    <cellStyle name="Normal 2 2 40 8 2" xfId="23580" xr:uid="{CEA0F367-A366-4F79-9837-C2B54F62B5B5}"/>
    <cellStyle name="Normal 2 2 40 8 3" xfId="23581" xr:uid="{56110F3C-10CE-49A2-846B-E7256F73F633}"/>
    <cellStyle name="Normal 2 2 40 8 4" xfId="23582" xr:uid="{4CE0E145-587D-40BB-A626-52C4F6472D24}"/>
    <cellStyle name="Normal 2 2 40 8 5" xfId="23583" xr:uid="{5BF3A848-884C-41A6-8F03-89468357009F}"/>
    <cellStyle name="Normal 2 2 40 8 6" xfId="23584" xr:uid="{B5254A5C-F6BB-4F3A-B4B8-58D3A72EC8D1}"/>
    <cellStyle name="Normal 2 2 40 9" xfId="23585" xr:uid="{A5B0B856-43CD-4D99-8640-B1E42BF13E38}"/>
    <cellStyle name="Normal 2 2 41" xfId="23586" xr:uid="{FC71768F-D38F-45BF-B0DC-93E54C39C206}"/>
    <cellStyle name="Normal 2 2 41 10" xfId="23587" xr:uid="{47D86793-BE58-473D-8874-F63ACAFCC00E}"/>
    <cellStyle name="Normal 2 2 41 11" xfId="23588" xr:uid="{BDAF7C5D-34CC-4BF2-9F54-6D0E369E46FB}"/>
    <cellStyle name="Normal 2 2 41 12" xfId="23589" xr:uid="{5FC9F6A5-16A0-4460-B6BA-3F7DFF9BC440}"/>
    <cellStyle name="Normal 2 2 41 13" xfId="23590" xr:uid="{464AEB9D-94B6-4B6A-A905-300F0B8D7BB5}"/>
    <cellStyle name="Normal 2 2 41 14" xfId="23591" xr:uid="{DF8586ED-B2E5-42E1-9846-264E823160B6}"/>
    <cellStyle name="Normal 2 2 41 2" xfId="23592" xr:uid="{0673BA74-D0FB-4BFC-96FE-C4516DEB9A1B}"/>
    <cellStyle name="Normal 2 2 41 2 2" xfId="23593" xr:uid="{C24076D6-6C5A-47B5-AD29-A9D6DBAEAD17}"/>
    <cellStyle name="Normal 2 2 41 2 3" xfId="23594" xr:uid="{B700F068-337E-4B57-B2F3-CD51F73B52F5}"/>
    <cellStyle name="Normal 2 2 41 2 4" xfId="23595" xr:uid="{82A4FFE4-7C41-4A1A-90BE-87FAC1649763}"/>
    <cellStyle name="Normal 2 2 41 2 5" xfId="23596" xr:uid="{12918F1C-89AC-4036-9AF6-71C18CACD17C}"/>
    <cellStyle name="Normal 2 2 41 2 6" xfId="23597" xr:uid="{741979EC-0700-4432-8FCA-0BF533AD685A}"/>
    <cellStyle name="Normal 2 2 41 3" xfId="23598" xr:uid="{8B912C23-9933-46D6-AACE-B6F9C04858EC}"/>
    <cellStyle name="Normal 2 2 41 3 2" xfId="23599" xr:uid="{1ECBF56A-54CB-4EAB-A9E0-A4975F3FC663}"/>
    <cellStyle name="Normal 2 2 41 3 3" xfId="23600" xr:uid="{36A2BDB7-5A5B-48D0-84D0-D66D4CE98F41}"/>
    <cellStyle name="Normal 2 2 41 3 4" xfId="23601" xr:uid="{D3C7873F-9F3E-4229-8F6F-B37E56E27505}"/>
    <cellStyle name="Normal 2 2 41 3 5" xfId="23602" xr:uid="{F3B9B27E-1D13-4A23-91A0-995ED71FCE72}"/>
    <cellStyle name="Normal 2 2 41 3 6" xfId="23603" xr:uid="{8AE49E2D-E748-4F38-B150-0F3706C3926D}"/>
    <cellStyle name="Normal 2 2 41 4" xfId="23604" xr:uid="{A6BF3B83-5E2C-4369-9715-1582074E247F}"/>
    <cellStyle name="Normal 2 2 41 4 2" xfId="23605" xr:uid="{68F3A008-9441-4C32-95CB-FD2AC531A1AE}"/>
    <cellStyle name="Normal 2 2 41 4 3" xfId="23606" xr:uid="{56F7B054-2065-4E07-87D5-4486F7D916E3}"/>
    <cellStyle name="Normal 2 2 41 4 4" xfId="23607" xr:uid="{FA8BE395-4375-4F7B-A074-A11801F24D9A}"/>
    <cellStyle name="Normal 2 2 41 4 5" xfId="23608" xr:uid="{CF330D83-E1B3-41F3-AF08-10354D8793CE}"/>
    <cellStyle name="Normal 2 2 41 4 6" xfId="23609" xr:uid="{D7CE7DBC-C60E-41F3-ACEC-B548B5589848}"/>
    <cellStyle name="Normal 2 2 41 5" xfId="23610" xr:uid="{11889417-FADB-44B5-A57C-43B221214E45}"/>
    <cellStyle name="Normal 2 2 41 5 2" xfId="23611" xr:uid="{CB419BD3-AF07-42AA-AE73-F91CE3543D55}"/>
    <cellStyle name="Normal 2 2 41 5 3" xfId="23612" xr:uid="{D52ED714-9C8C-4A86-9974-14D5A6F10D3D}"/>
    <cellStyle name="Normal 2 2 41 5 4" xfId="23613" xr:uid="{91A4F158-0991-4E88-8D74-DB05206636AE}"/>
    <cellStyle name="Normal 2 2 41 5 5" xfId="23614" xr:uid="{384022FF-9660-4E8B-B524-489C31821939}"/>
    <cellStyle name="Normal 2 2 41 5 6" xfId="23615" xr:uid="{749E79F6-9A7A-4B28-90E8-C11B0F53C6D7}"/>
    <cellStyle name="Normal 2 2 41 6" xfId="23616" xr:uid="{20A1E143-6953-43C8-9D16-CC0537386CBD}"/>
    <cellStyle name="Normal 2 2 41 6 2" xfId="23617" xr:uid="{BAFEEC1F-37EF-4CC8-B8A8-75C80028BEB0}"/>
    <cellStyle name="Normal 2 2 41 6 3" xfId="23618" xr:uid="{5A4241AC-2BF2-4236-A1B8-B0A59E490EC2}"/>
    <cellStyle name="Normal 2 2 41 6 4" xfId="23619" xr:uid="{52F0C6A4-6EF9-404E-ADF1-A3B78853EDAB}"/>
    <cellStyle name="Normal 2 2 41 6 5" xfId="23620" xr:uid="{C1A38F51-EC22-49D2-9006-C5B4E8B1CE6A}"/>
    <cellStyle name="Normal 2 2 41 6 6" xfId="23621" xr:uid="{264F9528-17B5-43F4-87AA-3F821BC6F5D7}"/>
    <cellStyle name="Normal 2 2 41 7" xfId="23622" xr:uid="{E0BA664B-D6E3-4256-960D-6AC09DBDFD03}"/>
    <cellStyle name="Normal 2 2 41 7 2" xfId="23623" xr:uid="{13C561A0-783E-480C-95A0-B212E1C81076}"/>
    <cellStyle name="Normal 2 2 41 7 3" xfId="23624" xr:uid="{06C224C6-E4B3-4706-AE4B-48AF761650F5}"/>
    <cellStyle name="Normal 2 2 41 7 4" xfId="23625" xr:uid="{585CBB46-EAF3-42A9-8EAE-F92330DD87C4}"/>
    <cellStyle name="Normal 2 2 41 7 5" xfId="23626" xr:uid="{652C98B2-69A3-42B9-9BAC-2C7FB543DEC3}"/>
    <cellStyle name="Normal 2 2 41 7 6" xfId="23627" xr:uid="{4B9B699A-8C40-4470-A4F9-76616E163CD7}"/>
    <cellStyle name="Normal 2 2 41 8" xfId="23628" xr:uid="{A9853E10-CD42-45B1-AC73-C712FD1BFC9C}"/>
    <cellStyle name="Normal 2 2 41 8 2" xfId="23629" xr:uid="{98C527A1-27B0-4CC4-9D67-B145BEED1DB7}"/>
    <cellStyle name="Normal 2 2 41 8 3" xfId="23630" xr:uid="{9DA51FF0-82AB-4BBF-BE79-34D3B4F8CD9C}"/>
    <cellStyle name="Normal 2 2 41 8 4" xfId="23631" xr:uid="{618C0BE3-36EA-4F15-983E-EDC254FA81E2}"/>
    <cellStyle name="Normal 2 2 41 8 5" xfId="23632" xr:uid="{4B050B03-F7C1-4DF1-8431-F3945471B9C2}"/>
    <cellStyle name="Normal 2 2 41 8 6" xfId="23633" xr:uid="{147AA447-1BC5-465D-9480-FAF50300D671}"/>
    <cellStyle name="Normal 2 2 41 9" xfId="23634" xr:uid="{FAFB6411-49D3-4A8B-AA7E-054CE844581A}"/>
    <cellStyle name="Normal 2 2 42" xfId="23635" xr:uid="{A01ACDDC-1120-48C9-AEC0-08887C3EFC3A}"/>
    <cellStyle name="Normal 2 2 42 10" xfId="23636" xr:uid="{7516A528-7B30-4891-81F0-616375C6BA46}"/>
    <cellStyle name="Normal 2 2 42 11" xfId="23637" xr:uid="{077B9586-7C8E-46F7-9377-76C1E01CB91D}"/>
    <cellStyle name="Normal 2 2 42 12" xfId="23638" xr:uid="{4FD2593C-963A-4D13-8B78-0A155EC6F1D0}"/>
    <cellStyle name="Normal 2 2 42 13" xfId="23639" xr:uid="{CAAD8BBF-18FF-494B-98C5-C7893C9B3A44}"/>
    <cellStyle name="Normal 2 2 42 14" xfId="23640" xr:uid="{3AD86ABB-5D4B-4445-BC9E-5800211254F0}"/>
    <cellStyle name="Normal 2 2 42 2" xfId="23641" xr:uid="{DE347126-152F-484E-971B-1E6E06170D9B}"/>
    <cellStyle name="Normal 2 2 42 2 2" xfId="23642" xr:uid="{8533A22E-857A-448D-8047-F2A6467BDC2C}"/>
    <cellStyle name="Normal 2 2 42 2 3" xfId="23643" xr:uid="{071F3E25-BC12-4BDA-A548-7BD01C39F37F}"/>
    <cellStyle name="Normal 2 2 42 2 4" xfId="23644" xr:uid="{A5101068-B68F-4889-BF82-7E07F4738602}"/>
    <cellStyle name="Normal 2 2 42 2 5" xfId="23645" xr:uid="{3DA9AEC2-45C5-4D5A-B0AD-2785E83585B1}"/>
    <cellStyle name="Normal 2 2 42 2 6" xfId="23646" xr:uid="{F0B60BF9-0B99-4F8E-AAF0-E78D31AB5DFA}"/>
    <cellStyle name="Normal 2 2 42 3" xfId="23647" xr:uid="{A591AE92-845E-45BE-ADC2-A7EF2A1C0E00}"/>
    <cellStyle name="Normal 2 2 42 3 2" xfId="23648" xr:uid="{B64DCDAC-1016-4AB4-9FB5-4B341F0F63A8}"/>
    <cellStyle name="Normal 2 2 42 3 3" xfId="23649" xr:uid="{95A20606-ECF8-4131-96A3-FC8074CF3C0D}"/>
    <cellStyle name="Normal 2 2 42 3 4" xfId="23650" xr:uid="{6FC03F30-2456-4254-BE45-6A0617FE7F31}"/>
    <cellStyle name="Normal 2 2 42 3 5" xfId="23651" xr:uid="{994A955D-679D-46FC-86B7-1B3F087D37CA}"/>
    <cellStyle name="Normal 2 2 42 3 6" xfId="23652" xr:uid="{DEEFAE0C-A23E-4845-A3D7-60BEED67F995}"/>
    <cellStyle name="Normal 2 2 42 4" xfId="23653" xr:uid="{3AA23F8E-67B4-439E-8CD2-0F38FCC8F829}"/>
    <cellStyle name="Normal 2 2 42 4 2" xfId="23654" xr:uid="{592B4E64-3342-44E4-89CC-C836DF16E269}"/>
    <cellStyle name="Normal 2 2 42 4 3" xfId="23655" xr:uid="{A72F0021-ABDD-41B6-966A-7719FCD52A1B}"/>
    <cellStyle name="Normal 2 2 42 4 4" xfId="23656" xr:uid="{CB523E90-BE76-4D18-9132-F75389AA6FDE}"/>
    <cellStyle name="Normal 2 2 42 4 5" xfId="23657" xr:uid="{6E65265D-8579-4968-B1CA-05602936BBB3}"/>
    <cellStyle name="Normal 2 2 42 4 6" xfId="23658" xr:uid="{B8F7212C-1608-40C5-8526-5CA5D7F73A0F}"/>
    <cellStyle name="Normal 2 2 42 5" xfId="23659" xr:uid="{F192C863-0156-4037-AF0B-23D504D635BC}"/>
    <cellStyle name="Normal 2 2 42 5 2" xfId="23660" xr:uid="{98B23676-6708-42D4-9593-A4156E34820C}"/>
    <cellStyle name="Normal 2 2 42 5 3" xfId="23661" xr:uid="{BFFDF1DB-D75C-4803-9E29-75A0A061B1BE}"/>
    <cellStyle name="Normal 2 2 42 5 4" xfId="23662" xr:uid="{3454A46D-0C1E-433E-9BAB-933AABEE2634}"/>
    <cellStyle name="Normal 2 2 42 5 5" xfId="23663" xr:uid="{57AC9370-D95E-421C-9F39-606A403C3075}"/>
    <cellStyle name="Normal 2 2 42 5 6" xfId="23664" xr:uid="{FC5E6735-CAD1-4A0B-B623-68492C030DFB}"/>
    <cellStyle name="Normal 2 2 42 6" xfId="23665" xr:uid="{F0C4C53C-5E5C-4BAE-8B06-D54A886FA037}"/>
    <cellStyle name="Normal 2 2 42 6 2" xfId="23666" xr:uid="{885DB8AC-B6A8-4336-A6D8-C70B750F6DD2}"/>
    <cellStyle name="Normal 2 2 42 6 3" xfId="23667" xr:uid="{3412E9F2-0735-4AFB-8A9E-5A363E922358}"/>
    <cellStyle name="Normal 2 2 42 6 4" xfId="23668" xr:uid="{7A3762FB-8E92-434C-B79D-D0E626F5C0C7}"/>
    <cellStyle name="Normal 2 2 42 6 5" xfId="23669" xr:uid="{B456A4C0-91E9-4E55-89CB-B3CD564AC67E}"/>
    <cellStyle name="Normal 2 2 42 6 6" xfId="23670" xr:uid="{C4A4DD2E-80CD-49E2-8EB5-6E3BD9D93315}"/>
    <cellStyle name="Normal 2 2 42 7" xfId="23671" xr:uid="{C386945B-1AD7-46BD-BA2C-C234E942390F}"/>
    <cellStyle name="Normal 2 2 42 7 2" xfId="23672" xr:uid="{FDE6DF98-486E-4098-8629-5AEF33C4B080}"/>
    <cellStyle name="Normal 2 2 42 7 3" xfId="23673" xr:uid="{97DD8F33-5365-4D7A-A328-270B9380351F}"/>
    <cellStyle name="Normal 2 2 42 7 4" xfId="23674" xr:uid="{B729E114-B4B2-48AA-90A3-838D5BDEB5FA}"/>
    <cellStyle name="Normal 2 2 42 7 5" xfId="23675" xr:uid="{5BBFA8DB-7851-44DE-91FF-D5D327AD5AA3}"/>
    <cellStyle name="Normal 2 2 42 7 6" xfId="23676" xr:uid="{E6194377-EF97-4CD7-8753-7E0582ACA765}"/>
    <cellStyle name="Normal 2 2 42 8" xfId="23677" xr:uid="{2B2ABE7F-EC8C-40E1-A56D-B511A2465FAE}"/>
    <cellStyle name="Normal 2 2 42 8 2" xfId="23678" xr:uid="{72741685-6893-46E5-9617-6AF04385EF75}"/>
    <cellStyle name="Normal 2 2 42 8 3" xfId="23679" xr:uid="{D278591A-CA50-489D-A16C-57323C57B53D}"/>
    <cellStyle name="Normal 2 2 42 8 4" xfId="23680" xr:uid="{F04988A2-15FB-477C-83ED-B5D2C355E003}"/>
    <cellStyle name="Normal 2 2 42 8 5" xfId="23681" xr:uid="{4D60271F-119C-4FDC-B387-63457190638C}"/>
    <cellStyle name="Normal 2 2 42 8 6" xfId="23682" xr:uid="{8978A4E7-0686-4C4B-AC46-414234EE5C6E}"/>
    <cellStyle name="Normal 2 2 42 9" xfId="23683" xr:uid="{9590E556-F925-476C-BA71-8154188A02DA}"/>
    <cellStyle name="Normal 2 2 43" xfId="23684" xr:uid="{7A198928-E085-40A8-90E8-248E6014D796}"/>
    <cellStyle name="Normal 2 2 43 10" xfId="23685" xr:uid="{34809252-C5A7-43E2-B02D-97C86BDE682C}"/>
    <cellStyle name="Normal 2 2 43 11" xfId="23686" xr:uid="{B8852FE2-B33C-4EF5-9CB9-6834E610ED9A}"/>
    <cellStyle name="Normal 2 2 43 12" xfId="23687" xr:uid="{68ECDDA4-50B6-423B-AFD4-3F283AB638FF}"/>
    <cellStyle name="Normal 2 2 43 13" xfId="23688" xr:uid="{1301C64E-903C-483B-ADB2-7A3980CC8A78}"/>
    <cellStyle name="Normal 2 2 43 14" xfId="23689" xr:uid="{27B2E6BB-5B7F-4EDB-8589-27F628C22B6F}"/>
    <cellStyle name="Normal 2 2 43 2" xfId="23690" xr:uid="{107E50F0-B826-4440-BC8E-51F2E88B43A1}"/>
    <cellStyle name="Normal 2 2 43 2 2" xfId="23691" xr:uid="{E82F9562-94A7-4180-AA9F-3B3FB2CEA6D3}"/>
    <cellStyle name="Normal 2 2 43 2 3" xfId="23692" xr:uid="{8B416BA7-8E95-4315-BD70-6384D111BF61}"/>
    <cellStyle name="Normal 2 2 43 2 4" xfId="23693" xr:uid="{EAAA4753-7107-40F3-9F86-ACED50771B9E}"/>
    <cellStyle name="Normal 2 2 43 2 5" xfId="23694" xr:uid="{D6E42E9D-D41E-4081-BB1C-8B5603ED1241}"/>
    <cellStyle name="Normal 2 2 43 2 6" xfId="23695" xr:uid="{3492FC56-8E96-4239-BDAF-E21C526A8A68}"/>
    <cellStyle name="Normal 2 2 43 3" xfId="23696" xr:uid="{5EB85C09-B85D-4E3B-91F7-796760CA3E32}"/>
    <cellStyle name="Normal 2 2 43 3 2" xfId="23697" xr:uid="{5A0BFCCD-190F-4FD7-89BC-9212C6C68735}"/>
    <cellStyle name="Normal 2 2 43 3 3" xfId="23698" xr:uid="{78718013-584A-4C79-9992-F9671A65C65C}"/>
    <cellStyle name="Normal 2 2 43 3 4" xfId="23699" xr:uid="{A78852F7-65CA-421A-83B6-0CF58785F24B}"/>
    <cellStyle name="Normal 2 2 43 3 5" xfId="23700" xr:uid="{DE04072F-93C0-47B8-B3FC-9DDBFFEA12F8}"/>
    <cellStyle name="Normal 2 2 43 3 6" xfId="23701" xr:uid="{AD5DC27F-E63E-46E3-8E75-70575F1C56AF}"/>
    <cellStyle name="Normal 2 2 43 4" xfId="23702" xr:uid="{D4D5F7AA-02DC-4FF7-BD03-56DA785EF5E5}"/>
    <cellStyle name="Normal 2 2 43 4 2" xfId="23703" xr:uid="{2EDA8299-61EE-40AA-BDF8-E82F8F19904D}"/>
    <cellStyle name="Normal 2 2 43 4 3" xfId="23704" xr:uid="{11FDC6CA-DAE1-454D-8D6D-0BC2C6A3E858}"/>
    <cellStyle name="Normal 2 2 43 4 4" xfId="23705" xr:uid="{43D0258F-2F55-424B-86DB-22078347E8BE}"/>
    <cellStyle name="Normal 2 2 43 4 5" xfId="23706" xr:uid="{4475C272-71B9-4EC6-A0AD-ECFA548294AB}"/>
    <cellStyle name="Normal 2 2 43 4 6" xfId="23707" xr:uid="{460DB419-20D8-4FEA-83EA-F5E302092B96}"/>
    <cellStyle name="Normal 2 2 43 5" xfId="23708" xr:uid="{A59364C6-9CB5-49E4-9D57-8C7EEFD847A2}"/>
    <cellStyle name="Normal 2 2 43 5 2" xfId="23709" xr:uid="{1565B22F-72A0-4957-8560-3594F781872A}"/>
    <cellStyle name="Normal 2 2 43 5 3" xfId="23710" xr:uid="{414A3C8F-67FE-49C0-8179-B81FE6F4B4D3}"/>
    <cellStyle name="Normal 2 2 43 5 4" xfId="23711" xr:uid="{C27D1FD5-D331-4EDE-8584-B053FCD9136D}"/>
    <cellStyle name="Normal 2 2 43 5 5" xfId="23712" xr:uid="{2365882A-5BB4-4173-A85A-75E52E061244}"/>
    <cellStyle name="Normal 2 2 43 5 6" xfId="23713" xr:uid="{90AC839F-93F6-4031-B840-0884D73D5635}"/>
    <cellStyle name="Normal 2 2 43 6" xfId="23714" xr:uid="{9B8D1936-EF24-432C-82C4-016F97B01665}"/>
    <cellStyle name="Normal 2 2 43 6 2" xfId="23715" xr:uid="{28FDDBB0-05D1-4B4D-A52F-445CFF05BF1D}"/>
    <cellStyle name="Normal 2 2 43 6 3" xfId="23716" xr:uid="{4F76CABD-AE7F-4B82-9323-EB65E7D01305}"/>
    <cellStyle name="Normal 2 2 43 6 4" xfId="23717" xr:uid="{23482FF1-884C-47A4-8980-73D19136E5CF}"/>
    <cellStyle name="Normal 2 2 43 6 5" xfId="23718" xr:uid="{82AC4DA1-947D-419B-B634-A47B0F0142CC}"/>
    <cellStyle name="Normal 2 2 43 6 6" xfId="23719" xr:uid="{9EEC84D7-AE7B-4783-AA42-F62228D8E02E}"/>
    <cellStyle name="Normal 2 2 43 7" xfId="23720" xr:uid="{32AA247F-977F-4BA0-B83E-98C8107D08DA}"/>
    <cellStyle name="Normal 2 2 43 7 2" xfId="23721" xr:uid="{4312CF46-80E1-4E78-B24E-EDB7AF0BCC39}"/>
    <cellStyle name="Normal 2 2 43 7 3" xfId="23722" xr:uid="{075843F0-BEED-4BC6-B53D-87E868947077}"/>
    <cellStyle name="Normal 2 2 43 7 4" xfId="23723" xr:uid="{A225CD81-51C6-43C6-A766-F6506AB8D975}"/>
    <cellStyle name="Normal 2 2 43 7 5" xfId="23724" xr:uid="{F66FF04A-4EB8-431F-AD2E-C457ADBB82F3}"/>
    <cellStyle name="Normal 2 2 43 7 6" xfId="23725" xr:uid="{5CC283B4-EFA3-4750-BC51-16F850B2D94F}"/>
    <cellStyle name="Normal 2 2 43 8" xfId="23726" xr:uid="{9DBA39AE-65A8-4511-81FD-2231BA9EAAE2}"/>
    <cellStyle name="Normal 2 2 43 8 2" xfId="23727" xr:uid="{2CC59C22-A9F6-4472-AD31-2298400C38C4}"/>
    <cellStyle name="Normal 2 2 43 8 3" xfId="23728" xr:uid="{FA052EA7-D75A-47E1-9066-81ABAC4A01E1}"/>
    <cellStyle name="Normal 2 2 43 8 4" xfId="23729" xr:uid="{8A995727-84F9-4F85-9B3E-E9E7E92D5C18}"/>
    <cellStyle name="Normal 2 2 43 8 5" xfId="23730" xr:uid="{F7E33FA0-2D29-49AC-A8C7-CD9B3DD9BD2E}"/>
    <cellStyle name="Normal 2 2 43 8 6" xfId="23731" xr:uid="{1D9C579C-2892-4124-AFF5-F75999A5C1F5}"/>
    <cellStyle name="Normal 2 2 43 9" xfId="23732" xr:uid="{CCAB031E-08A8-483B-9BB1-B7FB5B28CE7E}"/>
    <cellStyle name="Normal 2 2 44" xfId="23733" xr:uid="{6C027591-C7B3-4ACE-892B-4CC7792FBE44}"/>
    <cellStyle name="Normal 2 2 44 10" xfId="23734" xr:uid="{F1D6CD6C-9DAB-495E-B663-15601BE11B37}"/>
    <cellStyle name="Normal 2 2 44 11" xfId="23735" xr:uid="{6C5D2EB7-CCBB-4294-8798-5A3F93F398CC}"/>
    <cellStyle name="Normal 2 2 44 12" xfId="23736" xr:uid="{FC5B6E05-E6D9-4447-ADAF-9556CC2E3EFC}"/>
    <cellStyle name="Normal 2 2 44 13" xfId="23737" xr:uid="{48D53063-8598-4781-BA0C-7C7F8E9C6952}"/>
    <cellStyle name="Normal 2 2 44 14" xfId="23738" xr:uid="{68A669C6-BA60-4EC8-914E-8BD658881225}"/>
    <cellStyle name="Normal 2 2 44 2" xfId="23739" xr:uid="{11405210-1D78-4327-8798-E9D7D35D7676}"/>
    <cellStyle name="Normal 2 2 44 2 2" xfId="23740" xr:uid="{4BFE4FC8-6ABA-400B-8D88-79E091457A27}"/>
    <cellStyle name="Normal 2 2 44 2 3" xfId="23741" xr:uid="{D247D876-22AE-456C-880E-315D8B7A7869}"/>
    <cellStyle name="Normal 2 2 44 2 4" xfId="23742" xr:uid="{9776A4E7-2109-43CE-B12B-7400C3B9929A}"/>
    <cellStyle name="Normal 2 2 44 2 5" xfId="23743" xr:uid="{DF91762E-DD47-4DE3-8DA5-C81321BAC2D1}"/>
    <cellStyle name="Normal 2 2 44 2 6" xfId="23744" xr:uid="{14D9368E-1F3E-4D08-92E2-477FF038F56F}"/>
    <cellStyle name="Normal 2 2 44 3" xfId="23745" xr:uid="{96216F1B-ECEB-4391-975B-0FB56D7D9302}"/>
    <cellStyle name="Normal 2 2 44 3 2" xfId="23746" xr:uid="{11B4077A-D5F0-45BF-A356-90BF93B91B49}"/>
    <cellStyle name="Normal 2 2 44 3 3" xfId="23747" xr:uid="{174E46D0-7B4D-4149-B80E-D814AC18698B}"/>
    <cellStyle name="Normal 2 2 44 3 4" xfId="23748" xr:uid="{F837EF2A-3CE8-4DCC-9843-FC6878A27920}"/>
    <cellStyle name="Normal 2 2 44 3 5" xfId="23749" xr:uid="{0930C18C-2A9F-4ECD-82E7-E4246D16B00D}"/>
    <cellStyle name="Normal 2 2 44 3 6" xfId="23750" xr:uid="{F2C60744-BD4D-498C-B3D6-8645CA2A4A1D}"/>
    <cellStyle name="Normal 2 2 44 4" xfId="23751" xr:uid="{CFC14942-9350-4986-88FB-703BC80FBFE6}"/>
    <cellStyle name="Normal 2 2 44 4 2" xfId="23752" xr:uid="{1151C621-984C-45E7-99B1-EFF59DC1A033}"/>
    <cellStyle name="Normal 2 2 44 4 3" xfId="23753" xr:uid="{110B05D0-737E-4A05-A0AD-0111D3AD7F05}"/>
    <cellStyle name="Normal 2 2 44 4 4" xfId="23754" xr:uid="{A0F366E3-391C-495A-AA8D-B7CB1FBF3CDD}"/>
    <cellStyle name="Normal 2 2 44 4 5" xfId="23755" xr:uid="{ED434435-502D-436C-9171-F5E7EB8D946D}"/>
    <cellStyle name="Normal 2 2 44 4 6" xfId="23756" xr:uid="{2284F87B-751F-4685-BBF6-B082BB2520B9}"/>
    <cellStyle name="Normal 2 2 44 5" xfId="23757" xr:uid="{1AD49DBB-CB95-4EB9-BE06-3BFD3E4E2609}"/>
    <cellStyle name="Normal 2 2 44 5 2" xfId="23758" xr:uid="{3CEF5A09-5751-4DDB-8785-1CF41B217AE2}"/>
    <cellStyle name="Normal 2 2 44 5 3" xfId="23759" xr:uid="{01BA070C-C09C-4F4A-AB52-6B5F0903EA1F}"/>
    <cellStyle name="Normal 2 2 44 5 4" xfId="23760" xr:uid="{C7D302C0-82D4-4096-9B74-EADA79955184}"/>
    <cellStyle name="Normal 2 2 44 5 5" xfId="23761" xr:uid="{A2F5B2A0-EA1A-4ECD-80ED-860D651B868B}"/>
    <cellStyle name="Normal 2 2 44 5 6" xfId="23762" xr:uid="{B4398C4A-2ED6-4DCA-A62E-0B8855277EB1}"/>
    <cellStyle name="Normal 2 2 44 6" xfId="23763" xr:uid="{088AC599-97F5-4C90-9D2E-7BBBE9B5F737}"/>
    <cellStyle name="Normal 2 2 44 6 2" xfId="23764" xr:uid="{A0C95A80-4306-4B64-BC65-0D2B193A0356}"/>
    <cellStyle name="Normal 2 2 44 6 3" xfId="23765" xr:uid="{8160FBF4-AE3E-496F-87E7-720825D717DE}"/>
    <cellStyle name="Normal 2 2 44 6 4" xfId="23766" xr:uid="{130B4BE8-7146-4B5C-873F-FD0B546B597C}"/>
    <cellStyle name="Normal 2 2 44 6 5" xfId="23767" xr:uid="{08A4EBEF-78C2-413C-A896-641301D75243}"/>
    <cellStyle name="Normal 2 2 44 6 6" xfId="23768" xr:uid="{CD9F3717-D45A-4617-A798-54B103FB07CC}"/>
    <cellStyle name="Normal 2 2 44 7" xfId="23769" xr:uid="{288C9166-42B3-40AB-86FF-56060B81C01E}"/>
    <cellStyle name="Normal 2 2 44 7 2" xfId="23770" xr:uid="{B894DF63-3D70-4DDE-876A-221BBECC2A75}"/>
    <cellStyle name="Normal 2 2 44 7 3" xfId="23771" xr:uid="{C85E7AF4-C617-4769-A2CF-206F9B1FECB7}"/>
    <cellStyle name="Normal 2 2 44 7 4" xfId="23772" xr:uid="{DAD45EAC-8B4D-42D3-B930-96FCBD5BBF43}"/>
    <cellStyle name="Normal 2 2 44 7 5" xfId="23773" xr:uid="{EA39830C-8103-41B1-90B8-17DC7EBF070D}"/>
    <cellStyle name="Normal 2 2 44 7 6" xfId="23774" xr:uid="{5DB94685-E18C-40B8-8291-B06975AEB93D}"/>
    <cellStyle name="Normal 2 2 44 8" xfId="23775" xr:uid="{9E2B0C59-F13E-4FF6-A446-11F725CD2B9B}"/>
    <cellStyle name="Normal 2 2 44 8 2" xfId="23776" xr:uid="{FFA99330-D262-4545-9D40-8FDCB7DEBEAF}"/>
    <cellStyle name="Normal 2 2 44 8 3" xfId="23777" xr:uid="{DC3A1F87-A15A-4E0A-BA47-ECBC1779F3A0}"/>
    <cellStyle name="Normal 2 2 44 8 4" xfId="23778" xr:uid="{13A6E543-1A9C-4DEB-9656-1691702D8E6C}"/>
    <cellStyle name="Normal 2 2 44 8 5" xfId="23779" xr:uid="{F3AC263E-546C-4374-9084-6500846BCC62}"/>
    <cellStyle name="Normal 2 2 44 8 6" xfId="23780" xr:uid="{44A07A9D-9D48-407E-A84A-922D6E95570A}"/>
    <cellStyle name="Normal 2 2 44 9" xfId="23781" xr:uid="{3B5B3B74-C6B3-474C-9499-CA85CBA937AA}"/>
    <cellStyle name="Normal 2 2 45" xfId="23782" xr:uid="{6193C244-B3F0-4F28-AC0E-109FC2C85149}"/>
    <cellStyle name="Normal 2 2 45 10" xfId="23783" xr:uid="{054F8429-8609-4CB0-B5CB-CDEDB8997026}"/>
    <cellStyle name="Normal 2 2 45 11" xfId="23784" xr:uid="{94749EE8-2E68-4705-8102-9CF6E9A3CA22}"/>
    <cellStyle name="Normal 2 2 45 12" xfId="23785" xr:uid="{9E83431B-E9B0-4026-BB93-F8AFDD3AA278}"/>
    <cellStyle name="Normal 2 2 45 13" xfId="23786" xr:uid="{26E7A8EB-AC12-40E9-95B9-FF9D8F843034}"/>
    <cellStyle name="Normal 2 2 45 14" xfId="23787" xr:uid="{88E2A617-0ED5-43BD-8217-7B857460E6D7}"/>
    <cellStyle name="Normal 2 2 45 2" xfId="23788" xr:uid="{E4BDA9BD-304A-47D9-8BAA-14CB48CB3272}"/>
    <cellStyle name="Normal 2 2 45 2 2" xfId="23789" xr:uid="{CEEA1030-9C33-4A8C-A8FB-23CB37F41753}"/>
    <cellStyle name="Normal 2 2 45 2 3" xfId="23790" xr:uid="{36C1A65E-3712-4D0E-A04C-0F456D6AE66F}"/>
    <cellStyle name="Normal 2 2 45 2 4" xfId="23791" xr:uid="{AD49D1FC-15D8-498B-9F98-D02FC14068F1}"/>
    <cellStyle name="Normal 2 2 45 2 5" xfId="23792" xr:uid="{37F46DFF-B284-4582-9365-FC4E0C8064C0}"/>
    <cellStyle name="Normal 2 2 45 2 6" xfId="23793" xr:uid="{2DCABD0A-1425-4CCA-9BEB-91C0935CF2F6}"/>
    <cellStyle name="Normal 2 2 45 3" xfId="23794" xr:uid="{BF672379-8E64-40E3-B73D-570EEDF7B5C1}"/>
    <cellStyle name="Normal 2 2 45 3 2" xfId="23795" xr:uid="{ECC405F5-6CD4-48C3-B96E-6F0B2E14F5C3}"/>
    <cellStyle name="Normal 2 2 45 3 3" xfId="23796" xr:uid="{B4BB1EF9-0AE5-4A00-AE8C-BA23AA91E5F2}"/>
    <cellStyle name="Normal 2 2 45 3 4" xfId="23797" xr:uid="{F919CE20-1FF3-4895-A674-AB956FCD6FE4}"/>
    <cellStyle name="Normal 2 2 45 3 5" xfId="23798" xr:uid="{51C6A7A0-E139-4152-9253-32BECD60DFD9}"/>
    <cellStyle name="Normal 2 2 45 3 6" xfId="23799" xr:uid="{FB807516-AD4E-48AB-A578-8A772F594254}"/>
    <cellStyle name="Normal 2 2 45 4" xfId="23800" xr:uid="{04095F6A-644A-4779-84A6-FAE22E59E3D0}"/>
    <cellStyle name="Normal 2 2 45 4 2" xfId="23801" xr:uid="{4537C6D2-AB36-413E-86A9-9F80C84140F0}"/>
    <cellStyle name="Normal 2 2 45 4 3" xfId="23802" xr:uid="{94E18687-D718-4A05-809B-C303EC47D953}"/>
    <cellStyle name="Normal 2 2 45 4 4" xfId="23803" xr:uid="{8CD33CC7-3F71-40D3-A641-A238947AE30B}"/>
    <cellStyle name="Normal 2 2 45 4 5" xfId="23804" xr:uid="{1C5A8D5F-1F9B-41F3-B6EC-0BA1D68BA391}"/>
    <cellStyle name="Normal 2 2 45 4 6" xfId="23805" xr:uid="{D2F0E01B-4BFC-48EC-9DBC-6F23F3584091}"/>
    <cellStyle name="Normal 2 2 45 5" xfId="23806" xr:uid="{C03CDEB5-48FE-43A1-B544-EABB8239E1CA}"/>
    <cellStyle name="Normal 2 2 45 5 2" xfId="23807" xr:uid="{5D12E115-FC3C-40BE-89B3-709C8538A422}"/>
    <cellStyle name="Normal 2 2 45 5 3" xfId="23808" xr:uid="{066DA672-134C-4A75-AACE-4E7B37753657}"/>
    <cellStyle name="Normal 2 2 45 5 4" xfId="23809" xr:uid="{F227E8CA-D613-4328-B29E-4A0823DBCA36}"/>
    <cellStyle name="Normal 2 2 45 5 5" xfId="23810" xr:uid="{5604B1C3-E6E6-4520-A173-597FC72DDF0C}"/>
    <cellStyle name="Normal 2 2 45 5 6" xfId="23811" xr:uid="{FD762321-6EE6-4A86-863E-957E90D3829C}"/>
    <cellStyle name="Normal 2 2 45 6" xfId="23812" xr:uid="{38B46282-04E1-4F42-A4C4-891063FC0982}"/>
    <cellStyle name="Normal 2 2 45 6 2" xfId="23813" xr:uid="{C4F86D0F-30E9-4AA1-AB1D-7EBFF40C3B2B}"/>
    <cellStyle name="Normal 2 2 45 6 3" xfId="23814" xr:uid="{151EEEBB-A2CE-417A-B065-56C503F8B7B7}"/>
    <cellStyle name="Normal 2 2 45 6 4" xfId="23815" xr:uid="{53E1CBA5-A340-4A92-BDAD-373761F4E98A}"/>
    <cellStyle name="Normal 2 2 45 6 5" xfId="23816" xr:uid="{B5A16F26-796A-4D87-B215-E9CDDFFF8416}"/>
    <cellStyle name="Normal 2 2 45 6 6" xfId="23817" xr:uid="{E059333D-F84B-4734-9E7B-FF46625D5DDB}"/>
    <cellStyle name="Normal 2 2 45 7" xfId="23818" xr:uid="{21ADBDF3-3D05-4EAA-9957-EEEB7AE48E41}"/>
    <cellStyle name="Normal 2 2 45 7 2" xfId="23819" xr:uid="{9F860149-1DD3-4F51-A69C-62CE1F9BC3C4}"/>
    <cellStyle name="Normal 2 2 45 7 3" xfId="23820" xr:uid="{7247CA15-E99A-48E2-A0D8-79E7C0EF593D}"/>
    <cellStyle name="Normal 2 2 45 7 4" xfId="23821" xr:uid="{A6170A0B-2933-4E57-B650-DCFD8981B3A4}"/>
    <cellStyle name="Normal 2 2 45 7 5" xfId="23822" xr:uid="{9D1E2588-59D8-4436-BEFA-7D58B94F3D99}"/>
    <cellStyle name="Normal 2 2 45 7 6" xfId="23823" xr:uid="{E9596BAB-83B9-487D-8AFE-6753E2251459}"/>
    <cellStyle name="Normal 2 2 45 8" xfId="23824" xr:uid="{1503C29D-BE9D-49BA-9BC7-E2D303C319A3}"/>
    <cellStyle name="Normal 2 2 45 8 2" xfId="23825" xr:uid="{F78E941D-377F-4600-BCEC-54F3EB924F0E}"/>
    <cellStyle name="Normal 2 2 45 8 3" xfId="23826" xr:uid="{47B149DA-C35B-405A-B4E5-272998CAFAB5}"/>
    <cellStyle name="Normal 2 2 45 8 4" xfId="23827" xr:uid="{E3C80E6E-1322-4F83-89A4-6B7570CE3194}"/>
    <cellStyle name="Normal 2 2 45 8 5" xfId="23828" xr:uid="{A72FD179-DEC4-40A3-9DC2-02F1F98FD428}"/>
    <cellStyle name="Normal 2 2 45 8 6" xfId="23829" xr:uid="{9112D070-FE1C-4505-9FC8-58C7C796EA66}"/>
    <cellStyle name="Normal 2 2 45 9" xfId="23830" xr:uid="{A5375BA4-F240-4FD2-8938-A5FD7F74D2B1}"/>
    <cellStyle name="Normal 2 2 46" xfId="23831" xr:uid="{CFC2F1FE-BD93-40AE-905F-F1682D457F27}"/>
    <cellStyle name="Normal 2 2 46 10" xfId="23832" xr:uid="{9CB480C8-987E-4822-B7EB-6121858CF7AD}"/>
    <cellStyle name="Normal 2 2 46 11" xfId="23833" xr:uid="{BC8C3C5F-4060-4B14-A90F-202538603323}"/>
    <cellStyle name="Normal 2 2 46 12" xfId="23834" xr:uid="{CFDC8165-E0E7-43AE-BC94-CBE07E04E491}"/>
    <cellStyle name="Normal 2 2 46 2" xfId="23835" xr:uid="{4163EDD6-0891-41A5-B2AA-7F51BBB341DE}"/>
    <cellStyle name="Normal 2 2 46 2 10" xfId="23836" xr:uid="{97DBC8C6-E9B1-4FD1-A7B3-68994912273A}"/>
    <cellStyle name="Normal 2 2 46 2 11" xfId="23837" xr:uid="{94225D57-B049-404E-B1ED-F6C12CC189EF}"/>
    <cellStyle name="Normal 2 2 46 2 12" xfId="23838" xr:uid="{B6E25A10-1CDB-4DA6-866F-DB159E5826D7}"/>
    <cellStyle name="Normal 2 2 46 2 13" xfId="23839" xr:uid="{3F3EE760-C87E-4E97-9769-0FA514325AEE}"/>
    <cellStyle name="Normal 2 2 46 2 14" xfId="23840" xr:uid="{EFA6F430-8445-45E5-ABD0-578342472276}"/>
    <cellStyle name="Normal 2 2 46 2 15" xfId="23841" xr:uid="{61FA2FD2-39D2-40E7-B104-6BF4CDEC5C60}"/>
    <cellStyle name="Normal 2 2 46 2 16" xfId="23842" xr:uid="{2FB1B44C-3646-4DC6-963B-94006CEE08D9}"/>
    <cellStyle name="Normal 2 2 46 2 17" xfId="23843" xr:uid="{D8E49868-4514-4F49-BABB-00ADED577053}"/>
    <cellStyle name="Normal 2 2 46 2 18" xfId="23844" xr:uid="{F3C83C5B-B5A4-4E1F-90C2-07ADFB8F56DD}"/>
    <cellStyle name="Normal 2 2 46 2 19" xfId="23845" xr:uid="{21195536-3D27-4F07-8129-A2D17FD589E3}"/>
    <cellStyle name="Normal 2 2 46 2 2" xfId="23846" xr:uid="{9ED423D9-44DA-4F82-B90A-1F38ABE71D8A}"/>
    <cellStyle name="Normal 2 2 46 2 20" xfId="23847" xr:uid="{4785DA0C-C546-427B-8C39-357E47EE5F71}"/>
    <cellStyle name="Normal 2 2 46 2 21" xfId="23848" xr:uid="{51165D35-3021-4FA0-9223-693CF3D04E7F}"/>
    <cellStyle name="Normal 2 2 46 2 22" xfId="23849" xr:uid="{5D569251-07FF-4BBA-9CA3-F2DAA870F63D}"/>
    <cellStyle name="Normal 2 2 46 2 23" xfId="23850" xr:uid="{A18C099D-E8E9-49F5-B5C5-E40F48F51BFA}"/>
    <cellStyle name="Normal 2 2 46 2 24" xfId="23851" xr:uid="{42B004F5-AA7E-40E5-981B-469D50F7C7AB}"/>
    <cellStyle name="Normal 2 2 46 2 25" xfId="23852" xr:uid="{4C17B284-A960-49D2-9EEC-3CA86D7FCCFF}"/>
    <cellStyle name="Normal 2 2 46 2 26" xfId="23853" xr:uid="{59AEEC2C-295D-4E4D-A467-6C3C68E0070A}"/>
    <cellStyle name="Normal 2 2 46 2 27" xfId="23854" xr:uid="{07A0A743-6CE5-4E71-83A5-D687314518AA}"/>
    <cellStyle name="Normal 2 2 46 2 28" xfId="23855" xr:uid="{241B7A46-5275-4B9B-9175-E6F23E572B87}"/>
    <cellStyle name="Normal 2 2 46 2 29" xfId="23856" xr:uid="{D394166D-199D-42A4-8918-54FD1088F78F}"/>
    <cellStyle name="Normal 2 2 46 2 3" xfId="23857" xr:uid="{11A57E66-A437-478F-8BF9-525518432B9B}"/>
    <cellStyle name="Normal 2 2 46 2 4" xfId="23858" xr:uid="{9D5907A5-E45F-4780-969B-BBEBB32FC938}"/>
    <cellStyle name="Normal 2 2 46 2 5" xfId="23859" xr:uid="{D1CB25A1-ACA7-4A42-9CF2-ADAD5D210B82}"/>
    <cellStyle name="Normal 2 2 46 2 6" xfId="23860" xr:uid="{0A82ECBF-4E5A-4217-8E13-445454C55BC0}"/>
    <cellStyle name="Normal 2 2 46 2 7" xfId="23861" xr:uid="{57539379-1C94-4BCE-8152-A38C0E1D89E7}"/>
    <cellStyle name="Normal 2 2 46 2 8" xfId="23862" xr:uid="{435DBA37-EBB7-4082-80CE-BE3AFA31FDA8}"/>
    <cellStyle name="Normal 2 2 46 2 9" xfId="23863" xr:uid="{8DF0366A-3041-4B70-9B14-C58CD57359B0}"/>
    <cellStyle name="Normal 2 2 46 3" xfId="23864" xr:uid="{419AC732-0C29-4188-9098-9ED653A05B91}"/>
    <cellStyle name="Normal 2 2 46 4" xfId="23865" xr:uid="{4D9F9C6F-D15B-4CE3-AF5E-7337F6371709}"/>
    <cellStyle name="Normal 2 2 46 5" xfId="23866" xr:uid="{124F5C53-6A80-4BEC-A915-AB551FBFDA95}"/>
    <cellStyle name="Normal 2 2 46 6" xfId="23867" xr:uid="{2792AC98-754A-4882-9AD1-72856D0CFBA6}"/>
    <cellStyle name="Normal 2 2 46 7" xfId="23868" xr:uid="{FC6539FE-5FD2-4835-B89B-E78146055A29}"/>
    <cellStyle name="Normal 2 2 46 8" xfId="23869" xr:uid="{177A4B63-210D-4E82-A44F-C3B7C71BBA20}"/>
    <cellStyle name="Normal 2 2 46 9" xfId="23870" xr:uid="{90156B51-60A8-4FA9-8AF3-E84E8B879CCE}"/>
    <cellStyle name="Normal 2 2 47" xfId="23871" xr:uid="{CF2C6538-A4AD-48BF-A407-99582F479AFE}"/>
    <cellStyle name="Normal 2 2 47 10" xfId="23872" xr:uid="{8798F014-D27E-4547-B10F-B863C467E3F8}"/>
    <cellStyle name="Normal 2 2 47 11" xfId="23873" xr:uid="{3F736E72-ACEA-4485-B80F-41AC0C337324}"/>
    <cellStyle name="Normal 2 2 47 12" xfId="23874" xr:uid="{A59B0438-4D65-4B2D-B975-53A84F9828CE}"/>
    <cellStyle name="Normal 2 2 47 13" xfId="23875" xr:uid="{7E9957F8-E095-4A52-8F10-C31202F5CA18}"/>
    <cellStyle name="Normal 2 2 47 14" xfId="23876" xr:uid="{165E307D-2331-4682-A1A7-10D603135E64}"/>
    <cellStyle name="Normal 2 2 47 15" xfId="23877" xr:uid="{4D6F21E4-CC29-4471-88D8-0663A1C241EC}"/>
    <cellStyle name="Normal 2 2 47 16" xfId="23878" xr:uid="{0B9B780D-D525-48B4-96D0-B30CB476D1CC}"/>
    <cellStyle name="Normal 2 2 47 17" xfId="23879" xr:uid="{17DA00A3-02DE-452C-A8CF-0D170EE10BE3}"/>
    <cellStyle name="Normal 2 2 47 18" xfId="23880" xr:uid="{5203BD3B-C628-44CF-A8EC-1D843242C7D9}"/>
    <cellStyle name="Normal 2 2 47 19" xfId="23881" xr:uid="{89FA9C85-2D68-4584-AB80-B1077D2104C5}"/>
    <cellStyle name="Normal 2 2 47 2" xfId="23882" xr:uid="{B480AFCE-A07B-478B-8AD4-73C55A15DC4D}"/>
    <cellStyle name="Normal 2 2 47 20" xfId="23883" xr:uid="{1F22ABE6-7D39-476F-AC6A-7E07803FFF43}"/>
    <cellStyle name="Normal 2 2 47 21" xfId="23884" xr:uid="{201A8FD8-5E3C-400E-BC99-9F96BEED360D}"/>
    <cellStyle name="Normal 2 2 47 22" xfId="23885" xr:uid="{8EFF7C6F-1F0F-4909-9776-A1F9A4F952BC}"/>
    <cellStyle name="Normal 2 2 47 23" xfId="23886" xr:uid="{4EC93E56-BF4F-432C-912B-0FF8CCFB4090}"/>
    <cellStyle name="Normal 2 2 47 24" xfId="23887" xr:uid="{E6577333-52D2-4EEC-9702-6ACFC10AF79C}"/>
    <cellStyle name="Normal 2 2 47 25" xfId="23888" xr:uid="{851CCC1A-95F8-42FD-957F-9E7D35BC5474}"/>
    <cellStyle name="Normal 2 2 47 26" xfId="23889" xr:uid="{B67D3D5F-F9B3-4E5F-BD07-FE08829D73E5}"/>
    <cellStyle name="Normal 2 2 47 27" xfId="23890" xr:uid="{C89001BF-3B7C-4914-9423-4D058AD253ED}"/>
    <cellStyle name="Normal 2 2 47 28" xfId="23891" xr:uid="{625B7F90-8A05-4158-A7C1-EECDD4E7365E}"/>
    <cellStyle name="Normal 2 2 47 29" xfId="23892" xr:uid="{7EA8861B-C00F-43E8-999E-13B95B1A0724}"/>
    <cellStyle name="Normal 2 2 47 3" xfId="23893" xr:uid="{20BE848D-6D3B-4257-B0C1-5C99726E4C46}"/>
    <cellStyle name="Normal 2 2 47 30" xfId="23894" xr:uid="{624AA814-0478-4154-9376-470A0D5C8D32}"/>
    <cellStyle name="Normal 2 2 47 31" xfId="23895" xr:uid="{EB5E0AE2-0F6B-438C-B8E3-5BB5DE60A485}"/>
    <cellStyle name="Normal 2 2 47 32" xfId="23896" xr:uid="{677780A6-1C59-410E-954B-BFB2A0B61E79}"/>
    <cellStyle name="Normal 2 2 47 33" xfId="23897" xr:uid="{01B218C2-3A2D-4FBF-800E-511AF92093E7}"/>
    <cellStyle name="Normal 2 2 47 34" xfId="23898" xr:uid="{EBCB38C1-BF86-430C-9DF1-0DEAAA46036F}"/>
    <cellStyle name="Normal 2 2 47 4" xfId="23899" xr:uid="{B8C1DCD6-61A5-469A-BE87-3118F77374D5}"/>
    <cellStyle name="Normal 2 2 47 5" xfId="23900" xr:uid="{77F6EC76-23DE-4C95-91F1-91CA5FA4EEE4}"/>
    <cellStyle name="Normal 2 2 47 6" xfId="23901" xr:uid="{D7FDC8DE-C203-43B2-A561-036DE5594D38}"/>
    <cellStyle name="Normal 2 2 47 7" xfId="23902" xr:uid="{44B38703-3ABD-4BF0-B4CE-9502B02E6CAE}"/>
    <cellStyle name="Normal 2 2 47 8" xfId="23903" xr:uid="{834C85FF-DA34-4A88-B5D0-B624E408FE59}"/>
    <cellStyle name="Normal 2 2 47 9" xfId="23904" xr:uid="{2634497D-8E45-4434-8E28-19A2067B8C02}"/>
    <cellStyle name="Normal 2 2 48" xfId="23905" xr:uid="{8A76ECE5-5114-4C43-9816-BC994BEEA710}"/>
    <cellStyle name="Normal 2 2 48 10" xfId="23906" xr:uid="{103A048B-2B3F-40A1-B452-13A362BB05D1}"/>
    <cellStyle name="Normal 2 2 48 11" xfId="23907" xr:uid="{EB6A624D-F61A-43CB-9843-0728186817EE}"/>
    <cellStyle name="Normal 2 2 48 12" xfId="23908" xr:uid="{259D21F9-AF5A-4DF1-9867-9C466927DB69}"/>
    <cellStyle name="Normal 2 2 48 13" xfId="23909" xr:uid="{488A7227-BB0D-4714-B47D-F3A311E651D0}"/>
    <cellStyle name="Normal 2 2 48 14" xfId="23910" xr:uid="{4BF7658A-E7E8-4895-9F04-C4AC1268AAFD}"/>
    <cellStyle name="Normal 2 2 48 15" xfId="23911" xr:uid="{B6E7A4FC-95DB-4540-9C37-7B777CB214EB}"/>
    <cellStyle name="Normal 2 2 48 16" xfId="23912" xr:uid="{5002FD51-7CDA-4D00-9E6B-7A87627465D4}"/>
    <cellStyle name="Normal 2 2 48 17" xfId="23913" xr:uid="{4E7ADBEA-E2B4-49B7-A206-3AF66A9672DF}"/>
    <cellStyle name="Normal 2 2 48 18" xfId="23914" xr:uid="{2B446266-8FA3-4A1E-A924-51B5F5F9AB5D}"/>
    <cellStyle name="Normal 2 2 48 19" xfId="23915" xr:uid="{1438529B-D257-449B-8E78-55AA9B459016}"/>
    <cellStyle name="Normal 2 2 48 2" xfId="23916" xr:uid="{93EB5562-5ABD-4016-9606-F94E7F7EF756}"/>
    <cellStyle name="Normal 2 2 48 20" xfId="23917" xr:uid="{E98D9041-2632-4789-A51B-70D1AE2E65A6}"/>
    <cellStyle name="Normal 2 2 48 21" xfId="23918" xr:uid="{B0994D1F-A888-4243-8ACE-1A2E6DAE6B6E}"/>
    <cellStyle name="Normal 2 2 48 22" xfId="23919" xr:uid="{0404C058-D706-4B44-80CD-F26032B76C77}"/>
    <cellStyle name="Normal 2 2 48 23" xfId="23920" xr:uid="{E7F4625C-E213-4A4B-9DBB-EBEDC493C40C}"/>
    <cellStyle name="Normal 2 2 48 24" xfId="23921" xr:uid="{F9F85C61-3F90-4EA9-9513-AB55C85955EB}"/>
    <cellStyle name="Normal 2 2 48 25" xfId="23922" xr:uid="{964CE45A-912E-48EC-949A-FD0FF1B10E49}"/>
    <cellStyle name="Normal 2 2 48 26" xfId="23923" xr:uid="{78FAE35C-9EE2-44E8-B85B-5BAB01B208A3}"/>
    <cellStyle name="Normal 2 2 48 27" xfId="23924" xr:uid="{17D4361C-6928-4E6D-9799-5F9C46BE0143}"/>
    <cellStyle name="Normal 2 2 48 28" xfId="23925" xr:uid="{49E1DF59-50E6-41BA-A04E-878637C92540}"/>
    <cellStyle name="Normal 2 2 48 29" xfId="23926" xr:uid="{6286AFB6-BC96-40FE-8F98-74DD28028D34}"/>
    <cellStyle name="Normal 2 2 48 3" xfId="23927" xr:uid="{82D1DF30-9B65-4197-A37A-AA7BDAA369AF}"/>
    <cellStyle name="Normal 2 2 48 30" xfId="23928" xr:uid="{98AAC68A-325E-4506-B3CB-65DC6E8F60BB}"/>
    <cellStyle name="Normal 2 2 48 31" xfId="23929" xr:uid="{B14692B1-FBA7-4051-9B8B-234EA988DBA0}"/>
    <cellStyle name="Normal 2 2 48 32" xfId="23930" xr:uid="{FA80356D-663F-4DF8-BDA7-5B413BF22897}"/>
    <cellStyle name="Normal 2 2 48 33" xfId="23931" xr:uid="{E0441C4D-D6FD-459B-887C-26266168369F}"/>
    <cellStyle name="Normal 2 2 48 34" xfId="23932" xr:uid="{C9F1403B-0B3A-4A62-86C7-C1E029D80F6D}"/>
    <cellStyle name="Normal 2 2 48 4" xfId="23933" xr:uid="{9AF897E4-79F5-4B65-AFEF-59CC76C78C1F}"/>
    <cellStyle name="Normal 2 2 48 5" xfId="23934" xr:uid="{DB480865-68D5-4CAB-B4FB-C09D39A9109A}"/>
    <cellStyle name="Normal 2 2 48 6" xfId="23935" xr:uid="{5E262594-1768-4E50-B3ED-5E61C3279E68}"/>
    <cellStyle name="Normal 2 2 48 7" xfId="23936" xr:uid="{EDFC79E6-7C19-4ED7-94E3-E0C0AF5B7611}"/>
    <cellStyle name="Normal 2 2 48 8" xfId="23937" xr:uid="{0960FE14-C9CC-4D31-8F0E-BEAEC7EEA7B7}"/>
    <cellStyle name="Normal 2 2 48 9" xfId="23938" xr:uid="{D21DA7E4-B4A6-416D-B72D-B1CA853D6783}"/>
    <cellStyle name="Normal 2 2 49" xfId="23939" xr:uid="{9012EE67-6650-4292-9DC0-8D0669EABD71}"/>
    <cellStyle name="Normal 2 2 49 10" xfId="23940" xr:uid="{EF611857-A21B-4B28-B71A-0F582FE73C0F}"/>
    <cellStyle name="Normal 2 2 49 11" xfId="23941" xr:uid="{B96975D7-FD61-4232-BB57-8FA2FF3EACF0}"/>
    <cellStyle name="Normal 2 2 49 12" xfId="23942" xr:uid="{0A3448C0-FDC9-4C5B-A966-CFD1EB1B8374}"/>
    <cellStyle name="Normal 2 2 49 13" xfId="23943" xr:uid="{C8E648A7-B75B-446B-857C-F7EC758AA0C1}"/>
    <cellStyle name="Normal 2 2 49 14" xfId="23944" xr:uid="{027DCA8F-AAB2-4BA7-9DA3-0521C495D813}"/>
    <cellStyle name="Normal 2 2 49 15" xfId="23945" xr:uid="{14D53638-2223-469D-B0EF-E5AD9926AE95}"/>
    <cellStyle name="Normal 2 2 49 16" xfId="23946" xr:uid="{72CBDA93-7B6C-46AC-BB2F-92980AA09121}"/>
    <cellStyle name="Normal 2 2 49 17" xfId="23947" xr:uid="{ACA3D65F-92B3-4600-9AAC-84DC5513A31F}"/>
    <cellStyle name="Normal 2 2 49 18" xfId="23948" xr:uid="{32F88112-113F-441B-B14E-A9461246FB88}"/>
    <cellStyle name="Normal 2 2 49 19" xfId="23949" xr:uid="{9ACBB4B7-1CE1-4C1A-8DBB-63668FC6563F}"/>
    <cellStyle name="Normal 2 2 49 2" xfId="23950" xr:uid="{84DDF93C-A1C3-4E4D-888E-9F3A25CD0DC3}"/>
    <cellStyle name="Normal 2 2 49 20" xfId="23951" xr:uid="{1F1ACFCC-7E1E-43E6-9CE9-878BE933610F}"/>
    <cellStyle name="Normal 2 2 49 21" xfId="23952" xr:uid="{82A31FD0-8F4E-47EB-A336-EB36724224E5}"/>
    <cellStyle name="Normal 2 2 49 22" xfId="23953" xr:uid="{25D38A7F-1767-4104-9769-63A0672CECDA}"/>
    <cellStyle name="Normal 2 2 49 23" xfId="23954" xr:uid="{8D022F5D-A656-423D-B347-28BEF559C358}"/>
    <cellStyle name="Normal 2 2 49 24" xfId="23955" xr:uid="{651DE3F0-3A19-4EF8-B1A5-C1777A4817AE}"/>
    <cellStyle name="Normal 2 2 49 25" xfId="23956" xr:uid="{6D04B76D-E548-4B53-81EC-675B95569C48}"/>
    <cellStyle name="Normal 2 2 49 26" xfId="23957" xr:uid="{032E9B78-0149-4183-8016-C444FA60FE78}"/>
    <cellStyle name="Normal 2 2 49 27" xfId="23958" xr:uid="{E0F211BB-B339-4FDF-B2B3-3FE6F81368D5}"/>
    <cellStyle name="Normal 2 2 49 28" xfId="23959" xr:uid="{9A656DB9-95BF-4D0A-9BEB-F7AF99C902FF}"/>
    <cellStyle name="Normal 2 2 49 29" xfId="23960" xr:uid="{C18CC1E5-E7C6-497C-849F-F382DCADAE62}"/>
    <cellStyle name="Normal 2 2 49 3" xfId="23961" xr:uid="{98827186-4282-4210-8F29-C40680E9550F}"/>
    <cellStyle name="Normal 2 2 49 30" xfId="23962" xr:uid="{7B861B74-AAFA-4EDF-A68A-B50F0643808F}"/>
    <cellStyle name="Normal 2 2 49 31" xfId="23963" xr:uid="{9E5E0793-88A4-4994-A664-68151D789FA5}"/>
    <cellStyle name="Normal 2 2 49 32" xfId="23964" xr:uid="{E0BAFCDC-4F7B-4E10-BB39-62E84440B10C}"/>
    <cellStyle name="Normal 2 2 49 33" xfId="23965" xr:uid="{44884D89-1372-4B88-9F4A-80858521D4B1}"/>
    <cellStyle name="Normal 2 2 49 34" xfId="23966" xr:uid="{7EF15C2B-1E2A-41B1-9A2A-33129D63BEDE}"/>
    <cellStyle name="Normal 2 2 49 4" xfId="23967" xr:uid="{84A3C62D-4095-4BB1-8961-BC73020D607B}"/>
    <cellStyle name="Normal 2 2 49 5" xfId="23968" xr:uid="{628A7852-621B-4445-A0FA-2BD6DAE54700}"/>
    <cellStyle name="Normal 2 2 49 6" xfId="23969" xr:uid="{6CEEAEBF-5862-41B7-93C6-7F98190A1743}"/>
    <cellStyle name="Normal 2 2 49 7" xfId="23970" xr:uid="{456D9A1A-915A-484A-887E-8909F3F741C9}"/>
    <cellStyle name="Normal 2 2 49 8" xfId="23971" xr:uid="{993C5CF6-AAC3-4E6A-AF9C-CF62A7565468}"/>
    <cellStyle name="Normal 2 2 49 9" xfId="23972" xr:uid="{7F5ACA4C-BC01-47FD-BED8-A433735BC589}"/>
    <cellStyle name="Normal 2 2 5" xfId="23973" xr:uid="{D84246E5-C811-490E-A5A9-886A77E7ACEE}"/>
    <cellStyle name="Normal 2 2 5 10" xfId="23974" xr:uid="{E2C7497B-4BBE-4DED-855C-72CCA3003043}"/>
    <cellStyle name="Normal 2 2 5 11" xfId="23975" xr:uid="{491AE3E9-7D13-4BBE-AB2B-584ADD53C8CF}"/>
    <cellStyle name="Normal 2 2 5 12" xfId="23976" xr:uid="{BC5E622B-8E56-465D-9257-2891B3683BCC}"/>
    <cellStyle name="Normal 2 2 5 13" xfId="23977" xr:uid="{586D4BA6-8A28-405E-BE6B-D1B01ABFCD65}"/>
    <cellStyle name="Normal 2 2 5 14" xfId="23978" xr:uid="{75A7F6C7-F30E-4645-8027-18847DBA397E}"/>
    <cellStyle name="Normal 2 2 5 2" xfId="23979" xr:uid="{58E5A406-66F2-4680-A3E6-B36AACC7CE8D}"/>
    <cellStyle name="Normal 2 2 5 2 2" xfId="23980" xr:uid="{4ED4ADBA-8C87-45B5-9E2D-6BBA4F757CB8}"/>
    <cellStyle name="Normal 2 2 5 2 2 2" xfId="23981" xr:uid="{D9D86A0F-3FBC-44B6-B731-72D9507CB155}"/>
    <cellStyle name="Normal 2 2 5 2 2 2 2" xfId="23982" xr:uid="{3D80C4CC-D68D-4BFA-8AA6-38EEEC6AE653}"/>
    <cellStyle name="Normal 2 2 5 2 2 2 3" xfId="23983" xr:uid="{1BBF7622-3FDA-4258-8188-DB4F28BBBF57}"/>
    <cellStyle name="Normal 2 2 5 2 2 2 4" xfId="23984" xr:uid="{1698F724-87EE-4786-A9F6-7558E70197E8}"/>
    <cellStyle name="Normal 2 2 5 2 2 2 5" xfId="23985" xr:uid="{3260567E-6331-4534-AE8D-03149E4E84B6}"/>
    <cellStyle name="Normal 2 2 5 2 2 3" xfId="23986" xr:uid="{7AF1C6F0-A5A7-4166-A122-A656EEFEA7B6}"/>
    <cellStyle name="Normal 2 2 5 2 3" xfId="23987" xr:uid="{8E7B2ECA-C17A-45B5-A129-CD445AFA5D63}"/>
    <cellStyle name="Normal 2 2 5 2 3 2" xfId="23988" xr:uid="{95AA64A0-24A5-448B-BBE1-0E31DD137B18}"/>
    <cellStyle name="Normal 2 2 5 2 3 2 2" xfId="23989" xr:uid="{BE80F4BD-107C-4DBC-900B-E70DE9A67090}"/>
    <cellStyle name="Normal 2 2 5 2 3 2 3" xfId="23990" xr:uid="{F6E75C9F-7F0F-42D4-B9C3-120132E5755F}"/>
    <cellStyle name="Normal 2 2 5 2 3 2 4" xfId="23991" xr:uid="{52BFC71C-1138-4AC5-AB1B-599A50322947}"/>
    <cellStyle name="Normal 2 2 5 2 4" xfId="23992" xr:uid="{BB916B5E-C1D1-46FF-A557-F5B8542427D5}"/>
    <cellStyle name="Normal 2 2 5 2 5" xfId="23993" xr:uid="{74CC2339-9745-463D-968F-352ED6B1485C}"/>
    <cellStyle name="Normal 2 2 5 2 6" xfId="23994" xr:uid="{D2893ED7-D709-4328-8BA7-28573BD736D1}"/>
    <cellStyle name="Normal 2 2 5 3" xfId="23995" xr:uid="{F837CFDA-C15B-4828-896C-F75893302C68}"/>
    <cellStyle name="Normal 2 2 5 3 2" xfId="23996" xr:uid="{F3C2F4BA-A761-42C4-9F65-B3A61C8CDE85}"/>
    <cellStyle name="Normal 2 2 5 3 3" xfId="23997" xr:uid="{105A05D5-676A-4DD9-8185-8E7AB6C16CD7}"/>
    <cellStyle name="Normal 2 2 5 3 4" xfId="23998" xr:uid="{51BEFC24-B58F-45B5-AA79-33EF24B3AD5E}"/>
    <cellStyle name="Normal 2 2 5 3 5" xfId="23999" xr:uid="{C30C5A8C-7599-4A21-82C6-A5424287DFE4}"/>
    <cellStyle name="Normal 2 2 5 3 6" xfId="24000" xr:uid="{857056D9-E9CC-40ED-B105-FF5935A81A5A}"/>
    <cellStyle name="Normal 2 2 5 4" xfId="24001" xr:uid="{CBE565CF-0790-4DC7-847E-A98F1DAD4833}"/>
    <cellStyle name="Normal 2 2 5 4 2" xfId="24002" xr:uid="{5706CCB3-F97C-4A2E-98B4-9F84F6BA2FB5}"/>
    <cellStyle name="Normal 2 2 5 4 3" xfId="24003" xr:uid="{6695914E-860A-4186-8E80-D55561C6D8CC}"/>
    <cellStyle name="Normal 2 2 5 4 4" xfId="24004" xr:uid="{93528E3D-71AC-4232-825C-5A00DC6C937F}"/>
    <cellStyle name="Normal 2 2 5 4 5" xfId="24005" xr:uid="{FC044571-0B1C-4C2F-AF5D-FF409401E489}"/>
    <cellStyle name="Normal 2 2 5 4 6" xfId="24006" xr:uid="{7E54C57C-930E-49E0-92FB-A6418AEE547A}"/>
    <cellStyle name="Normal 2 2 5 5" xfId="24007" xr:uid="{65DE0A0E-E857-436A-9832-657E240E6F4D}"/>
    <cellStyle name="Normal 2 2 5 5 2" xfId="24008" xr:uid="{16434BC8-A893-461F-BAC0-64EE36ED9A53}"/>
    <cellStyle name="Normal 2 2 5 5 3" xfId="24009" xr:uid="{A5A4355C-E66F-44FB-8116-1E01CD6DFB0A}"/>
    <cellStyle name="Normal 2 2 5 5 4" xfId="24010" xr:uid="{C3C97A56-FF79-4424-9AE7-0B270377BF7E}"/>
    <cellStyle name="Normal 2 2 5 5 5" xfId="24011" xr:uid="{3CFBEDEF-493B-4245-829C-45359F840196}"/>
    <cellStyle name="Normal 2 2 5 5 6" xfId="24012" xr:uid="{D9F43228-37AC-42A7-AEC7-067F02F656D9}"/>
    <cellStyle name="Normal 2 2 5 6" xfId="24013" xr:uid="{AD5451F4-7CAF-48A0-8F7C-B57CBAF6F924}"/>
    <cellStyle name="Normal 2 2 5 6 2" xfId="24014" xr:uid="{DD90FF30-2287-4957-98A3-519817054302}"/>
    <cellStyle name="Normal 2 2 5 6 3" xfId="24015" xr:uid="{883678CB-DB78-4F97-B5B9-6021046796C2}"/>
    <cellStyle name="Normal 2 2 5 6 4" xfId="24016" xr:uid="{09901CF3-AC39-43C2-A1E0-357DCAD7073D}"/>
    <cellStyle name="Normal 2 2 5 6 5" xfId="24017" xr:uid="{A04DCB7D-6CE9-4F36-B83C-5291A50550C2}"/>
    <cellStyle name="Normal 2 2 5 6 6" xfId="24018" xr:uid="{286C8DFB-3DCF-4469-86E5-CF8DF71DA7AE}"/>
    <cellStyle name="Normal 2 2 5 7" xfId="24019" xr:uid="{DB848F82-17A4-4C13-A83A-2F41A7433816}"/>
    <cellStyle name="Normal 2 2 5 7 2" xfId="24020" xr:uid="{7630B6E6-88FA-4A14-8DE8-FACE7682A94C}"/>
    <cellStyle name="Normal 2 2 5 7 3" xfId="24021" xr:uid="{C52CD943-1D31-4F8D-A87E-25FC68F17159}"/>
    <cellStyle name="Normal 2 2 5 7 4" xfId="24022" xr:uid="{3F23F5C8-69AB-4A02-8B73-87CE4BD75359}"/>
    <cellStyle name="Normal 2 2 5 7 5" xfId="24023" xr:uid="{09790CDB-F542-4FCA-B38A-1A5C54E1A07B}"/>
    <cellStyle name="Normal 2 2 5 7 6" xfId="24024" xr:uid="{654432FA-AB4C-401D-8848-6A2C2A4911E5}"/>
    <cellStyle name="Normal 2 2 5 8" xfId="24025" xr:uid="{B3B116C6-1141-4F2D-BAD5-F938828F07EC}"/>
    <cellStyle name="Normal 2 2 5 8 2" xfId="24026" xr:uid="{4D7BDA9A-DCFA-46A6-858C-F022CE40C5EB}"/>
    <cellStyle name="Normal 2 2 5 8 3" xfId="24027" xr:uid="{0EDC40D9-98AC-4A52-BB0B-80D7C069B0C7}"/>
    <cellStyle name="Normal 2 2 5 8 4" xfId="24028" xr:uid="{9D55D86F-9290-49A6-B399-43641D644102}"/>
    <cellStyle name="Normal 2 2 5 8 5" xfId="24029" xr:uid="{DD4006CA-A01D-403F-8CF6-1020DB1D7356}"/>
    <cellStyle name="Normal 2 2 5 8 6" xfId="24030" xr:uid="{F0677425-7D15-40A4-8862-C69E3891F8CB}"/>
    <cellStyle name="Normal 2 2 5 9" xfId="24031" xr:uid="{7AE02328-7DBF-4759-A944-C16219302982}"/>
    <cellStyle name="Normal 2 2 50" xfId="24032" xr:uid="{9C2D5EE1-C121-49BA-B6A6-895BD1647C90}"/>
    <cellStyle name="Normal 2 2 50 10" xfId="24033" xr:uid="{0A8B5DAC-CC6D-4713-8382-30C50628069A}"/>
    <cellStyle name="Normal 2 2 50 11" xfId="24034" xr:uid="{9018D292-09A3-4937-96FB-F849722FCD4E}"/>
    <cellStyle name="Normal 2 2 50 12" xfId="24035" xr:uid="{36785402-C53E-41BF-8BC0-F445F31B4FE6}"/>
    <cellStyle name="Normal 2 2 50 13" xfId="24036" xr:uid="{C9D2A700-9F96-444C-9127-DE7B75D92ED7}"/>
    <cellStyle name="Normal 2 2 50 14" xfId="24037" xr:uid="{4AACE927-94CA-414F-AE7B-74D5A7F46E25}"/>
    <cellStyle name="Normal 2 2 50 15" xfId="24038" xr:uid="{EFE4787D-0AA6-472D-AAAA-3A3941A0E39B}"/>
    <cellStyle name="Normal 2 2 50 16" xfId="24039" xr:uid="{F61410B8-E8B4-4C41-8E42-10B8352B1910}"/>
    <cellStyle name="Normal 2 2 50 17" xfId="24040" xr:uid="{E2CCCF98-DFA0-4796-A999-261E66810B28}"/>
    <cellStyle name="Normal 2 2 50 18" xfId="24041" xr:uid="{880D0A34-7B53-4CFE-9F12-DFB3EF61178D}"/>
    <cellStyle name="Normal 2 2 50 19" xfId="24042" xr:uid="{FE055485-1870-4EB2-B518-4CC8FB788EA3}"/>
    <cellStyle name="Normal 2 2 50 2" xfId="24043" xr:uid="{AD450882-2968-40C2-B628-66933974E746}"/>
    <cellStyle name="Normal 2 2 50 20" xfId="24044" xr:uid="{7AE8180E-CD8B-4731-A17B-E943C3AF861D}"/>
    <cellStyle name="Normal 2 2 50 21" xfId="24045" xr:uid="{03FEE841-EEAA-405A-AA62-9684626AED5B}"/>
    <cellStyle name="Normal 2 2 50 22" xfId="24046" xr:uid="{A374874A-6545-44F9-BDF3-589CD9B3FA92}"/>
    <cellStyle name="Normal 2 2 50 23" xfId="24047" xr:uid="{11A96295-F0D0-49B8-9133-11108547D404}"/>
    <cellStyle name="Normal 2 2 50 24" xfId="24048" xr:uid="{70FFC462-6C2F-44C6-BDED-1F4AFE2045C9}"/>
    <cellStyle name="Normal 2 2 50 25" xfId="24049" xr:uid="{73EC4CAC-9201-4B85-8B39-D801A14414A8}"/>
    <cellStyle name="Normal 2 2 50 26" xfId="24050" xr:uid="{10EA70B1-6F6D-4CEE-AB63-22686B841E58}"/>
    <cellStyle name="Normal 2 2 50 27" xfId="24051" xr:uid="{2E34BD8B-6643-4F8B-A71F-FF614901B0D7}"/>
    <cellStyle name="Normal 2 2 50 28" xfId="24052" xr:uid="{548D26F8-7869-4757-ABDD-A64CCF31209F}"/>
    <cellStyle name="Normal 2 2 50 29" xfId="24053" xr:uid="{39335F9A-0681-4398-9D3A-5FCD2FE15978}"/>
    <cellStyle name="Normal 2 2 50 3" xfId="24054" xr:uid="{4C2F0DF2-6A2A-49B2-8A10-598F69553A8E}"/>
    <cellStyle name="Normal 2 2 50 30" xfId="24055" xr:uid="{645A8DEB-B723-407F-8F1C-B55E17640C11}"/>
    <cellStyle name="Normal 2 2 50 31" xfId="24056" xr:uid="{C4958E78-9E3F-4BC7-856E-D2850CD4E910}"/>
    <cellStyle name="Normal 2 2 50 32" xfId="24057" xr:uid="{F5B88438-7408-4E24-922F-883AF5FB6037}"/>
    <cellStyle name="Normal 2 2 50 33" xfId="24058" xr:uid="{BB2D0E18-20FA-4E0E-ACA1-41C3E6BB4FFE}"/>
    <cellStyle name="Normal 2 2 50 34" xfId="24059" xr:uid="{20190603-B7B6-4FCF-9E76-6F92FBD10C2E}"/>
    <cellStyle name="Normal 2 2 50 4" xfId="24060" xr:uid="{2A441530-725B-4B34-9AD6-8FE32D66E548}"/>
    <cellStyle name="Normal 2 2 50 5" xfId="24061" xr:uid="{34C16AF1-D94E-4D0C-AC19-D3BB5B1C9E0F}"/>
    <cellStyle name="Normal 2 2 50 6" xfId="24062" xr:uid="{BBAA6563-7C13-4D96-9403-BF3CF756C6C7}"/>
    <cellStyle name="Normal 2 2 50 7" xfId="24063" xr:uid="{8868E775-AA1B-4812-8B37-07435CB452FA}"/>
    <cellStyle name="Normal 2 2 50 8" xfId="24064" xr:uid="{EFB415F5-3165-46D7-B5B3-B696526D712C}"/>
    <cellStyle name="Normal 2 2 50 9" xfId="24065" xr:uid="{FFF49E7A-7CEE-4B1D-8041-CC685D47A09A}"/>
    <cellStyle name="Normal 2 2 51" xfId="24066" xr:uid="{DFCE910A-BF0E-4DE4-B395-B84F52E6CECB}"/>
    <cellStyle name="Normal 2 2 51 10" xfId="24067" xr:uid="{C9F31023-EB8C-490E-8DAB-3E5715CA8E6E}"/>
    <cellStyle name="Normal 2 2 51 11" xfId="24068" xr:uid="{7A2772E3-E2E3-44DD-8285-80321921CB95}"/>
    <cellStyle name="Normal 2 2 51 12" xfId="24069" xr:uid="{64A461A7-EA0C-479D-BC6C-3C51C8E39101}"/>
    <cellStyle name="Normal 2 2 51 13" xfId="24070" xr:uid="{FC667C61-759C-4EC2-90EC-5D329A8B5A9A}"/>
    <cellStyle name="Normal 2 2 51 14" xfId="24071" xr:uid="{7D7C1D3F-DC44-446E-93B0-ED4B7B2C3599}"/>
    <cellStyle name="Normal 2 2 51 15" xfId="24072" xr:uid="{A747AA85-A56F-48B9-A125-FD4E4DAD93D4}"/>
    <cellStyle name="Normal 2 2 51 16" xfId="24073" xr:uid="{2846B489-B6F7-453D-8117-8F5A949D8922}"/>
    <cellStyle name="Normal 2 2 51 17" xfId="24074" xr:uid="{526830DB-C088-4F3D-81C5-4AB239CF2B7E}"/>
    <cellStyle name="Normal 2 2 51 18" xfId="24075" xr:uid="{73E1E086-FBAB-47FD-B88D-AA0AC161DF8D}"/>
    <cellStyle name="Normal 2 2 51 19" xfId="24076" xr:uid="{8C9C3152-0BC9-4D47-92D4-DEEB614ED305}"/>
    <cellStyle name="Normal 2 2 51 2" xfId="24077" xr:uid="{917DF076-E1BD-4749-9554-4EBAF6A92B47}"/>
    <cellStyle name="Normal 2 2 51 20" xfId="24078" xr:uid="{01448E0E-F13E-49F6-80B0-0D32D09C26EF}"/>
    <cellStyle name="Normal 2 2 51 21" xfId="24079" xr:uid="{BCE06541-5258-4122-9F62-19BD06A36E06}"/>
    <cellStyle name="Normal 2 2 51 22" xfId="24080" xr:uid="{EE3EC40B-CB23-4C0D-B298-7147CAC5C1A6}"/>
    <cellStyle name="Normal 2 2 51 23" xfId="24081" xr:uid="{2FD7AF4A-083A-4AB5-8EAB-72E44F595E3A}"/>
    <cellStyle name="Normal 2 2 51 24" xfId="24082" xr:uid="{A67C0705-03DD-4EB8-9180-179902E9B4AD}"/>
    <cellStyle name="Normal 2 2 51 25" xfId="24083" xr:uid="{40EBA315-1F8F-4945-84F0-281B4EED995F}"/>
    <cellStyle name="Normal 2 2 51 26" xfId="24084" xr:uid="{2D38C4F6-B0CC-4D93-AAC8-D7A44424F6D1}"/>
    <cellStyle name="Normal 2 2 51 27" xfId="24085" xr:uid="{025A12BB-5895-4994-9732-4130F02EB8EB}"/>
    <cellStyle name="Normal 2 2 51 28" xfId="24086" xr:uid="{BDE82CB2-507E-4E24-B7E0-56CC596477E9}"/>
    <cellStyle name="Normal 2 2 51 29" xfId="24087" xr:uid="{1CCF598E-212B-4F6C-BEDC-7D3FADDDFAF1}"/>
    <cellStyle name="Normal 2 2 51 3" xfId="24088" xr:uid="{1B0D08E1-8FD8-4E6C-8AD3-80528AF5E3CC}"/>
    <cellStyle name="Normal 2 2 51 30" xfId="24089" xr:uid="{3CD3AF5D-86D6-4C67-8901-D426C5585566}"/>
    <cellStyle name="Normal 2 2 51 31" xfId="24090" xr:uid="{25BE8D07-E38D-4B19-93C5-475C77B6BE5F}"/>
    <cellStyle name="Normal 2 2 51 32" xfId="24091" xr:uid="{56FF05D9-1140-4FAB-A333-7B761657859C}"/>
    <cellStyle name="Normal 2 2 51 33" xfId="24092" xr:uid="{5E0AD4EA-B7C3-4021-A37A-0D1BB4499B14}"/>
    <cellStyle name="Normal 2 2 51 34" xfId="24093" xr:uid="{6354171A-F33F-4ED2-ACE7-F6F4244A39B7}"/>
    <cellStyle name="Normal 2 2 51 4" xfId="24094" xr:uid="{5F13BAD1-5EF1-456A-AC25-A0458BE77370}"/>
    <cellStyle name="Normal 2 2 51 5" xfId="24095" xr:uid="{54FCD349-A898-406B-BA1C-7C9AF413C98C}"/>
    <cellStyle name="Normal 2 2 51 6" xfId="24096" xr:uid="{53C1A618-1AE9-450A-8C60-4E197CCF28BC}"/>
    <cellStyle name="Normal 2 2 51 7" xfId="24097" xr:uid="{81CC4DCB-324E-4009-9963-955462F53787}"/>
    <cellStyle name="Normal 2 2 51 8" xfId="24098" xr:uid="{63447FA1-C5E2-4741-A7F5-44814FAED135}"/>
    <cellStyle name="Normal 2 2 51 9" xfId="24099" xr:uid="{6D1742E8-2382-4B28-B138-D616AC87DF1D}"/>
    <cellStyle name="Normal 2 2 52" xfId="24100" xr:uid="{4C491F7A-ABD9-44B8-A381-6F7D7C4E66F3}"/>
    <cellStyle name="Normal 2 2 52 10" xfId="24101" xr:uid="{30222AD3-F1A9-49A3-848E-FCB7C519BBFF}"/>
    <cellStyle name="Normal 2 2 52 11" xfId="24102" xr:uid="{10620058-57A5-401B-9FDD-0246271A4A84}"/>
    <cellStyle name="Normal 2 2 52 12" xfId="24103" xr:uid="{5B0490BC-8645-4A89-AE94-460667E29B44}"/>
    <cellStyle name="Normal 2 2 52 13" xfId="24104" xr:uid="{64C1356D-3F37-4B97-8DF6-11854BCB80D3}"/>
    <cellStyle name="Normal 2 2 52 14" xfId="24105" xr:uid="{1E3EB88E-17F5-4C6F-B1AD-782EE599F229}"/>
    <cellStyle name="Normal 2 2 52 15" xfId="24106" xr:uid="{3A1CC220-90F7-4FF7-BFD4-3B4FF55527D8}"/>
    <cellStyle name="Normal 2 2 52 16" xfId="24107" xr:uid="{31CC52C8-81FB-475A-85D1-7AB7F3E74496}"/>
    <cellStyle name="Normal 2 2 52 17" xfId="24108" xr:uid="{365D8057-D518-479D-828E-366307264CB1}"/>
    <cellStyle name="Normal 2 2 52 18" xfId="24109" xr:uid="{6CC8CDD9-A01E-41B0-A521-023872A952EE}"/>
    <cellStyle name="Normal 2 2 52 19" xfId="24110" xr:uid="{54C27DAB-83D8-4641-B0C1-B0C22AEA4A3C}"/>
    <cellStyle name="Normal 2 2 52 2" xfId="24111" xr:uid="{F530C920-107B-492F-A80A-E769363BE034}"/>
    <cellStyle name="Normal 2 2 52 20" xfId="24112" xr:uid="{D347715E-F060-4314-97A7-A2FB9755C85F}"/>
    <cellStyle name="Normal 2 2 52 21" xfId="24113" xr:uid="{389A3935-B003-4025-9314-AE9D5186F2D6}"/>
    <cellStyle name="Normal 2 2 52 22" xfId="24114" xr:uid="{0AB0BAF9-2AA2-49BF-9A2C-C10B7C120552}"/>
    <cellStyle name="Normal 2 2 52 23" xfId="24115" xr:uid="{3436BEC4-85A7-4A4E-A318-23C47C56E7ED}"/>
    <cellStyle name="Normal 2 2 52 24" xfId="24116" xr:uid="{34EB396B-E784-48BD-A2EF-2B1FCB9E5317}"/>
    <cellStyle name="Normal 2 2 52 25" xfId="24117" xr:uid="{6FAD027B-62A2-4F2E-A2DB-C902C91DA59D}"/>
    <cellStyle name="Normal 2 2 52 26" xfId="24118" xr:uid="{7181CCA6-C1F2-495F-B868-800AAEAEE5D4}"/>
    <cellStyle name="Normal 2 2 52 27" xfId="24119" xr:uid="{66B488FD-8313-401E-B9F7-DBC0FE47832F}"/>
    <cellStyle name="Normal 2 2 52 28" xfId="24120" xr:uid="{B97DABDF-A02D-4FCB-92E5-357DADD77416}"/>
    <cellStyle name="Normal 2 2 52 29" xfId="24121" xr:uid="{94BD5EFE-4FDD-48E5-9B11-B9151385937E}"/>
    <cellStyle name="Normal 2 2 52 3" xfId="24122" xr:uid="{CC163CED-B6EE-48BF-AE1D-917D941329AD}"/>
    <cellStyle name="Normal 2 2 52 30" xfId="24123" xr:uid="{35F365A9-7897-4C1D-A408-0BBAEA3C0574}"/>
    <cellStyle name="Normal 2 2 52 31" xfId="24124" xr:uid="{56FD9114-419E-46BA-921C-FD81D273218C}"/>
    <cellStyle name="Normal 2 2 52 32" xfId="24125" xr:uid="{F5D51768-EE8A-40A3-9576-598DAFABA5C7}"/>
    <cellStyle name="Normal 2 2 52 33" xfId="24126" xr:uid="{D6A205A3-17B9-4590-8AF8-AA67DAC25BAD}"/>
    <cellStyle name="Normal 2 2 52 34" xfId="24127" xr:uid="{89BA0555-184E-4FFC-9EEA-FF0272A6510A}"/>
    <cellStyle name="Normal 2 2 52 4" xfId="24128" xr:uid="{5A724245-343E-4350-BD12-5807B78B8C53}"/>
    <cellStyle name="Normal 2 2 52 5" xfId="24129" xr:uid="{D94B051D-259E-4706-8FF8-F22AE6B69A11}"/>
    <cellStyle name="Normal 2 2 52 6" xfId="24130" xr:uid="{13FD41EE-2FA2-4211-AFE4-5AB0714FCF88}"/>
    <cellStyle name="Normal 2 2 52 7" xfId="24131" xr:uid="{B332F163-5D53-41A7-AA9A-CDFFE8E04D72}"/>
    <cellStyle name="Normal 2 2 52 8" xfId="24132" xr:uid="{2C53B9BE-A124-4681-A252-08B040D4C73D}"/>
    <cellStyle name="Normal 2 2 52 9" xfId="24133" xr:uid="{A8592AEE-496D-4257-ACF5-C44F6FDD7050}"/>
    <cellStyle name="Normal 2 2 53" xfId="24134" xr:uid="{5B90DFF2-4161-4BA3-8029-277420A4DCD1}"/>
    <cellStyle name="Normal 2 2 53 10" xfId="24135" xr:uid="{80DE6420-343C-40F3-BC11-679673B4345F}"/>
    <cellStyle name="Normal 2 2 53 11" xfId="24136" xr:uid="{58EBBDAD-5735-4E29-A815-487810AF66FC}"/>
    <cellStyle name="Normal 2 2 53 12" xfId="24137" xr:uid="{09E38BB8-F5E0-47F9-A96C-7AFCF87CB626}"/>
    <cellStyle name="Normal 2 2 53 13" xfId="24138" xr:uid="{BC73819E-30C2-4E0B-9B9B-0AD68F53ECF2}"/>
    <cellStyle name="Normal 2 2 53 14" xfId="24139" xr:uid="{F733EA4A-242D-467E-AA30-BA07558CD265}"/>
    <cellStyle name="Normal 2 2 53 15" xfId="24140" xr:uid="{EEA1D5BA-EC98-419D-94FB-02DAD9B57420}"/>
    <cellStyle name="Normal 2 2 53 16" xfId="24141" xr:uid="{9FEAB993-657C-4499-A23F-F7B16045CD66}"/>
    <cellStyle name="Normal 2 2 53 17" xfId="24142" xr:uid="{B859FA47-4F01-4D12-8C68-1FB36EFF0AE1}"/>
    <cellStyle name="Normal 2 2 53 18" xfId="24143" xr:uid="{ADF3E977-6ADA-428A-9614-09F22AFAB660}"/>
    <cellStyle name="Normal 2 2 53 19" xfId="24144" xr:uid="{0C7248C6-B6CA-4880-9B54-CAB79ACB2723}"/>
    <cellStyle name="Normal 2 2 53 2" xfId="24145" xr:uid="{D3799094-50D2-4A96-A9CD-FAFF09B13EDA}"/>
    <cellStyle name="Normal 2 2 53 20" xfId="24146" xr:uid="{58042A67-438B-4EDE-8FB0-297F7494AEEE}"/>
    <cellStyle name="Normal 2 2 53 21" xfId="24147" xr:uid="{71744A70-1125-480D-8C3A-D2F540DC4982}"/>
    <cellStyle name="Normal 2 2 53 22" xfId="24148" xr:uid="{303F28A1-740A-4757-81CF-1BBE97079922}"/>
    <cellStyle name="Normal 2 2 53 23" xfId="24149" xr:uid="{3523EA9B-FB01-4681-911E-79142E596824}"/>
    <cellStyle name="Normal 2 2 53 24" xfId="24150" xr:uid="{BB62D1D3-E6A9-4D87-98EE-32D9A0620E6A}"/>
    <cellStyle name="Normal 2 2 53 25" xfId="24151" xr:uid="{102B4980-FF5E-43ED-8D2D-B54BB3C380AB}"/>
    <cellStyle name="Normal 2 2 53 26" xfId="24152" xr:uid="{C455F515-D1D8-4E06-BAF1-CC9A4859EB5C}"/>
    <cellStyle name="Normal 2 2 53 27" xfId="24153" xr:uid="{A4FCB366-0675-4C44-B1AF-549422689E4C}"/>
    <cellStyle name="Normal 2 2 53 28" xfId="24154" xr:uid="{0A622E71-24AE-4084-A19C-D7C1602B7B3C}"/>
    <cellStyle name="Normal 2 2 53 29" xfId="24155" xr:uid="{1AAB40BA-E276-4A4B-BB68-C167896BA456}"/>
    <cellStyle name="Normal 2 2 53 3" xfId="24156" xr:uid="{CF5CBDD6-BFAE-4156-9839-89FCB762204C}"/>
    <cellStyle name="Normal 2 2 53 30" xfId="24157" xr:uid="{E1713C3B-4D5F-4C7F-816E-DAB3E2A86546}"/>
    <cellStyle name="Normal 2 2 53 31" xfId="24158" xr:uid="{3D0B2CA7-BCCB-451C-B6E1-5E40FAB0440A}"/>
    <cellStyle name="Normal 2 2 53 32" xfId="24159" xr:uid="{7CCAF006-44FA-447B-BF67-5E63601CD0F2}"/>
    <cellStyle name="Normal 2 2 53 33" xfId="24160" xr:uid="{903AB47D-6E74-4362-837F-E030F21367C3}"/>
    <cellStyle name="Normal 2 2 53 34" xfId="24161" xr:uid="{0BDAC658-7A39-42CD-90DF-492EC63E4E8B}"/>
    <cellStyle name="Normal 2 2 53 4" xfId="24162" xr:uid="{443A099D-49D1-487A-A210-B733C8198EA2}"/>
    <cellStyle name="Normal 2 2 53 5" xfId="24163" xr:uid="{EF59260A-7E58-4C34-93DB-B111D0E4E12D}"/>
    <cellStyle name="Normal 2 2 53 6" xfId="24164" xr:uid="{5C9C7AD1-6A51-4313-86BA-D21F92CAACDA}"/>
    <cellStyle name="Normal 2 2 53 7" xfId="24165" xr:uid="{B8E431A0-E50D-4AD0-BC40-ABDCEF2B3647}"/>
    <cellStyle name="Normal 2 2 53 8" xfId="24166" xr:uid="{AEF0072E-E53C-49C0-9A03-2DA50E4C8AA7}"/>
    <cellStyle name="Normal 2 2 53 9" xfId="24167" xr:uid="{342E6122-690E-4A9C-8081-174262260A54}"/>
    <cellStyle name="Normal 2 2 54" xfId="24168" xr:uid="{9BE39E8A-B6B9-43F4-B923-589641C0A4C8}"/>
    <cellStyle name="Normal 2 2 54 10" xfId="24169" xr:uid="{B5F0AD96-2DA2-4D53-A289-1AA7BB965D21}"/>
    <cellStyle name="Normal 2 2 54 11" xfId="24170" xr:uid="{8A7715B9-89B5-4B88-8B55-A813AD4684B5}"/>
    <cellStyle name="Normal 2 2 54 12" xfId="24171" xr:uid="{B92AEEDB-02B5-46C5-8B96-6E7A8E993C77}"/>
    <cellStyle name="Normal 2 2 54 13" xfId="24172" xr:uid="{C4585198-744F-46CE-AC2F-FD0AEBF1EE7A}"/>
    <cellStyle name="Normal 2 2 54 14" xfId="24173" xr:uid="{315144A7-4276-475A-B1A3-0CA946CCF429}"/>
    <cellStyle name="Normal 2 2 54 15" xfId="24174" xr:uid="{8D79B233-558A-4D72-8F55-553812FD09D2}"/>
    <cellStyle name="Normal 2 2 54 16" xfId="24175" xr:uid="{55BFDC20-1385-4B05-813B-7446DF158C4E}"/>
    <cellStyle name="Normal 2 2 54 17" xfId="24176" xr:uid="{46189BFD-AE4C-4999-8D36-5AB805E4A5EC}"/>
    <cellStyle name="Normal 2 2 54 18" xfId="24177" xr:uid="{001850CE-A40B-494D-A7B8-EDE63FB9EA92}"/>
    <cellStyle name="Normal 2 2 54 19" xfId="24178" xr:uid="{485E4B08-559F-47FF-B2A4-D94B67611618}"/>
    <cellStyle name="Normal 2 2 54 2" xfId="24179" xr:uid="{C239E80C-D7EA-440C-A4B6-2A24760ACB81}"/>
    <cellStyle name="Normal 2 2 54 20" xfId="24180" xr:uid="{65A6BF6A-0F47-4B4D-91A4-4831246114C0}"/>
    <cellStyle name="Normal 2 2 54 21" xfId="24181" xr:uid="{DC3ED1EE-9080-438C-B6E6-DE600086555C}"/>
    <cellStyle name="Normal 2 2 54 22" xfId="24182" xr:uid="{A277A417-675D-455C-89DE-8A5A37FC1FB8}"/>
    <cellStyle name="Normal 2 2 54 23" xfId="24183" xr:uid="{7BD62C53-24E3-45FA-B679-083E83094CA8}"/>
    <cellStyle name="Normal 2 2 54 24" xfId="24184" xr:uid="{D2EB26B4-80F1-4C14-9BD4-50970DEAD139}"/>
    <cellStyle name="Normal 2 2 54 25" xfId="24185" xr:uid="{30DF6294-EBAA-4C21-B3A5-E86E48C625A9}"/>
    <cellStyle name="Normal 2 2 54 26" xfId="24186" xr:uid="{08B9801D-5722-457A-BD0D-CD7C8266ECBA}"/>
    <cellStyle name="Normal 2 2 54 27" xfId="24187" xr:uid="{75A530F6-BDD1-4239-91E1-DF38D25D3852}"/>
    <cellStyle name="Normal 2 2 54 28" xfId="24188" xr:uid="{221245CF-A616-43F2-A97D-E9F05929CDF3}"/>
    <cellStyle name="Normal 2 2 54 29" xfId="24189" xr:uid="{F616C554-E142-4109-A3B6-E2A762CB8A02}"/>
    <cellStyle name="Normal 2 2 54 3" xfId="24190" xr:uid="{7C7507E1-4137-4BF6-B821-17ADD994804D}"/>
    <cellStyle name="Normal 2 2 54 30" xfId="24191" xr:uid="{62BD5A93-235E-4EF8-87DE-5EAA3D576885}"/>
    <cellStyle name="Normal 2 2 54 31" xfId="24192" xr:uid="{745FFA7C-7574-4F58-AF46-6349AB3D951C}"/>
    <cellStyle name="Normal 2 2 54 32" xfId="24193" xr:uid="{F99CEEE7-3D93-4AF9-9869-AF7A588FD5CF}"/>
    <cellStyle name="Normal 2 2 54 33" xfId="24194" xr:uid="{0360305C-748C-401C-8B1F-E0F8471A11DA}"/>
    <cellStyle name="Normal 2 2 54 34" xfId="24195" xr:uid="{7C64FFC2-08C9-4739-AC45-1B7E27F20BEF}"/>
    <cellStyle name="Normal 2 2 54 4" xfId="24196" xr:uid="{48C1B94B-75EB-413E-BC54-2E687BC44A3C}"/>
    <cellStyle name="Normal 2 2 54 5" xfId="24197" xr:uid="{92A9FEB2-0601-44E0-BDE6-295F0207C7F2}"/>
    <cellStyle name="Normal 2 2 54 6" xfId="24198" xr:uid="{6F1D1815-A8AD-4F2B-9D56-5829862C93C2}"/>
    <cellStyle name="Normal 2 2 54 7" xfId="24199" xr:uid="{17B83534-0625-40EF-B32D-10E03B00851A}"/>
    <cellStyle name="Normal 2 2 54 8" xfId="24200" xr:uid="{9289A772-C1BE-44AB-8E8A-3ABABD80654E}"/>
    <cellStyle name="Normal 2 2 54 9" xfId="24201" xr:uid="{0D150727-0D42-4729-A751-60B50F61F648}"/>
    <cellStyle name="Normal 2 2 55" xfId="24202" xr:uid="{3DD25332-BC64-4F7D-AC5E-617ECF408921}"/>
    <cellStyle name="Normal 2 2 55 10" xfId="24203" xr:uid="{933BCB1E-7F18-4217-BA43-F47A9B994EAD}"/>
    <cellStyle name="Normal 2 2 55 11" xfId="24204" xr:uid="{104F4B47-9868-4A3A-81DB-19F4C1B893B8}"/>
    <cellStyle name="Normal 2 2 55 12" xfId="24205" xr:uid="{C18B0C21-98BF-4C82-BC42-32E9CEF93EB7}"/>
    <cellStyle name="Normal 2 2 55 13" xfId="24206" xr:uid="{55274576-8838-4EEC-BFD2-883DABB4560F}"/>
    <cellStyle name="Normal 2 2 55 14" xfId="24207" xr:uid="{E2309D12-78AE-49AB-9C53-49F506FAA883}"/>
    <cellStyle name="Normal 2 2 55 15" xfId="24208" xr:uid="{AD79B07A-F109-44AB-A63A-8EABED558249}"/>
    <cellStyle name="Normal 2 2 55 16" xfId="24209" xr:uid="{C34F9880-1801-4AF0-9770-8201253E6C6D}"/>
    <cellStyle name="Normal 2 2 55 17" xfId="24210" xr:uid="{87D0CB93-76E0-45B3-80CB-F6E790D4D4C8}"/>
    <cellStyle name="Normal 2 2 55 18" xfId="24211" xr:uid="{8338E5FA-20D9-4923-AA5E-8C7811DB3D59}"/>
    <cellStyle name="Normal 2 2 55 19" xfId="24212" xr:uid="{C3C68C2D-0643-484D-983C-F2333E69B771}"/>
    <cellStyle name="Normal 2 2 55 2" xfId="24213" xr:uid="{37FDD774-517E-4DA0-A7FE-237BCFB6EF21}"/>
    <cellStyle name="Normal 2 2 55 20" xfId="24214" xr:uid="{5EB1DE8C-FBEE-443A-B28D-9129BB0E4CDB}"/>
    <cellStyle name="Normal 2 2 55 21" xfId="24215" xr:uid="{13D37101-5E33-4245-A427-B68393A615A8}"/>
    <cellStyle name="Normal 2 2 55 22" xfId="24216" xr:uid="{CBE13A7A-E3DB-4D29-BA3B-C6FBAB30D099}"/>
    <cellStyle name="Normal 2 2 55 23" xfId="24217" xr:uid="{E6E6A611-5574-4C14-9C9E-3B05B805A45D}"/>
    <cellStyle name="Normal 2 2 55 24" xfId="24218" xr:uid="{CCF4C591-4550-4024-B3B4-65B8F9E30B6E}"/>
    <cellStyle name="Normal 2 2 55 25" xfId="24219" xr:uid="{D37540CD-6EE2-4D1F-8A42-3097B4E04165}"/>
    <cellStyle name="Normal 2 2 55 26" xfId="24220" xr:uid="{1113AF4E-4321-4B15-A9B3-6FB31E7277BF}"/>
    <cellStyle name="Normal 2 2 55 27" xfId="24221" xr:uid="{847EEF2D-D692-44AE-BF65-C0E2D09E3261}"/>
    <cellStyle name="Normal 2 2 55 28" xfId="24222" xr:uid="{ACC80263-4270-4767-ACF9-B0D4153B826C}"/>
    <cellStyle name="Normal 2 2 55 29" xfId="24223" xr:uid="{FB689D31-FCDB-4337-838E-CF51FF9621D2}"/>
    <cellStyle name="Normal 2 2 55 3" xfId="24224" xr:uid="{79AA5127-0ADA-4F5D-BDBA-5AEBDB83E8DF}"/>
    <cellStyle name="Normal 2 2 55 30" xfId="24225" xr:uid="{93374BCD-45FA-4207-B645-B878E871C623}"/>
    <cellStyle name="Normal 2 2 55 31" xfId="24226" xr:uid="{FC77C696-B71D-4555-9DEC-1A0E099B5443}"/>
    <cellStyle name="Normal 2 2 55 32" xfId="24227" xr:uid="{BABC57E6-9399-4116-8CB2-CC3360C12C33}"/>
    <cellStyle name="Normal 2 2 55 33" xfId="24228" xr:uid="{A0062FAB-A031-417E-99F5-22E837EECE35}"/>
    <cellStyle name="Normal 2 2 55 34" xfId="24229" xr:uid="{79B28100-9569-4524-AC74-9C09FAC49198}"/>
    <cellStyle name="Normal 2 2 55 4" xfId="24230" xr:uid="{CD21B6D1-73F5-4DE6-9A5A-343D718D8FA3}"/>
    <cellStyle name="Normal 2 2 55 5" xfId="24231" xr:uid="{3A05E999-B95B-4E80-BEF8-FD3A1B1AA8D5}"/>
    <cellStyle name="Normal 2 2 55 6" xfId="24232" xr:uid="{3F462F9C-D028-4974-8FE3-1CEE1E4A6F2C}"/>
    <cellStyle name="Normal 2 2 55 7" xfId="24233" xr:uid="{EE29A104-FAAA-4607-BD92-0DF93EC89FB3}"/>
    <cellStyle name="Normal 2 2 55 8" xfId="24234" xr:uid="{27E852BA-737B-4E90-973A-351BD62008E3}"/>
    <cellStyle name="Normal 2 2 55 9" xfId="24235" xr:uid="{F3808B81-7913-440B-BD5A-100A88D1AF70}"/>
    <cellStyle name="Normal 2 2 56" xfId="24236" xr:uid="{48592C04-2EED-4347-994C-61B8C4203ED5}"/>
    <cellStyle name="Normal 2 2 56 10" xfId="24237" xr:uid="{F7418876-74CD-4311-A4FB-09C32D333D36}"/>
    <cellStyle name="Normal 2 2 56 11" xfId="24238" xr:uid="{F156AEE2-06E1-44E0-B21C-FF0C709B8123}"/>
    <cellStyle name="Normal 2 2 56 12" xfId="24239" xr:uid="{A4DFE3B6-6E29-43CA-9A79-1F4064F10618}"/>
    <cellStyle name="Normal 2 2 56 13" xfId="24240" xr:uid="{337A347B-13A4-40DC-A2E0-2D359A0D4474}"/>
    <cellStyle name="Normal 2 2 56 14" xfId="24241" xr:uid="{616545BE-F45A-4BBF-9C19-CE5A93897F1E}"/>
    <cellStyle name="Normal 2 2 56 15" xfId="24242" xr:uid="{3911E3D1-E3D3-483C-8677-D4B72EA90AC5}"/>
    <cellStyle name="Normal 2 2 56 16" xfId="24243" xr:uid="{AC368A7A-1D20-4574-984F-0EEB458E1824}"/>
    <cellStyle name="Normal 2 2 56 17" xfId="24244" xr:uid="{6AEDA3EB-20DC-46B0-A004-AE9D09B2DF52}"/>
    <cellStyle name="Normal 2 2 56 18" xfId="24245" xr:uid="{A028C3A0-559F-4591-B3F7-C955FDD706BC}"/>
    <cellStyle name="Normal 2 2 56 19" xfId="24246" xr:uid="{73817482-8B86-47B4-9212-6A0DFCFA6A5B}"/>
    <cellStyle name="Normal 2 2 56 2" xfId="24247" xr:uid="{02394E3E-7720-48B9-9F7B-8C6B033C323D}"/>
    <cellStyle name="Normal 2 2 56 20" xfId="24248" xr:uid="{0541E755-BFED-4D07-AB29-46DCD950558D}"/>
    <cellStyle name="Normal 2 2 56 21" xfId="24249" xr:uid="{F9E33967-302A-493E-A15C-89BBB63341C1}"/>
    <cellStyle name="Normal 2 2 56 22" xfId="24250" xr:uid="{8EBF4107-42AA-41D6-9C59-118AA2EFAE51}"/>
    <cellStyle name="Normal 2 2 56 23" xfId="24251" xr:uid="{A885E355-2729-46F2-B904-35F870439069}"/>
    <cellStyle name="Normal 2 2 56 24" xfId="24252" xr:uid="{3FF9934F-441D-46E0-96E9-CC75160239D8}"/>
    <cellStyle name="Normal 2 2 56 25" xfId="24253" xr:uid="{58798EA8-1472-4470-A301-3C121DF2BFB4}"/>
    <cellStyle name="Normal 2 2 56 26" xfId="24254" xr:uid="{A9A47490-D866-4DD0-83DB-B372D63F17D1}"/>
    <cellStyle name="Normal 2 2 56 27" xfId="24255" xr:uid="{40B393E4-EB80-4F86-8A21-8657B78ABF14}"/>
    <cellStyle name="Normal 2 2 56 28" xfId="24256" xr:uid="{CF8D32A2-5432-4B7D-A4D2-C2EE232E89E3}"/>
    <cellStyle name="Normal 2 2 56 29" xfId="24257" xr:uid="{19B06CF8-22D7-455A-95DB-F763110499F2}"/>
    <cellStyle name="Normal 2 2 56 3" xfId="24258" xr:uid="{342C60C9-2F82-40AD-B2FC-468CF5CA9F19}"/>
    <cellStyle name="Normal 2 2 56 30" xfId="24259" xr:uid="{274CC4CF-290F-4FDC-BD5D-1AC37376264F}"/>
    <cellStyle name="Normal 2 2 56 31" xfId="24260" xr:uid="{10364308-53D5-4022-B463-3F5FC383C663}"/>
    <cellStyle name="Normal 2 2 56 32" xfId="24261" xr:uid="{74789659-BD91-4B09-8C5F-8EE708D2C58F}"/>
    <cellStyle name="Normal 2 2 56 33" xfId="24262" xr:uid="{455EEBEB-45BF-409C-A52A-B4530BAFE212}"/>
    <cellStyle name="Normal 2 2 56 34" xfId="24263" xr:uid="{0E2A1B71-A084-46AF-BE67-EA33C777E9CC}"/>
    <cellStyle name="Normal 2 2 56 4" xfId="24264" xr:uid="{5430B4DE-8CD1-421A-B6C9-5403AF1A9572}"/>
    <cellStyle name="Normal 2 2 56 5" xfId="24265" xr:uid="{EBC56F89-7A28-4968-BE3E-7F77EB08D3FA}"/>
    <cellStyle name="Normal 2 2 56 6" xfId="24266" xr:uid="{76BD1A92-3445-4877-A53A-6BB8A2B24874}"/>
    <cellStyle name="Normal 2 2 56 7" xfId="24267" xr:uid="{EEEAC5D1-82B7-4FD4-8B2D-D9797D2E3E38}"/>
    <cellStyle name="Normal 2 2 56 8" xfId="24268" xr:uid="{47A73FA7-C9B8-4E39-BCDB-CD4717513536}"/>
    <cellStyle name="Normal 2 2 56 9" xfId="24269" xr:uid="{92F6EB74-4466-4EF0-B194-85C180662DBA}"/>
    <cellStyle name="Normal 2 2 57" xfId="24270" xr:uid="{A56D1831-3D25-464C-95E0-8DAD87C916B6}"/>
    <cellStyle name="Normal 2 2 57 2" xfId="24271" xr:uid="{1BBEDC5C-7D7B-4DB2-9AB0-4204C98E2433}"/>
    <cellStyle name="Normal 2 2 58" xfId="24272" xr:uid="{D24B54C7-474B-4837-A71D-ECC657188455}"/>
    <cellStyle name="Normal 2 2 58 2" xfId="24273" xr:uid="{89FDF7E3-D2D6-45DD-BD44-65D2DD9AB069}"/>
    <cellStyle name="Normal 2 2 59" xfId="24274" xr:uid="{5FD9E341-82EB-46D1-A178-8B8379823D78}"/>
    <cellStyle name="Normal 2 2 59 2" xfId="24275" xr:uid="{AA2D0E1D-30D7-4513-8E38-5974AF389C7E}"/>
    <cellStyle name="Normal 2 2 6" xfId="24276" xr:uid="{8190355F-5656-425E-9168-EF074A3A1834}"/>
    <cellStyle name="Normal 2 2 6 10" xfId="24277" xr:uid="{D0F6A76C-9153-4B68-8317-92D2EFA668AA}"/>
    <cellStyle name="Normal 2 2 6 11" xfId="24278" xr:uid="{46CD1C81-6CBB-4810-AFF1-F2D7200E92AA}"/>
    <cellStyle name="Normal 2 2 6 12" xfId="24279" xr:uid="{DCE07AAD-4BBD-4B70-B7AB-FC5B66006B79}"/>
    <cellStyle name="Normal 2 2 6 13" xfId="24280" xr:uid="{6B957E8F-D5C4-4BCF-9D94-C448DDC68C98}"/>
    <cellStyle name="Normal 2 2 6 14" xfId="24281" xr:uid="{AC66A707-0040-48F7-853F-968851369A52}"/>
    <cellStyle name="Normal 2 2 6 2" xfId="24282" xr:uid="{71496C70-10BA-4C09-BD1A-703DA18C65AA}"/>
    <cellStyle name="Normal 2 2 6 2 2" xfId="24283" xr:uid="{6673546E-EF0E-4B9B-BC92-344B00C7FF41}"/>
    <cellStyle name="Normal 2 2 6 2 2 2" xfId="24284" xr:uid="{7CA76BFA-15AA-4F0B-8DB7-7CFE18F407CF}"/>
    <cellStyle name="Normal 2 2 6 2 2 2 2" xfId="24285" xr:uid="{5E1AB7FB-626D-4AA7-AFB0-336D6F45F094}"/>
    <cellStyle name="Normal 2 2 6 2 2 3" xfId="24286" xr:uid="{D0A1CC80-1B57-46E0-A5C0-0A02197B67FF}"/>
    <cellStyle name="Normal 2 2 6 2 3" xfId="24287" xr:uid="{61C6BF11-5E0A-43FF-A93C-6881B7F98B34}"/>
    <cellStyle name="Normal 2 2 6 2 3 2" xfId="24288" xr:uid="{A7FA0892-324E-4F97-A09A-05EA9BDC7C67}"/>
    <cellStyle name="Normal 2 2 6 2 4" xfId="24289" xr:uid="{170AA7CF-44B1-4869-9718-334AFC9FA0E8}"/>
    <cellStyle name="Normal 2 2 6 2 5" xfId="24290" xr:uid="{519FC5AC-71E5-40A0-8D16-BDE49A41553A}"/>
    <cellStyle name="Normal 2 2 6 2 6" xfId="24291" xr:uid="{FCA8FFF9-6271-4071-9352-9612386C095B}"/>
    <cellStyle name="Normal 2 2 6 3" xfId="24292" xr:uid="{158C9C43-E981-49A5-8CE6-3C4D14FD019E}"/>
    <cellStyle name="Normal 2 2 6 3 2" xfId="24293" xr:uid="{B6194F90-ADE9-4F7C-820C-97FC085AEDB6}"/>
    <cellStyle name="Normal 2 2 6 3 3" xfId="24294" xr:uid="{A2CA8A26-A85B-48D3-88A6-0F74234040A4}"/>
    <cellStyle name="Normal 2 2 6 3 4" xfId="24295" xr:uid="{61630A3A-E6E6-4218-B05E-B81842CA4A02}"/>
    <cellStyle name="Normal 2 2 6 3 5" xfId="24296" xr:uid="{C8EA7443-DE9D-44CF-84C0-06187D3F400C}"/>
    <cellStyle name="Normal 2 2 6 3 6" xfId="24297" xr:uid="{19793F7C-CFA6-4E35-8005-5138042898BB}"/>
    <cellStyle name="Normal 2 2 6 4" xfId="24298" xr:uid="{FB11B05E-AF4D-44D4-8DF9-DA091FB8E58D}"/>
    <cellStyle name="Normal 2 2 6 4 2" xfId="24299" xr:uid="{770ACA1F-08FD-4FD3-9B74-2D67F8112EC7}"/>
    <cellStyle name="Normal 2 2 6 4 3" xfId="24300" xr:uid="{6EF34E54-4A35-45B3-BCF5-290C09BFE77D}"/>
    <cellStyle name="Normal 2 2 6 4 4" xfId="24301" xr:uid="{51841F9B-642C-4367-9B51-D07A5B4EEFF2}"/>
    <cellStyle name="Normal 2 2 6 4 5" xfId="24302" xr:uid="{9A51DCCC-0CFB-4401-80BB-E52005802DBC}"/>
    <cellStyle name="Normal 2 2 6 4 6" xfId="24303" xr:uid="{03F7E57C-988B-4BFC-9FE2-AA06325B75C6}"/>
    <cellStyle name="Normal 2 2 6 5" xfId="24304" xr:uid="{11E5248F-EB20-4148-B7E6-8C1E53915320}"/>
    <cellStyle name="Normal 2 2 6 5 2" xfId="24305" xr:uid="{F9242F2C-E9C7-44D9-AE61-7FEE1BC53AC3}"/>
    <cellStyle name="Normal 2 2 6 5 3" xfId="24306" xr:uid="{F2ECFCFD-3B1D-49CD-8CF1-494BA795B105}"/>
    <cellStyle name="Normal 2 2 6 5 4" xfId="24307" xr:uid="{D1EE5024-9947-430B-8226-BCE00765AB74}"/>
    <cellStyle name="Normal 2 2 6 5 5" xfId="24308" xr:uid="{7B966140-ADC1-49CD-B49A-08959603D747}"/>
    <cellStyle name="Normal 2 2 6 5 6" xfId="24309" xr:uid="{2E0C13E7-53FF-4422-A488-8C0BA446BD5B}"/>
    <cellStyle name="Normal 2 2 6 6" xfId="24310" xr:uid="{34C787F4-5FFE-425C-9F34-65005C858190}"/>
    <cellStyle name="Normal 2 2 6 6 2" xfId="24311" xr:uid="{67FE7695-93F5-4902-A066-F29AC1084A03}"/>
    <cellStyle name="Normal 2 2 6 6 3" xfId="24312" xr:uid="{5753B1AD-980C-440D-8FDC-8E660E07357A}"/>
    <cellStyle name="Normal 2 2 6 6 4" xfId="24313" xr:uid="{13284641-B664-4625-B888-34D9A1E86B05}"/>
    <cellStyle name="Normal 2 2 6 6 5" xfId="24314" xr:uid="{14395CD4-E597-4F0B-BC70-D0032A71AD87}"/>
    <cellStyle name="Normal 2 2 6 6 6" xfId="24315" xr:uid="{A775111C-9906-44A8-BB56-5E212FFD5F1A}"/>
    <cellStyle name="Normal 2 2 6 7" xfId="24316" xr:uid="{7FCB4AB1-DC95-45F6-80CD-2E3F14369C6A}"/>
    <cellStyle name="Normal 2 2 6 7 2" xfId="24317" xr:uid="{EBF8F00E-53B5-456F-B2E1-5B76297A5FA2}"/>
    <cellStyle name="Normal 2 2 6 7 3" xfId="24318" xr:uid="{5250A867-584C-4D05-8C4D-A3AB1B464794}"/>
    <cellStyle name="Normal 2 2 6 7 4" xfId="24319" xr:uid="{20D5BAE7-156D-4696-845F-0BFDBDB09810}"/>
    <cellStyle name="Normal 2 2 6 7 5" xfId="24320" xr:uid="{945FDF85-96D6-4945-825B-319EF176127B}"/>
    <cellStyle name="Normal 2 2 6 7 6" xfId="24321" xr:uid="{6E094830-2895-4B61-B8BC-258CDBF75EEB}"/>
    <cellStyle name="Normal 2 2 6 8" xfId="24322" xr:uid="{F490B7F3-519B-4DC9-9AFC-7236777C4D55}"/>
    <cellStyle name="Normal 2 2 6 8 2" xfId="24323" xr:uid="{F582FB13-E5E2-4D1B-A285-21725BAADA76}"/>
    <cellStyle name="Normal 2 2 6 8 3" xfId="24324" xr:uid="{C06506B2-302B-41F6-BB7A-6BBC5CDFF40A}"/>
    <cellStyle name="Normal 2 2 6 8 4" xfId="24325" xr:uid="{CF8255AD-686F-4A3C-9E38-FD8EBD7E88E0}"/>
    <cellStyle name="Normal 2 2 6 8 5" xfId="24326" xr:uid="{35338610-CE7A-4F98-AB11-901EC150FFF9}"/>
    <cellStyle name="Normal 2 2 6 8 6" xfId="24327" xr:uid="{EEFE086F-AC46-4505-BE9E-9D180E28DA39}"/>
    <cellStyle name="Normal 2 2 6 9" xfId="24328" xr:uid="{96255256-3539-4404-BA50-A10C4EEF30A0}"/>
    <cellStyle name="Normal 2 2 60" xfId="24329" xr:uid="{75A5C36E-65ED-4275-A101-159A48A2B744}"/>
    <cellStyle name="Normal 2 2 60 2" xfId="24330" xr:uid="{73BA493F-F39C-441A-9091-76D85E93BE4D}"/>
    <cellStyle name="Normal 2 2 61" xfId="24331" xr:uid="{10E6BA85-FB4C-4C13-8AC0-655D980618BF}"/>
    <cellStyle name="Normal 2 2 61 2" xfId="24332" xr:uid="{E3A8AE53-334A-4D09-A473-9F911767B5E8}"/>
    <cellStyle name="Normal 2 2 61 3" xfId="24333" xr:uid="{33560EE8-8169-4659-885C-B3F290B6B5D8}"/>
    <cellStyle name="Normal 2 2 61 4" xfId="24334" xr:uid="{BE5B870B-7D10-48B6-8BB6-66AF6EC214A3}"/>
    <cellStyle name="Normal 2 2 61 5" xfId="24335" xr:uid="{944E4A94-E8B9-4BCB-83CE-4850D8635902}"/>
    <cellStyle name="Normal 2 2 61 6" xfId="24336" xr:uid="{D7BDED17-A406-42CA-85EA-9ECB774D514C}"/>
    <cellStyle name="Normal 2 2 61 7" xfId="24337" xr:uid="{4DC280C4-25D0-4B98-9261-B410357326ED}"/>
    <cellStyle name="Normal 2 2 62" xfId="24338" xr:uid="{04C5B775-B1B6-4A37-B693-92D4572C2A7C}"/>
    <cellStyle name="Normal 2 2 62 2" xfId="24339" xr:uid="{FA72045F-78A3-4C06-86CD-16B07397C122}"/>
    <cellStyle name="Normal 2 2 62 3" xfId="24340" xr:uid="{8D17279A-088F-448F-BBF0-C22BDE9902BF}"/>
    <cellStyle name="Normal 2 2 62 4" xfId="24341" xr:uid="{3A31C81D-7577-47AB-B859-6D3D2DD8A828}"/>
    <cellStyle name="Normal 2 2 62 5" xfId="24342" xr:uid="{A0F049D0-206C-4DBD-BCEE-39AD82B896AA}"/>
    <cellStyle name="Normal 2 2 62 6" xfId="24343" xr:uid="{22383E80-3455-469B-A12C-D33961D19935}"/>
    <cellStyle name="Normal 2 2 62 7" xfId="24344" xr:uid="{9FE0D5DB-CA4A-4E4B-B1E0-DE2B2E1619E2}"/>
    <cellStyle name="Normal 2 2 63" xfId="24345" xr:uid="{23C7F79A-D6A5-47A0-9790-434F3619DBD4}"/>
    <cellStyle name="Normal 2 2 63 2" xfId="24346" xr:uid="{C7051187-37B1-4FB5-BF8C-E66375B91775}"/>
    <cellStyle name="Normal 2 2 63 3" xfId="24347" xr:uid="{E38291A6-8F38-4826-B9EB-997ED7CE6E9A}"/>
    <cellStyle name="Normal 2 2 63 4" xfId="24348" xr:uid="{0525C4BF-5D02-4945-BAD4-697F7CCA3ED7}"/>
    <cellStyle name="Normal 2 2 63 5" xfId="24349" xr:uid="{85529A53-0928-4EB3-AFEE-90E65659C1D3}"/>
    <cellStyle name="Normal 2 2 63 6" xfId="24350" xr:uid="{E30AE25E-7B75-42D8-9DF1-C7B7FE396AC9}"/>
    <cellStyle name="Normal 2 2 63 7" xfId="24351" xr:uid="{D991DCB1-BBCC-462C-A99D-AECD8262FFA5}"/>
    <cellStyle name="Normal 2 2 64" xfId="24352" xr:uid="{C8D59F85-1873-4C18-A28B-438DCADC3D16}"/>
    <cellStyle name="Normal 2 2 64 2" xfId="24353" xr:uid="{C4349138-F7F3-4EA1-AB73-162E82F09600}"/>
    <cellStyle name="Normal 2 2 64 3" xfId="24354" xr:uid="{EED8619D-A57B-47C1-8EA5-F83D3893E76C}"/>
    <cellStyle name="Normal 2 2 64 4" xfId="24355" xr:uid="{574B5D41-A91F-4C2B-B919-B5D5B7A471A3}"/>
    <cellStyle name="Normal 2 2 64 5" xfId="24356" xr:uid="{86D0ED6F-2973-4EA7-8547-D78D7CDBB106}"/>
    <cellStyle name="Normal 2 2 64 6" xfId="24357" xr:uid="{93101EF9-B410-46C2-BE46-C64B04814A11}"/>
    <cellStyle name="Normal 2 2 65" xfId="24358" xr:uid="{22EC01FC-832D-4747-AB62-4754AE4F6C2B}"/>
    <cellStyle name="Normal 2 2 65 2" xfId="24359" xr:uid="{3EEF96C9-1790-4594-BCF4-A08019E101C6}"/>
    <cellStyle name="Normal 2 2 65 2 2" xfId="24360" xr:uid="{449BABD1-17A8-4C07-A7AC-ADD0601685E0}"/>
    <cellStyle name="Normal 2 2 65 2 2 2" xfId="24361" xr:uid="{FD6796F8-5D9D-4601-AB0A-4055ADDEEF06}"/>
    <cellStyle name="Normal 2 2 65 2 2 3" xfId="24362" xr:uid="{A3DA00E6-D872-4739-8B4A-F99138BEBC1A}"/>
    <cellStyle name="Normal 2 2 65 2 2 4" xfId="24363" xr:uid="{98495709-4E09-40CE-BAA8-99F8E242306D}"/>
    <cellStyle name="Normal 2 2 65 2 2 5" xfId="24364" xr:uid="{DF4C8ED7-484B-43E5-8717-1FAF9708635E}"/>
    <cellStyle name="Normal 2 2 65 2 2 6" xfId="24365" xr:uid="{6A647356-1CA2-4228-AE49-9FE1F8BB4FD7}"/>
    <cellStyle name="Normal 2 2 65 2 2 7" xfId="24366" xr:uid="{C1B1979C-9AD4-4D3B-901E-08821DC1C0A1}"/>
    <cellStyle name="Normal 2 2 65 3" xfId="24367" xr:uid="{991FD53C-BDEA-436E-ACBC-0CC4989D3CF4}"/>
    <cellStyle name="Normal 2 2 65 4" xfId="24368" xr:uid="{0ACDBCA9-D6A6-408D-BDB6-E7C42B9E1ED3}"/>
    <cellStyle name="Normal 2 2 65 5" xfId="24369" xr:uid="{7247E126-912B-4F15-97F1-BEAB14126D39}"/>
    <cellStyle name="Normal 2 2 65 6" xfId="24370" xr:uid="{A0ED26F8-3385-4B45-9108-64DDDF9D6F93}"/>
    <cellStyle name="Normal 2 2 65 7" xfId="24371" xr:uid="{5E196572-E1FC-4B22-9691-B25378BB15EC}"/>
    <cellStyle name="Normal 2 2 65 8" xfId="24372" xr:uid="{820F7D7E-872B-40B4-A948-A0E1BE7CECAC}"/>
    <cellStyle name="Normal 2 2 66" xfId="24373" xr:uid="{00CCBE8F-C59F-4462-8598-18B47E40157B}"/>
    <cellStyle name="Normal 2 2 66 2" xfId="24374" xr:uid="{CE9D806A-8BAD-4355-AC91-3B3A49683684}"/>
    <cellStyle name="Normal 2 2 67" xfId="24375" xr:uid="{C3A1B5F6-6132-4467-849A-EA46BBBF672A}"/>
    <cellStyle name="Normal 2 2 67 2" xfId="24376" xr:uid="{82E29C00-DF94-4E68-8203-31D88536F873}"/>
    <cellStyle name="Normal 2 2 68" xfId="24377" xr:uid="{C8631E24-F694-4508-A857-B79154E3C14E}"/>
    <cellStyle name="Normal 2 2 69" xfId="24378" xr:uid="{E87771E0-756E-4DE2-B932-CB8FB9A2D498}"/>
    <cellStyle name="Normal 2 2 7" xfId="24379" xr:uid="{1B1CDA7D-7306-4EF9-9D0E-69728BEA2516}"/>
    <cellStyle name="Normal 2 2 7 10" xfId="24380" xr:uid="{D46BD3B8-11C4-419D-8FF5-B8982B857B8A}"/>
    <cellStyle name="Normal 2 2 7 11" xfId="24381" xr:uid="{8F9C9F61-3228-4D5F-9532-B909CD5563A0}"/>
    <cellStyle name="Normal 2 2 7 12" xfId="24382" xr:uid="{3B1D5889-4EAB-49DA-9331-51AD2B81C555}"/>
    <cellStyle name="Normal 2 2 7 13" xfId="24383" xr:uid="{D4040ACC-F3E7-4882-96F6-84E6B16435A4}"/>
    <cellStyle name="Normal 2 2 7 14" xfId="24384" xr:uid="{3613F29C-6B51-4C44-82CD-2509DBB78B23}"/>
    <cellStyle name="Normal 2 2 7 2" xfId="24385" xr:uid="{5EA7D4A7-2A2B-4F74-9826-A849780D78A6}"/>
    <cellStyle name="Normal 2 2 7 2 2" xfId="24386" xr:uid="{1334F193-02C7-4BFC-9592-8D9698056261}"/>
    <cellStyle name="Normal 2 2 7 2 2 2" xfId="24387" xr:uid="{C816E87D-E15B-4185-B755-8D16C522FBCA}"/>
    <cellStyle name="Normal 2 2 7 2 3" xfId="24388" xr:uid="{CA2FD423-BC9B-4170-9158-0EEFD0D43887}"/>
    <cellStyle name="Normal 2 2 7 2 4" xfId="24389" xr:uid="{4AAB95C9-5C03-42D1-A243-AF7822933A26}"/>
    <cellStyle name="Normal 2 2 7 2 5" xfId="24390" xr:uid="{4580AF41-336B-4370-9618-27ECB9E11F81}"/>
    <cellStyle name="Normal 2 2 7 2 6" xfId="24391" xr:uid="{0713F0E0-C498-4C4F-BED5-4F3CCFB7394C}"/>
    <cellStyle name="Normal 2 2 7 2 7" xfId="24392" xr:uid="{08009B19-1797-41C3-BC59-A73FF774D232}"/>
    <cellStyle name="Normal 2 2 7 3" xfId="24393" xr:uid="{4631F749-355F-4C9F-ACE0-A96F49B3BA72}"/>
    <cellStyle name="Normal 2 2 7 3 2" xfId="24394" xr:uid="{2407A7D0-4017-4D2B-B1D1-C68B7BF53871}"/>
    <cellStyle name="Normal 2 2 7 3 3" xfId="24395" xr:uid="{C8AFE7A5-A871-41B8-A482-B4412D234513}"/>
    <cellStyle name="Normal 2 2 7 3 4" xfId="24396" xr:uid="{25B431F0-DBC5-4E50-9847-2A71A20F9D4E}"/>
    <cellStyle name="Normal 2 2 7 3 5" xfId="24397" xr:uid="{5637814A-2070-49FF-99D1-C0EF68DF972D}"/>
    <cellStyle name="Normal 2 2 7 3 6" xfId="24398" xr:uid="{525056B8-F8A3-49A1-A72E-CDBDF593199C}"/>
    <cellStyle name="Normal 2 2 7 4" xfId="24399" xr:uid="{9D33B69D-3E0D-49A4-8177-FE8B21416C17}"/>
    <cellStyle name="Normal 2 2 7 4 2" xfId="24400" xr:uid="{0D467B66-87D8-4DF4-BB9E-7C89D2F2A243}"/>
    <cellStyle name="Normal 2 2 7 4 3" xfId="24401" xr:uid="{ECF45A42-1378-41E0-85B2-A4C2041476E9}"/>
    <cellStyle name="Normal 2 2 7 4 4" xfId="24402" xr:uid="{CDF5F0E1-D771-468B-A8FB-5769BB5DA865}"/>
    <cellStyle name="Normal 2 2 7 4 5" xfId="24403" xr:uid="{86C0667E-FC15-4BE9-9243-DE821F0C699F}"/>
    <cellStyle name="Normal 2 2 7 4 6" xfId="24404" xr:uid="{082D0FB1-46F2-49D4-AA68-36543B324F78}"/>
    <cellStyle name="Normal 2 2 7 5" xfId="24405" xr:uid="{90F9F490-FE43-4961-89A4-D7F751F98573}"/>
    <cellStyle name="Normal 2 2 7 5 2" xfId="24406" xr:uid="{0D1FC125-B1CD-4508-9DB3-FCA4AC41515C}"/>
    <cellStyle name="Normal 2 2 7 5 3" xfId="24407" xr:uid="{1835DF47-6967-451C-BBB0-9248867E1A19}"/>
    <cellStyle name="Normal 2 2 7 5 4" xfId="24408" xr:uid="{FA03F86A-F749-468D-B86A-9A80CB08F40C}"/>
    <cellStyle name="Normal 2 2 7 5 5" xfId="24409" xr:uid="{29B9CD5E-4510-4FF1-B114-C2B4496DEA12}"/>
    <cellStyle name="Normal 2 2 7 5 6" xfId="24410" xr:uid="{A1EA14F7-A2A2-4182-B1A1-0DF24D244389}"/>
    <cellStyle name="Normal 2 2 7 6" xfId="24411" xr:uid="{C57ADFB8-D8AE-446E-87D7-633109F75AAB}"/>
    <cellStyle name="Normal 2 2 7 6 2" xfId="24412" xr:uid="{A7E9CE74-4ACF-4E0A-B1E0-9A38350D861C}"/>
    <cellStyle name="Normal 2 2 7 6 3" xfId="24413" xr:uid="{8C2B9997-823D-4A5D-BC46-CD93101947D5}"/>
    <cellStyle name="Normal 2 2 7 6 4" xfId="24414" xr:uid="{8D734316-0B66-4007-9667-54DB649878A1}"/>
    <cellStyle name="Normal 2 2 7 6 5" xfId="24415" xr:uid="{3BB95000-56CF-4CFA-833C-1E4D1622F123}"/>
    <cellStyle name="Normal 2 2 7 6 6" xfId="24416" xr:uid="{7D1A66ED-7AD8-4C5D-807D-18CA62B759C6}"/>
    <cellStyle name="Normal 2 2 7 7" xfId="24417" xr:uid="{005C1D89-8F0C-4AA3-A95D-BA98F7C2ED84}"/>
    <cellStyle name="Normal 2 2 7 7 2" xfId="24418" xr:uid="{F6B050F2-9116-4BB4-A3EC-D3381F805AB4}"/>
    <cellStyle name="Normal 2 2 7 7 3" xfId="24419" xr:uid="{B8A0B93C-5234-475D-9A18-3DD018A21B10}"/>
    <cellStyle name="Normal 2 2 7 7 4" xfId="24420" xr:uid="{D8A21DC4-AA6A-4B6C-84B6-18BF321C9FCA}"/>
    <cellStyle name="Normal 2 2 7 7 5" xfId="24421" xr:uid="{2E286724-7FFD-42E8-A146-5ED35554F517}"/>
    <cellStyle name="Normal 2 2 7 7 6" xfId="24422" xr:uid="{BFEC1091-259D-4CE2-8734-088F9C3E9CD7}"/>
    <cellStyle name="Normal 2 2 7 8" xfId="24423" xr:uid="{67D19490-AA79-41E2-814A-011527745A56}"/>
    <cellStyle name="Normal 2 2 7 8 2" xfId="24424" xr:uid="{FE0B774B-A1BD-453F-A66C-A26E47629EC8}"/>
    <cellStyle name="Normal 2 2 7 8 3" xfId="24425" xr:uid="{9D99B8E2-DD58-4B6C-8D96-E1EDC608C9CD}"/>
    <cellStyle name="Normal 2 2 7 8 4" xfId="24426" xr:uid="{A513CB4D-C1D7-495C-B7E5-7C6F27987696}"/>
    <cellStyle name="Normal 2 2 7 8 5" xfId="24427" xr:uid="{B04B30B8-6EE3-4B71-B2A5-DEE5B6827B57}"/>
    <cellStyle name="Normal 2 2 7 8 6" xfId="24428" xr:uid="{ADDB345C-F945-480C-A3B9-7EFAD3B8C689}"/>
    <cellStyle name="Normal 2 2 7 9" xfId="24429" xr:uid="{33856F67-4051-43B4-A3DD-2B0072A16974}"/>
    <cellStyle name="Normal 2 2 70" xfId="24430" xr:uid="{3DBB3795-80C4-42A8-83EA-D850D75B1C03}"/>
    <cellStyle name="Normal 2 2 71" xfId="24431" xr:uid="{B0DB993D-3C53-4C2E-B1E2-1B560C15A710}"/>
    <cellStyle name="Normal 2 2 72" xfId="24432" xr:uid="{E1A661E6-E7C2-4D15-B73C-C6A128619FC0}"/>
    <cellStyle name="Normal 2 2 73" xfId="24433" xr:uid="{6E02ACC5-7984-4FF6-9696-1A6276F8AA3A}"/>
    <cellStyle name="Normal 2 2 74" xfId="24434" xr:uid="{60523A30-11A7-406C-8833-89ED203A5BE9}"/>
    <cellStyle name="Normal 2 2 75" xfId="24435" xr:uid="{317C9F1D-5B66-403D-818F-4C2494854EC5}"/>
    <cellStyle name="Normal 2 2 76" xfId="24436" xr:uid="{46529505-FDCB-468B-9A1A-357939AE936B}"/>
    <cellStyle name="Normal 2 2 77" xfId="24437" xr:uid="{CE1963C4-0BF6-467E-BF2F-6E24A6AF6AA5}"/>
    <cellStyle name="Normal 2 2 78" xfId="24438" xr:uid="{5FE8BA09-8CA7-4731-8AAB-71F850A5DE72}"/>
    <cellStyle name="Normal 2 2 79" xfId="24439" xr:uid="{584A9E51-7315-4C89-9C45-24EB0AA786DB}"/>
    <cellStyle name="Normal 2 2 8" xfId="24440" xr:uid="{2858EE7F-FEDE-42F5-B222-E7ADD38A808E}"/>
    <cellStyle name="Normal 2 2 8 10" xfId="24441" xr:uid="{003324B6-706D-4C54-BB48-8BAB4F7347A8}"/>
    <cellStyle name="Normal 2 2 8 11" xfId="24442" xr:uid="{A4E7E406-5496-4D90-B6E1-78502E5103C9}"/>
    <cellStyle name="Normal 2 2 8 12" xfId="24443" xr:uid="{1044F76C-648A-4C35-8E81-49F0806FC3EF}"/>
    <cellStyle name="Normal 2 2 8 13" xfId="24444" xr:uid="{367D5375-D973-4BF9-9A15-D02FF564D8D8}"/>
    <cellStyle name="Normal 2 2 8 14" xfId="24445" xr:uid="{68F18355-E548-47A7-AFCA-8372E371B9CD}"/>
    <cellStyle name="Normal 2 2 8 2" xfId="24446" xr:uid="{ACC3FD71-20CF-45AE-93C9-3042EBC62357}"/>
    <cellStyle name="Normal 2 2 8 2 2" xfId="24447" xr:uid="{D2B2C24E-9A6B-40B4-8B72-5A32EC513B7F}"/>
    <cellStyle name="Normal 2 2 8 2 3" xfId="24448" xr:uid="{5223551E-FD2E-4244-8A4B-A0B09D88B6D0}"/>
    <cellStyle name="Normal 2 2 8 2 4" xfId="24449" xr:uid="{8F4A4AAB-C40E-4A79-912A-EB0C202AFCB5}"/>
    <cellStyle name="Normal 2 2 8 2 5" xfId="24450" xr:uid="{718E076F-293D-4E97-9F14-15418EF6F0C9}"/>
    <cellStyle name="Normal 2 2 8 2 6" xfId="24451" xr:uid="{C7BE57F1-D6A0-43F9-B530-D2828A84BAD8}"/>
    <cellStyle name="Normal 2 2 8 3" xfId="24452" xr:uid="{E1BC3A8D-868F-4D1A-8C14-1F25B81E0318}"/>
    <cellStyle name="Normal 2 2 8 3 2" xfId="24453" xr:uid="{1D667666-3B70-41A5-ACC7-B7AF968AE2C8}"/>
    <cellStyle name="Normal 2 2 8 3 3" xfId="24454" xr:uid="{9B8C4E3E-CE1B-438D-A100-3F0AD7F6A05B}"/>
    <cellStyle name="Normal 2 2 8 3 4" xfId="24455" xr:uid="{DD1F1241-E34A-4503-8461-FE1D866C1308}"/>
    <cellStyle name="Normal 2 2 8 3 5" xfId="24456" xr:uid="{BDCEDDB8-A1A8-4983-ACE0-39CE06CDD14E}"/>
    <cellStyle name="Normal 2 2 8 3 6" xfId="24457" xr:uid="{916DF952-DF8F-415D-8A58-B3294FE15BC3}"/>
    <cellStyle name="Normal 2 2 8 4" xfId="24458" xr:uid="{44559231-3969-4686-BB7F-4F713D1D46E1}"/>
    <cellStyle name="Normal 2 2 8 4 2" xfId="24459" xr:uid="{77B4ACC3-9D8F-4F9E-930C-23ACEE2D1420}"/>
    <cellStyle name="Normal 2 2 8 4 3" xfId="24460" xr:uid="{C89FCFC6-8697-4FE2-A50F-4CD169CBD9E9}"/>
    <cellStyle name="Normal 2 2 8 4 4" xfId="24461" xr:uid="{5D4C24B7-7768-490E-8D41-1DC20D3C3F11}"/>
    <cellStyle name="Normal 2 2 8 4 5" xfId="24462" xr:uid="{9EB0B8F8-F376-47D0-9F71-B3194D1F6803}"/>
    <cellStyle name="Normal 2 2 8 4 6" xfId="24463" xr:uid="{72E8EB35-907E-45AD-9E33-E80F5A999B85}"/>
    <cellStyle name="Normal 2 2 8 5" xfId="24464" xr:uid="{467F3E07-32CA-493C-AD29-1937433D9EEE}"/>
    <cellStyle name="Normal 2 2 8 5 2" xfId="24465" xr:uid="{BD378E53-0A65-4520-A1C8-BC5D74B12804}"/>
    <cellStyle name="Normal 2 2 8 5 3" xfId="24466" xr:uid="{042074C3-FBFB-4AD2-82B3-C6DED84EE3D3}"/>
    <cellStyle name="Normal 2 2 8 5 4" xfId="24467" xr:uid="{51EAE799-10C2-4337-BE8B-D2B4E49A7E72}"/>
    <cellStyle name="Normal 2 2 8 5 5" xfId="24468" xr:uid="{305A68B0-9506-4392-9194-0AC3B5620057}"/>
    <cellStyle name="Normal 2 2 8 5 6" xfId="24469" xr:uid="{F23E9743-ADA6-46D9-98F3-BD8E515194CB}"/>
    <cellStyle name="Normal 2 2 8 6" xfId="24470" xr:uid="{C520A99A-FF64-4D5E-B112-FB427B402195}"/>
    <cellStyle name="Normal 2 2 8 6 2" xfId="24471" xr:uid="{67BADD97-10E3-47B8-BDC5-ED3AE9ECE6BF}"/>
    <cellStyle name="Normal 2 2 8 6 3" xfId="24472" xr:uid="{F9BA0629-50C2-4F7F-81CB-D3CA3BFC5B18}"/>
    <cellStyle name="Normal 2 2 8 6 4" xfId="24473" xr:uid="{3458B28B-AB35-4409-B506-50F1A68C5008}"/>
    <cellStyle name="Normal 2 2 8 6 5" xfId="24474" xr:uid="{D13DEE68-BF2F-4F4C-B70E-4A9042581645}"/>
    <cellStyle name="Normal 2 2 8 6 6" xfId="24475" xr:uid="{8B26F07F-5395-4CC4-BF01-911F0395959E}"/>
    <cellStyle name="Normal 2 2 8 7" xfId="24476" xr:uid="{BA71D47B-F9E6-4BBC-A76A-E6BE541B80AA}"/>
    <cellStyle name="Normal 2 2 8 7 2" xfId="24477" xr:uid="{658FC6E3-7EA9-4228-92BC-55A3AAF70EE9}"/>
    <cellStyle name="Normal 2 2 8 7 3" xfId="24478" xr:uid="{8BECC704-5A85-433D-AE9F-02DF973C4982}"/>
    <cellStyle name="Normal 2 2 8 7 4" xfId="24479" xr:uid="{E726677C-DECF-4DFB-811A-17FA1695AB09}"/>
    <cellStyle name="Normal 2 2 8 7 5" xfId="24480" xr:uid="{B2EC4E86-5900-4596-83FD-ABEEA468AC99}"/>
    <cellStyle name="Normal 2 2 8 7 6" xfId="24481" xr:uid="{6DE74A97-560D-4120-8964-24CE303335FF}"/>
    <cellStyle name="Normal 2 2 8 8" xfId="24482" xr:uid="{07FC7383-17E1-4FEC-A9E1-6031A3D38AA8}"/>
    <cellStyle name="Normal 2 2 8 8 2" xfId="24483" xr:uid="{E61715FA-5D43-4952-8825-AE69576D12D0}"/>
    <cellStyle name="Normal 2 2 8 8 3" xfId="24484" xr:uid="{B0805755-7BD7-4A1C-BD4D-C097484AD87A}"/>
    <cellStyle name="Normal 2 2 8 8 4" xfId="24485" xr:uid="{5F762A65-CCFD-433E-884A-E8125C3F58BB}"/>
    <cellStyle name="Normal 2 2 8 8 5" xfId="24486" xr:uid="{3E185474-468C-457F-83AF-09953D2BF765}"/>
    <cellStyle name="Normal 2 2 8 8 6" xfId="24487" xr:uid="{23F3FB7B-CA90-41A7-96D9-F35EBA24B6C0}"/>
    <cellStyle name="Normal 2 2 8 9" xfId="24488" xr:uid="{A66A6707-8CA8-4DE9-B03C-7ACEC467E9C6}"/>
    <cellStyle name="Normal 2 2 80" xfId="24489" xr:uid="{A3529757-22FF-4DE3-97A8-0E56559E55D7}"/>
    <cellStyle name="Normal 2 2 81" xfId="24490" xr:uid="{E133EF8C-2699-49D5-80E9-32CCE80ABCB6}"/>
    <cellStyle name="Normal 2 2 82" xfId="24491" xr:uid="{33D1DE74-7F4D-499C-BB85-F0866AA702F8}"/>
    <cellStyle name="Normal 2 2 83" xfId="24492" xr:uid="{D026F0A3-578A-4FF0-820C-17821A0A8C78}"/>
    <cellStyle name="Normal 2 2 84" xfId="24493" xr:uid="{02540C0A-5B7E-4793-8E4A-964282DA1F3E}"/>
    <cellStyle name="Normal 2 2 85" xfId="24494" xr:uid="{8BD6B9BB-4398-4211-BDB6-D861088214CA}"/>
    <cellStyle name="Normal 2 2 85 2" xfId="24495" xr:uid="{7381C5F2-54B3-4687-91E7-B7FC456F7277}"/>
    <cellStyle name="Normal 2 2 85 3" xfId="24496" xr:uid="{9FB499EB-CF38-44C2-8AC3-7192410B9222}"/>
    <cellStyle name="Normal 2 2 85 4" xfId="24497" xr:uid="{46237AA4-BB19-4CF6-8753-4A1EC7329928}"/>
    <cellStyle name="Normal 2 2 85 5" xfId="24498" xr:uid="{C8944D02-D126-4CD6-BC63-9392D6733C70}"/>
    <cellStyle name="Normal 2 2 85 6" xfId="24499" xr:uid="{BA33C3BC-3EBF-4966-BFE7-EE3629C2CBB0}"/>
    <cellStyle name="Normal 2 2 85 7" xfId="24500" xr:uid="{7C00F9AB-9025-4085-9EC2-37FE1DF61D6A}"/>
    <cellStyle name="Normal 2 2 86" xfId="24501" xr:uid="{CCFF57F1-C7AA-4FBD-8499-548BF62DE9C8}"/>
    <cellStyle name="Normal 2 2 86 10" xfId="24502" xr:uid="{6AB31ABB-51D4-4291-A435-4F35698C416C}"/>
    <cellStyle name="Normal 2 2 86 11" xfId="24503" xr:uid="{BF4625A0-6C7E-44B3-A66C-BA49FFC77541}"/>
    <cellStyle name="Normal 2 2 86 2" xfId="24504" xr:uid="{87393270-2A6B-4A5B-B316-4CEDBAAF3608}"/>
    <cellStyle name="Normal 2 2 86 2 2" xfId="24505" xr:uid="{92CD23F6-54F4-4D4A-8F0E-9F61B5DB772F}"/>
    <cellStyle name="Normal 2 2 86 2 2 2" xfId="24506" xr:uid="{38AC2B11-DDFE-47E6-BD9F-FA3EB9345114}"/>
    <cellStyle name="Normal 2 2 86 2 2 3" xfId="24507" xr:uid="{CAE2BAD1-93B6-4DAF-A190-97910BB29DA0}"/>
    <cellStyle name="Normal 2 2 86 2 3" xfId="24508" xr:uid="{3C7D6350-F64A-4E33-9301-52E890D890D5}"/>
    <cellStyle name="Normal 2 2 86 2 4" xfId="24509" xr:uid="{6308B2EF-CB89-40CC-8A98-69A2E506AA74}"/>
    <cellStyle name="Normal 2 2 86 2 5" xfId="24510" xr:uid="{A2FEFE5D-50D1-4020-8B72-B104E2C3FE55}"/>
    <cellStyle name="Normal 2 2 86 2 6" xfId="24511" xr:uid="{2B4F349F-8F8A-4D00-BCEB-9DCF0AFD4100}"/>
    <cellStyle name="Normal 2 2 86 2 7" xfId="24512" xr:uid="{94F46F5F-CD54-4392-911C-1E97A19274A2}"/>
    <cellStyle name="Normal 2 2 86 2 8" xfId="24513" xr:uid="{0275B0EF-9F6B-4F5B-974E-A0A2562C471A}"/>
    <cellStyle name="Normal 2 2 86 2 9" xfId="24514" xr:uid="{A4FB51A6-15F4-44A4-B600-97BC774A1905}"/>
    <cellStyle name="Normal 2 2 86 3" xfId="24515" xr:uid="{99E68B29-56AA-4E9B-8104-C04EAD8DCFC0}"/>
    <cellStyle name="Normal 2 2 86 4" xfId="24516" xr:uid="{AFCF1483-9BFF-4EE0-8A94-E54A922F3AA0}"/>
    <cellStyle name="Normal 2 2 86 5" xfId="24517" xr:uid="{65FBCD4B-E78E-43C5-8A29-466996821059}"/>
    <cellStyle name="Normal 2 2 86 5 2" xfId="24518" xr:uid="{9A194ADD-11BF-41B7-B4AF-3340F2498619}"/>
    <cellStyle name="Normal 2 2 86 5 3" xfId="24519" xr:uid="{21F85F47-C4C7-42F9-856B-3C18633D6CBF}"/>
    <cellStyle name="Normal 2 2 86 6" xfId="24520" xr:uid="{F6222921-E0B8-4BF9-9E20-E7947D9ACC37}"/>
    <cellStyle name="Normal 2 2 86 7" xfId="24521" xr:uid="{F5E7C13D-DCC7-4C61-B09C-4E9724BAAF97}"/>
    <cellStyle name="Normal 2 2 86 8" xfId="24522" xr:uid="{C1EE3478-5AB5-47FA-BDBC-D85C9E83581A}"/>
    <cellStyle name="Normal 2 2 86 9" xfId="24523" xr:uid="{F5F423FF-EDD4-495D-914C-728B4B398597}"/>
    <cellStyle name="Normal 2 2 87" xfId="24524" xr:uid="{A62B3228-FFA6-4184-B9E7-8F95D5C011CD}"/>
    <cellStyle name="Normal 2 2 87 2" xfId="24525" xr:uid="{7CB25C9D-680B-4659-AFB2-E1BD3EDD6145}"/>
    <cellStyle name="Normal 2 2 87 3" xfId="24526" xr:uid="{7A8F03C7-D94E-43B2-9B32-6553668E8C68}"/>
    <cellStyle name="Normal 2 2 87 4" xfId="24527" xr:uid="{F2107BA3-9210-4EAB-A3FB-51C294BA884C}"/>
    <cellStyle name="Normal 2 2 87 5" xfId="24528" xr:uid="{987AD33F-6010-45BB-B0D8-AA119B0CD073}"/>
    <cellStyle name="Normal 2 2 87 6" xfId="24529" xr:uid="{7F6FDF84-E964-4486-AA36-1F3759B090C4}"/>
    <cellStyle name="Normal 2 2 87 7" xfId="24530" xr:uid="{113C9109-C69F-4AC9-8B86-22FFC2507054}"/>
    <cellStyle name="Normal 2 2 87 8" xfId="24531" xr:uid="{1A55938F-5972-44D9-B027-9BFC4B3EF2A0}"/>
    <cellStyle name="Normal 2 2 88" xfId="24532" xr:uid="{4FC356BB-73B7-421E-98D4-A8C07A4696D0}"/>
    <cellStyle name="Normal 2 2 88 2" xfId="24533" xr:uid="{86C8FBB6-8464-475B-B6E1-F0EA349740CA}"/>
    <cellStyle name="Normal 2 2 88 3" xfId="24534" xr:uid="{D5543D77-3E29-4EEC-BCD4-FB5C3461D3C6}"/>
    <cellStyle name="Normal 2 2 88 4" xfId="24535" xr:uid="{6791D934-3CBD-4530-B7E0-C5C8F7EC3CAA}"/>
    <cellStyle name="Normal 2 2 88 5" xfId="24536" xr:uid="{CDA13EA5-06CA-4D39-8353-ACCB146EDFE3}"/>
    <cellStyle name="Normal 2 2 88 6" xfId="24537" xr:uid="{F67AD146-A7B1-4C18-8E82-68CC0E813E61}"/>
    <cellStyle name="Normal 2 2 88 7" xfId="24538" xr:uid="{C3BBCF44-A9E7-47F3-8373-BD847B62B1E1}"/>
    <cellStyle name="Normal 2 2 88 8" xfId="24539" xr:uid="{A7F53BEA-D2DB-4CCC-A155-6965E2B7DE8B}"/>
    <cellStyle name="Normal 2 2 89" xfId="24540" xr:uid="{CA760248-987F-434E-AD78-E1FD5A0D9416}"/>
    <cellStyle name="Normal 2 2 89 2" xfId="24541" xr:uid="{6C82EFFF-8E65-4081-8301-94CDA178B71F}"/>
    <cellStyle name="Normal 2 2 89 2 2" xfId="24542" xr:uid="{8BF33A90-38BD-45F8-87F9-310E4FE20DE6}"/>
    <cellStyle name="Normal 2 2 89 2 3" xfId="24543" xr:uid="{E41EC34F-2BDD-483B-ADDD-58BBE25301ED}"/>
    <cellStyle name="Normal 2 2 89 3" xfId="24544" xr:uid="{B268BACA-ACAE-4DAE-BF0B-03D936310F75}"/>
    <cellStyle name="Normal 2 2 89 4" xfId="24545" xr:uid="{EB989951-CFDB-4F4E-8A74-F55857FEAE79}"/>
    <cellStyle name="Normal 2 2 89 5" xfId="24546" xr:uid="{A6A31BDB-3876-4233-A876-921E9C47A5E2}"/>
    <cellStyle name="Normal 2 2 89 6" xfId="24547" xr:uid="{2F31C267-AB87-4642-A78A-BA0CB506AF2D}"/>
    <cellStyle name="Normal 2 2 89 7" xfId="24548" xr:uid="{DAA6D3E0-2471-4DBE-9E7F-B1D651925C29}"/>
    <cellStyle name="Normal 2 2 89 8" xfId="24549" xr:uid="{CD8FE924-3884-4764-AEA2-6051E03B56BB}"/>
    <cellStyle name="Normal 2 2 89 9" xfId="24550" xr:uid="{EB06690E-99F2-494B-9F82-DC39F1AA2273}"/>
    <cellStyle name="Normal 2 2 9" xfId="24551" xr:uid="{B85986CA-B6A5-4CD0-917A-E6C7DB2DD1B9}"/>
    <cellStyle name="Normal 2 2 9 10" xfId="24552" xr:uid="{4231BC62-2E2B-4BCD-AE2B-467F478C46A7}"/>
    <cellStyle name="Normal 2 2 9 11" xfId="24553" xr:uid="{A4B0F743-E820-4E08-ACA9-97CEF19D498F}"/>
    <cellStyle name="Normal 2 2 9 12" xfId="24554" xr:uid="{BEFEA951-1539-464E-AD7E-EF3B3C0C2566}"/>
    <cellStyle name="Normal 2 2 9 13" xfId="24555" xr:uid="{DA763EDE-F7B1-47B5-8192-17B5AF36EC7D}"/>
    <cellStyle name="Normal 2 2 9 14" xfId="24556" xr:uid="{8D26E56B-E0CC-40A8-A77B-7DEE8D54C6FF}"/>
    <cellStyle name="Normal 2 2 9 2" xfId="24557" xr:uid="{EDDBBD9F-64C9-483C-A15C-8E8EC535A95A}"/>
    <cellStyle name="Normal 2 2 9 2 2" xfId="24558" xr:uid="{EBEF1EF4-956C-46BD-9C8B-2332C5C36350}"/>
    <cellStyle name="Normal 2 2 9 2 3" xfId="24559" xr:uid="{09F5745C-A621-4C78-8283-46ADAE589548}"/>
    <cellStyle name="Normal 2 2 9 2 4" xfId="24560" xr:uid="{35F8C5D0-D5A4-4955-989F-365FED4FD95D}"/>
    <cellStyle name="Normal 2 2 9 2 5" xfId="24561" xr:uid="{9D08ADB0-2FA1-498B-8F53-478170B5633F}"/>
    <cellStyle name="Normal 2 2 9 2 6" xfId="24562" xr:uid="{7E361635-5EAB-40B4-A8A5-A2D9DDC01A4F}"/>
    <cellStyle name="Normal 2 2 9 3" xfId="24563" xr:uid="{3FF11A5D-164C-4A91-9B91-CA5B7AC87B4F}"/>
    <cellStyle name="Normal 2 2 9 3 2" xfId="24564" xr:uid="{1D536004-A1D1-43B0-A012-60F44CE4225E}"/>
    <cellStyle name="Normal 2 2 9 3 3" xfId="24565" xr:uid="{7DC60635-5D20-46E2-A04A-494E73EE12AD}"/>
    <cellStyle name="Normal 2 2 9 3 4" xfId="24566" xr:uid="{898EFD76-4497-4E11-AB6B-A74DF3684309}"/>
    <cellStyle name="Normal 2 2 9 3 5" xfId="24567" xr:uid="{871752FE-FF6B-4801-81D3-88867EF74016}"/>
    <cellStyle name="Normal 2 2 9 3 6" xfId="24568" xr:uid="{CA499D9C-7A95-46CF-83DA-3DBD0FF6DD79}"/>
    <cellStyle name="Normal 2 2 9 4" xfId="24569" xr:uid="{04F69169-D495-443D-99D3-F9A18B7BCB7A}"/>
    <cellStyle name="Normal 2 2 9 4 2" xfId="24570" xr:uid="{CC92DDDA-8A89-4B61-9581-BAA769C8F715}"/>
    <cellStyle name="Normal 2 2 9 4 3" xfId="24571" xr:uid="{CD97485B-2CD4-4447-B947-E4E1B0087FE4}"/>
    <cellStyle name="Normal 2 2 9 4 4" xfId="24572" xr:uid="{7C303A7A-1EFA-44AC-8873-D1279C782624}"/>
    <cellStyle name="Normal 2 2 9 4 5" xfId="24573" xr:uid="{53DCB823-DDE8-4409-9160-876E2E8C8C42}"/>
    <cellStyle name="Normal 2 2 9 4 6" xfId="24574" xr:uid="{2F7183B1-AAA5-4454-B636-8FF476C2B2BD}"/>
    <cellStyle name="Normal 2 2 9 5" xfId="24575" xr:uid="{2DFDE110-BE3E-4895-8096-9DFB37C55ADC}"/>
    <cellStyle name="Normal 2 2 9 5 2" xfId="24576" xr:uid="{0D999E4A-35DA-4140-8824-827AC4C4D172}"/>
    <cellStyle name="Normal 2 2 9 5 3" xfId="24577" xr:uid="{D8277109-2FB5-4FB6-90F6-AE168DB99AB0}"/>
    <cellStyle name="Normal 2 2 9 5 4" xfId="24578" xr:uid="{47C841AA-4F63-482A-BD52-7BCE3E8F212A}"/>
    <cellStyle name="Normal 2 2 9 5 5" xfId="24579" xr:uid="{A5F61AB0-A470-4D31-9FC3-CB96B9B5B9DC}"/>
    <cellStyle name="Normal 2 2 9 5 6" xfId="24580" xr:uid="{075FF18D-8E9C-47EE-AF9D-781380155348}"/>
    <cellStyle name="Normal 2 2 9 6" xfId="24581" xr:uid="{A3A6DBA0-FEBE-43CC-8254-738DD35497D2}"/>
    <cellStyle name="Normal 2 2 9 6 2" xfId="24582" xr:uid="{277A1EB0-73E7-4E2C-91DF-6D17F06AB96B}"/>
    <cellStyle name="Normal 2 2 9 6 3" xfId="24583" xr:uid="{B9BA85FD-BE7D-4C0A-8D14-950D48974B35}"/>
    <cellStyle name="Normal 2 2 9 6 4" xfId="24584" xr:uid="{529DED2C-7565-4119-9CAD-E5E4DCF0077B}"/>
    <cellStyle name="Normal 2 2 9 6 5" xfId="24585" xr:uid="{03373C6D-CBF4-4DB6-B602-AFF70E2B0CF9}"/>
    <cellStyle name="Normal 2 2 9 6 6" xfId="24586" xr:uid="{05D2AAAD-9E03-4391-9938-FED4F1C3415E}"/>
    <cellStyle name="Normal 2 2 9 7" xfId="24587" xr:uid="{E82E3DC3-C92F-46BB-88D3-EDA5198B49A7}"/>
    <cellStyle name="Normal 2 2 9 7 2" xfId="24588" xr:uid="{74EC1A27-8385-4578-B800-77088DACB438}"/>
    <cellStyle name="Normal 2 2 9 7 3" xfId="24589" xr:uid="{9CAD3151-F106-4963-856B-B0AC730ED3E3}"/>
    <cellStyle name="Normal 2 2 9 7 4" xfId="24590" xr:uid="{81BFE0D9-1A5E-40CB-A4DD-FE6B8DC2AA85}"/>
    <cellStyle name="Normal 2 2 9 7 5" xfId="24591" xr:uid="{E46E9B20-C27C-4B80-8815-ED105A3B5DB6}"/>
    <cellStyle name="Normal 2 2 9 7 6" xfId="24592" xr:uid="{600A906C-4D74-4BBF-A3BF-23DEB202DF48}"/>
    <cellStyle name="Normal 2 2 9 8" xfId="24593" xr:uid="{7F81AE73-66BF-43F2-8468-E3D960C1E6FD}"/>
    <cellStyle name="Normal 2 2 9 8 2" xfId="24594" xr:uid="{7DE43E37-F950-4810-B1F1-C0E07101E7AC}"/>
    <cellStyle name="Normal 2 2 9 8 3" xfId="24595" xr:uid="{2B03791B-9368-49E4-BBA5-6BA76745283E}"/>
    <cellStyle name="Normal 2 2 9 8 4" xfId="24596" xr:uid="{BBDEBBFB-5EC2-45A6-AFD8-F36B7C04D34F}"/>
    <cellStyle name="Normal 2 2 9 8 5" xfId="24597" xr:uid="{131EB889-F28E-4B91-90BB-EC801229B014}"/>
    <cellStyle name="Normal 2 2 9 8 6" xfId="24598" xr:uid="{6E804696-B8DF-4286-A11D-C9F3B5B5E9F6}"/>
    <cellStyle name="Normal 2 2 9 9" xfId="24599" xr:uid="{427E7A0D-DAF9-4B1D-873B-40D2281DA31E}"/>
    <cellStyle name="Normal 2 2 90" xfId="24600" xr:uid="{6015DD0E-5702-4ABE-BF48-1B473F505E31}"/>
    <cellStyle name="Normal 2 2 91" xfId="24601" xr:uid="{B87D1DD0-FD97-465B-9322-A5C0976BC75D}"/>
    <cellStyle name="Normal 2 2 91 2" xfId="24602" xr:uid="{2341951F-A6AD-429D-9278-BE175D2089E0}"/>
    <cellStyle name="Normal 2 2 91 3" xfId="24603" xr:uid="{6464A1B4-14F3-4A47-98DA-D664280BBCFA}"/>
    <cellStyle name="Normal 2 2 92" xfId="24604" xr:uid="{CA813C30-D0A4-40BC-A288-2481470F489B}"/>
    <cellStyle name="Normal 2 2 93" xfId="24605" xr:uid="{EB6707E6-41ED-4B0E-B773-2F8C9CDE4BEF}"/>
    <cellStyle name="Normal 2 2 94" xfId="24606" xr:uid="{3E93DC27-82BD-4A43-B4F8-347135EB6656}"/>
    <cellStyle name="Normal 2 2 95" xfId="24607" xr:uid="{21A46332-4240-4450-8073-F4366F000F80}"/>
    <cellStyle name="Normal 2 2 96" xfId="24608" xr:uid="{B0993DE4-409C-4A66-9993-5D87EC05FCA6}"/>
    <cellStyle name="Normal 2 2 97" xfId="24609" xr:uid="{A80D675F-80CB-439D-834F-8F3799C3E8C7}"/>
    <cellStyle name="Normal 2 2 98" xfId="24610" xr:uid="{90AD5F44-DB6E-40A4-A795-3B5ADC9F5D44}"/>
    <cellStyle name="Normal 2 2_Dados de Entrada" xfId="24611" xr:uid="{CF46965B-00E8-4FEF-8828-F8E4A0DCAEC6}"/>
    <cellStyle name="Normal 2 20" xfId="24612" xr:uid="{29856EBE-23CD-4068-98F7-B129CD88B046}"/>
    <cellStyle name="Normal 2 20 10" xfId="24613" xr:uid="{D00C36F5-5F48-4EA7-B0C9-7B568200855E}"/>
    <cellStyle name="Normal 2 20 11" xfId="24614" xr:uid="{037608DA-BA2C-427D-B3BD-31D1BF57F388}"/>
    <cellStyle name="Normal 2 20 12" xfId="24615" xr:uid="{0FAC966C-3986-4A0E-B7A6-7CD133A0F23A}"/>
    <cellStyle name="Normal 2 20 13" xfId="24616" xr:uid="{B1DB275B-45B8-43A4-8235-C34E1F756211}"/>
    <cellStyle name="Normal 2 20 14" xfId="24617" xr:uid="{400A0BB7-4EA6-4D56-9644-AD6CCC5D71FA}"/>
    <cellStyle name="Normal 2 20 15" xfId="24618" xr:uid="{30DFBA81-2CB6-44C5-9CC8-9E6C09288559}"/>
    <cellStyle name="Normal 2 20 16" xfId="24619" xr:uid="{BE238857-96B9-4858-A627-D5DEA36DABFC}"/>
    <cellStyle name="Normal 2 20 17" xfId="24620" xr:uid="{B87AB710-67BB-42B9-A1FA-0A9AB7B03F21}"/>
    <cellStyle name="Normal 2 20 18" xfId="24621" xr:uid="{EB64E840-D00F-4077-B9A1-714B1D9527E3}"/>
    <cellStyle name="Normal 2 20 19" xfId="24622" xr:uid="{C641FAFC-5C5E-4BE0-BE12-703D0C2310AE}"/>
    <cellStyle name="Normal 2 20 2" xfId="24623" xr:uid="{2DE7CE09-012D-4609-9B50-A2D92D9803DB}"/>
    <cellStyle name="Normal 2 20 20" xfId="24624" xr:uid="{398BB3A6-D470-4229-98E0-9A06F944CFF2}"/>
    <cellStyle name="Normal 2 20 21" xfId="24625" xr:uid="{AF1E998F-A3AC-44B0-BA23-CD5841F5736E}"/>
    <cellStyle name="Normal 2 20 22" xfId="24626" xr:uid="{CAB878CA-C896-41CD-9DAA-4DF228D46918}"/>
    <cellStyle name="Normal 2 20 23" xfId="24627" xr:uid="{DA95031B-BF30-42CF-9182-754A81D4FCD6}"/>
    <cellStyle name="Normal 2 20 24" xfId="24628" xr:uid="{94867DC5-8013-4E3E-81A1-EB5D48BAAE5F}"/>
    <cellStyle name="Normal 2 20 25" xfId="24629" xr:uid="{5A071D49-2231-467A-850A-4E3FA1097F64}"/>
    <cellStyle name="Normal 2 20 26" xfId="24630" xr:uid="{26F3E8DB-C1DC-4EFD-A848-F73D972A58A8}"/>
    <cellStyle name="Normal 2 20 27" xfId="24631" xr:uid="{0F3E482E-4B7F-49CA-81E6-E5DDF8CAD065}"/>
    <cellStyle name="Normal 2 20 28" xfId="24632" xr:uid="{DCD13268-881A-4268-AFA2-7A7F0DB4678C}"/>
    <cellStyle name="Normal 2 20 29" xfId="24633" xr:uid="{EFBFE75C-4FB3-4B19-B2A6-74964183CE7A}"/>
    <cellStyle name="Normal 2 20 3" xfId="24634" xr:uid="{866FE095-5755-4975-82D8-BF6FC6781087}"/>
    <cellStyle name="Normal 2 20 30" xfId="24635" xr:uid="{61E5D85C-1219-4484-B094-DF2D42F78B6C}"/>
    <cellStyle name="Normal 2 20 31" xfId="24636" xr:uid="{DE1B59EB-09C0-48DE-8226-E3E1B1622F66}"/>
    <cellStyle name="Normal 2 20 32" xfId="24637" xr:uid="{C344978D-1429-4F0F-9402-DA1A425CBBB4}"/>
    <cellStyle name="Normal 2 20 33" xfId="24638" xr:uid="{1D354883-E6C7-4BC7-80F4-6CF540E506C5}"/>
    <cellStyle name="Normal 2 20 34" xfId="24639" xr:uid="{BB9D20AD-BDB9-47C4-BB9D-5EBCDE8FBAB9}"/>
    <cellStyle name="Normal 2 20 35" xfId="24640" xr:uid="{42D0531C-8EAC-4B4B-BA5C-37B4529087DA}"/>
    <cellStyle name="Normal 2 20 36" xfId="24641" xr:uid="{F3B09460-6B5B-469F-BEDB-F23A7A1E8FEE}"/>
    <cellStyle name="Normal 2 20 37" xfId="24642" xr:uid="{F169F1A3-7FC3-4D47-BDDB-DBED4A298A3A}"/>
    <cellStyle name="Normal 2 20 38" xfId="24643" xr:uid="{5879D814-5620-44B7-959C-BE5FB3DF1B2C}"/>
    <cellStyle name="Normal 2 20 39" xfId="24644" xr:uid="{42DC0F81-35AE-40F8-B771-83C9ED402F57}"/>
    <cellStyle name="Normal 2 20 4" xfId="24645" xr:uid="{E306A942-EB11-46FD-A32B-C7E1CBEAC716}"/>
    <cellStyle name="Normal 2 20 40" xfId="24646" xr:uid="{1E661138-44D1-4DEC-B63D-9F1BA0237A19}"/>
    <cellStyle name="Normal 2 20 41" xfId="24647" xr:uid="{5273268E-339F-4795-BD19-C42C13DBD913}"/>
    <cellStyle name="Normal 2 20 42" xfId="24648" xr:uid="{0DE1C174-6D7D-4629-85A6-B8DBFAFB9CBD}"/>
    <cellStyle name="Normal 2 20 43" xfId="24649" xr:uid="{19B05DD2-55A5-4E8D-9A31-0D3C0A0CA119}"/>
    <cellStyle name="Normal 2 20 44" xfId="24650" xr:uid="{1A89B6D4-8A1B-4828-85AB-C459FC491D57}"/>
    <cellStyle name="Normal 2 20 45" xfId="24651" xr:uid="{25A91BA0-7D11-4DC0-8D46-B2FEEF884C56}"/>
    <cellStyle name="Normal 2 20 46" xfId="24652" xr:uid="{1A67C48D-06E9-4A26-BDA1-1CB3DAF0747D}"/>
    <cellStyle name="Normal 2 20 5" xfId="24653" xr:uid="{2B0F1603-1C27-4512-9CB5-D9FBB26C042B}"/>
    <cellStyle name="Normal 2 20 6" xfId="24654" xr:uid="{3160839F-AA8A-4EE3-A567-7AB5138A0EB6}"/>
    <cellStyle name="Normal 2 20 7" xfId="24655" xr:uid="{AB12AFED-0C7C-4613-BF18-D177A15647FE}"/>
    <cellStyle name="Normal 2 20 8" xfId="24656" xr:uid="{FDD199C0-9EE2-42EB-971B-453B20CE8091}"/>
    <cellStyle name="Normal 2 20 9" xfId="24657" xr:uid="{6D2C1FA2-9916-4894-8FAB-2511310D2120}"/>
    <cellStyle name="Normal 2 21" xfId="24658" xr:uid="{87FCB071-265C-4391-8581-3FA1DEE7276C}"/>
    <cellStyle name="Normal 2 21 10" xfId="24659" xr:uid="{C937E08A-DD93-46BF-9532-EBCEA3A091D3}"/>
    <cellStyle name="Normal 2 21 11" xfId="24660" xr:uid="{6F9053A8-234F-426C-A7DB-8EC54730CC18}"/>
    <cellStyle name="Normal 2 21 12" xfId="24661" xr:uid="{3AD86DEB-5DFF-4F83-B373-FF4E71A55D59}"/>
    <cellStyle name="Normal 2 21 13" xfId="24662" xr:uid="{E449E074-F3C8-41C9-BCF9-574734F867FE}"/>
    <cellStyle name="Normal 2 21 14" xfId="24663" xr:uid="{42A73EC1-E597-4F76-B4E0-6E5406564A94}"/>
    <cellStyle name="Normal 2 21 15" xfId="24664" xr:uid="{55D67C69-8BBC-4C05-BAE5-FB4D421233DF}"/>
    <cellStyle name="Normal 2 21 16" xfId="24665" xr:uid="{6A04DFC1-BDEC-451D-BA9E-7B0E0E707C0B}"/>
    <cellStyle name="Normal 2 21 17" xfId="24666" xr:uid="{2C84D2D1-081C-4D2B-BADB-48BD450E0496}"/>
    <cellStyle name="Normal 2 21 18" xfId="24667" xr:uid="{10FDFB94-E516-4BBD-B79D-B37E8BF8E7F6}"/>
    <cellStyle name="Normal 2 21 19" xfId="24668" xr:uid="{04675F7B-6734-44D6-9D26-005D23578035}"/>
    <cellStyle name="Normal 2 21 2" xfId="24669" xr:uid="{1FD0B8C6-5121-4AFA-A6C2-D23FE4B356B3}"/>
    <cellStyle name="Normal 2 21 2 10" xfId="24670" xr:uid="{786107FA-B7D8-423F-BCEE-A02F7D714DF9}"/>
    <cellStyle name="Normal 2 21 2 11" xfId="24671" xr:uid="{D91D5B05-AC27-45C0-8C79-9E17B0601A50}"/>
    <cellStyle name="Normal 2 21 2 12" xfId="24672" xr:uid="{71ADF742-7FF1-4A34-AB70-258D2A4AAAEE}"/>
    <cellStyle name="Normal 2 21 2 13" xfId="24673" xr:uid="{B09D68F2-3800-4A0B-8170-A756E2F9057C}"/>
    <cellStyle name="Normal 2 21 2 2" xfId="24674" xr:uid="{E322CC0C-0372-4D49-BFC4-FD061ECB98AE}"/>
    <cellStyle name="Normal 2 21 2 2 2" xfId="24675" xr:uid="{1C0BB604-3A90-4ECD-BFF7-090EFAE4C04C}"/>
    <cellStyle name="Normal 2 21 2 2 3" xfId="24676" xr:uid="{AF49B988-B244-4179-A949-FB4CC5319DCF}"/>
    <cellStyle name="Normal 2 21 2 2 4" xfId="24677" xr:uid="{85CD7017-F1C2-414C-AF94-CB6A6D155B7A}"/>
    <cellStyle name="Normal 2 21 2 2 5" xfId="24678" xr:uid="{A8ECB774-6413-4D21-A2F1-838EBE153D0F}"/>
    <cellStyle name="Normal 2 21 2 2 6" xfId="24679" xr:uid="{A270C93F-84B5-4046-A476-A25CA848E410}"/>
    <cellStyle name="Normal 2 21 2 3" xfId="24680" xr:uid="{899A4F0E-0E5E-48BF-8194-2DAFA9B8DAEF}"/>
    <cellStyle name="Normal 2 21 2 3 2" xfId="24681" xr:uid="{97B51529-9667-4B74-857C-A94322BE52D3}"/>
    <cellStyle name="Normal 2 21 2 3 3" xfId="24682" xr:uid="{48280E99-F0E9-4FBF-8622-399C78E446CE}"/>
    <cellStyle name="Normal 2 21 2 3 4" xfId="24683" xr:uid="{07091BAE-6C8C-4F0D-93E4-0E1BC17830DB}"/>
    <cellStyle name="Normal 2 21 2 3 5" xfId="24684" xr:uid="{BF77E31B-5683-4D7F-A10D-2AABEBF25176}"/>
    <cellStyle name="Normal 2 21 2 3 6" xfId="24685" xr:uid="{D1CB7868-BDD6-49A3-BD30-45359BFE1506}"/>
    <cellStyle name="Normal 2 21 2 4" xfId="24686" xr:uid="{7EA822FB-8D54-429A-B744-6A97BE8964B3}"/>
    <cellStyle name="Normal 2 21 2 4 2" xfId="24687" xr:uid="{3D2056F3-7567-42AC-94E0-27AB4BA595EE}"/>
    <cellStyle name="Normal 2 21 2 4 3" xfId="24688" xr:uid="{D3F2AC82-A579-4528-A9B5-A509F98FBB20}"/>
    <cellStyle name="Normal 2 21 2 4 4" xfId="24689" xr:uid="{7F63740C-39BA-4828-BCBF-C11DD5C5AE47}"/>
    <cellStyle name="Normal 2 21 2 4 5" xfId="24690" xr:uid="{CE4C22E4-24A8-41E0-97CD-E2B0CA570241}"/>
    <cellStyle name="Normal 2 21 2 4 6" xfId="24691" xr:uid="{18822020-2545-460F-B4D1-BC7332BBDAB6}"/>
    <cellStyle name="Normal 2 21 2 5" xfId="24692" xr:uid="{A9248B78-FB30-4851-977B-E0971BC4BFA6}"/>
    <cellStyle name="Normal 2 21 2 5 2" xfId="24693" xr:uid="{734E9A59-8A9F-4BB4-B705-F35822968580}"/>
    <cellStyle name="Normal 2 21 2 5 3" xfId="24694" xr:uid="{9E3C2CC9-0CC7-420D-BF07-37CE564E2366}"/>
    <cellStyle name="Normal 2 21 2 5 4" xfId="24695" xr:uid="{E1BD6F78-152E-45D2-995C-567E1F878149}"/>
    <cellStyle name="Normal 2 21 2 5 5" xfId="24696" xr:uid="{02F0CDC8-B8CC-4639-9A5A-1F2482831849}"/>
    <cellStyle name="Normal 2 21 2 5 6" xfId="24697" xr:uid="{65B6F5FC-8E7B-4AC4-893E-47EB40AD3FC1}"/>
    <cellStyle name="Normal 2 21 2 6" xfId="24698" xr:uid="{AEB1B917-7ECF-4965-B08B-55E5AAB84535}"/>
    <cellStyle name="Normal 2 21 2 6 2" xfId="24699" xr:uid="{12252F46-C562-4962-AE12-9CA3FBE4DDBD}"/>
    <cellStyle name="Normal 2 21 2 6 3" xfId="24700" xr:uid="{C7C9133A-633C-49EE-9F98-5CCF72568540}"/>
    <cellStyle name="Normal 2 21 2 6 4" xfId="24701" xr:uid="{EA40D6AF-D0BD-4004-8D40-346065B22993}"/>
    <cellStyle name="Normal 2 21 2 6 5" xfId="24702" xr:uid="{6ED8E6D1-F093-4252-88CA-AB0C96C7504E}"/>
    <cellStyle name="Normal 2 21 2 6 6" xfId="24703" xr:uid="{A7A1988D-B5E7-4A92-8E46-5C2CEDCE6864}"/>
    <cellStyle name="Normal 2 21 2 7" xfId="24704" xr:uid="{66475517-A630-44B0-A37A-8E5BC0709E72}"/>
    <cellStyle name="Normal 2 21 2 7 2" xfId="24705" xr:uid="{07BCE5CA-00DE-4F67-933B-EF0E3F2DA28F}"/>
    <cellStyle name="Normal 2 21 2 7 3" xfId="24706" xr:uid="{2DC4CA9D-3212-4EEC-91A4-678C12AEFBFC}"/>
    <cellStyle name="Normal 2 21 2 7 4" xfId="24707" xr:uid="{D4AF11E3-0A0C-4F52-95D3-58098C1B9E4F}"/>
    <cellStyle name="Normal 2 21 2 7 5" xfId="24708" xr:uid="{D039FBBA-0C76-47ED-A42F-C0346927A511}"/>
    <cellStyle name="Normal 2 21 2 7 6" xfId="24709" xr:uid="{621A1E08-9E37-406D-A57C-179ECFFF0958}"/>
    <cellStyle name="Normal 2 21 2 8" xfId="24710" xr:uid="{64C23526-1EA2-46D2-8CB3-EA4ED9AF9DE4}"/>
    <cellStyle name="Normal 2 21 2 8 2" xfId="24711" xr:uid="{7CF6B4A6-C346-4B2E-9A77-508AE2546151}"/>
    <cellStyle name="Normal 2 21 2 8 3" xfId="24712" xr:uid="{0E34F750-0AFB-4B2C-8281-C3DD6734247B}"/>
    <cellStyle name="Normal 2 21 2 8 4" xfId="24713" xr:uid="{0E2D65C2-225B-41F9-901C-521160C0B560}"/>
    <cellStyle name="Normal 2 21 2 8 5" xfId="24714" xr:uid="{DA1129B9-F679-426B-9CD6-598C657830B5}"/>
    <cellStyle name="Normal 2 21 2 8 6" xfId="24715" xr:uid="{15DAE22E-5F99-4383-8879-202364185BF5}"/>
    <cellStyle name="Normal 2 21 2 9" xfId="24716" xr:uid="{4E89801B-5CB2-4195-A7B0-4135E38859F4}"/>
    <cellStyle name="Normal 2 21 20" xfId="24717" xr:uid="{A827890C-72E0-490E-B898-3BC3A614E896}"/>
    <cellStyle name="Normal 2 21 21" xfId="24718" xr:uid="{DB84F934-01EC-443A-835D-88C48FA52F57}"/>
    <cellStyle name="Normal 2 21 22" xfId="24719" xr:uid="{3E04EBE4-3817-4C5E-94B0-A4556019E322}"/>
    <cellStyle name="Normal 2 21 23" xfId="24720" xr:uid="{0F16A0CE-1191-4F1F-A0B7-0D9FE3A79221}"/>
    <cellStyle name="Normal 2 21 24" xfId="24721" xr:uid="{03C4DE90-258A-4301-BFCD-65A96C96C9A8}"/>
    <cellStyle name="Normal 2 21 25" xfId="24722" xr:uid="{6E8C4C45-BBA3-40CD-8EFF-12621A977BC7}"/>
    <cellStyle name="Normal 2 21 26" xfId="24723" xr:uid="{66D41E66-51B3-42D9-98B8-F610CF40EE10}"/>
    <cellStyle name="Normal 2 21 27" xfId="24724" xr:uid="{10FFDB7D-DE86-444A-8290-6AE9DD4F910E}"/>
    <cellStyle name="Normal 2 21 28" xfId="24725" xr:uid="{02E0B588-ED91-4AE1-9A36-2C8AFD0CA3B0}"/>
    <cellStyle name="Normal 2 21 29" xfId="24726" xr:uid="{3E4437B7-AD0F-4B69-AE1D-DB3088AE557A}"/>
    <cellStyle name="Normal 2 21 3" xfId="24727" xr:uid="{DC0F9120-2866-40E5-AD53-9258FA7DCBE7}"/>
    <cellStyle name="Normal 2 21 3 10" xfId="24728" xr:uid="{9AFFA179-7C40-4C79-91F1-2195E534E715}"/>
    <cellStyle name="Normal 2 21 3 11" xfId="24729" xr:uid="{5D1E3549-E07F-4D29-BD44-6CCC6FD9C8D3}"/>
    <cellStyle name="Normal 2 21 3 12" xfId="24730" xr:uid="{AB2974C5-7BB4-48E9-B764-33A42D91729B}"/>
    <cellStyle name="Normal 2 21 3 13" xfId="24731" xr:uid="{4EB24B6E-1A35-4EC0-9AFC-9AC66D1BE074}"/>
    <cellStyle name="Normal 2 21 3 2" xfId="24732" xr:uid="{B9696E0C-06E7-4E2B-87D0-A84B68C3EA95}"/>
    <cellStyle name="Normal 2 21 3 2 2" xfId="24733" xr:uid="{EB5469E5-8CD9-4456-85A0-E9E9A2824EA2}"/>
    <cellStyle name="Normal 2 21 3 2 3" xfId="24734" xr:uid="{D94A5833-4FC7-4240-91ED-EE9057E003C7}"/>
    <cellStyle name="Normal 2 21 3 2 4" xfId="24735" xr:uid="{DE0E6C88-149C-4CBC-BC5F-D11E2DCC5B7B}"/>
    <cellStyle name="Normal 2 21 3 2 5" xfId="24736" xr:uid="{D64F7668-E13F-4038-9C6E-4B63DC3C6741}"/>
    <cellStyle name="Normal 2 21 3 2 6" xfId="24737" xr:uid="{DE26B090-D861-440F-97F3-F7A76644A768}"/>
    <cellStyle name="Normal 2 21 3 3" xfId="24738" xr:uid="{67AD6356-221C-4262-BEA9-6D96240BAB4C}"/>
    <cellStyle name="Normal 2 21 3 3 2" xfId="24739" xr:uid="{1AFF0D7E-BF05-4E63-BF1B-D8689C1EA3CA}"/>
    <cellStyle name="Normal 2 21 3 3 3" xfId="24740" xr:uid="{DE0771B2-33E9-4F1C-818B-07AAF90B189C}"/>
    <cellStyle name="Normal 2 21 3 3 4" xfId="24741" xr:uid="{29A52C89-C564-447D-ABCE-398924C99088}"/>
    <cellStyle name="Normal 2 21 3 3 5" xfId="24742" xr:uid="{BBB72D15-1757-4DAB-BFED-41030CA79BB7}"/>
    <cellStyle name="Normal 2 21 3 3 6" xfId="24743" xr:uid="{10B3EB5B-07D1-4ECA-B20A-7744048ACA32}"/>
    <cellStyle name="Normal 2 21 3 4" xfId="24744" xr:uid="{6FD7329A-94C9-4C1C-8C7D-09DD59A3BC6B}"/>
    <cellStyle name="Normal 2 21 3 4 2" xfId="24745" xr:uid="{6832053A-917A-4E25-B344-805822439B63}"/>
    <cellStyle name="Normal 2 21 3 4 3" xfId="24746" xr:uid="{8B2E2208-BFB1-4904-9280-8E8FF48DEE18}"/>
    <cellStyle name="Normal 2 21 3 4 4" xfId="24747" xr:uid="{37185EDF-26C9-42E7-B952-350B1D14B31E}"/>
    <cellStyle name="Normal 2 21 3 4 5" xfId="24748" xr:uid="{97879BDF-CAE5-4EFD-9A42-EA4055E07864}"/>
    <cellStyle name="Normal 2 21 3 4 6" xfId="24749" xr:uid="{09219371-FFCA-4CED-BE82-67880045B399}"/>
    <cellStyle name="Normal 2 21 3 5" xfId="24750" xr:uid="{4A956D27-0584-449D-8800-9E9367788DE4}"/>
    <cellStyle name="Normal 2 21 3 5 2" xfId="24751" xr:uid="{C7C27C0E-86A1-42AD-9A1A-9DEF56A41071}"/>
    <cellStyle name="Normal 2 21 3 5 3" xfId="24752" xr:uid="{FAA0FB26-2222-4E8E-8959-9700B5562ADD}"/>
    <cellStyle name="Normal 2 21 3 5 4" xfId="24753" xr:uid="{388D652E-C316-40A4-86FE-255BAE445723}"/>
    <cellStyle name="Normal 2 21 3 5 5" xfId="24754" xr:uid="{5ED13C26-215E-4824-914A-00A08DC48C3D}"/>
    <cellStyle name="Normal 2 21 3 5 6" xfId="24755" xr:uid="{473886DF-A8CF-47D2-AD20-8A242EAA1C3B}"/>
    <cellStyle name="Normal 2 21 3 6" xfId="24756" xr:uid="{17215669-8548-4E9C-B7CC-F8D9D3F1BFB7}"/>
    <cellStyle name="Normal 2 21 3 6 2" xfId="24757" xr:uid="{FA2167EC-38D7-4F8E-B654-A5D21CF58B18}"/>
    <cellStyle name="Normal 2 21 3 6 3" xfId="24758" xr:uid="{446788C6-8E85-4EE6-997D-BD10AB526A29}"/>
    <cellStyle name="Normal 2 21 3 6 4" xfId="24759" xr:uid="{42AD6135-F54C-466B-962F-5E7A3922D440}"/>
    <cellStyle name="Normal 2 21 3 6 5" xfId="24760" xr:uid="{41C7CA36-6B9A-4AB5-AF84-7D37C11AE7DE}"/>
    <cellStyle name="Normal 2 21 3 6 6" xfId="24761" xr:uid="{8B2FFEDB-51C3-4A0E-9A6E-6E11676A05A2}"/>
    <cellStyle name="Normal 2 21 3 7" xfId="24762" xr:uid="{EBC41CF5-3281-422A-BE18-E84ED014A1A6}"/>
    <cellStyle name="Normal 2 21 3 7 2" xfId="24763" xr:uid="{85FE984A-832E-44A8-AF0B-49579D0BDC61}"/>
    <cellStyle name="Normal 2 21 3 7 3" xfId="24764" xr:uid="{398B0981-7135-4666-AD47-217394013912}"/>
    <cellStyle name="Normal 2 21 3 7 4" xfId="24765" xr:uid="{4F8A7282-A04E-4F1A-83BC-1BB360090844}"/>
    <cellStyle name="Normal 2 21 3 7 5" xfId="24766" xr:uid="{DB1A7E5C-2758-470F-B87A-9E027A54F38F}"/>
    <cellStyle name="Normal 2 21 3 7 6" xfId="24767" xr:uid="{E9B95AFB-9054-477B-A7D6-0D571D1C438F}"/>
    <cellStyle name="Normal 2 21 3 8" xfId="24768" xr:uid="{5763885F-58D8-4A96-A326-DBFB24150B3D}"/>
    <cellStyle name="Normal 2 21 3 8 2" xfId="24769" xr:uid="{B0C037E2-F476-4AE2-B868-5A22D6A4A005}"/>
    <cellStyle name="Normal 2 21 3 8 3" xfId="24770" xr:uid="{445EB839-43DD-4FF4-BFF8-147EB341ADFB}"/>
    <cellStyle name="Normal 2 21 3 8 4" xfId="24771" xr:uid="{5D53DA56-65D3-4FD1-BB4B-5330DE29DB5F}"/>
    <cellStyle name="Normal 2 21 3 8 5" xfId="24772" xr:uid="{DD6746B6-A1DB-4109-AB5E-425DBD34439E}"/>
    <cellStyle name="Normal 2 21 3 8 6" xfId="24773" xr:uid="{BEC9D043-0321-47AC-AA85-16C811AA36D8}"/>
    <cellStyle name="Normal 2 21 3 9" xfId="24774" xr:uid="{D5D01EDF-4ACD-4051-9E60-AB838B583FBB}"/>
    <cellStyle name="Normal 2 21 30" xfId="24775" xr:uid="{67175610-1485-4E00-929F-CA29C5B3C5D9}"/>
    <cellStyle name="Normal 2 21 31" xfId="24776" xr:uid="{5C77F4F1-38D6-4E20-99C2-7B62124E68A5}"/>
    <cellStyle name="Normal 2 21 32" xfId="24777" xr:uid="{61FFB903-7202-4BEB-AA15-92BE8448A0BD}"/>
    <cellStyle name="Normal 2 21 33" xfId="24778" xr:uid="{2E2866A0-F1E2-47E4-885A-41576A6B2D6D}"/>
    <cellStyle name="Normal 2 21 34" xfId="24779" xr:uid="{8FC0BEB8-8F1B-4D16-8263-461A18A4954D}"/>
    <cellStyle name="Normal 2 21 35" xfId="24780" xr:uid="{7839BFE7-AAAA-445A-8D46-DB87D59878AC}"/>
    <cellStyle name="Normal 2 21 36" xfId="24781" xr:uid="{662DB3E3-0C3C-4948-8C73-0313A617B507}"/>
    <cellStyle name="Normal 2 21 37" xfId="24782" xr:uid="{09C4ED96-09F9-4A96-8621-FDF11D15C9AC}"/>
    <cellStyle name="Normal 2 21 38" xfId="24783" xr:uid="{EB7D77F5-B418-48B3-8436-2997BCBEA91D}"/>
    <cellStyle name="Normal 2 21 39" xfId="24784" xr:uid="{F35CDCD7-95DA-4524-8A6D-347AE30BF734}"/>
    <cellStyle name="Normal 2 21 4" xfId="24785" xr:uid="{27471DF8-57A9-44B6-830D-325BF8BDAEBB}"/>
    <cellStyle name="Normal 2 21 4 10" xfId="24786" xr:uid="{9C6EB8A1-C257-4EA2-A25A-27BA8D7FAC3E}"/>
    <cellStyle name="Normal 2 21 4 11" xfId="24787" xr:uid="{860C7D43-D04F-4241-9EB2-A89ADC43F337}"/>
    <cellStyle name="Normal 2 21 4 12" xfId="24788" xr:uid="{792BB054-8E1A-4EF1-ABF2-7292108A0D3C}"/>
    <cellStyle name="Normal 2 21 4 13" xfId="24789" xr:uid="{DB2B134E-B4F1-4F90-846E-CCF6EADB4477}"/>
    <cellStyle name="Normal 2 21 4 2" xfId="24790" xr:uid="{AD748729-584D-4F0B-9D66-62A79614B678}"/>
    <cellStyle name="Normal 2 21 4 2 2" xfId="24791" xr:uid="{B93DA6CE-0A67-4CD8-80B6-A75443BED4B0}"/>
    <cellStyle name="Normal 2 21 4 2 3" xfId="24792" xr:uid="{CB5D6187-4BD2-442B-AFA3-0ABC1067CA21}"/>
    <cellStyle name="Normal 2 21 4 2 4" xfId="24793" xr:uid="{49588C3F-D657-4013-A0EC-3830D2E76AEA}"/>
    <cellStyle name="Normal 2 21 4 2 5" xfId="24794" xr:uid="{6CD90285-C794-4588-9A69-B89C5D3041F5}"/>
    <cellStyle name="Normal 2 21 4 2 6" xfId="24795" xr:uid="{2DE65365-FDCA-4E97-B461-FAC0AF1CBBA1}"/>
    <cellStyle name="Normal 2 21 4 3" xfId="24796" xr:uid="{2ABC0BFE-42BE-4571-9A1C-37A905B9F514}"/>
    <cellStyle name="Normal 2 21 4 3 2" xfId="24797" xr:uid="{22063827-BD54-4DD7-BE3A-50DA29BF4F78}"/>
    <cellStyle name="Normal 2 21 4 3 3" xfId="24798" xr:uid="{F22DC203-873D-4E61-B03B-49AB938BD911}"/>
    <cellStyle name="Normal 2 21 4 3 4" xfId="24799" xr:uid="{ED6D4D89-4CDD-4019-A52F-3966EBD554FD}"/>
    <cellStyle name="Normal 2 21 4 3 5" xfId="24800" xr:uid="{308634C9-968D-4715-B738-BCB99B7DB9A1}"/>
    <cellStyle name="Normal 2 21 4 3 6" xfId="24801" xr:uid="{6CF5E667-5D02-41B7-B8A0-92C3CAB918A7}"/>
    <cellStyle name="Normal 2 21 4 4" xfId="24802" xr:uid="{DAC1F58B-5608-4FCA-A125-237593ECA4A3}"/>
    <cellStyle name="Normal 2 21 4 4 2" xfId="24803" xr:uid="{57B876A0-86BF-4AA0-8936-60EDC45A0157}"/>
    <cellStyle name="Normal 2 21 4 4 3" xfId="24804" xr:uid="{A423C1F5-69B0-4D42-B299-3E31AB84F059}"/>
    <cellStyle name="Normal 2 21 4 4 4" xfId="24805" xr:uid="{9347BAED-EC05-4AA6-B62B-BF56E4578DB3}"/>
    <cellStyle name="Normal 2 21 4 4 5" xfId="24806" xr:uid="{A994FD2D-61EF-4281-8A72-05295AB3DE03}"/>
    <cellStyle name="Normal 2 21 4 4 6" xfId="24807" xr:uid="{1CED5A65-EB70-4195-9BA9-843633C9E986}"/>
    <cellStyle name="Normal 2 21 4 5" xfId="24808" xr:uid="{D00BC0FA-7BA6-43D2-8E58-C0430D3C8ADD}"/>
    <cellStyle name="Normal 2 21 4 5 2" xfId="24809" xr:uid="{AB1EF9E3-C665-4C97-A72A-9CE55517BB57}"/>
    <cellStyle name="Normal 2 21 4 5 3" xfId="24810" xr:uid="{AFAE8B17-3873-40DE-B379-638D8545F690}"/>
    <cellStyle name="Normal 2 21 4 5 4" xfId="24811" xr:uid="{9F2FB469-AC5A-4D2A-BCB2-DCD74CF12603}"/>
    <cellStyle name="Normal 2 21 4 5 5" xfId="24812" xr:uid="{C6B62099-E2C1-4983-9143-99F98A538A17}"/>
    <cellStyle name="Normal 2 21 4 5 6" xfId="24813" xr:uid="{BC336FAD-F2B4-4FDF-8B22-2C7EBA28F79A}"/>
    <cellStyle name="Normal 2 21 4 6" xfId="24814" xr:uid="{FB92AFA5-26DF-40D4-B634-F19CF9FAB17F}"/>
    <cellStyle name="Normal 2 21 4 6 2" xfId="24815" xr:uid="{4686FC12-ED5C-4F4F-9482-0244A7F3FE22}"/>
    <cellStyle name="Normal 2 21 4 6 3" xfId="24816" xr:uid="{FADEA4CA-DA20-4565-AD07-C9D7C1D8EB6D}"/>
    <cellStyle name="Normal 2 21 4 6 4" xfId="24817" xr:uid="{4988FFB0-4F55-4FCC-93A9-6CC24897426B}"/>
    <cellStyle name="Normal 2 21 4 6 5" xfId="24818" xr:uid="{5A1ACEA7-D162-4B2A-874B-40171145A42A}"/>
    <cellStyle name="Normal 2 21 4 6 6" xfId="24819" xr:uid="{9AE12010-D423-419C-86B8-71FA6E0EAB3C}"/>
    <cellStyle name="Normal 2 21 4 7" xfId="24820" xr:uid="{68C71EAE-B6BD-4055-AFF3-D882380E9CC3}"/>
    <cellStyle name="Normal 2 21 4 7 2" xfId="24821" xr:uid="{04851B59-4649-4FF0-A5D7-2F2E9E7B98DA}"/>
    <cellStyle name="Normal 2 21 4 7 3" xfId="24822" xr:uid="{EFAB0670-BB15-4BC0-BB8E-72EA72FEBC59}"/>
    <cellStyle name="Normal 2 21 4 7 4" xfId="24823" xr:uid="{4A00431E-A4A7-4654-BA2F-74EF9DBAF20B}"/>
    <cellStyle name="Normal 2 21 4 7 5" xfId="24824" xr:uid="{DD1AB916-DE93-430A-89C7-FD2775F28AAE}"/>
    <cellStyle name="Normal 2 21 4 7 6" xfId="24825" xr:uid="{3D91D67C-124F-4B0A-BE50-A32A068629EE}"/>
    <cellStyle name="Normal 2 21 4 8" xfId="24826" xr:uid="{39FC3FE6-00FF-4B8D-B313-D4E03C26A7FD}"/>
    <cellStyle name="Normal 2 21 4 8 2" xfId="24827" xr:uid="{7E0C7DF4-8702-4745-8E1B-2C18B6893804}"/>
    <cellStyle name="Normal 2 21 4 8 3" xfId="24828" xr:uid="{87246472-E1E6-4DFB-8075-3AB89FAD5CF4}"/>
    <cellStyle name="Normal 2 21 4 8 4" xfId="24829" xr:uid="{AAC8BC9E-4DFA-470A-A9BE-CE2628EC3321}"/>
    <cellStyle name="Normal 2 21 4 8 5" xfId="24830" xr:uid="{F271B960-63A1-440E-B884-7C6051CD197B}"/>
    <cellStyle name="Normal 2 21 4 8 6" xfId="24831" xr:uid="{4B6951B2-3F1B-4354-84C8-CF3DE7855D1F}"/>
    <cellStyle name="Normal 2 21 4 9" xfId="24832" xr:uid="{D23D5AD6-025D-4F83-A603-E7E8F4AB8721}"/>
    <cellStyle name="Normal 2 21 40" xfId="24833" xr:uid="{51758F88-2537-4B17-B9A5-329F53CF8B29}"/>
    <cellStyle name="Normal 2 21 41" xfId="24834" xr:uid="{8FFFA1AA-650F-4823-ACDB-411EF23047DD}"/>
    <cellStyle name="Normal 2 21 42" xfId="24835" xr:uid="{8045BBD2-5030-47DD-BE48-8AB0C716C61E}"/>
    <cellStyle name="Normal 2 21 43" xfId="24836" xr:uid="{7193966A-199D-4D2B-837A-A282C817750E}"/>
    <cellStyle name="Normal 2 21 44" xfId="24837" xr:uid="{BAD2C39C-20FA-4F71-B9AF-20A0F3ECF316}"/>
    <cellStyle name="Normal 2 21 45" xfId="24838" xr:uid="{4D00385E-9348-4625-8C48-81FAC56998B0}"/>
    <cellStyle name="Normal 2 21 46" xfId="24839" xr:uid="{C4C5F8A6-37D1-4075-8BB1-029019436C63}"/>
    <cellStyle name="Normal 2 21 47" xfId="24840" xr:uid="{EE3CAECF-8602-434D-A2B4-07F29D952D73}"/>
    <cellStyle name="Normal 2 21 48" xfId="24841" xr:uid="{AB844FAA-AC62-4D85-844D-C27858A94A34}"/>
    <cellStyle name="Normal 2 21 49" xfId="24842" xr:uid="{E874D054-B5C6-45F3-B0E5-6755694076C0}"/>
    <cellStyle name="Normal 2 21 5" xfId="24843" xr:uid="{63E0FEA9-A3C9-4C74-B7EE-937AB6E080EE}"/>
    <cellStyle name="Normal 2 21 5 10" xfId="24844" xr:uid="{2137FAA3-0920-481F-BCF7-22D6831BA164}"/>
    <cellStyle name="Normal 2 21 5 11" xfId="24845" xr:uid="{7F2B1E47-F541-4ACC-8D2D-528C6602E48C}"/>
    <cellStyle name="Normal 2 21 5 12" xfId="24846" xr:uid="{1D45453B-5AA0-4E39-A961-B61D5090CB0E}"/>
    <cellStyle name="Normal 2 21 5 13" xfId="24847" xr:uid="{E1D5D93D-CAF9-4A06-BDE7-0B71400BAF23}"/>
    <cellStyle name="Normal 2 21 5 2" xfId="24848" xr:uid="{CA08F34B-1ADF-4EC0-9537-5377253BEF55}"/>
    <cellStyle name="Normal 2 21 5 2 2" xfId="24849" xr:uid="{108710F1-6B5E-43DB-A17B-AA549C58C5A9}"/>
    <cellStyle name="Normal 2 21 5 2 3" xfId="24850" xr:uid="{48165368-523C-40B7-A443-2ABECCFFB259}"/>
    <cellStyle name="Normal 2 21 5 2 4" xfId="24851" xr:uid="{5655B54D-87B7-4270-9B6C-7D4D8BE179CE}"/>
    <cellStyle name="Normal 2 21 5 2 5" xfId="24852" xr:uid="{D921C217-6881-40F5-8722-F7EBE2FD48A7}"/>
    <cellStyle name="Normal 2 21 5 2 6" xfId="24853" xr:uid="{F9A4EEDB-FDAC-41C2-B633-80323BA947FF}"/>
    <cellStyle name="Normal 2 21 5 3" xfId="24854" xr:uid="{30232811-F003-41CC-8739-8840884A414C}"/>
    <cellStyle name="Normal 2 21 5 3 2" xfId="24855" xr:uid="{606CAAF9-623C-4837-8AD4-1CD3ACC0B146}"/>
    <cellStyle name="Normal 2 21 5 3 3" xfId="24856" xr:uid="{63FAC302-C599-4D42-BC43-E184CE23BF7F}"/>
    <cellStyle name="Normal 2 21 5 3 4" xfId="24857" xr:uid="{134792D4-54EA-46A7-881A-E2DC5F1944A0}"/>
    <cellStyle name="Normal 2 21 5 3 5" xfId="24858" xr:uid="{D381E4E6-B1E8-4782-B373-F90E6F54A69B}"/>
    <cellStyle name="Normal 2 21 5 3 6" xfId="24859" xr:uid="{E941E90E-D0ED-4769-88F5-D4B752306D4E}"/>
    <cellStyle name="Normal 2 21 5 4" xfId="24860" xr:uid="{DE5E8C8D-170E-4ADB-A59D-DA163AEAE450}"/>
    <cellStyle name="Normal 2 21 5 4 2" xfId="24861" xr:uid="{6DCD5DC9-5666-454F-9D8F-2CA147E1F9B8}"/>
    <cellStyle name="Normal 2 21 5 4 3" xfId="24862" xr:uid="{C9521F80-E363-4F13-9415-946860E2A45A}"/>
    <cellStyle name="Normal 2 21 5 4 4" xfId="24863" xr:uid="{A1F98383-5D06-491D-BEC1-685D2564AE6B}"/>
    <cellStyle name="Normal 2 21 5 4 5" xfId="24864" xr:uid="{A5D31748-2D23-4678-8921-4FC0B50C8263}"/>
    <cellStyle name="Normal 2 21 5 4 6" xfId="24865" xr:uid="{364616F0-8033-40D3-859E-9EE3AFD4A5C5}"/>
    <cellStyle name="Normal 2 21 5 5" xfId="24866" xr:uid="{E64A5FBD-1E2B-43DF-9F53-9301A8328AD1}"/>
    <cellStyle name="Normal 2 21 5 5 2" xfId="24867" xr:uid="{8705D8B4-0CDA-4B2A-9445-756D376CFA48}"/>
    <cellStyle name="Normal 2 21 5 5 3" xfId="24868" xr:uid="{82A54829-1937-44CE-8C7F-5EABE3A22658}"/>
    <cellStyle name="Normal 2 21 5 5 4" xfId="24869" xr:uid="{2C033EC7-3D68-4C99-9C7D-222B51D61061}"/>
    <cellStyle name="Normal 2 21 5 5 5" xfId="24870" xr:uid="{FE033CAE-380D-4FEC-BE94-988AE9C3A101}"/>
    <cellStyle name="Normal 2 21 5 5 6" xfId="24871" xr:uid="{103FF821-26D3-4FBC-AA32-CCB262E82305}"/>
    <cellStyle name="Normal 2 21 5 6" xfId="24872" xr:uid="{DA86F160-A37A-4CDC-966E-3002E920930F}"/>
    <cellStyle name="Normal 2 21 5 6 2" xfId="24873" xr:uid="{812C8178-1A9B-4FFA-A7FA-E996E342A89C}"/>
    <cellStyle name="Normal 2 21 5 6 3" xfId="24874" xr:uid="{5B9547A0-C13B-4EDB-8C62-19834166F29C}"/>
    <cellStyle name="Normal 2 21 5 6 4" xfId="24875" xr:uid="{921D4036-8C7C-4708-90DD-497E971308C7}"/>
    <cellStyle name="Normal 2 21 5 6 5" xfId="24876" xr:uid="{BA34D7B5-15AF-463B-92C0-51FFC7E991FA}"/>
    <cellStyle name="Normal 2 21 5 6 6" xfId="24877" xr:uid="{90330C71-CE8D-4C95-98F6-0AD1AE2C6561}"/>
    <cellStyle name="Normal 2 21 5 7" xfId="24878" xr:uid="{5B893FF0-F835-4636-9E08-FD0014BF854A}"/>
    <cellStyle name="Normal 2 21 5 7 2" xfId="24879" xr:uid="{81014628-1839-4E6A-B5B1-82D70B39D162}"/>
    <cellStyle name="Normal 2 21 5 7 3" xfId="24880" xr:uid="{FAEE1706-7D42-4B12-BEC5-26E647FE3843}"/>
    <cellStyle name="Normal 2 21 5 7 4" xfId="24881" xr:uid="{C8320A57-6D35-48FE-97CE-FFB8399819AF}"/>
    <cellStyle name="Normal 2 21 5 7 5" xfId="24882" xr:uid="{6601841A-A1D8-4D24-9540-59174A82797D}"/>
    <cellStyle name="Normal 2 21 5 7 6" xfId="24883" xr:uid="{427897AB-E637-403B-A1E5-F6B13C45441B}"/>
    <cellStyle name="Normal 2 21 5 8" xfId="24884" xr:uid="{1CA41AFA-A2C9-4F3C-B0B2-012B0F1A5773}"/>
    <cellStyle name="Normal 2 21 5 8 2" xfId="24885" xr:uid="{FF84D0FA-EB76-4C5A-800F-3C92F27AEC03}"/>
    <cellStyle name="Normal 2 21 5 8 3" xfId="24886" xr:uid="{E842F7CD-AFC3-4515-801A-F2A58F4604EE}"/>
    <cellStyle name="Normal 2 21 5 8 4" xfId="24887" xr:uid="{44E14FD3-9588-455C-AF48-3FBC296E32EE}"/>
    <cellStyle name="Normal 2 21 5 8 5" xfId="24888" xr:uid="{53C216D4-1C2E-4F52-8238-135992A30176}"/>
    <cellStyle name="Normal 2 21 5 8 6" xfId="24889" xr:uid="{57A0F2D1-E013-4D4A-BE4E-78A9677241E3}"/>
    <cellStyle name="Normal 2 21 5 9" xfId="24890" xr:uid="{78229A0A-5A03-440F-96BF-02126F442940}"/>
    <cellStyle name="Normal 2 21 50" xfId="24891" xr:uid="{48E9CE6C-B8DC-4914-9422-D59919D5891D}"/>
    <cellStyle name="Normal 2 21 51" xfId="24892" xr:uid="{31CDD7C5-7B08-4B32-914C-EADB8EAD81E6}"/>
    <cellStyle name="Normal 2 21 52" xfId="24893" xr:uid="{48530C61-D18D-4C0D-864A-2B48B828D2C8}"/>
    <cellStyle name="Normal 2 21 6" xfId="24894" xr:uid="{487FA885-E7D6-4FC1-947A-8265814303B7}"/>
    <cellStyle name="Normal 2 21 6 10" xfId="24895" xr:uid="{B414612E-6841-4404-AF66-3D34CDAD5356}"/>
    <cellStyle name="Normal 2 21 6 11" xfId="24896" xr:uid="{2DEF42FD-2AB8-4942-895B-8AD726BE61EE}"/>
    <cellStyle name="Normal 2 21 6 12" xfId="24897" xr:uid="{B9024BB9-1E1F-4EAB-8C78-046DED6380A7}"/>
    <cellStyle name="Normal 2 21 6 13" xfId="24898" xr:uid="{43D60CB9-21A8-4C07-AE1C-9E8C55133208}"/>
    <cellStyle name="Normal 2 21 6 2" xfId="24899" xr:uid="{8E8662C1-0C4F-415B-9986-BA3F459F7C21}"/>
    <cellStyle name="Normal 2 21 6 2 2" xfId="24900" xr:uid="{FF79D7F3-6B89-4216-8260-A668A0A211DE}"/>
    <cellStyle name="Normal 2 21 6 2 3" xfId="24901" xr:uid="{80FE3A14-541D-4B53-888A-FD534A29914E}"/>
    <cellStyle name="Normal 2 21 6 2 4" xfId="24902" xr:uid="{54B5DB17-7807-4BCA-80A3-9929450F3561}"/>
    <cellStyle name="Normal 2 21 6 2 5" xfId="24903" xr:uid="{177150E7-164D-4F27-AB8C-6CFDFC8A5482}"/>
    <cellStyle name="Normal 2 21 6 2 6" xfId="24904" xr:uid="{3D9CD58B-B65E-48C1-A93B-BD9CE5049FEE}"/>
    <cellStyle name="Normal 2 21 6 3" xfId="24905" xr:uid="{E152C172-8856-4447-861E-7301415C639C}"/>
    <cellStyle name="Normal 2 21 6 3 2" xfId="24906" xr:uid="{8BCADE95-912F-4D90-BFE8-B6C1E98E30F7}"/>
    <cellStyle name="Normal 2 21 6 3 3" xfId="24907" xr:uid="{61EAB676-A88C-4A7D-B26A-A8F5E864A73B}"/>
    <cellStyle name="Normal 2 21 6 3 4" xfId="24908" xr:uid="{0663A9E7-E2F8-443F-8E47-27E44482F99C}"/>
    <cellStyle name="Normal 2 21 6 3 5" xfId="24909" xr:uid="{A9FF4402-DE32-4D5E-8C3A-D1DBC49C2AF4}"/>
    <cellStyle name="Normal 2 21 6 3 6" xfId="24910" xr:uid="{7A6E4A93-5B9F-4302-A728-EDF7FD9A0BE7}"/>
    <cellStyle name="Normal 2 21 6 4" xfId="24911" xr:uid="{064C68D7-8C19-416C-811C-5B7E46F97249}"/>
    <cellStyle name="Normal 2 21 6 4 2" xfId="24912" xr:uid="{6063F756-3B56-4FBB-BBB7-6C174C67F85F}"/>
    <cellStyle name="Normal 2 21 6 4 3" xfId="24913" xr:uid="{75B7AAA5-C7FF-4B29-A86E-E2320FD808BC}"/>
    <cellStyle name="Normal 2 21 6 4 4" xfId="24914" xr:uid="{4C45C49E-DBDA-457C-95D3-800877782429}"/>
    <cellStyle name="Normal 2 21 6 4 5" xfId="24915" xr:uid="{08DEC316-A631-4AB1-997F-A3DD53F1E5E5}"/>
    <cellStyle name="Normal 2 21 6 4 6" xfId="24916" xr:uid="{63713541-40C2-4C53-A0AE-916D0FEFCC86}"/>
    <cellStyle name="Normal 2 21 6 5" xfId="24917" xr:uid="{7058E623-81AE-47B1-A628-86F1DFAFAFF3}"/>
    <cellStyle name="Normal 2 21 6 5 2" xfId="24918" xr:uid="{CDB4082B-A65B-48BF-BF0B-6A069714D0B5}"/>
    <cellStyle name="Normal 2 21 6 5 3" xfId="24919" xr:uid="{2C688F67-5B59-4F96-A00C-CF8EA741A991}"/>
    <cellStyle name="Normal 2 21 6 5 4" xfId="24920" xr:uid="{5F57F3E6-8FC5-40A8-8F08-E9646B529196}"/>
    <cellStyle name="Normal 2 21 6 5 5" xfId="24921" xr:uid="{F1020576-C05C-4158-AA61-90D9DDE2412D}"/>
    <cellStyle name="Normal 2 21 6 5 6" xfId="24922" xr:uid="{B6AD4386-28A2-4098-9D16-B666AB2D3D86}"/>
    <cellStyle name="Normal 2 21 6 6" xfId="24923" xr:uid="{9C24A91D-D115-41CF-8260-7A1662444FFE}"/>
    <cellStyle name="Normal 2 21 6 6 2" xfId="24924" xr:uid="{A583C404-DF7E-4B34-9AA1-B395A8F2335E}"/>
    <cellStyle name="Normal 2 21 6 6 3" xfId="24925" xr:uid="{006F7C8C-7AAF-4C35-9D31-E6BF92C6A548}"/>
    <cellStyle name="Normal 2 21 6 6 4" xfId="24926" xr:uid="{08F1F848-4122-4877-9C17-0A6A8B4C4166}"/>
    <cellStyle name="Normal 2 21 6 6 5" xfId="24927" xr:uid="{0E330AD2-DFB5-4204-9118-82243EA3AD25}"/>
    <cellStyle name="Normal 2 21 6 6 6" xfId="24928" xr:uid="{1D410F19-F53F-423F-83EA-0949E230FD61}"/>
    <cellStyle name="Normal 2 21 6 7" xfId="24929" xr:uid="{56F8C46A-077A-42FE-9C1C-CF8473939494}"/>
    <cellStyle name="Normal 2 21 6 7 2" xfId="24930" xr:uid="{648CB27E-77AF-4D92-9A44-124D20A391D5}"/>
    <cellStyle name="Normal 2 21 6 7 3" xfId="24931" xr:uid="{75ED0184-D06A-4517-A5EE-F728B5F4BE9A}"/>
    <cellStyle name="Normal 2 21 6 7 4" xfId="24932" xr:uid="{6C036032-9B0B-4AE4-B410-15E05A9B1336}"/>
    <cellStyle name="Normal 2 21 6 7 5" xfId="24933" xr:uid="{0ECAB827-C7A8-4E9D-9BDB-7277F81575FD}"/>
    <cellStyle name="Normal 2 21 6 7 6" xfId="24934" xr:uid="{1517F238-3D96-4995-AC3D-3DCABD08620A}"/>
    <cellStyle name="Normal 2 21 6 8" xfId="24935" xr:uid="{0D3FB4EC-611A-4342-AAEC-9840CB07FBB9}"/>
    <cellStyle name="Normal 2 21 6 8 2" xfId="24936" xr:uid="{8FF1599E-95F3-4C0D-B64E-0395EADE8240}"/>
    <cellStyle name="Normal 2 21 6 8 3" xfId="24937" xr:uid="{BEE9E7E3-FBBA-4DCD-A7D2-66F25C3C28A7}"/>
    <cellStyle name="Normal 2 21 6 8 4" xfId="24938" xr:uid="{73383460-CE59-4056-9384-3F6D60B4BDC7}"/>
    <cellStyle name="Normal 2 21 6 8 5" xfId="24939" xr:uid="{878C7D75-1DC0-45CE-8C6B-3249744AA000}"/>
    <cellStyle name="Normal 2 21 6 8 6" xfId="24940" xr:uid="{DC9F4DB1-CB60-4423-A6B6-DAC85EAF8E3D}"/>
    <cellStyle name="Normal 2 21 6 9" xfId="24941" xr:uid="{3712F186-0BD1-442C-A56B-037C4B8FB06A}"/>
    <cellStyle name="Normal 2 21 7" xfId="24942" xr:uid="{7C082F2F-A918-4AFE-BBB0-6E9EAE744AB4}"/>
    <cellStyle name="Normal 2 21 7 10" xfId="24943" xr:uid="{855D601E-1551-4CF0-8D07-C855D62CA6D3}"/>
    <cellStyle name="Normal 2 21 7 11" xfId="24944" xr:uid="{D6FB7B02-96B4-4FD7-9F3A-52F4BA35E6A7}"/>
    <cellStyle name="Normal 2 21 7 12" xfId="24945" xr:uid="{BA725125-35BD-43A4-B843-2EA814B7AD2A}"/>
    <cellStyle name="Normal 2 21 7 13" xfId="24946" xr:uid="{C18E8F4A-AB2D-4E72-B039-6597366EA7A2}"/>
    <cellStyle name="Normal 2 21 7 2" xfId="24947" xr:uid="{D4D1BCD0-E055-4202-821F-DEF07541A9B5}"/>
    <cellStyle name="Normal 2 21 7 2 2" xfId="24948" xr:uid="{0F9E5FD1-B701-4002-AF36-162A3ED6E13D}"/>
    <cellStyle name="Normal 2 21 7 2 3" xfId="24949" xr:uid="{1061331E-733F-491B-8556-D269681FF482}"/>
    <cellStyle name="Normal 2 21 7 2 4" xfId="24950" xr:uid="{552AA49A-79CD-4366-8824-0421C1EE9EAD}"/>
    <cellStyle name="Normal 2 21 7 2 5" xfId="24951" xr:uid="{62A0171B-E8B2-4FDC-95B9-0B411BD7A877}"/>
    <cellStyle name="Normal 2 21 7 2 6" xfId="24952" xr:uid="{B6C9CDA3-3408-4DAD-AEA1-0E0501BE6335}"/>
    <cellStyle name="Normal 2 21 7 3" xfId="24953" xr:uid="{263FB7CD-142C-49D8-82A3-55FF04BD831D}"/>
    <cellStyle name="Normal 2 21 7 3 2" xfId="24954" xr:uid="{4473591B-5C24-46CB-B6CA-C10BDB43ECD9}"/>
    <cellStyle name="Normal 2 21 7 3 3" xfId="24955" xr:uid="{7AFB522A-BA19-4BF0-8143-3857553A19CC}"/>
    <cellStyle name="Normal 2 21 7 3 4" xfId="24956" xr:uid="{228F668E-3345-4ACF-A2AF-B14D8EA30B49}"/>
    <cellStyle name="Normal 2 21 7 3 5" xfId="24957" xr:uid="{83B2F976-0844-4372-B526-A45BB8E03970}"/>
    <cellStyle name="Normal 2 21 7 3 6" xfId="24958" xr:uid="{B368331B-514E-401E-B925-47A45C5C69CD}"/>
    <cellStyle name="Normal 2 21 7 4" xfId="24959" xr:uid="{5302B2F7-236E-4E1C-9392-D37374665275}"/>
    <cellStyle name="Normal 2 21 7 4 2" xfId="24960" xr:uid="{FDA30CD6-AF92-4024-8CA8-00303B0F17FE}"/>
    <cellStyle name="Normal 2 21 7 4 3" xfId="24961" xr:uid="{5BB88D6B-6E80-428D-A6A8-E3587D033E4E}"/>
    <cellStyle name="Normal 2 21 7 4 4" xfId="24962" xr:uid="{CBA41625-F594-4A36-B585-21DD1B986594}"/>
    <cellStyle name="Normal 2 21 7 4 5" xfId="24963" xr:uid="{BF8E79EC-D76B-43FB-A6F8-55193A7F3387}"/>
    <cellStyle name="Normal 2 21 7 4 6" xfId="24964" xr:uid="{C80C32A8-0859-449D-8626-B5A7C99AA3EC}"/>
    <cellStyle name="Normal 2 21 7 5" xfId="24965" xr:uid="{AC435BCB-9AEC-4857-977F-D9B9A609B96D}"/>
    <cellStyle name="Normal 2 21 7 5 2" xfId="24966" xr:uid="{7E5D8584-3325-4D97-95BE-60B7FE0D721F}"/>
    <cellStyle name="Normal 2 21 7 5 3" xfId="24967" xr:uid="{53556762-82F7-455B-8FBC-470D296750F4}"/>
    <cellStyle name="Normal 2 21 7 5 4" xfId="24968" xr:uid="{A8E78E72-D71A-4FB3-9CBD-302A96C4B190}"/>
    <cellStyle name="Normal 2 21 7 5 5" xfId="24969" xr:uid="{4BF8E636-6B9F-4535-ADBA-D851CAF251AE}"/>
    <cellStyle name="Normal 2 21 7 5 6" xfId="24970" xr:uid="{3DCD94E4-E9BD-49AD-9C72-A582330CCBB8}"/>
    <cellStyle name="Normal 2 21 7 6" xfId="24971" xr:uid="{63A4C18A-ED80-4622-9125-74C26C1324ED}"/>
    <cellStyle name="Normal 2 21 7 6 2" xfId="24972" xr:uid="{A7D7B2B0-4444-4D81-9B07-87C8F4829375}"/>
    <cellStyle name="Normal 2 21 7 6 3" xfId="24973" xr:uid="{7EA76E68-BEF9-423A-8138-83453858C141}"/>
    <cellStyle name="Normal 2 21 7 6 4" xfId="24974" xr:uid="{E271FE32-088D-4570-9AF5-C498F3067AF4}"/>
    <cellStyle name="Normal 2 21 7 6 5" xfId="24975" xr:uid="{05EED047-60AF-47DD-ABF2-00090BEBFAF6}"/>
    <cellStyle name="Normal 2 21 7 6 6" xfId="24976" xr:uid="{8AC357CB-3171-4BC6-BD19-41888CD31CE1}"/>
    <cellStyle name="Normal 2 21 7 7" xfId="24977" xr:uid="{B22245D2-C3F7-4E18-992F-341E14F58397}"/>
    <cellStyle name="Normal 2 21 7 7 2" xfId="24978" xr:uid="{9BD7659B-BFC2-4253-A1EF-25D74079C2C8}"/>
    <cellStyle name="Normal 2 21 7 7 3" xfId="24979" xr:uid="{A7582041-02D3-4A2C-89E2-C21BE4264BD8}"/>
    <cellStyle name="Normal 2 21 7 7 4" xfId="24980" xr:uid="{546CB69A-DE7B-467D-AA91-AC1A179BFDF4}"/>
    <cellStyle name="Normal 2 21 7 7 5" xfId="24981" xr:uid="{09AD5ADF-4D09-4783-A6D5-6FDF6AA4AD27}"/>
    <cellStyle name="Normal 2 21 7 7 6" xfId="24982" xr:uid="{6D77D8D5-D564-4A33-8507-3A8FAF1336BC}"/>
    <cellStyle name="Normal 2 21 7 8" xfId="24983" xr:uid="{F5039CE2-12D0-4319-BB5A-4E8AF0B11982}"/>
    <cellStyle name="Normal 2 21 7 8 2" xfId="24984" xr:uid="{EB224FA7-5192-4E54-819E-C9CA46332C68}"/>
    <cellStyle name="Normal 2 21 7 8 3" xfId="24985" xr:uid="{6B7C3EA0-8EF4-4FF5-BB2C-FBA856FA8749}"/>
    <cellStyle name="Normal 2 21 7 8 4" xfId="24986" xr:uid="{11B5997B-5525-45D5-9080-CD385598904D}"/>
    <cellStyle name="Normal 2 21 7 8 5" xfId="24987" xr:uid="{4A78867C-701D-4659-A6F0-204F707CC82C}"/>
    <cellStyle name="Normal 2 21 7 8 6" xfId="24988" xr:uid="{DA6594E5-158E-4CEA-84E8-2EAB08C0ED44}"/>
    <cellStyle name="Normal 2 21 7 9" xfId="24989" xr:uid="{B574175B-5F45-481A-9EF1-D6879976162A}"/>
    <cellStyle name="Normal 2 21 8" xfId="24990" xr:uid="{5F3A99AE-2284-4E03-9B24-0252E326FBEA}"/>
    <cellStyle name="Normal 2 21 9" xfId="24991" xr:uid="{93D66EF7-4898-46B0-8722-CC2648C83683}"/>
    <cellStyle name="Normal 2 22" xfId="24992" xr:uid="{220AA06D-B5F9-44D8-9444-F3DF8C1934A0}"/>
    <cellStyle name="Normal 2 22 10" xfId="24993" xr:uid="{3E5CAE2B-DA7C-41EC-91D6-DCD27C5DA404}"/>
    <cellStyle name="Normal 2 22 11" xfId="24994" xr:uid="{4A42FCDD-B555-4A37-8460-B9ABD506A0FB}"/>
    <cellStyle name="Normal 2 22 12" xfId="24995" xr:uid="{546FE252-AB59-4B75-9ECB-4FA8D3F7969F}"/>
    <cellStyle name="Normal 2 22 13" xfId="24996" xr:uid="{8DDCAD77-45FE-4AA1-B250-02E9208693F5}"/>
    <cellStyle name="Normal 2 22 14" xfId="24997" xr:uid="{49A7469B-1AB7-48EB-9BCE-D47C35B9DB18}"/>
    <cellStyle name="Normal 2 22 2" xfId="24998" xr:uid="{6FB92A74-D8D7-4EC1-9568-D69316728B43}"/>
    <cellStyle name="Normal 2 22 2 2" xfId="24999" xr:uid="{BA9B4CFE-4876-486A-A752-C2C8BE7A69F9}"/>
    <cellStyle name="Normal 2 22 2 3" xfId="25000" xr:uid="{D68D571D-479E-4353-B016-5EE7F06E1CD8}"/>
    <cellStyle name="Normal 2 22 2 4" xfId="25001" xr:uid="{FDF4C3DE-3295-4B84-9DA3-8404ED9994CB}"/>
    <cellStyle name="Normal 2 22 2 5" xfId="25002" xr:uid="{3A4903DD-2D40-4A40-9A88-E455FCB49A02}"/>
    <cellStyle name="Normal 2 22 2 6" xfId="25003" xr:uid="{5FDE42FF-9592-47DB-8258-EBA55EF974D9}"/>
    <cellStyle name="Normal 2 22 3" xfId="25004" xr:uid="{8D0260C1-CD9E-45EF-A4AB-D6C24623ABB4}"/>
    <cellStyle name="Normal 2 22 3 2" xfId="25005" xr:uid="{717A031E-E43B-4FD0-9A22-FB3F5595B30A}"/>
    <cellStyle name="Normal 2 22 3 3" xfId="25006" xr:uid="{2542C645-EBA9-493E-BFC4-86D0BAD2A261}"/>
    <cellStyle name="Normal 2 22 3 4" xfId="25007" xr:uid="{E040C16A-0DA9-4211-90FF-4BA822FD4006}"/>
    <cellStyle name="Normal 2 22 3 5" xfId="25008" xr:uid="{984258C0-9CEE-4D67-AF8F-69C101A22807}"/>
    <cellStyle name="Normal 2 22 3 6" xfId="25009" xr:uid="{24B52CFF-EBE8-41BC-B187-7B4BA252F3B9}"/>
    <cellStyle name="Normal 2 22 4" xfId="25010" xr:uid="{D692AE0E-DA63-413A-8E98-3F407461C0E8}"/>
    <cellStyle name="Normal 2 22 4 2" xfId="25011" xr:uid="{3C1DC59B-81D8-4A90-99A1-CC6E2040A828}"/>
    <cellStyle name="Normal 2 22 4 3" xfId="25012" xr:uid="{F05259E8-E86C-4DB5-AE69-DB8E36F5E8C6}"/>
    <cellStyle name="Normal 2 22 4 4" xfId="25013" xr:uid="{81E8375E-7F70-49A6-8D2F-D8F4B5DD679D}"/>
    <cellStyle name="Normal 2 22 4 5" xfId="25014" xr:uid="{C2008CDF-C575-4BE7-83A8-60276F2B3A0A}"/>
    <cellStyle name="Normal 2 22 4 6" xfId="25015" xr:uid="{394D7046-A20A-4AFB-A8C2-B55D22F763C3}"/>
    <cellStyle name="Normal 2 22 5" xfId="25016" xr:uid="{5FA7EFCD-C9D5-437B-836E-A91981975749}"/>
    <cellStyle name="Normal 2 22 5 2" xfId="25017" xr:uid="{889B2DDA-C668-44AE-AD32-4BF18520DC8E}"/>
    <cellStyle name="Normal 2 22 5 3" xfId="25018" xr:uid="{AE05AB51-2369-4DF3-ADAF-774AE8CDFC7A}"/>
    <cellStyle name="Normal 2 22 5 4" xfId="25019" xr:uid="{659AC7AB-F7DB-41D3-B5E8-40F1F4AF7EEB}"/>
    <cellStyle name="Normal 2 22 5 5" xfId="25020" xr:uid="{B4577463-F222-4B51-A439-20CA30C39F8E}"/>
    <cellStyle name="Normal 2 22 5 6" xfId="25021" xr:uid="{DF33EE7F-DF1B-4F2A-8192-9CC5A9674960}"/>
    <cellStyle name="Normal 2 22 6" xfId="25022" xr:uid="{3CFE7B19-E2F5-4A48-8404-824F435A1F0B}"/>
    <cellStyle name="Normal 2 22 6 2" xfId="25023" xr:uid="{D2799586-BD53-4763-8991-0B3B8C876EE8}"/>
    <cellStyle name="Normal 2 22 6 3" xfId="25024" xr:uid="{27F3664F-FB3B-401A-866F-90BED2D56E30}"/>
    <cellStyle name="Normal 2 22 6 4" xfId="25025" xr:uid="{3699CAB8-68F6-40D2-AFA7-0B89EA6DD306}"/>
    <cellStyle name="Normal 2 22 6 5" xfId="25026" xr:uid="{0424B3D0-71C2-4D73-8ADB-E847DC1EB74F}"/>
    <cellStyle name="Normal 2 22 6 6" xfId="25027" xr:uid="{FEC46E2E-4E11-40E9-AA3D-63CC9509E88D}"/>
    <cellStyle name="Normal 2 22 7" xfId="25028" xr:uid="{61EC1868-62A1-4E29-AEC8-09CDBDAFA68E}"/>
    <cellStyle name="Normal 2 22 7 2" xfId="25029" xr:uid="{15A012CC-6B72-4CE0-AF86-86E9B38478C0}"/>
    <cellStyle name="Normal 2 22 7 3" xfId="25030" xr:uid="{E2A59EE4-0BA9-440F-8661-1153A204D7BB}"/>
    <cellStyle name="Normal 2 22 7 4" xfId="25031" xr:uid="{CDC0E7F2-FE67-4D66-ADDA-B27422FE4F14}"/>
    <cellStyle name="Normal 2 22 7 5" xfId="25032" xr:uid="{E57F7EA6-9571-4A46-A7A0-9CCD1C973271}"/>
    <cellStyle name="Normal 2 22 7 6" xfId="25033" xr:uid="{A69C1961-99AB-4978-8AD4-F1AD355BA7BB}"/>
    <cellStyle name="Normal 2 22 8" xfId="25034" xr:uid="{2B87B6BB-E945-476D-B3DD-6ABE12C53595}"/>
    <cellStyle name="Normal 2 22 8 2" xfId="25035" xr:uid="{6A24C5F1-8E61-4B18-8C86-DB1453E2B33E}"/>
    <cellStyle name="Normal 2 22 8 3" xfId="25036" xr:uid="{0D12CAB3-96CB-45FE-88AC-324873840DE6}"/>
    <cellStyle name="Normal 2 22 8 4" xfId="25037" xr:uid="{7201E189-4F22-4F31-91B7-4E767AB07C02}"/>
    <cellStyle name="Normal 2 22 8 5" xfId="25038" xr:uid="{BC8EFAA9-1D6E-403D-AF1D-0968E594AEFD}"/>
    <cellStyle name="Normal 2 22 8 6" xfId="25039" xr:uid="{AEBBC8F3-E4D7-4D7E-A776-6EA92A090DF3}"/>
    <cellStyle name="Normal 2 22 9" xfId="25040" xr:uid="{9FF90C8C-4D13-4552-9464-3A3A5FC2DD25}"/>
    <cellStyle name="Normal 2 23" xfId="25041" xr:uid="{5AC7148D-0990-4B2B-864B-F3447025BB99}"/>
    <cellStyle name="Normal 2 23 10" xfId="25042" xr:uid="{9D328A23-9A9C-4269-990B-374854C906CC}"/>
    <cellStyle name="Normal 2 23 11" xfId="25043" xr:uid="{70E890CA-14A3-46A4-A03A-1E8D352F056F}"/>
    <cellStyle name="Normal 2 23 12" xfId="25044" xr:uid="{B4604241-9D0F-4947-8728-48B8849C8E02}"/>
    <cellStyle name="Normal 2 23 13" xfId="25045" xr:uid="{20292C76-C5A0-429E-969C-5DE44C36B7CC}"/>
    <cellStyle name="Normal 2 23 14" xfId="25046" xr:uid="{02AA648E-D6B8-4918-8B0B-024853D45C48}"/>
    <cellStyle name="Normal 2 23 2" xfId="25047" xr:uid="{B838AC75-F4A3-4A07-AE6B-2AED88213F98}"/>
    <cellStyle name="Normal 2 23 2 2" xfId="25048" xr:uid="{834E728D-EAEA-41BC-ACB7-08524D243B14}"/>
    <cellStyle name="Normal 2 23 2 3" xfId="25049" xr:uid="{575E1801-692C-439B-9099-E362BF7FA6F0}"/>
    <cellStyle name="Normal 2 23 2 4" xfId="25050" xr:uid="{BD3B15B3-EE59-4A4A-B2D5-8C8EB6FEECFB}"/>
    <cellStyle name="Normal 2 23 2 5" xfId="25051" xr:uid="{504188B5-0AD4-449A-8637-8F78F9AADE75}"/>
    <cellStyle name="Normal 2 23 2 6" xfId="25052" xr:uid="{44C546C8-908C-4CB9-A8F4-4CF04F6E94D3}"/>
    <cellStyle name="Normal 2 23 3" xfId="25053" xr:uid="{9FA96CC5-BC49-4751-8A8C-9B1B90EF416B}"/>
    <cellStyle name="Normal 2 23 3 2" xfId="25054" xr:uid="{96275A02-D4D7-4629-A85E-AF762FC97F80}"/>
    <cellStyle name="Normal 2 23 3 3" xfId="25055" xr:uid="{0B6729E7-20FB-449C-AE4F-F30F3D14EB6B}"/>
    <cellStyle name="Normal 2 23 3 4" xfId="25056" xr:uid="{E5D44E87-F57F-412B-970C-968E16CF231F}"/>
    <cellStyle name="Normal 2 23 3 5" xfId="25057" xr:uid="{7F41C9B3-98B0-473F-823B-A3B86C1A0D2B}"/>
    <cellStyle name="Normal 2 23 3 6" xfId="25058" xr:uid="{D8CDA86A-A405-423C-800E-F2AEA91FF87D}"/>
    <cellStyle name="Normal 2 23 4" xfId="25059" xr:uid="{48FD5508-3FDC-415C-BB4C-05A1752DBD80}"/>
    <cellStyle name="Normal 2 23 4 2" xfId="25060" xr:uid="{69F8361A-499F-451B-B282-70414B8A7100}"/>
    <cellStyle name="Normal 2 23 4 3" xfId="25061" xr:uid="{B8599457-D5E4-43E9-9A3D-031B956FDF06}"/>
    <cellStyle name="Normal 2 23 4 4" xfId="25062" xr:uid="{0608F3FD-C608-4EE7-BAE6-910A04B8F6B6}"/>
    <cellStyle name="Normal 2 23 4 5" xfId="25063" xr:uid="{C22B0FD3-DDCE-42E0-8E0D-1D88A715F400}"/>
    <cellStyle name="Normal 2 23 4 6" xfId="25064" xr:uid="{7087ECAB-DC2B-4424-A7A3-A0E04F1CC917}"/>
    <cellStyle name="Normal 2 23 5" xfId="25065" xr:uid="{4DA834D9-EEBD-4EDE-97FB-1C0791F1B5B4}"/>
    <cellStyle name="Normal 2 23 5 2" xfId="25066" xr:uid="{1C1C107C-82D4-41F0-A676-711A382A3F48}"/>
    <cellStyle name="Normal 2 23 5 3" xfId="25067" xr:uid="{208FF140-6811-48AE-B360-1D1B9DBE4304}"/>
    <cellStyle name="Normal 2 23 5 4" xfId="25068" xr:uid="{E087AF93-94F7-46A4-A338-633DE69E1174}"/>
    <cellStyle name="Normal 2 23 5 5" xfId="25069" xr:uid="{676945B0-1865-4066-91D3-B085FE1F7412}"/>
    <cellStyle name="Normal 2 23 5 6" xfId="25070" xr:uid="{B2EF0E85-893F-4832-9DE5-BD991D5220AC}"/>
    <cellStyle name="Normal 2 23 6" xfId="25071" xr:uid="{0BAAC71A-E184-4A9F-BA51-B195D00A49B4}"/>
    <cellStyle name="Normal 2 23 6 2" xfId="25072" xr:uid="{27324747-3589-4012-AAB2-0DE07992D20A}"/>
    <cellStyle name="Normal 2 23 6 3" xfId="25073" xr:uid="{85707BAC-F0B6-4785-B118-EAE93A687857}"/>
    <cellStyle name="Normal 2 23 6 4" xfId="25074" xr:uid="{8520EF35-8D62-4151-B212-11EF413824F7}"/>
    <cellStyle name="Normal 2 23 6 5" xfId="25075" xr:uid="{96B7A817-732E-4CC0-AB29-86EF263B20D3}"/>
    <cellStyle name="Normal 2 23 6 6" xfId="25076" xr:uid="{3381638B-4CE9-4344-8287-160907384A94}"/>
    <cellStyle name="Normal 2 23 7" xfId="25077" xr:uid="{EDE053AA-9861-4AF8-87B3-2B6C7F092E24}"/>
    <cellStyle name="Normal 2 23 7 2" xfId="25078" xr:uid="{A2C6D16A-888F-4AFA-B0EB-E0A63DFB3B2C}"/>
    <cellStyle name="Normal 2 23 7 3" xfId="25079" xr:uid="{4E6DFB3E-8E1C-4449-96A9-8299C8C40EF3}"/>
    <cellStyle name="Normal 2 23 7 4" xfId="25080" xr:uid="{FB6F15D4-7AC2-455C-84BD-4BF74567EA3A}"/>
    <cellStyle name="Normal 2 23 7 5" xfId="25081" xr:uid="{81B45B58-6314-4F72-984C-7477AECD4173}"/>
    <cellStyle name="Normal 2 23 7 6" xfId="25082" xr:uid="{BB9D6837-B8DC-4E2E-9ABD-6075B91A1E07}"/>
    <cellStyle name="Normal 2 23 8" xfId="25083" xr:uid="{FBB835D6-7C84-4BC4-A482-3062CF78F262}"/>
    <cellStyle name="Normal 2 23 8 2" xfId="25084" xr:uid="{5A6217BD-8E5E-4749-89D4-B703BBCB7202}"/>
    <cellStyle name="Normal 2 23 8 3" xfId="25085" xr:uid="{2091B957-0468-4C6A-8B3C-542C0CBD789D}"/>
    <cellStyle name="Normal 2 23 8 4" xfId="25086" xr:uid="{F6F5C2C9-11F7-4791-88E7-CCF1E28EFFCA}"/>
    <cellStyle name="Normal 2 23 8 5" xfId="25087" xr:uid="{AFA2F1F6-FF6C-4A89-A0AF-E720DA91FF70}"/>
    <cellStyle name="Normal 2 23 8 6" xfId="25088" xr:uid="{B41D1AD1-F04C-42D3-978B-38A7D5EFB739}"/>
    <cellStyle name="Normal 2 23 9" xfId="25089" xr:uid="{4C2E0B00-57BA-4526-9ADA-9D6A1B25D903}"/>
    <cellStyle name="Normal 2 24" xfId="25090" xr:uid="{C746BCE8-131D-4D17-871F-48A805CBA662}"/>
    <cellStyle name="Normal 2 24 10" xfId="25091" xr:uid="{60CD2F44-64C8-4F47-B5F0-BE2FB0BF8DB3}"/>
    <cellStyle name="Normal 2 24 11" xfId="25092" xr:uid="{47DBD258-0027-470B-89AB-E87EFAAC3F26}"/>
    <cellStyle name="Normal 2 24 12" xfId="25093" xr:uid="{5C7E8774-1433-4609-9BC6-718C430A6220}"/>
    <cellStyle name="Normal 2 24 13" xfId="25094" xr:uid="{C439DBCA-6654-4284-995B-C8E635DB00A6}"/>
    <cellStyle name="Normal 2 24 14" xfId="25095" xr:uid="{BE9D1296-559B-49A1-9446-D2C5F4EB0B2A}"/>
    <cellStyle name="Normal 2 24 15" xfId="25096" xr:uid="{EABA9352-8FDB-4DAE-BA76-12D783FB06D8}"/>
    <cellStyle name="Normal 2 24 16" xfId="25097" xr:uid="{8DB7527A-73D1-4986-9915-82074F2979F5}"/>
    <cellStyle name="Normal 2 24 17" xfId="25098" xr:uid="{BDB5362B-5FF6-495C-BF04-5276A6DD3C18}"/>
    <cellStyle name="Normal 2 24 18" xfId="25099" xr:uid="{A3E87FAC-5BE1-4BD8-9EBA-3A68E5F66449}"/>
    <cellStyle name="Normal 2 24 19" xfId="25100" xr:uid="{981132A9-1364-4BC9-B9E0-5D01E159DD93}"/>
    <cellStyle name="Normal 2 24 2" xfId="25101" xr:uid="{2B4301CA-0D07-4E08-8D1D-E9462BEA51F9}"/>
    <cellStyle name="Normal 2 24 20" xfId="25102" xr:uid="{BCAE66DA-1D61-4788-91B7-9907834E0DD5}"/>
    <cellStyle name="Normal 2 24 21" xfId="25103" xr:uid="{02127E70-A4BB-4497-AA81-BEA8E6D6E3BA}"/>
    <cellStyle name="Normal 2 24 22" xfId="25104" xr:uid="{1A9012BF-8700-41A6-8AC8-30FAE3253634}"/>
    <cellStyle name="Normal 2 24 23" xfId="25105" xr:uid="{A3F33396-D0B4-4795-995B-57E8B875C9A4}"/>
    <cellStyle name="Normal 2 24 24" xfId="25106" xr:uid="{96C008AC-3756-49BF-B38A-3746836EE249}"/>
    <cellStyle name="Normal 2 24 25" xfId="25107" xr:uid="{73D75BB6-DEE2-493F-96C7-2AF4D4670719}"/>
    <cellStyle name="Normal 2 24 26" xfId="25108" xr:uid="{B68189CB-D1BE-43A1-854D-76F34EDE8072}"/>
    <cellStyle name="Normal 2 24 27" xfId="25109" xr:uid="{60A74B52-108A-4CD3-9320-DDAA44CC4B68}"/>
    <cellStyle name="Normal 2 24 28" xfId="25110" xr:uid="{1AFC70ED-EB72-4641-9F0A-785BC72EDFC8}"/>
    <cellStyle name="Normal 2 24 29" xfId="25111" xr:uid="{AD201971-744B-441C-812B-883BD9BCC387}"/>
    <cellStyle name="Normal 2 24 3" xfId="25112" xr:uid="{B882227C-0C80-46A6-90B7-41DC6616A736}"/>
    <cellStyle name="Normal 2 24 30" xfId="25113" xr:uid="{32C23E96-E6E2-49D3-8B5C-B72F25265942}"/>
    <cellStyle name="Normal 2 24 31" xfId="25114" xr:uid="{5748D051-0A99-4229-9DCD-793BE9B6BD7A}"/>
    <cellStyle name="Normal 2 24 32" xfId="25115" xr:uid="{98E0A365-BF24-465E-ACE9-D6772528627D}"/>
    <cellStyle name="Normal 2 24 33" xfId="25116" xr:uid="{BD810B6B-0661-4C7A-83CC-5EC97562190B}"/>
    <cellStyle name="Normal 2 24 34" xfId="25117" xr:uid="{07F0AE67-7AFF-4EC4-84BA-5B17AEB0D669}"/>
    <cellStyle name="Normal 2 24 35" xfId="25118" xr:uid="{08006066-5D91-424E-BA1E-61119A83945C}"/>
    <cellStyle name="Normal 2 24 36" xfId="25119" xr:uid="{98A8089C-0FA3-492D-A598-9749D842DEC4}"/>
    <cellStyle name="Normal 2 24 37" xfId="25120" xr:uid="{5035E13E-974F-464C-8C82-905F49374BC0}"/>
    <cellStyle name="Normal 2 24 38" xfId="25121" xr:uid="{206F6961-2B1F-4351-A9DE-E6ED7D5226E3}"/>
    <cellStyle name="Normal 2 24 39" xfId="25122" xr:uid="{D0001AC4-06FE-4937-A8EE-BAD4907F174C}"/>
    <cellStyle name="Normal 2 24 4" xfId="25123" xr:uid="{C99B78DA-FE2A-4074-9501-8FCFE23CC5D1}"/>
    <cellStyle name="Normal 2 24 40" xfId="25124" xr:uid="{A4AF233B-8F0A-4692-81F1-029F3E0F3089}"/>
    <cellStyle name="Normal 2 24 41" xfId="25125" xr:uid="{18B87885-2F0E-4365-BEE5-3E76C7126C48}"/>
    <cellStyle name="Normal 2 24 42" xfId="25126" xr:uid="{C05D988C-FBF0-4D59-8718-F15A0FF128C8}"/>
    <cellStyle name="Normal 2 24 43" xfId="25127" xr:uid="{1942A7BA-5820-4713-8002-4038461FF50B}"/>
    <cellStyle name="Normal 2 24 44" xfId="25128" xr:uid="{9B3871B9-37AA-40F2-B402-990864DB7CFE}"/>
    <cellStyle name="Normal 2 24 45" xfId="25129" xr:uid="{2C7E1781-E0EB-441C-9700-6E1B4CC0CC2D}"/>
    <cellStyle name="Normal 2 24 46" xfId="25130" xr:uid="{7C3A70DE-14FD-445C-A89F-B81EC84279FD}"/>
    <cellStyle name="Normal 2 24 5" xfId="25131" xr:uid="{6CEF9C78-FDA7-4DCE-A17E-02F3AA12F6A2}"/>
    <cellStyle name="Normal 2 24 6" xfId="25132" xr:uid="{22CF8447-158E-48F7-A59E-FC189B717867}"/>
    <cellStyle name="Normal 2 24 7" xfId="25133" xr:uid="{92EA642A-51A8-4CB4-BE1F-C227D2C3BB88}"/>
    <cellStyle name="Normal 2 24 8" xfId="25134" xr:uid="{F4565421-3DEA-4F6E-843A-B40354E811D1}"/>
    <cellStyle name="Normal 2 24 9" xfId="25135" xr:uid="{0592D022-4AAD-4E93-A602-759D3524B36E}"/>
    <cellStyle name="Normal 2 25" xfId="25136" xr:uid="{F01EEE95-58FA-4C63-93F6-4A62800547DF}"/>
    <cellStyle name="Normal 2 25 10" xfId="25137" xr:uid="{6AD3ADB0-0C63-4CD9-8131-CF1838854A46}"/>
    <cellStyle name="Normal 2 25 11" xfId="25138" xr:uid="{5A920988-9546-460F-9183-D84BCE32EF8C}"/>
    <cellStyle name="Normal 2 25 12" xfId="25139" xr:uid="{628596B2-B803-42CF-9652-F2AF144127B6}"/>
    <cellStyle name="Normal 2 25 13" xfId="25140" xr:uid="{0C7897B4-B811-449A-BBFE-2691D27F100A}"/>
    <cellStyle name="Normal 2 25 14" xfId="25141" xr:uid="{54850BC1-2CEE-4C3E-A5F9-AE477CC626A3}"/>
    <cellStyle name="Normal 2 25 15" xfId="25142" xr:uid="{6BFBF062-13A9-4665-8926-DA5340113C15}"/>
    <cellStyle name="Normal 2 25 16" xfId="25143" xr:uid="{65CA8AB0-B463-4884-9C1F-372BDCEDDC85}"/>
    <cellStyle name="Normal 2 25 17" xfId="25144" xr:uid="{79DF27F0-6A5C-4269-9C36-0E2066441773}"/>
    <cellStyle name="Normal 2 25 18" xfId="25145" xr:uid="{066A79F5-87BD-4FCA-869D-A3D13F37BA7D}"/>
    <cellStyle name="Normal 2 25 19" xfId="25146" xr:uid="{84E701ED-11F8-4046-81BA-D8F7DB4EDB2B}"/>
    <cellStyle name="Normal 2 25 2" xfId="25147" xr:uid="{001424FE-57AD-4527-9FED-54E28D53DD85}"/>
    <cellStyle name="Normal 2 25 20" xfId="25148" xr:uid="{96283D55-B2F2-4C6A-87DC-5F56C751A3CF}"/>
    <cellStyle name="Normal 2 25 21" xfId="25149" xr:uid="{28E1471D-37AA-4439-B8C9-FEB34F29E77C}"/>
    <cellStyle name="Normal 2 25 22" xfId="25150" xr:uid="{8DA541C5-64E6-45AA-9A0C-134165EBE8E3}"/>
    <cellStyle name="Normal 2 25 23" xfId="25151" xr:uid="{87302AFA-E711-4782-BA5E-259A2CE09519}"/>
    <cellStyle name="Normal 2 25 24" xfId="25152" xr:uid="{06024352-4D22-4618-BD65-1BE877B43371}"/>
    <cellStyle name="Normal 2 25 25" xfId="25153" xr:uid="{02B2D5BE-B180-4FE8-B24B-6E4712DA43E6}"/>
    <cellStyle name="Normal 2 25 26" xfId="25154" xr:uid="{4F030115-5C6F-45F1-AC24-084FC6ED8B29}"/>
    <cellStyle name="Normal 2 25 27" xfId="25155" xr:uid="{2B42D932-E773-40EF-9108-141186D75F33}"/>
    <cellStyle name="Normal 2 25 28" xfId="25156" xr:uid="{4817563B-694D-4EC0-8077-B27EA776CD9D}"/>
    <cellStyle name="Normal 2 25 29" xfId="25157" xr:uid="{BE52AF17-3E1C-4937-9958-6326656A8132}"/>
    <cellStyle name="Normal 2 25 3" xfId="25158" xr:uid="{37928895-C58F-4087-9B6F-D9827087D015}"/>
    <cellStyle name="Normal 2 25 30" xfId="25159" xr:uid="{784E5636-9344-4714-BA98-835EF367B2EB}"/>
    <cellStyle name="Normal 2 25 31" xfId="25160" xr:uid="{D704E5AD-9AD8-49DD-AD10-FC5D4CCC538D}"/>
    <cellStyle name="Normal 2 25 32" xfId="25161" xr:uid="{10D8AE2A-ACA0-45D0-925E-22572830313F}"/>
    <cellStyle name="Normal 2 25 33" xfId="25162" xr:uid="{9094C7B6-000A-474B-90AE-1D9A49F7AF52}"/>
    <cellStyle name="Normal 2 25 34" xfId="25163" xr:uid="{641D6AA6-16DE-4A83-B700-E16E1FAE794A}"/>
    <cellStyle name="Normal 2 25 35" xfId="25164" xr:uid="{250EB27C-0F0B-4AEE-A40A-A9EB52B392CF}"/>
    <cellStyle name="Normal 2 25 36" xfId="25165" xr:uid="{0C92C968-BDA6-4DCB-BB4F-403E7A4CEFE3}"/>
    <cellStyle name="Normal 2 25 37" xfId="25166" xr:uid="{B204A1BD-5089-4D65-9E2A-7C6801EAAFD0}"/>
    <cellStyle name="Normal 2 25 38" xfId="25167" xr:uid="{FE8CADF0-4115-4B5E-A427-8D22BCD19211}"/>
    <cellStyle name="Normal 2 25 39" xfId="25168" xr:uid="{A27D3C3C-7FEF-4889-8633-C9C074B3A776}"/>
    <cellStyle name="Normal 2 25 4" xfId="25169" xr:uid="{DE6FDA27-097A-4E93-A051-E0DB22DCADE3}"/>
    <cellStyle name="Normal 2 25 40" xfId="25170" xr:uid="{7AB7165A-2787-4C37-A508-093E5D0B9748}"/>
    <cellStyle name="Normal 2 25 41" xfId="25171" xr:uid="{EA665842-1FB0-414A-AC5C-A134B9C7A4A2}"/>
    <cellStyle name="Normal 2 25 42" xfId="25172" xr:uid="{AC691BAE-F738-4262-9417-B4918604DD95}"/>
    <cellStyle name="Normal 2 25 43" xfId="25173" xr:uid="{D47665AC-1FE4-42D9-AF53-5A0F5838977D}"/>
    <cellStyle name="Normal 2 25 44" xfId="25174" xr:uid="{3B1A6742-7E1D-4B24-8A15-97033BE951FA}"/>
    <cellStyle name="Normal 2 25 45" xfId="25175" xr:uid="{339D1C68-77B2-4E9C-B2AF-B66561FD8589}"/>
    <cellStyle name="Normal 2 25 46" xfId="25176" xr:uid="{47AC90FD-87FC-411F-9F61-3C7A45B1F315}"/>
    <cellStyle name="Normal 2 25 5" xfId="25177" xr:uid="{5817B070-5843-4798-BCEE-B8A0F0ADE576}"/>
    <cellStyle name="Normal 2 25 6" xfId="25178" xr:uid="{A76AF15D-D11F-4CB7-9354-D9AD27D5D53A}"/>
    <cellStyle name="Normal 2 25 7" xfId="25179" xr:uid="{BC4D2F9B-53FD-40E5-A51E-A0501B6BA004}"/>
    <cellStyle name="Normal 2 25 8" xfId="25180" xr:uid="{16B32FB8-04F3-4D88-A7C7-F6D066FEB4B4}"/>
    <cellStyle name="Normal 2 25 9" xfId="25181" xr:uid="{EDB0301D-3905-4E41-9AD8-6806DDDD2A3C}"/>
    <cellStyle name="Normal 2 26" xfId="25182" xr:uid="{D3540695-0A35-427F-B407-70DE2C5E87D4}"/>
    <cellStyle name="Normal 2 26 10" xfId="25183" xr:uid="{462273D9-EDCD-4B30-AEA2-D0DE8C2D95A0}"/>
    <cellStyle name="Normal 2 26 11" xfId="25184" xr:uid="{1C4EF348-A277-4AB5-AD5B-CA40CE9CEE8F}"/>
    <cellStyle name="Normal 2 26 12" xfId="25185" xr:uid="{B0B933F0-3EAD-4B82-A6E4-46DC9C7E769E}"/>
    <cellStyle name="Normal 2 26 13" xfId="25186" xr:uid="{3EDB0EF7-859A-4062-AB00-371EE920B151}"/>
    <cellStyle name="Normal 2 26 14" xfId="25187" xr:uid="{CCEC0D7B-155A-465B-8D42-FD4B699DE77D}"/>
    <cellStyle name="Normal 2 26 15" xfId="25188" xr:uid="{E5C5BA13-13D6-4652-AD3B-668881F2BDE7}"/>
    <cellStyle name="Normal 2 26 16" xfId="25189" xr:uid="{86791F61-6C4A-42A3-8E42-899CD01E7217}"/>
    <cellStyle name="Normal 2 26 17" xfId="25190" xr:uid="{89D99C8B-106E-4DCE-A46B-1C907DA68A73}"/>
    <cellStyle name="Normal 2 26 18" xfId="25191" xr:uid="{662FC864-5924-4D9F-973D-21F290DE1DFB}"/>
    <cellStyle name="Normal 2 26 19" xfId="25192" xr:uid="{B7E49C95-0903-4173-946A-D582D416C3AF}"/>
    <cellStyle name="Normal 2 26 2" xfId="25193" xr:uid="{FE3BEE2A-FB3D-4A0B-A446-B60201DD3174}"/>
    <cellStyle name="Normal 2 26 20" xfId="25194" xr:uid="{2DF24A0B-76D6-4AB0-A3A5-A7C3E47D10C0}"/>
    <cellStyle name="Normal 2 26 21" xfId="25195" xr:uid="{3E07F525-4D50-44A2-A3EC-EE6164874446}"/>
    <cellStyle name="Normal 2 26 22" xfId="25196" xr:uid="{EBA1C7AA-2517-4459-AE04-FC9EB0F1A903}"/>
    <cellStyle name="Normal 2 26 23" xfId="25197" xr:uid="{F7365A7E-1F31-42DB-8581-A3223AA0F195}"/>
    <cellStyle name="Normal 2 26 24" xfId="25198" xr:uid="{FD44EC7F-02C9-41DA-95F1-B6038B9A4382}"/>
    <cellStyle name="Normal 2 26 25" xfId="25199" xr:uid="{C3AD3A5A-E574-404D-B625-97785AFF4F8B}"/>
    <cellStyle name="Normal 2 26 26" xfId="25200" xr:uid="{3D7224B5-3B17-47BB-8743-CBE9EA1E02BC}"/>
    <cellStyle name="Normal 2 26 27" xfId="25201" xr:uid="{9EB42F30-851A-4A21-8C06-BE1C7581A2A5}"/>
    <cellStyle name="Normal 2 26 28" xfId="25202" xr:uid="{9F844FF2-B448-48A1-973C-1A41050182FA}"/>
    <cellStyle name="Normal 2 26 29" xfId="25203" xr:uid="{2F1A046A-B91C-4CA6-9602-83F1152D8F8E}"/>
    <cellStyle name="Normal 2 26 3" xfId="25204" xr:uid="{C6291704-8637-4B49-A927-B6D10F42FE32}"/>
    <cellStyle name="Normal 2 26 30" xfId="25205" xr:uid="{4784FF98-1EB2-4B65-98D7-6CF92512867D}"/>
    <cellStyle name="Normal 2 26 31" xfId="25206" xr:uid="{1C1325C8-7D0C-4826-8750-BD99F9A09151}"/>
    <cellStyle name="Normal 2 26 32" xfId="25207" xr:uid="{92373222-AB69-4308-9BAA-505DC7B6402E}"/>
    <cellStyle name="Normal 2 26 33" xfId="25208" xr:uid="{A0136C54-7688-4AB9-A494-FF4D4872F3C3}"/>
    <cellStyle name="Normal 2 26 34" xfId="25209" xr:uid="{C8E098C5-E50D-47B7-9357-9E85AA3ADCD3}"/>
    <cellStyle name="Normal 2 26 35" xfId="25210" xr:uid="{3CAECA0A-BD17-444E-BC63-91D5F944819E}"/>
    <cellStyle name="Normal 2 26 36" xfId="25211" xr:uid="{B533F80E-4C53-471C-A698-F39A95719721}"/>
    <cellStyle name="Normal 2 26 37" xfId="25212" xr:uid="{39CBEDA7-90A7-42D4-A858-EFA87D90B30C}"/>
    <cellStyle name="Normal 2 26 38" xfId="25213" xr:uid="{C78357F3-6CEE-40CF-B19E-7448137EC147}"/>
    <cellStyle name="Normal 2 26 39" xfId="25214" xr:uid="{4297371B-16F9-4345-B6AE-7CF33094238A}"/>
    <cellStyle name="Normal 2 26 4" xfId="25215" xr:uid="{F8316475-CFF0-4040-B8DC-2BA610685F66}"/>
    <cellStyle name="Normal 2 26 40" xfId="25216" xr:uid="{794B8FBC-57BC-4DA3-B5B8-6FCD35E8A8F7}"/>
    <cellStyle name="Normal 2 26 41" xfId="25217" xr:uid="{808180D6-7BAB-492B-9499-2A81B0C5AE5B}"/>
    <cellStyle name="Normal 2 26 42" xfId="25218" xr:uid="{5F05ECF7-6AC7-4610-8FD8-364306DEECB8}"/>
    <cellStyle name="Normal 2 26 43" xfId="25219" xr:uid="{11E2308B-88B3-46E2-8413-9A1D8C0582CF}"/>
    <cellStyle name="Normal 2 26 44" xfId="25220" xr:uid="{0AB50664-387C-450B-99EB-CBE0292E4787}"/>
    <cellStyle name="Normal 2 26 45" xfId="25221" xr:uid="{08454D5B-1712-46B7-9D1E-3505EB572DA4}"/>
    <cellStyle name="Normal 2 26 46" xfId="25222" xr:uid="{C6F4CA87-AC82-42D5-B49B-F81838802132}"/>
    <cellStyle name="Normal 2 26 5" xfId="25223" xr:uid="{1DF9DCD1-C8E4-480D-B18B-62E99464A352}"/>
    <cellStyle name="Normal 2 26 6" xfId="25224" xr:uid="{93DD8F1C-146D-471F-9240-072EAF614BCA}"/>
    <cellStyle name="Normal 2 26 7" xfId="25225" xr:uid="{C46D7407-E381-4C38-9F37-F87C948113F2}"/>
    <cellStyle name="Normal 2 26 8" xfId="25226" xr:uid="{21DFE13B-098B-4523-8B76-B55BB3A0B6B0}"/>
    <cellStyle name="Normal 2 26 9" xfId="25227" xr:uid="{CE8743E1-ABD7-41D3-B408-EF9160868163}"/>
    <cellStyle name="Normal 2 27" xfId="25228" xr:uid="{83B70E41-1730-4491-BF3B-7F93F56F6F42}"/>
    <cellStyle name="Normal 2 27 10" xfId="25229" xr:uid="{09913075-6DD8-43F6-91C6-11291DEB7988}"/>
    <cellStyle name="Normal 2 27 11" xfId="25230" xr:uid="{E8BA0D48-EE79-4928-B661-34817B8C21B0}"/>
    <cellStyle name="Normal 2 27 12" xfId="25231" xr:uid="{77274177-BD2E-46F5-9C4D-AB6DD2FCC526}"/>
    <cellStyle name="Normal 2 27 13" xfId="25232" xr:uid="{DBB07139-3744-46B6-9E7D-497E98691294}"/>
    <cellStyle name="Normal 2 27 14" xfId="25233" xr:uid="{C4035827-9628-4FC0-9688-1F5A31B24335}"/>
    <cellStyle name="Normal 2 27 15" xfId="25234" xr:uid="{D18C46B7-A2A8-4B91-9462-069348EA11B7}"/>
    <cellStyle name="Normal 2 27 16" xfId="25235" xr:uid="{0660E5A4-2FF8-46CB-B737-B18D14043582}"/>
    <cellStyle name="Normal 2 27 17" xfId="25236" xr:uid="{987F75C2-7A8A-4875-ADE0-AF782BB7A3CD}"/>
    <cellStyle name="Normal 2 27 18" xfId="25237" xr:uid="{098EA771-3EA8-48D7-B212-EF040B9C306A}"/>
    <cellStyle name="Normal 2 27 19" xfId="25238" xr:uid="{B9CBCE37-DBE4-4027-B3C5-567E1FEAA8D1}"/>
    <cellStyle name="Normal 2 27 2" xfId="25239" xr:uid="{D09325BA-EF95-4C09-A5FB-55E67AB48DEB}"/>
    <cellStyle name="Normal 2 27 20" xfId="25240" xr:uid="{F5AB31FB-1DBF-456E-82A2-700AFC5273DA}"/>
    <cellStyle name="Normal 2 27 21" xfId="25241" xr:uid="{809D8F5F-D81E-4C6B-9321-DC97EE7EC95D}"/>
    <cellStyle name="Normal 2 27 22" xfId="25242" xr:uid="{6095873B-B2E4-4C8E-A767-67DA9B790A68}"/>
    <cellStyle name="Normal 2 27 23" xfId="25243" xr:uid="{50BB4C42-0904-4A29-854D-CDB6D3FA6B4A}"/>
    <cellStyle name="Normal 2 27 24" xfId="25244" xr:uid="{43B98F3F-5804-4A60-8771-A4CEA9DB783A}"/>
    <cellStyle name="Normal 2 27 25" xfId="25245" xr:uid="{0947BE1A-A93A-43F9-8362-E4827F2221FB}"/>
    <cellStyle name="Normal 2 27 26" xfId="25246" xr:uid="{01138AFE-EAF3-409D-8EEF-765BB46921E5}"/>
    <cellStyle name="Normal 2 27 27" xfId="25247" xr:uid="{CDCEA2C3-A8A3-4BFF-B779-0F6EC410E445}"/>
    <cellStyle name="Normal 2 27 28" xfId="25248" xr:uid="{DAF0525E-41E6-4C69-B2BD-A239E04FBBA4}"/>
    <cellStyle name="Normal 2 27 29" xfId="25249" xr:uid="{B7A28D5E-FB19-4D24-B4C5-9F19FC249489}"/>
    <cellStyle name="Normal 2 27 3" xfId="25250" xr:uid="{ADA92BCA-FEBF-4E2F-8BF2-D67EB5C310C8}"/>
    <cellStyle name="Normal 2 27 30" xfId="25251" xr:uid="{2165AF03-B8B8-413A-8F52-CED973C6C5E2}"/>
    <cellStyle name="Normal 2 27 31" xfId="25252" xr:uid="{5220340A-F693-41D2-8D97-AF7F71038021}"/>
    <cellStyle name="Normal 2 27 32" xfId="25253" xr:uid="{F078BEC4-E9D1-4644-A83A-308BC63A8EFE}"/>
    <cellStyle name="Normal 2 27 33" xfId="25254" xr:uid="{16C5643A-9897-4B88-9DCB-8F80DD2D19A5}"/>
    <cellStyle name="Normal 2 27 34" xfId="25255" xr:uid="{0284620C-9E96-4098-A39C-8E5E5117BED6}"/>
    <cellStyle name="Normal 2 27 35" xfId="25256" xr:uid="{29951E1F-9CF4-4F68-9064-616ADE07F8A6}"/>
    <cellStyle name="Normal 2 27 36" xfId="25257" xr:uid="{8AC9CD5B-6690-4F90-854D-622BEEB2B5BD}"/>
    <cellStyle name="Normal 2 27 37" xfId="25258" xr:uid="{3E293AD1-EB12-44EA-98A4-EFAB62ACB4B3}"/>
    <cellStyle name="Normal 2 27 38" xfId="25259" xr:uid="{C2C73596-51CF-4DD3-99F6-5A8FA78DC349}"/>
    <cellStyle name="Normal 2 27 39" xfId="25260" xr:uid="{01CF7724-C707-494D-B576-4992A7F77420}"/>
    <cellStyle name="Normal 2 27 4" xfId="25261" xr:uid="{303E2F23-ACC4-41E9-8603-D612A896BA90}"/>
    <cellStyle name="Normal 2 27 40" xfId="25262" xr:uid="{06941C98-1F1B-46F7-A564-0876B9D63611}"/>
    <cellStyle name="Normal 2 27 41" xfId="25263" xr:uid="{3A688E6B-1D22-4F74-B3B5-2983B7467A62}"/>
    <cellStyle name="Normal 2 27 42" xfId="25264" xr:uid="{415B51A2-B1A4-43E8-B061-0893554809CE}"/>
    <cellStyle name="Normal 2 27 43" xfId="25265" xr:uid="{1A37DD96-0130-41E9-973A-545FD828BDFE}"/>
    <cellStyle name="Normal 2 27 44" xfId="25266" xr:uid="{088FC00E-C899-4D96-BD56-9D2F3D72B69C}"/>
    <cellStyle name="Normal 2 27 45" xfId="25267" xr:uid="{43F6EEDB-729A-476A-8AD8-E37F210554E8}"/>
    <cellStyle name="Normal 2 27 46" xfId="25268" xr:uid="{A9969FF1-6D1E-41A3-A952-331B37B157E8}"/>
    <cellStyle name="Normal 2 27 5" xfId="25269" xr:uid="{BDCD02EC-53E6-4ACF-B56C-DB4B28EFDA34}"/>
    <cellStyle name="Normal 2 27 6" xfId="25270" xr:uid="{C94E71D5-3A3C-4053-A0FD-538CBFF1EAE3}"/>
    <cellStyle name="Normal 2 27 7" xfId="25271" xr:uid="{B5906E73-33EF-43A1-8ECF-B214DD8E70BE}"/>
    <cellStyle name="Normal 2 27 8" xfId="25272" xr:uid="{DAE93F54-4553-44C5-A713-EBEFBB8E961C}"/>
    <cellStyle name="Normal 2 27 9" xfId="25273" xr:uid="{1EAF3ABB-77DA-4295-B5AC-ABC021583FB3}"/>
    <cellStyle name="Normal 2 28" xfId="25274" xr:uid="{7B07254B-D500-4075-B250-877AC113AFA6}"/>
    <cellStyle name="Normal 2 28 10" xfId="25275" xr:uid="{20C3B159-1345-4A78-BF41-A3F6B5ED3B28}"/>
    <cellStyle name="Normal 2 28 11" xfId="25276" xr:uid="{92E9C5A2-CFA1-4A4F-9F37-3A90068D3CE7}"/>
    <cellStyle name="Normal 2 28 12" xfId="25277" xr:uid="{F02D11D8-BFAB-4CB8-9CC5-B5F0A77B6F9A}"/>
    <cellStyle name="Normal 2 28 13" xfId="25278" xr:uid="{74F5D6DB-DC13-46F2-8A00-1567172A4617}"/>
    <cellStyle name="Normal 2 28 14" xfId="25279" xr:uid="{F30C8FE8-7CCA-407D-B420-00033A991BEE}"/>
    <cellStyle name="Normal 2 28 15" xfId="25280" xr:uid="{6D4E5C4E-3E8E-4122-821F-65686BA4517A}"/>
    <cellStyle name="Normal 2 28 16" xfId="25281" xr:uid="{330A1677-439C-4636-B202-31018C6D4773}"/>
    <cellStyle name="Normal 2 28 17" xfId="25282" xr:uid="{7A9EECC6-CC21-4861-B1A6-8FA2A4166BF4}"/>
    <cellStyle name="Normal 2 28 18" xfId="25283" xr:uid="{D2EFC41C-89F1-431E-89E1-C1D9423F0576}"/>
    <cellStyle name="Normal 2 28 19" xfId="25284" xr:uid="{1DD50E90-8E05-4045-A083-EAA63BE425CA}"/>
    <cellStyle name="Normal 2 28 2" xfId="25285" xr:uid="{D692B1ED-9402-4DDD-BDC3-CEA03AA63D3D}"/>
    <cellStyle name="Normal 2 28 20" xfId="25286" xr:uid="{152E4DEB-206E-40B2-B71B-98698BBE3658}"/>
    <cellStyle name="Normal 2 28 21" xfId="25287" xr:uid="{01DD95A5-E669-4F33-B3F8-0C7269AA984B}"/>
    <cellStyle name="Normal 2 28 22" xfId="25288" xr:uid="{B5C54247-7069-4E92-BB6C-B341C1B6A29A}"/>
    <cellStyle name="Normal 2 28 23" xfId="25289" xr:uid="{1B7E787D-3CAD-4B88-9C6C-701CAD5B8F06}"/>
    <cellStyle name="Normal 2 28 24" xfId="25290" xr:uid="{6A399F85-B99D-40D4-9BFB-C2E94A2316EE}"/>
    <cellStyle name="Normal 2 28 25" xfId="25291" xr:uid="{A4E6CB91-9423-4363-9484-E7834825912E}"/>
    <cellStyle name="Normal 2 28 26" xfId="25292" xr:uid="{96C8ADBE-B35C-4358-9024-DA1A8C1EBD0E}"/>
    <cellStyle name="Normal 2 28 27" xfId="25293" xr:uid="{4E8CE781-8815-49B9-8B04-E60537ACF5DF}"/>
    <cellStyle name="Normal 2 28 28" xfId="25294" xr:uid="{B36079DD-8F5D-4DCC-B515-3805DE35D50B}"/>
    <cellStyle name="Normal 2 28 29" xfId="25295" xr:uid="{4B78D300-E88C-48FD-84FA-2EAA9DEC9718}"/>
    <cellStyle name="Normal 2 28 3" xfId="25296" xr:uid="{AA3AA14F-3D67-48DF-A697-9FEDE99B9DD4}"/>
    <cellStyle name="Normal 2 28 30" xfId="25297" xr:uid="{6F6782BE-9D18-49E9-A768-FBEDA4DB4B2D}"/>
    <cellStyle name="Normal 2 28 31" xfId="25298" xr:uid="{B7519110-5FD8-4405-8D9F-27B8FCD1EEF6}"/>
    <cellStyle name="Normal 2 28 32" xfId="25299" xr:uid="{08A11FC4-3062-42B5-ABA7-809076B42498}"/>
    <cellStyle name="Normal 2 28 33" xfId="25300" xr:uid="{19D9909B-6F4F-48A3-96A1-9A588CC22751}"/>
    <cellStyle name="Normal 2 28 34" xfId="25301" xr:uid="{EE1F4F73-4EC8-4690-A501-45233AE0C7F2}"/>
    <cellStyle name="Normal 2 28 35" xfId="25302" xr:uid="{608D44B3-647D-4DF9-BEAA-CC8CD3131F07}"/>
    <cellStyle name="Normal 2 28 36" xfId="25303" xr:uid="{5EE5A140-4A41-454A-ADFA-22531A1BDE2D}"/>
    <cellStyle name="Normal 2 28 37" xfId="25304" xr:uid="{8F3C48FF-113D-4E6C-9AED-3518B616F841}"/>
    <cellStyle name="Normal 2 28 38" xfId="25305" xr:uid="{1FC48AAC-E72E-40BC-B6C6-6DDCFE302EE4}"/>
    <cellStyle name="Normal 2 28 39" xfId="25306" xr:uid="{3C9C7F40-B928-4B79-88B9-BB213B85B274}"/>
    <cellStyle name="Normal 2 28 4" xfId="25307" xr:uid="{0B8574D7-1345-494D-B14E-B48D68DDB02A}"/>
    <cellStyle name="Normal 2 28 40" xfId="25308" xr:uid="{400E6D0D-C916-4FC4-80E9-5DD402A19807}"/>
    <cellStyle name="Normal 2 28 41" xfId="25309" xr:uid="{0A920E90-80CD-4ED2-B792-F972910691B5}"/>
    <cellStyle name="Normal 2 28 42" xfId="25310" xr:uid="{09C84312-2F34-4769-824A-0728B48953CE}"/>
    <cellStyle name="Normal 2 28 43" xfId="25311" xr:uid="{92AB98C1-C9A7-4350-A753-0373AB3EC51D}"/>
    <cellStyle name="Normal 2 28 44" xfId="25312" xr:uid="{5A873069-9003-46DE-8329-8048FAA2F23A}"/>
    <cellStyle name="Normal 2 28 45" xfId="25313" xr:uid="{FCAB8F4E-19C7-41E3-91ED-2778E0CF61E5}"/>
    <cellStyle name="Normal 2 28 46" xfId="25314" xr:uid="{E0FB1997-2D78-4207-9582-CED6CA918A22}"/>
    <cellStyle name="Normal 2 28 5" xfId="25315" xr:uid="{D74B44BA-D433-4FE7-807D-37901B2A9C36}"/>
    <cellStyle name="Normal 2 28 6" xfId="25316" xr:uid="{4F1D174E-07E0-4B80-956D-7CEBBA5AF465}"/>
    <cellStyle name="Normal 2 28 7" xfId="25317" xr:uid="{3CE0362A-DF8A-4866-ADAB-321BAC99E74E}"/>
    <cellStyle name="Normal 2 28 8" xfId="25318" xr:uid="{A0D5CEB8-C809-43C5-BFFE-EDB3D067EEEE}"/>
    <cellStyle name="Normal 2 28 9" xfId="25319" xr:uid="{2CA8B8C2-00D3-45AA-939A-66A661EB59CD}"/>
    <cellStyle name="Normal 2 29" xfId="25320" xr:uid="{58AAFA5C-6B94-41B5-B381-1C2E520E3AA7}"/>
    <cellStyle name="Normal 2 29 10" xfId="25321" xr:uid="{37273575-9978-41AE-B7B6-D5D8BE1D701F}"/>
    <cellStyle name="Normal 2 29 10 10" xfId="25322" xr:uid="{04DC3C51-5245-4530-AFA0-069E1B054FD6}"/>
    <cellStyle name="Normal 2 29 10 11" xfId="25323" xr:uid="{A83B45A4-3EA6-4D1D-BC0E-63F8BE20B12C}"/>
    <cellStyle name="Normal 2 29 10 12" xfId="25324" xr:uid="{12260D63-111C-4C45-B914-217E06131005}"/>
    <cellStyle name="Normal 2 29 10 13" xfId="25325" xr:uid="{FEAB4F6E-EA14-4A5A-AAA8-CEE3E353665C}"/>
    <cellStyle name="Normal 2 29 10 2" xfId="25326" xr:uid="{F05864E8-9C98-470C-9498-901DA82DC4D2}"/>
    <cellStyle name="Normal 2 29 10 2 2" xfId="25327" xr:uid="{F03FF45A-CD82-42CA-AEAC-343C02E865C3}"/>
    <cellStyle name="Normal 2 29 10 2 3" xfId="25328" xr:uid="{C82BDB3C-3A6F-44D4-88E6-B6974F26796D}"/>
    <cellStyle name="Normal 2 29 10 2 4" xfId="25329" xr:uid="{944B9D8E-A769-485E-8B15-7E1768A37A82}"/>
    <cellStyle name="Normal 2 29 10 2 5" xfId="25330" xr:uid="{D33D583D-AFF7-4380-B2AD-5F3E78BEAB1A}"/>
    <cellStyle name="Normal 2 29 10 2 6" xfId="25331" xr:uid="{FA175D7D-97FF-4045-89F0-5CA81E270EDE}"/>
    <cellStyle name="Normal 2 29 10 3" xfId="25332" xr:uid="{FAC0D768-34F6-4E72-B35C-1E77E38D8BA4}"/>
    <cellStyle name="Normal 2 29 10 3 2" xfId="25333" xr:uid="{618E19BB-C9C4-4712-8C7C-FF9BC135335F}"/>
    <cellStyle name="Normal 2 29 10 3 3" xfId="25334" xr:uid="{2367C8CC-F1B6-467A-824C-BE9D4F908A31}"/>
    <cellStyle name="Normal 2 29 10 3 4" xfId="25335" xr:uid="{819B827D-E72C-42F4-891F-334ADCE4C733}"/>
    <cellStyle name="Normal 2 29 10 3 5" xfId="25336" xr:uid="{94C4F71C-C578-489B-9834-7B8F1DFADBDC}"/>
    <cellStyle name="Normal 2 29 10 3 6" xfId="25337" xr:uid="{DF5F181B-50AB-4B0E-A71C-F4F3AD1C6EAF}"/>
    <cellStyle name="Normal 2 29 10 4" xfId="25338" xr:uid="{30FC5D08-D504-49D6-A9AC-96B1CEF80167}"/>
    <cellStyle name="Normal 2 29 10 4 2" xfId="25339" xr:uid="{A0218EB4-F453-4C12-AF4A-D067592DE329}"/>
    <cellStyle name="Normal 2 29 10 4 3" xfId="25340" xr:uid="{459D26F8-0E09-492C-8519-3AD75FBEFB9A}"/>
    <cellStyle name="Normal 2 29 10 4 4" xfId="25341" xr:uid="{6FD4D85C-886C-4D04-A20A-AD666D0AB660}"/>
    <cellStyle name="Normal 2 29 10 4 5" xfId="25342" xr:uid="{208388AA-5EF0-4F3B-98EA-541DCF7EB2B5}"/>
    <cellStyle name="Normal 2 29 10 4 6" xfId="25343" xr:uid="{F53AF54A-4339-40D4-A08C-CC86CCFCF24D}"/>
    <cellStyle name="Normal 2 29 10 5" xfId="25344" xr:uid="{2502B3E1-926F-45D2-89E6-71DC7DCE59B8}"/>
    <cellStyle name="Normal 2 29 10 5 2" xfId="25345" xr:uid="{4B4387B9-6937-416D-BB9F-C43F701DF7F4}"/>
    <cellStyle name="Normal 2 29 10 5 3" xfId="25346" xr:uid="{836D3527-FAFD-4D20-9AB2-1F1AF435DBD4}"/>
    <cellStyle name="Normal 2 29 10 5 4" xfId="25347" xr:uid="{C27B2753-0E78-422D-A63C-62BE10AF05F7}"/>
    <cellStyle name="Normal 2 29 10 5 5" xfId="25348" xr:uid="{420B208D-B881-4075-A0D8-0A5DFD99E40E}"/>
    <cellStyle name="Normal 2 29 10 5 6" xfId="25349" xr:uid="{4CC2DC88-5B9D-4556-B215-000ED059E38F}"/>
    <cellStyle name="Normal 2 29 10 6" xfId="25350" xr:uid="{74940CEA-89DF-485C-8DC5-D89019878BBD}"/>
    <cellStyle name="Normal 2 29 10 6 2" xfId="25351" xr:uid="{AAFA1F1D-7F25-44AD-B4D4-CE5B052A3F51}"/>
    <cellStyle name="Normal 2 29 10 6 3" xfId="25352" xr:uid="{2D1F4114-BCC3-4AB2-9081-19A91A336A78}"/>
    <cellStyle name="Normal 2 29 10 6 4" xfId="25353" xr:uid="{819C7224-4C36-4F2D-800B-7207788D37B0}"/>
    <cellStyle name="Normal 2 29 10 6 5" xfId="25354" xr:uid="{44C4294B-5D3D-44FE-BE62-9359BD74168B}"/>
    <cellStyle name="Normal 2 29 10 6 6" xfId="25355" xr:uid="{FFCE3D29-6D38-4B43-8DFC-E477722AFD41}"/>
    <cellStyle name="Normal 2 29 10 7" xfId="25356" xr:uid="{4A015EBC-4ADF-4985-BC6F-694644ACE622}"/>
    <cellStyle name="Normal 2 29 10 7 2" xfId="25357" xr:uid="{1E3468A6-BE32-40F1-BE64-71BAC5F554A0}"/>
    <cellStyle name="Normal 2 29 10 7 3" xfId="25358" xr:uid="{BFA1F729-7782-469E-AFBB-049EFEDA13F7}"/>
    <cellStyle name="Normal 2 29 10 7 4" xfId="25359" xr:uid="{C885CE7E-AEB7-4C8F-A509-8553FA6B726B}"/>
    <cellStyle name="Normal 2 29 10 7 5" xfId="25360" xr:uid="{84DC5A4C-A4AB-4784-815A-16C082F37A18}"/>
    <cellStyle name="Normal 2 29 10 7 6" xfId="25361" xr:uid="{7EDD671C-F9A2-49E2-B792-CF34E6D9B86D}"/>
    <cellStyle name="Normal 2 29 10 8" xfId="25362" xr:uid="{6E032801-1CC6-42CE-AC81-EA882506CAFE}"/>
    <cellStyle name="Normal 2 29 10 8 2" xfId="25363" xr:uid="{E1B9F6C5-1E08-4805-8132-EDE508A1A573}"/>
    <cellStyle name="Normal 2 29 10 8 3" xfId="25364" xr:uid="{68964D14-1CDA-44C1-9045-47E1D11520D2}"/>
    <cellStyle name="Normal 2 29 10 8 4" xfId="25365" xr:uid="{AA2DC414-DA0F-4A11-8523-F227352FC0F5}"/>
    <cellStyle name="Normal 2 29 10 8 5" xfId="25366" xr:uid="{165A9B9C-6F83-427B-B5A1-7AAB7B93BA4A}"/>
    <cellStyle name="Normal 2 29 10 8 6" xfId="25367" xr:uid="{C761B301-A65D-437A-9DD1-D6E965DCD13A}"/>
    <cellStyle name="Normal 2 29 10 9" xfId="25368" xr:uid="{6FF8BDBB-A50C-475D-9690-2C668C5238C0}"/>
    <cellStyle name="Normal 2 29 11" xfId="25369" xr:uid="{06491E51-3AD4-4BAA-80F3-F7FF6489AF57}"/>
    <cellStyle name="Normal 2 29 11 10" xfId="25370" xr:uid="{0B3E7B34-1509-42E0-BA34-07FB50206B0C}"/>
    <cellStyle name="Normal 2 29 11 11" xfId="25371" xr:uid="{FAE84736-9EAB-4246-8353-F67121B50AAE}"/>
    <cellStyle name="Normal 2 29 11 12" xfId="25372" xr:uid="{AA4A02B7-FB94-4142-8763-E16B0210A21E}"/>
    <cellStyle name="Normal 2 29 11 13" xfId="25373" xr:uid="{1019AE98-C4CE-461A-A7C2-C5BF3AEF7A94}"/>
    <cellStyle name="Normal 2 29 11 2" xfId="25374" xr:uid="{F1E587C0-D820-4377-81E1-42310BBC134B}"/>
    <cellStyle name="Normal 2 29 11 2 2" xfId="25375" xr:uid="{E5D6CC22-8E80-4E84-99CA-2CB29C4BF2E8}"/>
    <cellStyle name="Normal 2 29 11 2 3" xfId="25376" xr:uid="{B5D37913-D746-4820-ACE9-2FB8F7AC23DF}"/>
    <cellStyle name="Normal 2 29 11 2 4" xfId="25377" xr:uid="{412BDF22-D931-43C1-884C-6B576758EB33}"/>
    <cellStyle name="Normal 2 29 11 2 5" xfId="25378" xr:uid="{B4DA4CF7-CA74-47E6-B1E3-1EB7CE8A463C}"/>
    <cellStyle name="Normal 2 29 11 2 6" xfId="25379" xr:uid="{EE4199A5-96C7-4E57-8F16-CEF31560B7E0}"/>
    <cellStyle name="Normal 2 29 11 3" xfId="25380" xr:uid="{01E50011-ED5A-4EF7-923F-446D39DC74A3}"/>
    <cellStyle name="Normal 2 29 11 3 2" xfId="25381" xr:uid="{9D929ABE-3F5A-464D-B492-B3444968F6DF}"/>
    <cellStyle name="Normal 2 29 11 3 3" xfId="25382" xr:uid="{F3FA90BD-34DF-495E-B37E-7E73D5DC721B}"/>
    <cellStyle name="Normal 2 29 11 3 4" xfId="25383" xr:uid="{A6A1A1B3-9692-42A1-8CF2-209D3C77096B}"/>
    <cellStyle name="Normal 2 29 11 3 5" xfId="25384" xr:uid="{F7B3C4AF-8136-493A-AE2B-A60E27DE07B2}"/>
    <cellStyle name="Normal 2 29 11 3 6" xfId="25385" xr:uid="{F57D36F3-3198-4351-8213-538E89420B52}"/>
    <cellStyle name="Normal 2 29 11 4" xfId="25386" xr:uid="{2F1A85A7-B367-4A2D-8F08-36DC139D81B0}"/>
    <cellStyle name="Normal 2 29 11 4 2" xfId="25387" xr:uid="{24EE1929-A09D-497C-8C73-BC6DD1C38BF9}"/>
    <cellStyle name="Normal 2 29 11 4 3" xfId="25388" xr:uid="{29702073-B97E-4080-8576-2B42E3C90FD8}"/>
    <cellStyle name="Normal 2 29 11 4 4" xfId="25389" xr:uid="{7745F824-BC96-46D2-8C5C-84D7D2D77124}"/>
    <cellStyle name="Normal 2 29 11 4 5" xfId="25390" xr:uid="{5B3C70AA-A6B7-415E-9D7F-7B97807F2E64}"/>
    <cellStyle name="Normal 2 29 11 4 6" xfId="25391" xr:uid="{6FE6CAA0-B57D-4757-83E9-AB34FE1F1838}"/>
    <cellStyle name="Normal 2 29 11 5" xfId="25392" xr:uid="{5086D0E0-3951-42B7-886B-305B6AFA6DB3}"/>
    <cellStyle name="Normal 2 29 11 5 2" xfId="25393" xr:uid="{2DA03F06-DEDB-43A4-83E4-7E60BD23EB28}"/>
    <cellStyle name="Normal 2 29 11 5 3" xfId="25394" xr:uid="{A271071F-6810-4A44-A71A-B7DDFDC5E9E7}"/>
    <cellStyle name="Normal 2 29 11 5 4" xfId="25395" xr:uid="{F5D922C5-87D6-472F-81F6-C98628201D2E}"/>
    <cellStyle name="Normal 2 29 11 5 5" xfId="25396" xr:uid="{A67D9373-BB8A-44C8-A262-84949DAC680D}"/>
    <cellStyle name="Normal 2 29 11 5 6" xfId="25397" xr:uid="{9B6DF3A0-9F81-45CC-80ED-285B3EA047EF}"/>
    <cellStyle name="Normal 2 29 11 6" xfId="25398" xr:uid="{214F2C0D-BDBC-446E-9F46-4096586E467F}"/>
    <cellStyle name="Normal 2 29 11 6 2" xfId="25399" xr:uid="{CFEBDB36-4750-4F8E-B9AC-5C45AF62B769}"/>
    <cellStyle name="Normal 2 29 11 6 3" xfId="25400" xr:uid="{F3EDB081-6638-490F-B0F5-32EA1DE68ECA}"/>
    <cellStyle name="Normal 2 29 11 6 4" xfId="25401" xr:uid="{0ABA0CA5-E030-44FA-9332-B49807444526}"/>
    <cellStyle name="Normal 2 29 11 6 5" xfId="25402" xr:uid="{BACE54CC-C11A-4BD9-81B2-AC9ACFEAB6C5}"/>
    <cellStyle name="Normal 2 29 11 6 6" xfId="25403" xr:uid="{63EB1770-DEB8-4FA8-B283-27AF048BC235}"/>
    <cellStyle name="Normal 2 29 11 7" xfId="25404" xr:uid="{2EA5BE0B-D6D6-4ED9-A514-C06708383E80}"/>
    <cellStyle name="Normal 2 29 11 7 2" xfId="25405" xr:uid="{66334D2F-0CFE-4541-BE17-BE9400EF9289}"/>
    <cellStyle name="Normal 2 29 11 7 3" xfId="25406" xr:uid="{85F6F862-485E-4A3C-AFA7-EDE5F95F2639}"/>
    <cellStyle name="Normal 2 29 11 7 4" xfId="25407" xr:uid="{CB84A24B-1607-4A03-A58C-B281740B0C32}"/>
    <cellStyle name="Normal 2 29 11 7 5" xfId="25408" xr:uid="{B5E6BC26-5272-4DEA-A2F2-D41F29D7FBEF}"/>
    <cellStyle name="Normal 2 29 11 7 6" xfId="25409" xr:uid="{3EE3CEA8-EBE6-4706-90BB-FCC2587BAA85}"/>
    <cellStyle name="Normal 2 29 11 8" xfId="25410" xr:uid="{F3800B5D-C0C0-451B-9C11-9EDF9CEB4D78}"/>
    <cellStyle name="Normal 2 29 11 8 2" xfId="25411" xr:uid="{7BCD89F2-E9CC-434E-B2AB-13B7BE73B02A}"/>
    <cellStyle name="Normal 2 29 11 8 3" xfId="25412" xr:uid="{38485A13-3F21-454A-9DD8-5F246096DFE4}"/>
    <cellStyle name="Normal 2 29 11 8 4" xfId="25413" xr:uid="{96CDF314-2129-4DA6-A2AA-9F89DDEFA2CB}"/>
    <cellStyle name="Normal 2 29 11 8 5" xfId="25414" xr:uid="{84865488-70CF-43B1-8CCA-034BDF5CBE99}"/>
    <cellStyle name="Normal 2 29 11 8 6" xfId="25415" xr:uid="{2DE2F3B3-09EE-4EEC-84B8-A848B1501CDA}"/>
    <cellStyle name="Normal 2 29 11 9" xfId="25416" xr:uid="{A71D2905-5266-4537-B4A3-E88F275C0213}"/>
    <cellStyle name="Normal 2 29 12" xfId="25417" xr:uid="{BD61ED58-4ABD-409E-852E-74E15D95839C}"/>
    <cellStyle name="Normal 2 29 13" xfId="25418" xr:uid="{BAE5AB00-3811-4018-8F14-D2D2B4AC9574}"/>
    <cellStyle name="Normal 2 29 14" xfId="25419" xr:uid="{408801E3-F015-4872-B17E-899B2BE14CCF}"/>
    <cellStyle name="Normal 2 29 15" xfId="25420" xr:uid="{B0EF233E-2A70-4338-89BB-B2E18D35A979}"/>
    <cellStyle name="Normal 2 29 16" xfId="25421" xr:uid="{B11C5492-BA64-43BE-BEBB-B3E283BA99AA}"/>
    <cellStyle name="Normal 2 29 17" xfId="25422" xr:uid="{CA7D8D3D-842B-4AF2-935C-9C5F64D528B7}"/>
    <cellStyle name="Normal 2 29 18" xfId="25423" xr:uid="{B2FF451D-BF20-4634-98DC-EB1F23B80D79}"/>
    <cellStyle name="Normal 2 29 19" xfId="25424" xr:uid="{925CF571-8ED0-4595-B542-46091B7CA0D0}"/>
    <cellStyle name="Normal 2 29 2" xfId="25425" xr:uid="{50C203C1-57F3-4687-89E4-CC16115DCBA3}"/>
    <cellStyle name="Normal 2 29 2 10" xfId="25426" xr:uid="{0AF983C0-D326-4632-843E-33ACB115798F}"/>
    <cellStyle name="Normal 2 29 2 11" xfId="25427" xr:uid="{1927AA97-0AFA-4D97-BA99-068E5C39CAC8}"/>
    <cellStyle name="Normal 2 29 2 12" xfId="25428" xr:uid="{2CDF8A7A-B9B8-417F-933F-8EC546921F5E}"/>
    <cellStyle name="Normal 2 29 2 13" xfId="25429" xr:uid="{4220C70A-9F8B-4742-922E-73BDA20BAADE}"/>
    <cellStyle name="Normal 2 29 2 2" xfId="25430" xr:uid="{0795AD14-6E8B-494D-AFA3-826761B14A02}"/>
    <cellStyle name="Normal 2 29 2 2 2" xfId="25431" xr:uid="{D5FA3F54-D156-4997-AFC8-BDFDF3E84D47}"/>
    <cellStyle name="Normal 2 29 2 2 3" xfId="25432" xr:uid="{5AC1CADF-94F2-4E1F-8141-52902477FE6B}"/>
    <cellStyle name="Normal 2 29 2 2 4" xfId="25433" xr:uid="{2A2ED792-38DD-48E5-978D-7E5B06C4CF4F}"/>
    <cellStyle name="Normal 2 29 2 2 5" xfId="25434" xr:uid="{2C5BF687-F114-433F-B3E0-4EB90137D94D}"/>
    <cellStyle name="Normal 2 29 2 2 6" xfId="25435" xr:uid="{1A10F32F-1E1C-4B01-94A2-41255BD551B7}"/>
    <cellStyle name="Normal 2 29 2 3" xfId="25436" xr:uid="{C0FE7330-AF86-4332-96B8-0745B54FDBFC}"/>
    <cellStyle name="Normal 2 29 2 3 2" xfId="25437" xr:uid="{048984F4-0124-4574-95B5-4F49A96CD97B}"/>
    <cellStyle name="Normal 2 29 2 3 3" xfId="25438" xr:uid="{5FC6CA0C-D016-4867-9097-70E32A82727B}"/>
    <cellStyle name="Normal 2 29 2 3 4" xfId="25439" xr:uid="{5BD40EFA-DF30-463B-8624-744DBC4BD867}"/>
    <cellStyle name="Normal 2 29 2 3 5" xfId="25440" xr:uid="{917E7B83-5FFB-4396-B5E3-6BAC4E5A9B93}"/>
    <cellStyle name="Normal 2 29 2 3 6" xfId="25441" xr:uid="{59BBDED8-C8A3-450D-8038-507F885823E0}"/>
    <cellStyle name="Normal 2 29 2 4" xfId="25442" xr:uid="{459768C3-1026-42BE-9B7C-F9B84AA7B962}"/>
    <cellStyle name="Normal 2 29 2 4 2" xfId="25443" xr:uid="{DEBB3489-6E2B-4EA5-823E-909603E5A37B}"/>
    <cellStyle name="Normal 2 29 2 4 3" xfId="25444" xr:uid="{63623D39-AFE0-48E6-9777-988B9D788064}"/>
    <cellStyle name="Normal 2 29 2 4 4" xfId="25445" xr:uid="{8F72CF8B-5BE9-4A8A-AE8E-0AEDE76AC5F3}"/>
    <cellStyle name="Normal 2 29 2 4 5" xfId="25446" xr:uid="{EB41E230-8D75-4F8A-B8CB-6088511777AF}"/>
    <cellStyle name="Normal 2 29 2 4 6" xfId="25447" xr:uid="{B4A0A7AF-E41E-4041-9F7B-EB0D6E0B2217}"/>
    <cellStyle name="Normal 2 29 2 5" xfId="25448" xr:uid="{9575B43A-D7A3-43A6-8BE1-944C38FE9C95}"/>
    <cellStyle name="Normal 2 29 2 5 2" xfId="25449" xr:uid="{02E989CA-EB90-46FC-85DB-77CB2036AFBF}"/>
    <cellStyle name="Normal 2 29 2 5 3" xfId="25450" xr:uid="{1C52B234-7206-431C-870C-A96EF599F676}"/>
    <cellStyle name="Normal 2 29 2 5 4" xfId="25451" xr:uid="{E504B289-C9EC-450B-9CBC-5A58A9968A82}"/>
    <cellStyle name="Normal 2 29 2 5 5" xfId="25452" xr:uid="{8DB09C75-8D16-4E74-BAB5-E548829FD71C}"/>
    <cellStyle name="Normal 2 29 2 5 6" xfId="25453" xr:uid="{4E12ED54-A581-4F1F-B923-69F99CA27CE2}"/>
    <cellStyle name="Normal 2 29 2 6" xfId="25454" xr:uid="{36B8AEF1-CE4A-4859-A7B6-C062BE85DC00}"/>
    <cellStyle name="Normal 2 29 2 6 2" xfId="25455" xr:uid="{D37267A5-C0FC-4757-83C0-227D3F19B456}"/>
    <cellStyle name="Normal 2 29 2 6 3" xfId="25456" xr:uid="{F907DDA5-BDB7-490D-9B55-05192BB891D2}"/>
    <cellStyle name="Normal 2 29 2 6 4" xfId="25457" xr:uid="{13216EF9-1D45-43BA-B3A6-E72AF89EEAE0}"/>
    <cellStyle name="Normal 2 29 2 6 5" xfId="25458" xr:uid="{5C647DFE-BF36-4790-AC15-348304964B7C}"/>
    <cellStyle name="Normal 2 29 2 6 6" xfId="25459" xr:uid="{CF1DEBAB-B3FA-44FE-BCB1-CE5F465FFDDC}"/>
    <cellStyle name="Normal 2 29 2 7" xfId="25460" xr:uid="{B7CD6311-F92B-475C-BB5D-92E88496C648}"/>
    <cellStyle name="Normal 2 29 2 7 2" xfId="25461" xr:uid="{CE1E70CC-4C6B-40BC-865B-FCD3C7AE4169}"/>
    <cellStyle name="Normal 2 29 2 7 3" xfId="25462" xr:uid="{11093FED-4DAE-498C-8D57-0288C42731FD}"/>
    <cellStyle name="Normal 2 29 2 7 4" xfId="25463" xr:uid="{D292D284-EEE4-4FF4-9199-9AC81489430C}"/>
    <cellStyle name="Normal 2 29 2 7 5" xfId="25464" xr:uid="{859482BA-8E3E-4194-96FF-72BB38B7A2F2}"/>
    <cellStyle name="Normal 2 29 2 7 6" xfId="25465" xr:uid="{90CD6A50-89F5-4AAA-AADD-70DD8C0B3030}"/>
    <cellStyle name="Normal 2 29 2 8" xfId="25466" xr:uid="{3C18A682-218E-44AA-9537-13CF6178E8A2}"/>
    <cellStyle name="Normal 2 29 2 8 2" xfId="25467" xr:uid="{00EF73B8-4DE0-42E8-8B96-49815115BD99}"/>
    <cellStyle name="Normal 2 29 2 8 3" xfId="25468" xr:uid="{AB23B9AC-7609-44E7-B142-FF91E24B64B9}"/>
    <cellStyle name="Normal 2 29 2 8 4" xfId="25469" xr:uid="{357EECB2-F37C-4F5F-B4A0-FA8F31184B54}"/>
    <cellStyle name="Normal 2 29 2 8 5" xfId="25470" xr:uid="{7E5C0696-A2DE-40C8-9023-266F825FE4B2}"/>
    <cellStyle name="Normal 2 29 2 8 6" xfId="25471" xr:uid="{C541941B-28EE-40D1-A4A5-8E0AF166E8E8}"/>
    <cellStyle name="Normal 2 29 2 9" xfId="25472" xr:uid="{BB124924-673E-467C-9CDC-3A43AD2EAD3A}"/>
    <cellStyle name="Normal 2 29 20" xfId="25473" xr:uid="{E8785FA4-D193-40F6-85E4-6FE0E16966A5}"/>
    <cellStyle name="Normal 2 29 21" xfId="25474" xr:uid="{ED6B4A2A-E847-4054-B334-678A8F8C68E9}"/>
    <cellStyle name="Normal 2 29 22" xfId="25475" xr:uid="{7390DAC5-CAF4-4E0F-8E97-2DA65A1DDD7B}"/>
    <cellStyle name="Normal 2 29 23" xfId="25476" xr:uid="{07BE8057-7C7C-4E75-94CC-AF76C2A8611D}"/>
    <cellStyle name="Normal 2 29 24" xfId="25477" xr:uid="{4539FCAA-2801-4ACA-B76F-7BFBCB18AC86}"/>
    <cellStyle name="Normal 2 29 25" xfId="25478" xr:uid="{A4506D2D-D48D-49C5-8604-408A7B24C1A7}"/>
    <cellStyle name="Normal 2 29 26" xfId="25479" xr:uid="{A3B8DB17-F3EF-4A88-8736-1390DC5AF50C}"/>
    <cellStyle name="Normal 2 29 27" xfId="25480" xr:uid="{7463B2A7-DCD4-43C6-8145-A1D53CAC8051}"/>
    <cellStyle name="Normal 2 29 28" xfId="25481" xr:uid="{D8171A2A-0A10-4A90-A710-F7EE4466FE25}"/>
    <cellStyle name="Normal 2 29 29" xfId="25482" xr:uid="{6B1AE1B3-1BB2-445F-BD75-3E4A4B0ABA99}"/>
    <cellStyle name="Normal 2 29 3" xfId="25483" xr:uid="{D83224FA-1625-47CF-9B95-9A971EB43133}"/>
    <cellStyle name="Normal 2 29 3 10" xfId="25484" xr:uid="{8253B649-8DC2-43AC-A315-03CA10BB04B2}"/>
    <cellStyle name="Normal 2 29 3 11" xfId="25485" xr:uid="{78A76D14-3D88-4679-ABDE-689B7AC384A0}"/>
    <cellStyle name="Normal 2 29 3 12" xfId="25486" xr:uid="{92BC00BF-F2FE-40F6-8698-CE2E7F53F200}"/>
    <cellStyle name="Normal 2 29 3 13" xfId="25487" xr:uid="{4AA20237-4102-4D39-AA2B-281FA6CCB174}"/>
    <cellStyle name="Normal 2 29 3 2" xfId="25488" xr:uid="{24518945-A77F-4E20-841E-2F79D548F080}"/>
    <cellStyle name="Normal 2 29 3 2 2" xfId="25489" xr:uid="{75EE2EF7-4FF1-4164-B861-ED210DB1178C}"/>
    <cellStyle name="Normal 2 29 3 2 3" xfId="25490" xr:uid="{0D0972E8-264B-4470-9182-0D9828DA8E92}"/>
    <cellStyle name="Normal 2 29 3 2 4" xfId="25491" xr:uid="{60DDBDD2-40B9-4235-B64F-790D554520DC}"/>
    <cellStyle name="Normal 2 29 3 2 5" xfId="25492" xr:uid="{18116C1B-B3F9-418C-A362-11412C2F92F3}"/>
    <cellStyle name="Normal 2 29 3 2 6" xfId="25493" xr:uid="{D25689AC-4E55-4D8F-B6AA-DFBA2122FE94}"/>
    <cellStyle name="Normal 2 29 3 3" xfId="25494" xr:uid="{79A91517-4ECC-44E1-BFA1-B87EA57E825B}"/>
    <cellStyle name="Normal 2 29 3 3 2" xfId="25495" xr:uid="{39DDFA9D-C476-4125-8BD3-41F8C22441AF}"/>
    <cellStyle name="Normal 2 29 3 3 3" xfId="25496" xr:uid="{EA2EA769-527A-45DD-9D7A-D40C97CE3FCB}"/>
    <cellStyle name="Normal 2 29 3 3 4" xfId="25497" xr:uid="{C4CA534F-B275-4EC9-BABF-9F0F68A02AEA}"/>
    <cellStyle name="Normal 2 29 3 3 5" xfId="25498" xr:uid="{529F8278-486E-46A6-98C9-D9BEC11110A1}"/>
    <cellStyle name="Normal 2 29 3 3 6" xfId="25499" xr:uid="{5DB1C412-6443-463C-B9AE-4F4EA45CB07E}"/>
    <cellStyle name="Normal 2 29 3 4" xfId="25500" xr:uid="{FAE8A1C8-DE8D-45CE-BEED-677D288DB21D}"/>
    <cellStyle name="Normal 2 29 3 4 2" xfId="25501" xr:uid="{CF04C2AB-319E-4B3E-AD5F-61790B6D0F73}"/>
    <cellStyle name="Normal 2 29 3 4 3" xfId="25502" xr:uid="{119A1A79-B281-4772-B7A1-296FF371ACE9}"/>
    <cellStyle name="Normal 2 29 3 4 4" xfId="25503" xr:uid="{22156FCC-715A-4870-9DA6-9BCD686F19DD}"/>
    <cellStyle name="Normal 2 29 3 4 5" xfId="25504" xr:uid="{E26A333A-2FF0-4D5A-B600-4E58957BA29A}"/>
    <cellStyle name="Normal 2 29 3 4 6" xfId="25505" xr:uid="{C5032A7F-FAAC-4F4A-AE78-1C78088FA2FE}"/>
    <cellStyle name="Normal 2 29 3 5" xfId="25506" xr:uid="{12D41210-E150-4DB9-A06F-D8AF9051F69D}"/>
    <cellStyle name="Normal 2 29 3 5 2" xfId="25507" xr:uid="{F3F6E29C-D08F-4004-A7CB-AEFB861DA40B}"/>
    <cellStyle name="Normal 2 29 3 5 3" xfId="25508" xr:uid="{1C8F8AD1-85EE-4780-B02B-646FDB98CA3D}"/>
    <cellStyle name="Normal 2 29 3 5 4" xfId="25509" xr:uid="{B90A14F9-2B23-4840-BAC4-945E5774D0EB}"/>
    <cellStyle name="Normal 2 29 3 5 5" xfId="25510" xr:uid="{30D6BD99-0004-4924-AD5B-2160649D2836}"/>
    <cellStyle name="Normal 2 29 3 5 6" xfId="25511" xr:uid="{B657E3B4-E0EF-41FF-93AC-1724478F10CC}"/>
    <cellStyle name="Normal 2 29 3 6" xfId="25512" xr:uid="{F51A997D-E589-40F1-805B-153E72A97F15}"/>
    <cellStyle name="Normal 2 29 3 6 2" xfId="25513" xr:uid="{B3E79670-DC44-4DC6-8BC2-654B5E4BCAC3}"/>
    <cellStyle name="Normal 2 29 3 6 3" xfId="25514" xr:uid="{E8D54B81-4146-4146-8AB9-72130474B4E8}"/>
    <cellStyle name="Normal 2 29 3 6 4" xfId="25515" xr:uid="{7FBFB332-F4F1-4A16-8DFE-CB59C033E145}"/>
    <cellStyle name="Normal 2 29 3 6 5" xfId="25516" xr:uid="{B11E7D0A-391F-4C68-BAAD-B04E30D40D1A}"/>
    <cellStyle name="Normal 2 29 3 6 6" xfId="25517" xr:uid="{C8E657F8-1D2C-42D1-B817-2D033625ED2A}"/>
    <cellStyle name="Normal 2 29 3 7" xfId="25518" xr:uid="{EC3A8395-A2DD-4117-A5C0-9E12D56D45C3}"/>
    <cellStyle name="Normal 2 29 3 7 2" xfId="25519" xr:uid="{E6B5D982-AE50-4AE6-BC5E-C64B3128A559}"/>
    <cellStyle name="Normal 2 29 3 7 3" xfId="25520" xr:uid="{6FB725E2-DE03-4B54-8242-1ECD6A16D9EF}"/>
    <cellStyle name="Normal 2 29 3 7 4" xfId="25521" xr:uid="{94B71C7E-3410-490D-8629-E1E1771ECB44}"/>
    <cellStyle name="Normal 2 29 3 7 5" xfId="25522" xr:uid="{D6EFBB2F-7E74-4A0D-AEAC-52A46FE22EAB}"/>
    <cellStyle name="Normal 2 29 3 7 6" xfId="25523" xr:uid="{C999CB62-274B-421A-A277-4C0EF253B593}"/>
    <cellStyle name="Normal 2 29 3 8" xfId="25524" xr:uid="{34B26112-4107-407D-A37F-C979DA3101C7}"/>
    <cellStyle name="Normal 2 29 3 8 2" xfId="25525" xr:uid="{8ADB0011-2B4B-4D3C-B72B-937613D99DD6}"/>
    <cellStyle name="Normal 2 29 3 8 3" xfId="25526" xr:uid="{F63214A0-F9D8-4D5A-BB51-CCA79F473B6A}"/>
    <cellStyle name="Normal 2 29 3 8 4" xfId="25527" xr:uid="{CCE83AE2-0614-4D0A-B3F3-DBBBCAF4DF70}"/>
    <cellStyle name="Normal 2 29 3 8 5" xfId="25528" xr:uid="{CD280F7E-1570-48EF-AFA2-CBBEBDA33BEA}"/>
    <cellStyle name="Normal 2 29 3 8 6" xfId="25529" xr:uid="{E02AA20B-7671-4BBD-A411-97876DE73F65}"/>
    <cellStyle name="Normal 2 29 3 9" xfId="25530" xr:uid="{0266DD7D-5897-4CA2-A67F-BD73E5D139D2}"/>
    <cellStyle name="Normal 2 29 30" xfId="25531" xr:uid="{5CF73F60-6D8F-4F67-89C6-BFCC92D42FDF}"/>
    <cellStyle name="Normal 2 29 31" xfId="25532" xr:uid="{518EA411-07D1-4EBB-83F3-602582885E17}"/>
    <cellStyle name="Normal 2 29 32" xfId="25533" xr:uid="{352691A3-E229-413D-8339-E87DA2871CE3}"/>
    <cellStyle name="Normal 2 29 33" xfId="25534" xr:uid="{82A382D7-6E2E-4144-8BC6-507069BFF9A7}"/>
    <cellStyle name="Normal 2 29 34" xfId="25535" xr:uid="{78DD5EC5-4747-4550-AF47-B3105B068508}"/>
    <cellStyle name="Normal 2 29 35" xfId="25536" xr:uid="{89184426-64C0-4923-A00D-8B7EF2A8B8A4}"/>
    <cellStyle name="Normal 2 29 36" xfId="25537" xr:uid="{3B2D9222-C3A3-48F6-B56F-5F96ABC2C5F5}"/>
    <cellStyle name="Normal 2 29 37" xfId="25538" xr:uid="{62352F63-7043-4BC0-9D9B-F889FBE0D4AC}"/>
    <cellStyle name="Normal 2 29 38" xfId="25539" xr:uid="{27632442-AC0E-4970-A3A5-CABAE2CB79FB}"/>
    <cellStyle name="Normal 2 29 39" xfId="25540" xr:uid="{0C3A1659-4EB5-40FB-8DF8-13F66E79D78F}"/>
    <cellStyle name="Normal 2 29 4" xfId="25541" xr:uid="{46C2CEB8-6199-46E6-9E8C-29F6E44B3C85}"/>
    <cellStyle name="Normal 2 29 4 10" xfId="25542" xr:uid="{98B04831-67E5-4427-84DF-4222388C95FA}"/>
    <cellStyle name="Normal 2 29 4 11" xfId="25543" xr:uid="{95D761F4-712F-4AB8-B779-99C7CB431F28}"/>
    <cellStyle name="Normal 2 29 4 12" xfId="25544" xr:uid="{1F364F08-9F49-4CBE-BD1D-E5B7EEB8F322}"/>
    <cellStyle name="Normal 2 29 4 13" xfId="25545" xr:uid="{8615FDF5-B2DB-4225-B4B4-A03A21F80108}"/>
    <cellStyle name="Normal 2 29 4 2" xfId="25546" xr:uid="{463CC690-5CF9-47FD-BD83-6608099B8EB8}"/>
    <cellStyle name="Normal 2 29 4 2 2" xfId="25547" xr:uid="{BCCEE3C1-6C0D-4B8A-B6C4-04830D9D95B7}"/>
    <cellStyle name="Normal 2 29 4 2 3" xfId="25548" xr:uid="{04BA0F6C-02F3-4A3C-B434-8428A8D72AAA}"/>
    <cellStyle name="Normal 2 29 4 2 4" xfId="25549" xr:uid="{57799E32-8D82-46D9-8D6B-E93737442D57}"/>
    <cellStyle name="Normal 2 29 4 2 5" xfId="25550" xr:uid="{4A54EEE1-620C-4CDA-87C9-A8DFC8A9C602}"/>
    <cellStyle name="Normal 2 29 4 2 6" xfId="25551" xr:uid="{0A230B7C-9143-40EF-8D4A-82298E165CCD}"/>
    <cellStyle name="Normal 2 29 4 3" xfId="25552" xr:uid="{54C1B2A6-FA28-4531-9B81-A835D566038A}"/>
    <cellStyle name="Normal 2 29 4 3 2" xfId="25553" xr:uid="{3FF3485B-FC43-4BCB-8526-D7558D403E58}"/>
    <cellStyle name="Normal 2 29 4 3 3" xfId="25554" xr:uid="{F282D176-FD80-478F-B6C6-1CB199524DC3}"/>
    <cellStyle name="Normal 2 29 4 3 4" xfId="25555" xr:uid="{906C02CF-824C-4CDE-8B46-7C8989DBB416}"/>
    <cellStyle name="Normal 2 29 4 3 5" xfId="25556" xr:uid="{6D03425F-BB7A-4D29-86D7-18E4D38A6BBE}"/>
    <cellStyle name="Normal 2 29 4 3 6" xfId="25557" xr:uid="{A8804093-EBB4-455C-A23D-5E4805E49483}"/>
    <cellStyle name="Normal 2 29 4 4" xfId="25558" xr:uid="{27C3EA78-318D-4DFB-9CDB-6815E8124941}"/>
    <cellStyle name="Normal 2 29 4 4 2" xfId="25559" xr:uid="{47F1DE33-7AB3-4854-866D-2217DEF37298}"/>
    <cellStyle name="Normal 2 29 4 4 3" xfId="25560" xr:uid="{BC1424C6-DDAD-4B71-ABCB-D40DDFA71972}"/>
    <cellStyle name="Normal 2 29 4 4 4" xfId="25561" xr:uid="{7BD2579F-FC68-4AD2-BF05-14CC406AA3C4}"/>
    <cellStyle name="Normal 2 29 4 4 5" xfId="25562" xr:uid="{92F77773-B0A2-41B5-9284-8229DB94ADEB}"/>
    <cellStyle name="Normal 2 29 4 4 6" xfId="25563" xr:uid="{A26DCCDC-37AC-4D86-9F7D-18D369BE6B59}"/>
    <cellStyle name="Normal 2 29 4 5" xfId="25564" xr:uid="{8C87F6D2-6BA5-4E46-A768-5C1D4812161B}"/>
    <cellStyle name="Normal 2 29 4 5 2" xfId="25565" xr:uid="{ACBE65FB-BFDA-451B-A124-ADB00420A318}"/>
    <cellStyle name="Normal 2 29 4 5 3" xfId="25566" xr:uid="{AA68F7F2-3DBB-437C-8F22-4D6A868B301B}"/>
    <cellStyle name="Normal 2 29 4 5 4" xfId="25567" xr:uid="{3F90B7F2-7485-49E6-99C5-9EB99E9D1831}"/>
    <cellStyle name="Normal 2 29 4 5 5" xfId="25568" xr:uid="{9197DDA6-A1C0-42F0-BDE2-8639144766B1}"/>
    <cellStyle name="Normal 2 29 4 5 6" xfId="25569" xr:uid="{575E7FDA-719A-4468-B1C4-FBA0E641A0AA}"/>
    <cellStyle name="Normal 2 29 4 6" xfId="25570" xr:uid="{EC5F77DD-BDE2-47EC-A467-2D080777C55C}"/>
    <cellStyle name="Normal 2 29 4 6 2" xfId="25571" xr:uid="{FB2D0DEE-5E92-4FDC-BE13-B80D2A37F583}"/>
    <cellStyle name="Normal 2 29 4 6 3" xfId="25572" xr:uid="{B3CB9BAC-10CB-4EA4-B765-40A8FEAE2C42}"/>
    <cellStyle name="Normal 2 29 4 6 4" xfId="25573" xr:uid="{24451AF3-0196-46AD-A3AC-017DF589596D}"/>
    <cellStyle name="Normal 2 29 4 6 5" xfId="25574" xr:uid="{AF1EBB94-0C5F-4707-B69B-A74C4F9F6284}"/>
    <cellStyle name="Normal 2 29 4 6 6" xfId="25575" xr:uid="{B792F6E3-98A8-44D6-A49D-CD57B2187DDC}"/>
    <cellStyle name="Normal 2 29 4 7" xfId="25576" xr:uid="{142C6D8E-BD1C-4D48-B5CD-45BB4F9C254F}"/>
    <cellStyle name="Normal 2 29 4 7 2" xfId="25577" xr:uid="{58D70C19-93EC-4A47-9B3B-FD6B4162EFC9}"/>
    <cellStyle name="Normal 2 29 4 7 3" xfId="25578" xr:uid="{B10BD5EF-2C8D-42BF-94F8-83ECCB9BEDB8}"/>
    <cellStyle name="Normal 2 29 4 7 4" xfId="25579" xr:uid="{5FAA3655-36B7-4BD4-A543-075E7759CC75}"/>
    <cellStyle name="Normal 2 29 4 7 5" xfId="25580" xr:uid="{4CD36930-C707-47B2-B777-36F59AA1C60F}"/>
    <cellStyle name="Normal 2 29 4 7 6" xfId="25581" xr:uid="{8A485AE8-A3A4-4FB0-A22D-7C889D8F7ECB}"/>
    <cellStyle name="Normal 2 29 4 8" xfId="25582" xr:uid="{A246C71E-7079-4DE5-A1EE-8C63528AC87E}"/>
    <cellStyle name="Normal 2 29 4 8 2" xfId="25583" xr:uid="{95EB69E0-E662-4291-ABD8-211BB83B1168}"/>
    <cellStyle name="Normal 2 29 4 8 3" xfId="25584" xr:uid="{695C4CCB-2B57-4A2A-B195-DAE01CFCC24F}"/>
    <cellStyle name="Normal 2 29 4 8 4" xfId="25585" xr:uid="{9FAE4C90-BCDE-40E4-9BD9-C56A955C7AB6}"/>
    <cellStyle name="Normal 2 29 4 8 5" xfId="25586" xr:uid="{EAA5D1E1-1E64-4DDC-AAB3-73F0334224EA}"/>
    <cellStyle name="Normal 2 29 4 8 6" xfId="25587" xr:uid="{C7EB6AEA-B625-4355-A6FF-B6B1B3F0A7DB}"/>
    <cellStyle name="Normal 2 29 4 9" xfId="25588" xr:uid="{CEC273D3-E1DD-4D71-A85D-CA3B4FDBA5E0}"/>
    <cellStyle name="Normal 2 29 40" xfId="25589" xr:uid="{D14CCF82-2576-41B3-AE2E-CF9A8F94F34C}"/>
    <cellStyle name="Normal 2 29 41" xfId="25590" xr:uid="{F68A1FCD-0A67-47FE-B053-B2C2639AE0AE}"/>
    <cellStyle name="Normal 2 29 42" xfId="25591" xr:uid="{2F7ABEFC-1AB5-41DB-B7CC-23723EF8EFAF}"/>
    <cellStyle name="Normal 2 29 43" xfId="25592" xr:uid="{F1F37328-2C34-4E65-B261-AAD35C6125BC}"/>
    <cellStyle name="Normal 2 29 44" xfId="25593" xr:uid="{4DCCEFB5-0F56-4E49-A80F-8D22FA2920BA}"/>
    <cellStyle name="Normal 2 29 45" xfId="25594" xr:uid="{CC74CF63-FD9F-49B8-95E4-4F736BD656D4}"/>
    <cellStyle name="Normal 2 29 46" xfId="25595" xr:uid="{5A120F47-4994-477E-B167-5428BCF1F61A}"/>
    <cellStyle name="Normal 2 29 47" xfId="25596" xr:uid="{CF3DFF5A-2E63-4283-8790-B2E3700E116D}"/>
    <cellStyle name="Normal 2 29 48" xfId="25597" xr:uid="{5CFF9372-4FE5-4961-8161-913BA8AD7F97}"/>
    <cellStyle name="Normal 2 29 5" xfId="25598" xr:uid="{29B6EE73-8391-4A67-AC30-16BAF4830A7C}"/>
    <cellStyle name="Normal 2 29 5 10" xfId="25599" xr:uid="{1D9CE915-AABB-44C7-8B53-52F7D32D8FD6}"/>
    <cellStyle name="Normal 2 29 5 11" xfId="25600" xr:uid="{1FFD9D7E-C03C-4AB3-810E-4933D0859635}"/>
    <cellStyle name="Normal 2 29 5 12" xfId="25601" xr:uid="{39C6A088-BA81-4AEA-9242-D7CF51D2B7C3}"/>
    <cellStyle name="Normal 2 29 5 13" xfId="25602" xr:uid="{1533B3AC-40A7-4D3F-A1DE-5CE1BD4B25F2}"/>
    <cellStyle name="Normal 2 29 5 2" xfId="25603" xr:uid="{F0241A53-4454-428C-A431-23BB92AE0430}"/>
    <cellStyle name="Normal 2 29 5 2 2" xfId="25604" xr:uid="{035A5F21-C57B-4DBD-80BE-6C5BBBAA0ECB}"/>
    <cellStyle name="Normal 2 29 5 2 3" xfId="25605" xr:uid="{20C7791A-85ED-4DC9-A8A4-5F0B5B870112}"/>
    <cellStyle name="Normal 2 29 5 2 4" xfId="25606" xr:uid="{9BB575C5-1787-42C6-A0F3-8F01CCDBF1B8}"/>
    <cellStyle name="Normal 2 29 5 2 5" xfId="25607" xr:uid="{B2302F1F-BCAA-437E-97B4-3082E21060D0}"/>
    <cellStyle name="Normal 2 29 5 2 6" xfId="25608" xr:uid="{663AD07C-8F8C-4EE4-8401-841948F1FC39}"/>
    <cellStyle name="Normal 2 29 5 3" xfId="25609" xr:uid="{6DB43832-3AF8-4683-9D3F-E19EC4AAFBE7}"/>
    <cellStyle name="Normal 2 29 5 3 2" xfId="25610" xr:uid="{972923CF-B979-46FC-8338-A00BE373F75C}"/>
    <cellStyle name="Normal 2 29 5 3 3" xfId="25611" xr:uid="{29A26AE8-8661-478F-9F5B-692380015F53}"/>
    <cellStyle name="Normal 2 29 5 3 4" xfId="25612" xr:uid="{CB58EED5-FC9C-49D8-8F0A-5B72C08D4F6C}"/>
    <cellStyle name="Normal 2 29 5 3 5" xfId="25613" xr:uid="{021D16EA-F92F-4E18-8B59-78368B960E05}"/>
    <cellStyle name="Normal 2 29 5 3 6" xfId="25614" xr:uid="{DE9E64A3-2FE5-4556-965C-3D25B0E96AD6}"/>
    <cellStyle name="Normal 2 29 5 4" xfId="25615" xr:uid="{0A5D4795-8210-4358-8CF2-3B3EE6337143}"/>
    <cellStyle name="Normal 2 29 5 4 2" xfId="25616" xr:uid="{958B75F2-C712-4939-86C8-E3DD1968DE06}"/>
    <cellStyle name="Normal 2 29 5 4 3" xfId="25617" xr:uid="{9EC551C2-ACA3-42DA-93FC-5E31B95B2F82}"/>
    <cellStyle name="Normal 2 29 5 4 4" xfId="25618" xr:uid="{733EBBC4-E171-45C9-9B0D-538829A64CF3}"/>
    <cellStyle name="Normal 2 29 5 4 5" xfId="25619" xr:uid="{4B622998-41DE-4087-B974-A0C9B6847D19}"/>
    <cellStyle name="Normal 2 29 5 4 6" xfId="25620" xr:uid="{ED59A53B-FDB8-49A3-B459-75650344E01A}"/>
    <cellStyle name="Normal 2 29 5 5" xfId="25621" xr:uid="{DB0DB980-92FA-4F3B-8A75-B232C2F26143}"/>
    <cellStyle name="Normal 2 29 5 5 2" xfId="25622" xr:uid="{D7B3CF20-518C-490E-82FB-A4EA31B094F1}"/>
    <cellStyle name="Normal 2 29 5 5 3" xfId="25623" xr:uid="{137F4A6E-6717-4ECA-BCA3-D059BF991FA0}"/>
    <cellStyle name="Normal 2 29 5 5 4" xfId="25624" xr:uid="{4FB31794-0B57-435E-859C-420E7358839D}"/>
    <cellStyle name="Normal 2 29 5 5 5" xfId="25625" xr:uid="{192A256B-88F5-4ABD-B87C-924795691A4A}"/>
    <cellStyle name="Normal 2 29 5 5 6" xfId="25626" xr:uid="{8C9E2DBB-A779-4B65-AC8D-42E6F22E8587}"/>
    <cellStyle name="Normal 2 29 5 6" xfId="25627" xr:uid="{4BE80339-54BC-40B3-AD73-03447FF75CDD}"/>
    <cellStyle name="Normal 2 29 5 6 2" xfId="25628" xr:uid="{17892EAE-A192-4708-A832-4817036D4DC8}"/>
    <cellStyle name="Normal 2 29 5 6 3" xfId="25629" xr:uid="{A2563DFE-1245-4AD4-A86E-EC0A975ED619}"/>
    <cellStyle name="Normal 2 29 5 6 4" xfId="25630" xr:uid="{CFECC0DA-C37F-4F6B-954D-CC7C0F79070F}"/>
    <cellStyle name="Normal 2 29 5 6 5" xfId="25631" xr:uid="{F8F62288-34A2-4459-AC1A-BE1FBAAB22AA}"/>
    <cellStyle name="Normal 2 29 5 6 6" xfId="25632" xr:uid="{DA79ECA3-DF05-448C-B1AB-176637EBB9AD}"/>
    <cellStyle name="Normal 2 29 5 7" xfId="25633" xr:uid="{D829C51E-0140-4B86-A2AD-FA5B0370CAE3}"/>
    <cellStyle name="Normal 2 29 5 7 2" xfId="25634" xr:uid="{8DCFDDE0-AF04-4BCD-B918-AD43664D49B9}"/>
    <cellStyle name="Normal 2 29 5 7 3" xfId="25635" xr:uid="{374034B0-61E9-451D-B9DE-F66E687B3B12}"/>
    <cellStyle name="Normal 2 29 5 7 4" xfId="25636" xr:uid="{0F05831E-A9BE-4349-B0BA-6746095AB2B7}"/>
    <cellStyle name="Normal 2 29 5 7 5" xfId="25637" xr:uid="{F453D6EA-F33C-4CEF-9AC5-7F4E2E78FB6A}"/>
    <cellStyle name="Normal 2 29 5 7 6" xfId="25638" xr:uid="{3D03895D-F986-4BC5-97DD-8F753EC18431}"/>
    <cellStyle name="Normal 2 29 5 8" xfId="25639" xr:uid="{A83CB4A0-F9F2-456D-AC3F-1CEF4B475D9A}"/>
    <cellStyle name="Normal 2 29 5 8 2" xfId="25640" xr:uid="{6D6301D3-2423-4AE4-83B5-E482AB03019C}"/>
    <cellStyle name="Normal 2 29 5 8 3" xfId="25641" xr:uid="{2838D5CD-5412-405A-A77E-2D346632FB37}"/>
    <cellStyle name="Normal 2 29 5 8 4" xfId="25642" xr:uid="{5084D515-E341-4CF8-A4E5-A9C761A0FCFF}"/>
    <cellStyle name="Normal 2 29 5 8 5" xfId="25643" xr:uid="{D6E0C8A6-6565-4F55-9303-7E27BD26CDE7}"/>
    <cellStyle name="Normal 2 29 5 8 6" xfId="25644" xr:uid="{C519F5A3-997E-42EA-85AF-886A21097540}"/>
    <cellStyle name="Normal 2 29 5 9" xfId="25645" xr:uid="{66321A3F-6024-4BE2-8BC0-716B5FA6C0A2}"/>
    <cellStyle name="Normal 2 29 6" xfId="25646" xr:uid="{36730614-51DE-4F37-BEE2-00B804F77BAE}"/>
    <cellStyle name="Normal 2 29 6 10" xfId="25647" xr:uid="{2FFC0B26-744C-4090-BFA4-E5AEB352CA46}"/>
    <cellStyle name="Normal 2 29 6 11" xfId="25648" xr:uid="{744CE8AC-F134-4799-94FA-45A484C80CB8}"/>
    <cellStyle name="Normal 2 29 6 12" xfId="25649" xr:uid="{AFF96705-7466-4421-BBB8-BC39CDE8F3F2}"/>
    <cellStyle name="Normal 2 29 6 13" xfId="25650" xr:uid="{65975B06-86C2-4C62-BEBC-26E84B44DAE2}"/>
    <cellStyle name="Normal 2 29 6 2" xfId="25651" xr:uid="{8F4DF083-3F68-44CC-A5AD-91A1988FC81C}"/>
    <cellStyle name="Normal 2 29 6 2 2" xfId="25652" xr:uid="{C809A277-C59A-4A6D-B676-5F5808B1000A}"/>
    <cellStyle name="Normal 2 29 6 2 3" xfId="25653" xr:uid="{8D4B2248-7660-4D01-BA11-2182F8128BEA}"/>
    <cellStyle name="Normal 2 29 6 2 4" xfId="25654" xr:uid="{92B5098A-D1FD-45E5-8E63-2CEA5736E9E5}"/>
    <cellStyle name="Normal 2 29 6 2 5" xfId="25655" xr:uid="{E67DB03F-3CAE-4AB3-B0D7-C6E45A010A4E}"/>
    <cellStyle name="Normal 2 29 6 2 6" xfId="25656" xr:uid="{B1FDA14E-0FE6-4A39-AE4B-95D98D4CD884}"/>
    <cellStyle name="Normal 2 29 6 3" xfId="25657" xr:uid="{E611B566-A33D-47FF-9F1E-47AF6EEC08F0}"/>
    <cellStyle name="Normal 2 29 6 3 2" xfId="25658" xr:uid="{C93916ED-64C2-4B25-82DF-BC976E9BCA79}"/>
    <cellStyle name="Normal 2 29 6 3 3" xfId="25659" xr:uid="{665146C0-5DA5-4412-B3E6-2FB5238C0390}"/>
    <cellStyle name="Normal 2 29 6 3 4" xfId="25660" xr:uid="{E88E9690-F929-4607-BFD6-4B9749EF64B9}"/>
    <cellStyle name="Normal 2 29 6 3 5" xfId="25661" xr:uid="{42AE74E4-718A-4A2B-954B-20B4E5F76253}"/>
    <cellStyle name="Normal 2 29 6 3 6" xfId="25662" xr:uid="{49E2E0A2-68F8-46F0-87DB-BC371DB7080C}"/>
    <cellStyle name="Normal 2 29 6 4" xfId="25663" xr:uid="{7AEFDB05-DA85-4CCB-9D15-06FD5DB5ACEA}"/>
    <cellStyle name="Normal 2 29 6 4 2" xfId="25664" xr:uid="{99B00E9F-BAA3-48AE-9BE4-EF6FD06E1EAF}"/>
    <cellStyle name="Normal 2 29 6 4 3" xfId="25665" xr:uid="{E0BCDBEA-F375-46FB-BCC9-8FA8C1E984A7}"/>
    <cellStyle name="Normal 2 29 6 4 4" xfId="25666" xr:uid="{5275F13A-8B51-48E8-8F6A-F78150453442}"/>
    <cellStyle name="Normal 2 29 6 4 5" xfId="25667" xr:uid="{D2120B76-B0FB-4936-8710-38F4FB17D2E0}"/>
    <cellStyle name="Normal 2 29 6 4 6" xfId="25668" xr:uid="{B087DA40-1087-4416-9021-9B8C41869C54}"/>
    <cellStyle name="Normal 2 29 6 5" xfId="25669" xr:uid="{BBEA861A-33FD-4C52-AE66-E9D008ECE1DB}"/>
    <cellStyle name="Normal 2 29 6 5 2" xfId="25670" xr:uid="{2DEB3A34-DA93-4B13-9EE0-8F12FD6E4DB0}"/>
    <cellStyle name="Normal 2 29 6 5 3" xfId="25671" xr:uid="{D4B36C1B-A011-4E89-A678-AC15CDD13C8C}"/>
    <cellStyle name="Normal 2 29 6 5 4" xfId="25672" xr:uid="{09B048E2-C43B-4ACE-B417-7056FE10F821}"/>
    <cellStyle name="Normal 2 29 6 5 5" xfId="25673" xr:uid="{58ADEC69-8EE7-4679-B24B-6863D424BF36}"/>
    <cellStyle name="Normal 2 29 6 5 6" xfId="25674" xr:uid="{3B5C2E6B-90CF-4D4E-9BEA-AFF139ABB7B4}"/>
    <cellStyle name="Normal 2 29 6 6" xfId="25675" xr:uid="{890D200D-CB04-4822-AEC3-21C43FF58EC6}"/>
    <cellStyle name="Normal 2 29 6 6 2" xfId="25676" xr:uid="{166396A9-BF5E-4487-A05C-34B1EC89A506}"/>
    <cellStyle name="Normal 2 29 6 6 3" xfId="25677" xr:uid="{1FAC1B89-DDF4-40EB-8B13-60FEDCA3188E}"/>
    <cellStyle name="Normal 2 29 6 6 4" xfId="25678" xr:uid="{BD3C18AD-1CE3-4B76-9E73-1845E57F85CB}"/>
    <cellStyle name="Normal 2 29 6 6 5" xfId="25679" xr:uid="{2E60A365-565F-410C-9346-A7BFAA7C9CAB}"/>
    <cellStyle name="Normal 2 29 6 6 6" xfId="25680" xr:uid="{3B98AB4C-BCC3-43F0-9C34-046C0C340A8B}"/>
    <cellStyle name="Normal 2 29 6 7" xfId="25681" xr:uid="{E91BF552-388B-437F-8FF6-6BD6416C1A6B}"/>
    <cellStyle name="Normal 2 29 6 7 2" xfId="25682" xr:uid="{5B62CC5D-8BF4-4DFB-A9C4-39F3737E4DC1}"/>
    <cellStyle name="Normal 2 29 6 7 3" xfId="25683" xr:uid="{D23958CF-9C5C-4005-A0F0-43FE6B40D5FC}"/>
    <cellStyle name="Normal 2 29 6 7 4" xfId="25684" xr:uid="{9BFCBFC0-5A1F-4024-AADA-066EDA11C9BF}"/>
    <cellStyle name="Normal 2 29 6 7 5" xfId="25685" xr:uid="{B782AB45-F95B-4C83-B7BB-A107D8EE75AA}"/>
    <cellStyle name="Normal 2 29 6 7 6" xfId="25686" xr:uid="{685B99E5-30F7-4104-A0A4-5A97243E06DE}"/>
    <cellStyle name="Normal 2 29 6 8" xfId="25687" xr:uid="{2E0AA9E3-7CB2-4831-9734-AEFF79BFCDB7}"/>
    <cellStyle name="Normal 2 29 6 8 2" xfId="25688" xr:uid="{449D1A9F-CC32-4C38-8A28-357EBEFE51A5}"/>
    <cellStyle name="Normal 2 29 6 8 3" xfId="25689" xr:uid="{D4DC354E-7264-46D5-8D2D-88EF7B7A33D9}"/>
    <cellStyle name="Normal 2 29 6 8 4" xfId="25690" xr:uid="{BC94FFE5-D80D-4875-8070-8D22EAC67957}"/>
    <cellStyle name="Normal 2 29 6 8 5" xfId="25691" xr:uid="{3D00444F-D256-45F5-A4F4-93CF69F8EACD}"/>
    <cellStyle name="Normal 2 29 6 8 6" xfId="25692" xr:uid="{926E8B35-FDB9-4D0D-A616-F0AE2B03B0B1}"/>
    <cellStyle name="Normal 2 29 6 9" xfId="25693" xr:uid="{CC2D09A5-04FD-4769-84CF-8BA16548538B}"/>
    <cellStyle name="Normal 2 29 7" xfId="25694" xr:uid="{E47E9185-CA20-4A80-84ED-B3FA7B355EE0}"/>
    <cellStyle name="Normal 2 29 7 10" xfId="25695" xr:uid="{DAC621B4-5C4C-42D0-8391-DA8FE1D68E00}"/>
    <cellStyle name="Normal 2 29 7 11" xfId="25696" xr:uid="{FADABB08-7B3F-4BED-8B79-2D5C0A7E98F0}"/>
    <cellStyle name="Normal 2 29 7 12" xfId="25697" xr:uid="{2C8DC262-1BCC-400E-9AFF-77AB1889772B}"/>
    <cellStyle name="Normal 2 29 7 13" xfId="25698" xr:uid="{758CCC27-44B4-4715-A2C6-9D32A7299C4B}"/>
    <cellStyle name="Normal 2 29 7 2" xfId="25699" xr:uid="{9A266EE7-624F-4A47-9C6A-EF8B1DF7FB7C}"/>
    <cellStyle name="Normal 2 29 7 2 2" xfId="25700" xr:uid="{C2ED39A8-3860-4A20-9478-1AC81860A7A6}"/>
    <cellStyle name="Normal 2 29 7 2 3" xfId="25701" xr:uid="{2D9574BF-AE2B-4F83-8BA7-925F691251CF}"/>
    <cellStyle name="Normal 2 29 7 2 4" xfId="25702" xr:uid="{B4B9111D-5ABB-46C8-A3D1-A16704C6AD1C}"/>
    <cellStyle name="Normal 2 29 7 2 5" xfId="25703" xr:uid="{95458C1D-A931-4B7B-A68A-7B2B5EBFE326}"/>
    <cellStyle name="Normal 2 29 7 2 6" xfId="25704" xr:uid="{F21EE3AF-843D-4232-8BDF-7136F66DD927}"/>
    <cellStyle name="Normal 2 29 7 3" xfId="25705" xr:uid="{3C5867AD-DADE-4A4D-A9EA-FF8DF0836269}"/>
    <cellStyle name="Normal 2 29 7 3 2" xfId="25706" xr:uid="{B99548E0-0A1E-499C-964D-93E82284DF7D}"/>
    <cellStyle name="Normal 2 29 7 3 3" xfId="25707" xr:uid="{83A60D4B-B685-4F93-AB1E-C7972AEB8EFB}"/>
    <cellStyle name="Normal 2 29 7 3 4" xfId="25708" xr:uid="{1C511994-7E66-4334-99DB-F96B299406CD}"/>
    <cellStyle name="Normal 2 29 7 3 5" xfId="25709" xr:uid="{2FDE5265-73BE-43AF-B135-DEEBB2DE6CA5}"/>
    <cellStyle name="Normal 2 29 7 3 6" xfId="25710" xr:uid="{FABFF824-8727-4F08-A63A-C1B294BADC82}"/>
    <cellStyle name="Normal 2 29 7 4" xfId="25711" xr:uid="{B7256BF7-4479-4D2D-B9BD-A3A0D64E12AC}"/>
    <cellStyle name="Normal 2 29 7 4 2" xfId="25712" xr:uid="{7DE09567-A20A-4ED1-8CFC-C51B80D91C62}"/>
    <cellStyle name="Normal 2 29 7 4 3" xfId="25713" xr:uid="{A5B75C1D-39A6-464A-A34E-B26096FEC373}"/>
    <cellStyle name="Normal 2 29 7 4 4" xfId="25714" xr:uid="{F5425F01-E4EA-4C12-9DF0-C68CCDF826E8}"/>
    <cellStyle name="Normal 2 29 7 4 5" xfId="25715" xr:uid="{6652DC03-C826-4124-9A10-65617DA357F4}"/>
    <cellStyle name="Normal 2 29 7 4 6" xfId="25716" xr:uid="{E3E631D5-FE16-459F-8B3A-10ED7ACEACCF}"/>
    <cellStyle name="Normal 2 29 7 5" xfId="25717" xr:uid="{4D1308EA-E7CB-4BAD-A6B5-FBB06DD3C0E0}"/>
    <cellStyle name="Normal 2 29 7 5 2" xfId="25718" xr:uid="{8AB9E8F0-DC7D-4392-9FB5-0A56CB198214}"/>
    <cellStyle name="Normal 2 29 7 5 3" xfId="25719" xr:uid="{50280EF2-BF0C-4E46-92F6-4A4E41940A62}"/>
    <cellStyle name="Normal 2 29 7 5 4" xfId="25720" xr:uid="{B74AA576-B017-48AE-8B4F-6F26C48D72F1}"/>
    <cellStyle name="Normal 2 29 7 5 5" xfId="25721" xr:uid="{BEE9A2E8-0910-4330-AA78-20B07E7729DE}"/>
    <cellStyle name="Normal 2 29 7 5 6" xfId="25722" xr:uid="{EA475E5B-C889-494F-9A2F-27D3AAC2D128}"/>
    <cellStyle name="Normal 2 29 7 6" xfId="25723" xr:uid="{0DC079D8-0EEA-4154-9227-A1D5893C99E7}"/>
    <cellStyle name="Normal 2 29 7 6 2" xfId="25724" xr:uid="{00CD48E8-5F56-421B-98E8-2EEC56115268}"/>
    <cellStyle name="Normal 2 29 7 6 3" xfId="25725" xr:uid="{4FFBB7A6-8A44-4FBB-8B07-D0AEED1CC40A}"/>
    <cellStyle name="Normal 2 29 7 6 4" xfId="25726" xr:uid="{96BB61C5-F298-4CD5-AA25-C1A4968FFC20}"/>
    <cellStyle name="Normal 2 29 7 6 5" xfId="25727" xr:uid="{92E2FEE8-F816-458F-BCDD-B5A99B9B920B}"/>
    <cellStyle name="Normal 2 29 7 6 6" xfId="25728" xr:uid="{12028F20-0263-4250-9A69-81F552F93234}"/>
    <cellStyle name="Normal 2 29 7 7" xfId="25729" xr:uid="{0FE8F111-961C-4B9F-9F97-7A5EBC6E86F6}"/>
    <cellStyle name="Normal 2 29 7 7 2" xfId="25730" xr:uid="{44F1E72C-7251-4A32-810A-6325AA436961}"/>
    <cellStyle name="Normal 2 29 7 7 3" xfId="25731" xr:uid="{A8499542-A8FD-496E-BD1E-140F91BC6DE8}"/>
    <cellStyle name="Normal 2 29 7 7 4" xfId="25732" xr:uid="{0D1EAA3F-48D3-47E8-A05A-DCFE3BB9D248}"/>
    <cellStyle name="Normal 2 29 7 7 5" xfId="25733" xr:uid="{DE51AFE9-D373-4F9F-AB9A-F8449505F791}"/>
    <cellStyle name="Normal 2 29 7 7 6" xfId="25734" xr:uid="{A238AD78-AC47-437C-91A2-CA6CCD9680F5}"/>
    <cellStyle name="Normal 2 29 7 8" xfId="25735" xr:uid="{38AE090C-47C4-46DF-8850-72735F93C373}"/>
    <cellStyle name="Normal 2 29 7 8 2" xfId="25736" xr:uid="{1E07FC56-6BA1-4740-8896-D6A7F8BE3B58}"/>
    <cellStyle name="Normal 2 29 7 8 3" xfId="25737" xr:uid="{C7E86A60-ED7F-4933-9554-597E515D0C36}"/>
    <cellStyle name="Normal 2 29 7 8 4" xfId="25738" xr:uid="{060FE023-9850-436C-8DBF-F0F33D50E548}"/>
    <cellStyle name="Normal 2 29 7 8 5" xfId="25739" xr:uid="{8529A660-2249-461D-9F99-F1489E84669C}"/>
    <cellStyle name="Normal 2 29 7 8 6" xfId="25740" xr:uid="{9409B7A6-35F5-408C-B4E6-E39536DDF499}"/>
    <cellStyle name="Normal 2 29 7 9" xfId="25741" xr:uid="{D5CEFC17-A2F2-483B-ACBD-E7DC92752E93}"/>
    <cellStyle name="Normal 2 29 8" xfId="25742" xr:uid="{73DED4A8-12E5-49F6-AD9F-6CD15360928F}"/>
    <cellStyle name="Normal 2 29 8 10" xfId="25743" xr:uid="{BF8AC4C8-AFB0-45D1-8BF3-655BC8E16BAD}"/>
    <cellStyle name="Normal 2 29 8 11" xfId="25744" xr:uid="{CE24EFE2-3B33-4534-8CDB-A2A5AAE30691}"/>
    <cellStyle name="Normal 2 29 8 12" xfId="25745" xr:uid="{AC1E1337-22A9-41A4-A85D-0E002145282E}"/>
    <cellStyle name="Normal 2 29 8 13" xfId="25746" xr:uid="{4F0C3751-B304-406D-A6D8-0267FF40434A}"/>
    <cellStyle name="Normal 2 29 8 2" xfId="25747" xr:uid="{89A947AC-A908-4BEB-B094-A0663165EF15}"/>
    <cellStyle name="Normal 2 29 8 2 2" xfId="25748" xr:uid="{DF955915-E3FD-41C0-A5A4-8979B00D7DEE}"/>
    <cellStyle name="Normal 2 29 8 2 3" xfId="25749" xr:uid="{C26EEC82-1F3C-4499-A289-5C66713AE17E}"/>
    <cellStyle name="Normal 2 29 8 2 4" xfId="25750" xr:uid="{AB17AF43-86F6-4B2A-93FD-BD16AF6C3469}"/>
    <cellStyle name="Normal 2 29 8 2 5" xfId="25751" xr:uid="{8F05848C-2C96-445F-A73F-9274F4013D69}"/>
    <cellStyle name="Normal 2 29 8 2 6" xfId="25752" xr:uid="{5D2EF155-F258-4EF9-8A79-31B738C284E5}"/>
    <cellStyle name="Normal 2 29 8 3" xfId="25753" xr:uid="{59D9C2C4-9165-4753-9059-3BB6BCEE7C35}"/>
    <cellStyle name="Normal 2 29 8 3 2" xfId="25754" xr:uid="{89786CE0-46C9-48EC-AB98-88AEBAA82014}"/>
    <cellStyle name="Normal 2 29 8 3 3" xfId="25755" xr:uid="{E5FB4189-1BD0-4C76-9B4D-EDC57E86D3F2}"/>
    <cellStyle name="Normal 2 29 8 3 4" xfId="25756" xr:uid="{76F9BBF0-7B9B-4260-9618-A36ABA62BAD5}"/>
    <cellStyle name="Normal 2 29 8 3 5" xfId="25757" xr:uid="{CA1BD2FC-F16D-4789-BFDC-F49C22BF8FEE}"/>
    <cellStyle name="Normal 2 29 8 3 6" xfId="25758" xr:uid="{3C1DF523-39FF-4433-83B5-2C383E002E50}"/>
    <cellStyle name="Normal 2 29 8 4" xfId="25759" xr:uid="{9AE2914A-D6D2-475D-99C3-48CB71BE8F97}"/>
    <cellStyle name="Normal 2 29 8 4 2" xfId="25760" xr:uid="{24AF6CD2-59DE-4F0A-81BF-3D060F739B02}"/>
    <cellStyle name="Normal 2 29 8 4 3" xfId="25761" xr:uid="{4DBBD5AF-7994-4D5C-8FA7-8CA6EDC4DED7}"/>
    <cellStyle name="Normal 2 29 8 4 4" xfId="25762" xr:uid="{5B3048D0-2369-46F4-9B5A-CBB61181ACAF}"/>
    <cellStyle name="Normal 2 29 8 4 5" xfId="25763" xr:uid="{E20B636E-0371-4140-82D2-7A40DD3329CF}"/>
    <cellStyle name="Normal 2 29 8 4 6" xfId="25764" xr:uid="{E364166D-5FBE-4ADB-B603-E29FAE623087}"/>
    <cellStyle name="Normal 2 29 8 5" xfId="25765" xr:uid="{3C67A85E-ED85-42E7-B767-778DA664CEA8}"/>
    <cellStyle name="Normal 2 29 8 5 2" xfId="25766" xr:uid="{1DE90C9E-F29C-4CEA-A021-93D4707B9619}"/>
    <cellStyle name="Normal 2 29 8 5 3" xfId="25767" xr:uid="{681FE11E-84ED-4F86-B6A1-1D64D24D8363}"/>
    <cellStyle name="Normal 2 29 8 5 4" xfId="25768" xr:uid="{644C9D07-BC42-4FA4-A22B-5B952CD7A4B5}"/>
    <cellStyle name="Normal 2 29 8 5 5" xfId="25769" xr:uid="{203A76D2-DA5C-4FD6-90E6-00EF48C3D372}"/>
    <cellStyle name="Normal 2 29 8 5 6" xfId="25770" xr:uid="{D98E1247-C53B-4C95-8E48-CBDD093678D0}"/>
    <cellStyle name="Normal 2 29 8 6" xfId="25771" xr:uid="{001E1917-4824-499A-BDF6-8D1AFC2893A7}"/>
    <cellStyle name="Normal 2 29 8 6 2" xfId="25772" xr:uid="{8E49168A-F305-4AF3-8A2B-714899BA15DA}"/>
    <cellStyle name="Normal 2 29 8 6 3" xfId="25773" xr:uid="{2106F2E6-47DE-4FDC-8AA9-AA3B1A40E593}"/>
    <cellStyle name="Normal 2 29 8 6 4" xfId="25774" xr:uid="{021DBB8E-176F-4236-B579-C6741599E162}"/>
    <cellStyle name="Normal 2 29 8 6 5" xfId="25775" xr:uid="{3890B401-BE68-4CED-A2AA-E2B9E790B3C5}"/>
    <cellStyle name="Normal 2 29 8 6 6" xfId="25776" xr:uid="{632697A3-8188-4C94-A24E-4FD3B099670D}"/>
    <cellStyle name="Normal 2 29 8 7" xfId="25777" xr:uid="{7C29C6C8-B659-436B-80AD-3F4DD574B8BC}"/>
    <cellStyle name="Normal 2 29 8 7 2" xfId="25778" xr:uid="{5F42037F-556B-4796-972C-BDF0BA19DE30}"/>
    <cellStyle name="Normal 2 29 8 7 3" xfId="25779" xr:uid="{58F2C461-9125-4049-B155-C46EDCB7F979}"/>
    <cellStyle name="Normal 2 29 8 7 4" xfId="25780" xr:uid="{E61718F4-0BEF-4E9F-897E-93E811043ABE}"/>
    <cellStyle name="Normal 2 29 8 7 5" xfId="25781" xr:uid="{F6936596-C17D-4324-8C0A-42D1798F2676}"/>
    <cellStyle name="Normal 2 29 8 7 6" xfId="25782" xr:uid="{C2CCF611-59F6-4F3D-9E1E-B19F22E3F339}"/>
    <cellStyle name="Normal 2 29 8 8" xfId="25783" xr:uid="{C47C29E7-5C1B-48F8-9B2E-9FA53CB72571}"/>
    <cellStyle name="Normal 2 29 8 8 2" xfId="25784" xr:uid="{CC74F06A-94D6-464A-AB76-58D23743E746}"/>
    <cellStyle name="Normal 2 29 8 8 3" xfId="25785" xr:uid="{CF179569-8B24-4E45-A793-58B267E6F27B}"/>
    <cellStyle name="Normal 2 29 8 8 4" xfId="25786" xr:uid="{DF8DFF7B-8A1B-49A4-A3BC-E6BEFD6D66F8}"/>
    <cellStyle name="Normal 2 29 8 8 5" xfId="25787" xr:uid="{2EE8DA1A-0330-4AF7-BE5E-27035A9B1FF2}"/>
    <cellStyle name="Normal 2 29 8 8 6" xfId="25788" xr:uid="{11305969-00A8-4403-8EAE-03F143E8378B}"/>
    <cellStyle name="Normal 2 29 8 9" xfId="25789" xr:uid="{6E7AB9D9-1D0C-43AA-86AD-9E0F48E46B90}"/>
    <cellStyle name="Normal 2 29 9" xfId="25790" xr:uid="{967C22A9-9A4F-400E-9D19-456117D9E30E}"/>
    <cellStyle name="Normal 2 29 9 10" xfId="25791" xr:uid="{3FC225AD-78A3-4C36-BF20-AE132D651245}"/>
    <cellStyle name="Normal 2 29 9 11" xfId="25792" xr:uid="{903F1FDE-2B9F-4230-BF8D-03E607AEFFBE}"/>
    <cellStyle name="Normal 2 29 9 12" xfId="25793" xr:uid="{9AD5176C-7210-4755-9317-A98DC65DB09F}"/>
    <cellStyle name="Normal 2 29 9 13" xfId="25794" xr:uid="{3E7EB51F-BB69-44AD-8555-801730025373}"/>
    <cellStyle name="Normal 2 29 9 2" xfId="25795" xr:uid="{5D320851-AB61-415F-86A9-5503EDA8C8F9}"/>
    <cellStyle name="Normal 2 29 9 2 2" xfId="25796" xr:uid="{53FE968C-3DB7-4903-A247-C83933465CDF}"/>
    <cellStyle name="Normal 2 29 9 2 3" xfId="25797" xr:uid="{0CF06631-6850-4C36-9170-13CED84755B4}"/>
    <cellStyle name="Normal 2 29 9 2 4" xfId="25798" xr:uid="{45BB7D3C-191E-44BB-A49C-8F3BAC39A601}"/>
    <cellStyle name="Normal 2 29 9 2 5" xfId="25799" xr:uid="{17FF65ED-84D8-45F0-BD4C-CB1FD68E9F72}"/>
    <cellStyle name="Normal 2 29 9 2 6" xfId="25800" xr:uid="{A3C4CC0B-DBEE-4A09-A37C-3191879D96E2}"/>
    <cellStyle name="Normal 2 29 9 3" xfId="25801" xr:uid="{38D58872-E1C6-433E-905F-289E7575FC03}"/>
    <cellStyle name="Normal 2 29 9 3 2" xfId="25802" xr:uid="{BE35BA34-6535-4935-8E35-764CF72F966C}"/>
    <cellStyle name="Normal 2 29 9 3 3" xfId="25803" xr:uid="{8C17C232-FEA4-4BB5-A7EB-7E0DDF9C000D}"/>
    <cellStyle name="Normal 2 29 9 3 4" xfId="25804" xr:uid="{517FB2EF-AB49-4409-92BB-29A901EB0612}"/>
    <cellStyle name="Normal 2 29 9 3 5" xfId="25805" xr:uid="{7BF681F5-9300-4399-8779-4F7172C6ECB6}"/>
    <cellStyle name="Normal 2 29 9 3 6" xfId="25806" xr:uid="{A852CFD5-8A9E-4BC2-B433-2553A4C5C1E5}"/>
    <cellStyle name="Normal 2 29 9 4" xfId="25807" xr:uid="{412AFC0F-47BB-4445-8B58-A5E98BCBC695}"/>
    <cellStyle name="Normal 2 29 9 4 2" xfId="25808" xr:uid="{833FAC79-CB8B-4626-A200-944ECF6D11FD}"/>
    <cellStyle name="Normal 2 29 9 4 3" xfId="25809" xr:uid="{4540D275-05AB-4D92-AC3E-F29018C12D32}"/>
    <cellStyle name="Normal 2 29 9 4 4" xfId="25810" xr:uid="{28AC70CC-BCBE-4337-9F06-9C2FAA2A8DDF}"/>
    <cellStyle name="Normal 2 29 9 4 5" xfId="25811" xr:uid="{53D9EA12-EFFE-4934-943A-B008386839FA}"/>
    <cellStyle name="Normal 2 29 9 4 6" xfId="25812" xr:uid="{18E17D39-04D7-43DD-8BDA-2C7243119929}"/>
    <cellStyle name="Normal 2 29 9 5" xfId="25813" xr:uid="{2E834DC4-05A9-45B9-A0D8-02408D7DF13E}"/>
    <cellStyle name="Normal 2 29 9 5 2" xfId="25814" xr:uid="{CD12B0FE-323C-44C6-8C38-9225CAF7A084}"/>
    <cellStyle name="Normal 2 29 9 5 3" xfId="25815" xr:uid="{F7DD5A44-365E-4F6C-B9ED-B71C3112B610}"/>
    <cellStyle name="Normal 2 29 9 5 4" xfId="25816" xr:uid="{C95A1ED3-2E81-4218-A24D-1F0ECD683720}"/>
    <cellStyle name="Normal 2 29 9 5 5" xfId="25817" xr:uid="{43BF6CF5-1124-436E-AF35-1396D24AB9E9}"/>
    <cellStyle name="Normal 2 29 9 5 6" xfId="25818" xr:uid="{7126466F-DE70-4FEA-8799-8EE7D3EBC400}"/>
    <cellStyle name="Normal 2 29 9 6" xfId="25819" xr:uid="{84237B1E-08C8-45F8-9B02-FEC070A05549}"/>
    <cellStyle name="Normal 2 29 9 6 2" xfId="25820" xr:uid="{1C96FE95-E71A-4958-9C32-EDAE3DDA3F2C}"/>
    <cellStyle name="Normal 2 29 9 6 3" xfId="25821" xr:uid="{F3058545-928C-4C7D-87E6-41C2C30E75EC}"/>
    <cellStyle name="Normal 2 29 9 6 4" xfId="25822" xr:uid="{705290DD-838B-436A-8248-B0C24B556124}"/>
    <cellStyle name="Normal 2 29 9 6 5" xfId="25823" xr:uid="{EC639D44-E072-4BF0-8C3E-D1D0BD02694D}"/>
    <cellStyle name="Normal 2 29 9 6 6" xfId="25824" xr:uid="{87A19199-60E8-478F-B388-DADB5A152985}"/>
    <cellStyle name="Normal 2 29 9 7" xfId="25825" xr:uid="{FED1AE22-BF06-4ABA-8ECF-ED46D4055CA5}"/>
    <cellStyle name="Normal 2 29 9 7 2" xfId="25826" xr:uid="{3DC03617-F890-4052-BF5F-A321F6176A77}"/>
    <cellStyle name="Normal 2 29 9 7 3" xfId="25827" xr:uid="{BB061956-1CAE-4328-B8B0-CC21A68F281E}"/>
    <cellStyle name="Normal 2 29 9 7 4" xfId="25828" xr:uid="{3D013B03-81D3-41E5-8F1C-815877BFCB31}"/>
    <cellStyle name="Normal 2 29 9 7 5" xfId="25829" xr:uid="{866FB84E-4DD5-4F20-AC28-EE6D8601633A}"/>
    <cellStyle name="Normal 2 29 9 7 6" xfId="25830" xr:uid="{BFDE3167-5000-4BF3-9BDD-601500A8F754}"/>
    <cellStyle name="Normal 2 29 9 8" xfId="25831" xr:uid="{6FB43A1F-9FD9-422B-9553-90ABB9F485B4}"/>
    <cellStyle name="Normal 2 29 9 8 2" xfId="25832" xr:uid="{56577D63-A7DF-4E73-A6FA-85D06E34E134}"/>
    <cellStyle name="Normal 2 29 9 8 3" xfId="25833" xr:uid="{70531767-9442-4652-8E47-DC76F832263E}"/>
    <cellStyle name="Normal 2 29 9 8 4" xfId="25834" xr:uid="{9539AA75-EDFA-4D62-B18C-FF123BA93225}"/>
    <cellStyle name="Normal 2 29 9 8 5" xfId="25835" xr:uid="{250734BF-8882-40FC-B1B7-9468ED311E9C}"/>
    <cellStyle name="Normal 2 29 9 8 6" xfId="25836" xr:uid="{B1594248-0FF3-444B-9134-FD72D57B5A4E}"/>
    <cellStyle name="Normal 2 29 9 9" xfId="25837" xr:uid="{75A9427D-90DF-4746-AD8A-5CFE14F138B4}"/>
    <cellStyle name="Normal 2 3" xfId="1079" xr:uid="{3B063847-D337-4768-BC6B-63EE13208046}"/>
    <cellStyle name="Normal 2 3 10" xfId="25838" xr:uid="{5C42A7EA-86C0-44D2-83F7-6BB51A66027A}"/>
    <cellStyle name="Normal 2 3 11" xfId="25839" xr:uid="{09E8D2B5-60D0-460E-80BB-E660FEA24771}"/>
    <cellStyle name="Normal 2 3 12" xfId="25840" xr:uid="{B3B0343C-B7E1-4E76-B414-F6AAB9A26612}"/>
    <cellStyle name="Normal 2 3 13" xfId="25841" xr:uid="{3D1CEE23-5769-4377-AD06-0AFC9B226A12}"/>
    <cellStyle name="Normal 2 3 14" xfId="25842" xr:uid="{DC74C8DD-AB3B-40F2-B5F6-B2151A6F5751}"/>
    <cellStyle name="Normal 2 3 2" xfId="25843" xr:uid="{8AD5B53E-3A9D-43A0-9A50-84CD3B2D1074}"/>
    <cellStyle name="Normal 2 3 2 2" xfId="25844" xr:uid="{A0E82536-0E96-4A5F-B2F4-34A8740709A2}"/>
    <cellStyle name="Normal 2 3 2 3" xfId="25845" xr:uid="{7E02D09A-2A83-4A20-AAA6-0494D628F45E}"/>
    <cellStyle name="Normal 2 3 2 4" xfId="25846" xr:uid="{493F425F-56FB-4F6E-A8DC-71883B2C9A67}"/>
    <cellStyle name="Normal 2 3 2 5" xfId="25847" xr:uid="{32E263C4-9351-4ECB-BF3F-280DC53C395F}"/>
    <cellStyle name="Normal 2 3 2 6" xfId="25848" xr:uid="{7CC4743E-6B36-4294-8673-986A88F2179E}"/>
    <cellStyle name="Normal 2 3 3" xfId="25849" xr:uid="{98B10D25-C658-4E5B-B227-76AFDEB6968B}"/>
    <cellStyle name="Normal 2 3 3 2" xfId="25850" xr:uid="{48895242-6092-4D52-9251-49DBF393291D}"/>
    <cellStyle name="Normal 2 3 3 3" xfId="25851" xr:uid="{AB317FCC-B1D2-49B1-BA0A-47AAFC758444}"/>
    <cellStyle name="Normal 2 3 3 4" xfId="25852" xr:uid="{6C9EA7A0-9F67-4D63-99BD-DF7C7AB96266}"/>
    <cellStyle name="Normal 2 3 3 5" xfId="25853" xr:uid="{DF7CBFEF-5D3C-43C3-9625-CA4A6082CBC7}"/>
    <cellStyle name="Normal 2 3 3 6" xfId="25854" xr:uid="{12C5145C-D1EC-4B39-B78D-E37AA4A02E35}"/>
    <cellStyle name="Normal 2 3 4" xfId="25855" xr:uid="{5857083A-01A0-467F-9E6A-51F72ADFFF39}"/>
    <cellStyle name="Normal 2 3 4 2" xfId="25856" xr:uid="{7C12D42C-D313-471F-8F18-3CFFA2431104}"/>
    <cellStyle name="Normal 2 3 4 3" xfId="25857" xr:uid="{AD667EF1-363A-4DA4-BE24-F3FF9593FB8F}"/>
    <cellStyle name="Normal 2 3 4 4" xfId="25858" xr:uid="{AA9953CF-4AE1-4D72-8DE8-4FBC1F724028}"/>
    <cellStyle name="Normal 2 3 4 5" xfId="25859" xr:uid="{5DFDC8DF-2F81-4490-9A9F-7104F8494259}"/>
    <cellStyle name="Normal 2 3 4 6" xfId="25860" xr:uid="{BDE526AF-EEE7-49C5-8ED7-2523408342A2}"/>
    <cellStyle name="Normal 2 3 5" xfId="25861" xr:uid="{80BE4AAB-54FF-405F-8B51-C986290EDE4B}"/>
    <cellStyle name="Normal 2 3 5 2" xfId="25862" xr:uid="{4F40E86A-5EA7-47C1-868E-439168822B70}"/>
    <cellStyle name="Normal 2 3 5 3" xfId="25863" xr:uid="{5A899C58-295C-400A-A570-6DE44DC623B1}"/>
    <cellStyle name="Normal 2 3 5 4" xfId="25864" xr:uid="{0497E6D4-B032-4325-AF8E-4AE958D3EFF7}"/>
    <cellStyle name="Normal 2 3 5 5" xfId="25865" xr:uid="{6E02D68E-9FBE-48B7-B038-C3DA168835E8}"/>
    <cellStyle name="Normal 2 3 5 6" xfId="25866" xr:uid="{D577E0C1-4A53-4E79-AC75-38CE21A3231E}"/>
    <cellStyle name="Normal 2 3 6" xfId="25867" xr:uid="{ADCA27BF-BB0C-45FA-A152-C4D4D880F898}"/>
    <cellStyle name="Normal 2 3 6 2" xfId="25868" xr:uid="{1C0E3F83-C744-455F-A6B0-9FB7A326E3B5}"/>
    <cellStyle name="Normal 2 3 6 3" xfId="25869" xr:uid="{2C0560F6-D447-4736-8F6C-BB92D7349729}"/>
    <cellStyle name="Normal 2 3 6 4" xfId="25870" xr:uid="{535E2AC2-0872-4D7B-B34F-03230268FC77}"/>
    <cellStyle name="Normal 2 3 6 5" xfId="25871" xr:uid="{A847B32F-D671-4A34-A8E6-85E6146B9FBE}"/>
    <cellStyle name="Normal 2 3 6 6" xfId="25872" xr:uid="{37600772-B4BF-4261-AA99-395E051D6B7F}"/>
    <cellStyle name="Normal 2 3 7" xfId="25873" xr:uid="{6F8F6130-E78B-427E-BB80-F24BE5F4391E}"/>
    <cellStyle name="Normal 2 3 7 2" xfId="25874" xr:uid="{6B84C082-44DF-484C-A117-513E50D53F35}"/>
    <cellStyle name="Normal 2 3 7 3" xfId="25875" xr:uid="{945099BD-AE9C-439B-83AF-860FE2D21742}"/>
    <cellStyle name="Normal 2 3 7 4" xfId="25876" xr:uid="{2D76A80F-18F5-4632-A930-E55D91319095}"/>
    <cellStyle name="Normal 2 3 7 5" xfId="25877" xr:uid="{1B3C60EB-0C20-468D-9B0B-211F25E6FAA8}"/>
    <cellStyle name="Normal 2 3 7 6" xfId="25878" xr:uid="{21DBD1F8-A0D4-4C44-AFB3-C9A561A4C85D}"/>
    <cellStyle name="Normal 2 3 8" xfId="25879" xr:uid="{5C071E21-377F-4592-9736-0565FF511F7C}"/>
    <cellStyle name="Normal 2 3 8 2" xfId="25880" xr:uid="{C25DFF15-11C4-46EF-8A07-D815A704DFEA}"/>
    <cellStyle name="Normal 2 3 8 3" xfId="25881" xr:uid="{9D2BB670-8D07-43A3-B2D0-0A2D7FDA519F}"/>
    <cellStyle name="Normal 2 3 8 4" xfId="25882" xr:uid="{2FBB7237-88D6-4430-96EE-BED4EC7AD6DF}"/>
    <cellStyle name="Normal 2 3 8 5" xfId="25883" xr:uid="{AF8205EA-A0C8-49C3-B335-A616EAE363F0}"/>
    <cellStyle name="Normal 2 3 8 6" xfId="25884" xr:uid="{FAB52CF5-5374-4FC1-BB18-768119C193CF}"/>
    <cellStyle name="Normal 2 3 9" xfId="25885" xr:uid="{759E7A2C-8062-4145-A8E8-8D592B87764F}"/>
    <cellStyle name="Normal 2 30" xfId="25886" xr:uid="{ADB907C5-3158-4BD1-BE0A-B8C3CC602393}"/>
    <cellStyle name="Normal 2 30 10" xfId="25887" xr:uid="{F92278D3-250C-4520-93A5-CA0AC1F6BA80}"/>
    <cellStyle name="Normal 2 30 11" xfId="25888" xr:uid="{D36044F4-F98C-4E4D-B5BE-4E5602797997}"/>
    <cellStyle name="Normal 2 30 12" xfId="25889" xr:uid="{3843A23B-9CC8-457F-875C-747C615CB2FF}"/>
    <cellStyle name="Normal 2 30 13" xfId="25890" xr:uid="{F380DEBD-F691-42D0-9050-A77556EBCCF2}"/>
    <cellStyle name="Normal 2 30 14" xfId="25891" xr:uid="{6546C3D5-8B17-4836-A623-95183473BDAA}"/>
    <cellStyle name="Normal 2 30 2" xfId="25892" xr:uid="{AFDD0FCA-BB19-4A90-B165-2460EE7F55C5}"/>
    <cellStyle name="Normal 2 30 2 2" xfId="25893" xr:uid="{F0B17F13-83A0-49E2-93A7-796904AA8937}"/>
    <cellStyle name="Normal 2 30 2 3" xfId="25894" xr:uid="{0647BEBF-DD78-429A-A2DE-B0CCF3472503}"/>
    <cellStyle name="Normal 2 30 2 4" xfId="25895" xr:uid="{F26044FA-73BD-4CAD-A8C5-C0FC4653526C}"/>
    <cellStyle name="Normal 2 30 2 5" xfId="25896" xr:uid="{92F14322-E781-404E-B3B8-A2BA6828C0BA}"/>
    <cellStyle name="Normal 2 30 2 6" xfId="25897" xr:uid="{F1DD234F-6420-451E-BAB4-DBF62F420A81}"/>
    <cellStyle name="Normal 2 30 3" xfId="25898" xr:uid="{C2225971-C60C-47A7-AEDF-1AD0F9C21D5D}"/>
    <cellStyle name="Normal 2 30 3 2" xfId="25899" xr:uid="{592B216D-C27F-4A37-B3CA-B21D766E6FB0}"/>
    <cellStyle name="Normal 2 30 3 3" xfId="25900" xr:uid="{610FD6E6-C49A-4108-AB46-9FA177F65035}"/>
    <cellStyle name="Normal 2 30 3 4" xfId="25901" xr:uid="{4B89FED3-93B4-4469-84F9-31551C8C378B}"/>
    <cellStyle name="Normal 2 30 3 5" xfId="25902" xr:uid="{A5B36AF5-BD5E-4691-A4CA-D25B249F2A55}"/>
    <cellStyle name="Normal 2 30 3 6" xfId="25903" xr:uid="{C7672616-1BA7-4919-8494-84765C736CBE}"/>
    <cellStyle name="Normal 2 30 4" xfId="25904" xr:uid="{7E02C48C-E211-41EC-87A0-501B5AC4A32E}"/>
    <cellStyle name="Normal 2 30 4 2" xfId="25905" xr:uid="{0E12B3E4-8335-44DB-A21D-C44804359D77}"/>
    <cellStyle name="Normal 2 30 4 3" xfId="25906" xr:uid="{E25E09B2-A0C1-4B42-8932-F82511180C83}"/>
    <cellStyle name="Normal 2 30 4 4" xfId="25907" xr:uid="{4F6B7A8D-5D38-4DFC-B4C6-65CF2800E799}"/>
    <cellStyle name="Normal 2 30 4 5" xfId="25908" xr:uid="{392DD7D1-C832-4069-90AD-669CF8D24DD3}"/>
    <cellStyle name="Normal 2 30 4 6" xfId="25909" xr:uid="{C8CB3032-32D0-4E25-B7C0-35B249CE5EB3}"/>
    <cellStyle name="Normal 2 30 5" xfId="25910" xr:uid="{2CE320A6-9B2D-4394-8F2E-C8D63CDB0E82}"/>
    <cellStyle name="Normal 2 30 5 2" xfId="25911" xr:uid="{2BEA4836-5B9A-4718-83F7-3742D612E96F}"/>
    <cellStyle name="Normal 2 30 5 3" xfId="25912" xr:uid="{199B5352-03A8-43D2-B6B2-962FEE3B4384}"/>
    <cellStyle name="Normal 2 30 5 4" xfId="25913" xr:uid="{8782AD87-B290-4138-B954-674A4C4972EA}"/>
    <cellStyle name="Normal 2 30 5 5" xfId="25914" xr:uid="{E5E3CC70-9660-4597-ACAB-8863D901179B}"/>
    <cellStyle name="Normal 2 30 5 6" xfId="25915" xr:uid="{64B33086-14D7-429E-A83A-7DA2E2FD14AF}"/>
    <cellStyle name="Normal 2 30 6" xfId="25916" xr:uid="{905229B3-B59E-432C-AC89-1ECF128AF87E}"/>
    <cellStyle name="Normal 2 30 6 2" xfId="25917" xr:uid="{77312690-5430-42D4-A136-83A5BE5F9C22}"/>
    <cellStyle name="Normal 2 30 6 3" xfId="25918" xr:uid="{251ADF58-80EA-4E2D-B584-D533EB6C46E0}"/>
    <cellStyle name="Normal 2 30 6 4" xfId="25919" xr:uid="{AB9CF023-F0FD-4016-839D-76AB8A50E5CD}"/>
    <cellStyle name="Normal 2 30 6 5" xfId="25920" xr:uid="{945541A4-5301-40C1-BFBA-B0E05F10D071}"/>
    <cellStyle name="Normal 2 30 6 6" xfId="25921" xr:uid="{BDEEA72C-46A9-466D-B054-A281E82DC79D}"/>
    <cellStyle name="Normal 2 30 7" xfId="25922" xr:uid="{71C4F343-2E46-4975-B8FC-764576D78836}"/>
    <cellStyle name="Normal 2 30 7 2" xfId="25923" xr:uid="{7B3997F0-215E-4CBB-A105-90C732A7D1B7}"/>
    <cellStyle name="Normal 2 30 7 3" xfId="25924" xr:uid="{CECA2F43-B688-407B-9E51-76A9056CD58A}"/>
    <cellStyle name="Normal 2 30 7 4" xfId="25925" xr:uid="{8FAB76B7-C705-4EC2-AE58-87C50201D057}"/>
    <cellStyle name="Normal 2 30 7 5" xfId="25926" xr:uid="{498396CF-ED1F-4A18-9728-6037A7B99160}"/>
    <cellStyle name="Normal 2 30 7 6" xfId="25927" xr:uid="{D0D5A1DF-9011-4F36-AEB6-95BB18FDB70C}"/>
    <cellStyle name="Normal 2 30 8" xfId="25928" xr:uid="{44BEF15D-84A0-48BA-9291-7C1C7728FE4D}"/>
    <cellStyle name="Normal 2 30 8 2" xfId="25929" xr:uid="{BF8D9BB1-B27E-4696-B283-7B95D68D088F}"/>
    <cellStyle name="Normal 2 30 8 3" xfId="25930" xr:uid="{A80B81AE-577C-48C9-A6B5-327F49D1786A}"/>
    <cellStyle name="Normal 2 30 8 4" xfId="25931" xr:uid="{95154F1F-43E5-47D7-A062-BC86C37C684B}"/>
    <cellStyle name="Normal 2 30 8 5" xfId="25932" xr:uid="{C5162B24-F206-4AFE-99C8-7D4F4E5DB2EE}"/>
    <cellStyle name="Normal 2 30 8 6" xfId="25933" xr:uid="{45789B43-D5FC-42C3-B611-2AABEF8EDAC7}"/>
    <cellStyle name="Normal 2 30 9" xfId="25934" xr:uid="{ACDFA511-4EB0-4ED8-BEB5-95A1370E8313}"/>
    <cellStyle name="Normal 2 31" xfId="25935" xr:uid="{57CC07A9-BDB5-4380-A88D-F592122D2181}"/>
    <cellStyle name="Normal 2 31 10" xfId="25936" xr:uid="{6626E5B6-FABE-4804-A410-B1F85E941010}"/>
    <cellStyle name="Normal 2 31 11" xfId="25937" xr:uid="{CF9CE7C8-1064-4510-83A3-E2ED3F712A47}"/>
    <cellStyle name="Normal 2 31 12" xfId="25938" xr:uid="{DDFFED85-D82A-4C27-9DEB-CF0B70DBB7B0}"/>
    <cellStyle name="Normal 2 31 13" xfId="25939" xr:uid="{57FF4291-5292-43F0-B55D-538F4ACB0E16}"/>
    <cellStyle name="Normal 2 31 14" xfId="25940" xr:uid="{19001DF1-22DB-4B35-BBF5-839E10D79F05}"/>
    <cellStyle name="Normal 2 31 2" xfId="25941" xr:uid="{34F6B20E-0D24-4A7B-9B0A-AC2DDC878CEB}"/>
    <cellStyle name="Normal 2 31 2 2" xfId="25942" xr:uid="{EEDFB937-D814-404E-949A-1E113139A378}"/>
    <cellStyle name="Normal 2 31 2 3" xfId="25943" xr:uid="{EDB6184F-CE6C-4B2F-974E-C7ED1E29D0B7}"/>
    <cellStyle name="Normal 2 31 2 4" xfId="25944" xr:uid="{1BE6A999-05E8-41C4-A03C-7620C40845D4}"/>
    <cellStyle name="Normal 2 31 2 5" xfId="25945" xr:uid="{508AB008-AC8E-4C46-A549-A2AF5B2F802B}"/>
    <cellStyle name="Normal 2 31 2 6" xfId="25946" xr:uid="{82BE231F-0A8B-4CDF-BB1E-97375E91ED59}"/>
    <cellStyle name="Normal 2 31 3" xfId="25947" xr:uid="{5425A750-A859-48DD-933A-B057969B7D01}"/>
    <cellStyle name="Normal 2 31 3 2" xfId="25948" xr:uid="{BB21748F-2017-4D53-915E-B7963F2E54B0}"/>
    <cellStyle name="Normal 2 31 3 3" xfId="25949" xr:uid="{2084953D-A7BB-49C3-B675-0B9A8C59E47D}"/>
    <cellStyle name="Normal 2 31 3 4" xfId="25950" xr:uid="{6AFDEC66-4D93-4AF4-9CBD-7CF172B7CEBC}"/>
    <cellStyle name="Normal 2 31 3 5" xfId="25951" xr:uid="{7DE3C224-63D9-45DF-B28E-3E03CFCC7FCB}"/>
    <cellStyle name="Normal 2 31 3 6" xfId="25952" xr:uid="{C87F946B-C4CA-41F4-87A1-6CDF6811B9E1}"/>
    <cellStyle name="Normal 2 31 4" xfId="25953" xr:uid="{0D0C05BD-2946-47ED-8943-880AEDF26135}"/>
    <cellStyle name="Normal 2 31 4 2" xfId="25954" xr:uid="{7F3B059D-529C-4DED-954B-8834D3DC6EE7}"/>
    <cellStyle name="Normal 2 31 4 3" xfId="25955" xr:uid="{4F468D06-BCFB-4A9B-98BB-124AA089DD61}"/>
    <cellStyle name="Normal 2 31 4 4" xfId="25956" xr:uid="{8E0FE3D0-5454-45D6-904A-2025021B62D6}"/>
    <cellStyle name="Normal 2 31 4 5" xfId="25957" xr:uid="{C07574A2-30DC-4B70-A7AC-09A50112E555}"/>
    <cellStyle name="Normal 2 31 4 6" xfId="25958" xr:uid="{7E56F9F8-9415-4664-9FA3-5A5A70315B80}"/>
    <cellStyle name="Normal 2 31 5" xfId="25959" xr:uid="{5BB0DE40-3B2A-4A54-B29C-859F6C2D92C8}"/>
    <cellStyle name="Normal 2 31 5 2" xfId="25960" xr:uid="{0D8411E9-48D9-4239-BDAB-6CA57E218840}"/>
    <cellStyle name="Normal 2 31 5 3" xfId="25961" xr:uid="{D73E5D6C-0B32-4DFD-9AE8-5C6F4F304B5F}"/>
    <cellStyle name="Normal 2 31 5 4" xfId="25962" xr:uid="{96765D20-E98D-45AB-8BB4-CAD0EA79139B}"/>
    <cellStyle name="Normal 2 31 5 5" xfId="25963" xr:uid="{539335D3-46A4-47D0-A7AE-0A47D1AAC872}"/>
    <cellStyle name="Normal 2 31 5 6" xfId="25964" xr:uid="{9905B4B6-B167-4082-9FD6-F4F42CD32835}"/>
    <cellStyle name="Normal 2 31 6" xfId="25965" xr:uid="{35D2D6E2-8EEC-4726-A73E-34F7FCC8B18E}"/>
    <cellStyle name="Normal 2 31 6 2" xfId="25966" xr:uid="{10B5F137-7C42-49AE-B884-6882C22CE11F}"/>
    <cellStyle name="Normal 2 31 6 3" xfId="25967" xr:uid="{F6D71921-0A0B-496C-BB69-5F03C25A62FA}"/>
    <cellStyle name="Normal 2 31 6 4" xfId="25968" xr:uid="{D16A0BAF-9FC3-43F2-9B7C-EEB83CD9FC1E}"/>
    <cellStyle name="Normal 2 31 6 5" xfId="25969" xr:uid="{50361474-A754-4723-B85D-70D69AF9BB43}"/>
    <cellStyle name="Normal 2 31 6 6" xfId="25970" xr:uid="{1378F7BE-BCDB-4195-AF1C-3D2871EA9476}"/>
    <cellStyle name="Normal 2 31 7" xfId="25971" xr:uid="{BAAD0B07-FE01-483C-944B-6FE516700BB5}"/>
    <cellStyle name="Normal 2 31 7 2" xfId="25972" xr:uid="{652C0DF1-7ED7-4759-83C1-B1592C101532}"/>
    <cellStyle name="Normal 2 31 7 3" xfId="25973" xr:uid="{EE90D17A-24C9-40AC-BDD1-418337F63AF7}"/>
    <cellStyle name="Normal 2 31 7 4" xfId="25974" xr:uid="{B73A88D1-4569-4E4A-8943-36428CDDF0BA}"/>
    <cellStyle name="Normal 2 31 7 5" xfId="25975" xr:uid="{859C0CF3-E18F-4818-BF82-BD51EF43CDE3}"/>
    <cellStyle name="Normal 2 31 7 6" xfId="25976" xr:uid="{4B13A905-806C-4362-8B39-F99952C42622}"/>
    <cellStyle name="Normal 2 31 8" xfId="25977" xr:uid="{6A5B2D94-005C-4C81-9A08-FC44385AB2B8}"/>
    <cellStyle name="Normal 2 31 8 2" xfId="25978" xr:uid="{4862CDE4-2FD0-40AC-B879-195E7623E247}"/>
    <cellStyle name="Normal 2 31 8 3" xfId="25979" xr:uid="{DF05C83E-0196-47DB-A4D0-59B70364CA08}"/>
    <cellStyle name="Normal 2 31 8 4" xfId="25980" xr:uid="{271A8B44-2D5A-41BC-9550-7C5F3AEECD95}"/>
    <cellStyle name="Normal 2 31 8 5" xfId="25981" xr:uid="{6DEC398A-B154-4A11-8C3C-3FECEB105B42}"/>
    <cellStyle name="Normal 2 31 8 6" xfId="25982" xr:uid="{BED2D7C2-04DE-4E43-9798-A2B88CF263C1}"/>
    <cellStyle name="Normal 2 31 9" xfId="25983" xr:uid="{A57DAD9A-4639-4C0D-B1DF-D3A5B751DD6E}"/>
    <cellStyle name="Normal 2 32" xfId="25984" xr:uid="{AFF876CC-64DC-45F3-B00A-8643DEAA4D22}"/>
    <cellStyle name="Normal 2 32 10" xfId="25985" xr:uid="{9910E9A1-1A21-4DAE-8D07-287EF18A8FED}"/>
    <cellStyle name="Normal 2 32 11" xfId="25986" xr:uid="{90E05CFB-0CCD-4ADC-8074-EA95A2FD6817}"/>
    <cellStyle name="Normal 2 32 12" xfId="25987" xr:uid="{A910452C-878B-44B6-9CA0-9B00CA1BD3E3}"/>
    <cellStyle name="Normal 2 32 13" xfId="25988" xr:uid="{A8A01621-F6AB-4D6B-8931-94533D3451D0}"/>
    <cellStyle name="Normal 2 32 14" xfId="25989" xr:uid="{DD5F7AAF-A0C2-41AE-A127-CBDBB000AC12}"/>
    <cellStyle name="Normal 2 32 2" xfId="25990" xr:uid="{10F0EA04-E9B8-47AE-836D-6BD1AD8B2B01}"/>
    <cellStyle name="Normal 2 32 2 2" xfId="25991" xr:uid="{6091C20B-B99B-4EB2-BE05-EFC1814BA497}"/>
    <cellStyle name="Normal 2 32 2 3" xfId="25992" xr:uid="{55A6307F-20DD-424A-B43E-77B2D50B3B3E}"/>
    <cellStyle name="Normal 2 32 2 4" xfId="25993" xr:uid="{BB736708-D8CD-41BF-AAC7-DC921AECD534}"/>
    <cellStyle name="Normal 2 32 2 5" xfId="25994" xr:uid="{319801DC-97CB-46C5-895A-5193364A320C}"/>
    <cellStyle name="Normal 2 32 2 6" xfId="25995" xr:uid="{5A9DB6CF-82D8-4FB3-A229-D0BC0AC02E00}"/>
    <cellStyle name="Normal 2 32 3" xfId="25996" xr:uid="{BC18C66C-69F4-4A1E-AC96-00DBB5D059EE}"/>
    <cellStyle name="Normal 2 32 3 2" xfId="25997" xr:uid="{2CF1E281-93B8-4D8F-90E1-A15A4FB4CC47}"/>
    <cellStyle name="Normal 2 32 3 3" xfId="25998" xr:uid="{37DB963B-FF95-4701-8B37-FAC67BEB1750}"/>
    <cellStyle name="Normal 2 32 3 4" xfId="25999" xr:uid="{F408E216-5C68-4664-A108-33A5B01E236B}"/>
    <cellStyle name="Normal 2 32 3 5" xfId="26000" xr:uid="{4E4EE809-9A8B-4F36-9D2C-71F6B7C03B8F}"/>
    <cellStyle name="Normal 2 32 3 6" xfId="26001" xr:uid="{C5ED2428-932E-4F50-8B92-5094434CCD6B}"/>
    <cellStyle name="Normal 2 32 4" xfId="26002" xr:uid="{0BFDF856-2786-49F0-9F96-5E65F07851A4}"/>
    <cellStyle name="Normal 2 32 4 2" xfId="26003" xr:uid="{2E0A1433-1A62-4A42-AFC4-8C926E791C8B}"/>
    <cellStyle name="Normal 2 32 4 3" xfId="26004" xr:uid="{93765037-1721-43A2-9374-133FA041B2E7}"/>
    <cellStyle name="Normal 2 32 4 4" xfId="26005" xr:uid="{3A81B32E-7820-44AB-B6AF-FBE7965FD603}"/>
    <cellStyle name="Normal 2 32 4 5" xfId="26006" xr:uid="{53EE84FB-2248-43E3-8AB6-F508DAE83C1F}"/>
    <cellStyle name="Normal 2 32 4 6" xfId="26007" xr:uid="{653D64AE-4DFB-4724-8A5E-638FA2FCDD0C}"/>
    <cellStyle name="Normal 2 32 5" xfId="26008" xr:uid="{C0F0B4F8-9816-4A2F-BC61-CA10F07A6AD7}"/>
    <cellStyle name="Normal 2 32 5 2" xfId="26009" xr:uid="{88E7E22B-45DA-4DD3-8103-04604D463B54}"/>
    <cellStyle name="Normal 2 32 5 3" xfId="26010" xr:uid="{39024540-DB5F-48A9-B81A-B0906590DD43}"/>
    <cellStyle name="Normal 2 32 5 4" xfId="26011" xr:uid="{61011171-222D-45AD-94BC-B43CDE2046EB}"/>
    <cellStyle name="Normal 2 32 5 5" xfId="26012" xr:uid="{2D3DD3F8-A68C-4E58-BBA9-B79C4E5C46C7}"/>
    <cellStyle name="Normal 2 32 5 6" xfId="26013" xr:uid="{7ABABCBE-243E-441F-9853-5FF5BD92AAC7}"/>
    <cellStyle name="Normal 2 32 6" xfId="26014" xr:uid="{6E8C4D4F-4E3A-45E7-BE68-2AD24BC6BDC8}"/>
    <cellStyle name="Normal 2 32 6 2" xfId="26015" xr:uid="{87318F65-2E2C-4D66-8378-EDF9D464D00E}"/>
    <cellStyle name="Normal 2 32 6 3" xfId="26016" xr:uid="{56ECEAEA-0663-45F4-A6C0-EDB44E566708}"/>
    <cellStyle name="Normal 2 32 6 4" xfId="26017" xr:uid="{21AF3853-D1AC-4E41-B63E-B3BBBEE4CDCF}"/>
    <cellStyle name="Normal 2 32 6 5" xfId="26018" xr:uid="{1E67C451-2236-44DF-9A48-5DCC4D9A64E7}"/>
    <cellStyle name="Normal 2 32 6 6" xfId="26019" xr:uid="{53AC28AB-A8C6-4A32-A4CE-5FFAEF8647D8}"/>
    <cellStyle name="Normal 2 32 7" xfId="26020" xr:uid="{00BE14D4-115A-4530-9E79-8C24A83C2919}"/>
    <cellStyle name="Normal 2 32 7 2" xfId="26021" xr:uid="{BC56E138-DA24-4565-AF84-2FC0D20EC74D}"/>
    <cellStyle name="Normal 2 32 7 3" xfId="26022" xr:uid="{C1ACCBD6-5AF2-4C3E-9D0A-4D1256D4DA5F}"/>
    <cellStyle name="Normal 2 32 7 4" xfId="26023" xr:uid="{43117282-77AD-49BC-BE5E-521B557A3383}"/>
    <cellStyle name="Normal 2 32 7 5" xfId="26024" xr:uid="{646FCFD4-9806-42FE-84F7-A408B5CDD94F}"/>
    <cellStyle name="Normal 2 32 7 6" xfId="26025" xr:uid="{8CEB98FC-7BF7-45B5-9EB1-6710E40DFCFC}"/>
    <cellStyle name="Normal 2 32 8" xfId="26026" xr:uid="{487A5AC7-7697-4BF4-AF97-649EBADF97FD}"/>
    <cellStyle name="Normal 2 32 8 2" xfId="26027" xr:uid="{A637E77F-F5A3-4148-9A6D-E20613BCF1E1}"/>
    <cellStyle name="Normal 2 32 8 3" xfId="26028" xr:uid="{D635C75B-4331-4678-BA71-94D61DA7CD21}"/>
    <cellStyle name="Normal 2 32 8 4" xfId="26029" xr:uid="{BE953D59-BA8D-4083-A545-5B89C15CB88D}"/>
    <cellStyle name="Normal 2 32 8 5" xfId="26030" xr:uid="{1C587DB8-C175-4987-90C8-9B31BBD90D5C}"/>
    <cellStyle name="Normal 2 32 8 6" xfId="26031" xr:uid="{D6A0A834-8671-4ECF-AFF3-9EA554F98C1A}"/>
    <cellStyle name="Normal 2 32 9" xfId="26032" xr:uid="{53A6F27F-1CCF-4238-9798-413526867F47}"/>
    <cellStyle name="Normal 2 33" xfId="26033" xr:uid="{2A381229-9E09-483C-840D-4E70758510A8}"/>
    <cellStyle name="Normal 2 33 10" xfId="26034" xr:uid="{1956C1EB-B0FA-4B54-83FC-974EF61E0C96}"/>
    <cellStyle name="Normal 2 33 11" xfId="26035" xr:uid="{6DCF8554-CEBD-4575-BAE6-1711A3F0897A}"/>
    <cellStyle name="Normal 2 33 12" xfId="26036" xr:uid="{E4587681-1D5D-4CC9-832F-4549F83F3E60}"/>
    <cellStyle name="Normal 2 33 13" xfId="26037" xr:uid="{63DEBAB4-7497-4982-B800-FBAA420387B6}"/>
    <cellStyle name="Normal 2 33 14" xfId="26038" xr:uid="{09D18AEC-E165-4593-8365-4046E7BBE881}"/>
    <cellStyle name="Normal 2 33 2" xfId="26039" xr:uid="{7BF8BA69-B825-42BE-91DB-AFE916BAA3BC}"/>
    <cellStyle name="Normal 2 33 2 2" xfId="26040" xr:uid="{3415E46C-4542-4EF7-AB9C-2CAAD2481B87}"/>
    <cellStyle name="Normal 2 33 2 3" xfId="26041" xr:uid="{9D6C630C-CBBC-49F8-8388-23E334C520E9}"/>
    <cellStyle name="Normal 2 33 2 4" xfId="26042" xr:uid="{CA4F78C5-28D2-405B-A7E8-08A54C0C3A3F}"/>
    <cellStyle name="Normal 2 33 2 5" xfId="26043" xr:uid="{140D16C6-D2D3-4A33-9539-2015AF43A87C}"/>
    <cellStyle name="Normal 2 33 2 6" xfId="26044" xr:uid="{9842D65F-3293-4AA4-A70B-EE2C924CD11D}"/>
    <cellStyle name="Normal 2 33 3" xfId="26045" xr:uid="{46B568C9-D4BE-44EA-A205-77F889A9703F}"/>
    <cellStyle name="Normal 2 33 3 2" xfId="26046" xr:uid="{B552E2CE-047B-4907-AE1A-78B98F2E53CA}"/>
    <cellStyle name="Normal 2 33 3 3" xfId="26047" xr:uid="{CF23EDB2-46F0-4A89-8FA2-9AE1C701879B}"/>
    <cellStyle name="Normal 2 33 3 4" xfId="26048" xr:uid="{0411EF2A-78C5-4434-9E90-62525206E6BE}"/>
    <cellStyle name="Normal 2 33 3 5" xfId="26049" xr:uid="{97ED1369-8068-4DA6-8B23-375BE2465CA5}"/>
    <cellStyle name="Normal 2 33 3 6" xfId="26050" xr:uid="{A72DB424-03D0-435A-95B1-E710669893E2}"/>
    <cellStyle name="Normal 2 33 4" xfId="26051" xr:uid="{6AE18326-DE5C-4CA1-B39D-32C5A3C356D6}"/>
    <cellStyle name="Normal 2 33 4 2" xfId="26052" xr:uid="{057B73CC-B3E0-4C63-9EFF-D1FCDC8B0DE1}"/>
    <cellStyle name="Normal 2 33 4 3" xfId="26053" xr:uid="{DC829868-22EA-49A8-ACFC-78224AC9699D}"/>
    <cellStyle name="Normal 2 33 4 4" xfId="26054" xr:uid="{FD29388B-0C22-4095-A92A-ABF513F5403E}"/>
    <cellStyle name="Normal 2 33 4 5" xfId="26055" xr:uid="{27412ADD-72B7-42F1-AB85-93EE14DA17E8}"/>
    <cellStyle name="Normal 2 33 4 6" xfId="26056" xr:uid="{6E7F100B-A563-4F3B-8D1E-21B50D538EC8}"/>
    <cellStyle name="Normal 2 33 5" xfId="26057" xr:uid="{0E3CBA41-0F17-462C-BA31-41801102B4B0}"/>
    <cellStyle name="Normal 2 33 5 2" xfId="26058" xr:uid="{1895F517-7E13-49F7-949E-42CDE9FFD4A9}"/>
    <cellStyle name="Normal 2 33 5 3" xfId="26059" xr:uid="{090D4866-F15F-49D4-A7E1-734995D35B21}"/>
    <cellStyle name="Normal 2 33 5 4" xfId="26060" xr:uid="{6F4FD623-800F-4C22-83D5-E83EAEF6EB73}"/>
    <cellStyle name="Normal 2 33 5 5" xfId="26061" xr:uid="{B4180DC5-9B1E-443C-859C-7AE8E0A09D0F}"/>
    <cellStyle name="Normal 2 33 5 6" xfId="26062" xr:uid="{DF11B5D1-4F04-4FB9-9EA0-A0287ABF25D3}"/>
    <cellStyle name="Normal 2 33 6" xfId="26063" xr:uid="{938F6E6E-63C3-451F-9AC0-27CBCD0C52AC}"/>
    <cellStyle name="Normal 2 33 6 2" xfId="26064" xr:uid="{F4A10050-AC15-4553-8C6B-E5F1BE6278EE}"/>
    <cellStyle name="Normal 2 33 6 3" xfId="26065" xr:uid="{46A41FBB-15A8-427B-838A-1F6C248B0AD3}"/>
    <cellStyle name="Normal 2 33 6 4" xfId="26066" xr:uid="{17744C0A-04B3-4946-8BA0-E0F31CD43676}"/>
    <cellStyle name="Normal 2 33 6 5" xfId="26067" xr:uid="{EB6AD721-602B-4F4A-9529-A4ED1B7C9F3E}"/>
    <cellStyle name="Normal 2 33 6 6" xfId="26068" xr:uid="{43948355-0BE9-45A9-B334-5E9F9EF64163}"/>
    <cellStyle name="Normal 2 33 7" xfId="26069" xr:uid="{E19E7B41-C27B-48CD-91FD-0EEBCF60EB96}"/>
    <cellStyle name="Normal 2 33 7 2" xfId="26070" xr:uid="{B70D1A97-EEA2-4EA9-BDF4-DBBA7FB06DA6}"/>
    <cellStyle name="Normal 2 33 7 3" xfId="26071" xr:uid="{DC62A35D-4F73-4448-96CF-913468C37749}"/>
    <cellStyle name="Normal 2 33 7 4" xfId="26072" xr:uid="{BA5B212F-9F0B-4213-907E-024067005721}"/>
    <cellStyle name="Normal 2 33 7 5" xfId="26073" xr:uid="{6A343C9B-EAE2-4738-BE44-6B61E54FC32A}"/>
    <cellStyle name="Normal 2 33 7 6" xfId="26074" xr:uid="{CFE18B0E-DD19-40D2-B030-4C0FA8C26162}"/>
    <cellStyle name="Normal 2 33 8" xfId="26075" xr:uid="{59F546E3-6C39-44AB-8CC0-0813AE2417DF}"/>
    <cellStyle name="Normal 2 33 8 2" xfId="26076" xr:uid="{6BFE83A9-59B8-4ECB-9E40-B29750C6D8D0}"/>
    <cellStyle name="Normal 2 33 8 3" xfId="26077" xr:uid="{B8654804-E4BD-4FE3-A4F5-8F5526D2FE9E}"/>
    <cellStyle name="Normal 2 33 8 4" xfId="26078" xr:uid="{275D597B-B8B8-4129-B699-F131229468EF}"/>
    <cellStyle name="Normal 2 33 8 5" xfId="26079" xr:uid="{AF0ED000-0329-4249-9AAA-A3C214BD3D9F}"/>
    <cellStyle name="Normal 2 33 8 6" xfId="26080" xr:uid="{FCB064EF-067F-4958-A591-524FFDAA759D}"/>
    <cellStyle name="Normal 2 33 9" xfId="26081" xr:uid="{A4DF2798-AE97-403B-B898-C02D203DDB59}"/>
    <cellStyle name="Normal 2 34" xfId="26082" xr:uid="{B3C3326C-7749-44E5-923C-246D97390045}"/>
    <cellStyle name="Normal 2 34 10" xfId="26083" xr:uid="{6E4BEC61-395B-4B30-99FB-2564E1267323}"/>
    <cellStyle name="Normal 2 34 11" xfId="26084" xr:uid="{C58F9AC7-EF93-414D-8E99-CB417231C150}"/>
    <cellStyle name="Normal 2 34 12" xfId="26085" xr:uid="{055F3C77-8586-4EF7-B2B4-D018307D5527}"/>
    <cellStyle name="Normal 2 34 13" xfId="26086" xr:uid="{299E4390-EF54-4B5C-B44B-0FCD6DE0FA31}"/>
    <cellStyle name="Normal 2 34 14" xfId="26087" xr:uid="{5D09AC71-F150-4DDE-B882-F14D15A7F2E8}"/>
    <cellStyle name="Normal 2 34 2" xfId="26088" xr:uid="{7A5A7B29-F3BA-4B74-BD0E-24E093DD606A}"/>
    <cellStyle name="Normal 2 34 2 2" xfId="26089" xr:uid="{8906597D-543C-43E6-9BDA-19D7BE22FC7F}"/>
    <cellStyle name="Normal 2 34 2 3" xfId="26090" xr:uid="{91A7B0CC-ED26-4245-A90A-A8234739CBB5}"/>
    <cellStyle name="Normal 2 34 2 4" xfId="26091" xr:uid="{1DF0AD46-051A-4217-819E-7EAA306875DF}"/>
    <cellStyle name="Normal 2 34 2 5" xfId="26092" xr:uid="{A3501088-470F-43BE-8F97-9B1195323A58}"/>
    <cellStyle name="Normal 2 34 2 6" xfId="26093" xr:uid="{6D1089F3-76C8-4CD9-9F7B-0513060873EC}"/>
    <cellStyle name="Normal 2 34 3" xfId="26094" xr:uid="{3004F8E8-0D86-4433-9703-E1C111E382B6}"/>
    <cellStyle name="Normal 2 34 3 2" xfId="26095" xr:uid="{C52A4C32-83B6-45E1-8996-59B3541B5AD9}"/>
    <cellStyle name="Normal 2 34 3 3" xfId="26096" xr:uid="{A8057B9C-291D-47E3-8B6D-8548998C555F}"/>
    <cellStyle name="Normal 2 34 3 4" xfId="26097" xr:uid="{9293D85A-D98A-4015-9DC7-D311DD466F9D}"/>
    <cellStyle name="Normal 2 34 3 5" xfId="26098" xr:uid="{DFE067A5-FDA6-45AD-9A63-3418D5EA8B83}"/>
    <cellStyle name="Normal 2 34 3 6" xfId="26099" xr:uid="{0D7BDE81-21AB-45BC-B342-206F2035CD80}"/>
    <cellStyle name="Normal 2 34 4" xfId="26100" xr:uid="{A96B7AEE-75D1-4153-B952-D96C5BFADAE9}"/>
    <cellStyle name="Normal 2 34 4 2" xfId="26101" xr:uid="{027EADCB-1E11-4DAE-909D-B725AB4D0DA1}"/>
    <cellStyle name="Normal 2 34 4 3" xfId="26102" xr:uid="{F999B825-8102-4048-A0FF-2A2771E21DC5}"/>
    <cellStyle name="Normal 2 34 4 4" xfId="26103" xr:uid="{AFB23015-593D-4872-BC60-61578072BDC8}"/>
    <cellStyle name="Normal 2 34 4 5" xfId="26104" xr:uid="{BBD97BC9-5683-47DF-9C84-BF88FEEC5F35}"/>
    <cellStyle name="Normal 2 34 4 6" xfId="26105" xr:uid="{882DE962-02B5-4523-AE66-E7E14352C870}"/>
    <cellStyle name="Normal 2 34 5" xfId="26106" xr:uid="{7E1F5D42-7BF1-4FAB-AF15-217BAC8A4B6D}"/>
    <cellStyle name="Normal 2 34 5 2" xfId="26107" xr:uid="{EAF47D44-AE20-42FB-9ADC-6B7D71B969D0}"/>
    <cellStyle name="Normal 2 34 5 3" xfId="26108" xr:uid="{0E3F7711-E1D3-442E-9D40-5B6D62C41030}"/>
    <cellStyle name="Normal 2 34 5 4" xfId="26109" xr:uid="{8B7C4239-A8FF-498A-81E8-B541A25CE1FD}"/>
    <cellStyle name="Normal 2 34 5 5" xfId="26110" xr:uid="{A980DED9-2A59-47AB-A1A7-A12B8E9D4FAA}"/>
    <cellStyle name="Normal 2 34 5 6" xfId="26111" xr:uid="{4135A504-0E65-437A-BADA-26C9EC10E29D}"/>
    <cellStyle name="Normal 2 34 6" xfId="26112" xr:uid="{B7FCEF88-7254-4B25-ABB5-BBFCB43861CF}"/>
    <cellStyle name="Normal 2 34 6 2" xfId="26113" xr:uid="{CB335734-99E7-42B7-8A28-109B9EC06D65}"/>
    <cellStyle name="Normal 2 34 6 3" xfId="26114" xr:uid="{6C199916-1FD9-4F3C-9BEE-593D15896B9B}"/>
    <cellStyle name="Normal 2 34 6 4" xfId="26115" xr:uid="{A6F56DB1-6EE1-4FEE-AFDE-93B3A0F66FE2}"/>
    <cellStyle name="Normal 2 34 6 5" xfId="26116" xr:uid="{FE2952FD-3089-4FCA-8DFF-1D3923849A11}"/>
    <cellStyle name="Normal 2 34 6 6" xfId="26117" xr:uid="{9D941D56-E757-4432-BC9C-8137871D4EF1}"/>
    <cellStyle name="Normal 2 34 7" xfId="26118" xr:uid="{95CF8E09-A75A-49D7-B7B0-684964266C4C}"/>
    <cellStyle name="Normal 2 34 7 2" xfId="26119" xr:uid="{DEF6646F-F658-45BC-89A2-E1AEBD1B72B5}"/>
    <cellStyle name="Normal 2 34 7 3" xfId="26120" xr:uid="{CEA3CE91-B8C6-43E2-AEAE-9CE9056DB683}"/>
    <cellStyle name="Normal 2 34 7 4" xfId="26121" xr:uid="{AEC92284-3582-43B0-A203-E03CF110534A}"/>
    <cellStyle name="Normal 2 34 7 5" xfId="26122" xr:uid="{A660D488-9137-4809-81D0-05FCFC105171}"/>
    <cellStyle name="Normal 2 34 7 6" xfId="26123" xr:uid="{9F33DD5C-6030-4E12-B60D-90F44DE324FC}"/>
    <cellStyle name="Normal 2 34 8" xfId="26124" xr:uid="{6B3AF8D2-1E47-4C70-8FA8-238C27E0A8E8}"/>
    <cellStyle name="Normal 2 34 8 2" xfId="26125" xr:uid="{265B6313-FB8D-4670-82A7-396741B19CFE}"/>
    <cellStyle name="Normal 2 34 8 3" xfId="26126" xr:uid="{6CB3ACC1-B46C-4EFA-844E-CAD627A098E8}"/>
    <cellStyle name="Normal 2 34 8 4" xfId="26127" xr:uid="{3F954AFB-5AB6-4BEF-83FF-487D9383B401}"/>
    <cellStyle name="Normal 2 34 8 5" xfId="26128" xr:uid="{7551698B-5032-4CD5-BF52-9720B38292AD}"/>
    <cellStyle name="Normal 2 34 8 6" xfId="26129" xr:uid="{3D28168D-0B5B-4820-B01E-B7AD8C756B75}"/>
    <cellStyle name="Normal 2 34 9" xfId="26130" xr:uid="{74B93396-A6C9-4D83-BE36-24CCE0B7446D}"/>
    <cellStyle name="Normal 2 35" xfId="26131" xr:uid="{E7B251E2-9616-42D1-84A7-2AB17F0A5567}"/>
    <cellStyle name="Normal 2 35 10" xfId="26132" xr:uid="{35FD8831-2FFA-43C3-A612-87D652A82E56}"/>
    <cellStyle name="Normal 2 35 11" xfId="26133" xr:uid="{A0F372F7-1066-41E2-9D03-C3C625980F6E}"/>
    <cellStyle name="Normal 2 35 12" xfId="26134" xr:uid="{E3A88BA8-5447-48F7-A28E-5F7F854D4568}"/>
    <cellStyle name="Normal 2 35 13" xfId="26135" xr:uid="{DFDCC65F-62B8-41E0-BC1E-7EE01920C8CB}"/>
    <cellStyle name="Normal 2 35 14" xfId="26136" xr:uid="{9F3C6806-2A05-45FA-8D01-F493A4E05D77}"/>
    <cellStyle name="Normal 2 35 2" xfId="26137" xr:uid="{CB85492C-A19C-4C9D-BC86-BF2CC472940B}"/>
    <cellStyle name="Normal 2 35 2 2" xfId="26138" xr:uid="{86925552-8887-4DE6-864D-9C4DBF8D94E1}"/>
    <cellStyle name="Normal 2 35 2 3" xfId="26139" xr:uid="{C33064E1-9E0E-4589-92B8-D42FA7862523}"/>
    <cellStyle name="Normal 2 35 2 4" xfId="26140" xr:uid="{2FD0FD0B-CB27-42A8-8440-955E45A83208}"/>
    <cellStyle name="Normal 2 35 2 5" xfId="26141" xr:uid="{8C4B5E9E-6254-48F9-9787-BAB9C6287216}"/>
    <cellStyle name="Normal 2 35 2 6" xfId="26142" xr:uid="{A2C635E4-E82D-4177-9F56-A8A98DB8AC83}"/>
    <cellStyle name="Normal 2 35 3" xfId="26143" xr:uid="{1141D1FE-5228-4C1D-8144-E5BF726CE084}"/>
    <cellStyle name="Normal 2 35 3 2" xfId="26144" xr:uid="{8AF4E0BD-D019-47F0-A1AB-2C000DB142F7}"/>
    <cellStyle name="Normal 2 35 3 3" xfId="26145" xr:uid="{0D4F3BF2-1BBC-4F67-AB8E-19F2A7582BA2}"/>
    <cellStyle name="Normal 2 35 3 4" xfId="26146" xr:uid="{0D8EAEF2-2DE4-4A84-ADE5-C6C3B8D4E570}"/>
    <cellStyle name="Normal 2 35 3 5" xfId="26147" xr:uid="{CD0920ED-1FB1-4F75-AE50-8CA1FF36C014}"/>
    <cellStyle name="Normal 2 35 3 6" xfId="26148" xr:uid="{3069D57A-3C9A-4F46-89F5-23BB6934C74A}"/>
    <cellStyle name="Normal 2 35 4" xfId="26149" xr:uid="{6BDD5960-1D03-4F71-9422-F1608C07AD84}"/>
    <cellStyle name="Normal 2 35 4 2" xfId="26150" xr:uid="{320D93A5-DB47-4817-8051-08B44B6909DE}"/>
    <cellStyle name="Normal 2 35 4 3" xfId="26151" xr:uid="{F53617B4-2A19-4FBB-B676-51C2EB30D697}"/>
    <cellStyle name="Normal 2 35 4 4" xfId="26152" xr:uid="{154FD36E-5D85-4B09-91CD-4676B29537CC}"/>
    <cellStyle name="Normal 2 35 4 5" xfId="26153" xr:uid="{06D9D4D6-284E-4A97-9BE1-3989672AE64A}"/>
    <cellStyle name="Normal 2 35 4 6" xfId="26154" xr:uid="{B4200059-00D1-4D32-B7B6-03E80B838317}"/>
    <cellStyle name="Normal 2 35 5" xfId="26155" xr:uid="{CFC682F7-3857-4324-A25F-004FAE40F0E8}"/>
    <cellStyle name="Normal 2 35 5 2" xfId="26156" xr:uid="{D461A36E-6FF1-45E0-B789-7E718F4D9D14}"/>
    <cellStyle name="Normal 2 35 5 3" xfId="26157" xr:uid="{F151FE02-5584-4B25-9989-C4BC50640EC8}"/>
    <cellStyle name="Normal 2 35 5 4" xfId="26158" xr:uid="{B69314B7-1FF8-485D-9F50-B5D013DFDD47}"/>
    <cellStyle name="Normal 2 35 5 5" xfId="26159" xr:uid="{7EC5679D-AC25-4E30-A1D9-C6E0EAF22476}"/>
    <cellStyle name="Normal 2 35 5 6" xfId="26160" xr:uid="{4453C1B6-C857-4EBA-A019-1EB923338190}"/>
    <cellStyle name="Normal 2 35 6" xfId="26161" xr:uid="{0E4C62A8-0B5C-4E02-9344-1216E0D66A86}"/>
    <cellStyle name="Normal 2 35 6 2" xfId="26162" xr:uid="{525E5F42-E470-4D48-918D-0AF54996085A}"/>
    <cellStyle name="Normal 2 35 6 3" xfId="26163" xr:uid="{8D97DAB2-8710-4477-82EF-2E2481A335E8}"/>
    <cellStyle name="Normal 2 35 6 4" xfId="26164" xr:uid="{44DC4FBF-8940-4529-AAED-2F29077A8623}"/>
    <cellStyle name="Normal 2 35 6 5" xfId="26165" xr:uid="{B3E168EC-8C35-43C1-8974-4C5484B2802D}"/>
    <cellStyle name="Normal 2 35 6 6" xfId="26166" xr:uid="{D07D3051-30BD-4E09-8AFF-4ED8E73FD0E5}"/>
    <cellStyle name="Normal 2 35 7" xfId="26167" xr:uid="{6D3D449F-038D-45EA-9D78-35A4C1C45A1D}"/>
    <cellStyle name="Normal 2 35 7 2" xfId="26168" xr:uid="{36673B6C-1B58-41B1-8284-3D70FB18A5C9}"/>
    <cellStyle name="Normal 2 35 7 3" xfId="26169" xr:uid="{F1A75353-27B3-44BD-8E1C-CB40447F6C59}"/>
    <cellStyle name="Normal 2 35 7 4" xfId="26170" xr:uid="{01710B9C-8F8E-4E36-9B6E-5C55F2DF7F08}"/>
    <cellStyle name="Normal 2 35 7 5" xfId="26171" xr:uid="{FCEB0114-9375-4BEE-9D23-1A00BC02BD8F}"/>
    <cellStyle name="Normal 2 35 7 6" xfId="26172" xr:uid="{D7EC8699-7B0F-4094-BA65-930255EDF25A}"/>
    <cellStyle name="Normal 2 35 8" xfId="26173" xr:uid="{A651C8E9-2E91-4B68-B64D-20C075ECCA6A}"/>
    <cellStyle name="Normal 2 35 8 2" xfId="26174" xr:uid="{F7BE4C9C-9748-4C7A-9449-D60DF348D90D}"/>
    <cellStyle name="Normal 2 35 8 3" xfId="26175" xr:uid="{7538734A-E2FC-46E6-9794-75413EF18A0B}"/>
    <cellStyle name="Normal 2 35 8 4" xfId="26176" xr:uid="{EEE75A2C-EDE2-44CC-8BE1-6193E4F64D2D}"/>
    <cellStyle name="Normal 2 35 8 5" xfId="26177" xr:uid="{57345AC5-A9D1-42D3-A0DE-8A6AFCC3FFF2}"/>
    <cellStyle name="Normal 2 35 8 6" xfId="26178" xr:uid="{6F4B62EB-F22D-4AC8-A58F-D7AA81D42A3D}"/>
    <cellStyle name="Normal 2 35 9" xfId="26179" xr:uid="{7B04B168-7082-4185-9856-4FD911362C28}"/>
    <cellStyle name="Normal 2 36" xfId="26180" xr:uid="{5B917895-726E-47DD-B782-59F7DDC90117}"/>
    <cellStyle name="Normal 2 36 10" xfId="26181" xr:uid="{0E0D37C8-ADEC-47AB-AFFE-9E5961E7A14A}"/>
    <cellStyle name="Normal 2 36 11" xfId="26182" xr:uid="{7E022946-E0FE-4E91-82F9-46B4C2527660}"/>
    <cellStyle name="Normal 2 36 12" xfId="26183" xr:uid="{B75D5A0D-CCC1-401D-BDA2-38CCE6A05828}"/>
    <cellStyle name="Normal 2 36 13" xfId="26184" xr:uid="{C5AC05FF-DF07-4FA4-9BED-794C9A2AB0CD}"/>
    <cellStyle name="Normal 2 36 14" xfId="26185" xr:uid="{B4EFA089-629A-40C7-8A0C-0514820F5EA8}"/>
    <cellStyle name="Normal 2 36 2" xfId="26186" xr:uid="{053C1478-057F-4B01-996F-B204C68690B2}"/>
    <cellStyle name="Normal 2 36 2 2" xfId="26187" xr:uid="{0ABB48DD-B527-4797-A462-E68FDC7DF991}"/>
    <cellStyle name="Normal 2 36 2 3" xfId="26188" xr:uid="{AF7D362F-108A-4844-9B36-66065179336A}"/>
    <cellStyle name="Normal 2 36 2 4" xfId="26189" xr:uid="{BABD418C-3ABE-4B95-8579-62D17E45D1A1}"/>
    <cellStyle name="Normal 2 36 2 5" xfId="26190" xr:uid="{178B12CF-C2B1-428E-84F2-543B30D6DC7E}"/>
    <cellStyle name="Normal 2 36 2 6" xfId="26191" xr:uid="{535CEA69-6A5B-4ECC-B92B-F16A6E3BA524}"/>
    <cellStyle name="Normal 2 36 3" xfId="26192" xr:uid="{66E3AE1E-53A0-481A-B9B4-25320680AA9F}"/>
    <cellStyle name="Normal 2 36 3 2" xfId="26193" xr:uid="{32C03D57-9743-4206-9DC6-A798783A8ABD}"/>
    <cellStyle name="Normal 2 36 3 3" xfId="26194" xr:uid="{55EA7973-1A84-4681-8522-498C57506766}"/>
    <cellStyle name="Normal 2 36 3 4" xfId="26195" xr:uid="{31EC8DF8-14B9-4980-AB7A-69F5C1C0E49B}"/>
    <cellStyle name="Normal 2 36 3 5" xfId="26196" xr:uid="{7487F1D9-92DD-4740-BF2E-46C8A27400A0}"/>
    <cellStyle name="Normal 2 36 3 6" xfId="26197" xr:uid="{2857B71F-0C28-4D67-8FF6-26225928559C}"/>
    <cellStyle name="Normal 2 36 4" xfId="26198" xr:uid="{CA55FDEF-BBC6-42DD-BAC4-D6FD24EFC14D}"/>
    <cellStyle name="Normal 2 36 4 2" xfId="26199" xr:uid="{FC01E32C-E201-45C5-B79E-1B00EDD13CC4}"/>
    <cellStyle name="Normal 2 36 4 3" xfId="26200" xr:uid="{4FAB484A-1C56-4C97-B5C5-B6A22E4D036C}"/>
    <cellStyle name="Normal 2 36 4 4" xfId="26201" xr:uid="{244D33B2-7525-40E4-99B4-1311FD71959E}"/>
    <cellStyle name="Normal 2 36 4 5" xfId="26202" xr:uid="{12CDAE07-E3B0-48D1-934E-A8222AAE3B6C}"/>
    <cellStyle name="Normal 2 36 4 6" xfId="26203" xr:uid="{77A113EB-212B-4CF5-B7CF-6C49DBC0EA97}"/>
    <cellStyle name="Normal 2 36 5" xfId="26204" xr:uid="{7DE60E52-E394-49B0-B5ED-EE34CB0A9991}"/>
    <cellStyle name="Normal 2 36 5 2" xfId="26205" xr:uid="{1723673E-F1C1-4BD8-9DC7-B662B7AEE752}"/>
    <cellStyle name="Normal 2 36 5 3" xfId="26206" xr:uid="{E3C502C9-5DDB-477E-8E36-F19AEDD4DB4B}"/>
    <cellStyle name="Normal 2 36 5 4" xfId="26207" xr:uid="{CD5C3C77-628D-47FF-88B3-E60EB543316C}"/>
    <cellStyle name="Normal 2 36 5 5" xfId="26208" xr:uid="{9A39BE27-4B01-4B89-8ABA-8B5C6ED817BF}"/>
    <cellStyle name="Normal 2 36 5 6" xfId="26209" xr:uid="{0BEA1B33-A640-462F-9FAB-8A04596704C3}"/>
    <cellStyle name="Normal 2 36 6" xfId="26210" xr:uid="{AC50D973-C901-4972-A22E-04B40E4D5261}"/>
    <cellStyle name="Normal 2 36 6 2" xfId="26211" xr:uid="{02AAC2DE-FEA8-4864-BE37-DA43C84E09B6}"/>
    <cellStyle name="Normal 2 36 6 3" xfId="26212" xr:uid="{F93E935D-B7D4-4168-AF02-2CAA00AF7E14}"/>
    <cellStyle name="Normal 2 36 6 4" xfId="26213" xr:uid="{564ACC38-E46E-491E-BB08-3EA46A9F0FAB}"/>
    <cellStyle name="Normal 2 36 6 5" xfId="26214" xr:uid="{7C807B6E-CCFD-4341-8467-00D7AB370EDB}"/>
    <cellStyle name="Normal 2 36 6 6" xfId="26215" xr:uid="{55369636-EBA1-47FC-9287-B33EC27DEDE7}"/>
    <cellStyle name="Normal 2 36 7" xfId="26216" xr:uid="{7F80FFBD-446C-436F-B703-1AD18D089878}"/>
    <cellStyle name="Normal 2 36 7 2" xfId="26217" xr:uid="{B79D408A-B52A-443D-AF07-A9044F36B064}"/>
    <cellStyle name="Normal 2 36 7 3" xfId="26218" xr:uid="{A8D6265A-417B-4CAA-8C97-AD8C6BB2BBAA}"/>
    <cellStyle name="Normal 2 36 7 4" xfId="26219" xr:uid="{96B9FE54-B48B-4715-B680-E90F6F9AF40E}"/>
    <cellStyle name="Normal 2 36 7 5" xfId="26220" xr:uid="{24F507A5-19BB-4D6D-8544-F9964059B3D4}"/>
    <cellStyle name="Normal 2 36 7 6" xfId="26221" xr:uid="{E859C3D3-4E39-4A66-AEBD-CB3F7A3FDE0A}"/>
    <cellStyle name="Normal 2 36 8" xfId="26222" xr:uid="{A3C2EBA4-D94F-43C1-891C-7FB71AEDB4A2}"/>
    <cellStyle name="Normal 2 36 8 2" xfId="26223" xr:uid="{82A09CFE-DF42-4926-9A81-C911451D210E}"/>
    <cellStyle name="Normal 2 36 8 3" xfId="26224" xr:uid="{47FE513F-C77D-40F9-B347-C3B449391738}"/>
    <cellStyle name="Normal 2 36 8 4" xfId="26225" xr:uid="{D117EAAC-6C23-4668-A401-544F8943068A}"/>
    <cellStyle name="Normal 2 36 8 5" xfId="26226" xr:uid="{99EFE40D-4D35-4844-8BF6-4A1F02CA3113}"/>
    <cellStyle name="Normal 2 36 8 6" xfId="26227" xr:uid="{79321D11-C95B-4567-A38A-3DE44244F5CE}"/>
    <cellStyle name="Normal 2 36 9" xfId="26228" xr:uid="{68C7AC40-88E0-42B8-99D0-DCA927AC1608}"/>
    <cellStyle name="Normal 2 37" xfId="26229" xr:uid="{7138FCE7-2504-42B4-A5FF-5149535C65B2}"/>
    <cellStyle name="Normal 2 37 10" xfId="26230" xr:uid="{E72D26CD-3E53-4D0C-A3C3-7CB5E577B105}"/>
    <cellStyle name="Normal 2 37 11" xfId="26231" xr:uid="{9FB47284-FF3C-44DA-93A2-2BE375865B04}"/>
    <cellStyle name="Normal 2 37 12" xfId="26232" xr:uid="{D58F9582-C005-47CB-8BAB-45496B3091BB}"/>
    <cellStyle name="Normal 2 37 13" xfId="26233" xr:uid="{36590F4E-6C52-4FD5-A699-74AF759C716A}"/>
    <cellStyle name="Normal 2 37 14" xfId="26234" xr:uid="{1ABC7C57-0002-4662-868A-EEE6DDFC8511}"/>
    <cellStyle name="Normal 2 37 2" xfId="26235" xr:uid="{A67A8A16-AC1C-44F4-8B30-980B19C64972}"/>
    <cellStyle name="Normal 2 37 2 2" xfId="26236" xr:uid="{E1D470C6-F23F-4511-91EB-4D372F56B479}"/>
    <cellStyle name="Normal 2 37 2 3" xfId="26237" xr:uid="{9CDC196F-00ED-4722-A7B9-5B6FC5D099F2}"/>
    <cellStyle name="Normal 2 37 2 4" xfId="26238" xr:uid="{B855A346-1E24-446A-BA5E-E39B2E877BDE}"/>
    <cellStyle name="Normal 2 37 2 5" xfId="26239" xr:uid="{95054FB6-41C6-434D-B309-83AB5FFAE09F}"/>
    <cellStyle name="Normal 2 37 2 6" xfId="26240" xr:uid="{A3391F11-27CE-4C70-A004-1127ACDC03DD}"/>
    <cellStyle name="Normal 2 37 3" xfId="26241" xr:uid="{B3CE4521-91C3-40F2-9658-3B00B1CE4B82}"/>
    <cellStyle name="Normal 2 37 3 2" xfId="26242" xr:uid="{6985834E-F5A5-478D-A88B-923F9B8D8B9B}"/>
    <cellStyle name="Normal 2 37 3 3" xfId="26243" xr:uid="{0E6CD3EC-2C18-40EA-BC3D-21C15A49FFC0}"/>
    <cellStyle name="Normal 2 37 3 4" xfId="26244" xr:uid="{A3422E9E-14F5-4B60-AC28-F06CE529DC6A}"/>
    <cellStyle name="Normal 2 37 3 5" xfId="26245" xr:uid="{5F8E8E6D-5C8E-48FB-9043-7BCC66B7958F}"/>
    <cellStyle name="Normal 2 37 3 6" xfId="26246" xr:uid="{5DE3ADB5-8BC1-49CD-B8D0-8116CAD53730}"/>
    <cellStyle name="Normal 2 37 4" xfId="26247" xr:uid="{499416FA-95E3-4838-AEC1-D3FF80EDAF8B}"/>
    <cellStyle name="Normal 2 37 4 2" xfId="26248" xr:uid="{F289B869-4582-4D28-ACB4-961B4E1FAE2C}"/>
    <cellStyle name="Normal 2 37 4 3" xfId="26249" xr:uid="{654C0F2F-E053-4578-88A5-C73DD2920610}"/>
    <cellStyle name="Normal 2 37 4 4" xfId="26250" xr:uid="{9C22A678-F9E7-4F26-862D-BCD26208C3D5}"/>
    <cellStyle name="Normal 2 37 4 5" xfId="26251" xr:uid="{C6BC1078-8A69-4596-87F4-CC0550E20917}"/>
    <cellStyle name="Normal 2 37 4 6" xfId="26252" xr:uid="{7B46CD03-C6A9-4D98-9E67-1EB06D33BFC4}"/>
    <cellStyle name="Normal 2 37 5" xfId="26253" xr:uid="{9B6B705F-993D-48E6-A651-0AB8453C3A96}"/>
    <cellStyle name="Normal 2 37 5 2" xfId="26254" xr:uid="{75B6D20B-B94E-42D0-9F73-2823CA33F470}"/>
    <cellStyle name="Normal 2 37 5 3" xfId="26255" xr:uid="{A27BBB03-5FF4-42C2-BAF8-CD4A63A8BA3A}"/>
    <cellStyle name="Normal 2 37 5 4" xfId="26256" xr:uid="{13A3E72F-221D-4649-B925-E25BFCF1638B}"/>
    <cellStyle name="Normal 2 37 5 5" xfId="26257" xr:uid="{2796E924-C711-40C1-96CD-1848E5D04793}"/>
    <cellStyle name="Normal 2 37 5 6" xfId="26258" xr:uid="{C5F70047-C65F-4FF1-B8FE-25F8E9C92E81}"/>
    <cellStyle name="Normal 2 37 6" xfId="26259" xr:uid="{407F4BAD-EA3A-453B-B689-82FFEB39F4C7}"/>
    <cellStyle name="Normal 2 37 6 2" xfId="26260" xr:uid="{A9B23F44-F68E-4A06-9CE3-61FCC9BEB362}"/>
    <cellStyle name="Normal 2 37 6 3" xfId="26261" xr:uid="{51E2DFB2-3503-4E1A-92BD-3E6B58071D22}"/>
    <cellStyle name="Normal 2 37 6 4" xfId="26262" xr:uid="{8575FE7A-D982-40E9-973F-5D9C7BA897F5}"/>
    <cellStyle name="Normal 2 37 6 5" xfId="26263" xr:uid="{C581353E-D0DB-4319-906B-C4573531B66C}"/>
    <cellStyle name="Normal 2 37 6 6" xfId="26264" xr:uid="{C7B9E806-65F3-45E5-9755-8F7C3F99EB32}"/>
    <cellStyle name="Normal 2 37 7" xfId="26265" xr:uid="{7283E1DD-7A11-496D-AED6-BAA8E703B64A}"/>
    <cellStyle name="Normal 2 37 7 2" xfId="26266" xr:uid="{F15A5217-C1B4-4D56-A36E-ACB873C9C5C5}"/>
    <cellStyle name="Normal 2 37 7 3" xfId="26267" xr:uid="{1851EF35-F1DC-4B3E-A47D-27AE2E09BE25}"/>
    <cellStyle name="Normal 2 37 7 4" xfId="26268" xr:uid="{01EF4FAA-698C-4F51-80CB-CE17E601F384}"/>
    <cellStyle name="Normal 2 37 7 5" xfId="26269" xr:uid="{4B31392D-608B-43BF-A7AA-58A907CF968C}"/>
    <cellStyle name="Normal 2 37 7 6" xfId="26270" xr:uid="{AB83DF2C-A2A6-432E-B0A0-8DB24AB5DFA7}"/>
    <cellStyle name="Normal 2 37 8" xfId="26271" xr:uid="{326AEEFE-B5C1-45D8-B71F-5F70E8B10C1A}"/>
    <cellStyle name="Normal 2 37 8 2" xfId="26272" xr:uid="{27D22CF5-7CA9-4E21-B973-07E09406DEA7}"/>
    <cellStyle name="Normal 2 37 8 3" xfId="26273" xr:uid="{129B8F18-BA03-40DF-9861-D4BF379F305C}"/>
    <cellStyle name="Normal 2 37 8 4" xfId="26274" xr:uid="{4D07D886-6B84-43B2-8ED3-91D7E53B0A85}"/>
    <cellStyle name="Normal 2 37 8 5" xfId="26275" xr:uid="{C6052EEE-B316-4FED-9ECF-F45C94E9C05C}"/>
    <cellStyle name="Normal 2 37 8 6" xfId="26276" xr:uid="{05D40A7D-1793-4959-B091-4390FD28F825}"/>
    <cellStyle name="Normal 2 37 9" xfId="26277" xr:uid="{F19B2331-D1C9-44EE-8507-A2C66B955415}"/>
    <cellStyle name="Normal 2 38" xfId="26278" xr:uid="{F44535CE-22EA-4834-84D2-08C0A64506A1}"/>
    <cellStyle name="Normal 2 38 10" xfId="26279" xr:uid="{7F502EBA-44F1-4EA4-A990-8787C6ABAAE9}"/>
    <cellStyle name="Normal 2 38 11" xfId="26280" xr:uid="{FD7C6FC2-804E-4EFE-89B4-8818F4DE3C8F}"/>
    <cellStyle name="Normal 2 38 12" xfId="26281" xr:uid="{7D46BCE1-2218-4A79-BF47-883836E12C97}"/>
    <cellStyle name="Normal 2 38 13" xfId="26282" xr:uid="{C102AF2E-32F0-4378-8F27-9D4FE7ECA098}"/>
    <cellStyle name="Normal 2 38 14" xfId="26283" xr:uid="{3452E02D-30FF-4293-AC7B-23CBF2421807}"/>
    <cellStyle name="Normal 2 38 2" xfId="26284" xr:uid="{C2D5478C-133A-4C50-A48F-5131F2E50C68}"/>
    <cellStyle name="Normal 2 38 2 2" xfId="26285" xr:uid="{2FD55E51-9CFB-47AB-AB65-AB55C316B931}"/>
    <cellStyle name="Normal 2 38 2 3" xfId="26286" xr:uid="{23913D46-AD39-47C3-BC8B-E277FA286876}"/>
    <cellStyle name="Normal 2 38 2 4" xfId="26287" xr:uid="{1E34FC7A-45D4-4FB6-8C9B-CC988CAF6552}"/>
    <cellStyle name="Normal 2 38 2 5" xfId="26288" xr:uid="{D15DBE45-879B-4937-AE7B-739E01C888CA}"/>
    <cellStyle name="Normal 2 38 2 6" xfId="26289" xr:uid="{D47A2467-F99E-4378-9BC0-F15C3918C300}"/>
    <cellStyle name="Normal 2 38 3" xfId="26290" xr:uid="{211D6F58-D38D-49D6-BAB6-6DB7BDFE41CD}"/>
    <cellStyle name="Normal 2 38 3 2" xfId="26291" xr:uid="{17C8FDA1-BA96-40B9-9F48-4D5BA7715153}"/>
    <cellStyle name="Normal 2 38 3 3" xfId="26292" xr:uid="{5C3F8F6B-D23A-46DC-A1EA-662D577AEF7A}"/>
    <cellStyle name="Normal 2 38 3 4" xfId="26293" xr:uid="{A9403DA7-84E5-483C-91E1-D521E768015A}"/>
    <cellStyle name="Normal 2 38 3 5" xfId="26294" xr:uid="{710116AF-E85E-43B1-911F-E1235C659303}"/>
    <cellStyle name="Normal 2 38 3 6" xfId="26295" xr:uid="{8070410D-CF73-422C-9A1D-FCB87FF0CF45}"/>
    <cellStyle name="Normal 2 38 4" xfId="26296" xr:uid="{71FE41EB-AEB7-4240-9D60-8F2E987A9263}"/>
    <cellStyle name="Normal 2 38 4 2" xfId="26297" xr:uid="{B20AC51F-6545-4981-9AD0-2B232C21AA59}"/>
    <cellStyle name="Normal 2 38 4 3" xfId="26298" xr:uid="{56801C32-B9F1-4EC6-B316-2409495D0D17}"/>
    <cellStyle name="Normal 2 38 4 4" xfId="26299" xr:uid="{73884432-2415-415D-B8DB-1EB35C96D877}"/>
    <cellStyle name="Normal 2 38 4 5" xfId="26300" xr:uid="{48CCDCA1-3C19-447E-9063-279EF4422539}"/>
    <cellStyle name="Normal 2 38 4 6" xfId="26301" xr:uid="{383B2FD1-E70C-4E53-98B0-8FE298B54B0E}"/>
    <cellStyle name="Normal 2 38 5" xfId="26302" xr:uid="{56AFBBEB-1C13-4710-8EA1-631FD9B5D6D3}"/>
    <cellStyle name="Normal 2 38 5 2" xfId="26303" xr:uid="{6F804AB2-6B98-42B4-B7B5-CFB73C7AC544}"/>
    <cellStyle name="Normal 2 38 5 3" xfId="26304" xr:uid="{51908CCF-4099-4C3C-8026-D97A51E8C56D}"/>
    <cellStyle name="Normal 2 38 5 4" xfId="26305" xr:uid="{E99A1192-1AB2-46EF-AFA4-8AF11BFBF86E}"/>
    <cellStyle name="Normal 2 38 5 5" xfId="26306" xr:uid="{C6D94AE4-4BF5-4E5B-8818-E79E0620A75B}"/>
    <cellStyle name="Normal 2 38 5 6" xfId="26307" xr:uid="{03A38D52-2A07-435A-BB22-28AE66D8FCBF}"/>
    <cellStyle name="Normal 2 38 6" xfId="26308" xr:uid="{F8D62539-06A7-4ADC-9118-8E89BD56CECD}"/>
    <cellStyle name="Normal 2 38 6 2" xfId="26309" xr:uid="{25BC1EA2-1F54-4310-BACD-FB19B64A9337}"/>
    <cellStyle name="Normal 2 38 6 3" xfId="26310" xr:uid="{2A980019-F2A5-48C5-87FC-7925A74EF66F}"/>
    <cellStyle name="Normal 2 38 6 4" xfId="26311" xr:uid="{742604FC-D979-4881-A20D-4C96ABA24821}"/>
    <cellStyle name="Normal 2 38 6 5" xfId="26312" xr:uid="{23EDE7EC-CDC5-497A-84D5-2465D42EB543}"/>
    <cellStyle name="Normal 2 38 6 6" xfId="26313" xr:uid="{DD83EE6A-CCF8-43CC-8539-520DFE1E4AFE}"/>
    <cellStyle name="Normal 2 38 7" xfId="26314" xr:uid="{1B64BF28-496F-4518-90C5-9527B83643A0}"/>
    <cellStyle name="Normal 2 38 7 2" xfId="26315" xr:uid="{13B8F02B-8ED4-46F8-83F4-8E89E1C3DC0C}"/>
    <cellStyle name="Normal 2 38 7 3" xfId="26316" xr:uid="{F65C4914-1795-429A-B2F3-CF4A9E3D6877}"/>
    <cellStyle name="Normal 2 38 7 4" xfId="26317" xr:uid="{F7F060CD-F88C-4010-A264-7F89E0178830}"/>
    <cellStyle name="Normal 2 38 7 5" xfId="26318" xr:uid="{02614876-3E37-43FC-963F-0505A020BEDD}"/>
    <cellStyle name="Normal 2 38 7 6" xfId="26319" xr:uid="{7D124E09-E9E1-497C-952F-433051D17FD4}"/>
    <cellStyle name="Normal 2 38 8" xfId="26320" xr:uid="{136EF956-AA58-4422-99B9-6517AE8F9712}"/>
    <cellStyle name="Normal 2 38 8 2" xfId="26321" xr:uid="{1665F8AD-AAE9-413E-9A80-09BA320F20D7}"/>
    <cellStyle name="Normal 2 38 8 3" xfId="26322" xr:uid="{A81006D5-C27E-4AF3-A1F4-CECEACD9950D}"/>
    <cellStyle name="Normal 2 38 8 4" xfId="26323" xr:uid="{748D4052-F3C8-4D50-B6F8-F556D2D198C4}"/>
    <cellStyle name="Normal 2 38 8 5" xfId="26324" xr:uid="{5F277FEA-5EFE-4441-A998-3293403AEB95}"/>
    <cellStyle name="Normal 2 38 8 6" xfId="26325" xr:uid="{B99D2A40-DF08-457D-9036-892220055929}"/>
    <cellStyle name="Normal 2 38 9" xfId="26326" xr:uid="{6A1749A4-6B32-4180-9247-CA287C0A512C}"/>
    <cellStyle name="Normal 2 39" xfId="26327" xr:uid="{88CD07B7-1B24-46A4-85FC-C01D4AFE0165}"/>
    <cellStyle name="Normal 2 39 10" xfId="26328" xr:uid="{B2C949C4-5DA2-4201-9D44-1D95F808CCB2}"/>
    <cellStyle name="Normal 2 39 11" xfId="26329" xr:uid="{58C500C6-9142-45BA-8B6C-5DD385B39729}"/>
    <cellStyle name="Normal 2 39 12" xfId="26330" xr:uid="{3CFBBA7B-1940-4356-AFAF-9FF7C99CCEC1}"/>
    <cellStyle name="Normal 2 39 13" xfId="26331" xr:uid="{793945D0-7E42-4898-82A6-C8B60F5DCA72}"/>
    <cellStyle name="Normal 2 39 14" xfId="26332" xr:uid="{91B54268-AC25-4DC4-B72A-06BAA40D2D05}"/>
    <cellStyle name="Normal 2 39 2" xfId="26333" xr:uid="{D40EFBF3-2834-4E5E-830B-06E99717437A}"/>
    <cellStyle name="Normal 2 39 2 2" xfId="26334" xr:uid="{CF2BC911-11AF-4FB2-84E6-AB5F70A6D279}"/>
    <cellStyle name="Normal 2 39 2 3" xfId="26335" xr:uid="{43D24FA3-AE7A-4300-85AF-8D28337CA1D9}"/>
    <cellStyle name="Normal 2 39 2 4" xfId="26336" xr:uid="{3248B421-0CCF-41F2-8761-7C8AD04D6C21}"/>
    <cellStyle name="Normal 2 39 2 5" xfId="26337" xr:uid="{77FA7692-F098-4E70-A671-0FBAEEDC6EEF}"/>
    <cellStyle name="Normal 2 39 2 6" xfId="26338" xr:uid="{0E8924B7-B3EA-45C6-B6E6-E905189F30FB}"/>
    <cellStyle name="Normal 2 39 3" xfId="26339" xr:uid="{3388937C-D44F-4EC7-AF01-12C9C980FF66}"/>
    <cellStyle name="Normal 2 39 3 2" xfId="26340" xr:uid="{7BC07DD8-ECE7-4292-AEF1-7C526A45B295}"/>
    <cellStyle name="Normal 2 39 3 3" xfId="26341" xr:uid="{7A630274-61B9-453A-B491-53730F20EF9B}"/>
    <cellStyle name="Normal 2 39 3 4" xfId="26342" xr:uid="{167C907A-7880-46A7-9251-C7A390D4870D}"/>
    <cellStyle name="Normal 2 39 3 5" xfId="26343" xr:uid="{C0C34494-0D38-4823-8BAF-075F4D432848}"/>
    <cellStyle name="Normal 2 39 3 6" xfId="26344" xr:uid="{0AC565D8-73A4-4938-AFE4-60DF11E0F867}"/>
    <cellStyle name="Normal 2 39 4" xfId="26345" xr:uid="{6A226C8C-E621-4D50-9C97-BF82F3AC94BA}"/>
    <cellStyle name="Normal 2 39 4 2" xfId="26346" xr:uid="{5C893443-689B-4E83-ABC8-B8D788977429}"/>
    <cellStyle name="Normal 2 39 4 3" xfId="26347" xr:uid="{760A4D94-732B-4B03-AE36-637C5B4067B7}"/>
    <cellStyle name="Normal 2 39 4 4" xfId="26348" xr:uid="{6B95875F-9EF4-481A-B5E2-ED15BB719EC8}"/>
    <cellStyle name="Normal 2 39 4 5" xfId="26349" xr:uid="{416410BF-72D6-472F-9088-84A295EF1A20}"/>
    <cellStyle name="Normal 2 39 4 6" xfId="26350" xr:uid="{57C0A01E-4915-49CE-8226-07EDD3EAB084}"/>
    <cellStyle name="Normal 2 39 5" xfId="26351" xr:uid="{B2B66443-B8FA-4EAA-9F49-6FA497DDC9DA}"/>
    <cellStyle name="Normal 2 39 5 2" xfId="26352" xr:uid="{52B75273-568A-4470-9718-8CDEB7A72F7E}"/>
    <cellStyle name="Normal 2 39 5 3" xfId="26353" xr:uid="{22B0B693-8F8A-4000-BE27-7E784320434E}"/>
    <cellStyle name="Normal 2 39 5 4" xfId="26354" xr:uid="{236CB25B-52D2-49E5-AD30-CD1CA26A9B65}"/>
    <cellStyle name="Normal 2 39 5 5" xfId="26355" xr:uid="{DA024810-6B22-46B9-8FFF-852B298E8DE6}"/>
    <cellStyle name="Normal 2 39 5 6" xfId="26356" xr:uid="{4F9357D4-8614-4387-B705-A3DD131C0E09}"/>
    <cellStyle name="Normal 2 39 6" xfId="26357" xr:uid="{0172F137-0173-4B6D-BD9D-ED67FD1DA01C}"/>
    <cellStyle name="Normal 2 39 6 2" xfId="26358" xr:uid="{4C350028-6393-4A4A-A27A-1A8601EAC18A}"/>
    <cellStyle name="Normal 2 39 6 3" xfId="26359" xr:uid="{F1981E19-0BDB-4ADB-8A72-828A4A79B7E1}"/>
    <cellStyle name="Normal 2 39 6 4" xfId="26360" xr:uid="{AAD5B94C-5CFE-4853-B7DC-AD1735E5DA4C}"/>
    <cellStyle name="Normal 2 39 6 5" xfId="26361" xr:uid="{77175187-1D8C-4142-9E69-6E3B06332572}"/>
    <cellStyle name="Normal 2 39 6 6" xfId="26362" xr:uid="{08DB80ED-65A2-4190-81BA-02444312916D}"/>
    <cellStyle name="Normal 2 39 7" xfId="26363" xr:uid="{57353E0B-6D3B-42C8-8B83-6255D7D38B5E}"/>
    <cellStyle name="Normal 2 39 7 2" xfId="26364" xr:uid="{EEE0F230-2649-413A-9261-350F2C84DC00}"/>
    <cellStyle name="Normal 2 39 7 3" xfId="26365" xr:uid="{74BF0392-D421-4673-8E22-E2EC66B41C6D}"/>
    <cellStyle name="Normal 2 39 7 4" xfId="26366" xr:uid="{C1CE3BE2-79AD-49E0-A77C-773399FAA676}"/>
    <cellStyle name="Normal 2 39 7 5" xfId="26367" xr:uid="{AF1179DB-C903-4823-939E-05BBE56F176F}"/>
    <cellStyle name="Normal 2 39 7 6" xfId="26368" xr:uid="{77EB87CB-AF22-4EE8-8F71-7E1C17EEC3D8}"/>
    <cellStyle name="Normal 2 39 8" xfId="26369" xr:uid="{3D52F37E-165C-463B-8878-BD213590F60C}"/>
    <cellStyle name="Normal 2 39 8 2" xfId="26370" xr:uid="{8C664263-D980-467A-A25F-311CBC2E7207}"/>
    <cellStyle name="Normal 2 39 8 3" xfId="26371" xr:uid="{817F7A29-3492-4B2E-AD58-34ACC3F8D6F0}"/>
    <cellStyle name="Normal 2 39 8 4" xfId="26372" xr:uid="{4D2C5614-3B94-4A76-B0FA-415D477B8CAD}"/>
    <cellStyle name="Normal 2 39 8 5" xfId="26373" xr:uid="{3B6DA827-C18E-4C11-8CB4-7BE46FBD367E}"/>
    <cellStyle name="Normal 2 39 8 6" xfId="26374" xr:uid="{4E8BDD16-0EC4-486C-A323-3CC76F3637BD}"/>
    <cellStyle name="Normal 2 39 9" xfId="26375" xr:uid="{58325C89-33E5-43C0-9020-BE87AFC8BEF8}"/>
    <cellStyle name="Normal 2 4" xfId="1080" xr:uid="{14D3AC6F-F54F-45C8-98B9-2E94794FE658}"/>
    <cellStyle name="Normal 2 4 10" xfId="26376" xr:uid="{03E28910-189D-47D3-AFA1-A2DED2878837}"/>
    <cellStyle name="Normal 2 4 11" xfId="26377" xr:uid="{BBFDC9BB-CE0F-47C7-8BF5-A97C3E1F7716}"/>
    <cellStyle name="Normal 2 4 12" xfId="26378" xr:uid="{915FBAD7-F314-49B4-8C35-F0C3619EFE6F}"/>
    <cellStyle name="Normal 2 4 13" xfId="26379" xr:uid="{414C54C8-BA28-4A98-AC40-8486DDF85AE6}"/>
    <cellStyle name="Normal 2 4 14" xfId="26380" xr:uid="{99E3B459-AF80-417B-8699-4EAA032B44D8}"/>
    <cellStyle name="Normal 2 4 2" xfId="26381" xr:uid="{25186BD5-23A9-4730-873F-955DA7A2EC61}"/>
    <cellStyle name="Normal 2 4 2 2" xfId="26382" xr:uid="{F83B3FDC-E379-4237-A59F-9180A65DF317}"/>
    <cellStyle name="Normal 2 4 2 3" xfId="26383" xr:uid="{6566642E-EF87-44A9-827C-727309CC0E87}"/>
    <cellStyle name="Normal 2 4 2 4" xfId="26384" xr:uid="{8CDD0B45-E46E-49F8-964B-E431C8A30EAA}"/>
    <cellStyle name="Normal 2 4 2 5" xfId="26385" xr:uid="{6B28A7AB-CC06-4708-AEA1-620439DA3F25}"/>
    <cellStyle name="Normal 2 4 2 6" xfId="26386" xr:uid="{4CEE48B6-181E-490A-92E6-02F7989D5DC8}"/>
    <cellStyle name="Normal 2 4 3" xfId="26387" xr:uid="{52DFBC31-961C-496B-8706-B805CAF71835}"/>
    <cellStyle name="Normal 2 4 3 2" xfId="26388" xr:uid="{C28A49DB-F0E3-499D-811F-23377BD7A572}"/>
    <cellStyle name="Normal 2 4 3 3" xfId="26389" xr:uid="{709E057D-B49D-4F23-9B56-41900D933B6F}"/>
    <cellStyle name="Normal 2 4 3 4" xfId="26390" xr:uid="{FE1A0357-1300-4301-812E-E019228C2431}"/>
    <cellStyle name="Normal 2 4 3 5" xfId="26391" xr:uid="{B4053675-F814-420A-8936-C1DF522286E8}"/>
    <cellStyle name="Normal 2 4 3 6" xfId="26392" xr:uid="{D68BFBF4-2660-468D-A9BA-2D8BD31013E0}"/>
    <cellStyle name="Normal 2 4 4" xfId="26393" xr:uid="{0DF589C6-5ACF-44AC-BECE-405462BDB663}"/>
    <cellStyle name="Normal 2 4 4 2" xfId="26394" xr:uid="{23F3B76E-A032-464C-A841-55484ACF7A06}"/>
    <cellStyle name="Normal 2 4 4 3" xfId="26395" xr:uid="{A993E457-273E-4548-AD40-DEDF71AA8E8C}"/>
    <cellStyle name="Normal 2 4 4 4" xfId="26396" xr:uid="{4BD54C42-B858-4354-B033-66CCE6684802}"/>
    <cellStyle name="Normal 2 4 4 5" xfId="26397" xr:uid="{810F1375-9DD7-4B5A-97C9-EAF364181672}"/>
    <cellStyle name="Normal 2 4 4 6" xfId="26398" xr:uid="{11BE7258-CBEA-4C2B-A159-249946A6DC54}"/>
    <cellStyle name="Normal 2 4 5" xfId="26399" xr:uid="{A691A674-3F5C-48D2-A717-1CACF911952C}"/>
    <cellStyle name="Normal 2 4 5 2" xfId="26400" xr:uid="{536B2892-8A02-4899-AB45-6F2DB63137E4}"/>
    <cellStyle name="Normal 2 4 5 3" xfId="26401" xr:uid="{B1F23B2B-40A5-4ACE-96FA-C255E9CE8DDE}"/>
    <cellStyle name="Normal 2 4 5 4" xfId="26402" xr:uid="{79EBC3EA-122D-44FE-A0DD-3224BFAE228E}"/>
    <cellStyle name="Normal 2 4 5 5" xfId="26403" xr:uid="{5AB89EAB-14B0-44B5-9EBE-05B8BBC6170D}"/>
    <cellStyle name="Normal 2 4 5 6" xfId="26404" xr:uid="{FBC46274-F689-48D2-86C5-009922908A25}"/>
    <cellStyle name="Normal 2 4 6" xfId="26405" xr:uid="{5C2F4C95-1986-4965-A24F-D048D873995F}"/>
    <cellStyle name="Normal 2 4 6 2" xfId="26406" xr:uid="{E7BE695B-E685-4E8F-BDE4-2B3DAD69EB10}"/>
    <cellStyle name="Normal 2 4 6 3" xfId="26407" xr:uid="{124FA90A-EE5F-4CF1-A183-2B3B63954921}"/>
    <cellStyle name="Normal 2 4 6 4" xfId="26408" xr:uid="{8E5CCB04-B3FE-4A5C-B3DC-6BDF20CB0918}"/>
    <cellStyle name="Normal 2 4 6 5" xfId="26409" xr:uid="{9DF3E232-B319-40F9-82F6-CECDE5893726}"/>
    <cellStyle name="Normal 2 4 6 6" xfId="26410" xr:uid="{17C3EF36-BBD0-4954-AF56-A059816B927C}"/>
    <cellStyle name="Normal 2 4 7" xfId="26411" xr:uid="{71AB274C-3576-40A3-A97E-DC344FD7D74C}"/>
    <cellStyle name="Normal 2 4 7 2" xfId="26412" xr:uid="{1B3EF98D-B04F-4741-8B74-32391C524C54}"/>
    <cellStyle name="Normal 2 4 7 3" xfId="26413" xr:uid="{09B79A5D-530E-446B-A72C-51BF836B1147}"/>
    <cellStyle name="Normal 2 4 7 4" xfId="26414" xr:uid="{17F196E3-C0D2-4F54-8686-13C47E4FF1A9}"/>
    <cellStyle name="Normal 2 4 7 5" xfId="26415" xr:uid="{6DC8CBD3-DBDD-415B-AFFB-51C873081843}"/>
    <cellStyle name="Normal 2 4 7 6" xfId="26416" xr:uid="{8B817CE7-79F7-4BF5-A7A8-78D683508579}"/>
    <cellStyle name="Normal 2 4 8" xfId="26417" xr:uid="{3F581B73-6813-4ADF-8597-638519832D9E}"/>
    <cellStyle name="Normal 2 4 8 2" xfId="26418" xr:uid="{0687CC35-3534-41BD-B6F8-85CC8186DC34}"/>
    <cellStyle name="Normal 2 4 8 3" xfId="26419" xr:uid="{D1104A30-CB7B-452A-BC99-3A76BDD1DCBE}"/>
    <cellStyle name="Normal 2 4 8 4" xfId="26420" xr:uid="{F8051994-D84F-45F7-90AF-73FEF83D1577}"/>
    <cellStyle name="Normal 2 4 8 5" xfId="26421" xr:uid="{7E5482F0-E359-41FF-BDA9-16DC59ED9990}"/>
    <cellStyle name="Normal 2 4 8 6" xfId="26422" xr:uid="{744B4C8E-2924-4F85-8AE5-413C9FC0FD9B}"/>
    <cellStyle name="Normal 2 4 9" xfId="26423" xr:uid="{4727A406-7438-428C-85A1-73ECEC4AB5F9}"/>
    <cellStyle name="Normal 2 40" xfId="26424" xr:uid="{7750C580-3BBC-40CF-BE86-665639477284}"/>
    <cellStyle name="Normal 2 40 10" xfId="26425" xr:uid="{691DABA5-8A27-4BEF-93AF-773220BE0BD1}"/>
    <cellStyle name="Normal 2 40 11" xfId="26426" xr:uid="{4D44FAE4-9573-4012-977B-3CDBFF4F03CE}"/>
    <cellStyle name="Normal 2 40 12" xfId="26427" xr:uid="{956EF742-05A2-4E30-AB83-D23A5AAD8C45}"/>
    <cellStyle name="Normal 2 40 13" xfId="26428" xr:uid="{C9406C0D-BCE1-42EF-B14E-2FFB9405B65B}"/>
    <cellStyle name="Normal 2 40 14" xfId="26429" xr:uid="{4DE8EA54-8285-41EB-9662-05147BFA749B}"/>
    <cellStyle name="Normal 2 40 15" xfId="26430" xr:uid="{2876E91B-8ED0-4DA5-A951-76A29C84DFFC}"/>
    <cellStyle name="Normal 2 40 16" xfId="26431" xr:uid="{0B17A712-99BB-4DC3-A540-D742E428F1F1}"/>
    <cellStyle name="Normal 2 40 17" xfId="26432" xr:uid="{BDA00F59-C90F-4A11-8EC9-AEC673AB9B74}"/>
    <cellStyle name="Normal 2 40 18" xfId="26433" xr:uid="{9A0635D4-6236-403E-9E0F-824C5A058960}"/>
    <cellStyle name="Normal 2 40 19" xfId="26434" xr:uid="{51F47B17-2011-446E-B9B9-C157E439DBF1}"/>
    <cellStyle name="Normal 2 40 2" xfId="26435" xr:uid="{01535858-CE78-4E37-9306-FEB71B06ADF3}"/>
    <cellStyle name="Normal 2 40 20" xfId="26436" xr:uid="{1267F4EF-4DFE-4ACB-B2B8-01CD0897EA66}"/>
    <cellStyle name="Normal 2 40 21" xfId="26437" xr:uid="{B2A14FC5-1238-4A99-83EF-7865120AF883}"/>
    <cellStyle name="Normal 2 40 22" xfId="26438" xr:uid="{560517D9-1AA5-437E-8EC9-D10AB5D3BA5A}"/>
    <cellStyle name="Normal 2 40 23" xfId="26439" xr:uid="{EAC2A62A-658C-4885-B3C3-77C34E55DF02}"/>
    <cellStyle name="Normal 2 40 24" xfId="26440" xr:uid="{B9886ABA-D88F-4B39-9649-8DA745529315}"/>
    <cellStyle name="Normal 2 40 25" xfId="26441" xr:uid="{23F307DD-9586-4C70-8C58-FEBC3933E0E3}"/>
    <cellStyle name="Normal 2 40 26" xfId="26442" xr:uid="{BDB77C33-40C9-478B-A3AC-A15216949722}"/>
    <cellStyle name="Normal 2 40 27" xfId="26443" xr:uid="{261685EE-901C-46B9-8993-2E9EDEBC74C0}"/>
    <cellStyle name="Normal 2 40 28" xfId="26444" xr:uid="{020FC9CF-E3C2-46FB-945A-F3FFBEFC2EAC}"/>
    <cellStyle name="Normal 2 40 29" xfId="26445" xr:uid="{B7A527A1-7709-48C5-B360-636AEB6E047C}"/>
    <cellStyle name="Normal 2 40 3" xfId="26446" xr:uid="{1399774B-E0CD-4FB1-A007-BDD9B58FAED5}"/>
    <cellStyle name="Normal 2 40 30" xfId="26447" xr:uid="{C673BE6D-1149-4497-B9C4-2607124E8A83}"/>
    <cellStyle name="Normal 2 40 31" xfId="26448" xr:uid="{9D8FF7C3-8839-4BD2-B3EC-8486F9CC3E35}"/>
    <cellStyle name="Normal 2 40 32" xfId="26449" xr:uid="{4994A5E4-76D9-4AC1-91FF-48F248BF9CDF}"/>
    <cellStyle name="Normal 2 40 33" xfId="26450" xr:uid="{A38AF329-86EE-43BB-9915-79DFDF83460F}"/>
    <cellStyle name="Normal 2 40 34" xfId="26451" xr:uid="{6F2BCF33-A95E-45A0-8EE9-61A684B0E314}"/>
    <cellStyle name="Normal 2 40 35" xfId="26452" xr:uid="{112F441D-1A1D-435F-9F32-CA2DE74A0F53}"/>
    <cellStyle name="Normal 2 40 36" xfId="26453" xr:uid="{F440FBFE-2A6A-4EF8-894F-536CD73ACF6D}"/>
    <cellStyle name="Normal 2 40 37" xfId="26454" xr:uid="{20DB0FBB-AE8F-44C1-A87D-957D97145D8D}"/>
    <cellStyle name="Normal 2 40 38" xfId="26455" xr:uid="{61025056-9AE9-4C12-8287-2CABFE1B20B7}"/>
    <cellStyle name="Normal 2 40 4" xfId="26456" xr:uid="{C1D7AEB1-DF78-4CFA-88B4-3867DFBEAABE}"/>
    <cellStyle name="Normal 2 40 5" xfId="26457" xr:uid="{60C2F8CE-928A-42E7-874C-49A2CF9D5E4E}"/>
    <cellStyle name="Normal 2 40 6" xfId="26458" xr:uid="{B466308E-07BA-40CE-8625-3764B7FA8212}"/>
    <cellStyle name="Normal 2 40 7" xfId="26459" xr:uid="{9BDBC16F-1518-4737-8691-144BFEDCA60E}"/>
    <cellStyle name="Normal 2 40 8" xfId="26460" xr:uid="{3E5B6B00-02C8-4EDE-9F20-7BA2DDEEA311}"/>
    <cellStyle name="Normal 2 40 9" xfId="26461" xr:uid="{03D35F5D-6DCE-4C7B-AD3F-F41EDDF20DF6}"/>
    <cellStyle name="Normal 2 41" xfId="26462" xr:uid="{F6863E8A-7418-42F8-BB65-68E8EBA2A0D2}"/>
    <cellStyle name="Normal 2 41 10" xfId="26463" xr:uid="{83000005-D92D-40C5-A45B-3A2F42E9C689}"/>
    <cellStyle name="Normal 2 41 11" xfId="26464" xr:uid="{98B9D339-DDB4-4B00-B288-13EB57F6EF1B}"/>
    <cellStyle name="Normal 2 41 12" xfId="26465" xr:uid="{A2040A8A-441C-43A5-A782-59EAA181A772}"/>
    <cellStyle name="Normal 2 41 13" xfId="26466" xr:uid="{DC1D00DB-B248-4C49-BA6B-121FCF85FEEF}"/>
    <cellStyle name="Normal 2 41 14" xfId="26467" xr:uid="{47C936E9-317B-4F46-B3F4-E9942C1E1739}"/>
    <cellStyle name="Normal 2 41 15" xfId="26468" xr:uid="{8FEA1DFE-D186-4CBB-92A0-ACE243105E14}"/>
    <cellStyle name="Normal 2 41 16" xfId="26469" xr:uid="{B21D29CE-222F-421E-9F3D-606A38FA8A66}"/>
    <cellStyle name="Normal 2 41 17" xfId="26470" xr:uid="{94DFBD48-7604-447A-BDCB-820C805399BC}"/>
    <cellStyle name="Normal 2 41 18" xfId="26471" xr:uid="{2E2BC5C2-0B84-4470-AFBE-E68D91FF9275}"/>
    <cellStyle name="Normal 2 41 19" xfId="26472" xr:uid="{BF7C78D7-4438-4707-9EAD-19BA7644D9A9}"/>
    <cellStyle name="Normal 2 41 2" xfId="26473" xr:uid="{292090AF-4A1A-499C-AB71-C699A6764AB1}"/>
    <cellStyle name="Normal 2 41 20" xfId="26474" xr:uid="{04B3C770-AE9B-4401-8838-D14B9F080CB5}"/>
    <cellStyle name="Normal 2 41 21" xfId="26475" xr:uid="{E554E98A-8345-4156-A443-507A8FFC0721}"/>
    <cellStyle name="Normal 2 41 22" xfId="26476" xr:uid="{C1366A4E-836B-4B63-8F80-8D30B7173225}"/>
    <cellStyle name="Normal 2 41 23" xfId="26477" xr:uid="{A09E3A00-970A-4D8A-94B9-5320F7ECB989}"/>
    <cellStyle name="Normal 2 41 24" xfId="26478" xr:uid="{A87B2C60-BCC7-43F1-8B9B-1318D7D4F745}"/>
    <cellStyle name="Normal 2 41 25" xfId="26479" xr:uid="{0D594146-7C0C-4D79-B5E6-75762EABCA89}"/>
    <cellStyle name="Normal 2 41 26" xfId="26480" xr:uid="{1DA108F3-685D-4FC4-9123-44556340B3D5}"/>
    <cellStyle name="Normal 2 41 27" xfId="26481" xr:uid="{E27F6E8E-E5A6-49F8-89AC-E376504B8651}"/>
    <cellStyle name="Normal 2 41 28" xfId="26482" xr:uid="{D6632669-060C-44C6-ABB8-1CEE45209DBE}"/>
    <cellStyle name="Normal 2 41 29" xfId="26483" xr:uid="{C5A80077-EC34-4746-91CD-31C875D54410}"/>
    <cellStyle name="Normal 2 41 3" xfId="26484" xr:uid="{0E0B80F2-31A0-4687-9765-60ED37C16CCD}"/>
    <cellStyle name="Normal 2 41 30" xfId="26485" xr:uid="{CC2C162C-064E-49AF-89B9-DBDD1136BC39}"/>
    <cellStyle name="Normal 2 41 31" xfId="26486" xr:uid="{F98228CB-6880-4828-8340-A6F7B1402C0B}"/>
    <cellStyle name="Normal 2 41 32" xfId="26487" xr:uid="{922A120C-D2FB-479E-8153-1AD2D8E57297}"/>
    <cellStyle name="Normal 2 41 33" xfId="26488" xr:uid="{08E53744-C2CB-4513-A60E-C53A0E6EA208}"/>
    <cellStyle name="Normal 2 41 34" xfId="26489" xr:uid="{5F255EB6-4B7F-4AB0-AE02-7E8B5FFFC4F8}"/>
    <cellStyle name="Normal 2 41 35" xfId="26490" xr:uid="{C1AC1E6A-6E4A-4888-9AC7-A8748019EAEF}"/>
    <cellStyle name="Normal 2 41 36" xfId="26491" xr:uid="{EB8E3C04-B820-499B-8950-40C2FE28422C}"/>
    <cellStyle name="Normal 2 41 37" xfId="26492" xr:uid="{4746AECE-E7DE-481F-8AC5-1DBC1BBC191F}"/>
    <cellStyle name="Normal 2 41 38" xfId="26493" xr:uid="{69DA1330-3F8B-46C8-9298-69CD4117D837}"/>
    <cellStyle name="Normal 2 41 4" xfId="26494" xr:uid="{FD9713EC-D268-464B-8553-C49EC40D11DF}"/>
    <cellStyle name="Normal 2 41 5" xfId="26495" xr:uid="{0C627C21-0700-4EA6-9C15-7B81EDD7A66A}"/>
    <cellStyle name="Normal 2 41 6" xfId="26496" xr:uid="{D729B271-7E93-409C-BE83-C4D710935078}"/>
    <cellStyle name="Normal 2 41 7" xfId="26497" xr:uid="{CCF2A7DB-0162-415B-BDD2-007E58764A91}"/>
    <cellStyle name="Normal 2 41 8" xfId="26498" xr:uid="{B07DC1BE-4A01-440E-953A-3F39C02EA5BC}"/>
    <cellStyle name="Normal 2 41 9" xfId="26499" xr:uid="{080CDB17-F444-40F2-B550-8C3B61AF9430}"/>
    <cellStyle name="Normal 2 42" xfId="26500" xr:uid="{2C1AA482-8577-4909-A252-3B543D8866B1}"/>
    <cellStyle name="Normal 2 42 10" xfId="26501" xr:uid="{1F88F6CA-B311-431E-B7D9-5DCC0C9C20DE}"/>
    <cellStyle name="Normal 2 42 11" xfId="26502" xr:uid="{E9F3D928-FCD1-41D3-9D36-21FFC93DCEC8}"/>
    <cellStyle name="Normal 2 42 12" xfId="26503" xr:uid="{D3FE9ACC-CF3B-448F-BAD9-DB95EB4D9513}"/>
    <cellStyle name="Normal 2 42 13" xfId="26504" xr:uid="{8E57D1EB-BA5E-4D26-9A97-FAF48AA6E6B2}"/>
    <cellStyle name="Normal 2 42 14" xfId="26505" xr:uid="{2D730F02-7674-4D75-B36D-BAD0492E2458}"/>
    <cellStyle name="Normal 2 42 15" xfId="26506" xr:uid="{3CAD9E4D-2C01-450E-9C8C-C59E5E6815E6}"/>
    <cellStyle name="Normal 2 42 16" xfId="26507" xr:uid="{D596DB58-2D30-4AC4-B675-C7C92F149251}"/>
    <cellStyle name="Normal 2 42 17" xfId="26508" xr:uid="{F7CEFD67-FB16-4DA0-B522-440C78DCEF95}"/>
    <cellStyle name="Normal 2 42 18" xfId="26509" xr:uid="{30F8EE74-C809-4F38-AE9F-F8872A1FB3BC}"/>
    <cellStyle name="Normal 2 42 19" xfId="26510" xr:uid="{100AF5C4-08B6-4154-9C11-96B0367A4500}"/>
    <cellStyle name="Normal 2 42 2" xfId="26511" xr:uid="{30725CEC-5FD8-4481-BE2A-449AF1A59BA7}"/>
    <cellStyle name="Normal 2 42 20" xfId="26512" xr:uid="{EC8FAEAD-966E-46B7-8418-F4F605D31AC4}"/>
    <cellStyle name="Normal 2 42 21" xfId="26513" xr:uid="{E57FCAEC-1562-4850-87F0-DC2542BE767B}"/>
    <cellStyle name="Normal 2 42 22" xfId="26514" xr:uid="{B7E1F13B-36CB-47F4-9803-B47FA5C03652}"/>
    <cellStyle name="Normal 2 42 23" xfId="26515" xr:uid="{4F76916C-8BC4-429F-B996-9A15AF86D6CB}"/>
    <cellStyle name="Normal 2 42 24" xfId="26516" xr:uid="{BF4B1BFD-23AF-4820-8863-187382AE25EF}"/>
    <cellStyle name="Normal 2 42 25" xfId="26517" xr:uid="{FE3A1D3F-5734-4A25-964A-D0F485A1DFE8}"/>
    <cellStyle name="Normal 2 42 26" xfId="26518" xr:uid="{B1265EB4-F599-441C-9FA6-A8E34D1A18DC}"/>
    <cellStyle name="Normal 2 42 27" xfId="26519" xr:uid="{BB0E5777-9D28-48FD-9169-44EDB63B5FE4}"/>
    <cellStyle name="Normal 2 42 28" xfId="26520" xr:uid="{774B64DD-57DC-4DFB-A451-0790A6786194}"/>
    <cellStyle name="Normal 2 42 29" xfId="26521" xr:uid="{BF262517-FAD1-4780-AF32-027EB24FEA06}"/>
    <cellStyle name="Normal 2 42 3" xfId="26522" xr:uid="{52C57B68-3C75-49AE-8AD0-17F123F2DF63}"/>
    <cellStyle name="Normal 2 42 30" xfId="26523" xr:uid="{43E99A5E-595D-4927-96F0-522B185C00D0}"/>
    <cellStyle name="Normal 2 42 31" xfId="26524" xr:uid="{32A1AE82-1BF7-4CE8-8754-B31C23330F7C}"/>
    <cellStyle name="Normal 2 42 32" xfId="26525" xr:uid="{D521DBE1-3442-44C1-BB19-95FC8046DF97}"/>
    <cellStyle name="Normal 2 42 33" xfId="26526" xr:uid="{9BFAA4B0-7AF9-492C-98C8-069125D2EDCD}"/>
    <cellStyle name="Normal 2 42 34" xfId="26527" xr:uid="{1FB54741-4BE1-4EB9-91C9-F8923DCDBEDC}"/>
    <cellStyle name="Normal 2 42 35" xfId="26528" xr:uid="{B3AE1257-7086-4F05-80E9-C67924654EA3}"/>
    <cellStyle name="Normal 2 42 36" xfId="26529" xr:uid="{166145AB-E1E3-4D69-992D-8E5DAB97CFE7}"/>
    <cellStyle name="Normal 2 42 37" xfId="26530" xr:uid="{F7AE372D-4BFB-4D2C-9A3E-5C9590E9D30B}"/>
    <cellStyle name="Normal 2 42 38" xfId="26531" xr:uid="{9805DB8B-4C81-4B04-8363-EA570CF3C09E}"/>
    <cellStyle name="Normal 2 42 4" xfId="26532" xr:uid="{19B0D987-AFCD-4CE3-BA51-FE302EB249EA}"/>
    <cellStyle name="Normal 2 42 5" xfId="26533" xr:uid="{F295F896-F39D-4599-985C-E105A81CB46B}"/>
    <cellStyle name="Normal 2 42 6" xfId="26534" xr:uid="{11580A20-E7EA-4FCC-B350-37E65FFDB9D6}"/>
    <cellStyle name="Normal 2 42 7" xfId="26535" xr:uid="{D10F632C-9CD9-4BE7-A29F-5E5F4E2E3551}"/>
    <cellStyle name="Normal 2 42 8" xfId="26536" xr:uid="{C4BDFFA0-AC1B-4B47-B4B8-72B8915AF608}"/>
    <cellStyle name="Normal 2 42 9" xfId="26537" xr:uid="{1AF66DDB-A1E0-4617-8EEA-62A37DB2893C}"/>
    <cellStyle name="Normal 2 43" xfId="26538" xr:uid="{DDC57511-9B98-4C8B-B13B-2092F0DC8A5F}"/>
    <cellStyle name="Normal 2 43 10" xfId="26539" xr:uid="{E3FD222C-D965-4661-8BE5-101ADB2BBE43}"/>
    <cellStyle name="Normal 2 43 11" xfId="26540" xr:uid="{96C7D9DB-0C48-4114-BC73-B130FDF27F3E}"/>
    <cellStyle name="Normal 2 43 12" xfId="26541" xr:uid="{7DA2BA58-5CC5-4DEA-A4D5-A50D06CB55A6}"/>
    <cellStyle name="Normal 2 43 13" xfId="26542" xr:uid="{2E2730C4-0255-40D8-B6C9-6ED0CBABAAC1}"/>
    <cellStyle name="Normal 2 43 14" xfId="26543" xr:uid="{138944F2-BC09-4C3B-8D0C-2242E8EBA968}"/>
    <cellStyle name="Normal 2 43 15" xfId="26544" xr:uid="{4A411A78-B5E9-4E7B-BE6F-71B633A787D7}"/>
    <cellStyle name="Normal 2 43 16" xfId="26545" xr:uid="{8AA645C9-36C5-464F-A0D6-F05918DCAD60}"/>
    <cellStyle name="Normal 2 43 17" xfId="26546" xr:uid="{00512354-EB5D-4010-BB8D-3707729DEF63}"/>
    <cellStyle name="Normal 2 43 18" xfId="26547" xr:uid="{149DE6D3-3B97-4FB0-9467-5C60399E2FEE}"/>
    <cellStyle name="Normal 2 43 19" xfId="26548" xr:uid="{8BB183FE-62BC-43C9-B019-5A97148ADE04}"/>
    <cellStyle name="Normal 2 43 2" xfId="26549" xr:uid="{23E486A1-BD3C-4339-AEF2-E8D018F8B33A}"/>
    <cellStyle name="Normal 2 43 20" xfId="26550" xr:uid="{6EF3783F-6B3F-4866-B0B5-1AE0C662F2F4}"/>
    <cellStyle name="Normal 2 43 21" xfId="26551" xr:uid="{212FC991-C969-47F7-BB6A-8BAECF991029}"/>
    <cellStyle name="Normal 2 43 22" xfId="26552" xr:uid="{F8B99E83-0831-4B3D-8691-B84EFFE8DAD9}"/>
    <cellStyle name="Normal 2 43 23" xfId="26553" xr:uid="{E6662ADB-93A7-4920-A041-B362615EB899}"/>
    <cellStyle name="Normal 2 43 24" xfId="26554" xr:uid="{47CDFC0C-3DBD-4187-B577-1C0DA805D40A}"/>
    <cellStyle name="Normal 2 43 25" xfId="26555" xr:uid="{0E697A4B-0A98-49A2-9281-9A0D2B4B2B95}"/>
    <cellStyle name="Normal 2 43 26" xfId="26556" xr:uid="{149F9A44-F3C8-419E-AEE3-921C1D61C649}"/>
    <cellStyle name="Normal 2 43 27" xfId="26557" xr:uid="{780CC514-25F2-45E5-9579-557A9BAB32D2}"/>
    <cellStyle name="Normal 2 43 28" xfId="26558" xr:uid="{368CB9B0-64CE-4EC4-8F29-BF3E0836873D}"/>
    <cellStyle name="Normal 2 43 29" xfId="26559" xr:uid="{6D3D7352-948D-410B-905B-3F4CF551F483}"/>
    <cellStyle name="Normal 2 43 3" xfId="26560" xr:uid="{7371C24D-D7C2-4A3C-875D-FA1C399EB254}"/>
    <cellStyle name="Normal 2 43 30" xfId="26561" xr:uid="{B34488AA-A41E-4003-AB5B-BFD303AF8950}"/>
    <cellStyle name="Normal 2 43 31" xfId="26562" xr:uid="{42C90F56-C89C-4DE6-B7FB-41DF76A64164}"/>
    <cellStyle name="Normal 2 43 32" xfId="26563" xr:uid="{12A08796-DB05-41C1-8384-84C254D86A1E}"/>
    <cellStyle name="Normal 2 43 33" xfId="26564" xr:uid="{954CC9DA-A9EB-4248-A47D-0577FDD97296}"/>
    <cellStyle name="Normal 2 43 34" xfId="26565" xr:uid="{2A94D93A-E3A6-4918-96CF-CB864A2F7D38}"/>
    <cellStyle name="Normal 2 43 35" xfId="26566" xr:uid="{88A050DD-4069-485C-A58D-C58C5372F3F0}"/>
    <cellStyle name="Normal 2 43 36" xfId="26567" xr:uid="{465CD3E3-B714-456A-89E3-E25414457DA4}"/>
    <cellStyle name="Normal 2 43 37" xfId="26568" xr:uid="{B78CBCD6-9B83-44B7-A7D7-493D360B74D4}"/>
    <cellStyle name="Normal 2 43 38" xfId="26569" xr:uid="{55A3A031-CC54-49EA-B716-0A52268B1FB4}"/>
    <cellStyle name="Normal 2 43 4" xfId="26570" xr:uid="{526394E7-2145-4D25-B6F2-CCF228BFED07}"/>
    <cellStyle name="Normal 2 43 5" xfId="26571" xr:uid="{E6CB91AF-4E16-4D85-8883-52ADC45DCC60}"/>
    <cellStyle name="Normal 2 43 6" xfId="26572" xr:uid="{F9C8C618-F555-4E37-9A9A-C558809791C8}"/>
    <cellStyle name="Normal 2 43 7" xfId="26573" xr:uid="{CEC9459E-EF96-44F0-8A7D-3CCDA345C577}"/>
    <cellStyle name="Normal 2 43 8" xfId="26574" xr:uid="{F38C5922-86DF-4309-AA93-24FCF387723A}"/>
    <cellStyle name="Normal 2 43 9" xfId="26575" xr:uid="{84E1D368-5917-418E-9B04-B1AC0364A485}"/>
    <cellStyle name="Normal 2 44" xfId="26576" xr:uid="{009BE538-9B86-4EC8-9277-344C602CB0DA}"/>
    <cellStyle name="Normal 2 44 10" xfId="26577" xr:uid="{009B43F1-C6D7-463D-9482-5C323634CED0}"/>
    <cellStyle name="Normal 2 44 11" xfId="26578" xr:uid="{6CDB3D1C-DFB9-4B06-A6A2-667B1E019335}"/>
    <cellStyle name="Normal 2 44 12" xfId="26579" xr:uid="{2486DE64-E037-423B-AFF0-5E3FB1A392B2}"/>
    <cellStyle name="Normal 2 44 13" xfId="26580" xr:uid="{B9191C5A-24AD-486C-8790-C151512DE19B}"/>
    <cellStyle name="Normal 2 44 14" xfId="26581" xr:uid="{E7CB0E28-136C-45B0-9005-A62DE6812928}"/>
    <cellStyle name="Normal 2 44 15" xfId="26582" xr:uid="{0531D4AB-0509-4AA2-B068-A22DF386024F}"/>
    <cellStyle name="Normal 2 44 16" xfId="26583" xr:uid="{E9570CE8-B18D-45E5-9DFD-5F1DAEF065D9}"/>
    <cellStyle name="Normal 2 44 17" xfId="26584" xr:uid="{6E08C242-C582-44F0-9527-31437A8975C3}"/>
    <cellStyle name="Normal 2 44 18" xfId="26585" xr:uid="{0B291ECB-4DD3-48E8-9AC2-B57CF9CA4CB5}"/>
    <cellStyle name="Normal 2 44 19" xfId="26586" xr:uid="{AAF0BA7E-00E4-48CF-B37E-78C423AFBEE5}"/>
    <cellStyle name="Normal 2 44 2" xfId="26587" xr:uid="{F6F4C8DC-1A5F-47BB-BAFD-543B843A8CDF}"/>
    <cellStyle name="Normal 2 44 20" xfId="26588" xr:uid="{17B6ACF3-F9DA-4638-9564-1F9D939826EA}"/>
    <cellStyle name="Normal 2 44 21" xfId="26589" xr:uid="{CCAE3057-3818-42E9-A7D7-94BA565ED7AE}"/>
    <cellStyle name="Normal 2 44 22" xfId="26590" xr:uid="{9E13EF7F-0770-4478-A35C-CC80FF02BDAC}"/>
    <cellStyle name="Normal 2 44 23" xfId="26591" xr:uid="{322D7475-A467-4B68-B938-A3347194A9AF}"/>
    <cellStyle name="Normal 2 44 24" xfId="26592" xr:uid="{2F476526-4F5A-4DB4-BD8B-D15FEF277DCD}"/>
    <cellStyle name="Normal 2 44 25" xfId="26593" xr:uid="{43EA5BA5-86B4-42F2-A9CB-C76CF7857919}"/>
    <cellStyle name="Normal 2 44 26" xfId="26594" xr:uid="{42D826AF-C5D2-4EE3-9EB9-FEA81B02D2D7}"/>
    <cellStyle name="Normal 2 44 27" xfId="26595" xr:uid="{F9515C8C-4125-43B5-9071-1C69B2838426}"/>
    <cellStyle name="Normal 2 44 28" xfId="26596" xr:uid="{7B549DFB-E093-40F1-979D-BD095E15F8A3}"/>
    <cellStyle name="Normal 2 44 29" xfId="26597" xr:uid="{8AFD4B39-F649-4B6E-A0EE-07F431FFF52D}"/>
    <cellStyle name="Normal 2 44 3" xfId="26598" xr:uid="{8C77D860-1DB9-4337-856F-E2FA272E1104}"/>
    <cellStyle name="Normal 2 44 30" xfId="26599" xr:uid="{DBF87D56-95E1-4CBD-9792-04A338438852}"/>
    <cellStyle name="Normal 2 44 31" xfId="26600" xr:uid="{606658C4-636F-4F14-925E-662638D7654F}"/>
    <cellStyle name="Normal 2 44 32" xfId="26601" xr:uid="{0187BD6A-84AE-4ED6-822E-42FC6C933903}"/>
    <cellStyle name="Normal 2 44 33" xfId="26602" xr:uid="{6FF3088B-3ED9-4790-B38A-ABBAA0B63413}"/>
    <cellStyle name="Normal 2 44 34" xfId="26603" xr:uid="{7A1BCAD0-DA62-4C29-A582-9D697509CE16}"/>
    <cellStyle name="Normal 2 44 35" xfId="26604" xr:uid="{D38E467B-321D-46A3-95F5-BAD16BFBAD3E}"/>
    <cellStyle name="Normal 2 44 36" xfId="26605" xr:uid="{4A16627B-8C7A-40F3-B986-439058DC6CCE}"/>
    <cellStyle name="Normal 2 44 37" xfId="26606" xr:uid="{78C4C85E-55AA-4FB2-8706-7EC56B264BEB}"/>
    <cellStyle name="Normal 2 44 38" xfId="26607" xr:uid="{D4BF82BA-039C-4532-A2BF-B8D745C0A417}"/>
    <cellStyle name="Normal 2 44 4" xfId="26608" xr:uid="{A0FE56CF-8C00-44E9-92D1-24FCA32F660C}"/>
    <cellStyle name="Normal 2 44 5" xfId="26609" xr:uid="{E8551A82-C87E-4879-B774-3840FD78D564}"/>
    <cellStyle name="Normal 2 44 6" xfId="26610" xr:uid="{4B4F8D00-3E1F-488D-9D30-3056AE8E45F1}"/>
    <cellStyle name="Normal 2 44 7" xfId="26611" xr:uid="{DE437EA5-433C-4D74-988E-D8564D80D31C}"/>
    <cellStyle name="Normal 2 44 8" xfId="26612" xr:uid="{43D56EA4-AC3E-4F68-8034-98D2EC8E1799}"/>
    <cellStyle name="Normal 2 44 9" xfId="26613" xr:uid="{7F867889-A947-459B-925F-F1798533C6EF}"/>
    <cellStyle name="Normal 2 45" xfId="26614" xr:uid="{0DA38F52-27E0-4A12-A5C5-CE57B6177964}"/>
    <cellStyle name="Normal 2 45 10" xfId="26615" xr:uid="{FA4D8D19-8863-49FA-A3F9-A388EAAF08B8}"/>
    <cellStyle name="Normal 2 45 11" xfId="26616" xr:uid="{CD018B9E-1BCA-4B5F-8146-EFAAB5687FB2}"/>
    <cellStyle name="Normal 2 45 12" xfId="26617" xr:uid="{EFE4B326-F90F-42D9-BB5F-DD648C1EF18F}"/>
    <cellStyle name="Normal 2 45 13" xfId="26618" xr:uid="{8FD6DEB5-070A-48D4-8B3D-E51F8FAF316F}"/>
    <cellStyle name="Normal 2 45 14" xfId="26619" xr:uid="{E0B38F0B-C922-4079-97FB-0EA01625FC18}"/>
    <cellStyle name="Normal 2 45 15" xfId="26620" xr:uid="{17825A2B-93BA-486E-B224-85AC866591B4}"/>
    <cellStyle name="Normal 2 45 16" xfId="26621" xr:uid="{53DFB8BF-7E86-4F82-A58F-B7ADFC7C2217}"/>
    <cellStyle name="Normal 2 45 17" xfId="26622" xr:uid="{14117EDE-D7CD-425D-8F8C-6943778938D7}"/>
    <cellStyle name="Normal 2 45 18" xfId="26623" xr:uid="{2FB05888-64C6-49DB-8BE7-C5A54A55F48F}"/>
    <cellStyle name="Normal 2 45 19" xfId="26624" xr:uid="{B2516804-DBD2-4A1C-8C6E-318C6FDC932D}"/>
    <cellStyle name="Normal 2 45 2" xfId="26625" xr:uid="{13EA070C-D4B4-46B2-99E4-187CFD4B1F7A}"/>
    <cellStyle name="Normal 2 45 20" xfId="26626" xr:uid="{A9E112C8-6E11-448A-A928-08B7E1EEF593}"/>
    <cellStyle name="Normal 2 45 21" xfId="26627" xr:uid="{88A100AC-6A08-4810-ADF6-8E4D746B692E}"/>
    <cellStyle name="Normal 2 45 22" xfId="26628" xr:uid="{6C5BD119-FC68-4C3B-8435-9A54FF15FC1C}"/>
    <cellStyle name="Normal 2 45 23" xfId="26629" xr:uid="{89CF9EEC-078A-45C3-BE11-4AD2965BC8F2}"/>
    <cellStyle name="Normal 2 45 24" xfId="26630" xr:uid="{3FBA5412-08A6-430D-9BB8-877028BFC033}"/>
    <cellStyle name="Normal 2 45 25" xfId="26631" xr:uid="{8F760891-3BD7-4E11-8C1F-6308CEB3B6CF}"/>
    <cellStyle name="Normal 2 45 26" xfId="26632" xr:uid="{36BAC306-5E83-4F74-9153-353D7696D2BD}"/>
    <cellStyle name="Normal 2 45 27" xfId="26633" xr:uid="{87A0973F-754F-4C81-95E8-DAFB9FD2BBE3}"/>
    <cellStyle name="Normal 2 45 28" xfId="26634" xr:uid="{55D9C6C9-1D85-4537-99BB-7593A306B84D}"/>
    <cellStyle name="Normal 2 45 29" xfId="26635" xr:uid="{31DCBCBF-A5BE-4F26-AA82-6093CB4A4CA1}"/>
    <cellStyle name="Normal 2 45 3" xfId="26636" xr:uid="{20456510-C765-40DA-AC09-0C8085477BD9}"/>
    <cellStyle name="Normal 2 45 30" xfId="26637" xr:uid="{938E318B-7A58-4B0F-BBE5-2BB85204A670}"/>
    <cellStyle name="Normal 2 45 31" xfId="26638" xr:uid="{99EEAD05-C92D-49F8-BC51-A0F2A9ACBA91}"/>
    <cellStyle name="Normal 2 45 32" xfId="26639" xr:uid="{3626E288-6841-45A8-943B-8D655089434B}"/>
    <cellStyle name="Normal 2 45 33" xfId="26640" xr:uid="{088D3667-9FC3-4846-A041-1745C07EE7E1}"/>
    <cellStyle name="Normal 2 45 34" xfId="26641" xr:uid="{FE3C1E46-AD3E-40FB-A063-57CFE9D36883}"/>
    <cellStyle name="Normal 2 45 35" xfId="26642" xr:uid="{2E4DA034-B4BF-4288-B15A-8EF6035E2421}"/>
    <cellStyle name="Normal 2 45 36" xfId="26643" xr:uid="{D0102F58-E6CD-45B6-A39C-C02405A726CB}"/>
    <cellStyle name="Normal 2 45 37" xfId="26644" xr:uid="{C1F7B06D-EFA2-4C96-89F8-FA545C755E82}"/>
    <cellStyle name="Normal 2 45 38" xfId="26645" xr:uid="{6C285DCA-08FB-43A5-BE2C-10E9D0ECA5D4}"/>
    <cellStyle name="Normal 2 45 4" xfId="26646" xr:uid="{A7B08EDC-3602-4920-85CF-81F7DBC6BFAB}"/>
    <cellStyle name="Normal 2 45 5" xfId="26647" xr:uid="{DEBC4C5F-2B13-4E31-8B22-C9B36386AC67}"/>
    <cellStyle name="Normal 2 45 6" xfId="26648" xr:uid="{F66D4CB2-DE7C-423B-809C-5A22DF5F16A0}"/>
    <cellStyle name="Normal 2 45 7" xfId="26649" xr:uid="{39B0BA5A-4E58-4661-A419-C47B5723FA39}"/>
    <cellStyle name="Normal 2 45 8" xfId="26650" xr:uid="{B1901EA1-113B-4BCC-9DBE-7CDDF00C7193}"/>
    <cellStyle name="Normal 2 45 9" xfId="26651" xr:uid="{918C570C-EFC6-41A9-A477-26765FE5FD0B}"/>
    <cellStyle name="Normal 2 46" xfId="26652" xr:uid="{F5E46153-4E15-45A0-A641-68A9F5CA389C}"/>
    <cellStyle name="Normal 2 46 10" xfId="26653" xr:uid="{634EABA6-BD97-4687-A4D0-159F7B4F4668}"/>
    <cellStyle name="Normal 2 46 11" xfId="26654" xr:uid="{C5706E97-D020-4B50-B27E-02D2183B65C0}"/>
    <cellStyle name="Normal 2 46 12" xfId="26655" xr:uid="{DF83ADC8-1C6A-4F5C-95C9-64EDABAB6E65}"/>
    <cellStyle name="Normal 2 46 13" xfId="26656" xr:uid="{3EE9B435-A4B6-4341-8BDB-3AC8F775BF86}"/>
    <cellStyle name="Normal 2 46 14" xfId="26657" xr:uid="{8097C61D-C49A-4C84-ADD6-A6CFF379B945}"/>
    <cellStyle name="Normal 2 46 15" xfId="26658" xr:uid="{C2A32E5B-272D-4958-A66E-B09F58D7A60B}"/>
    <cellStyle name="Normal 2 46 16" xfId="26659" xr:uid="{AD666199-D614-4264-B860-2FF0D5E47322}"/>
    <cellStyle name="Normal 2 46 17" xfId="26660" xr:uid="{157611E4-8810-4899-8BD4-844A0DE3E1D1}"/>
    <cellStyle name="Normal 2 46 18" xfId="26661" xr:uid="{165938C3-47E4-4131-8367-684674995293}"/>
    <cellStyle name="Normal 2 46 19" xfId="26662" xr:uid="{33652083-84A1-426B-9D58-A784A1345271}"/>
    <cellStyle name="Normal 2 46 2" xfId="26663" xr:uid="{8E57B011-FF4F-4861-AF74-4B0B5BBF09FD}"/>
    <cellStyle name="Normal 2 46 20" xfId="26664" xr:uid="{C5708E13-3853-4D01-A338-F9CB04812ECE}"/>
    <cellStyle name="Normal 2 46 21" xfId="26665" xr:uid="{9C14500E-212A-4618-A45E-6FFC82B29CD9}"/>
    <cellStyle name="Normal 2 46 22" xfId="26666" xr:uid="{31626A77-7084-44E2-8A91-C1BFE3098338}"/>
    <cellStyle name="Normal 2 46 23" xfId="26667" xr:uid="{F180EC1C-2F9C-4C41-B137-B4FD8C843826}"/>
    <cellStyle name="Normal 2 46 24" xfId="26668" xr:uid="{7A08011F-4962-45AA-AFC8-FCFD595B9464}"/>
    <cellStyle name="Normal 2 46 25" xfId="26669" xr:uid="{4DF8C7ED-8F8F-42D7-87E4-0C452C33E568}"/>
    <cellStyle name="Normal 2 46 26" xfId="26670" xr:uid="{15549040-BB88-49AC-AC93-1347288FB429}"/>
    <cellStyle name="Normal 2 46 27" xfId="26671" xr:uid="{845E1BAD-CF56-431E-AA4A-EE39982B924A}"/>
    <cellStyle name="Normal 2 46 28" xfId="26672" xr:uid="{BEFA1D0C-17BD-45D2-935C-98B89B02FFE2}"/>
    <cellStyle name="Normal 2 46 29" xfId="26673" xr:uid="{FB4D20B9-F465-40F8-A242-06CCE2D252E4}"/>
    <cellStyle name="Normal 2 46 3" xfId="26674" xr:uid="{FE0DE21F-35DF-4CFA-92A5-926189F77566}"/>
    <cellStyle name="Normal 2 46 30" xfId="26675" xr:uid="{818D7EA6-2AB7-4A4F-AE57-83F1E7F7D7FB}"/>
    <cellStyle name="Normal 2 46 31" xfId="26676" xr:uid="{F610C23D-787C-43F8-B5E1-96C354BFAB27}"/>
    <cellStyle name="Normal 2 46 32" xfId="26677" xr:uid="{A86964DD-F4EC-4731-89D4-AFF704F09798}"/>
    <cellStyle name="Normal 2 46 33" xfId="26678" xr:uid="{53ECEC50-A006-42F1-8E1E-BC28DBB887A2}"/>
    <cellStyle name="Normal 2 46 34" xfId="26679" xr:uid="{C4BAC442-6A3D-48A6-82E6-82C0AB0D9DF8}"/>
    <cellStyle name="Normal 2 46 35" xfId="26680" xr:uid="{5124DE4E-CF61-4788-938F-B7BB20EE019F}"/>
    <cellStyle name="Normal 2 46 36" xfId="26681" xr:uid="{D65D5F93-051F-4699-B9D6-E714AE472A20}"/>
    <cellStyle name="Normal 2 46 37" xfId="26682" xr:uid="{9A68D538-08A2-4E83-92BF-2AF2D9918928}"/>
    <cellStyle name="Normal 2 46 38" xfId="26683" xr:uid="{6453973A-10AC-494D-A7BD-D1416F7FBBA9}"/>
    <cellStyle name="Normal 2 46 4" xfId="26684" xr:uid="{7C1F64A0-88B3-4C64-BE3F-4E607B92AEED}"/>
    <cellStyle name="Normal 2 46 5" xfId="26685" xr:uid="{DE3B8069-21C4-4D56-9F49-5FF353251B1E}"/>
    <cellStyle name="Normal 2 46 6" xfId="26686" xr:uid="{93A98843-42CD-40B6-8088-29CC62B62264}"/>
    <cellStyle name="Normal 2 46 7" xfId="26687" xr:uid="{C3DAC0C2-0D1A-41FC-BA96-84FE4CEFD5A6}"/>
    <cellStyle name="Normal 2 46 8" xfId="26688" xr:uid="{F82E7C30-2395-4E5E-B543-98E9427DA863}"/>
    <cellStyle name="Normal 2 46 9" xfId="26689" xr:uid="{60D16CCD-4F2F-4D68-93DD-74CA23CC94AD}"/>
    <cellStyle name="Normal 2 47" xfId="26690" xr:uid="{57172590-4E84-429D-BA8E-8C156CB4655B}"/>
    <cellStyle name="Normal 2 47 10" xfId="26691" xr:uid="{3DDFD8DA-C5CE-4993-97F1-BF756D8BB176}"/>
    <cellStyle name="Normal 2 47 11" xfId="26692" xr:uid="{2D05CFC7-49E3-4FC4-8491-5E87192B77F7}"/>
    <cellStyle name="Normal 2 47 12" xfId="26693" xr:uid="{615DC707-D3E7-4C30-8D67-81FF706632C4}"/>
    <cellStyle name="Normal 2 47 13" xfId="26694" xr:uid="{977B096F-FEBE-48A9-8003-B8A63A94D0E8}"/>
    <cellStyle name="Normal 2 47 14" xfId="26695" xr:uid="{1340C00A-FDB3-48B6-9E6B-5081A2859F4E}"/>
    <cellStyle name="Normal 2 47 15" xfId="26696" xr:uid="{617A2B86-E96C-44EA-B573-F91ADADD7188}"/>
    <cellStyle name="Normal 2 47 16" xfId="26697" xr:uid="{97D608D9-F870-4D9E-9D9B-FD25345B248D}"/>
    <cellStyle name="Normal 2 47 17" xfId="26698" xr:uid="{351D2EAF-177A-49C7-AD6E-259E98ECFE6F}"/>
    <cellStyle name="Normal 2 47 18" xfId="26699" xr:uid="{DD75FF2D-035B-48A8-BAD1-01F27BF4311C}"/>
    <cellStyle name="Normal 2 47 19" xfId="26700" xr:uid="{D87EA013-5E89-4193-B9B0-7308334853C5}"/>
    <cellStyle name="Normal 2 47 2" xfId="26701" xr:uid="{DAFEE7F4-A826-4448-BF39-19AA13FB2E12}"/>
    <cellStyle name="Normal 2 47 20" xfId="26702" xr:uid="{BCB7A18D-FA25-423B-823A-A88F71CD29F6}"/>
    <cellStyle name="Normal 2 47 21" xfId="26703" xr:uid="{35CEDFFB-6149-4E8A-A063-3DFA36A8D59B}"/>
    <cellStyle name="Normal 2 47 22" xfId="26704" xr:uid="{7B1C070C-7464-4E88-89D1-35B9213A9E3D}"/>
    <cellStyle name="Normal 2 47 23" xfId="26705" xr:uid="{0ECA20E3-82FD-4541-AF44-40B61B59F35B}"/>
    <cellStyle name="Normal 2 47 24" xfId="26706" xr:uid="{1D91AEC6-2AD4-4042-97FE-7523552F214F}"/>
    <cellStyle name="Normal 2 47 25" xfId="26707" xr:uid="{7DEE7456-10E8-449D-A984-3E01D5BA96D9}"/>
    <cellStyle name="Normal 2 47 26" xfId="26708" xr:uid="{340D1971-141C-4F91-8A96-814A22ACB05B}"/>
    <cellStyle name="Normal 2 47 27" xfId="26709" xr:uid="{F11C0966-994D-4552-8AE9-0517FF8EE104}"/>
    <cellStyle name="Normal 2 47 28" xfId="26710" xr:uid="{09B5140F-39EE-4AC3-A25A-184CF42AE3A6}"/>
    <cellStyle name="Normal 2 47 29" xfId="26711" xr:uid="{5F48CAF2-6515-4FE3-94D3-080444B22725}"/>
    <cellStyle name="Normal 2 47 3" xfId="26712" xr:uid="{07AB8F0A-B839-4935-B7EA-CFDA448015F3}"/>
    <cellStyle name="Normal 2 47 30" xfId="26713" xr:uid="{98547466-ACD9-4131-AC50-AFD4882F6046}"/>
    <cellStyle name="Normal 2 47 31" xfId="26714" xr:uid="{88AEB005-F1C8-42E7-B77C-ADAC816BADF3}"/>
    <cellStyle name="Normal 2 47 32" xfId="26715" xr:uid="{EC8A5471-AC2B-4E75-9577-4759AC13FF1B}"/>
    <cellStyle name="Normal 2 47 33" xfId="26716" xr:uid="{C43A17C7-4BAA-4B59-B911-D590865BCEB9}"/>
    <cellStyle name="Normal 2 47 34" xfId="26717" xr:uid="{2312E96E-F844-42D7-9C18-F83107F5C318}"/>
    <cellStyle name="Normal 2 47 35" xfId="26718" xr:uid="{33E22B28-2FAA-498F-ADE0-005D03C72436}"/>
    <cellStyle name="Normal 2 47 36" xfId="26719" xr:uid="{E4B09F37-D199-4F77-9857-0AC36B56B3FA}"/>
    <cellStyle name="Normal 2 47 37" xfId="26720" xr:uid="{6DA55131-C213-45DD-970B-D79670B3309B}"/>
    <cellStyle name="Normal 2 47 38" xfId="26721" xr:uid="{84C73093-95DE-4DD1-BB09-2FE2ECBF0B9B}"/>
    <cellStyle name="Normal 2 47 4" xfId="26722" xr:uid="{B6B92DB0-6D32-46DB-BB99-8D9CCB361A5F}"/>
    <cellStyle name="Normal 2 47 5" xfId="26723" xr:uid="{563C2C4D-1482-47A1-909F-E2DB26FAF92F}"/>
    <cellStyle name="Normal 2 47 6" xfId="26724" xr:uid="{EEB8D345-DF9A-4BA8-85CB-2FE83453FF59}"/>
    <cellStyle name="Normal 2 47 7" xfId="26725" xr:uid="{A6AC5930-0062-49E4-848C-B6CA5B9CF52A}"/>
    <cellStyle name="Normal 2 47 8" xfId="26726" xr:uid="{AEE939E4-A79C-467A-A16A-72B05ED6609B}"/>
    <cellStyle name="Normal 2 47 9" xfId="26727" xr:uid="{1F36958A-1CCA-46DB-ABF4-DE93A17C1FCC}"/>
    <cellStyle name="Normal 2 48" xfId="26728" xr:uid="{6CAC7BDF-129F-4F49-8FA1-7EBC69959864}"/>
    <cellStyle name="Normal 2 48 10" xfId="26729" xr:uid="{F5446851-7158-47B6-972C-6C93E1AC25A1}"/>
    <cellStyle name="Normal 2 48 11" xfId="26730" xr:uid="{69FBE533-42FA-4ADC-8391-F2502F33C65D}"/>
    <cellStyle name="Normal 2 48 12" xfId="26731" xr:uid="{E50692A5-51F4-4CD5-AE05-659917BAC95B}"/>
    <cellStyle name="Normal 2 48 13" xfId="26732" xr:uid="{C55BD49E-AF59-4664-9269-D965ECC901DA}"/>
    <cellStyle name="Normal 2 48 14" xfId="26733" xr:uid="{D28E0FEC-C2C5-431F-B7B5-55B426DC75DB}"/>
    <cellStyle name="Normal 2 48 15" xfId="26734" xr:uid="{65F55B69-88CE-435E-9C17-463C505CE1D8}"/>
    <cellStyle name="Normal 2 48 16" xfId="26735" xr:uid="{547E6FBE-FE67-46B3-9BBB-9D64E4596767}"/>
    <cellStyle name="Normal 2 48 17" xfId="26736" xr:uid="{0B05662B-5A56-49BA-934F-69F1569DFCEB}"/>
    <cellStyle name="Normal 2 48 18" xfId="26737" xr:uid="{794C0E5F-78DF-4D3A-A7DE-F61EEB93EB02}"/>
    <cellStyle name="Normal 2 48 19" xfId="26738" xr:uid="{7BDE0AF0-2C5F-4275-B6A0-B5809B6E43DB}"/>
    <cellStyle name="Normal 2 48 2" xfId="26739" xr:uid="{030FFD2D-146E-47DE-BD7F-5C5BAB585C54}"/>
    <cellStyle name="Normal 2 48 20" xfId="26740" xr:uid="{22930FCD-ED15-4A1D-AAC0-16D08E196FD2}"/>
    <cellStyle name="Normal 2 48 21" xfId="26741" xr:uid="{05C7B727-3C53-48BC-A3DC-E720265A318B}"/>
    <cellStyle name="Normal 2 48 22" xfId="26742" xr:uid="{4F20CC2D-B2A6-4277-824F-28789AE8CF5B}"/>
    <cellStyle name="Normal 2 48 23" xfId="26743" xr:uid="{9199791B-73DF-4012-A88A-416512E2C255}"/>
    <cellStyle name="Normal 2 48 24" xfId="26744" xr:uid="{39666ACA-4269-491F-A3C3-208178E27A19}"/>
    <cellStyle name="Normal 2 48 25" xfId="26745" xr:uid="{CE5EBED3-B6AC-44A7-9DDF-FE0A232CD98F}"/>
    <cellStyle name="Normal 2 48 26" xfId="26746" xr:uid="{ADF67D62-300F-4B10-8242-605B4FC345F3}"/>
    <cellStyle name="Normal 2 48 27" xfId="26747" xr:uid="{F0FBD113-E6F5-4EF2-89FE-E7E339436FE3}"/>
    <cellStyle name="Normal 2 48 28" xfId="26748" xr:uid="{A9B5379C-9ACC-4BC1-A1B8-92E09411A757}"/>
    <cellStyle name="Normal 2 48 29" xfId="26749" xr:uid="{A27A1C5A-BC4D-4932-926F-925684256CF4}"/>
    <cellStyle name="Normal 2 48 3" xfId="26750" xr:uid="{06199359-DD1D-40EA-B1BF-A3462704272B}"/>
    <cellStyle name="Normal 2 48 30" xfId="26751" xr:uid="{2C8ED9EB-B423-4BD0-A28C-0283E8436E53}"/>
    <cellStyle name="Normal 2 48 31" xfId="26752" xr:uid="{742B7B7D-CF08-46C9-9574-10455896BD93}"/>
    <cellStyle name="Normal 2 48 32" xfId="26753" xr:uid="{C52C91DB-2945-41EC-8B6F-32D422155D95}"/>
    <cellStyle name="Normal 2 48 33" xfId="26754" xr:uid="{141BF476-F51D-442F-8464-51D9517797AE}"/>
    <cellStyle name="Normal 2 48 34" xfId="26755" xr:uid="{B1C2D7AF-2DD3-452C-B2D4-5A7DB10C3A63}"/>
    <cellStyle name="Normal 2 48 35" xfId="26756" xr:uid="{C3B17189-CF23-4AF8-A535-52538B760252}"/>
    <cellStyle name="Normal 2 48 36" xfId="26757" xr:uid="{3CB74D6C-8FDC-41F6-B4ED-AB4AA5FD5F76}"/>
    <cellStyle name="Normal 2 48 37" xfId="26758" xr:uid="{9B18E428-AAFF-4A3D-B21A-736BAD84ED66}"/>
    <cellStyle name="Normal 2 48 38" xfId="26759" xr:uid="{EE902F61-F168-4C98-862A-8006BE049596}"/>
    <cellStyle name="Normal 2 48 4" xfId="26760" xr:uid="{1A9E95BA-E070-4B23-B91F-06C094AB225B}"/>
    <cellStyle name="Normal 2 48 5" xfId="26761" xr:uid="{36474D2D-7E04-40DA-B6CF-56B13C0FEA19}"/>
    <cellStyle name="Normal 2 48 6" xfId="26762" xr:uid="{92FB83B2-E735-4A59-8E20-E80F7F005B0F}"/>
    <cellStyle name="Normal 2 48 7" xfId="26763" xr:uid="{52BA2906-FF3A-42F0-B91B-4ABA6EA485F0}"/>
    <cellStyle name="Normal 2 48 8" xfId="26764" xr:uid="{F445481E-DC6A-4627-89EF-3356E3921036}"/>
    <cellStyle name="Normal 2 48 9" xfId="26765" xr:uid="{9B6BC403-D8CA-4225-A148-B2AC3F6054E5}"/>
    <cellStyle name="Normal 2 49" xfId="26766" xr:uid="{58D2CE1F-CF52-47A3-92B0-E3F3251CCEBE}"/>
    <cellStyle name="Normal 2 49 10" xfId="26767" xr:uid="{365ED3DF-40D8-4184-A2D9-1737EFE8E545}"/>
    <cellStyle name="Normal 2 49 11" xfId="26768" xr:uid="{DBA1EFE5-EE47-471C-9219-E1ABD7A38AC3}"/>
    <cellStyle name="Normal 2 49 12" xfId="26769" xr:uid="{CDA38D1D-3CC1-478A-B844-0574BB36D93E}"/>
    <cellStyle name="Normal 2 49 13" xfId="26770" xr:uid="{B592012B-31B9-4001-A047-C93944C9E5FE}"/>
    <cellStyle name="Normal 2 49 14" xfId="26771" xr:uid="{6D6AC0B2-7D82-407C-9F14-D645DACC5BA2}"/>
    <cellStyle name="Normal 2 49 15" xfId="26772" xr:uid="{94D56D5F-D1BD-41EB-B4AB-24472C983C08}"/>
    <cellStyle name="Normal 2 49 16" xfId="26773" xr:uid="{C7735D50-F64D-4C09-BEDF-72015BB91277}"/>
    <cellStyle name="Normal 2 49 17" xfId="26774" xr:uid="{26019D36-318A-46A7-BDA7-00A762A35396}"/>
    <cellStyle name="Normal 2 49 18" xfId="26775" xr:uid="{BA1CF357-4894-4F63-B052-30575BC05D35}"/>
    <cellStyle name="Normal 2 49 19" xfId="26776" xr:uid="{1C29F15C-4F8C-48F5-890A-88EAFD1D7BA0}"/>
    <cellStyle name="Normal 2 49 2" xfId="26777" xr:uid="{3DCE0DD3-1D48-409A-9FF0-1C91A6425122}"/>
    <cellStyle name="Normal 2 49 2 2" xfId="26778" xr:uid="{BC060F8D-C9E2-47F9-BC73-C12F88206815}"/>
    <cellStyle name="Normal 2 49 2 3" xfId="26779" xr:uid="{8A5E5B06-BB23-4EC1-9D67-437DDE481989}"/>
    <cellStyle name="Normal 2 49 2 4" xfId="26780" xr:uid="{1F38FE62-F92E-4795-A4BB-BB24AD56A155}"/>
    <cellStyle name="Normal 2 49 2 5" xfId="26781" xr:uid="{BE25A6E1-8BA2-4DCA-8EFF-54CEFCF18AE5}"/>
    <cellStyle name="Normal 2 49 2 6" xfId="26782" xr:uid="{EFBA2017-86DE-46C2-89E8-ADB7429CB46B}"/>
    <cellStyle name="Normal 2 49 20" xfId="26783" xr:uid="{025618E8-CBFF-4CFD-9055-D19B35A6276B}"/>
    <cellStyle name="Normal 2 49 21" xfId="26784" xr:uid="{1A79F925-9944-407C-A6AA-31269C32447B}"/>
    <cellStyle name="Normal 2 49 22" xfId="26785" xr:uid="{16DB4EFE-5870-4823-9ABF-5C08D95EEFA8}"/>
    <cellStyle name="Normal 2 49 23" xfId="26786" xr:uid="{DA8F0625-071B-4AE0-A4F5-D4BE3CD91D2F}"/>
    <cellStyle name="Normal 2 49 24" xfId="26787" xr:uid="{A5387649-170F-459E-BEC4-30CDFFBF9DF9}"/>
    <cellStyle name="Normal 2 49 25" xfId="26788" xr:uid="{3A4EDFED-4DF6-4E81-9C3D-970866ABE95D}"/>
    <cellStyle name="Normal 2 49 26" xfId="26789" xr:uid="{1D3C3E10-3E6E-4A6D-AC97-67978E6BE7C4}"/>
    <cellStyle name="Normal 2 49 27" xfId="26790" xr:uid="{1E3F0559-4CC1-46F7-B08E-967475D42CE8}"/>
    <cellStyle name="Normal 2 49 28" xfId="26791" xr:uid="{C018638E-7D73-4776-BEE0-74B0C08FC8CD}"/>
    <cellStyle name="Normal 2 49 29" xfId="26792" xr:uid="{B1C1449B-66F0-4A74-86FC-C1D5B68C2AF8}"/>
    <cellStyle name="Normal 2 49 3" xfId="26793" xr:uid="{42D6301D-D783-4514-B29D-3D890787239E}"/>
    <cellStyle name="Normal 2 49 3 2" xfId="26794" xr:uid="{BA0BC92F-F071-444E-B204-4A57C5DDA738}"/>
    <cellStyle name="Normal 2 49 3 3" xfId="26795" xr:uid="{98F8C068-816E-43BF-B1F2-9CD7807E135E}"/>
    <cellStyle name="Normal 2 49 3 4" xfId="26796" xr:uid="{239AC887-35AD-47F9-8FDB-15BC58377515}"/>
    <cellStyle name="Normal 2 49 3 5" xfId="26797" xr:uid="{70B13E70-F435-4512-A333-AB265807DDC9}"/>
    <cellStyle name="Normal 2 49 3 6" xfId="26798" xr:uid="{60CE5152-8D56-480C-BC27-D14A9364F677}"/>
    <cellStyle name="Normal 2 49 30" xfId="26799" xr:uid="{5CFE105E-D2D4-41BA-9FA2-43ED8F34E3CB}"/>
    <cellStyle name="Normal 2 49 31" xfId="26800" xr:uid="{2C587EB0-9CD6-40C7-932E-2D9393858989}"/>
    <cellStyle name="Normal 2 49 32" xfId="26801" xr:uid="{2E0659F5-AD03-440E-8AEB-161A5ACAC0BB}"/>
    <cellStyle name="Normal 2 49 33" xfId="26802" xr:uid="{4123E621-C6A6-4FC2-9058-20308C7D210A}"/>
    <cellStyle name="Normal 2 49 34" xfId="26803" xr:uid="{0CB3813C-8FAF-4EB4-9B16-C1AAB67E87A7}"/>
    <cellStyle name="Normal 2 49 35" xfId="26804" xr:uid="{E3A1BEC6-86D4-4E3C-8505-4837331D55C1}"/>
    <cellStyle name="Normal 2 49 4" xfId="26805" xr:uid="{21A851A6-B2BD-4958-8F19-52BFF5006ED2}"/>
    <cellStyle name="Normal 2 49 4 2" xfId="26806" xr:uid="{C40733CF-CDB7-4234-A48D-EE4B38BF8161}"/>
    <cellStyle name="Normal 2 49 4 3" xfId="26807" xr:uid="{B9542368-56E2-4F44-A849-D0747E1E7442}"/>
    <cellStyle name="Normal 2 49 4 4" xfId="26808" xr:uid="{DCFE53BF-3C56-4CAB-87C5-CEE1D1C21A6D}"/>
    <cellStyle name="Normal 2 49 4 5" xfId="26809" xr:uid="{0CA0014D-06C3-48C8-940C-7258025B7C19}"/>
    <cellStyle name="Normal 2 49 4 6" xfId="26810" xr:uid="{18E33AB1-0AE4-4320-BF86-3206266197BE}"/>
    <cellStyle name="Normal 2 49 5" xfId="26811" xr:uid="{F802668E-2F01-49BC-9B75-66A2F2B7D410}"/>
    <cellStyle name="Normal 2 49 5 2" xfId="26812" xr:uid="{BD63D9DB-7565-4406-9957-5EAF5E307881}"/>
    <cellStyle name="Normal 2 49 5 3" xfId="26813" xr:uid="{FE2530FC-08C5-423A-A5AB-40DC9DE55DBE}"/>
    <cellStyle name="Normal 2 49 5 4" xfId="26814" xr:uid="{5FF0BCFD-8D47-4ABC-BA54-401F781B4A1C}"/>
    <cellStyle name="Normal 2 49 5 5" xfId="26815" xr:uid="{BBB4D97E-BE98-484E-A9DA-DD9B449AF883}"/>
    <cellStyle name="Normal 2 49 5 6" xfId="26816" xr:uid="{0FF7CA21-9BE8-4998-9755-EE4C9C5D0C55}"/>
    <cellStyle name="Normal 2 49 6" xfId="26817" xr:uid="{BD7F9A0F-4A00-4636-A27C-92499B05E61C}"/>
    <cellStyle name="Normal 2 49 6 2" xfId="26818" xr:uid="{2DC387F7-A331-4739-92C0-AB28282574D2}"/>
    <cellStyle name="Normal 2 49 6 3" xfId="26819" xr:uid="{D1ED0B93-04EF-4EE1-8E85-DEFFED0F614A}"/>
    <cellStyle name="Normal 2 49 6 4" xfId="26820" xr:uid="{3DED62C0-A7E6-4A9B-BE09-F8D6EDFFD6F7}"/>
    <cellStyle name="Normal 2 49 6 5" xfId="26821" xr:uid="{B75DBEDE-7A86-4A8F-A907-201F5C40B39E}"/>
    <cellStyle name="Normal 2 49 6 6" xfId="26822" xr:uid="{22F6A141-D2FC-40EC-A3A7-D1770590261D}"/>
    <cellStyle name="Normal 2 49 7" xfId="26823" xr:uid="{7503ABD4-4215-46F7-B4F6-83A1B3A220C7}"/>
    <cellStyle name="Normal 2 49 8" xfId="26824" xr:uid="{4F3A8677-C064-4804-9173-D5600482A0FC}"/>
    <cellStyle name="Normal 2 49 9" xfId="26825" xr:uid="{6D7E6CC8-0220-4974-8DCB-34EA274B3611}"/>
    <cellStyle name="Normal 2 5" xfId="1081" xr:uid="{AAC9EEB6-9808-4D01-B3E9-ED66D51B08DD}"/>
    <cellStyle name="Normal 2 5 10" xfId="26826" xr:uid="{7C5AC91F-462B-449D-BF1D-F7437F5971C8}"/>
    <cellStyle name="Normal 2 5 11" xfId="26827" xr:uid="{A4C7DD0D-FC08-4417-AEE0-28D73A5A4516}"/>
    <cellStyle name="Normal 2 5 12" xfId="26828" xr:uid="{09C2C2A7-0851-438E-864C-8C4804BC477E}"/>
    <cellStyle name="Normal 2 5 13" xfId="26829" xr:uid="{337CAFB5-AE30-44F2-AC59-CB3DCCA3F210}"/>
    <cellStyle name="Normal 2 5 14" xfId="26830" xr:uid="{FA69BF78-92A6-47AC-9C46-197E96088A75}"/>
    <cellStyle name="Normal 2 5 2" xfId="26831" xr:uid="{4BDC6630-DC07-4D03-B116-3C49A212C7E2}"/>
    <cellStyle name="Normal 2 5 2 2" xfId="26832" xr:uid="{6064758C-39B8-4DAC-98A0-1C60264769CF}"/>
    <cellStyle name="Normal 2 5 2 3" xfId="26833" xr:uid="{38F026D8-DAA9-44E7-8C09-42F839FD51A4}"/>
    <cellStyle name="Normal 2 5 2 4" xfId="26834" xr:uid="{0F4A2170-33DC-412E-8698-BBC9B1BB3FC0}"/>
    <cellStyle name="Normal 2 5 2 5" xfId="26835" xr:uid="{224F6FA8-EC29-4B35-9438-46B00FE8C4B4}"/>
    <cellStyle name="Normal 2 5 2 6" xfId="26836" xr:uid="{A281C7C0-4439-433D-BDFC-459EBCE8E0FC}"/>
    <cellStyle name="Normal 2 5 3" xfId="26837" xr:uid="{C13F3FE4-286B-4D07-BB82-0AB1D01D7FCE}"/>
    <cellStyle name="Normal 2 5 3 2" xfId="26838" xr:uid="{96CDDF10-A6F0-43A9-B2CC-837A0330C93F}"/>
    <cellStyle name="Normal 2 5 3 3" xfId="26839" xr:uid="{76EC6F0A-44B2-46B8-8FDA-6187D878AEA9}"/>
    <cellStyle name="Normal 2 5 3 4" xfId="26840" xr:uid="{E1B22276-700A-4B96-ACC2-3D8D1883231A}"/>
    <cellStyle name="Normal 2 5 3 5" xfId="26841" xr:uid="{4385EAD8-E023-4D6B-8561-C891C76EA620}"/>
    <cellStyle name="Normal 2 5 3 6" xfId="26842" xr:uid="{2CD54AEE-157C-4181-849F-AD12493C3856}"/>
    <cellStyle name="Normal 2 5 4" xfId="26843" xr:uid="{B4318751-EFF3-4AA6-A3D4-93F96598FA7D}"/>
    <cellStyle name="Normal 2 5 4 2" xfId="26844" xr:uid="{C6BBEB57-E6CF-4171-9C5E-3E7BD1338555}"/>
    <cellStyle name="Normal 2 5 4 3" xfId="26845" xr:uid="{A154DA8C-7135-4EDE-B47A-1E3BA6CD4121}"/>
    <cellStyle name="Normal 2 5 4 4" xfId="26846" xr:uid="{D0AA6F2F-022D-494E-AA56-4B9886734B16}"/>
    <cellStyle name="Normal 2 5 4 5" xfId="26847" xr:uid="{1B11D50F-44E6-411E-A4F9-206B3F44A047}"/>
    <cellStyle name="Normal 2 5 4 6" xfId="26848" xr:uid="{896CE288-493A-42CD-B1E1-609A02DD1D63}"/>
    <cellStyle name="Normal 2 5 5" xfId="26849" xr:uid="{DCBF8D4C-3425-406C-B992-85D1DBB34F5C}"/>
    <cellStyle name="Normal 2 5 5 2" xfId="26850" xr:uid="{C4856823-AE9A-45E6-B014-103BC9F78989}"/>
    <cellStyle name="Normal 2 5 5 3" xfId="26851" xr:uid="{244EC215-A436-48FB-B1AB-60AE032E3CCA}"/>
    <cellStyle name="Normal 2 5 5 4" xfId="26852" xr:uid="{B2D276FE-9311-4836-8F63-C4D226FD4490}"/>
    <cellStyle name="Normal 2 5 5 5" xfId="26853" xr:uid="{21CEBB88-16AF-4AB8-9069-8694C302F0E3}"/>
    <cellStyle name="Normal 2 5 5 6" xfId="26854" xr:uid="{4A962C1D-5241-4962-B284-C02478E47321}"/>
    <cellStyle name="Normal 2 5 6" xfId="26855" xr:uid="{659E6B47-4019-4812-8FFE-7DB8D7991EC8}"/>
    <cellStyle name="Normal 2 5 6 2" xfId="26856" xr:uid="{73763F44-C7D6-4EF0-8131-A0E6CED428BF}"/>
    <cellStyle name="Normal 2 5 6 3" xfId="26857" xr:uid="{0B71BB0E-79B8-4425-BD84-9D4B0A8C8F2A}"/>
    <cellStyle name="Normal 2 5 6 4" xfId="26858" xr:uid="{E7B3F226-AC7B-4A5F-9084-C80E08DE618F}"/>
    <cellStyle name="Normal 2 5 6 5" xfId="26859" xr:uid="{A7FB328B-5FA1-4D29-9AFC-82C68273852B}"/>
    <cellStyle name="Normal 2 5 6 6" xfId="26860" xr:uid="{F16EAD7E-F06E-4DA9-B803-9982A041FCDF}"/>
    <cellStyle name="Normal 2 5 7" xfId="26861" xr:uid="{9B33303C-2048-449D-AF14-EA3AD0B5F17E}"/>
    <cellStyle name="Normal 2 5 7 2" xfId="26862" xr:uid="{A9A353EC-D3EC-4308-95DC-3963686ED7CB}"/>
    <cellStyle name="Normal 2 5 7 3" xfId="26863" xr:uid="{3E4463E1-B364-4354-B2B7-0763F4C17005}"/>
    <cellStyle name="Normal 2 5 7 4" xfId="26864" xr:uid="{B104B89E-66D1-42DD-89E2-20D60A046305}"/>
    <cellStyle name="Normal 2 5 7 5" xfId="26865" xr:uid="{02A3095E-A88E-4E6C-A466-FAD8D61ABA8C}"/>
    <cellStyle name="Normal 2 5 7 6" xfId="26866" xr:uid="{32381C4C-AD36-4704-9402-03B3A17D65A9}"/>
    <cellStyle name="Normal 2 5 8" xfId="26867" xr:uid="{73E49E92-5532-4F4D-BB71-29E0A48F87D8}"/>
    <cellStyle name="Normal 2 5 8 2" xfId="26868" xr:uid="{8B11F292-F722-4027-800A-47519ACCA74F}"/>
    <cellStyle name="Normal 2 5 8 3" xfId="26869" xr:uid="{1D5C42D3-7F59-4FE7-9C25-23A17C06C15C}"/>
    <cellStyle name="Normal 2 5 8 4" xfId="26870" xr:uid="{78F4A23F-012F-48A1-A449-FEE8827C1AA1}"/>
    <cellStyle name="Normal 2 5 8 5" xfId="26871" xr:uid="{00D4A49E-02EC-4934-9021-4C388C809C3A}"/>
    <cellStyle name="Normal 2 5 8 6" xfId="26872" xr:uid="{CA85D598-A5D4-4136-BE2E-C1966C8AEACF}"/>
    <cellStyle name="Normal 2 5 9" xfId="26873" xr:uid="{1C6B0DC2-360F-4895-934E-691577DA3D21}"/>
    <cellStyle name="Normal 2 50" xfId="26874" xr:uid="{14836567-537D-4FB0-89CB-DD21BCCFAFE6}"/>
    <cellStyle name="Normal 2 50 2" xfId="26875" xr:uid="{BD2F3B92-A049-4414-B599-35E4E98BA63C}"/>
    <cellStyle name="Normal 2 50 3" xfId="26876" xr:uid="{E93D929D-64FA-4397-8FA0-35B3B1BF7644}"/>
    <cellStyle name="Normal 2 50 4" xfId="26877" xr:uid="{98B95A04-FC19-48B1-8B8D-D74C877E8B86}"/>
    <cellStyle name="Normal 2 50 5" xfId="26878" xr:uid="{FB3B9FB4-CDB0-422A-90D8-A609F643F9AD}"/>
    <cellStyle name="Normal 2 50 6" xfId="26879" xr:uid="{157DC0A0-448E-4154-9862-687B841313FB}"/>
    <cellStyle name="Normal 2 50 7" xfId="26880" xr:uid="{8BD8AAA1-958B-4F9D-9BDC-8301E4F8E63C}"/>
    <cellStyle name="Normal 2 51" xfId="26881" xr:uid="{B47CCFCD-E3C3-43BC-B875-E32EB23E06E5}"/>
    <cellStyle name="Normal 2 51 2" xfId="26882" xr:uid="{B3C38445-E371-4009-B9F3-36FF6B839ACE}"/>
    <cellStyle name="Normal 2 51 3" xfId="26883" xr:uid="{1BB3B638-D67E-46AE-8570-07823321BA78}"/>
    <cellStyle name="Normal 2 51 4" xfId="26884" xr:uid="{BF780E4A-87B0-4968-8AD3-1A42C9662F47}"/>
    <cellStyle name="Normal 2 51 5" xfId="26885" xr:uid="{9600DA36-1539-40D0-A790-C6FE235D7C59}"/>
    <cellStyle name="Normal 2 51 6" xfId="26886" xr:uid="{60364DF4-DE28-47FC-8619-44DCAF915E9A}"/>
    <cellStyle name="Normal 2 51 7" xfId="26887" xr:uid="{8515C15F-884E-413F-B376-3C85DA2931C6}"/>
    <cellStyle name="Normal 2 52" xfId="26888" xr:uid="{958B766E-DDBF-42CC-88B3-1F379B080918}"/>
    <cellStyle name="Normal 2 52 2" xfId="26889" xr:uid="{2A5BC30A-4ADE-47B3-B846-6EF34906F66C}"/>
    <cellStyle name="Normal 2 52 3" xfId="26890" xr:uid="{8766072B-DF38-4A79-8FF7-0BF8D5CC704F}"/>
    <cellStyle name="Normal 2 52 4" xfId="26891" xr:uid="{0760646B-44AC-4FA7-B049-D47274CFF348}"/>
    <cellStyle name="Normal 2 52 5" xfId="26892" xr:uid="{9AEAFF63-1847-4493-9170-4F6117659D0B}"/>
    <cellStyle name="Normal 2 52 6" xfId="26893" xr:uid="{344889E4-DFAB-4713-970D-7E2DF4F60561}"/>
    <cellStyle name="Normal 2 52 7" xfId="26894" xr:uid="{9D3C0B04-00CE-4D0C-820D-555C630E7061}"/>
    <cellStyle name="Normal 2 53" xfId="26895" xr:uid="{73076CC7-4847-47A8-84DB-14E385811748}"/>
    <cellStyle name="Normal 2 53 2" xfId="26896" xr:uid="{6C2572F1-8BBD-4799-9BAF-C2F54943A588}"/>
    <cellStyle name="Normal 2 53 3" xfId="26897" xr:uid="{762BDF2D-53C1-4337-8C90-D02D5147644D}"/>
    <cellStyle name="Normal 2 53 4" xfId="26898" xr:uid="{35D2E454-20C4-43A4-83B9-74387AAB7CE7}"/>
    <cellStyle name="Normal 2 53 5" xfId="26899" xr:uid="{E125EE7F-DB51-409F-9AB6-43FEE1FFCBEA}"/>
    <cellStyle name="Normal 2 53 6" xfId="26900" xr:uid="{2B73CE40-B0FE-44C4-8938-00001EB8EBA6}"/>
    <cellStyle name="Normal 2 53 7" xfId="26901" xr:uid="{7A69122D-8AAA-4F72-A5BC-86FDDAC2A90B}"/>
    <cellStyle name="Normal 2 54" xfId="26902" xr:uid="{476C1688-00CA-4727-AC2C-AB1E079B5465}"/>
    <cellStyle name="Normal 2 54 2" xfId="26903" xr:uid="{6349F17B-775F-48AB-8B24-626E459DBD05}"/>
    <cellStyle name="Normal 2 54 3" xfId="26904" xr:uid="{4EB63FA0-A3D4-4108-AEA1-529079072493}"/>
    <cellStyle name="Normal 2 54 4" xfId="26905" xr:uid="{CFE4AC4A-1EDA-4FE4-A3BE-B2C3CC37FA32}"/>
    <cellStyle name="Normal 2 54 5" xfId="26906" xr:uid="{80386C14-7527-4B82-8EED-D76789C8EF69}"/>
    <cellStyle name="Normal 2 54 6" xfId="26907" xr:uid="{7EB8F2E4-FF11-400F-ADE6-450F33B36D34}"/>
    <cellStyle name="Normal 2 54 7" xfId="26908" xr:uid="{FA68D369-4B65-4F6D-A437-B3430BF69E61}"/>
    <cellStyle name="Normal 2 55" xfId="26909" xr:uid="{160FDF70-0DB2-440D-AB78-AFB6C4C92295}"/>
    <cellStyle name="Normal 2 55 2" xfId="26910" xr:uid="{94E5E132-FAF9-4E0E-B454-9E5111267D49}"/>
    <cellStyle name="Normal 2 55 3" xfId="26911" xr:uid="{E45D27D7-B720-4154-BFBD-24B8F2578FFA}"/>
    <cellStyle name="Normal 2 55 4" xfId="26912" xr:uid="{6C230685-C41F-4A63-BD5E-EAC43E7C81CE}"/>
    <cellStyle name="Normal 2 55 5" xfId="26913" xr:uid="{1FE6A3C2-C916-4FC7-BBFF-2D99A31CE935}"/>
    <cellStyle name="Normal 2 55 6" xfId="26914" xr:uid="{CA2CAECA-491E-41ED-9C7C-C16967E47BB1}"/>
    <cellStyle name="Normal 2 55 7" xfId="26915" xr:uid="{645C866D-952D-425F-831A-69C6A945107D}"/>
    <cellStyle name="Normal 2 56" xfId="26916" xr:uid="{9D6C7750-8422-4A16-B4DF-EAF2C742A59C}"/>
    <cellStyle name="Normal 2 56 2" xfId="26917" xr:uid="{EF33F81D-63C6-4209-950D-B6F418CE7B8D}"/>
    <cellStyle name="Normal 2 56 3" xfId="26918" xr:uid="{F20AE4AB-FC0D-4051-8E03-2C96905884BF}"/>
    <cellStyle name="Normal 2 56 4" xfId="26919" xr:uid="{48C93966-FC7A-4D94-A97E-CFEFEF51452F}"/>
    <cellStyle name="Normal 2 56 5" xfId="26920" xr:uid="{C77BE4C7-6EAD-49C8-8814-A5998F06A47E}"/>
    <cellStyle name="Normal 2 56 6" xfId="26921" xr:uid="{3972830A-2A5F-4530-9D63-8B4FEC6D0AEB}"/>
    <cellStyle name="Normal 2 56 7" xfId="26922" xr:uid="{8784C51A-028B-4BBD-8D9E-A3DA9DF947B3}"/>
    <cellStyle name="Normal 2 57" xfId="26923" xr:uid="{6CEF3FCA-BA8F-4795-B9F6-5F78E534BC85}"/>
    <cellStyle name="Normal 2 57 2" xfId="26924" xr:uid="{66424517-84C1-4651-A54F-E7FA359595D5}"/>
    <cellStyle name="Normal 2 57 3" xfId="26925" xr:uid="{85ACD802-84A1-4CDB-BBFA-849E89551360}"/>
    <cellStyle name="Normal 2 57 4" xfId="26926" xr:uid="{3C508357-A695-4CC7-B6D1-BC4EC7C6841B}"/>
    <cellStyle name="Normal 2 57 5" xfId="26927" xr:uid="{9053AFCD-DE28-4E7A-B699-66CFD4267D88}"/>
    <cellStyle name="Normal 2 57 6" xfId="26928" xr:uid="{1947856E-18F5-4D9B-912E-B45BD44F1A6B}"/>
    <cellStyle name="Normal 2 57 7" xfId="26929" xr:uid="{C0C959E4-3561-47E1-8391-34D5DAE43051}"/>
    <cellStyle name="Normal 2 58" xfId="26930" xr:uid="{3795C707-53F1-4E32-99BB-4D60745C62D8}"/>
    <cellStyle name="Normal 2 58 2" xfId="26931" xr:uid="{A8AFF4FA-B503-487F-BEA2-A295AED1A418}"/>
    <cellStyle name="Normal 2 58 3" xfId="26932" xr:uid="{69673127-53B3-4933-B73B-2C12A083A543}"/>
    <cellStyle name="Normal 2 58 4" xfId="26933" xr:uid="{339BBEF2-685D-4266-AB2B-D864E5D6EEC7}"/>
    <cellStyle name="Normal 2 58 5" xfId="26934" xr:uid="{E906DE86-A8F3-4DEB-98D9-89E965870B06}"/>
    <cellStyle name="Normal 2 58 6" xfId="26935" xr:uid="{5D2EB7C6-9E0E-4425-A0D6-E31F067E1ACC}"/>
    <cellStyle name="Normal 2 58 7" xfId="26936" xr:uid="{E47D962F-E50E-4A97-9B53-F6AB3E4DE7DC}"/>
    <cellStyle name="Normal 2 59" xfId="26937" xr:uid="{91657773-4058-430C-83B7-8893BFCDC555}"/>
    <cellStyle name="Normal 2 59 2" xfId="26938" xr:uid="{6C906EFF-EACE-442D-98BD-18FD8D424498}"/>
    <cellStyle name="Normal 2 59 3" xfId="26939" xr:uid="{AAEBC430-8AA0-4856-B300-A0F3074793DD}"/>
    <cellStyle name="Normal 2 59 4" xfId="26940" xr:uid="{62046C47-B2C3-4C28-933C-201AB46551FE}"/>
    <cellStyle name="Normal 2 59 5" xfId="26941" xr:uid="{B9E22E78-40AD-46D8-B5F3-479DA9853542}"/>
    <cellStyle name="Normal 2 59 6" xfId="26942" xr:uid="{C6DCAD87-6CB3-41FD-B65C-A8B369ED43C2}"/>
    <cellStyle name="Normal 2 59 7" xfId="26943" xr:uid="{FF3E55C9-C7E2-489B-8DBA-7E71BDB9821E}"/>
    <cellStyle name="Normal 2 6" xfId="1082" xr:uid="{8D095C08-ACB1-471D-87A0-1A4E6D61EBEF}"/>
    <cellStyle name="Normal 2 6 10" xfId="26944" xr:uid="{355B6083-410E-451E-A525-2937D9D50177}"/>
    <cellStyle name="Normal 2 6 11" xfId="26945" xr:uid="{F4D92014-C1CC-4C81-9D0E-C8F84969B3FC}"/>
    <cellStyle name="Normal 2 6 12" xfId="26946" xr:uid="{DA9A99AA-40AE-42D1-A58B-A18A0050B475}"/>
    <cellStyle name="Normal 2 6 13" xfId="26947" xr:uid="{AB05B08E-35C8-4524-9610-E3963A30BFE5}"/>
    <cellStyle name="Normal 2 6 14" xfId="26948" xr:uid="{190E7A75-7410-42C2-A1D4-CA051CA05108}"/>
    <cellStyle name="Normal 2 6 15" xfId="26949" xr:uid="{16F1D68D-675C-49F3-8909-C439C9696E6B}"/>
    <cellStyle name="Normal 2 6 16" xfId="26950" xr:uid="{B39AF4E4-A5B3-4E81-AF42-62A7A114A7F6}"/>
    <cellStyle name="Normal 2 6 17" xfId="26951" xr:uid="{C39E2AF1-73D5-4919-B5A1-9AA835648016}"/>
    <cellStyle name="Normal 2 6 18" xfId="26952" xr:uid="{067C1918-CAA6-4907-AFFA-E7C7E047668B}"/>
    <cellStyle name="Normal 2 6 19" xfId="26953" xr:uid="{5CE4CAE4-C258-4AFC-86D0-BE0771E56641}"/>
    <cellStyle name="Normal 2 6 2" xfId="26954" xr:uid="{00D8D48A-A8DE-4996-8388-CC901D0F677C}"/>
    <cellStyle name="Normal 2 6 2 10" xfId="26955" xr:uid="{C86A7892-9553-4336-BAEF-FE8860F383F7}"/>
    <cellStyle name="Normal 2 6 2 10 2" xfId="26956" xr:uid="{9267D1D5-E166-435B-9002-136000040089}"/>
    <cellStyle name="Normal 2 6 2 10 3" xfId="26957" xr:uid="{73A4FF31-A009-42B8-A5EE-987101319340}"/>
    <cellStyle name="Normal 2 6 2 10 4" xfId="26958" xr:uid="{007C0F1E-0D5F-4078-9D6A-8D418DCA3AE8}"/>
    <cellStyle name="Normal 2 6 2 10 5" xfId="26959" xr:uid="{7B80B79C-0CCC-4B44-873C-2490D6449834}"/>
    <cellStyle name="Normal 2 6 2 10 6" xfId="26960" xr:uid="{3AD54854-B699-4429-9ECF-B43BF8550F8F}"/>
    <cellStyle name="Normal 2 6 2 11" xfId="26961" xr:uid="{C6213E8D-2522-491D-8D04-4091AB8B51A6}"/>
    <cellStyle name="Normal 2 6 2 11 2" xfId="26962" xr:uid="{6FEEA9C6-0C5F-44C5-9368-19A2C36052A5}"/>
    <cellStyle name="Normal 2 6 2 11 3" xfId="26963" xr:uid="{99374639-2277-4BA2-8811-9B790F76E75D}"/>
    <cellStyle name="Normal 2 6 2 11 4" xfId="26964" xr:uid="{4DDC03B7-1B27-4EDF-B8C1-4F40FAB6C7BD}"/>
    <cellStyle name="Normal 2 6 2 11 5" xfId="26965" xr:uid="{43D4AD57-5606-4A35-8893-20E4ED8A81E3}"/>
    <cellStyle name="Normal 2 6 2 11 6" xfId="26966" xr:uid="{78C6E605-9CED-4AFF-84DF-360274578D42}"/>
    <cellStyle name="Normal 2 6 2 12" xfId="26967" xr:uid="{BE1633D9-FE2C-4A2E-8694-2D0D20DA813B}"/>
    <cellStyle name="Normal 2 6 2 12 2" xfId="26968" xr:uid="{7E0EE9DE-6C57-4E93-9179-A36FA8BE08DE}"/>
    <cellStyle name="Normal 2 6 2 12 3" xfId="26969" xr:uid="{B5496159-40F2-425C-B6DE-BC9B1D67A4CB}"/>
    <cellStyle name="Normal 2 6 2 12 4" xfId="26970" xr:uid="{1A50049A-6F2A-485F-8078-3E037256AFF1}"/>
    <cellStyle name="Normal 2 6 2 12 5" xfId="26971" xr:uid="{E5D337C0-8565-4B60-B935-A4FF1AD507CB}"/>
    <cellStyle name="Normal 2 6 2 12 6" xfId="26972" xr:uid="{25EBEB9C-0E9D-4C74-8621-687568E91082}"/>
    <cellStyle name="Normal 2 6 2 13" xfId="26973" xr:uid="{DCBFC3CC-ABD1-4FDB-A6F4-598C4A40946C}"/>
    <cellStyle name="Normal 2 6 2 13 2" xfId="26974" xr:uid="{0D228F74-5A74-4B12-8A9A-D55544EC03FA}"/>
    <cellStyle name="Normal 2 6 2 13 3" xfId="26975" xr:uid="{82940E67-650D-4799-B607-1AD8D226654D}"/>
    <cellStyle name="Normal 2 6 2 13 4" xfId="26976" xr:uid="{E24C848C-38C2-4CB7-8E3E-2CDA1B863732}"/>
    <cellStyle name="Normal 2 6 2 13 5" xfId="26977" xr:uid="{F112A932-0C4F-4B69-94D5-B375FCE1668B}"/>
    <cellStyle name="Normal 2 6 2 13 6" xfId="26978" xr:uid="{925EB890-4A73-4A1E-84EC-5BB85C4C1288}"/>
    <cellStyle name="Normal 2 6 2 14" xfId="26979" xr:uid="{89522D8C-94ED-4B2E-80BB-501467D94340}"/>
    <cellStyle name="Normal 2 6 2 14 2" xfId="26980" xr:uid="{58F67985-C65F-4EF8-8902-BBF4AD67CCB3}"/>
    <cellStyle name="Normal 2 6 2 14 3" xfId="26981" xr:uid="{0E43009C-1075-4D8C-AF8B-DF64AA53C4FB}"/>
    <cellStyle name="Normal 2 6 2 14 4" xfId="26982" xr:uid="{27E6FFF5-9CD6-418C-B16E-536454321056}"/>
    <cellStyle name="Normal 2 6 2 14 5" xfId="26983" xr:uid="{BB6D472B-12BF-4EB5-AA82-436BB08EC14E}"/>
    <cellStyle name="Normal 2 6 2 14 6" xfId="26984" xr:uid="{B9D29815-57EE-4445-8C48-FC24409FBD96}"/>
    <cellStyle name="Normal 2 6 2 15" xfId="26985" xr:uid="{30EB526E-0505-4763-938B-36848A7D7324}"/>
    <cellStyle name="Normal 2 6 2 15 2" xfId="26986" xr:uid="{98DDAAEC-A0C8-44EE-A149-5529EAAC352A}"/>
    <cellStyle name="Normal 2 6 2 15 3" xfId="26987" xr:uid="{4D66E33E-6CA0-4F6A-BBC9-271ECB8329DC}"/>
    <cellStyle name="Normal 2 6 2 15 4" xfId="26988" xr:uid="{B1BDC5A4-1307-4DA3-94F1-BC05CB221F31}"/>
    <cellStyle name="Normal 2 6 2 15 5" xfId="26989" xr:uid="{3FFCB675-C059-4406-A450-B49DD18362C8}"/>
    <cellStyle name="Normal 2 6 2 15 6" xfId="26990" xr:uid="{84EBD9C5-8D69-4ACF-A625-20E95E9538EC}"/>
    <cellStyle name="Normal 2 6 2 16" xfId="26991" xr:uid="{733380C1-A391-4205-9BCF-13C139FFFB26}"/>
    <cellStyle name="Normal 2 6 2 17" xfId="26992" xr:uid="{468F02AB-1E01-4124-BD3A-E151A8E5DD0A}"/>
    <cellStyle name="Normal 2 6 2 18" xfId="26993" xr:uid="{97E5C2FA-1FCA-41FD-AE5C-23EFBB2AF9D6}"/>
    <cellStyle name="Normal 2 6 2 19" xfId="26994" xr:uid="{5B316C31-506C-498A-B85F-C7295EC01994}"/>
    <cellStyle name="Normal 2 6 2 2" xfId="26995" xr:uid="{422CDABC-29F9-4AB4-A040-0BA7401F7A79}"/>
    <cellStyle name="Normal 2 6 2 2 2" xfId="26996" xr:uid="{D5529A49-8046-42CD-877C-1420F2E8ED23}"/>
    <cellStyle name="Normal 2 6 2 2 2 2" xfId="26997" xr:uid="{CA95702E-7AC0-4057-935F-C65FAD067D73}"/>
    <cellStyle name="Normal 2 6 2 2 2 3" xfId="26998" xr:uid="{ECDCEF80-2773-488C-83B2-576C69442BD1}"/>
    <cellStyle name="Normal 2 6 2 2 2 4" xfId="26999" xr:uid="{23C66D2B-1C14-4FA0-9A57-7EC6D1978C55}"/>
    <cellStyle name="Normal 2 6 2 2 3" xfId="27000" xr:uid="{E715E296-0D50-46A2-9E40-C44E53705B66}"/>
    <cellStyle name="Normal 2 6 2 2 4" xfId="27001" xr:uid="{BA38AE6D-5498-4E70-9F62-72B4853101F3}"/>
    <cellStyle name="Normal 2 6 2 2 5" xfId="27002" xr:uid="{A7811B61-8A67-4E43-9F32-B1C739782876}"/>
    <cellStyle name="Normal 2 6 2 20" xfId="27003" xr:uid="{7172537A-EE29-485E-9F99-4051999FEF3A}"/>
    <cellStyle name="Normal 2 6 2 3" xfId="27004" xr:uid="{3450F178-3C6A-4CC3-9210-DEBFF81120D2}"/>
    <cellStyle name="Normal 2 6 2 3 2" xfId="27005" xr:uid="{7E8EB5E9-0A65-4FDE-A709-4EC7E6762AAE}"/>
    <cellStyle name="Normal 2 6 2 3 3" xfId="27006" xr:uid="{F326B38F-BAED-46EE-AD5D-F163DEEE5326}"/>
    <cellStyle name="Normal 2 6 2 3 4" xfId="27007" xr:uid="{9FFE47FE-ACFE-45F5-B5CC-F0B6391AB7C5}"/>
    <cellStyle name="Normal 2 6 2 4" xfId="27008" xr:uid="{5A60EFB0-1000-4A6C-A23D-56302AB9F2B9}"/>
    <cellStyle name="Normal 2 6 2 5" xfId="27009" xr:uid="{F9D49627-1B42-4A0B-A748-F7E688AAFB42}"/>
    <cellStyle name="Normal 2 6 2 6" xfId="27010" xr:uid="{46C68BA7-2068-4A77-9443-D580B312FCB7}"/>
    <cellStyle name="Normal 2 6 2 7" xfId="27011" xr:uid="{3C860474-8628-4E05-854E-AADA8D45A946}"/>
    <cellStyle name="Normal 2 6 2 8" xfId="27012" xr:uid="{7224D696-DCD9-40C6-91A7-E86E4F3E90A6}"/>
    <cellStyle name="Normal 2 6 2 9" xfId="27013" xr:uid="{7AF5290F-23EA-434D-A536-C70E1BD7D003}"/>
    <cellStyle name="Normal 2 6 2 9 2" xfId="27014" xr:uid="{94E6CE8B-B651-44D2-8F78-15DC7CD0EC60}"/>
    <cellStyle name="Normal 2 6 2 9 3" xfId="27015" xr:uid="{7B9E89AC-EE9F-4A91-8EF0-92D273F59A8D}"/>
    <cellStyle name="Normal 2 6 2 9 4" xfId="27016" xr:uid="{53242DDF-2967-4B08-AD07-65AE2EC04470}"/>
    <cellStyle name="Normal 2 6 2 9 5" xfId="27017" xr:uid="{094EF463-13E0-4125-A9E4-1A8B80AD7A77}"/>
    <cellStyle name="Normal 2 6 2 9 6" xfId="27018" xr:uid="{6A3C4FC8-7AB4-4819-B7E9-65425F82F6AF}"/>
    <cellStyle name="Normal 2 6 20" xfId="27019" xr:uid="{FC5FA9A4-E58A-419B-9107-C42D570D938B}"/>
    <cellStyle name="Normal 2 6 21" xfId="27020" xr:uid="{73FEE3F1-7F01-44F4-B49E-E966FAAA07D4}"/>
    <cellStyle name="Normal 2 6 22" xfId="27021" xr:uid="{8D13F2F0-A594-4038-B475-FC4523511A4C}"/>
    <cellStyle name="Normal 2 6 23" xfId="27022" xr:uid="{8186602E-9F62-4401-8044-692586A7FBA7}"/>
    <cellStyle name="Normal 2 6 24" xfId="27023" xr:uid="{493F8B2A-A154-47E3-963E-CBB67347EA79}"/>
    <cellStyle name="Normal 2 6 25" xfId="27024" xr:uid="{E8FB82AF-653C-4266-9538-61220B915BD9}"/>
    <cellStyle name="Normal 2 6 26" xfId="27025" xr:uid="{C2BA1B6F-0A6C-4B7E-BC35-B64F86AE0AC9}"/>
    <cellStyle name="Normal 2 6 27" xfId="27026" xr:uid="{7CBD099E-F03D-40E8-8D1F-00A474B57FFE}"/>
    <cellStyle name="Normal 2 6 28" xfId="27027" xr:uid="{141E2C32-4C52-4229-BBF1-C16DBF9F1670}"/>
    <cellStyle name="Normal 2 6 29" xfId="27028" xr:uid="{628BE5F0-C25F-4553-91E3-49749BE1BDD4}"/>
    <cellStyle name="Normal 2 6 3" xfId="27029" xr:uid="{15086ADB-7341-476D-81A5-62E724EE0601}"/>
    <cellStyle name="Normal 2 6 3 10" xfId="27030" xr:uid="{A9281707-3DCB-4C9A-9890-C65027C2F95B}"/>
    <cellStyle name="Normal 2 6 3 11" xfId="27031" xr:uid="{A0E20CF9-705F-4860-9AEA-935E424FCE79}"/>
    <cellStyle name="Normal 2 6 3 12" xfId="27032" xr:uid="{F41FB38C-3FD3-4600-ABEC-7E5FA170F4E1}"/>
    <cellStyle name="Normal 2 6 3 13" xfId="27033" xr:uid="{1074494E-C646-4E1E-801C-576069358EF6}"/>
    <cellStyle name="Normal 2 6 3 2" xfId="27034" xr:uid="{09C7BD2C-7D0B-45FB-A56D-F2706E3ADF97}"/>
    <cellStyle name="Normal 2 6 3 2 2" xfId="27035" xr:uid="{6B5A2B62-6F6F-4E22-AF89-ECFC89E0ADA8}"/>
    <cellStyle name="Normal 2 6 3 2 3" xfId="27036" xr:uid="{7215A388-9009-4FD2-9B18-87A364A283AB}"/>
    <cellStyle name="Normal 2 6 3 2 4" xfId="27037" xr:uid="{4C67D5C9-E70B-4863-98BB-5B467EED4FA3}"/>
    <cellStyle name="Normal 2 6 3 2 5" xfId="27038" xr:uid="{B6948A89-780A-4BF7-8E80-51B65FBA8FD8}"/>
    <cellStyle name="Normal 2 6 3 2 6" xfId="27039" xr:uid="{8068493C-57B9-414D-AD91-4C3E1EC40383}"/>
    <cellStyle name="Normal 2 6 3 3" xfId="27040" xr:uid="{EFFB12C0-4029-4E31-A4A1-97FEDCE8BFB6}"/>
    <cellStyle name="Normal 2 6 3 3 2" xfId="27041" xr:uid="{AD873ECE-2568-4425-8126-F4746B8756DB}"/>
    <cellStyle name="Normal 2 6 3 3 3" xfId="27042" xr:uid="{9BC66CF1-56B7-44F7-838D-CF186418AE09}"/>
    <cellStyle name="Normal 2 6 3 3 4" xfId="27043" xr:uid="{D78AE9A3-BA7F-4F16-BC9A-77556A34BE5B}"/>
    <cellStyle name="Normal 2 6 3 3 5" xfId="27044" xr:uid="{9AB7749B-89B1-42CB-B982-A143BE01BC59}"/>
    <cellStyle name="Normal 2 6 3 3 6" xfId="27045" xr:uid="{B1595BAE-05D8-41DF-9C7A-455C39F0654F}"/>
    <cellStyle name="Normal 2 6 3 4" xfId="27046" xr:uid="{F6496C3D-AC77-40DE-8B54-C0D67BA9C64D}"/>
    <cellStyle name="Normal 2 6 3 4 2" xfId="27047" xr:uid="{67087125-193C-4753-80D5-F1CC49846CB8}"/>
    <cellStyle name="Normal 2 6 3 4 3" xfId="27048" xr:uid="{4ED131B3-6A57-4D3F-A6EA-118B40FB739C}"/>
    <cellStyle name="Normal 2 6 3 4 4" xfId="27049" xr:uid="{1A09DE86-4EC2-4460-B8BA-F1373417D39D}"/>
    <cellStyle name="Normal 2 6 3 4 5" xfId="27050" xr:uid="{B72B45DA-DA27-434A-84C7-EB88B81B5855}"/>
    <cellStyle name="Normal 2 6 3 4 6" xfId="27051" xr:uid="{4C32D64E-9DC2-4D1E-8672-C44224DB72DC}"/>
    <cellStyle name="Normal 2 6 3 5" xfId="27052" xr:uid="{33F2404B-49B7-4270-94E4-79F19F5EFFD7}"/>
    <cellStyle name="Normal 2 6 3 5 2" xfId="27053" xr:uid="{BBDCA28C-03A0-4A7B-A875-BB11CC6FC674}"/>
    <cellStyle name="Normal 2 6 3 5 3" xfId="27054" xr:uid="{EB06CBFE-DA78-48F3-AEFB-255B43107866}"/>
    <cellStyle name="Normal 2 6 3 5 4" xfId="27055" xr:uid="{FDF0A0F1-3270-4B96-BA3B-43CA030935A1}"/>
    <cellStyle name="Normal 2 6 3 5 5" xfId="27056" xr:uid="{A976F845-9DBE-4031-B93A-B7BB73CF77A8}"/>
    <cellStyle name="Normal 2 6 3 5 6" xfId="27057" xr:uid="{4663DE84-46B9-41D6-B86D-B12F9D3F9222}"/>
    <cellStyle name="Normal 2 6 3 6" xfId="27058" xr:uid="{5891D2DA-B0D6-4495-987A-5751891F6A14}"/>
    <cellStyle name="Normal 2 6 3 6 2" xfId="27059" xr:uid="{F5D5148C-DDF1-40C7-B02D-D3E2A68045C6}"/>
    <cellStyle name="Normal 2 6 3 6 3" xfId="27060" xr:uid="{1AEF687E-2DFD-4348-A2A5-8CA2D74677A5}"/>
    <cellStyle name="Normal 2 6 3 6 4" xfId="27061" xr:uid="{BB2976AD-05EE-44D1-A92B-1B38A7CB5D97}"/>
    <cellStyle name="Normal 2 6 3 6 5" xfId="27062" xr:uid="{21CD2D51-446D-452A-A1F6-003A76C6734B}"/>
    <cellStyle name="Normal 2 6 3 6 6" xfId="27063" xr:uid="{DFC7388C-2ED9-42AC-8D29-9BE22265A969}"/>
    <cellStyle name="Normal 2 6 3 7" xfId="27064" xr:uid="{C818F286-A298-4254-9449-DC4373B701E6}"/>
    <cellStyle name="Normal 2 6 3 7 2" xfId="27065" xr:uid="{0ACD8151-770E-4A71-B10A-6EEEFC39A87D}"/>
    <cellStyle name="Normal 2 6 3 7 3" xfId="27066" xr:uid="{8CB2B581-C16D-4EEE-9382-B602347B13B8}"/>
    <cellStyle name="Normal 2 6 3 7 4" xfId="27067" xr:uid="{FDDE92AE-BE98-417D-ABF0-CA63B5A379A7}"/>
    <cellStyle name="Normal 2 6 3 7 5" xfId="27068" xr:uid="{CCCA6CA9-AB08-45A1-B96A-ECC10F3166BF}"/>
    <cellStyle name="Normal 2 6 3 7 6" xfId="27069" xr:uid="{B2BB926D-D379-430B-B8EC-5B26E9E68C94}"/>
    <cellStyle name="Normal 2 6 3 8" xfId="27070" xr:uid="{2F41E386-613D-4E82-AE97-676E808B5258}"/>
    <cellStyle name="Normal 2 6 3 8 2" xfId="27071" xr:uid="{64C7CB4D-C9F1-4984-9B47-74ACBFF6B747}"/>
    <cellStyle name="Normal 2 6 3 8 3" xfId="27072" xr:uid="{9FA4AB75-130F-49B2-9E92-383D6029C9AA}"/>
    <cellStyle name="Normal 2 6 3 8 4" xfId="27073" xr:uid="{7A0B2EC0-FAAF-4F97-91FB-B24ABF8E0665}"/>
    <cellStyle name="Normal 2 6 3 8 5" xfId="27074" xr:uid="{81FAA2AF-C672-460A-A536-DB6A09AA2142}"/>
    <cellStyle name="Normal 2 6 3 8 6" xfId="27075" xr:uid="{04A6B9A6-07E5-4B23-AB49-2AD69F2A62F9}"/>
    <cellStyle name="Normal 2 6 3 9" xfId="27076" xr:uid="{A2D3D2CA-437E-46B3-861C-D5588670A032}"/>
    <cellStyle name="Normal 2 6 30" xfId="27077" xr:uid="{8D6F7A7B-B0FA-4EAF-BC34-8CC57A85FAA8}"/>
    <cellStyle name="Normal 2 6 31" xfId="27078" xr:uid="{4357EF61-B979-458D-8D47-46A2996ADA1F}"/>
    <cellStyle name="Normal 2 6 32" xfId="27079" xr:uid="{77DFA0B3-B146-4422-B5B6-58C6A5051138}"/>
    <cellStyle name="Normal 2 6 33" xfId="27080" xr:uid="{5D2DD432-6AC1-45F4-9F15-426B9D933469}"/>
    <cellStyle name="Normal 2 6 34" xfId="27081" xr:uid="{024BF898-CE92-4A65-8742-1805F5E1D921}"/>
    <cellStyle name="Normal 2 6 35" xfId="27082" xr:uid="{D3CF2BDE-7251-44B1-B391-08B6E3A6FA0F}"/>
    <cellStyle name="Normal 2 6 36" xfId="27083" xr:uid="{EABFCFF4-7D12-4E4A-9E3C-351744094EBA}"/>
    <cellStyle name="Normal 2 6 37" xfId="27084" xr:uid="{B72F28B5-3C6B-4B76-A481-5319185E82A1}"/>
    <cellStyle name="Normal 2 6 38" xfId="27085" xr:uid="{6A011D1C-E522-4158-8A57-40D0776A6D50}"/>
    <cellStyle name="Normal 2 6 39" xfId="27086" xr:uid="{3F6218F2-F6F6-43A2-ADF6-A92450B58320}"/>
    <cellStyle name="Normal 2 6 4" xfId="27087" xr:uid="{8058A989-E396-4A3F-9069-FF7D5017C9D6}"/>
    <cellStyle name="Normal 2 6 4 10" xfId="27088" xr:uid="{A9F9D563-FD52-464A-A347-0AAC0C62AC15}"/>
    <cellStyle name="Normal 2 6 4 11" xfId="27089" xr:uid="{964351B9-B627-4BD0-92C1-6A6F71695E99}"/>
    <cellStyle name="Normal 2 6 4 12" xfId="27090" xr:uid="{BB787206-ED64-45B2-B038-29553C03EAE3}"/>
    <cellStyle name="Normal 2 6 4 13" xfId="27091" xr:uid="{046C4DA1-E860-4BBF-BB41-E27D630E7420}"/>
    <cellStyle name="Normal 2 6 4 2" xfId="27092" xr:uid="{6A581F26-3740-448B-A5EB-F82F16836CD7}"/>
    <cellStyle name="Normal 2 6 4 2 2" xfId="27093" xr:uid="{9CAA790C-90A1-4F96-8D63-3493581940E9}"/>
    <cellStyle name="Normal 2 6 4 2 3" xfId="27094" xr:uid="{52E6B550-7FC6-4D3B-B791-272875D86CAB}"/>
    <cellStyle name="Normal 2 6 4 2 4" xfId="27095" xr:uid="{9666061D-4FFE-4CEE-8A0A-9D3CD6B78D97}"/>
    <cellStyle name="Normal 2 6 4 2 5" xfId="27096" xr:uid="{34F471D9-DF4D-4040-BEE8-CE79D2F1A7B8}"/>
    <cellStyle name="Normal 2 6 4 2 6" xfId="27097" xr:uid="{1D69CA51-D136-4396-B471-664EA248ACAF}"/>
    <cellStyle name="Normal 2 6 4 3" xfId="27098" xr:uid="{D34745F9-3361-4FB8-9B56-8617C7B13ED5}"/>
    <cellStyle name="Normal 2 6 4 3 2" xfId="27099" xr:uid="{0F7B3CE0-AE62-428D-B9B0-4C2EC2DC8335}"/>
    <cellStyle name="Normal 2 6 4 3 3" xfId="27100" xr:uid="{ACE4E984-2261-46D1-B448-BFBB74337C83}"/>
    <cellStyle name="Normal 2 6 4 3 4" xfId="27101" xr:uid="{82A59549-99CD-4331-88E9-ACCC02824D34}"/>
    <cellStyle name="Normal 2 6 4 3 5" xfId="27102" xr:uid="{DAFEA721-E4B0-404A-A156-8488A1B5FB4F}"/>
    <cellStyle name="Normal 2 6 4 3 6" xfId="27103" xr:uid="{BDD49C83-0A5A-4604-8572-C7FF3C888E79}"/>
    <cellStyle name="Normal 2 6 4 4" xfId="27104" xr:uid="{F3B13BF1-8226-46EA-B438-8747C989C2C1}"/>
    <cellStyle name="Normal 2 6 4 4 2" xfId="27105" xr:uid="{0322402F-96C8-4587-86F7-43E1D1D1D0C9}"/>
    <cellStyle name="Normal 2 6 4 4 3" xfId="27106" xr:uid="{4EFDD855-C10B-4E05-BF06-841A60687FCC}"/>
    <cellStyle name="Normal 2 6 4 4 4" xfId="27107" xr:uid="{95547562-4E35-479A-A8A2-CC244925E76E}"/>
    <cellStyle name="Normal 2 6 4 4 5" xfId="27108" xr:uid="{54EB659C-265D-4A2D-AA40-0BDEF7D71618}"/>
    <cellStyle name="Normal 2 6 4 4 6" xfId="27109" xr:uid="{502A8DAD-1CF3-4035-9EE7-8A90B1985643}"/>
    <cellStyle name="Normal 2 6 4 5" xfId="27110" xr:uid="{40E8D420-3F8B-4913-BD0E-9AF4779AE649}"/>
    <cellStyle name="Normal 2 6 4 5 2" xfId="27111" xr:uid="{8A32D251-3457-452B-B1C8-1CE6EBDD19A3}"/>
    <cellStyle name="Normal 2 6 4 5 3" xfId="27112" xr:uid="{C6478754-759D-4A27-A9C3-72254830E026}"/>
    <cellStyle name="Normal 2 6 4 5 4" xfId="27113" xr:uid="{2B38E980-F35E-4C5F-93B5-541B8969D2BB}"/>
    <cellStyle name="Normal 2 6 4 5 5" xfId="27114" xr:uid="{84771EED-1953-4FFC-B8FD-460374ECEC74}"/>
    <cellStyle name="Normal 2 6 4 5 6" xfId="27115" xr:uid="{C38EC9C0-D176-4554-B72C-B88FC20E2A9D}"/>
    <cellStyle name="Normal 2 6 4 6" xfId="27116" xr:uid="{0E3073F3-8036-4961-BACB-8DA70B1D16CE}"/>
    <cellStyle name="Normal 2 6 4 6 2" xfId="27117" xr:uid="{BB9930C5-B65B-4224-94B5-DDB9F2EBDC69}"/>
    <cellStyle name="Normal 2 6 4 6 3" xfId="27118" xr:uid="{911364B6-AB5F-45ED-8C90-2803652D18D5}"/>
    <cellStyle name="Normal 2 6 4 6 4" xfId="27119" xr:uid="{D17384A3-7100-4B2F-986D-ED043181BADD}"/>
    <cellStyle name="Normal 2 6 4 6 5" xfId="27120" xr:uid="{1081CEC7-7852-483E-9CAB-14E437BCFF87}"/>
    <cellStyle name="Normal 2 6 4 6 6" xfId="27121" xr:uid="{12B02F3E-607A-45D9-BBFD-4D7B7E77081A}"/>
    <cellStyle name="Normal 2 6 4 7" xfId="27122" xr:uid="{3474D511-94E3-4DC3-B4A6-A33C662BD994}"/>
    <cellStyle name="Normal 2 6 4 7 2" xfId="27123" xr:uid="{71FA3169-9970-4F86-BC9A-015B7A002643}"/>
    <cellStyle name="Normal 2 6 4 7 3" xfId="27124" xr:uid="{080E3B52-1847-4C23-A646-A2CC0E48BF45}"/>
    <cellStyle name="Normal 2 6 4 7 4" xfId="27125" xr:uid="{1227E6E2-2D6E-4DE5-8105-88B103D01824}"/>
    <cellStyle name="Normal 2 6 4 7 5" xfId="27126" xr:uid="{B1DBAC59-88DF-4640-8730-B30B00B2A3C3}"/>
    <cellStyle name="Normal 2 6 4 7 6" xfId="27127" xr:uid="{0D8796AC-F0AF-42E3-96DB-EA7828912436}"/>
    <cellStyle name="Normal 2 6 4 8" xfId="27128" xr:uid="{82DDEABF-09D9-4757-820B-467953B25CD6}"/>
    <cellStyle name="Normal 2 6 4 8 2" xfId="27129" xr:uid="{4993B43D-01E2-4C1F-9975-FA138442FAC3}"/>
    <cellStyle name="Normal 2 6 4 8 3" xfId="27130" xr:uid="{5FDF2BA5-2ECA-4E41-9563-E6EA555B5240}"/>
    <cellStyle name="Normal 2 6 4 8 4" xfId="27131" xr:uid="{A14F65AF-1D5E-40D4-995E-B46DA32B815F}"/>
    <cellStyle name="Normal 2 6 4 8 5" xfId="27132" xr:uid="{BA7655BA-D2A6-47DD-8FFD-88663E22E221}"/>
    <cellStyle name="Normal 2 6 4 8 6" xfId="27133" xr:uid="{A385B80C-4656-488B-BDFD-F6747456C031}"/>
    <cellStyle name="Normal 2 6 4 9" xfId="27134" xr:uid="{F5433658-7F87-4589-A3ED-F4A370AB6BBD}"/>
    <cellStyle name="Normal 2 6 40" xfId="27135" xr:uid="{F1F1DB80-2AE8-462A-A163-C7D0889589F1}"/>
    <cellStyle name="Normal 2 6 41" xfId="27136" xr:uid="{34594443-6F75-4D8C-A7C8-34244379186D}"/>
    <cellStyle name="Normal 2 6 42" xfId="27137" xr:uid="{844B0C87-BB04-446D-B919-0E7D37101431}"/>
    <cellStyle name="Normal 2 6 43" xfId="27138" xr:uid="{76CBC99D-0568-4520-8AB5-57FDB82137A0}"/>
    <cellStyle name="Normal 2 6 44" xfId="27139" xr:uid="{B52B908B-E1CE-4161-80E4-589DD80F0CE3}"/>
    <cellStyle name="Normal 2 6 45" xfId="27140" xr:uid="{B9B30CC2-2E10-4AD9-97F2-B4C97F7390F5}"/>
    <cellStyle name="Normal 2 6 46" xfId="27141" xr:uid="{DAABC9D6-63B1-48CB-95CC-E3ABB6381E94}"/>
    <cellStyle name="Normal 2 6 47" xfId="27142" xr:uid="{993F6C28-3C3A-4F2A-BC07-C6FDBE14939C}"/>
    <cellStyle name="Normal 2 6 48" xfId="27143" xr:uid="{4DAD5782-3A10-4B91-8150-0E595376CB06}"/>
    <cellStyle name="Normal 2 6 49" xfId="27144" xr:uid="{9A53B4F0-F259-468A-8A2E-3C98048E99B3}"/>
    <cellStyle name="Normal 2 6 5" xfId="27145" xr:uid="{3746B8A3-398B-42FA-B6E4-978082D9B363}"/>
    <cellStyle name="Normal 2 6 5 10" xfId="27146" xr:uid="{589EC13F-FAF4-4A4D-90FE-706BA72E1311}"/>
    <cellStyle name="Normal 2 6 5 11" xfId="27147" xr:uid="{84669C2E-938C-4148-B70D-774B3E890FD1}"/>
    <cellStyle name="Normal 2 6 5 12" xfId="27148" xr:uid="{2ABDF03C-D185-48FA-8544-AE3D08D4FA91}"/>
    <cellStyle name="Normal 2 6 5 13" xfId="27149" xr:uid="{2C6EC792-6DE9-4F0D-A482-D2D1B7C52FC2}"/>
    <cellStyle name="Normal 2 6 5 2" xfId="27150" xr:uid="{E72489BA-53BA-427C-A93C-4A3E2A33BC7F}"/>
    <cellStyle name="Normal 2 6 5 2 2" xfId="27151" xr:uid="{1660BE66-39E1-4522-A1EE-F73EC8938ACF}"/>
    <cellStyle name="Normal 2 6 5 2 3" xfId="27152" xr:uid="{D4C7D5C6-92E6-4BE9-AD6F-FFD998E561E8}"/>
    <cellStyle name="Normal 2 6 5 2 4" xfId="27153" xr:uid="{758E200A-4244-44D4-BB18-3FBAE97107E7}"/>
    <cellStyle name="Normal 2 6 5 2 5" xfId="27154" xr:uid="{D9F55397-30FB-4026-86B8-D4087B9C48FF}"/>
    <cellStyle name="Normal 2 6 5 2 6" xfId="27155" xr:uid="{BED3093C-F71C-47ED-B7D7-CDB6AE92460C}"/>
    <cellStyle name="Normal 2 6 5 3" xfId="27156" xr:uid="{8377DA55-BC5A-4173-A955-EBE708061E22}"/>
    <cellStyle name="Normal 2 6 5 3 2" xfId="27157" xr:uid="{7EFB4DEB-DAED-4BD5-9B6F-529FDD97E93C}"/>
    <cellStyle name="Normal 2 6 5 3 3" xfId="27158" xr:uid="{5A2B1DE9-93A1-476E-B6FB-A7E5466174D6}"/>
    <cellStyle name="Normal 2 6 5 3 4" xfId="27159" xr:uid="{2C1A8469-9771-4527-9085-110C193114BA}"/>
    <cellStyle name="Normal 2 6 5 3 5" xfId="27160" xr:uid="{5A7B4E31-F03C-4DE7-9A53-6FF42D10A0C2}"/>
    <cellStyle name="Normal 2 6 5 3 6" xfId="27161" xr:uid="{A98B4079-EBA8-424B-8775-66E149757051}"/>
    <cellStyle name="Normal 2 6 5 4" xfId="27162" xr:uid="{D0ACCDDE-760F-477C-82CB-AC5B1CE29ACE}"/>
    <cellStyle name="Normal 2 6 5 4 2" xfId="27163" xr:uid="{7469C52D-94E7-434D-AB03-00BD7C4AF8DA}"/>
    <cellStyle name="Normal 2 6 5 4 3" xfId="27164" xr:uid="{2C9DFAE9-597A-4F7B-AC3F-3CD01075A301}"/>
    <cellStyle name="Normal 2 6 5 4 4" xfId="27165" xr:uid="{5BDC20C7-8495-427B-ACB3-F8DF6A28B742}"/>
    <cellStyle name="Normal 2 6 5 4 5" xfId="27166" xr:uid="{52941C57-66C8-47B4-A2AD-B39505519725}"/>
    <cellStyle name="Normal 2 6 5 4 6" xfId="27167" xr:uid="{467B5482-A815-4292-83C4-D8F36133BBCD}"/>
    <cellStyle name="Normal 2 6 5 5" xfId="27168" xr:uid="{9C65117A-93CF-4087-B170-C65AFB3274A6}"/>
    <cellStyle name="Normal 2 6 5 5 2" xfId="27169" xr:uid="{9DF0B7FE-5F7F-4340-807C-B00D1277BD61}"/>
    <cellStyle name="Normal 2 6 5 5 3" xfId="27170" xr:uid="{2E735650-B47E-4897-B427-8EEE6794292F}"/>
    <cellStyle name="Normal 2 6 5 5 4" xfId="27171" xr:uid="{EE9B1DC8-7FA6-4F9C-A710-67D1EC185F31}"/>
    <cellStyle name="Normal 2 6 5 5 5" xfId="27172" xr:uid="{5420BEB1-AC5D-4550-AAD5-03AA4ABE5DC6}"/>
    <cellStyle name="Normal 2 6 5 5 6" xfId="27173" xr:uid="{6BD0FB89-CDBE-43B1-AE9F-4199340F41A1}"/>
    <cellStyle name="Normal 2 6 5 6" xfId="27174" xr:uid="{382B16A0-000F-40F2-93FC-4252849692A8}"/>
    <cellStyle name="Normal 2 6 5 6 2" xfId="27175" xr:uid="{3F7159CA-CB21-4840-965D-103A73F95996}"/>
    <cellStyle name="Normal 2 6 5 6 3" xfId="27176" xr:uid="{627860CE-C566-4662-9FDF-C1A6B3115DEF}"/>
    <cellStyle name="Normal 2 6 5 6 4" xfId="27177" xr:uid="{6B1256EE-8BE6-4A31-9E1D-0F6A17852D82}"/>
    <cellStyle name="Normal 2 6 5 6 5" xfId="27178" xr:uid="{683260EF-04A8-4869-97E3-79FBD5CCC488}"/>
    <cellStyle name="Normal 2 6 5 6 6" xfId="27179" xr:uid="{38F50D93-0CAE-4A9D-B6F2-93F213410761}"/>
    <cellStyle name="Normal 2 6 5 7" xfId="27180" xr:uid="{2185EC6D-13D7-434E-9694-5BC46DF6D98F}"/>
    <cellStyle name="Normal 2 6 5 7 2" xfId="27181" xr:uid="{79BBFAB1-F1E4-484F-9A1D-62523D877B8E}"/>
    <cellStyle name="Normal 2 6 5 7 3" xfId="27182" xr:uid="{C3694A6D-990B-4994-98C0-5B81839FDBE5}"/>
    <cellStyle name="Normal 2 6 5 7 4" xfId="27183" xr:uid="{2CE0CD84-DFBC-4F9E-B580-78F1C0E2633E}"/>
    <cellStyle name="Normal 2 6 5 7 5" xfId="27184" xr:uid="{B359A868-B853-4070-9C36-7B4C2F858340}"/>
    <cellStyle name="Normal 2 6 5 7 6" xfId="27185" xr:uid="{5BB43376-ABD1-4BDF-9103-53CF1134C711}"/>
    <cellStyle name="Normal 2 6 5 8" xfId="27186" xr:uid="{EC2E6295-F0D0-46F1-ABE1-9F771397E192}"/>
    <cellStyle name="Normal 2 6 5 8 2" xfId="27187" xr:uid="{7846F11D-FBAD-4BB5-9F59-27BB25D1DDA8}"/>
    <cellStyle name="Normal 2 6 5 8 3" xfId="27188" xr:uid="{02298B8D-EC6E-4D77-83A1-DD0844476CA7}"/>
    <cellStyle name="Normal 2 6 5 8 4" xfId="27189" xr:uid="{28791DA4-8561-47DE-9BA9-CAD1017C2F5E}"/>
    <cellStyle name="Normal 2 6 5 8 5" xfId="27190" xr:uid="{D370E752-FC2A-4B9E-B83F-8FB6AB02F263}"/>
    <cellStyle name="Normal 2 6 5 8 6" xfId="27191" xr:uid="{EA197DBE-F4E5-4B33-9672-5357A8F4684F}"/>
    <cellStyle name="Normal 2 6 5 9" xfId="27192" xr:uid="{274B79C4-4E2B-4A60-8C5D-FACE96BF1477}"/>
    <cellStyle name="Normal 2 6 50" xfId="27193" xr:uid="{23C45C00-639F-4D18-BBFA-160E4D789C42}"/>
    <cellStyle name="Normal 2 6 51" xfId="27194" xr:uid="{C4E7D99B-43DC-401B-84BB-EFCB9ED45CD8}"/>
    <cellStyle name="Normal 2 6 52" xfId="27195" xr:uid="{9E12F7E3-AC3D-4DEA-A553-AD9C27BFD404}"/>
    <cellStyle name="Normal 2 6 53" xfId="27196" xr:uid="{77445F19-346F-4BD3-832F-29B5F76856F4}"/>
    <cellStyle name="Normal 2 6 6" xfId="27197" xr:uid="{015FF10D-3585-49B5-8A17-3AAEB9BB828F}"/>
    <cellStyle name="Normal 2 6 6 10" xfId="27198" xr:uid="{674D607B-5A7A-49E4-8472-8E3EF39036E5}"/>
    <cellStyle name="Normal 2 6 6 11" xfId="27199" xr:uid="{46F88C89-249E-4FCB-B643-6F25B2E2CE49}"/>
    <cellStyle name="Normal 2 6 6 12" xfId="27200" xr:uid="{8BED7C3A-A726-49B5-8663-3C65D48B6679}"/>
    <cellStyle name="Normal 2 6 6 13" xfId="27201" xr:uid="{F00C95AD-939F-4B37-A811-01DE0496BDEF}"/>
    <cellStyle name="Normal 2 6 6 2" xfId="27202" xr:uid="{5F3437F4-AB8E-4F23-A2E1-6D80B46E8764}"/>
    <cellStyle name="Normal 2 6 6 2 2" xfId="27203" xr:uid="{4F6B690D-5319-41CA-940E-A15DA55C7A62}"/>
    <cellStyle name="Normal 2 6 6 2 3" xfId="27204" xr:uid="{E3A6B4A9-F147-48B9-A5B0-F10FFC915000}"/>
    <cellStyle name="Normal 2 6 6 2 4" xfId="27205" xr:uid="{0409C000-F0B2-49FB-A042-AAA9F1F9EA3E}"/>
    <cellStyle name="Normal 2 6 6 2 5" xfId="27206" xr:uid="{2C5272FE-A5BB-4034-8960-0EBF499BCE3D}"/>
    <cellStyle name="Normal 2 6 6 2 6" xfId="27207" xr:uid="{790602F4-4CBF-4E1F-9B56-91D1264D0924}"/>
    <cellStyle name="Normal 2 6 6 3" xfId="27208" xr:uid="{5D8775CE-5B55-47C0-B46B-1FD5F2EF87AB}"/>
    <cellStyle name="Normal 2 6 6 3 2" xfId="27209" xr:uid="{02DA7FD3-002A-4B3C-9B22-89FD4791F524}"/>
    <cellStyle name="Normal 2 6 6 3 3" xfId="27210" xr:uid="{B25BB8A2-7341-44D4-8F20-036137F9E0E1}"/>
    <cellStyle name="Normal 2 6 6 3 4" xfId="27211" xr:uid="{2C887B2C-4C54-44A6-8A1D-C2E3A1313B17}"/>
    <cellStyle name="Normal 2 6 6 3 5" xfId="27212" xr:uid="{8E8B3B3E-9C8A-4CE7-A98B-FA56D4B7B775}"/>
    <cellStyle name="Normal 2 6 6 3 6" xfId="27213" xr:uid="{D04E81DA-D0CF-4FB5-832F-F1CBBDB65F9D}"/>
    <cellStyle name="Normal 2 6 6 4" xfId="27214" xr:uid="{2FFA9772-B81A-4C08-A3C2-9EF5F0E25FE6}"/>
    <cellStyle name="Normal 2 6 6 4 2" xfId="27215" xr:uid="{C6F6CF1D-9B19-4703-9A42-0E90B63D4C07}"/>
    <cellStyle name="Normal 2 6 6 4 3" xfId="27216" xr:uid="{7936F345-A134-4993-B5A5-D242B1B7AC70}"/>
    <cellStyle name="Normal 2 6 6 4 4" xfId="27217" xr:uid="{4290DD91-0D26-43BF-A334-A64A43197780}"/>
    <cellStyle name="Normal 2 6 6 4 5" xfId="27218" xr:uid="{7055271E-D7F4-4968-BD6A-F17E3B64AC4A}"/>
    <cellStyle name="Normal 2 6 6 4 6" xfId="27219" xr:uid="{3FE0A488-F585-4529-BAF5-717E90E0131A}"/>
    <cellStyle name="Normal 2 6 6 5" xfId="27220" xr:uid="{90F02419-64BC-4A0A-A10C-7CFF9C41C523}"/>
    <cellStyle name="Normal 2 6 6 5 2" xfId="27221" xr:uid="{9678B0E6-005F-4FF8-9791-AA67FA3EECD7}"/>
    <cellStyle name="Normal 2 6 6 5 3" xfId="27222" xr:uid="{506DE079-B47E-477C-85FA-C4E7F319A483}"/>
    <cellStyle name="Normal 2 6 6 5 4" xfId="27223" xr:uid="{489348D2-D060-442C-AAA9-778F13A1B8C6}"/>
    <cellStyle name="Normal 2 6 6 5 5" xfId="27224" xr:uid="{012533C9-A268-4D3F-BD72-32A82A841E2B}"/>
    <cellStyle name="Normal 2 6 6 5 6" xfId="27225" xr:uid="{B18AF654-E7C8-4252-9878-5CDB0A814948}"/>
    <cellStyle name="Normal 2 6 6 6" xfId="27226" xr:uid="{ACA61E15-3728-4A8A-B930-3CC896C0E85C}"/>
    <cellStyle name="Normal 2 6 6 6 2" xfId="27227" xr:uid="{A5977C29-A868-4336-A909-F124EFE4366E}"/>
    <cellStyle name="Normal 2 6 6 6 3" xfId="27228" xr:uid="{B1BA380F-7326-43B0-8394-BBD896AE798A}"/>
    <cellStyle name="Normal 2 6 6 6 4" xfId="27229" xr:uid="{609BFFA5-5FFD-46CD-8B82-0106FC183910}"/>
    <cellStyle name="Normal 2 6 6 6 5" xfId="27230" xr:uid="{22BAB536-54EA-4512-A8D1-5945D519DB2D}"/>
    <cellStyle name="Normal 2 6 6 6 6" xfId="27231" xr:uid="{DAF8307F-6A41-4517-AC7F-58DABEDF7A79}"/>
    <cellStyle name="Normal 2 6 6 7" xfId="27232" xr:uid="{590A1A45-1B29-4BF9-998D-14E71E4110B0}"/>
    <cellStyle name="Normal 2 6 6 7 2" xfId="27233" xr:uid="{AB683B3D-592D-4D06-9EF3-535AA772B898}"/>
    <cellStyle name="Normal 2 6 6 7 3" xfId="27234" xr:uid="{A7F80D92-F06D-4020-A573-6FFAA55B34E2}"/>
    <cellStyle name="Normal 2 6 6 7 4" xfId="27235" xr:uid="{A1AB64B3-BDD2-44B2-B62B-E1C72C7A22D5}"/>
    <cellStyle name="Normal 2 6 6 7 5" xfId="27236" xr:uid="{9C4BDFC8-4679-4E69-8A80-D1925DDC8648}"/>
    <cellStyle name="Normal 2 6 6 7 6" xfId="27237" xr:uid="{A27DD06E-C7CB-448D-82D0-EF47AC18FAC5}"/>
    <cellStyle name="Normal 2 6 6 8" xfId="27238" xr:uid="{20873661-FAC0-435B-8E25-9BE7AD62D78A}"/>
    <cellStyle name="Normal 2 6 6 8 2" xfId="27239" xr:uid="{075BE99C-8ACE-4FB3-AB1C-0BD8FA0EB96A}"/>
    <cellStyle name="Normal 2 6 6 8 3" xfId="27240" xr:uid="{2219268D-86E6-444F-BE1B-D011F7FD6504}"/>
    <cellStyle name="Normal 2 6 6 8 4" xfId="27241" xr:uid="{37B53C36-2091-4DDE-AD4A-5632CCB7678B}"/>
    <cellStyle name="Normal 2 6 6 8 5" xfId="27242" xr:uid="{7FB71F18-826A-461C-8F00-E451A2412AB5}"/>
    <cellStyle name="Normal 2 6 6 8 6" xfId="27243" xr:uid="{B3EDFE35-AF20-49A6-B911-7B3C5917DFAF}"/>
    <cellStyle name="Normal 2 6 6 9" xfId="27244" xr:uid="{A25B73B4-BF08-4484-819F-CE4CFC87350C}"/>
    <cellStyle name="Normal 2 6 7" xfId="27245" xr:uid="{7E624960-F6A4-45FB-ACEB-2C124A1BB4CF}"/>
    <cellStyle name="Normal 2 6 7 10" xfId="27246" xr:uid="{9FE571E1-FE4A-4F80-9D98-539C0DF734C8}"/>
    <cellStyle name="Normal 2 6 7 11" xfId="27247" xr:uid="{35685345-D0A7-4E3D-AC9F-57752C29745D}"/>
    <cellStyle name="Normal 2 6 7 12" xfId="27248" xr:uid="{E664430B-8A99-454B-AB55-DEDEA013BF04}"/>
    <cellStyle name="Normal 2 6 7 13" xfId="27249" xr:uid="{FF13120C-9265-483E-BD0F-51DBD627C7CE}"/>
    <cellStyle name="Normal 2 6 7 2" xfId="27250" xr:uid="{787E1245-36A2-4203-BCE7-2C64C84D500C}"/>
    <cellStyle name="Normal 2 6 7 2 2" xfId="27251" xr:uid="{B71FAFC3-A8B2-4B84-BCBE-B7FC56E2E341}"/>
    <cellStyle name="Normal 2 6 7 2 3" xfId="27252" xr:uid="{D38A6F61-CE88-4FCD-841A-65008A88E697}"/>
    <cellStyle name="Normal 2 6 7 2 4" xfId="27253" xr:uid="{27C64428-3BFD-472F-8FB3-BF64308EC445}"/>
    <cellStyle name="Normal 2 6 7 2 5" xfId="27254" xr:uid="{BEE0AA32-9643-494C-BBDB-8C9FE94E3670}"/>
    <cellStyle name="Normal 2 6 7 2 6" xfId="27255" xr:uid="{F2DB6077-DC38-4187-AD9D-89174C7920D2}"/>
    <cellStyle name="Normal 2 6 7 3" xfId="27256" xr:uid="{9839CC81-7885-4770-8946-15162D92CB8B}"/>
    <cellStyle name="Normal 2 6 7 3 2" xfId="27257" xr:uid="{32B25721-64BE-45B5-9915-F416AC4C8AB2}"/>
    <cellStyle name="Normal 2 6 7 3 3" xfId="27258" xr:uid="{E065FB90-8175-4ADB-AD48-AB58C1E55C77}"/>
    <cellStyle name="Normal 2 6 7 3 4" xfId="27259" xr:uid="{A12AC7A9-234E-4E0A-B1B4-8878F436DA59}"/>
    <cellStyle name="Normal 2 6 7 3 5" xfId="27260" xr:uid="{76A0B3CF-265A-4279-A32B-864273B6DA2B}"/>
    <cellStyle name="Normal 2 6 7 3 6" xfId="27261" xr:uid="{5217BF92-CB2E-4DC4-BBF0-01C327826CBB}"/>
    <cellStyle name="Normal 2 6 7 4" xfId="27262" xr:uid="{130D5BC7-8073-4741-BFC0-08D24B816F85}"/>
    <cellStyle name="Normal 2 6 7 4 2" xfId="27263" xr:uid="{70757F57-4130-4FE0-BB8E-8280AA8D7E12}"/>
    <cellStyle name="Normal 2 6 7 4 3" xfId="27264" xr:uid="{7F3E7CF7-0FE3-400E-8030-2E8A76F982BC}"/>
    <cellStyle name="Normal 2 6 7 4 4" xfId="27265" xr:uid="{997AB93A-829B-4496-8894-E59AAB49F8C0}"/>
    <cellStyle name="Normal 2 6 7 4 5" xfId="27266" xr:uid="{E5FC09C5-ED2E-4E1F-ABD6-5E2EB895C6DF}"/>
    <cellStyle name="Normal 2 6 7 4 6" xfId="27267" xr:uid="{854E48AC-E3CE-404D-9865-BED043043DBD}"/>
    <cellStyle name="Normal 2 6 7 5" xfId="27268" xr:uid="{8F66D50B-DEAD-433F-8AEC-B013C80670FF}"/>
    <cellStyle name="Normal 2 6 7 5 2" xfId="27269" xr:uid="{51B578E4-B0DC-46E5-8F37-9816BC3446C9}"/>
    <cellStyle name="Normal 2 6 7 5 3" xfId="27270" xr:uid="{76D8EA9D-364E-4DDD-AA0A-90E9A572122F}"/>
    <cellStyle name="Normal 2 6 7 5 4" xfId="27271" xr:uid="{E0751991-56B9-4877-BAB1-CEBC54CE9061}"/>
    <cellStyle name="Normal 2 6 7 5 5" xfId="27272" xr:uid="{04B6583C-B733-4582-BBF0-2F6F4E77B8E9}"/>
    <cellStyle name="Normal 2 6 7 5 6" xfId="27273" xr:uid="{694C2810-EEF3-4662-8BF3-7A20C1A86250}"/>
    <cellStyle name="Normal 2 6 7 6" xfId="27274" xr:uid="{B30A950C-6D9F-4ACA-9BFC-46EEF92CAC8E}"/>
    <cellStyle name="Normal 2 6 7 6 2" xfId="27275" xr:uid="{383CCD07-9227-487D-8A01-1A9A6A644BFC}"/>
    <cellStyle name="Normal 2 6 7 6 3" xfId="27276" xr:uid="{AAE26C49-10E7-47EC-841A-D8533F5D24CF}"/>
    <cellStyle name="Normal 2 6 7 6 4" xfId="27277" xr:uid="{0E71DFE4-8C20-4F07-8451-F1818A751B90}"/>
    <cellStyle name="Normal 2 6 7 6 5" xfId="27278" xr:uid="{901A6D4A-68C9-45E6-91E8-DD3AB34E1352}"/>
    <cellStyle name="Normal 2 6 7 6 6" xfId="27279" xr:uid="{1D81E8FB-D581-49CB-A4E5-7D77CE116D20}"/>
    <cellStyle name="Normal 2 6 7 7" xfId="27280" xr:uid="{49F8A0CC-A755-4577-A27C-46360E8A39DF}"/>
    <cellStyle name="Normal 2 6 7 7 2" xfId="27281" xr:uid="{A9379076-64E9-4BC3-9316-B1FB53606838}"/>
    <cellStyle name="Normal 2 6 7 7 3" xfId="27282" xr:uid="{FEE6E81F-73C1-457E-A5E9-7D6EF6043045}"/>
    <cellStyle name="Normal 2 6 7 7 4" xfId="27283" xr:uid="{69BA1945-25B8-408E-9499-79497FEB60EE}"/>
    <cellStyle name="Normal 2 6 7 7 5" xfId="27284" xr:uid="{20283B0F-92EF-4467-BDC3-BE5298F5350A}"/>
    <cellStyle name="Normal 2 6 7 7 6" xfId="27285" xr:uid="{5AB2476E-20F5-4F2A-849E-D2163282521A}"/>
    <cellStyle name="Normal 2 6 7 8" xfId="27286" xr:uid="{07DFE3E2-A914-49BD-B31D-20C81B12CAE1}"/>
    <cellStyle name="Normal 2 6 7 8 2" xfId="27287" xr:uid="{418D4AF9-FDF1-47D9-8C9E-7D92C02800ED}"/>
    <cellStyle name="Normal 2 6 7 8 3" xfId="27288" xr:uid="{4C89E614-7F85-4F6D-A8E9-E3AC6DFE75D6}"/>
    <cellStyle name="Normal 2 6 7 8 4" xfId="27289" xr:uid="{82D11F54-4E37-4456-8E60-1B9B6C0128D8}"/>
    <cellStyle name="Normal 2 6 7 8 5" xfId="27290" xr:uid="{B250A7E0-9558-42A8-814B-1AE6AF42F362}"/>
    <cellStyle name="Normal 2 6 7 8 6" xfId="27291" xr:uid="{CB0F071D-22FD-41AC-8FB8-D33386CE689E}"/>
    <cellStyle name="Normal 2 6 7 9" xfId="27292" xr:uid="{A90B25F7-0FE6-4779-9A1A-8DBCA5B66621}"/>
    <cellStyle name="Normal 2 6 8" xfId="27293" xr:uid="{D58461EE-F356-4B84-BD8C-0C0208C13760}"/>
    <cellStyle name="Normal 2 6 8 10" xfId="27294" xr:uid="{C6A2181D-CDC9-479D-AC6F-759CBF183237}"/>
    <cellStyle name="Normal 2 6 8 11" xfId="27295" xr:uid="{71199811-304A-4BC6-B602-C5F9D1146CB7}"/>
    <cellStyle name="Normal 2 6 8 12" xfId="27296" xr:uid="{F9537FF4-9462-4A46-AF2C-A0F0F043042B}"/>
    <cellStyle name="Normal 2 6 8 13" xfId="27297" xr:uid="{75A51C7E-79CF-423D-A22B-1C82D2B908E6}"/>
    <cellStyle name="Normal 2 6 8 2" xfId="27298" xr:uid="{6A156067-7D0B-45DA-AB68-EB3EABD311AB}"/>
    <cellStyle name="Normal 2 6 8 2 2" xfId="27299" xr:uid="{E35D7C91-160D-41EC-A664-2692A9F029A9}"/>
    <cellStyle name="Normal 2 6 8 2 3" xfId="27300" xr:uid="{0F7286A2-EF8F-4856-9774-681FB57F8241}"/>
    <cellStyle name="Normal 2 6 8 2 4" xfId="27301" xr:uid="{2940BEE8-23BA-4441-80D0-D8B406D26EDA}"/>
    <cellStyle name="Normal 2 6 8 2 5" xfId="27302" xr:uid="{4A17605E-9672-4D47-994B-EB451941EF4B}"/>
    <cellStyle name="Normal 2 6 8 2 6" xfId="27303" xr:uid="{9E247733-3282-4C21-AC67-396E88B5BB55}"/>
    <cellStyle name="Normal 2 6 8 3" xfId="27304" xr:uid="{020D03D4-67F3-4247-9FB0-90631E196158}"/>
    <cellStyle name="Normal 2 6 8 3 2" xfId="27305" xr:uid="{277F2D11-C160-47BA-BA54-795A1FDE0D03}"/>
    <cellStyle name="Normal 2 6 8 3 3" xfId="27306" xr:uid="{02EADDCB-DE95-4154-9D93-BF6D62F6DDDA}"/>
    <cellStyle name="Normal 2 6 8 3 4" xfId="27307" xr:uid="{789E117A-9AF6-43A3-9CEE-C2B3226E8D67}"/>
    <cellStyle name="Normal 2 6 8 3 5" xfId="27308" xr:uid="{CB738E27-A875-4644-B7F3-7A64D87296C0}"/>
    <cellStyle name="Normal 2 6 8 3 6" xfId="27309" xr:uid="{4D1516F8-02A3-4982-8682-E1B517C20A64}"/>
    <cellStyle name="Normal 2 6 8 4" xfId="27310" xr:uid="{595DF9A3-2B1D-4CE6-BF19-A485868C87BE}"/>
    <cellStyle name="Normal 2 6 8 4 2" xfId="27311" xr:uid="{979E09EC-948D-40AF-8D18-AC265DC5FB06}"/>
    <cellStyle name="Normal 2 6 8 4 3" xfId="27312" xr:uid="{2441AEB4-4D76-4790-B4F6-F90BA655830E}"/>
    <cellStyle name="Normal 2 6 8 4 4" xfId="27313" xr:uid="{8809F5AB-46F8-47F2-8E5D-4C3386CED22B}"/>
    <cellStyle name="Normal 2 6 8 4 5" xfId="27314" xr:uid="{2063749A-E7A1-42F2-9E0F-E0DC33F3D8C7}"/>
    <cellStyle name="Normal 2 6 8 4 6" xfId="27315" xr:uid="{A65264B1-E9FC-4B41-826C-881FDEB150DC}"/>
    <cellStyle name="Normal 2 6 8 5" xfId="27316" xr:uid="{6836D463-FB03-4193-81CB-EB28B172C6E5}"/>
    <cellStyle name="Normal 2 6 8 5 2" xfId="27317" xr:uid="{97A8113C-4E4F-47C8-AB99-B10F1D6F9FFB}"/>
    <cellStyle name="Normal 2 6 8 5 3" xfId="27318" xr:uid="{5462168A-2FF8-4BEB-879F-08E68133734F}"/>
    <cellStyle name="Normal 2 6 8 5 4" xfId="27319" xr:uid="{95694BFF-371C-49D8-8C94-EA47D9129FA5}"/>
    <cellStyle name="Normal 2 6 8 5 5" xfId="27320" xr:uid="{485B70CE-9B0A-437A-8A73-AD6FD0CA7261}"/>
    <cellStyle name="Normal 2 6 8 5 6" xfId="27321" xr:uid="{9673823F-87D0-457E-B462-C8B16493578F}"/>
    <cellStyle name="Normal 2 6 8 6" xfId="27322" xr:uid="{5BA467A9-8091-4571-9A4F-47670D31454A}"/>
    <cellStyle name="Normal 2 6 8 6 2" xfId="27323" xr:uid="{BF565D5C-3911-4CD4-9B04-DABC34347D69}"/>
    <cellStyle name="Normal 2 6 8 6 3" xfId="27324" xr:uid="{5384501F-475B-4362-90F7-C2829546FB12}"/>
    <cellStyle name="Normal 2 6 8 6 4" xfId="27325" xr:uid="{BFFAAFD2-D472-49D3-B664-392054B53D9F}"/>
    <cellStyle name="Normal 2 6 8 6 5" xfId="27326" xr:uid="{FB9D3539-6CBF-4365-85EB-B3ED74918163}"/>
    <cellStyle name="Normal 2 6 8 6 6" xfId="27327" xr:uid="{C32C578F-48D4-42E1-913B-A40FA2B4B4D1}"/>
    <cellStyle name="Normal 2 6 8 7" xfId="27328" xr:uid="{B13017E5-163B-4512-A602-A99A04A49CC6}"/>
    <cellStyle name="Normal 2 6 8 7 2" xfId="27329" xr:uid="{3FA3283A-2DA6-4A67-B8D4-E9429C5B9693}"/>
    <cellStyle name="Normal 2 6 8 7 3" xfId="27330" xr:uid="{E7E7F5BB-49EA-410B-A024-9EC99BF29AC3}"/>
    <cellStyle name="Normal 2 6 8 7 4" xfId="27331" xr:uid="{DBAAD15F-A93E-43A0-8A92-CFF7644CCB28}"/>
    <cellStyle name="Normal 2 6 8 7 5" xfId="27332" xr:uid="{49016BB7-3ECB-4100-B328-1C6F6429C9AB}"/>
    <cellStyle name="Normal 2 6 8 7 6" xfId="27333" xr:uid="{C0EB0E0F-DF33-4045-AE65-F1F15CFE3758}"/>
    <cellStyle name="Normal 2 6 8 8" xfId="27334" xr:uid="{2540E980-9948-4C77-9387-F4260AE3422D}"/>
    <cellStyle name="Normal 2 6 8 8 2" xfId="27335" xr:uid="{DD64EAB4-FCE7-4433-B183-E53F86663E65}"/>
    <cellStyle name="Normal 2 6 8 8 3" xfId="27336" xr:uid="{771B8272-1412-4956-8CCF-26DEA45849F6}"/>
    <cellStyle name="Normal 2 6 8 8 4" xfId="27337" xr:uid="{06BB058E-E85E-47AD-8757-F76AC4B5F9A6}"/>
    <cellStyle name="Normal 2 6 8 8 5" xfId="27338" xr:uid="{736BF9C0-FF12-4A3B-93F3-E40CED0E0743}"/>
    <cellStyle name="Normal 2 6 8 8 6" xfId="27339" xr:uid="{E8F3FB5F-A331-449D-A9D5-130EDA741256}"/>
    <cellStyle name="Normal 2 6 8 9" xfId="27340" xr:uid="{2C0E5F40-1EFF-42D8-9CA5-750210E78796}"/>
    <cellStyle name="Normal 2 6 9" xfId="27341" xr:uid="{6E99E31A-118F-4C72-9BBC-1B041AADFAA1}"/>
    <cellStyle name="Normal 2 60" xfId="27342" xr:uid="{450356C4-1254-4751-8B6A-42B7374B298A}"/>
    <cellStyle name="Normal 2 60 2" xfId="27343" xr:uid="{D804E594-89FB-4D67-8F09-10C93BA3DCC1}"/>
    <cellStyle name="Normal 2 60 3" xfId="27344" xr:uid="{F66F9FE3-E112-447C-AA36-6063159CC01B}"/>
    <cellStyle name="Normal 2 60 4" xfId="27345" xr:uid="{4F9584FB-1E8E-4655-83AB-ED32EEA330DD}"/>
    <cellStyle name="Normal 2 60 5" xfId="27346" xr:uid="{067732F6-4A29-4017-859C-3413EB188C59}"/>
    <cellStyle name="Normal 2 60 6" xfId="27347" xr:uid="{3FC6A5C4-046E-4F02-9ECB-98EFEEF377CF}"/>
    <cellStyle name="Normal 2 60 7" xfId="27348" xr:uid="{F8388B4B-6FD8-4067-B296-591955897980}"/>
    <cellStyle name="Normal 2 61" xfId="27349" xr:uid="{0EB1A0DB-54C2-4687-937D-4D6EBD26F9E5}"/>
    <cellStyle name="Normal 2 61 2" xfId="27350" xr:uid="{52D5C6FD-CF73-4CCB-A64C-11A039AA4F38}"/>
    <cellStyle name="Normal 2 61 3" xfId="27351" xr:uid="{E621F574-6B12-442E-9EAE-58DA816FF577}"/>
    <cellStyle name="Normal 2 61 4" xfId="27352" xr:uid="{F65E7FB3-20EB-4500-AAED-8E91914981AC}"/>
    <cellStyle name="Normal 2 61 5" xfId="27353" xr:uid="{DBBECA85-F6AA-40A7-BB76-3B0AE5E5B7E2}"/>
    <cellStyle name="Normal 2 61 6" xfId="27354" xr:uid="{51668BC9-7FC8-4928-8D37-D8A6C67FADE2}"/>
    <cellStyle name="Normal 2 61 7" xfId="27355" xr:uid="{D7BE46EF-C28B-490D-A2B4-ACCA09CEE9F6}"/>
    <cellStyle name="Normal 2 62" xfId="27356" xr:uid="{55B1833B-28EA-4629-84DF-A84F0383A2E0}"/>
    <cellStyle name="Normal 2 62 2" xfId="27357" xr:uid="{20AD2FED-CD83-41E0-896C-0E029BDD6664}"/>
    <cellStyle name="Normal 2 62 3" xfId="27358" xr:uid="{4AB81764-9593-4852-8C6C-C04C5451C1B6}"/>
    <cellStyle name="Normal 2 62 4" xfId="27359" xr:uid="{675AC259-8CFA-4590-A2F3-7A8D1F67A9CE}"/>
    <cellStyle name="Normal 2 62 5" xfId="27360" xr:uid="{D3C1384F-ACDF-44F5-B3DC-29C533A6D97F}"/>
    <cellStyle name="Normal 2 62 6" xfId="27361" xr:uid="{F91919A7-944F-4017-A258-290CF5E305BC}"/>
    <cellStyle name="Normal 2 62 7" xfId="27362" xr:uid="{90793EF6-D176-4798-915F-889E536310CA}"/>
    <cellStyle name="Normal 2 63" xfId="27363" xr:uid="{EFF05C6A-DCE8-436D-B508-ABC26091C54F}"/>
    <cellStyle name="Normal 2 63 2" xfId="27364" xr:uid="{2DEC51B1-EA67-4E43-9ACB-A0393DDFCE13}"/>
    <cellStyle name="Normal 2 63 3" xfId="27365" xr:uid="{27B80F47-30C2-4D1C-85B1-95553AC8A50F}"/>
    <cellStyle name="Normal 2 63 4" xfId="27366" xr:uid="{A1D90836-EFFE-40E1-B2AE-9D0C1D3B42D4}"/>
    <cellStyle name="Normal 2 63 5" xfId="27367" xr:uid="{E5E8D1EB-F822-40AE-A2B3-84C98D8C9064}"/>
    <cellStyle name="Normal 2 63 6" xfId="27368" xr:uid="{587F5EFB-9AD5-43F9-ABBA-C0DD93BB04AE}"/>
    <cellStyle name="Normal 2 63 7" xfId="27369" xr:uid="{BD1BA832-9BF4-497F-A7F9-4BC61985D2FF}"/>
    <cellStyle name="Normal 2 64" xfId="27370" xr:uid="{4F0870DD-DEBD-4EE8-B0E2-708087FF4700}"/>
    <cellStyle name="Normal 2 65" xfId="27371" xr:uid="{2CACEA25-373C-480D-B1E2-944D26F1A442}"/>
    <cellStyle name="Normal 2 66" xfId="27372" xr:uid="{7DDB27B8-203B-4A22-AE89-B6DE9EBC37BC}"/>
    <cellStyle name="Normal 2 67" xfId="27373" xr:uid="{B93CFA30-9226-4EA7-B1DF-FCA48323F919}"/>
    <cellStyle name="Normal 2 68" xfId="27374" xr:uid="{394EE20C-D7F2-4366-9741-70551867ED7C}"/>
    <cellStyle name="Normal 2 68 2" xfId="27375" xr:uid="{BD612A82-FAD4-4661-89A4-1D1DFE97B815}"/>
    <cellStyle name="Normal 2 68 2 2" xfId="27376" xr:uid="{36514464-40DA-4517-B099-9D74BBFBF285}"/>
    <cellStyle name="Normal 2 68 2 2 2" xfId="27377" xr:uid="{876A3541-B753-4071-88BB-85E102678275}"/>
    <cellStyle name="Normal 2 68 2 2 2 2" xfId="27378" xr:uid="{780EC38E-99C5-4C08-92D0-00372128B438}"/>
    <cellStyle name="Normal 2 68 2 2 2 3" xfId="27379" xr:uid="{621592C5-84F7-414B-9E12-AA19266CD0C4}"/>
    <cellStyle name="Normal 2 68 2 2 2 4" xfId="27380" xr:uid="{DEDB1A75-2D0C-492B-A6C0-9EDE6CDDB992}"/>
    <cellStyle name="Normal 2 68 2 2 2 5" xfId="27381" xr:uid="{C68BB053-1605-45E7-B0A9-6AB8DE7135D9}"/>
    <cellStyle name="Normal 2 68 2 2 2 6" xfId="27382" xr:uid="{C7EF20FC-7C87-4361-8B56-468CBFDBF551}"/>
    <cellStyle name="Normal 2 68 2 3" xfId="27383" xr:uid="{F8AFD780-196D-4023-B0E2-B77196C63D0E}"/>
    <cellStyle name="Normal 2 68 2 4" xfId="27384" xr:uid="{6653895E-801E-4322-9E80-8B6FEE3C2662}"/>
    <cellStyle name="Normal 2 68 2 5" xfId="27385" xr:uid="{56357414-3155-4E27-8113-9E3F309EB54F}"/>
    <cellStyle name="Normal 2 68 2 6" xfId="27386" xr:uid="{63337F08-8D57-4CF3-9C07-BA2BE20D101A}"/>
    <cellStyle name="Normal 2 68 2 7" xfId="27387" xr:uid="{59CA591C-6CBC-4514-A02F-C4325D384251}"/>
    <cellStyle name="Normal 2 68 3" xfId="27388" xr:uid="{36861A39-68EC-4F4F-B21E-B26ADBD01D6D}"/>
    <cellStyle name="Normal 2 68 3 2" xfId="27389" xr:uid="{C9983B76-52DE-4D6A-87E0-C45C8F58E7B4}"/>
    <cellStyle name="Normal 2 68 3 3" xfId="27390" xr:uid="{BCF3FE59-0019-49A7-B250-C1FAFC82DF70}"/>
    <cellStyle name="Normal 2 68 3 4" xfId="27391" xr:uid="{CF3AF8B9-44EB-46B3-95A3-0CE2A61E70AC}"/>
    <cellStyle name="Normal 2 68 3 5" xfId="27392" xr:uid="{12187585-EE01-40C2-B664-2353D570E857}"/>
    <cellStyle name="Normal 2 68 3 6" xfId="27393" xr:uid="{0A9E351C-D507-4D30-A496-DC2445EAF341}"/>
    <cellStyle name="Normal 2 69" xfId="27394" xr:uid="{1B332482-6CA5-4C4C-9DFF-89C1AF1E8E33}"/>
    <cellStyle name="Normal 2 69 2" xfId="27395" xr:uid="{F1158D41-3E0A-40D5-9E0D-34DBD5A3C6C7}"/>
    <cellStyle name="Normal 2 69 3" xfId="27396" xr:uid="{175737C9-AB3A-4C32-A9C6-C9CFBE4067B5}"/>
    <cellStyle name="Normal 2 69 4" xfId="27397" xr:uid="{B7763096-CD85-4237-8CA4-76810BEE554A}"/>
    <cellStyle name="Normal 2 69 5" xfId="27398" xr:uid="{729A636D-6F59-44AB-B61E-0CE50757E110}"/>
    <cellStyle name="Normal 2 69 6" xfId="27399" xr:uid="{B4DC2449-A281-46B1-8E94-BF5B6C6622ED}"/>
    <cellStyle name="Normal 2 7" xfId="27400" xr:uid="{B2650F0C-1E35-46A9-BB09-31CD212CF54A}"/>
    <cellStyle name="Normal 2 7 10" xfId="27401" xr:uid="{57A6D299-023D-4D45-8F06-BACEFC274CE9}"/>
    <cellStyle name="Normal 2 7 11" xfId="27402" xr:uid="{088504BA-A441-4958-BB19-247DE6504409}"/>
    <cellStyle name="Normal 2 7 12" xfId="27403" xr:uid="{FBE7A744-CE84-4397-971A-9F1F7DD763BF}"/>
    <cellStyle name="Normal 2 7 13" xfId="27404" xr:uid="{7F011710-AB2E-4445-9E11-07AAF9E36947}"/>
    <cellStyle name="Normal 2 7 14" xfId="27405" xr:uid="{DC31754D-26F8-4DF4-8D02-6270A86D35BC}"/>
    <cellStyle name="Normal 2 7 15" xfId="27406" xr:uid="{487380FA-6557-45B0-9B77-BC3F89CCC63B}"/>
    <cellStyle name="Normal 2 7 16" xfId="27407" xr:uid="{27442482-12A4-40D2-B399-5478C111AFEB}"/>
    <cellStyle name="Normal 2 7 17" xfId="27408" xr:uid="{766265C3-833E-4E85-87E6-E8407CBCB755}"/>
    <cellStyle name="Normal 2 7 18" xfId="27409" xr:uid="{DE6D47E5-9332-46C2-B464-14C25E969A7C}"/>
    <cellStyle name="Normal 2 7 19" xfId="27410" xr:uid="{ECDCAF77-8D6B-442F-84B9-09020F09668B}"/>
    <cellStyle name="Normal 2 7 2" xfId="27411" xr:uid="{849CA49E-7704-467C-8069-A12A2324A79E}"/>
    <cellStyle name="Normal 2 7 20" xfId="27412" xr:uid="{6190CDAC-56B9-4C68-9EC7-80AA8060A1D4}"/>
    <cellStyle name="Normal 2 7 21" xfId="27413" xr:uid="{AE84E921-63CB-4B5D-B858-9EC249659E70}"/>
    <cellStyle name="Normal 2 7 22" xfId="27414" xr:uid="{A9F639FB-3786-488E-8E68-4C69B9B5FA23}"/>
    <cellStyle name="Normal 2 7 23" xfId="27415" xr:uid="{AAC63711-0569-4FA5-A209-0DE91B39F0E8}"/>
    <cellStyle name="Normal 2 7 24" xfId="27416" xr:uid="{40FE35BE-6DAE-4573-97AA-F64E975F6B32}"/>
    <cellStyle name="Normal 2 7 25" xfId="27417" xr:uid="{4383BBEE-CFC1-4DBD-81BC-075A17B1277A}"/>
    <cellStyle name="Normal 2 7 26" xfId="27418" xr:uid="{45C5A99E-F45C-4CAD-B4E0-F92981605CF0}"/>
    <cellStyle name="Normal 2 7 27" xfId="27419" xr:uid="{8DEC0E29-4761-4C87-BE0A-2EB285EF539B}"/>
    <cellStyle name="Normal 2 7 28" xfId="27420" xr:uid="{2C0114E8-A2B1-4220-B16A-0BC221ED2077}"/>
    <cellStyle name="Normal 2 7 29" xfId="27421" xr:uid="{9800F667-AE68-494B-8E59-1FF0CC83A124}"/>
    <cellStyle name="Normal 2 7 3" xfId="27422" xr:uid="{3FC9177F-B6D3-47E0-8E59-9E34CA8F9DB6}"/>
    <cellStyle name="Normal 2 7 30" xfId="27423" xr:uid="{8AC8601A-D324-409A-B74D-E197A97DC6A2}"/>
    <cellStyle name="Normal 2 7 31" xfId="27424" xr:uid="{F5A4D4C6-7134-4E39-B0AB-48E98C5C329E}"/>
    <cellStyle name="Normal 2 7 32" xfId="27425" xr:uid="{B6C337E0-AB17-4C16-BCE4-EF49BDD72276}"/>
    <cellStyle name="Normal 2 7 33" xfId="27426" xr:uid="{3F8BD8B9-58A2-47D9-83B9-B36E4E06EF51}"/>
    <cellStyle name="Normal 2 7 34" xfId="27427" xr:uid="{1321D84E-6A70-40B4-95D0-B67CE9496356}"/>
    <cellStyle name="Normal 2 7 35" xfId="27428" xr:uid="{1CA3158C-76CB-4440-91D4-BB179D586268}"/>
    <cellStyle name="Normal 2 7 36" xfId="27429" xr:uid="{B67A564A-F2F6-42FC-B577-ABC9F1BD2745}"/>
    <cellStyle name="Normal 2 7 37" xfId="27430" xr:uid="{AF8C75FC-B036-489A-90A7-06ABEA0D7041}"/>
    <cellStyle name="Normal 2 7 38" xfId="27431" xr:uid="{A34905D1-91EC-4E34-A909-003DB48A7E79}"/>
    <cellStyle name="Normal 2 7 39" xfId="27432" xr:uid="{82634655-7183-4A41-A618-2D0A0158E8AE}"/>
    <cellStyle name="Normal 2 7 4" xfId="27433" xr:uid="{D1057442-3E07-48DB-962A-D9D72E1FE7FD}"/>
    <cellStyle name="Normal 2 7 40" xfId="27434" xr:uid="{937EDA92-7CDF-4C6C-A825-8510B0C8142C}"/>
    <cellStyle name="Normal 2 7 41" xfId="27435" xr:uid="{4310E929-C8A9-4711-8942-2ED41037F506}"/>
    <cellStyle name="Normal 2 7 42" xfId="27436" xr:uid="{2C0EEDF0-AC44-4093-AF47-7FA423DF7869}"/>
    <cellStyle name="Normal 2 7 43" xfId="27437" xr:uid="{5B5EFD4F-5FC4-4468-B9CE-3DD3BD567346}"/>
    <cellStyle name="Normal 2 7 44" xfId="27438" xr:uid="{26EDDE53-E740-4A13-A093-C0710B45051C}"/>
    <cellStyle name="Normal 2 7 45" xfId="27439" xr:uid="{41EFE7C3-F9B4-4F69-BA29-7FB9CB490B3C}"/>
    <cellStyle name="Normal 2 7 46" xfId="27440" xr:uid="{2E18B6C6-6D29-4323-8217-B3DA6795C119}"/>
    <cellStyle name="Normal 2 7 47" xfId="27441" xr:uid="{8C0FE8FF-54D9-4F8F-93BE-97093ECED0E6}"/>
    <cellStyle name="Normal 2 7 48" xfId="27442" xr:uid="{899B16AF-A26E-4054-9184-01BC80E6E069}"/>
    <cellStyle name="Normal 2 7 49" xfId="27443" xr:uid="{449D4573-7F6A-4BEE-8F74-16B42AC1FAF2}"/>
    <cellStyle name="Normal 2 7 5" xfId="27444" xr:uid="{E657BFC0-3679-45DA-882F-2CFE7256472B}"/>
    <cellStyle name="Normal 2 7 50" xfId="27445" xr:uid="{4CCC9146-655F-4428-A957-AB381A20ECB7}"/>
    <cellStyle name="Normal 2 7 51" xfId="27446" xr:uid="{85F5612D-4B61-4F1D-8592-F0DE9355D8EC}"/>
    <cellStyle name="Normal 2 7 52" xfId="27447" xr:uid="{89229F16-7C2F-45D2-8566-C13381E2C128}"/>
    <cellStyle name="Normal 2 7 53" xfId="27448" xr:uid="{9CADF4D6-69BE-452D-969A-425DB506C4BE}"/>
    <cellStyle name="Normal 2 7 6" xfId="27449" xr:uid="{0FA21B9B-9FEC-445C-98D1-333D927F46B3}"/>
    <cellStyle name="Normal 2 7 7" xfId="27450" xr:uid="{21B7F700-E134-442F-8089-53993D94B2EF}"/>
    <cellStyle name="Normal 2 7 8" xfId="27451" xr:uid="{B094360E-9196-438E-AEA5-50E7E090C25C}"/>
    <cellStyle name="Normal 2 7 9" xfId="27452" xr:uid="{B1F2D44D-B016-4D13-82A7-634DCEE27BAD}"/>
    <cellStyle name="Normal 2 70" xfId="27453" xr:uid="{5DB2CAA5-5D42-48F6-AEB0-C337B384D53A}"/>
    <cellStyle name="Normal 2 70 2" xfId="27454" xr:uid="{153BB707-7DC6-4D93-89E4-D3C4790830C0}"/>
    <cellStyle name="Normal 2 70 3" xfId="27455" xr:uid="{2CCAA9A9-B96D-41BE-996E-194FDEFCC7E6}"/>
    <cellStyle name="Normal 2 70 4" xfId="27456" xr:uid="{B3E1068D-74E4-4B0D-BA71-65602E48BABC}"/>
    <cellStyle name="Normal 2 70 5" xfId="27457" xr:uid="{DAE37F1D-F938-41AC-BF10-2F1BE143D6C9}"/>
    <cellStyle name="Normal 2 70 6" xfId="27458" xr:uid="{CB57B817-96F2-4F14-B008-3133B70CC56E}"/>
    <cellStyle name="Normal 2 71" xfId="27459" xr:uid="{7316902B-E2FD-4635-89EC-0175D66FA5E3}"/>
    <cellStyle name="Normal 2 71 2" xfId="27460" xr:uid="{DB2A3E9D-B3DF-46E2-BABE-F6E99A8B3337}"/>
    <cellStyle name="Normal 2 71 3" xfId="27461" xr:uid="{3F5516E2-E2FF-4B8A-AC28-9838B315937E}"/>
    <cellStyle name="Normal 2 71 4" xfId="27462" xr:uid="{D7ABCB3B-A8EA-4086-8091-2B14F199F169}"/>
    <cellStyle name="Normal 2 71 5" xfId="27463" xr:uid="{06289F4A-8E22-4BB7-9A0D-CD2966ED8389}"/>
    <cellStyle name="Normal 2 71 6" xfId="27464" xr:uid="{97817792-BA84-4547-8771-3C1503AF996A}"/>
    <cellStyle name="Normal 2 72" xfId="27465" xr:uid="{AEEE240A-4AAB-4DC6-AA8D-422CF422CD81}"/>
    <cellStyle name="Normal 2 72 2" xfId="27466" xr:uid="{1BC51449-A8D2-466D-82F8-BB380E20C694}"/>
    <cellStyle name="Normal 2 72 3" xfId="27467" xr:uid="{4A7B308B-1867-4011-BD12-49006EFE98DF}"/>
    <cellStyle name="Normal 2 72 4" xfId="27468" xr:uid="{DDC7067B-9338-4347-AB74-EB15F95306C5}"/>
    <cellStyle name="Normal 2 72 5" xfId="27469" xr:uid="{27B04727-51C3-4CB9-8AA3-F78E40CCE639}"/>
    <cellStyle name="Normal 2 72 6" xfId="27470" xr:uid="{34DF805B-075B-46DB-8DF0-3BD632EC6D15}"/>
    <cellStyle name="Normal 2 73" xfId="27471" xr:uid="{5CB305E7-8F24-418D-8418-6E1DC6DCCABB}"/>
    <cellStyle name="Normal 2 73 2" xfId="27472" xr:uid="{9B04840F-ADAE-4781-A2B1-E90EEC4F18AF}"/>
    <cellStyle name="Normal 2 73 3" xfId="27473" xr:uid="{A323D0EE-8CB1-4FD8-91D8-D84DBE5B630C}"/>
    <cellStyle name="Normal 2 73 4" xfId="27474" xr:uid="{CC055311-8B88-4456-9883-7DC66970C812}"/>
    <cellStyle name="Normal 2 73 5" xfId="27475" xr:uid="{CF634F5A-A2A5-4EE0-BEEE-F320CFBBFEE4}"/>
    <cellStyle name="Normal 2 73 6" xfId="27476" xr:uid="{E1FDC01F-4ABA-4CCF-9B8B-CD3A46BEC4D5}"/>
    <cellStyle name="Normal 2 74" xfId="27477" xr:uid="{DF5CAE8C-8059-47ED-B440-C333438C97FA}"/>
    <cellStyle name="Normal 2 74 2" xfId="27478" xr:uid="{0F973E24-7443-42B6-93BC-BAD4ED99FD02}"/>
    <cellStyle name="Normal 2 74 3" xfId="27479" xr:uid="{F726A42B-E145-4207-9C9A-8C961040E8B9}"/>
    <cellStyle name="Normal 2 74 4" xfId="27480" xr:uid="{7F9E45BE-6EB3-46E7-8B74-9D945F128B93}"/>
    <cellStyle name="Normal 2 74 5" xfId="27481" xr:uid="{5D5B4185-0119-40CB-9919-EA685007D5D8}"/>
    <cellStyle name="Normal 2 74 6" xfId="27482" xr:uid="{FFDEF2BF-A43F-4953-BABC-DCAB4EE38162}"/>
    <cellStyle name="Normal 2 75" xfId="27483" xr:uid="{BA18D966-CE4B-4860-81A9-10B31EDBB515}"/>
    <cellStyle name="Normal 2 75 2" xfId="27484" xr:uid="{C7EB0E1B-B21D-4A1F-8C55-75156AB24065}"/>
    <cellStyle name="Normal 2 75 3" xfId="27485" xr:uid="{569910D0-5DB5-4280-9C70-C056FE952BFA}"/>
    <cellStyle name="Normal 2 75 4" xfId="27486" xr:uid="{C9C5A6A5-2DE3-4DFF-88DC-B9188E7C98BF}"/>
    <cellStyle name="Normal 2 75 5" xfId="27487" xr:uid="{A1BD5443-741A-4E2C-AB7A-5B05F55A627B}"/>
    <cellStyle name="Normal 2 75 6" xfId="27488" xr:uid="{B9A36659-6FC9-481C-A6F3-D3E1D42D5C20}"/>
    <cellStyle name="Normal 2 76" xfId="27489" xr:uid="{EA310F5E-5D0F-465D-ACC3-2028EFCAAF7C}"/>
    <cellStyle name="Normal 2 76 2" xfId="27490" xr:uid="{E1BCBB49-8450-4CB8-A3AC-65EA10829BF1}"/>
    <cellStyle name="Normal 2 76 3" xfId="27491" xr:uid="{7E66D6B3-B475-4574-8702-AF196F8BA822}"/>
    <cellStyle name="Normal 2 76 4" xfId="27492" xr:uid="{FA3314B2-05DC-44FC-8B9E-0CD979557213}"/>
    <cellStyle name="Normal 2 76 5" xfId="27493" xr:uid="{8AD3ED4E-A8F4-49DC-A31C-30EF4FFE4C18}"/>
    <cellStyle name="Normal 2 76 6" xfId="27494" xr:uid="{13F640C9-0F93-4D49-9647-0F3BF54434A8}"/>
    <cellStyle name="Normal 2 77" xfId="27495" xr:uid="{D5760ABE-E431-46A7-8C9B-B51CA12376B5}"/>
    <cellStyle name="Normal 2 77 2" xfId="27496" xr:uid="{6B1E1ADB-428C-460C-9A01-C101BF4395B1}"/>
    <cellStyle name="Normal 2 77 3" xfId="27497" xr:uid="{9C26C82B-B1D6-4331-85DA-769B268E1D0C}"/>
    <cellStyle name="Normal 2 77 4" xfId="27498" xr:uid="{522C2132-B8CD-41FD-B0DF-2D25424FCC4C}"/>
    <cellStyle name="Normal 2 77 5" xfId="27499" xr:uid="{52191E74-0244-45E8-B531-C5A4DB2E1D3D}"/>
    <cellStyle name="Normal 2 77 6" xfId="27500" xr:uid="{D08593E8-53A3-4895-9965-A77022CC1554}"/>
    <cellStyle name="Normal 2 78" xfId="27501" xr:uid="{B543EF59-58EE-4FC9-B4AD-B11FE36F11AC}"/>
    <cellStyle name="Normal 2 78 2" xfId="27502" xr:uid="{B5A23D05-4DB1-4B11-87C3-207043B00D9E}"/>
    <cellStyle name="Normal 2 78 3" xfId="27503" xr:uid="{FACA94A9-A42C-4C57-8F19-D3B1224F8405}"/>
    <cellStyle name="Normal 2 78 4" xfId="27504" xr:uid="{9350E8ED-1A4D-4FE8-9F53-8EAB3CABCED9}"/>
    <cellStyle name="Normal 2 78 5" xfId="27505" xr:uid="{72C87C82-3A8F-4283-BF19-0959F8089CBA}"/>
    <cellStyle name="Normal 2 78 6" xfId="27506" xr:uid="{D9396A96-9261-46E0-B2A8-B83B8485A991}"/>
    <cellStyle name="Normal 2 79" xfId="27507" xr:uid="{AFC185DC-AFC5-42D2-97BF-F7E91861AA63}"/>
    <cellStyle name="Normal 2 79 2" xfId="27508" xr:uid="{4529156C-C035-433B-8EE8-84930401BCEA}"/>
    <cellStyle name="Normal 2 79 3" xfId="27509" xr:uid="{77904857-6B72-4B87-A50C-F2EFB9F28C9A}"/>
    <cellStyle name="Normal 2 79 4" xfId="27510" xr:uid="{2661E82E-BEC5-4C80-9285-5960358C8DEE}"/>
    <cellStyle name="Normal 2 79 5" xfId="27511" xr:uid="{925CC11A-63C1-49AA-B313-C60CA6AF6618}"/>
    <cellStyle name="Normal 2 79 6" xfId="27512" xr:uid="{1B48CF3D-AE5A-4195-9BC5-FACDDCF56AC4}"/>
    <cellStyle name="Normal 2 8" xfId="27513" xr:uid="{C3E0DCF3-7993-434C-9C36-DDADD58E7718}"/>
    <cellStyle name="Normal 2 8 10" xfId="27514" xr:uid="{CF636FEA-5E2E-4B58-A25E-FF072B2C3E68}"/>
    <cellStyle name="Normal 2 8 11" xfId="27515" xr:uid="{49683352-AA9E-4F35-B710-B69FBD9BA3ED}"/>
    <cellStyle name="Normal 2 8 12" xfId="27516" xr:uid="{ED4D9739-0D8F-4B7D-ADB0-EA9C9A9761C2}"/>
    <cellStyle name="Normal 2 8 13" xfId="27517" xr:uid="{7A23B2B3-F016-4D7D-A665-1B359810E460}"/>
    <cellStyle name="Normal 2 8 14" xfId="27518" xr:uid="{5EDDCA3F-68BF-4147-B081-EDEFCE3FE48B}"/>
    <cellStyle name="Normal 2 8 15" xfId="27519" xr:uid="{DCB2159C-7F5B-4701-B743-DC432BCF36BF}"/>
    <cellStyle name="Normal 2 8 16" xfId="27520" xr:uid="{4B78BEE8-3439-4800-8B0D-5F489FD66D6B}"/>
    <cellStyle name="Normal 2 8 17" xfId="27521" xr:uid="{45CE749B-2C16-404D-ACC3-4F232517A864}"/>
    <cellStyle name="Normal 2 8 18" xfId="27522" xr:uid="{E681B571-A83C-4C9F-A253-06DA1D587261}"/>
    <cellStyle name="Normal 2 8 19" xfId="27523" xr:uid="{DDF84545-D4E2-40A4-AECE-930692943B98}"/>
    <cellStyle name="Normal 2 8 2" xfId="27524" xr:uid="{A4DD7764-BAAD-4462-94ED-B7C029AC446A}"/>
    <cellStyle name="Normal 2 8 20" xfId="27525" xr:uid="{AA8098B3-497A-4E7F-93EC-11DC241F7CC7}"/>
    <cellStyle name="Normal 2 8 21" xfId="27526" xr:uid="{F9632188-21B3-4C8F-A045-B94141D6A0CC}"/>
    <cellStyle name="Normal 2 8 22" xfId="27527" xr:uid="{0A6E765B-BA3D-417F-A3B4-A78E2C0C70DB}"/>
    <cellStyle name="Normal 2 8 23" xfId="27528" xr:uid="{E313C5A8-137B-4013-99DA-BEDD85ED1DE3}"/>
    <cellStyle name="Normal 2 8 24" xfId="27529" xr:uid="{3BD1E086-A71E-407F-9C7C-259E3D0C4D4B}"/>
    <cellStyle name="Normal 2 8 25" xfId="27530" xr:uid="{60261ED0-6DD7-48B6-9FC8-C545F36BBF32}"/>
    <cellStyle name="Normal 2 8 26" xfId="27531" xr:uid="{AC9C3B7F-A656-4B49-8FA9-08872EA7747F}"/>
    <cellStyle name="Normal 2 8 27" xfId="27532" xr:uid="{9A6C291E-6371-40DF-8481-A7D3E7693659}"/>
    <cellStyle name="Normal 2 8 28" xfId="27533" xr:uid="{B1D13A05-0CB7-4009-8D2E-0BD452F92ADD}"/>
    <cellStyle name="Normal 2 8 29" xfId="27534" xr:uid="{FD215026-AF58-44E1-B5C5-476F02F50BAB}"/>
    <cellStyle name="Normal 2 8 3" xfId="27535" xr:uid="{003320D1-0E2B-4B07-B8E9-22DC4B682345}"/>
    <cellStyle name="Normal 2 8 30" xfId="27536" xr:uid="{0DE2261F-58F3-498E-8174-9FD911A36787}"/>
    <cellStyle name="Normal 2 8 31" xfId="27537" xr:uid="{7EC65B99-0F78-4C07-A4E9-DBC27C97FA55}"/>
    <cellStyle name="Normal 2 8 32" xfId="27538" xr:uid="{0EE8360E-C36D-49A8-A476-822A27F94C12}"/>
    <cellStyle name="Normal 2 8 33" xfId="27539" xr:uid="{41A0BA4E-4272-46EB-8FA1-0376566BB431}"/>
    <cellStyle name="Normal 2 8 34" xfId="27540" xr:uid="{83ECF744-D918-4DDF-BBFD-BC041C176EB5}"/>
    <cellStyle name="Normal 2 8 35" xfId="27541" xr:uid="{7EDC1512-27A6-4B56-80B0-DE5BBC7C4C68}"/>
    <cellStyle name="Normal 2 8 36" xfId="27542" xr:uid="{2A180599-5812-44E5-A9AF-D3B070480F3D}"/>
    <cellStyle name="Normal 2 8 37" xfId="27543" xr:uid="{75932819-9D01-4412-880D-B81B7600BA91}"/>
    <cellStyle name="Normal 2 8 38" xfId="27544" xr:uid="{53428A5A-A14B-48FB-B428-72BFBEB9D8ED}"/>
    <cellStyle name="Normal 2 8 39" xfId="27545" xr:uid="{E856FA5C-1D2E-485A-A8CC-36E77D907399}"/>
    <cellStyle name="Normal 2 8 4" xfId="27546" xr:uid="{4CE41066-4AE8-4E0B-91D5-4798A821849C}"/>
    <cellStyle name="Normal 2 8 40" xfId="27547" xr:uid="{75A8E2BE-6ED7-4748-8A10-0EDA1878D0D0}"/>
    <cellStyle name="Normal 2 8 41" xfId="27548" xr:uid="{DFD6E768-2C84-4A98-B049-2ACDFD467D1E}"/>
    <cellStyle name="Normal 2 8 42" xfId="27549" xr:uid="{0652BA12-9065-48C3-894A-1D9528402201}"/>
    <cellStyle name="Normal 2 8 43" xfId="27550" xr:uid="{C059E7DB-6CAF-4264-8FFA-1D97ED9E4A02}"/>
    <cellStyle name="Normal 2 8 44" xfId="27551" xr:uid="{DEF31953-0971-47E3-8EB5-46E281087DCC}"/>
    <cellStyle name="Normal 2 8 45" xfId="27552" xr:uid="{DFFE3CED-9760-4639-8EA5-E17E8A967FD5}"/>
    <cellStyle name="Normal 2 8 46" xfId="27553" xr:uid="{0044AFA0-A7E6-4C37-A71D-81D2D025F75C}"/>
    <cellStyle name="Normal 2 8 47" xfId="27554" xr:uid="{05498CBB-E925-46AA-8A16-D3C961776C25}"/>
    <cellStyle name="Normal 2 8 48" xfId="27555" xr:uid="{4F8E96B3-2DFF-4D5B-A8CE-8CA9BE435B10}"/>
    <cellStyle name="Normal 2 8 49" xfId="27556" xr:uid="{3FD2CBE2-DBF7-43C6-A0E6-AF570E638A47}"/>
    <cellStyle name="Normal 2 8 5" xfId="27557" xr:uid="{E5ABCC75-FC4E-4BC4-9BB2-CE7A13645256}"/>
    <cellStyle name="Normal 2 8 50" xfId="27558" xr:uid="{AD946FC2-C059-41DA-A5E8-8898606E3EFF}"/>
    <cellStyle name="Normal 2 8 51" xfId="27559" xr:uid="{22AA3990-749C-473E-85E5-E2A8822BAAA9}"/>
    <cellStyle name="Normal 2 8 52" xfId="27560" xr:uid="{9BD3C7D4-980D-4D0E-BA58-29781D41FA58}"/>
    <cellStyle name="Normal 2 8 53" xfId="27561" xr:uid="{C8D58EEE-B6FC-4DE5-A1EF-0FD48946711A}"/>
    <cellStyle name="Normal 2 8 6" xfId="27562" xr:uid="{E7EF89F6-A8DE-4010-B647-030CAA8E24A6}"/>
    <cellStyle name="Normal 2 8 7" xfId="27563" xr:uid="{B8C53DFC-A139-430B-9FAD-4D2F317484AF}"/>
    <cellStyle name="Normal 2 8 8" xfId="27564" xr:uid="{D54C7F2F-AE14-4B21-9C5C-05AE754AD6E7}"/>
    <cellStyle name="Normal 2 8 9" xfId="27565" xr:uid="{DFB519DE-8D02-4AA4-B6A3-12DAB98AE104}"/>
    <cellStyle name="Normal 2 80" xfId="27566" xr:uid="{B4C1D201-4BE1-4910-BA19-4A48B0D2863C}"/>
    <cellStyle name="Normal 2 80 2" xfId="27567" xr:uid="{E14BA45F-0EFC-48A1-8671-C67C1EE97036}"/>
    <cellStyle name="Normal 2 80 3" xfId="27568" xr:uid="{3F9D0BC3-AA4A-4780-AE68-26155E67AB3A}"/>
    <cellStyle name="Normal 2 80 4" xfId="27569" xr:uid="{68FC1C63-223B-4216-82F0-6338F637A7EF}"/>
    <cellStyle name="Normal 2 80 5" xfId="27570" xr:uid="{4E640429-279F-43FC-8B8A-30B1CFE06D7E}"/>
    <cellStyle name="Normal 2 80 6" xfId="27571" xr:uid="{44E55DA5-23B5-4512-8141-21FFDFA417C5}"/>
    <cellStyle name="Normal 2 81" xfId="27572" xr:uid="{C23EE3E7-81B2-480E-9D0C-B8A35B610AB7}"/>
    <cellStyle name="Normal 2 81 2" xfId="27573" xr:uid="{4D66DB8D-F4B0-47D4-9873-2F177D38AD13}"/>
    <cellStyle name="Normal 2 81 3" xfId="27574" xr:uid="{C1D52AFE-3FA5-41A6-A2FD-0B50724979D5}"/>
    <cellStyle name="Normal 2 81 4" xfId="27575" xr:uid="{CBD9D8AD-1371-468A-9B7C-1F1704D4B1D3}"/>
    <cellStyle name="Normal 2 81 5" xfId="27576" xr:uid="{F16281A1-E8AA-41ED-A5EE-DA889AE089AC}"/>
    <cellStyle name="Normal 2 81 6" xfId="27577" xr:uid="{0EEEFFB7-5F1F-4A47-A071-5D12411EEE96}"/>
    <cellStyle name="Normal 2 82" xfId="27578" xr:uid="{F6591AFC-EBC6-4AB4-86D5-FB807012950E}"/>
    <cellStyle name="Normal 2 82 2" xfId="27579" xr:uid="{7B9B5E6C-D976-41B1-8231-AF914821A15D}"/>
    <cellStyle name="Normal 2 82 3" xfId="27580" xr:uid="{6496FF52-1615-48D7-AC1D-CFC38BBB7358}"/>
    <cellStyle name="Normal 2 82 4" xfId="27581" xr:uid="{8BAA896F-C9A3-4BD3-A1D5-F8FF9764AD57}"/>
    <cellStyle name="Normal 2 82 5" xfId="27582" xr:uid="{E809F29A-E53D-40D9-B19E-DB5831BC24CE}"/>
    <cellStyle name="Normal 2 82 6" xfId="27583" xr:uid="{8146EBE3-F905-44C6-B813-849BE4B393D2}"/>
    <cellStyle name="Normal 2 83" xfId="27584" xr:uid="{637CFA01-A04C-4A1C-9807-0D5BF7E5F0F8}"/>
    <cellStyle name="Normal 2 83 2" xfId="27585" xr:uid="{5D953A7C-7AB3-4536-B833-FFF83CFE1356}"/>
    <cellStyle name="Normal 2 83 3" xfId="27586" xr:uid="{3E558D1E-53BD-488F-8D37-D3604F8C36BD}"/>
    <cellStyle name="Normal 2 83 4" xfId="27587" xr:uid="{A3757161-A767-4489-9AAB-B0CC75A84428}"/>
    <cellStyle name="Normal 2 83 5" xfId="27588" xr:uid="{9B560BF1-2D61-43D0-BA54-DA2F9907BD26}"/>
    <cellStyle name="Normal 2 83 6" xfId="27589" xr:uid="{0CBB3876-88FA-4526-BBA0-CAC89D8F3053}"/>
    <cellStyle name="Normal 2 84" xfId="27590" xr:uid="{CD80DA55-F5DF-4987-9F39-366D54815D74}"/>
    <cellStyle name="Normal 2 84 2" xfId="27591" xr:uid="{6CD87807-039E-42EA-BC01-0C4897698CA8}"/>
    <cellStyle name="Normal 2 84 3" xfId="27592" xr:uid="{0D4EB8CF-94A7-4F90-8DCA-FA07FBDE11CF}"/>
    <cellStyle name="Normal 2 84 4" xfId="27593" xr:uid="{F723FAAD-5E61-4CD0-A11A-54D8864D979B}"/>
    <cellStyle name="Normal 2 84 5" xfId="27594" xr:uid="{FD9D5243-5E30-400F-86A7-3F5C79C73FD9}"/>
    <cellStyle name="Normal 2 84 6" xfId="27595" xr:uid="{8A95B944-5E25-4582-AE12-235CE103706A}"/>
    <cellStyle name="Normal 2 85" xfId="27596" xr:uid="{2DC171FF-CE65-463E-BC00-AF5D49FF8D52}"/>
    <cellStyle name="Normal 2 85 2" xfId="27597" xr:uid="{3A80615E-6725-45F8-8F95-22F8232FAD50}"/>
    <cellStyle name="Normal 2 85 3" xfId="27598" xr:uid="{28DA699C-E8D6-49CE-BBCF-3D8FADDBA36B}"/>
    <cellStyle name="Normal 2 85 4" xfId="27599" xr:uid="{4A898F80-5622-4D3C-B3D9-BABE7B963A54}"/>
    <cellStyle name="Normal 2 85 5" xfId="27600" xr:uid="{74DBB425-6233-4D6C-A7EE-90629C184BD2}"/>
    <cellStyle name="Normal 2 85 6" xfId="27601" xr:uid="{5DEE0B3D-D35F-4810-B9B2-273D78571242}"/>
    <cellStyle name="Normal 2 86" xfId="27602" xr:uid="{37008971-03E5-4C3C-AF1D-A652A0C6BBF8}"/>
    <cellStyle name="Normal 2 86 2" xfId="27603" xr:uid="{8F38A44E-30E8-49CE-93A0-24D65576B186}"/>
    <cellStyle name="Normal 2 86 3" xfId="27604" xr:uid="{C1897C65-E8EC-4A16-9794-0A40835EEDF2}"/>
    <cellStyle name="Normal 2 86 4" xfId="27605" xr:uid="{9F51FBAC-3C72-4A00-958A-A2A152658974}"/>
    <cellStyle name="Normal 2 86 5" xfId="27606" xr:uid="{F071D936-C251-4C05-B58D-8D8B6DB8DA86}"/>
    <cellStyle name="Normal 2 86 6" xfId="27607" xr:uid="{39B3AA04-905A-4AC7-9CF8-6F685EBABB72}"/>
    <cellStyle name="Normal 2 87" xfId="27608" xr:uid="{A27E4824-D724-496B-B222-C3B8C5D4953E}"/>
    <cellStyle name="Normal 2 87 2" xfId="27609" xr:uid="{2E31ED0D-D1BC-464E-B7E1-3E488D45A238}"/>
    <cellStyle name="Normal 2 87 3" xfId="27610" xr:uid="{8F08FD8B-6901-40BA-8E74-4921CDDAE68F}"/>
    <cellStyle name="Normal 2 87 4" xfId="27611" xr:uid="{BC21EEBB-55EE-4F2D-B00D-D152B4EDB29D}"/>
    <cellStyle name="Normal 2 87 5" xfId="27612" xr:uid="{E71C22A0-FA43-4EA5-9897-03A939BDF6BF}"/>
    <cellStyle name="Normal 2 87 6" xfId="27613" xr:uid="{0DAE8781-A278-4840-AF54-04F5A3794B62}"/>
    <cellStyle name="Normal 2 88" xfId="27614" xr:uid="{24DEAAA0-8EB3-460D-90DA-B6467A60822A}"/>
    <cellStyle name="Normal 2 88 2" xfId="27615" xr:uid="{285E45D5-182F-4D9B-B945-22FA57E7C72F}"/>
    <cellStyle name="Normal 2 88 2 2" xfId="27616" xr:uid="{E7138FF9-5628-4F4D-A7BB-4EFB6A58C83C}"/>
    <cellStyle name="Normal 2 88 2 3" xfId="27617" xr:uid="{87CAE7EE-8475-4CA7-B033-138C4248D915}"/>
    <cellStyle name="Normal 2 88 2 4" xfId="27618" xr:uid="{3F81C0DE-4B3E-4DE3-9A22-60B1E14E92B6}"/>
    <cellStyle name="Normal 2 88 2 5" xfId="27619" xr:uid="{CEB676DF-3858-4438-BC17-0EDF595E03C6}"/>
    <cellStyle name="Normal 2 88 2 6" xfId="27620" xr:uid="{04D1799B-2FEE-4C57-AE63-74F39E791B75}"/>
    <cellStyle name="Normal 2 89" xfId="27621" xr:uid="{94F92E24-3EB0-4AAD-9DBC-45AB4186C5EA}"/>
    <cellStyle name="Normal 2 9" xfId="27622" xr:uid="{77FD8C45-A9DD-4EA3-A68B-4AF7C608C1C7}"/>
    <cellStyle name="Normal 2 9 10" xfId="27623" xr:uid="{9D3A0044-37A5-42F4-AAB0-874EB573D9A8}"/>
    <cellStyle name="Normal 2 9 11" xfId="27624" xr:uid="{B71D7483-748F-410C-9BFB-922B0B7F2147}"/>
    <cellStyle name="Normal 2 9 12" xfId="27625" xr:uid="{0B5AB990-6223-40B9-BA94-877CD505C5EC}"/>
    <cellStyle name="Normal 2 9 13" xfId="27626" xr:uid="{7B648935-7E74-4E59-88FA-9BCFE035BD23}"/>
    <cellStyle name="Normal 2 9 14" xfId="27627" xr:uid="{3B8231FE-B071-49B9-AB3D-50334E287940}"/>
    <cellStyle name="Normal 2 9 15" xfId="27628" xr:uid="{A5D9B997-1BD3-4927-A80A-ADB45BEB89B1}"/>
    <cellStyle name="Normal 2 9 16" xfId="27629" xr:uid="{BF691D67-AEBD-4DF3-ACC5-04846FDFA1AF}"/>
    <cellStyle name="Normal 2 9 17" xfId="27630" xr:uid="{4A39B944-4010-49A1-B91C-074C41E90334}"/>
    <cellStyle name="Normal 2 9 18" xfId="27631" xr:uid="{79390966-E474-4836-BAAF-3DFF56657058}"/>
    <cellStyle name="Normal 2 9 19" xfId="27632" xr:uid="{D04E2C87-0CC9-40F6-A649-4D52BEBEF934}"/>
    <cellStyle name="Normal 2 9 2" xfId="27633" xr:uid="{21DFAB62-A4CB-4966-A7B5-B7D5931C8136}"/>
    <cellStyle name="Normal 2 9 20" xfId="27634" xr:uid="{A1CC3266-ACB1-46D1-A01C-AA7A6118CF3F}"/>
    <cellStyle name="Normal 2 9 21" xfId="27635" xr:uid="{ACA133CD-3F5F-4F79-8717-0C924392D0B9}"/>
    <cellStyle name="Normal 2 9 22" xfId="27636" xr:uid="{668B19A5-893E-4AC9-9D21-058319549BC7}"/>
    <cellStyle name="Normal 2 9 23" xfId="27637" xr:uid="{9D540EFD-BADF-42DB-99F8-FDE671824B81}"/>
    <cellStyle name="Normal 2 9 24" xfId="27638" xr:uid="{EFB7D322-D4DE-474E-84D2-E0032944C383}"/>
    <cellStyle name="Normal 2 9 25" xfId="27639" xr:uid="{A2030CAF-589A-440C-8058-7FD056896F63}"/>
    <cellStyle name="Normal 2 9 26" xfId="27640" xr:uid="{489D22A5-CD74-4FEC-BB1D-02124C7FA4E3}"/>
    <cellStyle name="Normal 2 9 27" xfId="27641" xr:uid="{527623A7-9938-4755-A091-C404E9265CCC}"/>
    <cellStyle name="Normal 2 9 28" xfId="27642" xr:uid="{E87F80CA-5317-4CF9-8468-45AC3A7130ED}"/>
    <cellStyle name="Normal 2 9 29" xfId="27643" xr:uid="{DB3B82DA-8389-4686-9E48-CDDB9C04D78B}"/>
    <cellStyle name="Normal 2 9 3" xfId="27644" xr:uid="{26947BA4-7D5E-4F75-9334-85A2E503C8C9}"/>
    <cellStyle name="Normal 2 9 30" xfId="27645" xr:uid="{DB3DF948-E79C-460D-83DC-4CF93903E68C}"/>
    <cellStyle name="Normal 2 9 31" xfId="27646" xr:uid="{E08D42B7-7A66-455D-86E9-7E69B5D26615}"/>
    <cellStyle name="Normal 2 9 32" xfId="27647" xr:uid="{C60EF40A-629E-4D2E-BEF8-33EE3331B2D2}"/>
    <cellStyle name="Normal 2 9 33" xfId="27648" xr:uid="{72D8AA19-51EF-40B1-ADEB-0C3BAE0380B6}"/>
    <cellStyle name="Normal 2 9 34" xfId="27649" xr:uid="{7CF346F6-3131-46AE-A5F1-EE104D5650F1}"/>
    <cellStyle name="Normal 2 9 35" xfId="27650" xr:uid="{C3002EEF-1CFB-4652-977F-BC454656322A}"/>
    <cellStyle name="Normal 2 9 36" xfId="27651" xr:uid="{0123F0FC-9A9B-4132-8089-3380C00CD689}"/>
    <cellStyle name="Normal 2 9 37" xfId="27652" xr:uid="{0923FA78-ECF2-4AE4-B487-2BE27F1D68A0}"/>
    <cellStyle name="Normal 2 9 38" xfId="27653" xr:uid="{EC330E9A-E8AD-4122-B1E8-DCA21D794888}"/>
    <cellStyle name="Normal 2 9 39" xfId="27654" xr:uid="{1305057B-4DE9-47C3-8B04-9F9B395FE6EF}"/>
    <cellStyle name="Normal 2 9 4" xfId="27655" xr:uid="{387F5B96-4866-4375-89BB-E192E3461F4E}"/>
    <cellStyle name="Normal 2 9 40" xfId="27656" xr:uid="{8944AF62-1AA0-4E73-A36F-725C57ED7AF4}"/>
    <cellStyle name="Normal 2 9 41" xfId="27657" xr:uid="{4D1C81CA-BCC5-4807-91F1-D41DB2262904}"/>
    <cellStyle name="Normal 2 9 42" xfId="27658" xr:uid="{E4617D50-1B82-4C30-821B-6EA7AB9FC63D}"/>
    <cellStyle name="Normal 2 9 43" xfId="27659" xr:uid="{A102657B-97CF-4667-97D6-E82CFA0140FB}"/>
    <cellStyle name="Normal 2 9 44" xfId="27660" xr:uid="{93834A17-8E66-4632-8FDF-C55317FC9F21}"/>
    <cellStyle name="Normal 2 9 45" xfId="27661" xr:uid="{B92E96DA-259B-47BA-97E9-65ED853C62BD}"/>
    <cellStyle name="Normal 2 9 46" xfId="27662" xr:uid="{81DBDBFC-9665-438B-851C-EB756D1D9CE6}"/>
    <cellStyle name="Normal 2 9 47" xfId="27663" xr:uid="{45CE1DA8-2DC0-4FA6-9497-350928044DB6}"/>
    <cellStyle name="Normal 2 9 48" xfId="27664" xr:uid="{DF012F69-A284-4530-B427-805F7C2BECD5}"/>
    <cellStyle name="Normal 2 9 49" xfId="27665" xr:uid="{835E6D78-607C-4296-BA74-1D81B751EBF4}"/>
    <cellStyle name="Normal 2 9 5" xfId="27666" xr:uid="{A05C4932-8E99-44D5-B025-C5B81E21A4EB}"/>
    <cellStyle name="Normal 2 9 50" xfId="27667" xr:uid="{DC7C1179-0156-48BF-B5F9-8A8A6F274731}"/>
    <cellStyle name="Normal 2 9 51" xfId="27668" xr:uid="{2D4A504B-9C09-43A7-8110-B7C8F001C7C6}"/>
    <cellStyle name="Normal 2 9 52" xfId="27669" xr:uid="{976A60B3-4C09-4C2F-821F-DB1903365E2E}"/>
    <cellStyle name="Normal 2 9 53" xfId="27670" xr:uid="{7AC6DFF4-AA12-4CDF-916D-C21AA995E433}"/>
    <cellStyle name="Normal 2 9 6" xfId="27671" xr:uid="{7FA29E5C-6F66-494C-9CEB-139DEE7D6B17}"/>
    <cellStyle name="Normal 2 9 7" xfId="27672" xr:uid="{AE2C2929-8012-445D-8AF9-87A301F217A1}"/>
    <cellStyle name="Normal 2 9 8" xfId="27673" xr:uid="{E6625331-36C6-4A62-A9C6-A1720BDA8054}"/>
    <cellStyle name="Normal 2 9 9" xfId="27674" xr:uid="{A2F0B640-8A91-4D86-A241-CF43D2D83DCD}"/>
    <cellStyle name="Normal 2 90" xfId="27675" xr:uid="{7F4EAC9C-F0F5-4FBA-9561-254020B8A6B1}"/>
    <cellStyle name="Normal 2 91" xfId="27676" xr:uid="{6F511EC2-F43A-4547-90C8-FE20AAC68E4A}"/>
    <cellStyle name="Normal 2 92" xfId="27677" xr:uid="{1C90391D-0BAD-44BC-9344-256318972402}"/>
    <cellStyle name="Normal 2 93" xfId="27678" xr:uid="{37B44255-8F51-4177-8342-9C2537C4B253}"/>
    <cellStyle name="Normal 2 94" xfId="27679" xr:uid="{9A140CC4-B312-43DF-B7A4-A672772BAB71}"/>
    <cellStyle name="Normal 2 95" xfId="27680" xr:uid="{3F2745E5-825A-43CE-A9C0-26750F3EE945}"/>
    <cellStyle name="Normal 2 96" xfId="27681" xr:uid="{54F8C935-DEC6-4517-A3E0-194158254800}"/>
    <cellStyle name="Normal 2 97" xfId="27682" xr:uid="{6D2406A5-6950-4F4E-BABD-C76995ACD60D}"/>
    <cellStyle name="Normal 2 98" xfId="27683" xr:uid="{05A9CEA6-9466-4C73-B465-586AF1A24277}"/>
    <cellStyle name="Normal 2 99" xfId="43584" xr:uid="{C28FE75A-ABBE-4A22-8122-AE71D2BA4C1F}"/>
    <cellStyle name="Normal 2_07-05-24-fnb- Banco de Preços R14" xfId="1083" xr:uid="{B2009215-1F0A-42A5-AC3F-C7733FE687A4}"/>
    <cellStyle name="Normal 20" xfId="1084" xr:uid="{E7CB9D4A-1DB9-4D2D-964C-DDE53E30EED8}"/>
    <cellStyle name="Normal 20 10" xfId="27684" xr:uid="{FA6B4378-67B3-4FC6-86B8-D0FD53DEFE7C}"/>
    <cellStyle name="Normal 20 10 10" xfId="27685" xr:uid="{011BE327-4840-438A-9AD6-FE3121D7EEAB}"/>
    <cellStyle name="Normal 20 10 11" xfId="27686" xr:uid="{E730D9AB-0F4B-4894-9977-68816A7FF788}"/>
    <cellStyle name="Normal 20 10 12" xfId="27687" xr:uid="{C960ECBA-2A4E-4E56-95A0-4A0921DDC0B1}"/>
    <cellStyle name="Normal 20 10 13" xfId="27688" xr:uid="{9ADB6671-EE70-452D-BC5A-CC94B4DC1F30}"/>
    <cellStyle name="Normal 20 10 2" xfId="27689" xr:uid="{FB2A9B73-E115-40D1-8C7B-4F3A4A7BB041}"/>
    <cellStyle name="Normal 20 10 2 2" xfId="27690" xr:uid="{CAEB8171-772A-413B-813F-436506D77F04}"/>
    <cellStyle name="Normal 20 10 2 3" xfId="27691" xr:uid="{3E76DA4E-BC7E-4F95-AE8A-F651958FD87F}"/>
    <cellStyle name="Normal 20 10 2 4" xfId="27692" xr:uid="{C2CDE16E-F22C-4002-92BA-E9ADA9B0115E}"/>
    <cellStyle name="Normal 20 10 2 5" xfId="27693" xr:uid="{F2B28F95-DDCB-4211-8FFC-C56ECEDBC1D3}"/>
    <cellStyle name="Normal 20 10 2 6" xfId="27694" xr:uid="{CDDF7AF6-8DC4-4085-8000-AE884D62E766}"/>
    <cellStyle name="Normal 20 10 3" xfId="27695" xr:uid="{C16624F2-19B2-4A17-ADF5-BCE82F758C5C}"/>
    <cellStyle name="Normal 20 10 3 2" xfId="27696" xr:uid="{D0864507-3EB3-4FFB-904D-D9DBEB576432}"/>
    <cellStyle name="Normal 20 10 3 3" xfId="27697" xr:uid="{02A35A7B-3074-4451-919D-0EC92FCE7570}"/>
    <cellStyle name="Normal 20 10 3 4" xfId="27698" xr:uid="{18B9BE50-62C3-4693-A7B3-67FDFD196929}"/>
    <cellStyle name="Normal 20 10 3 5" xfId="27699" xr:uid="{0AE2B3FA-71C6-4F8C-A5C4-12206F14A31E}"/>
    <cellStyle name="Normal 20 10 3 6" xfId="27700" xr:uid="{9779B0B4-1F2B-41A1-A7AC-1EC5F511CE78}"/>
    <cellStyle name="Normal 20 10 4" xfId="27701" xr:uid="{C637BF4E-9A51-4618-9E45-806F318A5D57}"/>
    <cellStyle name="Normal 20 10 4 2" xfId="27702" xr:uid="{58295A4B-D801-437D-8C98-7D3D081F48FC}"/>
    <cellStyle name="Normal 20 10 4 3" xfId="27703" xr:uid="{F0A69A86-5B3D-4B29-A973-D7562711F8F5}"/>
    <cellStyle name="Normal 20 10 4 4" xfId="27704" xr:uid="{B58328C8-FBA9-4832-9834-85892ECFB8B2}"/>
    <cellStyle name="Normal 20 10 4 5" xfId="27705" xr:uid="{D5A66CCA-27A4-4BC5-8DBD-4D67CEA188EC}"/>
    <cellStyle name="Normal 20 10 4 6" xfId="27706" xr:uid="{F222CEC5-7DA7-464E-AF40-6C89B0183A66}"/>
    <cellStyle name="Normal 20 10 5" xfId="27707" xr:uid="{1F312FCE-CCB1-478E-BAA8-A6AD54E4BA4D}"/>
    <cellStyle name="Normal 20 10 5 2" xfId="27708" xr:uid="{FD0853F0-0516-4E3F-8DEE-E1B2878C105F}"/>
    <cellStyle name="Normal 20 10 5 3" xfId="27709" xr:uid="{6C770DDF-2A0B-4A59-8FDF-073905381022}"/>
    <cellStyle name="Normal 20 10 5 4" xfId="27710" xr:uid="{FF8E4E36-9334-4C00-AD17-A3B883ADAF93}"/>
    <cellStyle name="Normal 20 10 5 5" xfId="27711" xr:uid="{93B5CFBA-1A39-4048-806C-9CA94A93F2E4}"/>
    <cellStyle name="Normal 20 10 5 6" xfId="27712" xr:uid="{D0C4B8BC-CB7C-40CE-968F-84F726F9519C}"/>
    <cellStyle name="Normal 20 10 6" xfId="27713" xr:uid="{82FF8008-1826-4B68-90B4-5B698FC6087B}"/>
    <cellStyle name="Normal 20 10 6 2" xfId="27714" xr:uid="{8C1EEEA9-1C94-4B2A-83FF-9977E20688F2}"/>
    <cellStyle name="Normal 20 10 6 3" xfId="27715" xr:uid="{FC0265F8-F5DC-405D-B83D-E61A67E80843}"/>
    <cellStyle name="Normal 20 10 6 4" xfId="27716" xr:uid="{8BD0B314-0ED5-4AC8-B03C-905A4AC13FF3}"/>
    <cellStyle name="Normal 20 10 6 5" xfId="27717" xr:uid="{DDAF6572-EDBD-4C1C-84A6-EE6D238A63AF}"/>
    <cellStyle name="Normal 20 10 6 6" xfId="27718" xr:uid="{621E53B7-4363-4B2F-90E3-03A299E94D3C}"/>
    <cellStyle name="Normal 20 10 7" xfId="27719" xr:uid="{CD2F7EB4-E99A-41B2-9F7A-BA2F36F803DA}"/>
    <cellStyle name="Normal 20 10 7 2" xfId="27720" xr:uid="{625AA8D4-0101-42E7-B04F-508DF843AFCF}"/>
    <cellStyle name="Normal 20 10 7 3" xfId="27721" xr:uid="{DDD22D82-4E8F-477E-A67A-08737267FF91}"/>
    <cellStyle name="Normal 20 10 7 4" xfId="27722" xr:uid="{9736E1B5-82DB-4350-811B-20554CEEA796}"/>
    <cellStyle name="Normal 20 10 7 5" xfId="27723" xr:uid="{AFA15740-CBBA-4751-90B2-81FE23DD9EC5}"/>
    <cellStyle name="Normal 20 10 7 6" xfId="27724" xr:uid="{2DA32E69-A896-41EF-A571-E86A6D285BE1}"/>
    <cellStyle name="Normal 20 10 8" xfId="27725" xr:uid="{4A6DF789-E077-4D87-AAAA-A9B8871BF25F}"/>
    <cellStyle name="Normal 20 10 8 2" xfId="27726" xr:uid="{B91E2129-8B40-45B1-B2A7-4A874B3B3C1F}"/>
    <cellStyle name="Normal 20 10 8 3" xfId="27727" xr:uid="{8097BC7F-9716-4A19-9162-0ABDD651912A}"/>
    <cellStyle name="Normal 20 10 8 4" xfId="27728" xr:uid="{91DA4EAE-7A67-44B7-BB31-D23FABA04DE6}"/>
    <cellStyle name="Normal 20 10 8 5" xfId="27729" xr:uid="{DB364D6B-D6BC-44D9-AB10-AB7F2E101E64}"/>
    <cellStyle name="Normal 20 10 8 6" xfId="27730" xr:uid="{5621F9AD-4D5D-4088-B2F2-EC12F23CF01C}"/>
    <cellStyle name="Normal 20 10 9" xfId="27731" xr:uid="{EE5DEBA4-85BD-467C-92D6-ED711424D1A8}"/>
    <cellStyle name="Normal 20 11" xfId="27732" xr:uid="{2CBB70C3-2649-440A-B611-395F8E1473D4}"/>
    <cellStyle name="Normal 20 11 10" xfId="27733" xr:uid="{458EE38A-4706-4F7E-AAC7-D42B0DB4C961}"/>
    <cellStyle name="Normal 20 11 11" xfId="27734" xr:uid="{A14A7E16-CAD2-4CAC-B9D5-B7E76998FF00}"/>
    <cellStyle name="Normal 20 11 12" xfId="27735" xr:uid="{8A6CA12B-9E66-46AC-B85B-4B2B65A6E8A2}"/>
    <cellStyle name="Normal 20 11 13" xfId="27736" xr:uid="{53B5F518-0805-4B14-8B7F-04D014F2C8B6}"/>
    <cellStyle name="Normal 20 11 2" xfId="27737" xr:uid="{1B9A6F7A-D2EA-42B4-8AF8-412152752D02}"/>
    <cellStyle name="Normal 20 11 2 2" xfId="27738" xr:uid="{76A200D0-5BC7-4654-A739-F0A877BE65C8}"/>
    <cellStyle name="Normal 20 11 2 3" xfId="27739" xr:uid="{1B0111F2-5644-49E4-BFE7-C67342B0D50F}"/>
    <cellStyle name="Normal 20 11 2 4" xfId="27740" xr:uid="{7437FFE4-45CA-44F8-9589-FD3EA372B144}"/>
    <cellStyle name="Normal 20 11 2 5" xfId="27741" xr:uid="{9BFA91A9-5219-41AF-98E4-0D1CF736DECB}"/>
    <cellStyle name="Normal 20 11 2 6" xfId="27742" xr:uid="{984F779B-9ED3-4AFD-A1EC-24F6DB75E5C0}"/>
    <cellStyle name="Normal 20 11 3" xfId="27743" xr:uid="{1333164D-BCD4-47CA-BEA3-4584E1C371E1}"/>
    <cellStyle name="Normal 20 11 3 2" xfId="27744" xr:uid="{5F35FE0A-3130-41F2-BA30-2F81A3DC86E0}"/>
    <cellStyle name="Normal 20 11 3 3" xfId="27745" xr:uid="{388197EA-097A-4327-A9D7-AFE3F74C80D3}"/>
    <cellStyle name="Normal 20 11 3 4" xfId="27746" xr:uid="{EC453648-D2B0-409F-B5CD-1D7565DEAF93}"/>
    <cellStyle name="Normal 20 11 3 5" xfId="27747" xr:uid="{B5D154B0-0521-4C3E-9A22-BB6874B98491}"/>
    <cellStyle name="Normal 20 11 3 6" xfId="27748" xr:uid="{16FE3C0F-BFA8-429C-B6A4-1EB72426CD00}"/>
    <cellStyle name="Normal 20 11 4" xfId="27749" xr:uid="{63691E5B-7127-450F-ACFE-404701481AC8}"/>
    <cellStyle name="Normal 20 11 4 2" xfId="27750" xr:uid="{5791559F-7B5E-4CB0-B24C-3AC42C26892C}"/>
    <cellStyle name="Normal 20 11 4 3" xfId="27751" xr:uid="{27583706-511C-45F4-9014-AA452D55A3AA}"/>
    <cellStyle name="Normal 20 11 4 4" xfId="27752" xr:uid="{59EE7C40-ED66-42A5-9318-0DC1EEAD9121}"/>
    <cellStyle name="Normal 20 11 4 5" xfId="27753" xr:uid="{4AF73121-8385-4AD5-9EAA-353264F7D79B}"/>
    <cellStyle name="Normal 20 11 4 6" xfId="27754" xr:uid="{D04918BF-3CCC-44EE-9F5A-D5785CCF9EA8}"/>
    <cellStyle name="Normal 20 11 5" xfId="27755" xr:uid="{D54E4C6D-E617-4734-AC28-F65C1D9A4761}"/>
    <cellStyle name="Normal 20 11 5 2" xfId="27756" xr:uid="{ED742F07-810D-44F7-8B42-A22BF693B4DF}"/>
    <cellStyle name="Normal 20 11 5 3" xfId="27757" xr:uid="{E98222AF-D1D1-46EA-8CC1-5608EB259861}"/>
    <cellStyle name="Normal 20 11 5 4" xfId="27758" xr:uid="{52258DF3-3E53-490E-8DD9-264EBFAE4BD4}"/>
    <cellStyle name="Normal 20 11 5 5" xfId="27759" xr:uid="{4BA0151D-92E0-4869-91A0-3B85EA28CF10}"/>
    <cellStyle name="Normal 20 11 5 6" xfId="27760" xr:uid="{EFF5A642-E365-4C98-8CC4-2135D1601A56}"/>
    <cellStyle name="Normal 20 11 6" xfId="27761" xr:uid="{2C6D5EF5-627C-42C7-AEE9-46363939A870}"/>
    <cellStyle name="Normal 20 11 6 2" xfId="27762" xr:uid="{A3F07EB4-3469-41B3-BC67-D8BFB19AF734}"/>
    <cellStyle name="Normal 20 11 6 3" xfId="27763" xr:uid="{378868CF-5185-4B5D-8B40-C845D6EF9245}"/>
    <cellStyle name="Normal 20 11 6 4" xfId="27764" xr:uid="{B0EAB9A0-9991-49ED-A6E4-A50639849588}"/>
    <cellStyle name="Normal 20 11 6 5" xfId="27765" xr:uid="{0D055802-5284-4D29-B61B-24FA1B246EB4}"/>
    <cellStyle name="Normal 20 11 6 6" xfId="27766" xr:uid="{C894FB9E-BC25-4809-9DFE-B5E1D87F6D8B}"/>
    <cellStyle name="Normal 20 11 7" xfId="27767" xr:uid="{6E63A61C-20BC-4EF8-8FAA-5B9213E335D0}"/>
    <cellStyle name="Normal 20 11 7 2" xfId="27768" xr:uid="{406594A2-05C1-4F25-B991-5A007C263BFA}"/>
    <cellStyle name="Normal 20 11 7 3" xfId="27769" xr:uid="{D648B407-9D3C-44A2-ADA3-9B28D54588B3}"/>
    <cellStyle name="Normal 20 11 7 4" xfId="27770" xr:uid="{EB4EC263-85DC-4651-A2DD-75F2E898C502}"/>
    <cellStyle name="Normal 20 11 7 5" xfId="27771" xr:uid="{48DDA2A1-6B94-4A17-B837-04EA310120DB}"/>
    <cellStyle name="Normal 20 11 7 6" xfId="27772" xr:uid="{FD14AE5F-96FF-46D3-B961-B07BB0FCFC42}"/>
    <cellStyle name="Normal 20 11 8" xfId="27773" xr:uid="{97D6D3D3-71CB-47E9-A651-1B24CA60F4DD}"/>
    <cellStyle name="Normal 20 11 8 2" xfId="27774" xr:uid="{74BAE942-AAF8-4666-9D84-6E034498ACF3}"/>
    <cellStyle name="Normal 20 11 8 3" xfId="27775" xr:uid="{969680AE-70FA-4D7C-8EED-62CBF6914AD8}"/>
    <cellStyle name="Normal 20 11 8 4" xfId="27776" xr:uid="{074C247E-57E3-4FCC-9E53-BF1A703471A8}"/>
    <cellStyle name="Normal 20 11 8 5" xfId="27777" xr:uid="{F7177A63-9858-44B4-A943-930CFF61F415}"/>
    <cellStyle name="Normal 20 11 8 6" xfId="27778" xr:uid="{E71C71D6-96E6-451F-8602-6FC91EB7EABD}"/>
    <cellStyle name="Normal 20 11 9" xfId="27779" xr:uid="{36B53779-4708-472C-926E-C199F376C0A3}"/>
    <cellStyle name="Normal 20 12" xfId="27780" xr:uid="{74562E2D-1A22-40F1-BC9D-7EF30BE90BE5}"/>
    <cellStyle name="Normal 20 12 10" xfId="27781" xr:uid="{C759B0F0-D1DD-46B5-B25E-C2C0099A0EA2}"/>
    <cellStyle name="Normal 20 12 11" xfId="27782" xr:uid="{1CC3BD28-3A3F-4CBC-98C5-8BEF7886FBB4}"/>
    <cellStyle name="Normal 20 12 12" xfId="27783" xr:uid="{468D61BE-F6A6-499D-B667-8E3603FE7663}"/>
    <cellStyle name="Normal 20 12 13" xfId="27784" xr:uid="{C3C23977-F0E5-467D-9F85-EC470DC5EE59}"/>
    <cellStyle name="Normal 20 12 2" xfId="27785" xr:uid="{A0993308-95F1-41B3-AD9A-FBEB0B85B004}"/>
    <cellStyle name="Normal 20 12 2 2" xfId="27786" xr:uid="{4B6396AA-2524-49F2-9126-15C129E35270}"/>
    <cellStyle name="Normal 20 12 2 3" xfId="27787" xr:uid="{84C1105E-FC3B-40A2-B3E0-F71E8A859FFB}"/>
    <cellStyle name="Normal 20 12 2 4" xfId="27788" xr:uid="{2EACF0CC-0BE3-48EC-90F1-636676AE45A1}"/>
    <cellStyle name="Normal 20 12 2 5" xfId="27789" xr:uid="{A591BA4E-BF43-4E3D-887B-2310D055BD2C}"/>
    <cellStyle name="Normal 20 12 2 6" xfId="27790" xr:uid="{C79B5B73-53BE-49ED-A67B-300C00E74743}"/>
    <cellStyle name="Normal 20 12 3" xfId="27791" xr:uid="{798830AB-AD3F-4DE7-96BF-C08186C4D0E0}"/>
    <cellStyle name="Normal 20 12 3 2" xfId="27792" xr:uid="{98043D1F-591F-4914-815F-33E60B44C671}"/>
    <cellStyle name="Normal 20 12 3 3" xfId="27793" xr:uid="{49D4C9C7-FCB8-4D06-8175-F4258C832DF6}"/>
    <cellStyle name="Normal 20 12 3 4" xfId="27794" xr:uid="{4E1E0A14-483D-4AFC-8CB3-BE46ED828E86}"/>
    <cellStyle name="Normal 20 12 3 5" xfId="27795" xr:uid="{A5458CC9-0B94-42FC-AF24-590B3B497E5E}"/>
    <cellStyle name="Normal 20 12 3 6" xfId="27796" xr:uid="{A32EF85F-A9B0-413B-AD7E-794839DAD554}"/>
    <cellStyle name="Normal 20 12 4" xfId="27797" xr:uid="{1910524C-5B11-4A50-BF77-CCFEFE70E121}"/>
    <cellStyle name="Normal 20 12 4 2" xfId="27798" xr:uid="{570A9E09-9140-4263-93D9-2DD26D11ADEF}"/>
    <cellStyle name="Normal 20 12 4 3" xfId="27799" xr:uid="{8F6D6C78-0E9D-4289-BDCC-391EFA5AA24E}"/>
    <cellStyle name="Normal 20 12 4 4" xfId="27800" xr:uid="{E54096C6-F5D4-4403-9D88-3F51BF5E6583}"/>
    <cellStyle name="Normal 20 12 4 5" xfId="27801" xr:uid="{05D15A16-76F4-4003-8AA7-BD1E63DCE9BC}"/>
    <cellStyle name="Normal 20 12 4 6" xfId="27802" xr:uid="{8B8A6F4C-6AE3-461A-9E08-7C7AB084EAB2}"/>
    <cellStyle name="Normal 20 12 5" xfId="27803" xr:uid="{BEA9EB9D-E73F-4C8A-839B-FF6EBE591F7E}"/>
    <cellStyle name="Normal 20 12 5 2" xfId="27804" xr:uid="{4F2353F7-9001-4585-B5E8-CED0031C5BEE}"/>
    <cellStyle name="Normal 20 12 5 3" xfId="27805" xr:uid="{A2E81C34-88CA-4883-BB91-78C1D19DDDA8}"/>
    <cellStyle name="Normal 20 12 5 4" xfId="27806" xr:uid="{12ECE395-FCE5-42A3-9133-E69F56EBFAAF}"/>
    <cellStyle name="Normal 20 12 5 5" xfId="27807" xr:uid="{ABC2B206-B505-4FFC-9C84-FBB51642F6C3}"/>
    <cellStyle name="Normal 20 12 5 6" xfId="27808" xr:uid="{4DE18FB2-5A8D-4C61-9C99-E5B2FDB92A07}"/>
    <cellStyle name="Normal 20 12 6" xfId="27809" xr:uid="{530F31E1-626A-4BF8-B9C0-626247C7202C}"/>
    <cellStyle name="Normal 20 12 6 2" xfId="27810" xr:uid="{551B9BA3-CB3E-4E2A-9AE7-D0DEBA588E67}"/>
    <cellStyle name="Normal 20 12 6 3" xfId="27811" xr:uid="{81A2C04F-DAC2-48BD-A82E-944DF19769D1}"/>
    <cellStyle name="Normal 20 12 6 4" xfId="27812" xr:uid="{D2AC0281-F39D-4F27-8B58-01E6D17FAD64}"/>
    <cellStyle name="Normal 20 12 6 5" xfId="27813" xr:uid="{963BDA2F-7501-49E3-8FD7-7D5F255F45B3}"/>
    <cellStyle name="Normal 20 12 6 6" xfId="27814" xr:uid="{1B11FFB0-2009-4E5B-9340-D65A71D1C324}"/>
    <cellStyle name="Normal 20 12 7" xfId="27815" xr:uid="{AA147C3B-7AAE-4CBC-8EEC-5E0EAECBFD92}"/>
    <cellStyle name="Normal 20 12 7 2" xfId="27816" xr:uid="{57207F5C-0D3D-4CDD-99C2-853F2156F138}"/>
    <cellStyle name="Normal 20 12 7 3" xfId="27817" xr:uid="{BCA21811-C682-4BF3-A019-B5FF2DBD7904}"/>
    <cellStyle name="Normal 20 12 7 4" xfId="27818" xr:uid="{D0D5D6C9-79BE-4071-A62C-1FC10EEB4F37}"/>
    <cellStyle name="Normal 20 12 7 5" xfId="27819" xr:uid="{0BCE4CA4-D571-417F-9DF1-BD30A7E76938}"/>
    <cellStyle name="Normal 20 12 7 6" xfId="27820" xr:uid="{F107F1DB-4FFD-4D26-8358-0D8159DBA39F}"/>
    <cellStyle name="Normal 20 12 8" xfId="27821" xr:uid="{7448DF0D-F0EA-4D35-84CC-18B595EBD552}"/>
    <cellStyle name="Normal 20 12 8 2" xfId="27822" xr:uid="{82A2C9BD-A344-4166-A0A2-93EA509A3024}"/>
    <cellStyle name="Normal 20 12 8 3" xfId="27823" xr:uid="{C8CA0315-3A93-456A-B265-C0D671940C9F}"/>
    <cellStyle name="Normal 20 12 8 4" xfId="27824" xr:uid="{680A1A32-1CEA-40F1-8216-90B8343BB523}"/>
    <cellStyle name="Normal 20 12 8 5" xfId="27825" xr:uid="{E9E32D7E-E097-4A39-B79A-0AF886437DBA}"/>
    <cellStyle name="Normal 20 12 8 6" xfId="27826" xr:uid="{67ABA189-D6A9-4BAC-BFDC-4D33E4BDEF41}"/>
    <cellStyle name="Normal 20 12 9" xfId="27827" xr:uid="{79B10ED7-3AA1-46A8-9B66-E79AF8D051C3}"/>
    <cellStyle name="Normal 20 13" xfId="27828" xr:uid="{CB00FC1B-4398-4BB7-A4C5-3EB257DFA068}"/>
    <cellStyle name="Normal 20 13 10" xfId="27829" xr:uid="{E717D7C2-81F8-4AB1-AA05-9F225A2EFF76}"/>
    <cellStyle name="Normal 20 13 11" xfId="27830" xr:uid="{92AA4F16-BC38-4566-8982-156967964C6B}"/>
    <cellStyle name="Normal 20 13 12" xfId="27831" xr:uid="{3F060CDE-B9B3-4A83-BCC3-383FF543D105}"/>
    <cellStyle name="Normal 20 13 13" xfId="27832" xr:uid="{B09BAAD7-CBBC-48B6-B185-A36C2029BC2F}"/>
    <cellStyle name="Normal 20 13 2" xfId="27833" xr:uid="{5FB791FB-B296-47C0-8532-FB6D7C718400}"/>
    <cellStyle name="Normal 20 13 2 2" xfId="27834" xr:uid="{1F971688-DC0A-403E-805E-116E7D46B2D9}"/>
    <cellStyle name="Normal 20 13 2 3" xfId="27835" xr:uid="{FD6A27C5-4B88-4E96-B0BC-E438F2DF29A1}"/>
    <cellStyle name="Normal 20 13 2 4" xfId="27836" xr:uid="{B4299A44-E236-48AC-AAA8-1BEA080991AD}"/>
    <cellStyle name="Normal 20 13 2 5" xfId="27837" xr:uid="{1CA48781-0BD8-434C-AA26-0CDFD32088FA}"/>
    <cellStyle name="Normal 20 13 2 6" xfId="27838" xr:uid="{047BBAB8-610A-4FA8-AB91-5925C86747AC}"/>
    <cellStyle name="Normal 20 13 3" xfId="27839" xr:uid="{E4A11C78-1A49-4D75-AB1F-9285C5155955}"/>
    <cellStyle name="Normal 20 13 3 2" xfId="27840" xr:uid="{181BBB50-6177-4225-B4A5-5AE76F63CF27}"/>
    <cellStyle name="Normal 20 13 3 3" xfId="27841" xr:uid="{9C088F6C-C223-4A96-BB96-37AADC0EDEF2}"/>
    <cellStyle name="Normal 20 13 3 4" xfId="27842" xr:uid="{257FE47A-DF2C-472C-B593-2E521B8DFE56}"/>
    <cellStyle name="Normal 20 13 3 5" xfId="27843" xr:uid="{AD967936-B686-4B96-8A71-687D87EA8317}"/>
    <cellStyle name="Normal 20 13 3 6" xfId="27844" xr:uid="{14443B22-A52E-4DD3-B3F6-A05252B42D81}"/>
    <cellStyle name="Normal 20 13 4" xfId="27845" xr:uid="{6DFF5961-7A5E-40D2-837D-926F6B2FE456}"/>
    <cellStyle name="Normal 20 13 4 2" xfId="27846" xr:uid="{21762EA6-1E23-4BDE-8AE4-77B88BB7ED28}"/>
    <cellStyle name="Normal 20 13 4 3" xfId="27847" xr:uid="{439F579E-6C57-435F-8506-C7999E74B1E4}"/>
    <cellStyle name="Normal 20 13 4 4" xfId="27848" xr:uid="{11F64441-A690-4F65-97C9-1BEBB03E1A6C}"/>
    <cellStyle name="Normal 20 13 4 5" xfId="27849" xr:uid="{2EB4F1CB-DA75-4E8A-AA3D-A6D68671937A}"/>
    <cellStyle name="Normal 20 13 4 6" xfId="27850" xr:uid="{13BB873C-00BC-4970-AB97-5756E2541980}"/>
    <cellStyle name="Normal 20 13 5" xfId="27851" xr:uid="{8E501101-9C27-48FD-8610-ACA8A437E927}"/>
    <cellStyle name="Normal 20 13 5 2" xfId="27852" xr:uid="{06A906A8-E00A-4CB6-9485-321E5AC08D97}"/>
    <cellStyle name="Normal 20 13 5 3" xfId="27853" xr:uid="{D6585D38-C010-4BFC-B675-B7B0BA792D63}"/>
    <cellStyle name="Normal 20 13 5 4" xfId="27854" xr:uid="{047D2D22-CF29-4943-9E5A-5FF6DB71987A}"/>
    <cellStyle name="Normal 20 13 5 5" xfId="27855" xr:uid="{ABA734B2-BEB8-4C4C-B570-3E6F57E6C7EA}"/>
    <cellStyle name="Normal 20 13 5 6" xfId="27856" xr:uid="{A1B0575F-A9B8-49FB-A363-464C0050892A}"/>
    <cellStyle name="Normal 20 13 6" xfId="27857" xr:uid="{579425BC-244B-4F76-BB74-77AD5A18E6D1}"/>
    <cellStyle name="Normal 20 13 6 2" xfId="27858" xr:uid="{56619930-1A9C-4DF4-B1AD-639FF881E7B0}"/>
    <cellStyle name="Normal 20 13 6 3" xfId="27859" xr:uid="{278CA326-3924-418E-82BD-26380238DAC3}"/>
    <cellStyle name="Normal 20 13 6 4" xfId="27860" xr:uid="{166ABA9B-1DF9-4863-8351-F5152CB03596}"/>
    <cellStyle name="Normal 20 13 6 5" xfId="27861" xr:uid="{08BE3E9E-49E9-457C-B86E-65A4B7F55CCD}"/>
    <cellStyle name="Normal 20 13 6 6" xfId="27862" xr:uid="{8C9F6B3F-2406-4954-A017-A10BB62C07F2}"/>
    <cellStyle name="Normal 20 13 7" xfId="27863" xr:uid="{00031FD2-5CA1-4BAA-AF61-47FD512A7768}"/>
    <cellStyle name="Normal 20 13 7 2" xfId="27864" xr:uid="{C4781BA8-FE1B-4B69-A435-C7D973BAF26C}"/>
    <cellStyle name="Normal 20 13 7 3" xfId="27865" xr:uid="{A18AE9E4-F6CE-424C-9E27-44307D67F5DB}"/>
    <cellStyle name="Normal 20 13 7 4" xfId="27866" xr:uid="{DE27344F-58D3-4BAE-94EE-6AA0B67EB78C}"/>
    <cellStyle name="Normal 20 13 7 5" xfId="27867" xr:uid="{8AF61A8A-4571-406B-B5B8-40C684E56242}"/>
    <cellStyle name="Normal 20 13 7 6" xfId="27868" xr:uid="{30155149-F68C-4DB2-874B-6551206B0F96}"/>
    <cellStyle name="Normal 20 13 8" xfId="27869" xr:uid="{1D9913D3-EB8F-4786-A1A7-17741A99DBF0}"/>
    <cellStyle name="Normal 20 13 8 2" xfId="27870" xr:uid="{062BF106-230F-4336-BEEE-CF5A8FC02C19}"/>
    <cellStyle name="Normal 20 13 8 3" xfId="27871" xr:uid="{AF1C0A5F-38D6-4C2B-9902-5A224B9C3B47}"/>
    <cellStyle name="Normal 20 13 8 4" xfId="27872" xr:uid="{C2F33D55-8EC0-4E6F-ADB2-375E5248C3B5}"/>
    <cellStyle name="Normal 20 13 8 5" xfId="27873" xr:uid="{ECB7BFB7-D9C9-436F-8BBB-F8A655EF0C3D}"/>
    <cellStyle name="Normal 20 13 8 6" xfId="27874" xr:uid="{3623697F-8FD6-43AB-9699-9D123B8DF87F}"/>
    <cellStyle name="Normal 20 13 9" xfId="27875" xr:uid="{788A9EA9-FCA9-4F7F-9BB0-B47DB6F9BA23}"/>
    <cellStyle name="Normal 20 14" xfId="27876" xr:uid="{E4D1F1FE-671A-4AB3-8114-49CC13DB2840}"/>
    <cellStyle name="Normal 20 14 10" xfId="27877" xr:uid="{B3E60947-E4E8-4709-B53F-C6EECCD04A8A}"/>
    <cellStyle name="Normal 20 14 11" xfId="27878" xr:uid="{EDFC1D9B-2EBB-489A-B80C-927F6EF828C1}"/>
    <cellStyle name="Normal 20 14 12" xfId="27879" xr:uid="{7BEB77C0-95B3-412D-8A04-8109808D0A74}"/>
    <cellStyle name="Normal 20 14 13" xfId="27880" xr:uid="{0F0FE668-38B4-4715-B3FC-26CD564B973C}"/>
    <cellStyle name="Normal 20 14 2" xfId="27881" xr:uid="{325CC514-FEA0-4031-801D-42264C7B7005}"/>
    <cellStyle name="Normal 20 14 2 2" xfId="27882" xr:uid="{19EDB780-3A3A-49A5-A4AC-DB73B68D7F9D}"/>
    <cellStyle name="Normal 20 14 2 3" xfId="27883" xr:uid="{9D9DE527-CD05-45F3-8F23-1B24021C374B}"/>
    <cellStyle name="Normal 20 14 2 4" xfId="27884" xr:uid="{8FEC7EFC-570C-4ED4-A950-500A8DEDD0F5}"/>
    <cellStyle name="Normal 20 14 2 5" xfId="27885" xr:uid="{9DB83762-D36F-4281-89F6-47D5A2946AA4}"/>
    <cellStyle name="Normal 20 14 2 6" xfId="27886" xr:uid="{FCBDEADF-E033-49EA-BF4C-3B44128F51A5}"/>
    <cellStyle name="Normal 20 14 3" xfId="27887" xr:uid="{F2067871-9F9D-4A72-A61B-5BE2D214D0B3}"/>
    <cellStyle name="Normal 20 14 3 2" xfId="27888" xr:uid="{99711B97-80C4-4126-BBA0-88B6CC1EB0AE}"/>
    <cellStyle name="Normal 20 14 3 3" xfId="27889" xr:uid="{A101B414-64D1-4521-8A36-C25250F8A785}"/>
    <cellStyle name="Normal 20 14 3 4" xfId="27890" xr:uid="{BA3682E5-7892-4AEC-A8F7-9C0DA7FFCC90}"/>
    <cellStyle name="Normal 20 14 3 5" xfId="27891" xr:uid="{BC241E04-6D64-4C65-9BC5-4B1074861B50}"/>
    <cellStyle name="Normal 20 14 3 6" xfId="27892" xr:uid="{A3C0D959-1AF5-4768-9F0F-691194C91355}"/>
    <cellStyle name="Normal 20 14 4" xfId="27893" xr:uid="{2DA51B71-0CF4-446E-8CE6-1AE3CEBCA86C}"/>
    <cellStyle name="Normal 20 14 4 2" xfId="27894" xr:uid="{07B41FEA-00AF-4FB6-A3BC-D78B9472D2BC}"/>
    <cellStyle name="Normal 20 14 4 3" xfId="27895" xr:uid="{260230AF-D268-40BA-830E-78931893C75E}"/>
    <cellStyle name="Normal 20 14 4 4" xfId="27896" xr:uid="{7D87A66C-761F-4C9A-9C86-684FDA5C9FAF}"/>
    <cellStyle name="Normal 20 14 4 5" xfId="27897" xr:uid="{A2C68830-3485-41DF-BEC3-4F392EB73549}"/>
    <cellStyle name="Normal 20 14 4 6" xfId="27898" xr:uid="{E9BC6D6D-1C62-4571-B486-E3992188BE4A}"/>
    <cellStyle name="Normal 20 14 5" xfId="27899" xr:uid="{AC38EB5D-6E0C-4F2B-B544-1B5450889D11}"/>
    <cellStyle name="Normal 20 14 5 2" xfId="27900" xr:uid="{C00295C5-AC2E-4A54-BA21-2828AEB3CF87}"/>
    <cellStyle name="Normal 20 14 5 3" xfId="27901" xr:uid="{2F979F2E-8DBF-4922-94B4-7CD1CC543BAB}"/>
    <cellStyle name="Normal 20 14 5 4" xfId="27902" xr:uid="{6EE09570-F767-45C1-9934-B3CEC78B1D28}"/>
    <cellStyle name="Normal 20 14 5 5" xfId="27903" xr:uid="{4C40FD54-B628-466D-A914-09A8124DE9A4}"/>
    <cellStyle name="Normal 20 14 5 6" xfId="27904" xr:uid="{F7F59426-3EDE-4B45-9D1C-A0B9F28B473F}"/>
    <cellStyle name="Normal 20 14 6" xfId="27905" xr:uid="{6FB7E180-1F0F-44A4-A827-A5BCDEF5B5FA}"/>
    <cellStyle name="Normal 20 14 6 2" xfId="27906" xr:uid="{B360B625-DEAA-4E12-A246-0A7B538DD536}"/>
    <cellStyle name="Normal 20 14 6 3" xfId="27907" xr:uid="{7242029D-0ACB-4EE5-B54D-7CD33D2BBA12}"/>
    <cellStyle name="Normal 20 14 6 4" xfId="27908" xr:uid="{CE8382EF-9088-482D-BFC2-39A8B1B9F4A9}"/>
    <cellStyle name="Normal 20 14 6 5" xfId="27909" xr:uid="{598FF7FF-2CA8-4F42-8774-E926C39E5F67}"/>
    <cellStyle name="Normal 20 14 6 6" xfId="27910" xr:uid="{3D979AAB-B627-4BFD-937A-F80A8078FAD8}"/>
    <cellStyle name="Normal 20 14 7" xfId="27911" xr:uid="{AA4743D6-9582-4C3B-BC16-059AA491EE79}"/>
    <cellStyle name="Normal 20 14 7 2" xfId="27912" xr:uid="{3CA60515-D5F4-4E29-8BA5-85B65066ADBB}"/>
    <cellStyle name="Normal 20 14 7 3" xfId="27913" xr:uid="{8A55D8F9-2B6F-4CD2-B2B6-AA7F4EF62217}"/>
    <cellStyle name="Normal 20 14 7 4" xfId="27914" xr:uid="{4B90D385-546F-4C92-8910-589F69EF1E21}"/>
    <cellStyle name="Normal 20 14 7 5" xfId="27915" xr:uid="{2AC39DDE-E74E-4BBB-ACA7-75039557B157}"/>
    <cellStyle name="Normal 20 14 7 6" xfId="27916" xr:uid="{1B0AA495-CECC-4A59-9213-C3AD8029DC16}"/>
    <cellStyle name="Normal 20 14 8" xfId="27917" xr:uid="{90AB6751-67B0-43A0-9FF8-47410F8DE64F}"/>
    <cellStyle name="Normal 20 14 8 2" xfId="27918" xr:uid="{0A7C0240-50BC-4F36-B82F-5039A98A61C5}"/>
    <cellStyle name="Normal 20 14 8 3" xfId="27919" xr:uid="{B184907B-D3A8-482E-926C-A9D169BC81DD}"/>
    <cellStyle name="Normal 20 14 8 4" xfId="27920" xr:uid="{B27D88A4-0B62-4473-A288-9DF7994DDAAD}"/>
    <cellStyle name="Normal 20 14 8 5" xfId="27921" xr:uid="{989644F6-9459-4091-8B65-A1C9E113EE03}"/>
    <cellStyle name="Normal 20 14 8 6" xfId="27922" xr:uid="{3A0788E0-76BC-4B6E-B132-A2A20FD16DD1}"/>
    <cellStyle name="Normal 20 14 9" xfId="27923" xr:uid="{E9C4AE73-8555-4D97-B124-A55BE674357C}"/>
    <cellStyle name="Normal 20 15" xfId="27924" xr:uid="{30FD7825-E0A8-45C8-9F54-FD8ED5CBF17B}"/>
    <cellStyle name="Normal 20 15 10" xfId="27925" xr:uid="{D407A953-AA25-40A8-BD28-5AE3879E353E}"/>
    <cellStyle name="Normal 20 15 11" xfId="27926" xr:uid="{662630E8-1F19-4C5B-8D42-EE1F32920AC3}"/>
    <cellStyle name="Normal 20 15 12" xfId="27927" xr:uid="{01FF3874-0A60-469B-A328-3BEA2538F0DE}"/>
    <cellStyle name="Normal 20 15 13" xfId="27928" xr:uid="{D8837D2B-B014-4746-86A7-B6D41EF1015B}"/>
    <cellStyle name="Normal 20 15 2" xfId="27929" xr:uid="{790B9DE8-F449-4F08-BFF7-0362E7E16F5F}"/>
    <cellStyle name="Normal 20 15 2 2" xfId="27930" xr:uid="{514069E7-0078-4B0D-9041-33D64596EB59}"/>
    <cellStyle name="Normal 20 15 2 3" xfId="27931" xr:uid="{8684F5DB-FBE2-40CB-8B8F-D2252493ABBA}"/>
    <cellStyle name="Normal 20 15 2 4" xfId="27932" xr:uid="{3BA392B0-2BF9-47A2-B7B0-E1A7F2ABA914}"/>
    <cellStyle name="Normal 20 15 2 5" xfId="27933" xr:uid="{AF77BCFE-E9D8-42A0-81CE-5E076670B546}"/>
    <cellStyle name="Normal 20 15 2 6" xfId="27934" xr:uid="{57DB674E-67C2-4CC1-968A-94556AD32B0F}"/>
    <cellStyle name="Normal 20 15 3" xfId="27935" xr:uid="{DB603ABC-BA4E-4627-897A-7BED4742541A}"/>
    <cellStyle name="Normal 20 15 3 2" xfId="27936" xr:uid="{D11AE666-70F6-4D94-AFF1-D26E07CF749F}"/>
    <cellStyle name="Normal 20 15 3 3" xfId="27937" xr:uid="{E6CAB6CE-1651-495F-8FA1-8BE23BFACB80}"/>
    <cellStyle name="Normal 20 15 3 4" xfId="27938" xr:uid="{A1A3FE7C-01C5-40EE-B7D0-7AE70E1E1A09}"/>
    <cellStyle name="Normal 20 15 3 5" xfId="27939" xr:uid="{8A8AF0CA-AE22-44E6-A383-A39EB0C732B0}"/>
    <cellStyle name="Normal 20 15 3 6" xfId="27940" xr:uid="{13C7EFC4-DDF4-41D2-841D-22D2ADC18C52}"/>
    <cellStyle name="Normal 20 15 4" xfId="27941" xr:uid="{225AB4E9-FC18-47B8-83DA-9F3ED8B74D91}"/>
    <cellStyle name="Normal 20 15 4 2" xfId="27942" xr:uid="{6EBA2448-BDCF-47C9-922A-BD197CCBA3EB}"/>
    <cellStyle name="Normal 20 15 4 3" xfId="27943" xr:uid="{D717C84B-4015-4444-A53F-064D59A116D0}"/>
    <cellStyle name="Normal 20 15 4 4" xfId="27944" xr:uid="{4190C72C-7E0B-48B1-A21C-61045154C9E1}"/>
    <cellStyle name="Normal 20 15 4 5" xfId="27945" xr:uid="{CFAAD9D9-8150-4036-9B44-1C40D3D96822}"/>
    <cellStyle name="Normal 20 15 4 6" xfId="27946" xr:uid="{32E43FCA-75A4-4705-9A57-D0F1E5296122}"/>
    <cellStyle name="Normal 20 15 5" xfId="27947" xr:uid="{FAAC3407-967B-4365-9A18-EAAEA6F70772}"/>
    <cellStyle name="Normal 20 15 5 2" xfId="27948" xr:uid="{9B4FD072-57D7-4B3E-B5EE-7C4C9F8BF1FA}"/>
    <cellStyle name="Normal 20 15 5 3" xfId="27949" xr:uid="{A6743D05-000C-4B8F-B2B9-FE1F5DD5C70A}"/>
    <cellStyle name="Normal 20 15 5 4" xfId="27950" xr:uid="{C57AB789-F303-455B-A897-D42D4327EBC4}"/>
    <cellStyle name="Normal 20 15 5 5" xfId="27951" xr:uid="{11E69BA9-7B5D-4AE1-B1D6-253207A9DD53}"/>
    <cellStyle name="Normal 20 15 5 6" xfId="27952" xr:uid="{971B1AC7-5B35-4B1C-B9FE-6113C7EC5998}"/>
    <cellStyle name="Normal 20 15 6" xfId="27953" xr:uid="{98BB64FD-B2FB-4C73-B40B-1E966DA47396}"/>
    <cellStyle name="Normal 20 15 6 2" xfId="27954" xr:uid="{2A230EB4-A60F-4DF5-B7E3-794A38A91072}"/>
    <cellStyle name="Normal 20 15 6 3" xfId="27955" xr:uid="{E5A207BC-D98E-4B42-AABC-5CAD12E4BE75}"/>
    <cellStyle name="Normal 20 15 6 4" xfId="27956" xr:uid="{F0000E89-603B-4BDF-88D4-7EA1965D9976}"/>
    <cellStyle name="Normal 20 15 6 5" xfId="27957" xr:uid="{31DD046B-0C9C-47C1-BD1C-A18B6F7A96F2}"/>
    <cellStyle name="Normal 20 15 6 6" xfId="27958" xr:uid="{02A5CB08-43E5-4D1F-AF98-D279B676F017}"/>
    <cellStyle name="Normal 20 15 7" xfId="27959" xr:uid="{6EA26475-FE87-4ACC-A4E8-1C906F02199D}"/>
    <cellStyle name="Normal 20 15 7 2" xfId="27960" xr:uid="{D4BF21DB-CDB1-452E-B9B2-9E76B54C8F92}"/>
    <cellStyle name="Normal 20 15 7 3" xfId="27961" xr:uid="{6FAAC435-63EA-4278-826E-414FC92D4361}"/>
    <cellStyle name="Normal 20 15 7 4" xfId="27962" xr:uid="{0910FCBA-8AF3-4366-9677-CB92E5D9459F}"/>
    <cellStyle name="Normal 20 15 7 5" xfId="27963" xr:uid="{FD17C3E0-180B-4787-89D1-A22641BF3103}"/>
    <cellStyle name="Normal 20 15 7 6" xfId="27964" xr:uid="{783C3526-28E0-4BAD-A66F-5ABA5B797606}"/>
    <cellStyle name="Normal 20 15 8" xfId="27965" xr:uid="{A86B0E5E-4156-4DF8-BA10-E8955A4BC2B9}"/>
    <cellStyle name="Normal 20 15 8 2" xfId="27966" xr:uid="{15BEC661-6664-4836-A918-1426732EEEBB}"/>
    <cellStyle name="Normal 20 15 8 3" xfId="27967" xr:uid="{D72C937E-CBD7-4F15-A11E-3FB6F47F0F2C}"/>
    <cellStyle name="Normal 20 15 8 4" xfId="27968" xr:uid="{D630A419-8E7C-4793-9E5C-96E372C5FC8D}"/>
    <cellStyle name="Normal 20 15 8 5" xfId="27969" xr:uid="{A36C8B81-C4B8-4822-A392-012367742DDC}"/>
    <cellStyle name="Normal 20 15 8 6" xfId="27970" xr:uid="{B9154BD8-360B-4B22-8167-E1661F674250}"/>
    <cellStyle name="Normal 20 15 9" xfId="27971" xr:uid="{1DE729FF-CA6C-4F65-88C1-237045CCFDE5}"/>
    <cellStyle name="Normal 20 16" xfId="27972" xr:uid="{3E74BCC9-9596-45DD-9337-5354484F267B}"/>
    <cellStyle name="Normal 20 16 10" xfId="27973" xr:uid="{71FB3B08-C3FF-499B-AC1A-8676E5013423}"/>
    <cellStyle name="Normal 20 16 11" xfId="27974" xr:uid="{4D0C90E4-55BD-4E8B-994E-30273300537E}"/>
    <cellStyle name="Normal 20 16 12" xfId="27975" xr:uid="{E9D210F3-86A9-47E2-92C3-136B36D61386}"/>
    <cellStyle name="Normal 20 16 13" xfId="27976" xr:uid="{32167C25-38D9-4605-A129-D7597406FA8C}"/>
    <cellStyle name="Normal 20 16 2" xfId="27977" xr:uid="{27AA8D60-F4E8-4825-880A-6853C0DB9CAF}"/>
    <cellStyle name="Normal 20 16 2 2" xfId="27978" xr:uid="{07845211-55FC-48D6-BC09-AC9B25735E82}"/>
    <cellStyle name="Normal 20 16 2 3" xfId="27979" xr:uid="{3231E141-53B9-4129-B287-3A59D7A7AAC3}"/>
    <cellStyle name="Normal 20 16 2 4" xfId="27980" xr:uid="{479AB508-8671-457D-AF38-1D6C89F41FD7}"/>
    <cellStyle name="Normal 20 16 2 5" xfId="27981" xr:uid="{17AF9CCF-37AC-4EF9-9BDC-31EC358AD8FE}"/>
    <cellStyle name="Normal 20 16 2 6" xfId="27982" xr:uid="{47AEC52F-FACE-4539-B710-38541B4FD6AB}"/>
    <cellStyle name="Normal 20 16 3" xfId="27983" xr:uid="{5F36F740-FC63-4B90-BEB2-89CA2813CF8F}"/>
    <cellStyle name="Normal 20 16 3 2" xfId="27984" xr:uid="{7C51965A-2898-42E2-AB48-9CF4D276B9A2}"/>
    <cellStyle name="Normal 20 16 3 3" xfId="27985" xr:uid="{75E4C3AC-A03E-4005-9BEB-95179AD053B2}"/>
    <cellStyle name="Normal 20 16 3 4" xfId="27986" xr:uid="{D7C36458-D902-4D56-97A4-2732CA789C47}"/>
    <cellStyle name="Normal 20 16 3 5" xfId="27987" xr:uid="{29FFCCC0-0CDF-4A07-A043-1E6AB3116D46}"/>
    <cellStyle name="Normal 20 16 3 6" xfId="27988" xr:uid="{505F0B2A-573C-40EF-BA5C-CF3FA7095A25}"/>
    <cellStyle name="Normal 20 16 4" xfId="27989" xr:uid="{67A8658E-CC99-4798-B1EB-A3253537473B}"/>
    <cellStyle name="Normal 20 16 4 2" xfId="27990" xr:uid="{E3CA5EAE-B50B-40B7-B7BC-F525C50FF9B3}"/>
    <cellStyle name="Normal 20 16 4 3" xfId="27991" xr:uid="{CC8B1A0A-E81D-46B3-89D2-C9810D52CC8D}"/>
    <cellStyle name="Normal 20 16 4 4" xfId="27992" xr:uid="{08C308F3-2AF5-4DF2-A53E-113326D4ED7E}"/>
    <cellStyle name="Normal 20 16 4 5" xfId="27993" xr:uid="{A1AACB82-C2AC-4C65-AB6F-2A14300A2A68}"/>
    <cellStyle name="Normal 20 16 4 6" xfId="27994" xr:uid="{C2088934-BF00-4E87-8A18-51BC03E64AD7}"/>
    <cellStyle name="Normal 20 16 5" xfId="27995" xr:uid="{91C0279A-7918-4CCC-8321-182D20289E1C}"/>
    <cellStyle name="Normal 20 16 5 2" xfId="27996" xr:uid="{4C50CDD3-5E91-4E6D-9332-69F9A5FFFDEB}"/>
    <cellStyle name="Normal 20 16 5 3" xfId="27997" xr:uid="{30925206-172A-42D5-9A5E-E0BD5B17F21B}"/>
    <cellStyle name="Normal 20 16 5 4" xfId="27998" xr:uid="{2286ECAC-DEB0-4A9B-8DDB-991136B01680}"/>
    <cellStyle name="Normal 20 16 5 5" xfId="27999" xr:uid="{423349BF-3F8D-4E74-8615-D7BDF61BBA1F}"/>
    <cellStyle name="Normal 20 16 5 6" xfId="28000" xr:uid="{14DE6B67-FC46-4404-B151-675CE284B060}"/>
    <cellStyle name="Normal 20 16 6" xfId="28001" xr:uid="{05278E22-B80E-4E89-A0D0-F9CC92117780}"/>
    <cellStyle name="Normal 20 16 6 2" xfId="28002" xr:uid="{95E10FCE-8813-4999-B440-BD39215D5A74}"/>
    <cellStyle name="Normal 20 16 6 3" xfId="28003" xr:uid="{6C903F6A-3C49-43AA-BADE-AD273CADD720}"/>
    <cellStyle name="Normal 20 16 6 4" xfId="28004" xr:uid="{F56541F9-B076-4D97-ACFA-4664C04F5236}"/>
    <cellStyle name="Normal 20 16 6 5" xfId="28005" xr:uid="{58691DAC-10BB-4EF4-A61D-D9401606DE0A}"/>
    <cellStyle name="Normal 20 16 6 6" xfId="28006" xr:uid="{8464B4EF-01DF-4A1E-BAF8-1EAB171D153E}"/>
    <cellStyle name="Normal 20 16 7" xfId="28007" xr:uid="{22F96987-B9F1-4A1E-95AB-BBC846DE5850}"/>
    <cellStyle name="Normal 20 16 7 2" xfId="28008" xr:uid="{FF8A9CBA-7DAC-431E-92A4-195023690DF9}"/>
    <cellStyle name="Normal 20 16 7 3" xfId="28009" xr:uid="{85BC15E6-B7CC-44FF-A59B-C12B6EC6E702}"/>
    <cellStyle name="Normal 20 16 7 4" xfId="28010" xr:uid="{E67529E6-D30E-462A-8B08-BD7A35F74526}"/>
    <cellStyle name="Normal 20 16 7 5" xfId="28011" xr:uid="{2F3622CC-ECCF-4490-BFDC-AC63A75EC4E5}"/>
    <cellStyle name="Normal 20 16 7 6" xfId="28012" xr:uid="{250266EC-EE10-40DD-B3F2-88753523B7AB}"/>
    <cellStyle name="Normal 20 16 8" xfId="28013" xr:uid="{D5E196AE-34C3-4FAD-9167-E41F08DC1A70}"/>
    <cellStyle name="Normal 20 16 8 2" xfId="28014" xr:uid="{A145C00C-A5EB-4143-893A-051A99C4442D}"/>
    <cellStyle name="Normal 20 16 8 3" xfId="28015" xr:uid="{BFB65EE5-0430-4654-BCFF-42E214D577DA}"/>
    <cellStyle name="Normal 20 16 8 4" xfId="28016" xr:uid="{A132DBF5-64AA-4806-81D9-AE49CEA9E2B8}"/>
    <cellStyle name="Normal 20 16 8 5" xfId="28017" xr:uid="{2290F8DA-E907-4501-AA90-E280092AB320}"/>
    <cellStyle name="Normal 20 16 8 6" xfId="28018" xr:uid="{F98A0BBB-2F43-442F-B1D7-02600BCAC784}"/>
    <cellStyle name="Normal 20 16 9" xfId="28019" xr:uid="{61113AA8-44C2-4B1B-ABAF-12EB52603864}"/>
    <cellStyle name="Normal 20 17" xfId="28020" xr:uid="{E7BCCFA3-2B21-4B44-B882-F70FA11351F0}"/>
    <cellStyle name="Normal 20 17 10" xfId="28021" xr:uid="{00D9AE5F-E2A2-453F-91BE-95A660FBF7CF}"/>
    <cellStyle name="Normal 20 17 11" xfId="28022" xr:uid="{386178B7-4514-4212-BC70-31D4DEC8A530}"/>
    <cellStyle name="Normal 20 17 12" xfId="28023" xr:uid="{E8EF46F2-A711-45CE-8F65-DB7FA0DD7ECD}"/>
    <cellStyle name="Normal 20 17 13" xfId="28024" xr:uid="{44F41DF6-4184-4E37-8241-1E7A6CC09591}"/>
    <cellStyle name="Normal 20 17 2" xfId="28025" xr:uid="{25CC4C3B-A591-4E80-9241-8E915C9E0105}"/>
    <cellStyle name="Normal 20 17 2 2" xfId="28026" xr:uid="{A1913984-FD31-472D-8891-5DE2D76CDD45}"/>
    <cellStyle name="Normal 20 17 2 3" xfId="28027" xr:uid="{EEAF5F9E-0857-48A8-8606-552A0E25E4B8}"/>
    <cellStyle name="Normal 20 17 2 4" xfId="28028" xr:uid="{3C3A2DC0-E93B-4F97-8D54-82D5729DF9DA}"/>
    <cellStyle name="Normal 20 17 2 5" xfId="28029" xr:uid="{7C439B58-91F8-4BF2-9A5C-BB16E708B21A}"/>
    <cellStyle name="Normal 20 17 2 6" xfId="28030" xr:uid="{E295031F-D5FD-433C-9BAC-F269B8D30017}"/>
    <cellStyle name="Normal 20 17 3" xfId="28031" xr:uid="{55D4DE83-1EF2-42FC-A8A4-F5852CE06ADD}"/>
    <cellStyle name="Normal 20 17 3 2" xfId="28032" xr:uid="{A4A8102A-508E-4A40-921C-27BD94D7994B}"/>
    <cellStyle name="Normal 20 17 3 3" xfId="28033" xr:uid="{1289A88C-202B-4D58-B871-3CE0D9730FF2}"/>
    <cellStyle name="Normal 20 17 3 4" xfId="28034" xr:uid="{8C446111-F44F-429A-ABF6-540D6FB6D0DF}"/>
    <cellStyle name="Normal 20 17 3 5" xfId="28035" xr:uid="{CCD837ED-DEF6-4ABF-B025-219097380E73}"/>
    <cellStyle name="Normal 20 17 3 6" xfId="28036" xr:uid="{F961437C-C66D-43A7-9C3A-F9EC989CC326}"/>
    <cellStyle name="Normal 20 17 4" xfId="28037" xr:uid="{3B2242EA-ACA1-4180-8CD5-8846858EB08C}"/>
    <cellStyle name="Normal 20 17 4 2" xfId="28038" xr:uid="{E12FAA69-AB28-4247-A17A-EF994629F8A2}"/>
    <cellStyle name="Normal 20 17 4 3" xfId="28039" xr:uid="{C8BE11C4-E85E-44F0-BD92-6C742FC0213E}"/>
    <cellStyle name="Normal 20 17 4 4" xfId="28040" xr:uid="{B3138D86-FD48-4F73-8653-E0A20C7AB93F}"/>
    <cellStyle name="Normal 20 17 4 5" xfId="28041" xr:uid="{B5FBB7C5-C316-451C-9A00-BC2770E24ED5}"/>
    <cellStyle name="Normal 20 17 4 6" xfId="28042" xr:uid="{451C77AE-7DDE-4B10-8224-8A6797BEF735}"/>
    <cellStyle name="Normal 20 17 5" xfId="28043" xr:uid="{2E07797A-6107-463B-A0DC-7E2ED380E1A4}"/>
    <cellStyle name="Normal 20 17 5 2" xfId="28044" xr:uid="{9294F00D-D391-4165-B134-CA6A3E2EE37A}"/>
    <cellStyle name="Normal 20 17 5 3" xfId="28045" xr:uid="{5537D9AD-D7CD-4E19-B51D-000ED69A6A7B}"/>
    <cellStyle name="Normal 20 17 5 4" xfId="28046" xr:uid="{A3BE755F-82A9-4512-B3D5-EA109875B20A}"/>
    <cellStyle name="Normal 20 17 5 5" xfId="28047" xr:uid="{1049C35D-F38E-4783-A931-7D3765977757}"/>
    <cellStyle name="Normal 20 17 5 6" xfId="28048" xr:uid="{FD3A25D0-1D96-4898-899C-F3403FD50D51}"/>
    <cellStyle name="Normal 20 17 6" xfId="28049" xr:uid="{B7D95695-5DCE-4F60-A3DE-D44898510DBB}"/>
    <cellStyle name="Normal 20 17 6 2" xfId="28050" xr:uid="{5ACFBCB3-CBFE-4A7C-9417-78BE2E18A51B}"/>
    <cellStyle name="Normal 20 17 6 3" xfId="28051" xr:uid="{8EEB808E-6BD2-4FE5-B756-FDA46EC357B7}"/>
    <cellStyle name="Normal 20 17 6 4" xfId="28052" xr:uid="{D1BE7426-C69F-4C39-8152-E20D76F62C7D}"/>
    <cellStyle name="Normal 20 17 6 5" xfId="28053" xr:uid="{78D90BB9-F429-416F-B5B2-4B669CCFEC13}"/>
    <cellStyle name="Normal 20 17 6 6" xfId="28054" xr:uid="{94B6EB21-7EBA-4E70-AC98-6BAF0E699387}"/>
    <cellStyle name="Normal 20 17 7" xfId="28055" xr:uid="{C70058A9-DF40-4BC0-B733-2EAB0D020849}"/>
    <cellStyle name="Normal 20 17 7 2" xfId="28056" xr:uid="{D933D32D-E984-4980-BCEB-C13B87243CB8}"/>
    <cellStyle name="Normal 20 17 7 3" xfId="28057" xr:uid="{45DE39AB-624B-4D5B-9B66-D14C4ABC08B8}"/>
    <cellStyle name="Normal 20 17 7 4" xfId="28058" xr:uid="{CD97F787-EDAD-4FC7-AB2E-337D87367069}"/>
    <cellStyle name="Normal 20 17 7 5" xfId="28059" xr:uid="{BD902FAD-9C3D-4574-AD28-78A27B7081ED}"/>
    <cellStyle name="Normal 20 17 7 6" xfId="28060" xr:uid="{1E37F377-86B1-42E6-B4BD-6B291649A2E3}"/>
    <cellStyle name="Normal 20 17 8" xfId="28061" xr:uid="{06CF4EE6-459B-4E60-93CA-164AD943EF87}"/>
    <cellStyle name="Normal 20 17 8 2" xfId="28062" xr:uid="{F5427C9E-395E-4CE2-AAA8-2311EF3CB927}"/>
    <cellStyle name="Normal 20 17 8 3" xfId="28063" xr:uid="{D84F08D3-747F-4C7C-8E03-945E6B8A1E5B}"/>
    <cellStyle name="Normal 20 17 8 4" xfId="28064" xr:uid="{09C56801-7028-4B24-A178-DF83FFC7419F}"/>
    <cellStyle name="Normal 20 17 8 5" xfId="28065" xr:uid="{765CBD50-3A28-4014-9598-F989727AF865}"/>
    <cellStyle name="Normal 20 17 8 6" xfId="28066" xr:uid="{F58A096F-BF84-4B1C-A8F0-B65E9F734DD7}"/>
    <cellStyle name="Normal 20 17 9" xfId="28067" xr:uid="{E554D281-187B-4D6C-9EC8-CFBE91F7D879}"/>
    <cellStyle name="Normal 20 18" xfId="28068" xr:uid="{FCE00123-BE4B-4E24-93CE-D34D4B56ED6A}"/>
    <cellStyle name="Normal 20 18 10" xfId="28069" xr:uid="{757F08CC-C20F-4B6C-9980-C6888D0674E9}"/>
    <cellStyle name="Normal 20 18 11" xfId="28070" xr:uid="{169826E8-7745-4479-B9BB-97CFCEBC186A}"/>
    <cellStyle name="Normal 20 18 12" xfId="28071" xr:uid="{7D55FE49-C4B1-46B3-A429-7C01FA4DE75A}"/>
    <cellStyle name="Normal 20 18 13" xfId="28072" xr:uid="{78A3341C-B49C-414E-A166-D1484227A4FD}"/>
    <cellStyle name="Normal 20 18 2" xfId="28073" xr:uid="{8669063D-BFFC-4A72-977A-ABE893BB7910}"/>
    <cellStyle name="Normal 20 18 2 2" xfId="28074" xr:uid="{CB9BF34F-1AEE-420A-A6AA-121CBCCA43D2}"/>
    <cellStyle name="Normal 20 18 2 3" xfId="28075" xr:uid="{4F4C430C-9836-4FE0-B8CC-1213A94E310E}"/>
    <cellStyle name="Normal 20 18 2 4" xfId="28076" xr:uid="{175BCA17-4142-4A28-A50D-5CECF9806D6D}"/>
    <cellStyle name="Normal 20 18 2 5" xfId="28077" xr:uid="{0B4234EA-2181-4CE7-8085-0C1214275799}"/>
    <cellStyle name="Normal 20 18 2 6" xfId="28078" xr:uid="{F24A113F-7247-4DF1-A3C1-FE3AE71F36E7}"/>
    <cellStyle name="Normal 20 18 3" xfId="28079" xr:uid="{DFD31E6B-569D-460E-AEBB-A670BC3C5287}"/>
    <cellStyle name="Normal 20 18 3 2" xfId="28080" xr:uid="{AE64CE75-FE74-408A-AE5D-4B7E7E65C619}"/>
    <cellStyle name="Normal 20 18 3 3" xfId="28081" xr:uid="{61B886FD-2ECF-406E-87C8-87C8934A30F0}"/>
    <cellStyle name="Normal 20 18 3 4" xfId="28082" xr:uid="{9684808A-5764-4153-A434-82089CD22DD2}"/>
    <cellStyle name="Normal 20 18 3 5" xfId="28083" xr:uid="{4DC568B3-3FE4-4A20-BA22-F4746375C1B9}"/>
    <cellStyle name="Normal 20 18 3 6" xfId="28084" xr:uid="{82584BCA-B548-4D70-AC95-95F8B762997E}"/>
    <cellStyle name="Normal 20 18 4" xfId="28085" xr:uid="{D5C9CA62-0158-421C-8356-7AB058471263}"/>
    <cellStyle name="Normal 20 18 4 2" xfId="28086" xr:uid="{456D593C-F61F-4F11-A1D6-3D035430941C}"/>
    <cellStyle name="Normal 20 18 4 3" xfId="28087" xr:uid="{A245C439-E558-411D-8B4A-3002C589A088}"/>
    <cellStyle name="Normal 20 18 4 4" xfId="28088" xr:uid="{AAEC8341-0879-4DEE-B0DC-004C1153D594}"/>
    <cellStyle name="Normal 20 18 4 5" xfId="28089" xr:uid="{7D3AF588-84AC-4E00-8FAB-A1AA8D536C86}"/>
    <cellStyle name="Normal 20 18 4 6" xfId="28090" xr:uid="{1318340F-9CB7-4A5D-BED9-D8A4C22D59C8}"/>
    <cellStyle name="Normal 20 18 5" xfId="28091" xr:uid="{001AD1A6-5CC6-4537-937A-4125730E19DD}"/>
    <cellStyle name="Normal 20 18 5 2" xfId="28092" xr:uid="{11B94A6C-FB39-4D43-A1C4-92BAD6815B63}"/>
    <cellStyle name="Normal 20 18 5 3" xfId="28093" xr:uid="{D463F7D0-B893-4339-82BC-CA40CBF4F9CA}"/>
    <cellStyle name="Normal 20 18 5 4" xfId="28094" xr:uid="{3662DCA1-C680-4E60-9EC7-7A2EF7CE51A8}"/>
    <cellStyle name="Normal 20 18 5 5" xfId="28095" xr:uid="{A26906A2-9624-4B69-9020-DB6F57A7B9C8}"/>
    <cellStyle name="Normal 20 18 5 6" xfId="28096" xr:uid="{748EA4E2-FA57-4F7B-9F86-3A3B0897EAD7}"/>
    <cellStyle name="Normal 20 18 6" xfId="28097" xr:uid="{4FD78E9D-2B73-43DA-9055-C1BAF117D6A7}"/>
    <cellStyle name="Normal 20 18 6 2" xfId="28098" xr:uid="{1406B85E-2AE9-42D1-AD78-DCC58A54D71C}"/>
    <cellStyle name="Normal 20 18 6 3" xfId="28099" xr:uid="{685FED3E-1335-4259-B99A-FF538F03D227}"/>
    <cellStyle name="Normal 20 18 6 4" xfId="28100" xr:uid="{0BB93516-241F-4E41-B641-DA7FE6F6110F}"/>
    <cellStyle name="Normal 20 18 6 5" xfId="28101" xr:uid="{8689684E-DFF2-4D0B-904A-347E305889FE}"/>
    <cellStyle name="Normal 20 18 6 6" xfId="28102" xr:uid="{309A88D9-CCA1-48AF-9851-127B5C835BA2}"/>
    <cellStyle name="Normal 20 18 7" xfId="28103" xr:uid="{33106D77-83C1-4400-BEF2-F7DA0E3E5EE6}"/>
    <cellStyle name="Normal 20 18 7 2" xfId="28104" xr:uid="{6006850A-7485-4D88-8FCB-C633976BE03F}"/>
    <cellStyle name="Normal 20 18 7 3" xfId="28105" xr:uid="{ECF94682-DD58-44A6-B245-08953402A58D}"/>
    <cellStyle name="Normal 20 18 7 4" xfId="28106" xr:uid="{CC2DD219-BDCF-4E65-ADE6-6035F164923C}"/>
    <cellStyle name="Normal 20 18 7 5" xfId="28107" xr:uid="{84E7899B-FCE6-4955-9618-FFC7D07066C8}"/>
    <cellStyle name="Normal 20 18 7 6" xfId="28108" xr:uid="{C2BFB47D-6831-4E95-97C3-AC1B0B84758C}"/>
    <cellStyle name="Normal 20 18 8" xfId="28109" xr:uid="{B31AA622-825D-46FE-A119-C4C48A92E17F}"/>
    <cellStyle name="Normal 20 18 8 2" xfId="28110" xr:uid="{F724FAFA-E13F-46BD-AD25-39924CAC751C}"/>
    <cellStyle name="Normal 20 18 8 3" xfId="28111" xr:uid="{D2FE4638-E27E-4E3B-BECE-D95ECF967E43}"/>
    <cellStyle name="Normal 20 18 8 4" xfId="28112" xr:uid="{75B11BA6-272E-46FC-A4AE-8514091E6839}"/>
    <cellStyle name="Normal 20 18 8 5" xfId="28113" xr:uid="{93628090-2253-4B64-ABB2-1FFB2FC4C29A}"/>
    <cellStyle name="Normal 20 18 8 6" xfId="28114" xr:uid="{C4B958D8-FC46-4ADE-A481-2B394F668033}"/>
    <cellStyle name="Normal 20 18 9" xfId="28115" xr:uid="{A6064DE2-6EAB-4F3E-93E7-2C39C78F6822}"/>
    <cellStyle name="Normal 20 19" xfId="28116" xr:uid="{E47D4AEB-DA04-43E7-931E-15AEEAF05981}"/>
    <cellStyle name="Normal 20 19 10" xfId="28117" xr:uid="{33A804E5-DBB5-498B-B35B-404A24E4488E}"/>
    <cellStyle name="Normal 20 19 11" xfId="28118" xr:uid="{5C96E0A0-62A3-4E2F-A4F5-6E98AC1CF794}"/>
    <cellStyle name="Normal 20 19 12" xfId="28119" xr:uid="{D1C34B0D-C57E-4189-8AC8-47C2DAF18B30}"/>
    <cellStyle name="Normal 20 19 13" xfId="28120" xr:uid="{D951D33E-A6C8-4651-BFC0-C2FCF2C29F87}"/>
    <cellStyle name="Normal 20 19 2" xfId="28121" xr:uid="{30403C99-9A0E-47EF-A3C8-754DC234207A}"/>
    <cellStyle name="Normal 20 19 2 2" xfId="28122" xr:uid="{6D1C251E-4094-42EC-B378-151E0531A456}"/>
    <cellStyle name="Normal 20 19 2 3" xfId="28123" xr:uid="{819351A8-6797-4552-9C3B-F72B1D7D4445}"/>
    <cellStyle name="Normal 20 19 2 4" xfId="28124" xr:uid="{B90BDE6D-BA5A-4517-83E8-D85EBBB4C33F}"/>
    <cellStyle name="Normal 20 19 2 5" xfId="28125" xr:uid="{A6DABEB7-B503-477C-8521-7BE42855A3FD}"/>
    <cellStyle name="Normal 20 19 2 6" xfId="28126" xr:uid="{A8CABB8C-6E62-4DA2-B14C-53F492DA1BFA}"/>
    <cellStyle name="Normal 20 19 3" xfId="28127" xr:uid="{F5B042E0-5F67-40DA-B103-5F7F030319C8}"/>
    <cellStyle name="Normal 20 19 3 2" xfId="28128" xr:uid="{9363F3D9-836C-4D24-AC96-1B425CF69338}"/>
    <cellStyle name="Normal 20 19 3 3" xfId="28129" xr:uid="{8ACFD04D-E880-4EF0-A106-E9A6B322C432}"/>
    <cellStyle name="Normal 20 19 3 4" xfId="28130" xr:uid="{E41E1B12-29EC-464D-AB60-940629805541}"/>
    <cellStyle name="Normal 20 19 3 5" xfId="28131" xr:uid="{4D045425-D6B2-43B2-817B-B05FBC9EB2AE}"/>
    <cellStyle name="Normal 20 19 3 6" xfId="28132" xr:uid="{4FB5C61A-9136-408A-9DF2-67314BDB5FFA}"/>
    <cellStyle name="Normal 20 19 4" xfId="28133" xr:uid="{79322BE6-86AF-43DE-93A3-77C75731220A}"/>
    <cellStyle name="Normal 20 19 4 2" xfId="28134" xr:uid="{33A31351-17FB-449C-AA79-C679BE4AD7A0}"/>
    <cellStyle name="Normal 20 19 4 3" xfId="28135" xr:uid="{915292CD-9E65-480B-BCCD-42010BA639FB}"/>
    <cellStyle name="Normal 20 19 4 4" xfId="28136" xr:uid="{3D306B86-2877-4505-A0E5-D90E2A6B2F9C}"/>
    <cellStyle name="Normal 20 19 4 5" xfId="28137" xr:uid="{3CF1E430-A400-4FDD-8170-0F1AF2E19776}"/>
    <cellStyle name="Normal 20 19 4 6" xfId="28138" xr:uid="{5D659937-F05C-4DAF-B195-B308C374BBB9}"/>
    <cellStyle name="Normal 20 19 5" xfId="28139" xr:uid="{775AF0DC-C71A-4210-8908-CD831A20DF26}"/>
    <cellStyle name="Normal 20 19 5 2" xfId="28140" xr:uid="{846F7067-C5BF-40C5-9D5F-65BE563784E1}"/>
    <cellStyle name="Normal 20 19 5 3" xfId="28141" xr:uid="{CEC70574-5B12-4268-A93F-8B0AF3949146}"/>
    <cellStyle name="Normal 20 19 5 4" xfId="28142" xr:uid="{F94604CA-9459-4E19-87A1-918A45497053}"/>
    <cellStyle name="Normal 20 19 5 5" xfId="28143" xr:uid="{64FF67ED-B389-49F9-8269-110BD91B15B5}"/>
    <cellStyle name="Normal 20 19 5 6" xfId="28144" xr:uid="{26AC3440-4E64-4839-9B0A-60D2DC3CC684}"/>
    <cellStyle name="Normal 20 19 6" xfId="28145" xr:uid="{1768EE26-9D89-438A-BE2E-EBAE84694056}"/>
    <cellStyle name="Normal 20 19 6 2" xfId="28146" xr:uid="{630661ED-46EE-4EC1-A9E8-2DF078FF8102}"/>
    <cellStyle name="Normal 20 19 6 3" xfId="28147" xr:uid="{8830AA16-5DE6-4625-BF38-0409E45CDDCC}"/>
    <cellStyle name="Normal 20 19 6 4" xfId="28148" xr:uid="{3480A84D-D43D-4C85-9140-B9778ABE3D1F}"/>
    <cellStyle name="Normal 20 19 6 5" xfId="28149" xr:uid="{CD5D24AB-EEF3-45FA-90DE-AEEFCC0CD4D3}"/>
    <cellStyle name="Normal 20 19 6 6" xfId="28150" xr:uid="{157B682F-D8D2-4C6B-8FA9-0B733D97B893}"/>
    <cellStyle name="Normal 20 19 7" xfId="28151" xr:uid="{E12693F4-7143-4615-ABEF-BEFF5CB61F05}"/>
    <cellStyle name="Normal 20 19 7 2" xfId="28152" xr:uid="{B5A15683-F190-4656-AEFE-5D09D7368C11}"/>
    <cellStyle name="Normal 20 19 7 3" xfId="28153" xr:uid="{CAC48DF2-DA5B-4B0F-BC4E-79704BE8CCAA}"/>
    <cellStyle name="Normal 20 19 7 4" xfId="28154" xr:uid="{DC01BAE4-010E-4A7E-8BAA-D7C55740AE71}"/>
    <cellStyle name="Normal 20 19 7 5" xfId="28155" xr:uid="{992B526D-02C5-4B2A-A081-7C7CF7E8E48A}"/>
    <cellStyle name="Normal 20 19 7 6" xfId="28156" xr:uid="{B438C7E7-C713-45C7-8011-E74348446FCB}"/>
    <cellStyle name="Normal 20 19 8" xfId="28157" xr:uid="{F53CCC5C-2E35-4FBD-AFA7-6835573CD26F}"/>
    <cellStyle name="Normal 20 19 8 2" xfId="28158" xr:uid="{4B66AD23-C182-409E-9F65-C44A40B415B9}"/>
    <cellStyle name="Normal 20 19 8 3" xfId="28159" xr:uid="{DD4ACD94-7FC9-4A49-94DC-FD86008B01C6}"/>
    <cellStyle name="Normal 20 19 8 4" xfId="28160" xr:uid="{CE010E65-8097-4376-9529-B0D1EC12CD87}"/>
    <cellStyle name="Normal 20 19 8 5" xfId="28161" xr:uid="{F3BEAA17-4C8C-4CEC-B9C1-DC029C33AED4}"/>
    <cellStyle name="Normal 20 19 8 6" xfId="28162" xr:uid="{EF7B00B5-AA91-4A0E-9228-7DD2F0CC4B28}"/>
    <cellStyle name="Normal 20 19 9" xfId="28163" xr:uid="{A3EB0048-26B8-4254-9B4E-B3C76F916B69}"/>
    <cellStyle name="Normal 20 2" xfId="28164" xr:uid="{EF1E165A-A89D-42BC-AF81-73E22C5D0F7B}"/>
    <cellStyle name="Normal 20 2 10" xfId="28165" xr:uid="{13E46F07-D7B6-475D-86A6-72519DDECE9E}"/>
    <cellStyle name="Normal 20 2 11" xfId="28166" xr:uid="{620DFDB8-75B8-4231-BABC-D3F97F3E0524}"/>
    <cellStyle name="Normal 20 2 12" xfId="28167" xr:uid="{ACA0804C-105B-4CD5-85F8-C8879E8E81EB}"/>
    <cellStyle name="Normal 20 2 13" xfId="28168" xr:uid="{63641A85-77F4-4AB3-A0ED-98BF2C401D16}"/>
    <cellStyle name="Normal 20 2 2" xfId="28169" xr:uid="{AAA7164B-6FA5-4323-8488-622E1D85F34D}"/>
    <cellStyle name="Normal 20 2 2 2" xfId="28170" xr:uid="{251E32A1-B786-453F-AE18-52EB53D722AD}"/>
    <cellStyle name="Normal 20 2 2 3" xfId="28171" xr:uid="{AC6724C9-9133-4AC8-BF2F-EAF07C7389D3}"/>
    <cellStyle name="Normal 20 2 2 4" xfId="28172" xr:uid="{BC67CF0E-036B-4FF1-B086-625FA1C0EE1A}"/>
    <cellStyle name="Normal 20 2 2 5" xfId="28173" xr:uid="{B7A253C4-7C8D-4E10-AD06-BACF785565BA}"/>
    <cellStyle name="Normal 20 2 2 6" xfId="28174" xr:uid="{87DC1FF8-7F9C-4DD2-80E2-921CFF4225BD}"/>
    <cellStyle name="Normal 20 2 3" xfId="28175" xr:uid="{1BD32F23-3B65-4CAE-9A86-F75C7FFC0588}"/>
    <cellStyle name="Normal 20 2 3 2" xfId="28176" xr:uid="{EE622F48-9EED-4449-B91D-3193A12D5083}"/>
    <cellStyle name="Normal 20 2 3 3" xfId="28177" xr:uid="{EFB2D0C3-F979-4A5C-8062-6AB5610A2DFB}"/>
    <cellStyle name="Normal 20 2 3 4" xfId="28178" xr:uid="{8207A2A5-1731-4D31-83AF-BBE4540ED1CD}"/>
    <cellStyle name="Normal 20 2 3 5" xfId="28179" xr:uid="{C488C519-B1F3-4E6F-A29C-B8652E0AD862}"/>
    <cellStyle name="Normal 20 2 3 6" xfId="28180" xr:uid="{7450F727-82D0-4EEC-A36E-02AD35B37B70}"/>
    <cellStyle name="Normal 20 2 4" xfId="28181" xr:uid="{939CF9EB-D556-4650-8DB8-932E4EF1F60B}"/>
    <cellStyle name="Normal 20 2 4 2" xfId="28182" xr:uid="{0FBB38E2-82D1-4018-AE03-363C1821A963}"/>
    <cellStyle name="Normal 20 2 4 3" xfId="28183" xr:uid="{FD8A8838-5913-4113-9EE1-29DB54BDC495}"/>
    <cellStyle name="Normal 20 2 4 4" xfId="28184" xr:uid="{92A6A319-6448-4878-9E5E-A22B9880E874}"/>
    <cellStyle name="Normal 20 2 4 5" xfId="28185" xr:uid="{3695120A-0A6A-467B-B96B-1C9ADCFC359D}"/>
    <cellStyle name="Normal 20 2 4 6" xfId="28186" xr:uid="{4858C983-CBA3-4C74-A9F5-47A5ACDEFC2D}"/>
    <cellStyle name="Normal 20 2 5" xfId="28187" xr:uid="{D7E18582-1CF1-4D8F-9E46-6F95E78CF92C}"/>
    <cellStyle name="Normal 20 2 5 2" xfId="28188" xr:uid="{C149DC4D-F381-4F1A-82FA-84C7AF457AF0}"/>
    <cellStyle name="Normal 20 2 5 3" xfId="28189" xr:uid="{321E78ED-571A-422C-BAB8-F26CE9FA8313}"/>
    <cellStyle name="Normal 20 2 5 4" xfId="28190" xr:uid="{F58932A6-7D26-4716-A568-0D555C1EF6FB}"/>
    <cellStyle name="Normal 20 2 5 5" xfId="28191" xr:uid="{8735873B-C49D-46D7-818E-D505773BF844}"/>
    <cellStyle name="Normal 20 2 5 6" xfId="28192" xr:uid="{582C7786-BD37-400D-833B-CE956FD8589B}"/>
    <cellStyle name="Normal 20 2 6" xfId="28193" xr:uid="{1FCC65D4-D06D-461F-9517-B93F582DF2BB}"/>
    <cellStyle name="Normal 20 2 6 2" xfId="28194" xr:uid="{D93293C3-7672-4DEA-BBFE-EF8C0F6BC12D}"/>
    <cellStyle name="Normal 20 2 6 3" xfId="28195" xr:uid="{1FA54A86-8751-4E91-8EA9-A14AD41BE575}"/>
    <cellStyle name="Normal 20 2 6 4" xfId="28196" xr:uid="{41DA32B7-B457-4A27-8392-E2ED0F042F20}"/>
    <cellStyle name="Normal 20 2 6 5" xfId="28197" xr:uid="{DEEDED9E-E991-4FA4-BD42-4DD4A13CA611}"/>
    <cellStyle name="Normal 20 2 6 6" xfId="28198" xr:uid="{95314540-E929-4AD4-8F4F-56316D3D0B0E}"/>
    <cellStyle name="Normal 20 2 7" xfId="28199" xr:uid="{9AECB13D-25E4-4BC6-95F2-950741B478DC}"/>
    <cellStyle name="Normal 20 2 7 2" xfId="28200" xr:uid="{8F383220-0B31-44FD-8CD2-99C38CD4753D}"/>
    <cellStyle name="Normal 20 2 7 3" xfId="28201" xr:uid="{DD5E5A04-FD0F-4765-B872-AC731CD90491}"/>
    <cellStyle name="Normal 20 2 7 4" xfId="28202" xr:uid="{A1888E3A-0106-4600-844C-24460FB3C1D6}"/>
    <cellStyle name="Normal 20 2 7 5" xfId="28203" xr:uid="{75D77886-EF0A-4C23-97F5-1A1E8DC04813}"/>
    <cellStyle name="Normal 20 2 7 6" xfId="28204" xr:uid="{79DAD366-E318-444A-A1DB-2E9111BBBC9F}"/>
    <cellStyle name="Normal 20 2 8" xfId="28205" xr:uid="{5A11B4FC-7C5B-413F-A4C6-B7E1DBAAF326}"/>
    <cellStyle name="Normal 20 2 8 2" xfId="28206" xr:uid="{F4B92EC6-E03C-4C78-8695-0CD97DC088F6}"/>
    <cellStyle name="Normal 20 2 8 3" xfId="28207" xr:uid="{5ACF22D3-327C-4B82-932A-0A3253F39191}"/>
    <cellStyle name="Normal 20 2 8 4" xfId="28208" xr:uid="{88DAFA7F-D619-4567-9421-94FEE921D64F}"/>
    <cellStyle name="Normal 20 2 8 5" xfId="28209" xr:uid="{FF3CDBDC-8F0C-4BCA-BABC-50C223FA82CE}"/>
    <cellStyle name="Normal 20 2 8 6" xfId="28210" xr:uid="{D785C7E9-B73E-418E-B57A-F2319761A395}"/>
    <cellStyle name="Normal 20 2 9" xfId="28211" xr:uid="{9024C209-8332-4E19-B9AA-24BBA5C45755}"/>
    <cellStyle name="Normal 20 20" xfId="28212" xr:uid="{5592A694-CF59-4704-B1FA-754A30952295}"/>
    <cellStyle name="Normal 20 20 10" xfId="28213" xr:uid="{A567E336-A539-44B3-8986-13D28ACC25E2}"/>
    <cellStyle name="Normal 20 20 11" xfId="28214" xr:uid="{60890C77-98A4-4AE4-9D18-04088506984B}"/>
    <cellStyle name="Normal 20 20 12" xfId="28215" xr:uid="{1D3938F7-8202-4D7E-AE29-7F4494F50293}"/>
    <cellStyle name="Normal 20 20 13" xfId="28216" xr:uid="{559D8DF1-3383-43CE-B9F3-C9E1F1D2440F}"/>
    <cellStyle name="Normal 20 20 2" xfId="28217" xr:uid="{75B9B626-CD68-4DE5-B92F-4309F5642113}"/>
    <cellStyle name="Normal 20 20 2 2" xfId="28218" xr:uid="{0106C207-5A53-4D8A-95DA-AE841F4F88D9}"/>
    <cellStyle name="Normal 20 20 2 3" xfId="28219" xr:uid="{4603BA67-FDD4-4EA6-B2B7-F73FA6E7F860}"/>
    <cellStyle name="Normal 20 20 2 4" xfId="28220" xr:uid="{90F3D00D-73E4-4CC1-B788-6EB66B50EBDF}"/>
    <cellStyle name="Normal 20 20 2 5" xfId="28221" xr:uid="{C219B9D3-F169-4A1C-8A36-629F678FA348}"/>
    <cellStyle name="Normal 20 20 2 6" xfId="28222" xr:uid="{182DA308-78B3-40BD-8E20-D116C5780B4A}"/>
    <cellStyle name="Normal 20 20 3" xfId="28223" xr:uid="{A3C65532-3714-4287-9D5E-9C99ECC463A7}"/>
    <cellStyle name="Normal 20 20 3 2" xfId="28224" xr:uid="{6B3032B4-F038-4A89-969D-44153E36A44E}"/>
    <cellStyle name="Normal 20 20 3 3" xfId="28225" xr:uid="{29CEFDE7-E5AA-4A9A-BF08-3F24BE04B32D}"/>
    <cellStyle name="Normal 20 20 3 4" xfId="28226" xr:uid="{B8E82519-77D7-4F45-A587-756C317F9EB8}"/>
    <cellStyle name="Normal 20 20 3 5" xfId="28227" xr:uid="{B890FBF9-C1E7-434A-BE60-39DFF66CDF71}"/>
    <cellStyle name="Normal 20 20 3 6" xfId="28228" xr:uid="{1A6F0CBC-9D9A-4264-A972-918064FA941C}"/>
    <cellStyle name="Normal 20 20 4" xfId="28229" xr:uid="{2D1F808F-A099-4DF0-9B22-8D354B1410CC}"/>
    <cellStyle name="Normal 20 20 4 2" xfId="28230" xr:uid="{74555AA0-5E36-46C1-97F5-28992C37DF63}"/>
    <cellStyle name="Normal 20 20 4 3" xfId="28231" xr:uid="{F5BA7194-12F9-4E6D-928F-8108407D2491}"/>
    <cellStyle name="Normal 20 20 4 4" xfId="28232" xr:uid="{F784A994-B65B-4003-B29D-25D3DCB2466B}"/>
    <cellStyle name="Normal 20 20 4 5" xfId="28233" xr:uid="{3B3A9C4F-0803-46A4-8BA8-1B30691B979A}"/>
    <cellStyle name="Normal 20 20 4 6" xfId="28234" xr:uid="{BE6D5ED6-5DD7-4FAD-A406-1AD3F645A2BE}"/>
    <cellStyle name="Normal 20 20 5" xfId="28235" xr:uid="{FCC5C32B-5800-4066-B564-E338796725AE}"/>
    <cellStyle name="Normal 20 20 5 2" xfId="28236" xr:uid="{4313FDAE-B19A-4014-BA55-523AE7CDE82D}"/>
    <cellStyle name="Normal 20 20 5 3" xfId="28237" xr:uid="{C80E85AD-027A-4F3B-B70F-0EF611081046}"/>
    <cellStyle name="Normal 20 20 5 4" xfId="28238" xr:uid="{44FB5F83-425F-4D2B-B40A-7AB19E068E52}"/>
    <cellStyle name="Normal 20 20 5 5" xfId="28239" xr:uid="{E9480D88-7A87-4FE9-9382-ADD9DA130940}"/>
    <cellStyle name="Normal 20 20 5 6" xfId="28240" xr:uid="{F661CA01-F3BF-43A8-A29F-2DD4D411ACA1}"/>
    <cellStyle name="Normal 20 20 6" xfId="28241" xr:uid="{35524036-9031-4416-B69C-56A7D0CC4B49}"/>
    <cellStyle name="Normal 20 20 6 2" xfId="28242" xr:uid="{CFE690E1-8CD7-4D6E-B633-2D02EA1118DE}"/>
    <cellStyle name="Normal 20 20 6 3" xfId="28243" xr:uid="{E71CC958-EB98-417C-BED5-9548763309CE}"/>
    <cellStyle name="Normal 20 20 6 4" xfId="28244" xr:uid="{43D3F9B4-A5ED-4564-94D9-0132B7781E03}"/>
    <cellStyle name="Normal 20 20 6 5" xfId="28245" xr:uid="{635858C4-6032-41FB-9975-2A030FC0DEB2}"/>
    <cellStyle name="Normal 20 20 6 6" xfId="28246" xr:uid="{BCE1A5DC-ED11-4F1D-AB5D-D607C5C128EF}"/>
    <cellStyle name="Normal 20 20 7" xfId="28247" xr:uid="{EE105E71-325F-44A3-A7A1-B6484BA2476A}"/>
    <cellStyle name="Normal 20 20 7 2" xfId="28248" xr:uid="{82264806-EDC4-46B3-A23D-974A2AD42299}"/>
    <cellStyle name="Normal 20 20 7 3" xfId="28249" xr:uid="{347ECFF5-8D7F-4746-9FBC-DCD2F20EFB46}"/>
    <cellStyle name="Normal 20 20 7 4" xfId="28250" xr:uid="{EF384439-47C5-43E3-9B43-658AB2B64BB3}"/>
    <cellStyle name="Normal 20 20 7 5" xfId="28251" xr:uid="{F06F6EA4-3FD0-4580-B5AA-0AB6977D8EDC}"/>
    <cellStyle name="Normal 20 20 7 6" xfId="28252" xr:uid="{BCF2AF78-42C0-484A-92A3-A32A10D72168}"/>
    <cellStyle name="Normal 20 20 8" xfId="28253" xr:uid="{2163A984-CA11-42F7-B963-6EB4E2867A1A}"/>
    <cellStyle name="Normal 20 20 8 2" xfId="28254" xr:uid="{6FE58A50-16A5-4634-809D-31422803D6FE}"/>
    <cellStyle name="Normal 20 20 8 3" xfId="28255" xr:uid="{E42F2D89-7E74-402E-96D3-1E66C98566A9}"/>
    <cellStyle name="Normal 20 20 8 4" xfId="28256" xr:uid="{BA5B1241-F8D3-482D-8D65-FC99CD8FD25A}"/>
    <cellStyle name="Normal 20 20 8 5" xfId="28257" xr:uid="{EF184FAE-E0DE-476E-BA11-D280394A6D42}"/>
    <cellStyle name="Normal 20 20 8 6" xfId="28258" xr:uid="{FA7C68B4-8071-4299-961D-C0BA5C8BB8A8}"/>
    <cellStyle name="Normal 20 20 9" xfId="28259" xr:uid="{930AB883-9851-4F80-AB76-F4AF39428934}"/>
    <cellStyle name="Normal 20 21" xfId="28260" xr:uid="{7A163743-F32E-4EF2-BDF8-B5AC9FDE23B0}"/>
    <cellStyle name="Normal 20 21 10" xfId="28261" xr:uid="{2B4297E9-1575-43C3-BA80-9E06603A344F}"/>
    <cellStyle name="Normal 20 21 11" xfId="28262" xr:uid="{04EC470A-5933-4A9B-A541-8607AD99FF94}"/>
    <cellStyle name="Normal 20 21 12" xfId="28263" xr:uid="{58145313-311A-4F1A-80E5-66711347AA62}"/>
    <cellStyle name="Normal 20 21 13" xfId="28264" xr:uid="{E96C1840-C394-42DA-BF24-E24A3F06A5B9}"/>
    <cellStyle name="Normal 20 21 2" xfId="28265" xr:uid="{AE1F9861-59B9-48A1-8C79-CBF325ACF01B}"/>
    <cellStyle name="Normal 20 21 2 2" xfId="28266" xr:uid="{FF45694F-CA29-4047-8283-FA8997D2E00B}"/>
    <cellStyle name="Normal 20 21 2 3" xfId="28267" xr:uid="{A478376D-A6D9-4B5F-B8D7-EFB32F5A4F28}"/>
    <cellStyle name="Normal 20 21 2 4" xfId="28268" xr:uid="{5B9B8C36-C580-49ED-89B3-FF6D5A2EAF0A}"/>
    <cellStyle name="Normal 20 21 2 5" xfId="28269" xr:uid="{8F3E480F-1CA6-4CE1-B4F5-A8595FA0E712}"/>
    <cellStyle name="Normal 20 21 2 6" xfId="28270" xr:uid="{ED3DA498-B921-417E-ADDC-66844CF609D4}"/>
    <cellStyle name="Normal 20 21 3" xfId="28271" xr:uid="{A18DEFEE-9DFD-423A-9493-2317AAF179B3}"/>
    <cellStyle name="Normal 20 21 3 2" xfId="28272" xr:uid="{5C5E6C25-9519-452E-960B-33C902BE3C71}"/>
    <cellStyle name="Normal 20 21 3 3" xfId="28273" xr:uid="{E216DC12-8F9C-451C-A281-2CD03126258C}"/>
    <cellStyle name="Normal 20 21 3 4" xfId="28274" xr:uid="{505BFC88-1D9F-46CB-86BB-B51E8B7BAD1C}"/>
    <cellStyle name="Normal 20 21 3 5" xfId="28275" xr:uid="{05CD8526-B03A-4D8F-880F-DBF31CEE7724}"/>
    <cellStyle name="Normal 20 21 3 6" xfId="28276" xr:uid="{19194995-508E-4171-BE36-693C4114539C}"/>
    <cellStyle name="Normal 20 21 4" xfId="28277" xr:uid="{DE3E1671-3FEA-4D4C-825E-732AE42C4D8F}"/>
    <cellStyle name="Normal 20 21 4 2" xfId="28278" xr:uid="{0EDC930C-CF87-495D-9B17-320C6B9CE770}"/>
    <cellStyle name="Normal 20 21 4 3" xfId="28279" xr:uid="{1E048523-38C1-4CE7-90AA-80577D98A3D1}"/>
    <cellStyle name="Normal 20 21 4 4" xfId="28280" xr:uid="{328A10FB-E434-4FD4-8269-4CD384E727FC}"/>
    <cellStyle name="Normal 20 21 4 5" xfId="28281" xr:uid="{F63134B5-176D-4C63-A3ED-EA3EC6041366}"/>
    <cellStyle name="Normal 20 21 4 6" xfId="28282" xr:uid="{174B8B4A-8AF0-43D7-9C0A-ADB27203294C}"/>
    <cellStyle name="Normal 20 21 5" xfId="28283" xr:uid="{DD4FAEEA-774B-4CE9-A135-295259FA613D}"/>
    <cellStyle name="Normal 20 21 5 2" xfId="28284" xr:uid="{E5BBB385-655C-40F7-BA79-92150399AE30}"/>
    <cellStyle name="Normal 20 21 5 3" xfId="28285" xr:uid="{E27F9ECE-98BC-441E-8BC0-D3B451819C55}"/>
    <cellStyle name="Normal 20 21 5 4" xfId="28286" xr:uid="{B9B68291-8484-4FE7-A73C-2357D4C7AD22}"/>
    <cellStyle name="Normal 20 21 5 5" xfId="28287" xr:uid="{FC6F8473-56B3-4198-93B0-BDD2A0B25B09}"/>
    <cellStyle name="Normal 20 21 5 6" xfId="28288" xr:uid="{1B515339-778F-4830-9D72-E111432AA20E}"/>
    <cellStyle name="Normal 20 21 6" xfId="28289" xr:uid="{C6C13C06-36E3-4A90-B3FB-008FFC7E7709}"/>
    <cellStyle name="Normal 20 21 6 2" xfId="28290" xr:uid="{9CBD947B-17BC-48AF-9A6F-6D5F1D8CB162}"/>
    <cellStyle name="Normal 20 21 6 3" xfId="28291" xr:uid="{3D5A1C82-1AC4-483F-8AC6-FBB5CF73AD7E}"/>
    <cellStyle name="Normal 20 21 6 4" xfId="28292" xr:uid="{9A6B15F4-B8D6-41E9-9E09-F12FF9557E56}"/>
    <cellStyle name="Normal 20 21 6 5" xfId="28293" xr:uid="{E949A2B4-1017-44DF-B868-A29FED992B9B}"/>
    <cellStyle name="Normal 20 21 6 6" xfId="28294" xr:uid="{D332D1A6-EB2D-4DDE-A026-EA6FCF5CD103}"/>
    <cellStyle name="Normal 20 21 7" xfId="28295" xr:uid="{271CDDFB-5AFC-4897-B902-DA5C024E7D00}"/>
    <cellStyle name="Normal 20 21 7 2" xfId="28296" xr:uid="{7392C344-360A-4C57-98E0-BCCAB96D72AC}"/>
    <cellStyle name="Normal 20 21 7 3" xfId="28297" xr:uid="{4AD5155E-4327-42BD-BBBE-E81B7D3B2EF8}"/>
    <cellStyle name="Normal 20 21 7 4" xfId="28298" xr:uid="{4E395C8D-25CB-46A0-8745-4298520C1069}"/>
    <cellStyle name="Normal 20 21 7 5" xfId="28299" xr:uid="{5E6EF59F-2C8B-4531-B214-00EB2665C179}"/>
    <cellStyle name="Normal 20 21 7 6" xfId="28300" xr:uid="{99C5CA8E-52B5-42EA-AD28-B22F0843113B}"/>
    <cellStyle name="Normal 20 21 8" xfId="28301" xr:uid="{475B8E05-1F18-40D1-A2B9-5AEB9F1F2411}"/>
    <cellStyle name="Normal 20 21 8 2" xfId="28302" xr:uid="{9AA955CF-D7AC-481F-A676-1B7C523BF535}"/>
    <cellStyle name="Normal 20 21 8 3" xfId="28303" xr:uid="{6E423DE4-DF99-4569-B6BD-64F359AA8ADE}"/>
    <cellStyle name="Normal 20 21 8 4" xfId="28304" xr:uid="{316B94F2-034B-488A-9B9C-755F21E125BF}"/>
    <cellStyle name="Normal 20 21 8 5" xfId="28305" xr:uid="{AA1EEE3B-7887-48DE-A909-2E3AB33DF67A}"/>
    <cellStyle name="Normal 20 21 8 6" xfId="28306" xr:uid="{CC9FCDE0-4878-4963-AD02-9AFB0B71B593}"/>
    <cellStyle name="Normal 20 21 9" xfId="28307" xr:uid="{1907EC30-C4EF-48F3-920E-2AC824971F44}"/>
    <cellStyle name="Normal 20 22" xfId="28308" xr:uid="{E088A040-62C5-435F-95D2-6F6FF9268955}"/>
    <cellStyle name="Normal 20 22 10" xfId="28309" xr:uid="{9095CB22-3E44-4E59-9ED2-71CB904DE9E4}"/>
    <cellStyle name="Normal 20 22 11" xfId="28310" xr:uid="{D7618584-E613-4651-9E61-9FD79DA0FAF6}"/>
    <cellStyle name="Normal 20 22 12" xfId="28311" xr:uid="{0DF43861-D41E-479F-B048-6504F82B2D76}"/>
    <cellStyle name="Normal 20 22 13" xfId="28312" xr:uid="{8AF665B0-4FE9-4555-9D1A-1AC410652B6B}"/>
    <cellStyle name="Normal 20 22 2" xfId="28313" xr:uid="{FCC8EFEC-BF35-4B42-B7AB-7A775B9FF2C0}"/>
    <cellStyle name="Normal 20 22 2 2" xfId="28314" xr:uid="{9CD32E32-C9C2-4315-8A10-AD7566A17DAD}"/>
    <cellStyle name="Normal 20 22 2 3" xfId="28315" xr:uid="{9B874B4D-474F-4729-9A53-FFE47504F8BE}"/>
    <cellStyle name="Normal 20 22 2 4" xfId="28316" xr:uid="{BE0552A1-D893-47A0-86FE-DE6DC33E209B}"/>
    <cellStyle name="Normal 20 22 2 5" xfId="28317" xr:uid="{D390BEF2-0629-435C-AAA7-FF329355FB94}"/>
    <cellStyle name="Normal 20 22 2 6" xfId="28318" xr:uid="{966DE119-2363-4417-BB28-DD1D4173A943}"/>
    <cellStyle name="Normal 20 22 3" xfId="28319" xr:uid="{6AF20BA0-06D0-4192-BF0B-CE4E2B62D205}"/>
    <cellStyle name="Normal 20 22 3 2" xfId="28320" xr:uid="{8BD56876-4D90-4A64-9DE4-5D4659BBF6DD}"/>
    <cellStyle name="Normal 20 22 3 3" xfId="28321" xr:uid="{7259C4F5-A174-4891-8AF7-3F4C89875E5E}"/>
    <cellStyle name="Normal 20 22 3 4" xfId="28322" xr:uid="{60DF5954-496F-4958-82B4-A077208DF36D}"/>
    <cellStyle name="Normal 20 22 3 5" xfId="28323" xr:uid="{DFA72FD3-5155-4979-8A4E-AAF561113C24}"/>
    <cellStyle name="Normal 20 22 3 6" xfId="28324" xr:uid="{90336E27-2814-4C2B-9BDD-9D16688A7810}"/>
    <cellStyle name="Normal 20 22 4" xfId="28325" xr:uid="{D34B0C58-23D1-4A7F-9C8C-5BA1CABBF33C}"/>
    <cellStyle name="Normal 20 22 4 2" xfId="28326" xr:uid="{02921D00-0772-451B-AE04-FD778E90C7E5}"/>
    <cellStyle name="Normal 20 22 4 3" xfId="28327" xr:uid="{D0A6F978-35EC-4BAD-87E6-3F88F270180C}"/>
    <cellStyle name="Normal 20 22 4 4" xfId="28328" xr:uid="{CD8508E2-DD51-4DF6-B5A6-28614E47D995}"/>
    <cellStyle name="Normal 20 22 4 5" xfId="28329" xr:uid="{D107823C-0F7F-4C01-B340-683C4FD1D2F9}"/>
    <cellStyle name="Normal 20 22 4 6" xfId="28330" xr:uid="{ABD07CFE-9D04-4556-BACC-28F1A939390F}"/>
    <cellStyle name="Normal 20 22 5" xfId="28331" xr:uid="{81914A92-577D-4E84-8B35-0B775955EFB5}"/>
    <cellStyle name="Normal 20 22 5 2" xfId="28332" xr:uid="{B6674B93-77B8-485E-AAAC-8837C3AC5649}"/>
    <cellStyle name="Normal 20 22 5 3" xfId="28333" xr:uid="{14C91D6B-0F39-40B8-9560-0C9598DB9717}"/>
    <cellStyle name="Normal 20 22 5 4" xfId="28334" xr:uid="{36724B8C-9BF3-4635-B42E-FBF765CE9277}"/>
    <cellStyle name="Normal 20 22 5 5" xfId="28335" xr:uid="{37D74A10-EB83-4C9C-9D99-CF66897D45A9}"/>
    <cellStyle name="Normal 20 22 5 6" xfId="28336" xr:uid="{777077E4-FE00-48B0-8074-917436C1A2A3}"/>
    <cellStyle name="Normal 20 22 6" xfId="28337" xr:uid="{F9CB62D5-B4F9-4382-ADC6-31A4F12A1949}"/>
    <cellStyle name="Normal 20 22 6 2" xfId="28338" xr:uid="{28038419-9FA0-4E37-9E83-D896AACE4D37}"/>
    <cellStyle name="Normal 20 22 6 3" xfId="28339" xr:uid="{94B85D57-64FA-4D7A-B8F2-425F025ED287}"/>
    <cellStyle name="Normal 20 22 6 4" xfId="28340" xr:uid="{8578C180-7EFB-42E6-AEC1-19EACBAF33A8}"/>
    <cellStyle name="Normal 20 22 6 5" xfId="28341" xr:uid="{8ACAC69A-662C-4F46-BC1F-F9D02C67A34A}"/>
    <cellStyle name="Normal 20 22 6 6" xfId="28342" xr:uid="{9A6A7523-6DEA-40F5-AA85-BDAA909C53B6}"/>
    <cellStyle name="Normal 20 22 7" xfId="28343" xr:uid="{7C3E49AA-FF73-4C10-9B43-E66729467166}"/>
    <cellStyle name="Normal 20 22 7 2" xfId="28344" xr:uid="{FCBE9D1C-CD07-4DC0-ACF9-4316290B1933}"/>
    <cellStyle name="Normal 20 22 7 3" xfId="28345" xr:uid="{BC84CC99-F1DF-4002-888C-487F7467C240}"/>
    <cellStyle name="Normal 20 22 7 4" xfId="28346" xr:uid="{0C4C21B8-FF8E-4C81-9290-CFC20E44C95D}"/>
    <cellStyle name="Normal 20 22 7 5" xfId="28347" xr:uid="{C9A70593-2C28-44CD-B22E-9F54472FE143}"/>
    <cellStyle name="Normal 20 22 7 6" xfId="28348" xr:uid="{1BDEF61C-244D-4A72-93AB-F5C58D396F1A}"/>
    <cellStyle name="Normal 20 22 8" xfId="28349" xr:uid="{C8B9A0B3-E21D-4D72-97D2-7A2A7FB0F030}"/>
    <cellStyle name="Normal 20 22 8 2" xfId="28350" xr:uid="{69BB3EB9-C362-48A1-827B-9EB90DDA43A2}"/>
    <cellStyle name="Normal 20 22 8 3" xfId="28351" xr:uid="{4B5DD854-A114-4E88-B9B2-AF9866D709EA}"/>
    <cellStyle name="Normal 20 22 8 4" xfId="28352" xr:uid="{68635FB3-E01A-4FCC-B5DB-813C2474FE11}"/>
    <cellStyle name="Normal 20 22 8 5" xfId="28353" xr:uid="{25FC8784-9CA5-466E-8B47-AFF6B74CA84C}"/>
    <cellStyle name="Normal 20 22 8 6" xfId="28354" xr:uid="{BC1E5691-B2FC-4195-8A8C-BFF452AFEB4B}"/>
    <cellStyle name="Normal 20 22 9" xfId="28355" xr:uid="{8C2080DB-7142-414F-A8AD-1E68293D23B7}"/>
    <cellStyle name="Normal 20 23" xfId="28356" xr:uid="{7CF82C47-9CBD-41A6-978F-25388183BDEF}"/>
    <cellStyle name="Normal 20 23 10" xfId="28357" xr:uid="{0ECCC1AC-2AE6-48F7-AE15-9CA00DC8EE35}"/>
    <cellStyle name="Normal 20 23 11" xfId="28358" xr:uid="{7B646CEB-0B37-4461-8B4A-181CC2BC32DC}"/>
    <cellStyle name="Normal 20 23 12" xfId="28359" xr:uid="{C6CE6473-A520-4B88-9518-275C9ADBB1A0}"/>
    <cellStyle name="Normal 20 23 13" xfId="28360" xr:uid="{B717193E-13A5-4B65-8A40-979D0EDADD27}"/>
    <cellStyle name="Normal 20 23 2" xfId="28361" xr:uid="{54574B87-7140-48C6-8511-43111F450821}"/>
    <cellStyle name="Normal 20 23 2 2" xfId="28362" xr:uid="{D7CF1721-0406-482C-9F43-3F88E2DF6370}"/>
    <cellStyle name="Normal 20 23 2 3" xfId="28363" xr:uid="{847911E2-7CD1-410B-BB81-AA47C2354320}"/>
    <cellStyle name="Normal 20 23 2 4" xfId="28364" xr:uid="{EDFB07B8-D824-4A5B-9F4F-317FF73EB490}"/>
    <cellStyle name="Normal 20 23 2 5" xfId="28365" xr:uid="{D5235956-67E3-430E-B6A0-698061C4E047}"/>
    <cellStyle name="Normal 20 23 2 6" xfId="28366" xr:uid="{37B142B4-180A-4E65-8666-D4E470F6BE1A}"/>
    <cellStyle name="Normal 20 23 3" xfId="28367" xr:uid="{8B7E48AF-E064-4859-ABCE-5FDAB642856B}"/>
    <cellStyle name="Normal 20 23 3 2" xfId="28368" xr:uid="{F9F60DB6-E8CF-49F0-868C-CDB975462F21}"/>
    <cellStyle name="Normal 20 23 3 3" xfId="28369" xr:uid="{3F5455D8-8B48-4A73-BA97-292E88EA064E}"/>
    <cellStyle name="Normal 20 23 3 4" xfId="28370" xr:uid="{9E6A6116-9305-4D41-AA75-857D03710098}"/>
    <cellStyle name="Normal 20 23 3 5" xfId="28371" xr:uid="{40C6C3A6-1B17-4B08-B446-C6A095D2C77D}"/>
    <cellStyle name="Normal 20 23 3 6" xfId="28372" xr:uid="{D1E981B5-4C4D-4403-9CC0-5DE70D66DF91}"/>
    <cellStyle name="Normal 20 23 4" xfId="28373" xr:uid="{03F03949-FAB3-45AD-A090-5816CCA91E06}"/>
    <cellStyle name="Normal 20 23 4 2" xfId="28374" xr:uid="{F2FF6018-987A-4E69-8D68-9760C75B6622}"/>
    <cellStyle name="Normal 20 23 4 3" xfId="28375" xr:uid="{F0782797-7F3E-4722-AC5F-D91B5D0CCACE}"/>
    <cellStyle name="Normal 20 23 4 4" xfId="28376" xr:uid="{4EE73938-1542-4D3F-AACD-5FE58531C08A}"/>
    <cellStyle name="Normal 20 23 4 5" xfId="28377" xr:uid="{EACEE099-4F9C-43BD-B992-C276479CE28F}"/>
    <cellStyle name="Normal 20 23 4 6" xfId="28378" xr:uid="{786F0C74-1327-42E8-AC65-E81940EC7D78}"/>
    <cellStyle name="Normal 20 23 5" xfId="28379" xr:uid="{AC23D19D-BD27-493A-814B-1A825178220D}"/>
    <cellStyle name="Normal 20 23 5 2" xfId="28380" xr:uid="{C25DB3BD-58AB-49A9-807E-2F3273FFF339}"/>
    <cellStyle name="Normal 20 23 5 3" xfId="28381" xr:uid="{B5A2EB3B-0924-4896-884A-37EFA3E1FDF7}"/>
    <cellStyle name="Normal 20 23 5 4" xfId="28382" xr:uid="{591E28DF-48F5-4C59-8CFA-6AE9D32C515B}"/>
    <cellStyle name="Normal 20 23 5 5" xfId="28383" xr:uid="{1465388C-B9ED-4636-804B-A24EAFBE32AE}"/>
    <cellStyle name="Normal 20 23 5 6" xfId="28384" xr:uid="{B8CAE637-41CE-4337-8294-D2E063769555}"/>
    <cellStyle name="Normal 20 23 6" xfId="28385" xr:uid="{70665D68-E698-4201-9EF1-68986A643A25}"/>
    <cellStyle name="Normal 20 23 6 2" xfId="28386" xr:uid="{1D3879AD-704F-49E2-9385-94DCF7936C0F}"/>
    <cellStyle name="Normal 20 23 6 3" xfId="28387" xr:uid="{DFA6A95B-80AD-4415-9066-9F4003923771}"/>
    <cellStyle name="Normal 20 23 6 4" xfId="28388" xr:uid="{BB40912A-2445-4067-AB44-789E6017C1C4}"/>
    <cellStyle name="Normal 20 23 6 5" xfId="28389" xr:uid="{BC514EFC-3395-4109-BDAE-66B06564283D}"/>
    <cellStyle name="Normal 20 23 6 6" xfId="28390" xr:uid="{59BBAC14-5C42-4019-9630-97650F3DD360}"/>
    <cellStyle name="Normal 20 23 7" xfId="28391" xr:uid="{D37150EB-2CA8-4C5D-82DA-5FE5D2DEBA1A}"/>
    <cellStyle name="Normal 20 23 7 2" xfId="28392" xr:uid="{65F6341D-9153-4A04-A43D-5A9FA5EF6072}"/>
    <cellStyle name="Normal 20 23 7 3" xfId="28393" xr:uid="{40EF15CD-4774-46F6-858D-E12FF68A5AA8}"/>
    <cellStyle name="Normal 20 23 7 4" xfId="28394" xr:uid="{4A971EB4-F765-4E2D-B5AE-AEEA7A91A30C}"/>
    <cellStyle name="Normal 20 23 7 5" xfId="28395" xr:uid="{9113B4FC-ABD3-4CD7-B278-62396EE11F3C}"/>
    <cellStyle name="Normal 20 23 7 6" xfId="28396" xr:uid="{AAA7180E-ACBA-4B7C-A878-79226F02F2BA}"/>
    <cellStyle name="Normal 20 23 8" xfId="28397" xr:uid="{6367ED1B-8C3C-491D-9ACD-E5B4D57857F8}"/>
    <cellStyle name="Normal 20 23 8 2" xfId="28398" xr:uid="{4E98AEE4-972D-4705-A0BB-124854BC8BA8}"/>
    <cellStyle name="Normal 20 23 8 3" xfId="28399" xr:uid="{8C223BAB-B868-41BB-A2D1-032694A5DCD6}"/>
    <cellStyle name="Normal 20 23 8 4" xfId="28400" xr:uid="{BF67B769-C727-4A8C-8721-2BF7615F028A}"/>
    <cellStyle name="Normal 20 23 8 5" xfId="28401" xr:uid="{6D9E4140-6621-478E-B70E-362BDEABC8F4}"/>
    <cellStyle name="Normal 20 23 8 6" xfId="28402" xr:uid="{E3C89DB2-140F-4C3C-83F3-76D8E8F43E81}"/>
    <cellStyle name="Normal 20 23 9" xfId="28403" xr:uid="{3972C72C-1874-4B86-B43E-9010BDBDF538}"/>
    <cellStyle name="Normal 20 24" xfId="28404" xr:uid="{4242C221-6FEC-46D9-A883-76AD839E2384}"/>
    <cellStyle name="Normal 20 24 10" xfId="28405" xr:uid="{3EF25ADD-01B2-4EAA-8541-73D44262C660}"/>
    <cellStyle name="Normal 20 24 11" xfId="28406" xr:uid="{AF198924-664C-4E3F-8A00-713B520E133F}"/>
    <cellStyle name="Normal 20 24 12" xfId="28407" xr:uid="{9B84DD49-DC82-44A3-8CB9-DBE8B263BF6B}"/>
    <cellStyle name="Normal 20 24 13" xfId="28408" xr:uid="{0E8D8E49-120D-4BB3-B1C5-76B27824FCA9}"/>
    <cellStyle name="Normal 20 24 2" xfId="28409" xr:uid="{3A20A975-E76D-47A8-9FDC-9D87A5E30D3A}"/>
    <cellStyle name="Normal 20 24 2 2" xfId="28410" xr:uid="{BE6DC10A-670E-4FD0-B5D9-D2E166E3DDC8}"/>
    <cellStyle name="Normal 20 24 2 3" xfId="28411" xr:uid="{846D4884-331B-41EA-ABB7-E309FB26971D}"/>
    <cellStyle name="Normal 20 24 2 4" xfId="28412" xr:uid="{F13E3B9D-7C4F-4E3E-8FF1-0E4382244C1C}"/>
    <cellStyle name="Normal 20 24 2 5" xfId="28413" xr:uid="{0F018F74-B3FE-44EB-B611-70BA3645F0EA}"/>
    <cellStyle name="Normal 20 24 2 6" xfId="28414" xr:uid="{F1AE7C7B-E78F-4FB4-8293-CC2607D583E6}"/>
    <cellStyle name="Normal 20 24 3" xfId="28415" xr:uid="{8FF1230D-CA44-4AC5-BD52-365A19780EB4}"/>
    <cellStyle name="Normal 20 24 3 2" xfId="28416" xr:uid="{053C4687-674D-407C-AC57-22E809058353}"/>
    <cellStyle name="Normal 20 24 3 3" xfId="28417" xr:uid="{DA5C9A62-8750-4851-8053-E4049D4D69CA}"/>
    <cellStyle name="Normal 20 24 3 4" xfId="28418" xr:uid="{178B573D-F238-42CA-B79F-5B8D2947ABF7}"/>
    <cellStyle name="Normal 20 24 3 5" xfId="28419" xr:uid="{1256F19B-40B5-4E41-B7C7-FBDD9E04BB49}"/>
    <cellStyle name="Normal 20 24 3 6" xfId="28420" xr:uid="{CA454BE8-2B65-4554-BFDE-92BE06D90BEC}"/>
    <cellStyle name="Normal 20 24 4" xfId="28421" xr:uid="{99FBAF2D-16B7-4320-82DB-86B422B45A51}"/>
    <cellStyle name="Normal 20 24 4 2" xfId="28422" xr:uid="{2ED8E22E-B289-4137-B184-A6FC25AFAA75}"/>
    <cellStyle name="Normal 20 24 4 3" xfId="28423" xr:uid="{729A5617-EDA7-4FAC-A443-9F86F1FCAE3A}"/>
    <cellStyle name="Normal 20 24 4 4" xfId="28424" xr:uid="{29372C5A-A0E4-41DB-9812-8745CD441C54}"/>
    <cellStyle name="Normal 20 24 4 5" xfId="28425" xr:uid="{649B7560-FB7F-453F-B452-2F2AB33EE181}"/>
    <cellStyle name="Normal 20 24 4 6" xfId="28426" xr:uid="{E5A2A57A-C935-4F9F-AB42-7259FCF641BA}"/>
    <cellStyle name="Normal 20 24 5" xfId="28427" xr:uid="{2939367A-73A5-4DCC-A2D4-7C489BC717C1}"/>
    <cellStyle name="Normal 20 24 5 2" xfId="28428" xr:uid="{66185184-8B54-4075-AA67-3AE0E6D7624C}"/>
    <cellStyle name="Normal 20 24 5 3" xfId="28429" xr:uid="{77798CC3-A1C9-41CD-B3F3-F4E2D1FE03BC}"/>
    <cellStyle name="Normal 20 24 5 4" xfId="28430" xr:uid="{233A5FA2-60C6-4FFB-9E91-FDBB91315EAB}"/>
    <cellStyle name="Normal 20 24 5 5" xfId="28431" xr:uid="{66E03D54-8653-44A7-AE6C-EF52A8A3913B}"/>
    <cellStyle name="Normal 20 24 5 6" xfId="28432" xr:uid="{2F8CE468-CF07-49DE-BE88-03908364E0F1}"/>
    <cellStyle name="Normal 20 24 6" xfId="28433" xr:uid="{14C81040-AE34-4EBF-875D-7D973C57522B}"/>
    <cellStyle name="Normal 20 24 6 2" xfId="28434" xr:uid="{4396668B-D594-4D6B-A04D-FA3927FD072E}"/>
    <cellStyle name="Normal 20 24 6 3" xfId="28435" xr:uid="{A6174E46-2A18-4488-BE19-71BAF6B103AA}"/>
    <cellStyle name="Normal 20 24 6 4" xfId="28436" xr:uid="{D7F96817-EF2C-4014-885F-D447E01C9596}"/>
    <cellStyle name="Normal 20 24 6 5" xfId="28437" xr:uid="{2A80902A-CB95-4020-B51A-4CA093B190F1}"/>
    <cellStyle name="Normal 20 24 6 6" xfId="28438" xr:uid="{8460E639-58FE-40BB-9AF4-659D418F52F3}"/>
    <cellStyle name="Normal 20 24 7" xfId="28439" xr:uid="{3DC8FC22-70F1-4A16-A5FA-C02F821295F0}"/>
    <cellStyle name="Normal 20 24 7 2" xfId="28440" xr:uid="{314AF9BC-CAED-4F38-B774-19A3BE57C4C7}"/>
    <cellStyle name="Normal 20 24 7 3" xfId="28441" xr:uid="{21D53D4C-1CAB-4F7A-AC7F-32C1FC19E649}"/>
    <cellStyle name="Normal 20 24 7 4" xfId="28442" xr:uid="{E69B8106-6810-4018-88B3-15FEC7C1C752}"/>
    <cellStyle name="Normal 20 24 7 5" xfId="28443" xr:uid="{40441002-B8D1-4EFB-8618-1F33F81B2B4B}"/>
    <cellStyle name="Normal 20 24 7 6" xfId="28444" xr:uid="{F98F283E-AA00-4C4C-9A0B-84C7DE52F73A}"/>
    <cellStyle name="Normal 20 24 8" xfId="28445" xr:uid="{D9C66AA7-C0FB-4027-BEB3-5C562A3F11B2}"/>
    <cellStyle name="Normal 20 24 8 2" xfId="28446" xr:uid="{F27E7E99-1EE7-4A3F-9F34-E76D6BEDC480}"/>
    <cellStyle name="Normal 20 24 8 3" xfId="28447" xr:uid="{134856CE-9D5E-4D9E-9B7F-433B2D246422}"/>
    <cellStyle name="Normal 20 24 8 4" xfId="28448" xr:uid="{8194F00D-3E07-439A-B516-9DD7B13CE36E}"/>
    <cellStyle name="Normal 20 24 8 5" xfId="28449" xr:uid="{71D2B36F-5914-474D-94D6-08739690B784}"/>
    <cellStyle name="Normal 20 24 8 6" xfId="28450" xr:uid="{CEE5F23E-8616-4A50-93A9-B8F559A3B362}"/>
    <cellStyle name="Normal 20 24 9" xfId="28451" xr:uid="{3842CCB4-ED96-41B7-AFC2-CA5A46D8ED78}"/>
    <cellStyle name="Normal 20 25" xfId="28452" xr:uid="{6A0B02BE-EE1D-46FB-A44A-CA48BF6B182E}"/>
    <cellStyle name="Normal 20 25 2" xfId="28453" xr:uid="{AECF84C9-BFA8-4DD3-B537-4A31BD875A1C}"/>
    <cellStyle name="Normal 20 25 3" xfId="28454" xr:uid="{12770D7D-3AB8-4662-8694-3444C052FDE3}"/>
    <cellStyle name="Normal 20 25 4" xfId="28455" xr:uid="{EFA81B17-16D4-4915-B52B-F81CD38F49E3}"/>
    <cellStyle name="Normal 20 25 5" xfId="28456" xr:uid="{91EF2DB0-7E38-41A5-BB94-D1F6E27FF376}"/>
    <cellStyle name="Normal 20 25 6" xfId="28457" xr:uid="{A83D5442-B9FD-49DF-B3DE-F278400B8356}"/>
    <cellStyle name="Normal 20 26" xfId="28458" xr:uid="{A8F6B951-D7B3-4333-9267-381D845D160A}"/>
    <cellStyle name="Normal 20 26 2" xfId="28459" xr:uid="{CCECD508-FF59-4C38-964F-2ACB08A6CFBC}"/>
    <cellStyle name="Normal 20 26 3" xfId="28460" xr:uid="{F9C527B3-6714-4477-8F4D-A975F07A1245}"/>
    <cellStyle name="Normal 20 26 4" xfId="28461" xr:uid="{C20E8F4A-D392-42DC-905F-5305BB6D8151}"/>
    <cellStyle name="Normal 20 26 5" xfId="28462" xr:uid="{744A3F09-6D65-462D-9F7D-BCEC76054397}"/>
    <cellStyle name="Normal 20 26 6" xfId="28463" xr:uid="{77DE1ED0-D57E-453D-933A-D6EFF6859CE2}"/>
    <cellStyle name="Normal 20 27" xfId="28464" xr:uid="{EF4CD2EB-DA4C-4DEF-A779-EB0028D20B5E}"/>
    <cellStyle name="Normal 20 27 2" xfId="28465" xr:uid="{55EDD00F-4FAB-4FC0-BDFC-831AD92C6AEC}"/>
    <cellStyle name="Normal 20 27 3" xfId="28466" xr:uid="{B7682A1D-E9D5-48EA-A6E2-1D8009535A5E}"/>
    <cellStyle name="Normal 20 27 4" xfId="28467" xr:uid="{D4486791-BB15-4C1B-B72A-CB71E11E25FB}"/>
    <cellStyle name="Normal 20 27 5" xfId="28468" xr:uid="{F515E717-2BEB-474F-A627-16C593C9C785}"/>
    <cellStyle name="Normal 20 27 6" xfId="28469" xr:uid="{9A241485-0A4C-4341-BA0B-692A71E8692D}"/>
    <cellStyle name="Normal 20 28" xfId="28470" xr:uid="{B7B86711-5979-4FD1-9AC5-37811477790D}"/>
    <cellStyle name="Normal 20 28 2" xfId="28471" xr:uid="{B3AF9CFF-6FB2-4583-B76B-509EE9249F5D}"/>
    <cellStyle name="Normal 20 28 3" xfId="28472" xr:uid="{29A171D9-5B46-418D-A033-8551FDF5ADCF}"/>
    <cellStyle name="Normal 20 28 4" xfId="28473" xr:uid="{B2FFC0AC-325E-4A3C-A692-81632763DA3F}"/>
    <cellStyle name="Normal 20 28 5" xfId="28474" xr:uid="{6A2BC9FF-DF1B-4186-BD42-D0BA1BC6D89D}"/>
    <cellStyle name="Normal 20 28 6" xfId="28475" xr:uid="{4216A1E5-8C8D-47BC-9A71-CA0A1AB0BF04}"/>
    <cellStyle name="Normal 20 29" xfId="28476" xr:uid="{4455A635-1C4A-4CDC-AFB4-02643DB5F74B}"/>
    <cellStyle name="Normal 20 29 2" xfId="28477" xr:uid="{05C8B260-CD54-4786-A718-9E5DD3F428A8}"/>
    <cellStyle name="Normal 20 29 3" xfId="28478" xr:uid="{4CC5CE35-BCD1-4400-B66D-7B4C4D13A507}"/>
    <cellStyle name="Normal 20 29 4" xfId="28479" xr:uid="{F9452F94-5305-46A7-8DC7-A6884AA383E7}"/>
    <cellStyle name="Normal 20 29 5" xfId="28480" xr:uid="{0CD0FDD6-4357-41A5-8406-2080DB206996}"/>
    <cellStyle name="Normal 20 29 6" xfId="28481" xr:uid="{3E360F32-7FDB-4F9A-90CE-90E0EF3BC987}"/>
    <cellStyle name="Normal 20 3" xfId="28482" xr:uid="{9121A9EE-828B-43B4-85A0-AEE0F18DBC01}"/>
    <cellStyle name="Normal 20 3 10" xfId="28483" xr:uid="{37DF9119-DC5F-48B7-810F-EEB5A9E073FF}"/>
    <cellStyle name="Normal 20 3 11" xfId="28484" xr:uid="{96097A49-5DC5-4E24-B91A-F5D9AC4647D8}"/>
    <cellStyle name="Normal 20 3 12" xfId="28485" xr:uid="{4CDF2233-945F-445D-B092-8C01FEDDE994}"/>
    <cellStyle name="Normal 20 3 13" xfId="28486" xr:uid="{1AC135CB-8D58-4F06-9410-60498FB9DDEE}"/>
    <cellStyle name="Normal 20 3 2" xfId="28487" xr:uid="{75565820-1AA6-44AF-A158-666EF9A0FDFA}"/>
    <cellStyle name="Normal 20 3 2 2" xfId="28488" xr:uid="{F69C4314-D4CC-49F9-8551-B3E1405B09FF}"/>
    <cellStyle name="Normal 20 3 2 3" xfId="28489" xr:uid="{2F7A4345-0E5E-4574-8643-D05044FFA1CF}"/>
    <cellStyle name="Normal 20 3 2 4" xfId="28490" xr:uid="{BE7EC453-66A1-41C9-8EB8-7B0CAED4C2DD}"/>
    <cellStyle name="Normal 20 3 2 5" xfId="28491" xr:uid="{7B2F794E-9FFB-40E6-9BEC-2A80C75012E4}"/>
    <cellStyle name="Normal 20 3 2 6" xfId="28492" xr:uid="{792B065F-0537-4B6B-BF85-BE418189BC79}"/>
    <cellStyle name="Normal 20 3 3" xfId="28493" xr:uid="{7E45D31B-5E63-44BD-BE6E-64B35B8CBD13}"/>
    <cellStyle name="Normal 20 3 3 2" xfId="28494" xr:uid="{976D0673-9FC3-4527-960F-5F597E72869C}"/>
    <cellStyle name="Normal 20 3 3 3" xfId="28495" xr:uid="{11FC1526-69F5-44C4-B4DB-49D34F5384E2}"/>
    <cellStyle name="Normal 20 3 3 4" xfId="28496" xr:uid="{6D280954-01D2-4950-9C04-D1AD249CDA0B}"/>
    <cellStyle name="Normal 20 3 3 5" xfId="28497" xr:uid="{5B98D3AC-81B8-4F64-911D-307EF256492E}"/>
    <cellStyle name="Normal 20 3 3 6" xfId="28498" xr:uid="{ECD26EC2-4654-4640-8CC9-5185F7455891}"/>
    <cellStyle name="Normal 20 3 4" xfId="28499" xr:uid="{941D8103-3873-4A87-A8C4-489F55F87D75}"/>
    <cellStyle name="Normal 20 3 4 2" xfId="28500" xr:uid="{9CEFDBBD-0609-45EF-93BC-EBA038F91C40}"/>
    <cellStyle name="Normal 20 3 4 3" xfId="28501" xr:uid="{32D7CF7E-7848-4131-923D-60EBFF0F32AB}"/>
    <cellStyle name="Normal 20 3 4 4" xfId="28502" xr:uid="{FAB34D4A-6C1D-43C5-B841-CC881875C3D1}"/>
    <cellStyle name="Normal 20 3 4 5" xfId="28503" xr:uid="{B0148455-2B95-454D-9085-3BCEB5101421}"/>
    <cellStyle name="Normal 20 3 4 6" xfId="28504" xr:uid="{6889554F-C860-41DF-87ED-C2B6965149A5}"/>
    <cellStyle name="Normal 20 3 5" xfId="28505" xr:uid="{91E47577-E6BB-4C64-842F-4FC6F1454127}"/>
    <cellStyle name="Normal 20 3 5 2" xfId="28506" xr:uid="{E88C06FC-1DBD-47E4-8359-EC8E0F59B2E4}"/>
    <cellStyle name="Normal 20 3 5 3" xfId="28507" xr:uid="{E541118E-EEE6-4EE8-A92B-83DD2DC9F3C6}"/>
    <cellStyle name="Normal 20 3 5 4" xfId="28508" xr:uid="{581CC560-AD6E-44E6-8E25-1499C7980DDF}"/>
    <cellStyle name="Normal 20 3 5 5" xfId="28509" xr:uid="{213F99B6-2D1E-4E93-BD89-DB83F78F289A}"/>
    <cellStyle name="Normal 20 3 5 6" xfId="28510" xr:uid="{D97EEE44-21BB-42B2-9029-17717FFD1410}"/>
    <cellStyle name="Normal 20 3 6" xfId="28511" xr:uid="{8AE98DF4-684E-442A-8DCC-4925960335AB}"/>
    <cellStyle name="Normal 20 3 6 2" xfId="28512" xr:uid="{F70CFF90-63E1-4EAF-BFEE-92E4C086FC82}"/>
    <cellStyle name="Normal 20 3 6 3" xfId="28513" xr:uid="{065259FA-5BC4-4F41-ACD5-6D7A6FC35202}"/>
    <cellStyle name="Normal 20 3 6 4" xfId="28514" xr:uid="{AB769929-EB83-40C3-99A7-1BA97A62CDB5}"/>
    <cellStyle name="Normal 20 3 6 5" xfId="28515" xr:uid="{7BC92273-1E4F-47E7-A537-F2F19D55E112}"/>
    <cellStyle name="Normal 20 3 6 6" xfId="28516" xr:uid="{4E89B2A6-CAEC-4840-9ED6-4683E87B0DEC}"/>
    <cellStyle name="Normal 20 3 7" xfId="28517" xr:uid="{FD9F93F8-B090-4FBA-B37D-5218966514A9}"/>
    <cellStyle name="Normal 20 3 7 2" xfId="28518" xr:uid="{5F6D8878-B855-42D9-85B1-58B4D2209D0D}"/>
    <cellStyle name="Normal 20 3 7 3" xfId="28519" xr:uid="{3DED36A6-8F5F-4FF6-8D2A-E4D56CCC45A8}"/>
    <cellStyle name="Normal 20 3 7 4" xfId="28520" xr:uid="{49CFD64B-5894-444B-BE3C-52A2B7DE6E99}"/>
    <cellStyle name="Normal 20 3 7 5" xfId="28521" xr:uid="{1CF169E1-AA73-477F-ACF6-3B52F5CFDC02}"/>
    <cellStyle name="Normal 20 3 7 6" xfId="28522" xr:uid="{4A66471C-2460-476E-A7E8-0DFEE28E6B0F}"/>
    <cellStyle name="Normal 20 3 8" xfId="28523" xr:uid="{D7CE860B-13D9-414D-8368-3D9398E7DB48}"/>
    <cellStyle name="Normal 20 3 8 2" xfId="28524" xr:uid="{5FE2ABE7-4502-4992-B8DD-51C2AB81A15D}"/>
    <cellStyle name="Normal 20 3 8 3" xfId="28525" xr:uid="{9AF64546-905B-461F-A651-06077F1A7576}"/>
    <cellStyle name="Normal 20 3 8 4" xfId="28526" xr:uid="{F8044ED4-98A3-435A-95DE-6C8540A2E443}"/>
    <cellStyle name="Normal 20 3 8 5" xfId="28527" xr:uid="{19DF27EF-D7D2-4CC8-ACEC-241D36FA0152}"/>
    <cellStyle name="Normal 20 3 8 6" xfId="28528" xr:uid="{2CB3B819-18F0-4849-A7A3-62FBB012F59F}"/>
    <cellStyle name="Normal 20 3 9" xfId="28529" xr:uid="{61A2905B-13C0-430A-B8B6-602DACC8CD8C}"/>
    <cellStyle name="Normal 20 30" xfId="28530" xr:uid="{0F92456F-EEF3-4D80-A0D7-90891AF507B8}"/>
    <cellStyle name="Normal 20 30 2" xfId="28531" xr:uid="{20F657F1-5CC3-4C7A-84FA-559FC98AC2D9}"/>
    <cellStyle name="Normal 20 30 3" xfId="28532" xr:uid="{D929C61A-4436-412C-BA35-F59EC77E4737}"/>
    <cellStyle name="Normal 20 30 4" xfId="28533" xr:uid="{9CA864F2-DC34-4713-85E8-7AED59EFC2B9}"/>
    <cellStyle name="Normal 20 30 5" xfId="28534" xr:uid="{9AC25D98-0076-4F3D-86D9-E21219D25F50}"/>
    <cellStyle name="Normal 20 30 6" xfId="28535" xr:uid="{0BD29310-6286-4F13-8C3C-3F4DD57359B3}"/>
    <cellStyle name="Normal 20 31" xfId="28536" xr:uid="{D57CBE27-F37E-41B5-9737-866AA39AA842}"/>
    <cellStyle name="Normal 20 31 2" xfId="28537" xr:uid="{18FF992F-0D49-4BBF-9384-79ECD938433B}"/>
    <cellStyle name="Normal 20 31 3" xfId="28538" xr:uid="{ECB13419-2E3A-4CC2-9E13-75EE35727125}"/>
    <cellStyle name="Normal 20 31 4" xfId="28539" xr:uid="{C0E39F5B-DB1F-4A39-8F88-77F091ACBD99}"/>
    <cellStyle name="Normal 20 31 5" xfId="28540" xr:uid="{91D8A07D-43F7-4422-84F0-19121F5EA604}"/>
    <cellStyle name="Normal 20 31 6" xfId="28541" xr:uid="{C436DFDF-5A31-4BFE-90DF-BB843FD0CA9F}"/>
    <cellStyle name="Normal 20 32" xfId="28542" xr:uid="{1C9212DE-1D1A-4579-9A16-43DBF8B6D619}"/>
    <cellStyle name="Normal 20 33" xfId="28543" xr:uid="{C7AF9F4F-1D1E-461B-8202-3D4894B642DA}"/>
    <cellStyle name="Normal 20 34" xfId="28544" xr:uid="{8BDEEDF7-BF38-4F86-953C-5A1BF333B256}"/>
    <cellStyle name="Normal 20 35" xfId="28545" xr:uid="{2DDD9AB9-9280-4B4B-9B3F-409DC8466C2D}"/>
    <cellStyle name="Normal 20 36" xfId="28546" xr:uid="{B1C22CA8-0698-4561-A896-8D80C6E40157}"/>
    <cellStyle name="Normal 20 4" xfId="28547" xr:uid="{7938BB10-E808-4325-ABD6-3932A99FDCF9}"/>
    <cellStyle name="Normal 20 4 10" xfId="28548" xr:uid="{0F560A6A-2958-4DF6-9D5E-247BC7D640A5}"/>
    <cellStyle name="Normal 20 4 11" xfId="28549" xr:uid="{83170325-5FAF-4F42-8CD7-D9278EA84DE9}"/>
    <cellStyle name="Normal 20 4 12" xfId="28550" xr:uid="{5502BC27-DF70-4630-A822-9E8D2319C175}"/>
    <cellStyle name="Normal 20 4 13" xfId="28551" xr:uid="{E68D9C90-D80E-49D0-8D73-8315F6FCF492}"/>
    <cellStyle name="Normal 20 4 2" xfId="28552" xr:uid="{14FBDA68-CEDA-427E-88DC-A6C19A9419B2}"/>
    <cellStyle name="Normal 20 4 2 2" xfId="28553" xr:uid="{F1D5F362-D633-4647-A95C-E7049471513D}"/>
    <cellStyle name="Normal 20 4 2 3" xfId="28554" xr:uid="{CADCD468-4A4C-43D1-A901-F90FB9F42FB4}"/>
    <cellStyle name="Normal 20 4 2 4" xfId="28555" xr:uid="{892F6C19-6CF5-47A7-8864-8D697DA23EBB}"/>
    <cellStyle name="Normal 20 4 2 5" xfId="28556" xr:uid="{94E58818-9B48-48EB-94CF-B6755E30220E}"/>
    <cellStyle name="Normal 20 4 2 6" xfId="28557" xr:uid="{5364964C-913F-42A0-8FF0-631E3A8A1812}"/>
    <cellStyle name="Normal 20 4 3" xfId="28558" xr:uid="{10BC26DD-46E7-443E-8638-115E6A44D52E}"/>
    <cellStyle name="Normal 20 4 3 2" xfId="28559" xr:uid="{36494E04-FF38-4CFB-90C2-9081CE668308}"/>
    <cellStyle name="Normal 20 4 3 3" xfId="28560" xr:uid="{C6BC167B-71DF-4B49-A1EC-863754D0F262}"/>
    <cellStyle name="Normal 20 4 3 4" xfId="28561" xr:uid="{4BF580A8-FABB-4E2E-8018-35055DB1CCCA}"/>
    <cellStyle name="Normal 20 4 3 5" xfId="28562" xr:uid="{E28C02AE-10A7-4CF4-9E3D-2B475A6FEF20}"/>
    <cellStyle name="Normal 20 4 3 6" xfId="28563" xr:uid="{ED86F98F-AE92-4547-9E9C-BE29819ED2A9}"/>
    <cellStyle name="Normal 20 4 4" xfId="28564" xr:uid="{5CB8DD3C-9335-481A-BA2C-C4AC56D65B6B}"/>
    <cellStyle name="Normal 20 4 4 2" xfId="28565" xr:uid="{D71BFC05-0EDB-4DAE-B207-64887198862E}"/>
    <cellStyle name="Normal 20 4 4 3" xfId="28566" xr:uid="{A5C53820-F2E8-4772-9549-94BFCF01FFF9}"/>
    <cellStyle name="Normal 20 4 4 4" xfId="28567" xr:uid="{1E50FBC9-0A3D-4A8B-B1D0-EAAE6C692D09}"/>
    <cellStyle name="Normal 20 4 4 5" xfId="28568" xr:uid="{D54FA95A-E0D9-4B2E-A184-C43444AADD42}"/>
    <cellStyle name="Normal 20 4 4 6" xfId="28569" xr:uid="{647C9862-B08E-4B33-987C-850076D12CC4}"/>
    <cellStyle name="Normal 20 4 5" xfId="28570" xr:uid="{8B613573-3F45-4186-B1D2-BE2F22F94DBE}"/>
    <cellStyle name="Normal 20 4 5 2" xfId="28571" xr:uid="{555F2188-90AB-496E-A3F4-27371778D12E}"/>
    <cellStyle name="Normal 20 4 5 3" xfId="28572" xr:uid="{DD5059E6-62FB-43BC-BE73-DA863311869F}"/>
    <cellStyle name="Normal 20 4 5 4" xfId="28573" xr:uid="{EDE118FD-83EE-44C1-B44C-122DF2207860}"/>
    <cellStyle name="Normal 20 4 5 5" xfId="28574" xr:uid="{399A7CB2-D41B-44FC-A3CE-30581EB360B6}"/>
    <cellStyle name="Normal 20 4 5 6" xfId="28575" xr:uid="{C8A5C6DA-8267-4D3F-8AC9-EADD1DB8D16A}"/>
    <cellStyle name="Normal 20 4 6" xfId="28576" xr:uid="{C9F26978-AF74-43AE-AFD9-CC6A87E1CB60}"/>
    <cellStyle name="Normal 20 4 6 2" xfId="28577" xr:uid="{F037D726-6AEB-45A8-9428-00CA209AF478}"/>
    <cellStyle name="Normal 20 4 6 3" xfId="28578" xr:uid="{6C6FA2B4-A4C8-4551-BB70-2CAEA1004D04}"/>
    <cellStyle name="Normal 20 4 6 4" xfId="28579" xr:uid="{83C33590-8AE1-4DD3-A562-58CE91317DD8}"/>
    <cellStyle name="Normal 20 4 6 5" xfId="28580" xr:uid="{871ADFBE-DC26-4759-AF3A-E74267F3A084}"/>
    <cellStyle name="Normal 20 4 6 6" xfId="28581" xr:uid="{78EB1D22-54B1-4E0C-AE6E-1BC8B9C40FAF}"/>
    <cellStyle name="Normal 20 4 7" xfId="28582" xr:uid="{11B52745-CFE2-4EDF-80A9-227D64616AEB}"/>
    <cellStyle name="Normal 20 4 7 2" xfId="28583" xr:uid="{87DF0C64-74EC-412D-B21C-758E164DF3DC}"/>
    <cellStyle name="Normal 20 4 7 3" xfId="28584" xr:uid="{40AD6699-E6FB-4C2B-A852-F9F42AB7C321}"/>
    <cellStyle name="Normal 20 4 7 4" xfId="28585" xr:uid="{8FE374EE-1E7B-4DE7-9F07-428A3F66F0F3}"/>
    <cellStyle name="Normal 20 4 7 5" xfId="28586" xr:uid="{0561A9A9-D8F9-4296-A343-B2A24A14C110}"/>
    <cellStyle name="Normal 20 4 7 6" xfId="28587" xr:uid="{9F58295C-A501-4F2D-A42F-5CC9D97BDD74}"/>
    <cellStyle name="Normal 20 4 8" xfId="28588" xr:uid="{815E6557-86A9-4582-A189-F73097B03600}"/>
    <cellStyle name="Normal 20 4 8 2" xfId="28589" xr:uid="{23540421-AD47-43D1-9F88-13F5623F6E00}"/>
    <cellStyle name="Normal 20 4 8 3" xfId="28590" xr:uid="{B634FDCF-B246-4E3B-9342-AA06F0829980}"/>
    <cellStyle name="Normal 20 4 8 4" xfId="28591" xr:uid="{5469DD1E-330A-4396-9798-598DC92BBE84}"/>
    <cellStyle name="Normal 20 4 8 5" xfId="28592" xr:uid="{04A44F90-AAB8-4298-AA17-17E9F691343E}"/>
    <cellStyle name="Normal 20 4 8 6" xfId="28593" xr:uid="{EE8E1677-9CDF-4C7A-ADE7-A8607BCC34F9}"/>
    <cellStyle name="Normal 20 4 9" xfId="28594" xr:uid="{3DE06E9E-382A-454B-A35D-5EDD8204A461}"/>
    <cellStyle name="Normal 20 5" xfId="28595" xr:uid="{47097F9C-96E6-4316-B6A7-F92F4D244BF1}"/>
    <cellStyle name="Normal 20 5 10" xfId="28596" xr:uid="{8D0C56CB-18FF-44E3-9A78-37F7A3500054}"/>
    <cellStyle name="Normal 20 5 11" xfId="28597" xr:uid="{7591C26F-1A37-43CC-9E84-58A4CFA6FFBA}"/>
    <cellStyle name="Normal 20 5 12" xfId="28598" xr:uid="{D229DC7D-316E-4C4D-A10A-D000049231B1}"/>
    <cellStyle name="Normal 20 5 13" xfId="28599" xr:uid="{1EE80FFE-B042-472F-B66A-FA61BE73CB4E}"/>
    <cellStyle name="Normal 20 5 2" xfId="28600" xr:uid="{E444CD11-145B-4203-BEE4-B1CB140045D4}"/>
    <cellStyle name="Normal 20 5 2 2" xfId="28601" xr:uid="{7ED2A1D5-0563-42A4-8D2C-026BE289DCB6}"/>
    <cellStyle name="Normal 20 5 2 3" xfId="28602" xr:uid="{997C62C2-F32C-4170-AD2D-1CCE06A39AFB}"/>
    <cellStyle name="Normal 20 5 2 4" xfId="28603" xr:uid="{55425BD7-2202-457D-8797-198FFB251480}"/>
    <cellStyle name="Normal 20 5 2 5" xfId="28604" xr:uid="{28FAECB4-2E17-42B7-A03D-FFAB732D869E}"/>
    <cellStyle name="Normal 20 5 2 6" xfId="28605" xr:uid="{6670FC51-223D-4BC3-9BC5-FDB7D6C91D50}"/>
    <cellStyle name="Normal 20 5 3" xfId="28606" xr:uid="{01472CC2-6EED-4237-9053-90ADA4447B0D}"/>
    <cellStyle name="Normal 20 5 3 2" xfId="28607" xr:uid="{2AB8B0CD-6346-4E63-8AA1-2384C2E7D4D5}"/>
    <cellStyle name="Normal 20 5 3 3" xfId="28608" xr:uid="{A20A3C8F-BBF4-46BA-B51B-3C68CF50E7C4}"/>
    <cellStyle name="Normal 20 5 3 4" xfId="28609" xr:uid="{B15676C2-F7CB-4FBB-A362-75F80FBD7F05}"/>
    <cellStyle name="Normal 20 5 3 5" xfId="28610" xr:uid="{5CD9478B-1CDE-4D63-8094-64912FA878D1}"/>
    <cellStyle name="Normal 20 5 3 6" xfId="28611" xr:uid="{41F6047B-E893-4776-9C1B-0FBFEEB3A133}"/>
    <cellStyle name="Normal 20 5 4" xfId="28612" xr:uid="{C2C075A7-13EC-4216-9D8D-DF3E4399AB19}"/>
    <cellStyle name="Normal 20 5 4 2" xfId="28613" xr:uid="{7BCCEA9D-A689-421D-B2AC-30F8D6BE2162}"/>
    <cellStyle name="Normal 20 5 4 3" xfId="28614" xr:uid="{6FD32BE0-F34E-4805-ABEB-57BE4F910418}"/>
    <cellStyle name="Normal 20 5 4 4" xfId="28615" xr:uid="{CD962515-BF3C-4C75-A5E9-0F487A87CA0F}"/>
    <cellStyle name="Normal 20 5 4 5" xfId="28616" xr:uid="{63F64F1D-E657-467D-8675-6DE3D133AAD0}"/>
    <cellStyle name="Normal 20 5 4 6" xfId="28617" xr:uid="{76D60565-5F6D-478B-A80D-9802B4C85A28}"/>
    <cellStyle name="Normal 20 5 5" xfId="28618" xr:uid="{C3635A19-B579-4AD6-932D-C8B41BE565FF}"/>
    <cellStyle name="Normal 20 5 5 2" xfId="28619" xr:uid="{92DCADAE-ADDD-477F-9B2D-C44D9A7A5913}"/>
    <cellStyle name="Normal 20 5 5 3" xfId="28620" xr:uid="{84695359-5677-4D7F-B353-2B98E523BE18}"/>
    <cellStyle name="Normal 20 5 5 4" xfId="28621" xr:uid="{1CD2C192-8A94-4401-AA5B-98EB202FCEC9}"/>
    <cellStyle name="Normal 20 5 5 5" xfId="28622" xr:uid="{1DCDDAA5-4915-4550-AA15-E92371C19282}"/>
    <cellStyle name="Normal 20 5 5 6" xfId="28623" xr:uid="{328AB8E2-8FBE-4B90-8C9B-CEBA2DA00865}"/>
    <cellStyle name="Normal 20 5 6" xfId="28624" xr:uid="{B389A054-AE62-4CE9-A053-D01E43EFEE25}"/>
    <cellStyle name="Normal 20 5 6 2" xfId="28625" xr:uid="{FBF410E7-CC62-427B-A653-6DFB1D27CFF6}"/>
    <cellStyle name="Normal 20 5 6 3" xfId="28626" xr:uid="{F8230E55-0857-46AF-B7CF-8C5CEA5FF822}"/>
    <cellStyle name="Normal 20 5 6 4" xfId="28627" xr:uid="{FFC50D7D-AA65-4CD9-9264-E2340E70277B}"/>
    <cellStyle name="Normal 20 5 6 5" xfId="28628" xr:uid="{881E0EAC-C196-433E-A7EA-DE83F97B31C1}"/>
    <cellStyle name="Normal 20 5 6 6" xfId="28629" xr:uid="{A8BA6D1A-049E-4565-8BED-59A026AC3A8D}"/>
    <cellStyle name="Normal 20 5 7" xfId="28630" xr:uid="{57F38107-7C63-4FD5-B241-BAD3C88FE2D1}"/>
    <cellStyle name="Normal 20 5 7 2" xfId="28631" xr:uid="{BA4DDDB5-EC51-4292-8054-259B04BA43C2}"/>
    <cellStyle name="Normal 20 5 7 3" xfId="28632" xr:uid="{890F35C9-2C3D-486B-822D-BBA82E729644}"/>
    <cellStyle name="Normal 20 5 7 4" xfId="28633" xr:uid="{CB10215C-A5CB-4033-8C89-02B248D78716}"/>
    <cellStyle name="Normal 20 5 7 5" xfId="28634" xr:uid="{18C27F07-D5BB-4547-AC99-4E02A9E4DBB1}"/>
    <cellStyle name="Normal 20 5 7 6" xfId="28635" xr:uid="{DF82DA29-CE9E-47C7-B598-55D844084306}"/>
    <cellStyle name="Normal 20 5 8" xfId="28636" xr:uid="{6855D316-B6D8-4992-A34C-032A27C1F7EF}"/>
    <cellStyle name="Normal 20 5 8 2" xfId="28637" xr:uid="{669B2464-22E7-4088-9739-88F26CBCB4F1}"/>
    <cellStyle name="Normal 20 5 8 3" xfId="28638" xr:uid="{8A072C99-6E84-4F84-99BD-AA32B2B39FDB}"/>
    <cellStyle name="Normal 20 5 8 4" xfId="28639" xr:uid="{21672990-DF37-49CC-8CF4-406DF1FAB41C}"/>
    <cellStyle name="Normal 20 5 8 5" xfId="28640" xr:uid="{20A2D3DC-7984-4FBB-9D9D-E79B8C1F16A1}"/>
    <cellStyle name="Normal 20 5 8 6" xfId="28641" xr:uid="{DFB45485-BD6A-42F9-8A73-BDC227CBDFD6}"/>
    <cellStyle name="Normal 20 5 9" xfId="28642" xr:uid="{FF9FE402-35F2-469D-9A44-39787F387852}"/>
    <cellStyle name="Normal 20 6" xfId="28643" xr:uid="{C0102216-B78F-47E4-9782-E2AA3DAC6BC7}"/>
    <cellStyle name="Normal 20 6 10" xfId="28644" xr:uid="{BD41AB3E-664C-4F2B-823A-C67DB6A01990}"/>
    <cellStyle name="Normal 20 6 11" xfId="28645" xr:uid="{B5193BBB-B4BE-41D7-9807-B7521A849388}"/>
    <cellStyle name="Normal 20 6 12" xfId="28646" xr:uid="{00A10B1D-2AFC-4ACA-A2E2-A50DA60255DE}"/>
    <cellStyle name="Normal 20 6 13" xfId="28647" xr:uid="{943076D3-7EFB-41D4-939E-C0C54BA410B4}"/>
    <cellStyle name="Normal 20 6 2" xfId="28648" xr:uid="{557FF8D9-1FEE-4D78-A0DD-954C3C7BC63A}"/>
    <cellStyle name="Normal 20 6 2 2" xfId="28649" xr:uid="{F0974AEC-DB4F-4046-991B-487072DD2D0F}"/>
    <cellStyle name="Normal 20 6 2 3" xfId="28650" xr:uid="{7C9DF123-8B5C-4AC3-98E0-37A2D7A77D99}"/>
    <cellStyle name="Normal 20 6 2 4" xfId="28651" xr:uid="{711FF744-1E8F-49E0-9923-0D48F3B84151}"/>
    <cellStyle name="Normal 20 6 2 5" xfId="28652" xr:uid="{794952ED-D48B-4CBE-95A1-BABAB57AAB52}"/>
    <cellStyle name="Normal 20 6 2 6" xfId="28653" xr:uid="{5454EFC6-2652-451D-9D39-FC46FEA96EE7}"/>
    <cellStyle name="Normal 20 6 3" xfId="28654" xr:uid="{09E6DB45-AC80-4D8E-B1FE-C62559F3D533}"/>
    <cellStyle name="Normal 20 6 3 2" xfId="28655" xr:uid="{C399DA55-23C5-48E1-8236-F68A5B2CCEDE}"/>
    <cellStyle name="Normal 20 6 3 3" xfId="28656" xr:uid="{382580A4-D294-4C4C-B7E6-061EC2E674B5}"/>
    <cellStyle name="Normal 20 6 3 4" xfId="28657" xr:uid="{C65C3391-11D6-4566-8E04-FC0B0F7352BD}"/>
    <cellStyle name="Normal 20 6 3 5" xfId="28658" xr:uid="{C9B63859-1FAA-49F3-948F-14ECDBADFCFF}"/>
    <cellStyle name="Normal 20 6 3 6" xfId="28659" xr:uid="{E77A31DB-51F6-4601-96A9-D8E01949EECC}"/>
    <cellStyle name="Normal 20 6 4" xfId="28660" xr:uid="{CCDD0668-A731-498A-83A1-D92B7E036654}"/>
    <cellStyle name="Normal 20 6 4 2" xfId="28661" xr:uid="{FCA39747-9983-4BE1-9D7A-5A8DE1522EF9}"/>
    <cellStyle name="Normal 20 6 4 3" xfId="28662" xr:uid="{A1283BA0-68F4-4F6D-9D44-BA562DB8A2E4}"/>
    <cellStyle name="Normal 20 6 4 4" xfId="28663" xr:uid="{5CC0E8E6-1617-43B9-840F-9404A5C3F97D}"/>
    <cellStyle name="Normal 20 6 4 5" xfId="28664" xr:uid="{43B6051F-8A5D-467A-B6CB-8CF2DFBA8544}"/>
    <cellStyle name="Normal 20 6 4 6" xfId="28665" xr:uid="{531F3EEC-F6DD-49A6-A996-882CB8D97EF8}"/>
    <cellStyle name="Normal 20 6 5" xfId="28666" xr:uid="{C6DB6898-AC94-470E-B85E-87A9CCE84AD6}"/>
    <cellStyle name="Normal 20 6 5 2" xfId="28667" xr:uid="{7B92F67A-4919-4F98-A953-3E74BF855FD2}"/>
    <cellStyle name="Normal 20 6 5 3" xfId="28668" xr:uid="{739075A4-153C-4F3F-9EF5-947FE01B3B65}"/>
    <cellStyle name="Normal 20 6 5 4" xfId="28669" xr:uid="{A3D21977-BBE4-4621-AE98-657834F8285C}"/>
    <cellStyle name="Normal 20 6 5 5" xfId="28670" xr:uid="{250FB7DC-D971-4839-90F2-1B12D55C9A8C}"/>
    <cellStyle name="Normal 20 6 5 6" xfId="28671" xr:uid="{69296F80-D276-4CCC-86BE-94001DB14739}"/>
    <cellStyle name="Normal 20 6 6" xfId="28672" xr:uid="{AD10F04B-AF0C-4C19-ACC0-79D7253B5450}"/>
    <cellStyle name="Normal 20 6 6 2" xfId="28673" xr:uid="{2C93A684-0D2D-435A-BD3B-03625A5179DE}"/>
    <cellStyle name="Normal 20 6 6 3" xfId="28674" xr:uid="{1571695F-BBF3-4048-8B50-CC1CAAE2B90E}"/>
    <cellStyle name="Normal 20 6 6 4" xfId="28675" xr:uid="{88727C13-89B5-4E2A-897C-8D07AA0ED040}"/>
    <cellStyle name="Normal 20 6 6 5" xfId="28676" xr:uid="{153AD6A6-B0BE-4810-81D0-18C90664E5C9}"/>
    <cellStyle name="Normal 20 6 6 6" xfId="28677" xr:uid="{91E1AFE0-BDDD-42E2-A02D-E0674D686395}"/>
    <cellStyle name="Normal 20 6 7" xfId="28678" xr:uid="{5179BA4E-511E-417E-A37B-F73EF6CB2698}"/>
    <cellStyle name="Normal 20 6 7 2" xfId="28679" xr:uid="{03E1E2F5-2BA1-400C-9873-78D048E5F375}"/>
    <cellStyle name="Normal 20 6 7 3" xfId="28680" xr:uid="{3B00B55B-00E4-4048-B241-91615C24DA51}"/>
    <cellStyle name="Normal 20 6 7 4" xfId="28681" xr:uid="{B8505D87-5701-4F73-A57C-04D71CF44DF3}"/>
    <cellStyle name="Normal 20 6 7 5" xfId="28682" xr:uid="{77C71A21-1B95-4049-B0CD-D96AF6D7C456}"/>
    <cellStyle name="Normal 20 6 7 6" xfId="28683" xr:uid="{70E0B4EE-F01B-4AE4-8CEC-D06DE6CB8456}"/>
    <cellStyle name="Normal 20 6 8" xfId="28684" xr:uid="{91B3040A-334D-4204-8F6E-7CF2A4BC2A1D}"/>
    <cellStyle name="Normal 20 6 8 2" xfId="28685" xr:uid="{BD97A034-590D-47E6-B7E2-7A8E59893F7E}"/>
    <cellStyle name="Normal 20 6 8 3" xfId="28686" xr:uid="{759BB51F-5C21-489B-8729-CA72344EA4F6}"/>
    <cellStyle name="Normal 20 6 8 4" xfId="28687" xr:uid="{6C37397D-7B2C-4F0C-B40E-19F93C1BFC16}"/>
    <cellStyle name="Normal 20 6 8 5" xfId="28688" xr:uid="{DC6ABC3F-417F-41F2-B778-92407EEDD586}"/>
    <cellStyle name="Normal 20 6 8 6" xfId="28689" xr:uid="{A4C93D37-E4E2-4310-A8FD-81653CFF7E96}"/>
    <cellStyle name="Normal 20 6 9" xfId="28690" xr:uid="{2541A5D4-3416-43A6-9079-6ABBFE11D91A}"/>
    <cellStyle name="Normal 20 7" xfId="28691" xr:uid="{4ED9EDFF-7B35-4774-A24D-A3DBA918EE7F}"/>
    <cellStyle name="Normal 20 7 10" xfId="28692" xr:uid="{FB17CE2B-0C92-47E5-8E95-1ABFA01FD1BE}"/>
    <cellStyle name="Normal 20 7 11" xfId="28693" xr:uid="{1642C594-C68A-4B9B-A44B-646391E69157}"/>
    <cellStyle name="Normal 20 7 12" xfId="28694" xr:uid="{B7AFD7C0-06CA-4349-A62A-31F9177D9AA3}"/>
    <cellStyle name="Normal 20 7 13" xfId="28695" xr:uid="{D5EC6610-20D9-4177-BE0F-EDDD27AD1E17}"/>
    <cellStyle name="Normal 20 7 2" xfId="28696" xr:uid="{3BB7E7C1-F50E-405C-83CD-41E0AD4090E7}"/>
    <cellStyle name="Normal 20 7 2 2" xfId="28697" xr:uid="{67723773-ABBA-43E2-9E3E-A3E83304566D}"/>
    <cellStyle name="Normal 20 7 2 3" xfId="28698" xr:uid="{2FDEDD91-D2A1-4BD8-9125-394CEA60B9E6}"/>
    <cellStyle name="Normal 20 7 2 4" xfId="28699" xr:uid="{55A6308A-DE58-4A6D-BA92-03FE4D771396}"/>
    <cellStyle name="Normal 20 7 2 5" xfId="28700" xr:uid="{18FADD85-9AD6-4A75-AA15-06CA0D14B700}"/>
    <cellStyle name="Normal 20 7 2 6" xfId="28701" xr:uid="{ACF76920-E672-450B-85B8-BB2DF9A37BE6}"/>
    <cellStyle name="Normal 20 7 3" xfId="28702" xr:uid="{C361C6C6-E102-4F4B-B047-A776908AE801}"/>
    <cellStyle name="Normal 20 7 3 2" xfId="28703" xr:uid="{A0396F06-D72F-42B7-8493-480FC32313E8}"/>
    <cellStyle name="Normal 20 7 3 3" xfId="28704" xr:uid="{0BEDB38E-95CD-41E2-944B-39DA3D363D8A}"/>
    <cellStyle name="Normal 20 7 3 4" xfId="28705" xr:uid="{117E9FC2-8F5A-4B3E-BABA-5F7A3F5FA04B}"/>
    <cellStyle name="Normal 20 7 3 5" xfId="28706" xr:uid="{8A329912-46B6-4D5E-B420-BF6A39D1B471}"/>
    <cellStyle name="Normal 20 7 3 6" xfId="28707" xr:uid="{556118DA-A841-43E1-B0EA-A8054555CEC6}"/>
    <cellStyle name="Normal 20 7 4" xfId="28708" xr:uid="{4512F5F6-22AB-4218-9F5F-864789E61711}"/>
    <cellStyle name="Normal 20 7 4 2" xfId="28709" xr:uid="{6464DFF2-0E82-45EF-BA8C-65F35ABE4AB1}"/>
    <cellStyle name="Normal 20 7 4 3" xfId="28710" xr:uid="{AC1225FB-99FC-476F-A7BF-7912D9579ABB}"/>
    <cellStyle name="Normal 20 7 4 4" xfId="28711" xr:uid="{9E7F4A8A-7A27-41C8-B199-8F60BC249B72}"/>
    <cellStyle name="Normal 20 7 4 5" xfId="28712" xr:uid="{BEF8FE1C-E671-44DA-94B5-5CBB2AE97343}"/>
    <cellStyle name="Normal 20 7 4 6" xfId="28713" xr:uid="{92B8C0FC-F427-403D-91E4-EA8BC01D03B1}"/>
    <cellStyle name="Normal 20 7 5" xfId="28714" xr:uid="{5187BB55-26B9-45B4-8A89-34B13E40728F}"/>
    <cellStyle name="Normal 20 7 5 2" xfId="28715" xr:uid="{8AED9279-AE5D-4EF1-A176-464EC1F4EE41}"/>
    <cellStyle name="Normal 20 7 5 3" xfId="28716" xr:uid="{2304C596-F7EC-40E4-95CE-00CD29D3A32E}"/>
    <cellStyle name="Normal 20 7 5 4" xfId="28717" xr:uid="{5A9B9073-2779-44AF-A0D1-4DA04BAB0B77}"/>
    <cellStyle name="Normal 20 7 5 5" xfId="28718" xr:uid="{826DE6B8-A81C-4A49-844E-EC3970C39809}"/>
    <cellStyle name="Normal 20 7 5 6" xfId="28719" xr:uid="{E8FF94D6-2454-4702-98AF-F3E114C49136}"/>
    <cellStyle name="Normal 20 7 6" xfId="28720" xr:uid="{DCA66F76-9592-48A6-AC36-EBEB4AA1DC97}"/>
    <cellStyle name="Normal 20 7 6 2" xfId="28721" xr:uid="{8024301D-AA64-4175-B8E0-25C1930A1372}"/>
    <cellStyle name="Normal 20 7 6 3" xfId="28722" xr:uid="{53AE2C07-6C73-40EE-BE87-FE2AD55A936B}"/>
    <cellStyle name="Normal 20 7 6 4" xfId="28723" xr:uid="{6D16A3AA-E85F-4918-AF2A-274E170D2408}"/>
    <cellStyle name="Normal 20 7 6 5" xfId="28724" xr:uid="{7345E986-5741-47CC-B1C2-91F97DF3E914}"/>
    <cellStyle name="Normal 20 7 6 6" xfId="28725" xr:uid="{1F7AF737-7CDD-4FDF-8426-26F18EBA5CD9}"/>
    <cellStyle name="Normal 20 7 7" xfId="28726" xr:uid="{FD09901C-5253-4273-BF87-27494597EAD3}"/>
    <cellStyle name="Normal 20 7 7 2" xfId="28727" xr:uid="{5790DF72-8938-4C31-AE32-DCDA5FA84D70}"/>
    <cellStyle name="Normal 20 7 7 3" xfId="28728" xr:uid="{58E53BC1-0A37-4C1E-9822-8D6514ACBF53}"/>
    <cellStyle name="Normal 20 7 7 4" xfId="28729" xr:uid="{E41A82F0-C0B6-457C-B4CF-01CFF31706E0}"/>
    <cellStyle name="Normal 20 7 7 5" xfId="28730" xr:uid="{0A059EF0-C757-4DD3-9C5C-81D74599856C}"/>
    <cellStyle name="Normal 20 7 7 6" xfId="28731" xr:uid="{FCD65444-5884-47FE-B946-A89DA052C4FF}"/>
    <cellStyle name="Normal 20 7 8" xfId="28732" xr:uid="{B9B65C52-38C3-410B-91CF-FA36E8746E7E}"/>
    <cellStyle name="Normal 20 7 8 2" xfId="28733" xr:uid="{53E70B50-B837-410E-A36D-26C4792F461E}"/>
    <cellStyle name="Normal 20 7 8 3" xfId="28734" xr:uid="{56E448BC-229E-42FC-BE19-67891BD92635}"/>
    <cellStyle name="Normal 20 7 8 4" xfId="28735" xr:uid="{CECFB4D6-7B5C-4ADD-9EB7-05B5A44D35E5}"/>
    <cellStyle name="Normal 20 7 8 5" xfId="28736" xr:uid="{79DF4610-8BA2-44BE-89DA-EDDF1BC9A7CF}"/>
    <cellStyle name="Normal 20 7 8 6" xfId="28737" xr:uid="{B65B839D-A071-4374-965F-19548CBD7E9C}"/>
    <cellStyle name="Normal 20 7 9" xfId="28738" xr:uid="{DD0FF258-4B40-4A40-A0D9-83869DE15DF0}"/>
    <cellStyle name="Normal 20 8" xfId="28739" xr:uid="{A8B874C9-3630-4746-8D00-C5FE9630AF7A}"/>
    <cellStyle name="Normal 20 8 10" xfId="28740" xr:uid="{137BDFBE-1EAF-47D8-8511-75BBD5987F87}"/>
    <cellStyle name="Normal 20 8 11" xfId="28741" xr:uid="{89876F54-CDB2-4A2B-8DD8-74E6597E7CB1}"/>
    <cellStyle name="Normal 20 8 12" xfId="28742" xr:uid="{F6FB4352-E289-4A6B-9296-F58269F0E2A1}"/>
    <cellStyle name="Normal 20 8 13" xfId="28743" xr:uid="{E59E53EA-6BFD-4E7F-A2C7-B649BF256744}"/>
    <cellStyle name="Normal 20 8 2" xfId="28744" xr:uid="{5C4BB37E-5F23-4896-B0ED-7F51069A43B9}"/>
    <cellStyle name="Normal 20 8 2 2" xfId="28745" xr:uid="{974E70EF-6FB3-449B-8D37-02C15F518644}"/>
    <cellStyle name="Normal 20 8 2 3" xfId="28746" xr:uid="{A8F55FBD-C4FA-4965-B7EB-B0E2C68D66FC}"/>
    <cellStyle name="Normal 20 8 2 4" xfId="28747" xr:uid="{A82F188E-4D15-490E-85A4-542951974695}"/>
    <cellStyle name="Normal 20 8 2 5" xfId="28748" xr:uid="{F12D17AE-81C8-488C-8460-097059B7E497}"/>
    <cellStyle name="Normal 20 8 2 6" xfId="28749" xr:uid="{CE2B8C7B-5410-4541-B81C-C8BF546FD059}"/>
    <cellStyle name="Normal 20 8 3" xfId="28750" xr:uid="{E154D438-CE99-4905-9AE1-466A464AD87E}"/>
    <cellStyle name="Normal 20 8 3 2" xfId="28751" xr:uid="{3A1459AC-9E67-4626-81EF-9BB3FE223C13}"/>
    <cellStyle name="Normal 20 8 3 3" xfId="28752" xr:uid="{E48FD24B-1399-4798-BC5C-2F7AA7A8CBE6}"/>
    <cellStyle name="Normal 20 8 3 4" xfId="28753" xr:uid="{3A82C236-6D3B-48DB-9CAB-1EC7594CAA5C}"/>
    <cellStyle name="Normal 20 8 3 5" xfId="28754" xr:uid="{9F10CC75-BBC6-4586-AE6F-333179EF3330}"/>
    <cellStyle name="Normal 20 8 3 6" xfId="28755" xr:uid="{DD2F6889-2999-439F-BC2D-EE5B1BC2F626}"/>
    <cellStyle name="Normal 20 8 4" xfId="28756" xr:uid="{C711A5DB-EC16-4893-9DBD-EA04D43DDBCE}"/>
    <cellStyle name="Normal 20 8 4 2" xfId="28757" xr:uid="{5A3B4BC9-C24B-41DB-A147-394F24B49C23}"/>
    <cellStyle name="Normal 20 8 4 3" xfId="28758" xr:uid="{799DB3D4-F689-4D42-A933-C62973A8BEDA}"/>
    <cellStyle name="Normal 20 8 4 4" xfId="28759" xr:uid="{F9162E3A-EEA0-4393-B305-98F2475A923B}"/>
    <cellStyle name="Normal 20 8 4 5" xfId="28760" xr:uid="{AA448C23-FBD4-4B7F-BE07-438D02612C35}"/>
    <cellStyle name="Normal 20 8 4 6" xfId="28761" xr:uid="{C5AE0E11-41C9-4F2A-9D73-6489B52471CF}"/>
    <cellStyle name="Normal 20 8 5" xfId="28762" xr:uid="{2D2FD309-B59D-4167-9759-89416B5FCC18}"/>
    <cellStyle name="Normal 20 8 5 2" xfId="28763" xr:uid="{A45883E6-9D6B-4AAC-A720-383CBC9D3F34}"/>
    <cellStyle name="Normal 20 8 5 3" xfId="28764" xr:uid="{47FF89B3-C35A-40C2-8D87-626C4280D352}"/>
    <cellStyle name="Normal 20 8 5 4" xfId="28765" xr:uid="{ED8613B5-3EF2-4222-838F-E6E7CEEAB19B}"/>
    <cellStyle name="Normal 20 8 5 5" xfId="28766" xr:uid="{64E34900-43D6-4DD9-B402-86A6543DE7E0}"/>
    <cellStyle name="Normal 20 8 5 6" xfId="28767" xr:uid="{8B2350E3-93E9-4329-802A-4489DA602313}"/>
    <cellStyle name="Normal 20 8 6" xfId="28768" xr:uid="{1864ACDD-3346-412F-AE83-4F6ABFA5FAF2}"/>
    <cellStyle name="Normal 20 8 6 2" xfId="28769" xr:uid="{A8BDEE6F-0EFC-4074-9E26-93F7A662BD50}"/>
    <cellStyle name="Normal 20 8 6 3" xfId="28770" xr:uid="{345715E9-7BCB-406F-9C77-4A115E57091B}"/>
    <cellStyle name="Normal 20 8 6 4" xfId="28771" xr:uid="{1E34B257-75E0-4152-B20B-974D695445D3}"/>
    <cellStyle name="Normal 20 8 6 5" xfId="28772" xr:uid="{E33BD19E-A452-4160-BBD7-EF356AEFE2FB}"/>
    <cellStyle name="Normal 20 8 6 6" xfId="28773" xr:uid="{B5112C6F-FDC2-4B0A-A377-0DF6B6AE88DF}"/>
    <cellStyle name="Normal 20 8 7" xfId="28774" xr:uid="{BF745961-5877-49A0-A39A-7428A18802CD}"/>
    <cellStyle name="Normal 20 8 7 2" xfId="28775" xr:uid="{928F35C0-80CD-4B2D-A137-FA968624C2ED}"/>
    <cellStyle name="Normal 20 8 7 3" xfId="28776" xr:uid="{86C77D3A-F9C6-4C1C-9D82-87988BA0DDB0}"/>
    <cellStyle name="Normal 20 8 7 4" xfId="28777" xr:uid="{5290D5CC-7521-4174-95B5-BF89079D40FD}"/>
    <cellStyle name="Normal 20 8 7 5" xfId="28778" xr:uid="{9D410991-37EA-4916-AE9F-DF78D3FE5A57}"/>
    <cellStyle name="Normal 20 8 7 6" xfId="28779" xr:uid="{BD1E8222-996C-4C1F-8174-37CC29558659}"/>
    <cellStyle name="Normal 20 8 8" xfId="28780" xr:uid="{742BAC32-523C-4854-BB97-32DB2909C53A}"/>
    <cellStyle name="Normal 20 8 8 2" xfId="28781" xr:uid="{582FB1EE-BDCD-4927-A203-F53C80375395}"/>
    <cellStyle name="Normal 20 8 8 3" xfId="28782" xr:uid="{B37492FE-4226-4E97-9A80-4B8EF78F9179}"/>
    <cellStyle name="Normal 20 8 8 4" xfId="28783" xr:uid="{C5932E3B-CA11-49D8-985C-58524B420F42}"/>
    <cellStyle name="Normal 20 8 8 5" xfId="28784" xr:uid="{7CEAB517-4367-412B-AE23-62B84F99BB80}"/>
    <cellStyle name="Normal 20 8 8 6" xfId="28785" xr:uid="{1847A881-F12E-472B-8D26-831C97622558}"/>
    <cellStyle name="Normal 20 8 9" xfId="28786" xr:uid="{11FB3588-5C99-4949-B546-118E71E92F3E}"/>
    <cellStyle name="Normal 20 9" xfId="28787" xr:uid="{16C99F06-2334-4F6E-8AE3-56EEC0541C2A}"/>
    <cellStyle name="Normal 20 9 10" xfId="28788" xr:uid="{83EB96C9-6126-47F2-A59F-A35B6AA6AD5C}"/>
    <cellStyle name="Normal 20 9 11" xfId="28789" xr:uid="{A130C107-39C8-4DDC-9760-95D77C90800E}"/>
    <cellStyle name="Normal 20 9 12" xfId="28790" xr:uid="{629E6DBE-45D3-4C0F-AED9-C158D5339DA8}"/>
    <cellStyle name="Normal 20 9 13" xfId="28791" xr:uid="{A18AF202-2C70-40A9-B138-7E1F0285387F}"/>
    <cellStyle name="Normal 20 9 2" xfId="28792" xr:uid="{3704E55B-2DFA-408E-8F01-3D5AAFB2D0B6}"/>
    <cellStyle name="Normal 20 9 2 2" xfId="28793" xr:uid="{E98A199D-546C-46E0-8BCF-FAE98364331D}"/>
    <cellStyle name="Normal 20 9 2 3" xfId="28794" xr:uid="{959DA036-135B-4334-AAAB-B832CB99241D}"/>
    <cellStyle name="Normal 20 9 2 4" xfId="28795" xr:uid="{29B098BD-7F3B-45AE-B146-4F228BEB79C2}"/>
    <cellStyle name="Normal 20 9 2 5" xfId="28796" xr:uid="{2B3085E0-C2CF-47AC-9528-9D641C2ACAA1}"/>
    <cellStyle name="Normal 20 9 2 6" xfId="28797" xr:uid="{0D6DAE68-0527-4035-AD6C-DF7BADB880EE}"/>
    <cellStyle name="Normal 20 9 3" xfId="28798" xr:uid="{531BE276-9190-4591-AC66-890483EEC4F2}"/>
    <cellStyle name="Normal 20 9 3 2" xfId="28799" xr:uid="{35BBD317-3DCD-476B-8317-CA3FE83CBFB1}"/>
    <cellStyle name="Normal 20 9 3 3" xfId="28800" xr:uid="{0EA1F2EB-E4FD-4A79-A714-E3FB800FC72B}"/>
    <cellStyle name="Normal 20 9 3 4" xfId="28801" xr:uid="{90A5A747-3413-4C12-AEC8-6733E77B5A0F}"/>
    <cellStyle name="Normal 20 9 3 5" xfId="28802" xr:uid="{78B23299-D8AA-4FE9-A699-482BC33625F5}"/>
    <cellStyle name="Normal 20 9 3 6" xfId="28803" xr:uid="{5F4FBFB6-2439-441F-BF4B-C364CF40DC00}"/>
    <cellStyle name="Normal 20 9 4" xfId="28804" xr:uid="{06A51191-0E0A-4794-AD32-86A0D7E2CEB0}"/>
    <cellStyle name="Normal 20 9 4 2" xfId="28805" xr:uid="{F2BEE0E5-A261-40DA-AD10-4EFE0CDE8DA9}"/>
    <cellStyle name="Normal 20 9 4 3" xfId="28806" xr:uid="{57C0818A-8788-4260-8D6A-78545030DD39}"/>
    <cellStyle name="Normal 20 9 4 4" xfId="28807" xr:uid="{F2E7A2E9-247D-4FD1-9C19-B6385B021E7B}"/>
    <cellStyle name="Normal 20 9 4 5" xfId="28808" xr:uid="{AB6E5128-47F0-4AE1-8C0E-1F6DEAAA9517}"/>
    <cellStyle name="Normal 20 9 4 6" xfId="28809" xr:uid="{F02976B6-ADE9-4767-9134-3E7999F7F253}"/>
    <cellStyle name="Normal 20 9 5" xfId="28810" xr:uid="{2D3BFAA1-077B-4528-A716-26554C381821}"/>
    <cellStyle name="Normal 20 9 5 2" xfId="28811" xr:uid="{F974BAD2-004C-4104-A6E4-46B30AF367B9}"/>
    <cellStyle name="Normal 20 9 5 3" xfId="28812" xr:uid="{43EE9CA5-3899-4312-9D49-F00449CB5EFB}"/>
    <cellStyle name="Normal 20 9 5 4" xfId="28813" xr:uid="{F9F02A0E-8CEE-4AA3-B485-99BEABFA3A1F}"/>
    <cellStyle name="Normal 20 9 5 5" xfId="28814" xr:uid="{E6B3A02D-3744-4AF1-BB32-720BB93A9DF4}"/>
    <cellStyle name="Normal 20 9 5 6" xfId="28815" xr:uid="{0105D2E4-C7FB-4B75-9545-2A05C62542D5}"/>
    <cellStyle name="Normal 20 9 6" xfId="28816" xr:uid="{80E1DED4-DCD3-4B8B-A6F0-41068AF14DAB}"/>
    <cellStyle name="Normal 20 9 6 2" xfId="28817" xr:uid="{5516EB62-6F2E-4F55-9910-79075D84BFE1}"/>
    <cellStyle name="Normal 20 9 6 3" xfId="28818" xr:uid="{5BED9562-0B0E-4E10-B9D1-FE68715295AD}"/>
    <cellStyle name="Normal 20 9 6 4" xfId="28819" xr:uid="{2AC3B290-15AB-4E0F-9B24-19DA343813BF}"/>
    <cellStyle name="Normal 20 9 6 5" xfId="28820" xr:uid="{7AD703F6-7562-4E7E-A12E-8C683D0E62F1}"/>
    <cellStyle name="Normal 20 9 6 6" xfId="28821" xr:uid="{A0A2B482-0803-4886-91C8-AD414B86858B}"/>
    <cellStyle name="Normal 20 9 7" xfId="28822" xr:uid="{E4E68FB8-65AE-4849-B0F0-425E19D744EC}"/>
    <cellStyle name="Normal 20 9 7 2" xfId="28823" xr:uid="{92843542-1E5F-47BF-8A99-61C7185BE107}"/>
    <cellStyle name="Normal 20 9 7 3" xfId="28824" xr:uid="{A6F8AE02-4642-4D29-BB49-D731C3D1B993}"/>
    <cellStyle name="Normal 20 9 7 4" xfId="28825" xr:uid="{3223B46D-D50B-4ACE-80C2-D89941F8F059}"/>
    <cellStyle name="Normal 20 9 7 5" xfId="28826" xr:uid="{D2DBE4A9-155A-4D08-97E8-9908226D3BA0}"/>
    <cellStyle name="Normal 20 9 7 6" xfId="28827" xr:uid="{9CAFE9AD-2D0B-4287-9EB5-E7927F54CDA4}"/>
    <cellStyle name="Normal 20 9 8" xfId="28828" xr:uid="{0BC5B7E9-1DF0-43C6-9799-0E2E9B757035}"/>
    <cellStyle name="Normal 20 9 8 2" xfId="28829" xr:uid="{0FB70EF9-439D-4B46-9802-64D780FFE92F}"/>
    <cellStyle name="Normal 20 9 8 3" xfId="28830" xr:uid="{2E130648-9488-4DA9-9753-58FCB6555C70}"/>
    <cellStyle name="Normal 20 9 8 4" xfId="28831" xr:uid="{D6B88805-98D4-484F-861F-A3BC3551B3B6}"/>
    <cellStyle name="Normal 20 9 8 5" xfId="28832" xr:uid="{7400132F-2476-433F-ACF6-E607BDBE6C4B}"/>
    <cellStyle name="Normal 20 9 8 6" xfId="28833" xr:uid="{279F6540-A01B-4DA6-BF6F-D1671E075D53}"/>
    <cellStyle name="Normal 20 9 9" xfId="28834" xr:uid="{0A3F7FDC-905D-406D-B124-BA87EF71E902}"/>
    <cellStyle name="Normal 21" xfId="1085" xr:uid="{0FE1A137-415C-4367-8DE6-E98957F65B50}"/>
    <cellStyle name="Normal 21 10" xfId="28835" xr:uid="{DAFB29F4-725B-446D-AE94-271469287751}"/>
    <cellStyle name="Normal 21 10 10" xfId="28836" xr:uid="{FB62B70D-4726-4746-8490-617C71CA6283}"/>
    <cellStyle name="Normal 21 10 11" xfId="28837" xr:uid="{51FEC758-B0E3-48D9-8073-6225FE250994}"/>
    <cellStyle name="Normal 21 10 12" xfId="28838" xr:uid="{296EC3A0-4087-4618-8050-3A4CA2005982}"/>
    <cellStyle name="Normal 21 10 13" xfId="28839" xr:uid="{4CD05B04-64AF-4089-B8F9-417C8DB0C87D}"/>
    <cellStyle name="Normal 21 10 2" xfId="28840" xr:uid="{A72AB0DF-A7B9-4E6F-965D-4FD703148445}"/>
    <cellStyle name="Normal 21 10 2 2" xfId="28841" xr:uid="{907D3B4E-F75F-420D-92A0-290BB82047AC}"/>
    <cellStyle name="Normal 21 10 2 3" xfId="28842" xr:uid="{D64C8432-F47D-4866-A9BC-15531F50018D}"/>
    <cellStyle name="Normal 21 10 2 4" xfId="28843" xr:uid="{DBC56782-9481-4857-A017-51B8E55A6F0B}"/>
    <cellStyle name="Normal 21 10 2 5" xfId="28844" xr:uid="{66F531EC-F7E8-496E-899A-5A9981272EC7}"/>
    <cellStyle name="Normal 21 10 2 6" xfId="28845" xr:uid="{91DDECAE-30AA-415A-8D52-7B5BDA9D5C76}"/>
    <cellStyle name="Normal 21 10 3" xfId="28846" xr:uid="{8DEAEBD3-6F24-4FA6-BDE4-0D3AEBD40309}"/>
    <cellStyle name="Normal 21 10 3 2" xfId="28847" xr:uid="{30C82D0D-6366-4D0D-9DBE-8C5F03264848}"/>
    <cellStyle name="Normal 21 10 3 3" xfId="28848" xr:uid="{64D22129-2CFC-430B-BF82-7DABD302F6AA}"/>
    <cellStyle name="Normal 21 10 3 4" xfId="28849" xr:uid="{E4769D76-0B49-4392-BB1F-53C484911668}"/>
    <cellStyle name="Normal 21 10 3 5" xfId="28850" xr:uid="{8D5E2DEB-759B-4233-B4CD-1F8F12EA969D}"/>
    <cellStyle name="Normal 21 10 3 6" xfId="28851" xr:uid="{4A278413-D356-40C3-BA32-AAB6418DFAEC}"/>
    <cellStyle name="Normal 21 10 4" xfId="28852" xr:uid="{EA3473AC-11E7-4622-AE25-7CD5E04AD592}"/>
    <cellStyle name="Normal 21 10 4 2" xfId="28853" xr:uid="{3E6FAA00-909A-4EF2-9C3D-732B8B253B5F}"/>
    <cellStyle name="Normal 21 10 4 3" xfId="28854" xr:uid="{5A89C0AD-A5BE-46B0-8B4D-FEB87814F122}"/>
    <cellStyle name="Normal 21 10 4 4" xfId="28855" xr:uid="{7C55953A-5E97-4433-8CA2-1CAAC204A105}"/>
    <cellStyle name="Normal 21 10 4 5" xfId="28856" xr:uid="{087E8EBE-77D3-4A8D-80B1-35633720B866}"/>
    <cellStyle name="Normal 21 10 4 6" xfId="28857" xr:uid="{091A4C2D-50C6-4549-BC20-D925F2FA8AE1}"/>
    <cellStyle name="Normal 21 10 5" xfId="28858" xr:uid="{3A88CBBF-FD26-4FAD-9B2A-5E90478ED4DB}"/>
    <cellStyle name="Normal 21 10 5 2" xfId="28859" xr:uid="{88A464A9-F18C-49A1-B7F6-49F140D49F90}"/>
    <cellStyle name="Normal 21 10 5 3" xfId="28860" xr:uid="{B1C9C233-B51B-4B10-9BD1-978041966B8A}"/>
    <cellStyle name="Normal 21 10 5 4" xfId="28861" xr:uid="{2F330E28-5B40-44EF-BD90-F3255D48FA54}"/>
    <cellStyle name="Normal 21 10 5 5" xfId="28862" xr:uid="{D8CEC6FB-D86A-479D-8993-7B1C9F402825}"/>
    <cellStyle name="Normal 21 10 5 6" xfId="28863" xr:uid="{E42747D8-7A46-4254-BA2C-C427AFBE4294}"/>
    <cellStyle name="Normal 21 10 6" xfId="28864" xr:uid="{B50DF088-1D6B-4FB0-B2E7-16FA51E6FCA5}"/>
    <cellStyle name="Normal 21 10 6 2" xfId="28865" xr:uid="{D9E8092C-2135-4031-AD53-DEE5E8C3F2D7}"/>
    <cellStyle name="Normal 21 10 6 3" xfId="28866" xr:uid="{4A5DEC54-471F-4A95-A532-7076628939DD}"/>
    <cellStyle name="Normal 21 10 6 4" xfId="28867" xr:uid="{D4FF1965-D6CC-47C4-817C-E741A353CE2C}"/>
    <cellStyle name="Normal 21 10 6 5" xfId="28868" xr:uid="{E419CF41-27D6-466A-A791-85493AB23869}"/>
    <cellStyle name="Normal 21 10 6 6" xfId="28869" xr:uid="{CD2620CD-C318-4BD8-ABDF-B31B93BEAE42}"/>
    <cellStyle name="Normal 21 10 7" xfId="28870" xr:uid="{FEDEE407-AA53-448A-9380-6C67CECE2AB2}"/>
    <cellStyle name="Normal 21 10 7 2" xfId="28871" xr:uid="{8BD2604B-3750-40B6-98A4-3FE2A7E4DD34}"/>
    <cellStyle name="Normal 21 10 7 3" xfId="28872" xr:uid="{C8415E7F-5AD0-44C0-A606-CB635BF7511E}"/>
    <cellStyle name="Normal 21 10 7 4" xfId="28873" xr:uid="{52A3B474-A8B2-4E90-9875-512D8CEE2AD3}"/>
    <cellStyle name="Normal 21 10 7 5" xfId="28874" xr:uid="{6D56EF00-8D27-42F3-969E-315C538FAF58}"/>
    <cellStyle name="Normal 21 10 7 6" xfId="28875" xr:uid="{514530B3-08CD-4CAF-9256-77CE7D2F1D8C}"/>
    <cellStyle name="Normal 21 10 8" xfId="28876" xr:uid="{5E3B1AF8-8961-449B-9351-4C3631A216A8}"/>
    <cellStyle name="Normal 21 10 8 2" xfId="28877" xr:uid="{261E2766-3315-4700-B706-39927E3C662F}"/>
    <cellStyle name="Normal 21 10 8 3" xfId="28878" xr:uid="{98E0576B-F2D5-4949-ACAD-496049E3A131}"/>
    <cellStyle name="Normal 21 10 8 4" xfId="28879" xr:uid="{9E5E5DB3-4A81-4190-A306-348F7EEB7F45}"/>
    <cellStyle name="Normal 21 10 8 5" xfId="28880" xr:uid="{37779078-540B-4D67-B3C1-75FE2B061FF7}"/>
    <cellStyle name="Normal 21 10 8 6" xfId="28881" xr:uid="{E28697F2-7B64-4500-88CE-2E4BB399FF26}"/>
    <cellStyle name="Normal 21 10 9" xfId="28882" xr:uid="{6A83EDBA-8C8E-4EB9-A155-5110E624E6D6}"/>
    <cellStyle name="Normal 21 11" xfId="28883" xr:uid="{937A0052-4ED7-424D-82C8-61DC56B38D6B}"/>
    <cellStyle name="Normal 21 11 10" xfId="28884" xr:uid="{E97F13FA-18B0-4914-A0AB-A9E111EA1550}"/>
    <cellStyle name="Normal 21 11 11" xfId="28885" xr:uid="{661C9450-23C8-46C3-994D-9394615284EB}"/>
    <cellStyle name="Normal 21 11 12" xfId="28886" xr:uid="{92BBDD84-BE13-4478-87D8-2441A7CE7C63}"/>
    <cellStyle name="Normal 21 11 13" xfId="28887" xr:uid="{5AA06C37-0190-444F-8862-F8F413BBC307}"/>
    <cellStyle name="Normal 21 11 2" xfId="28888" xr:uid="{238FB5D5-B5A9-46F3-ABED-615F64AA4E6B}"/>
    <cellStyle name="Normal 21 11 2 2" xfId="28889" xr:uid="{22A9C53D-1E1C-4001-B083-60E06A28922E}"/>
    <cellStyle name="Normal 21 11 2 3" xfId="28890" xr:uid="{3266B39F-481A-48C7-B3F3-70612B35EC84}"/>
    <cellStyle name="Normal 21 11 2 4" xfId="28891" xr:uid="{CBADFE44-8E0D-4DF8-AD8F-583156F7D8A2}"/>
    <cellStyle name="Normal 21 11 2 5" xfId="28892" xr:uid="{5336EB96-2FBD-4D17-BE12-6DC44D5105A4}"/>
    <cellStyle name="Normal 21 11 2 6" xfId="28893" xr:uid="{76FCBAED-BCC4-4D86-8A15-A1F0EA387FA3}"/>
    <cellStyle name="Normal 21 11 3" xfId="28894" xr:uid="{C7A8B63F-A175-4108-BA2F-9F1C1ABE66E6}"/>
    <cellStyle name="Normal 21 11 3 2" xfId="28895" xr:uid="{F43244A6-A1F8-481C-AA29-4FEF2FEBE136}"/>
    <cellStyle name="Normal 21 11 3 3" xfId="28896" xr:uid="{74E43CAF-157D-4D0A-B4FA-A3E6E5F3D43A}"/>
    <cellStyle name="Normal 21 11 3 4" xfId="28897" xr:uid="{21565D8F-4040-434A-9C3F-D69C9CC3563B}"/>
    <cellStyle name="Normal 21 11 3 5" xfId="28898" xr:uid="{1B0DC866-7372-426D-911F-0FDA7CDAF791}"/>
    <cellStyle name="Normal 21 11 3 6" xfId="28899" xr:uid="{3BEED200-F7F1-4946-9F04-49DC7035ED0A}"/>
    <cellStyle name="Normal 21 11 4" xfId="28900" xr:uid="{8571D2ED-9317-47DD-A3C9-9D4597E2C5F8}"/>
    <cellStyle name="Normal 21 11 4 2" xfId="28901" xr:uid="{D1A216E9-522A-4DFF-B63A-078457D33FB3}"/>
    <cellStyle name="Normal 21 11 4 3" xfId="28902" xr:uid="{6AEE2849-EB84-427B-84F8-57CC796D9080}"/>
    <cellStyle name="Normal 21 11 4 4" xfId="28903" xr:uid="{850C422C-F962-4671-85E0-AD1B7141124F}"/>
    <cellStyle name="Normal 21 11 4 5" xfId="28904" xr:uid="{5FB68DEC-4357-4B5A-A0EB-F80DA47AA55A}"/>
    <cellStyle name="Normal 21 11 4 6" xfId="28905" xr:uid="{95ECA98A-F3D3-429A-B0C6-805B1EC4AE35}"/>
    <cellStyle name="Normal 21 11 5" xfId="28906" xr:uid="{5131126F-05EF-477E-9C8E-3F3237318BED}"/>
    <cellStyle name="Normal 21 11 5 2" xfId="28907" xr:uid="{B77670EF-033E-4930-9995-A0A81688EAF8}"/>
    <cellStyle name="Normal 21 11 5 3" xfId="28908" xr:uid="{5ED7DC06-E88B-44FC-B074-D75C9EBDED9F}"/>
    <cellStyle name="Normal 21 11 5 4" xfId="28909" xr:uid="{8FBC0313-D164-4650-825C-F4DD5EE387F6}"/>
    <cellStyle name="Normal 21 11 5 5" xfId="28910" xr:uid="{D8C07443-B865-4332-8F48-C3395DA3A351}"/>
    <cellStyle name="Normal 21 11 5 6" xfId="28911" xr:uid="{C2BADDF3-5716-41FF-9A82-A65D57F86D1A}"/>
    <cellStyle name="Normal 21 11 6" xfId="28912" xr:uid="{1CBC5803-DA92-49C3-BBAA-D5085CC45A2B}"/>
    <cellStyle name="Normal 21 11 6 2" xfId="28913" xr:uid="{17947FF1-4BC5-4209-B082-75F48343D6E2}"/>
    <cellStyle name="Normal 21 11 6 3" xfId="28914" xr:uid="{A962DD67-30C6-45EC-9A53-BD005E584AFB}"/>
    <cellStyle name="Normal 21 11 6 4" xfId="28915" xr:uid="{A956A9E4-3382-4553-ABFE-B795E652A786}"/>
    <cellStyle name="Normal 21 11 6 5" xfId="28916" xr:uid="{BCF16946-8577-4ED1-9677-B6C77AA1AAC9}"/>
    <cellStyle name="Normal 21 11 6 6" xfId="28917" xr:uid="{118C0C52-36B6-4C4B-928E-4BECF102B65B}"/>
    <cellStyle name="Normal 21 11 7" xfId="28918" xr:uid="{24E80A5D-9753-4BB2-9213-FDC1F383D09A}"/>
    <cellStyle name="Normal 21 11 7 2" xfId="28919" xr:uid="{79558E50-E7C8-4E9A-9700-265FDDF9FDD5}"/>
    <cellStyle name="Normal 21 11 7 3" xfId="28920" xr:uid="{5486E921-9667-4AD2-BF48-EEF7BA6D3CAE}"/>
    <cellStyle name="Normal 21 11 7 4" xfId="28921" xr:uid="{28455736-832B-4FC5-944B-A1772295D126}"/>
    <cellStyle name="Normal 21 11 7 5" xfId="28922" xr:uid="{C0F67B7A-495B-4C6A-B999-F2CB9B7A91A3}"/>
    <cellStyle name="Normal 21 11 7 6" xfId="28923" xr:uid="{1F004554-A0D5-420A-BB81-927CC487E9AF}"/>
    <cellStyle name="Normal 21 11 8" xfId="28924" xr:uid="{4EFE48CD-A2EE-481A-8112-64A000284313}"/>
    <cellStyle name="Normal 21 11 8 2" xfId="28925" xr:uid="{B2B388FB-7F01-4ABC-99A7-A6EBDE92FC3C}"/>
    <cellStyle name="Normal 21 11 8 3" xfId="28926" xr:uid="{3C7D37F6-B190-4F13-B320-AA07222A0094}"/>
    <cellStyle name="Normal 21 11 8 4" xfId="28927" xr:uid="{AEB0C092-AC56-4342-9052-6E609C218966}"/>
    <cellStyle name="Normal 21 11 8 5" xfId="28928" xr:uid="{85FDF547-36F5-41D5-B8A8-C8E3FDB0C009}"/>
    <cellStyle name="Normal 21 11 8 6" xfId="28929" xr:uid="{3B17352D-350A-4C64-B485-5968ADDA2740}"/>
    <cellStyle name="Normal 21 11 9" xfId="28930" xr:uid="{3C866D21-15B4-4ADF-85D5-5D219B51339D}"/>
    <cellStyle name="Normal 21 12" xfId="28931" xr:uid="{AF51A07F-B00D-460B-9968-3EAA33E630EB}"/>
    <cellStyle name="Normal 21 12 10" xfId="28932" xr:uid="{7103B56B-5B4B-4D1D-B807-9CD468C4CF7A}"/>
    <cellStyle name="Normal 21 12 11" xfId="28933" xr:uid="{9D515430-90AE-4D84-ABB2-80290F6FA18A}"/>
    <cellStyle name="Normal 21 12 12" xfId="28934" xr:uid="{8459F6E6-65A7-4BE3-8707-5F29D032C2EF}"/>
    <cellStyle name="Normal 21 12 13" xfId="28935" xr:uid="{3B48E621-4C3E-4C1D-ADF1-2C4327C9FDFD}"/>
    <cellStyle name="Normal 21 12 2" xfId="28936" xr:uid="{21AD5787-E045-4377-A349-0BD7B0ED85BE}"/>
    <cellStyle name="Normal 21 12 2 2" xfId="28937" xr:uid="{F6CA90EA-61F8-4538-911A-A5A8F97737AD}"/>
    <cellStyle name="Normal 21 12 2 3" xfId="28938" xr:uid="{AADC8CEE-9092-4D80-B8E5-BEE07D9B21AF}"/>
    <cellStyle name="Normal 21 12 2 4" xfId="28939" xr:uid="{6B8905A7-7EA5-4879-BE23-A85E583EA12B}"/>
    <cellStyle name="Normal 21 12 2 5" xfId="28940" xr:uid="{DA4991F7-3420-41A2-AA83-1271B312462C}"/>
    <cellStyle name="Normal 21 12 2 6" xfId="28941" xr:uid="{BF07924F-8BD1-41A2-B37E-564E92908FB4}"/>
    <cellStyle name="Normal 21 12 3" xfId="28942" xr:uid="{FF4DBC2C-6BDC-417A-875C-67FFB164D203}"/>
    <cellStyle name="Normal 21 12 3 2" xfId="28943" xr:uid="{212AD285-4867-4C37-909F-F29550AC1A16}"/>
    <cellStyle name="Normal 21 12 3 3" xfId="28944" xr:uid="{73A5C6CC-2481-4B15-AA4D-476D0A68C20A}"/>
    <cellStyle name="Normal 21 12 3 4" xfId="28945" xr:uid="{4B81F03B-7ECA-4C8C-92A7-91BC62B22E52}"/>
    <cellStyle name="Normal 21 12 3 5" xfId="28946" xr:uid="{E83B0571-5CF0-4AD6-AB6F-844A77921821}"/>
    <cellStyle name="Normal 21 12 3 6" xfId="28947" xr:uid="{3A49ECEB-28E3-4F34-9FB9-2A7DC0FB635A}"/>
    <cellStyle name="Normal 21 12 4" xfId="28948" xr:uid="{E93350D1-BB74-45A0-9E08-1A9CEE257E6B}"/>
    <cellStyle name="Normal 21 12 4 2" xfId="28949" xr:uid="{39094749-6CE8-4014-A76F-01D070A4C1BF}"/>
    <cellStyle name="Normal 21 12 4 3" xfId="28950" xr:uid="{4A038F07-27E6-4BA2-AF2D-D8A2C8B21816}"/>
    <cellStyle name="Normal 21 12 4 4" xfId="28951" xr:uid="{FB59A18F-CB06-4890-B6CB-DB80E906DAFD}"/>
    <cellStyle name="Normal 21 12 4 5" xfId="28952" xr:uid="{DD650A93-A922-48C8-848B-3C773DB9A32F}"/>
    <cellStyle name="Normal 21 12 4 6" xfId="28953" xr:uid="{3E990AC5-5761-4F13-A3BB-DF20920003E8}"/>
    <cellStyle name="Normal 21 12 5" xfId="28954" xr:uid="{84D35E1F-88D0-45F6-BA11-76F33FF15EDB}"/>
    <cellStyle name="Normal 21 12 5 2" xfId="28955" xr:uid="{5FC0842E-9E5A-45BC-AFBE-686B6947FBA9}"/>
    <cellStyle name="Normal 21 12 5 3" xfId="28956" xr:uid="{0336DFB9-1719-4506-B2D3-40672A6D782A}"/>
    <cellStyle name="Normal 21 12 5 4" xfId="28957" xr:uid="{EA7C8490-960A-4C3B-B2CD-25AEA0433A47}"/>
    <cellStyle name="Normal 21 12 5 5" xfId="28958" xr:uid="{D5FFF03F-0685-4CE3-ACBC-CBA95310816C}"/>
    <cellStyle name="Normal 21 12 5 6" xfId="28959" xr:uid="{16072F49-C009-4D2E-ABEB-F07779BCE28F}"/>
    <cellStyle name="Normal 21 12 6" xfId="28960" xr:uid="{7F69EF69-00D1-413F-ADEF-2BFE94B1E583}"/>
    <cellStyle name="Normal 21 12 6 2" xfId="28961" xr:uid="{4D544950-3A47-4948-9502-8CBC35F10CC0}"/>
    <cellStyle name="Normal 21 12 6 3" xfId="28962" xr:uid="{A7310054-9B61-4139-9711-1F511230AE99}"/>
    <cellStyle name="Normal 21 12 6 4" xfId="28963" xr:uid="{D8F20239-5916-4ACC-B5E9-547EBCE53D2A}"/>
    <cellStyle name="Normal 21 12 6 5" xfId="28964" xr:uid="{4507BC94-80D8-442B-B8D3-6B77755384FC}"/>
    <cellStyle name="Normal 21 12 6 6" xfId="28965" xr:uid="{EDAC99C7-C481-4FEF-8F65-6ABBD4A8A364}"/>
    <cellStyle name="Normal 21 12 7" xfId="28966" xr:uid="{1B76E400-AC3D-406E-98E8-BE5BE2E2112A}"/>
    <cellStyle name="Normal 21 12 7 2" xfId="28967" xr:uid="{97C464FE-5736-4210-B281-49E17E898D31}"/>
    <cellStyle name="Normal 21 12 7 3" xfId="28968" xr:uid="{84AEE3AC-0CF1-4BDE-9D78-EB32B86B6842}"/>
    <cellStyle name="Normal 21 12 7 4" xfId="28969" xr:uid="{4A042CD7-EE4D-4656-BC5C-2408385DAC65}"/>
    <cellStyle name="Normal 21 12 7 5" xfId="28970" xr:uid="{C7DEFDB5-2239-4773-ACD7-2BBB4C89CB93}"/>
    <cellStyle name="Normal 21 12 7 6" xfId="28971" xr:uid="{DF73BDB6-7C8B-4C46-AF1A-0598FF23BBF6}"/>
    <cellStyle name="Normal 21 12 8" xfId="28972" xr:uid="{0941B152-3684-44DD-A9AA-55C641EEB854}"/>
    <cellStyle name="Normal 21 12 8 2" xfId="28973" xr:uid="{CF3F953F-594A-495F-B254-7C2C5F53CE9C}"/>
    <cellStyle name="Normal 21 12 8 3" xfId="28974" xr:uid="{BE520B3E-B299-4397-8998-CB7E918A188C}"/>
    <cellStyle name="Normal 21 12 8 4" xfId="28975" xr:uid="{16D87BBD-1118-45E7-BF51-4C300B411ED4}"/>
    <cellStyle name="Normal 21 12 8 5" xfId="28976" xr:uid="{E05C34AF-D8CD-41F0-9284-0D53C1C78C4C}"/>
    <cellStyle name="Normal 21 12 8 6" xfId="28977" xr:uid="{4E071B0E-AC8B-445B-A6D4-88E3E5CC40ED}"/>
    <cellStyle name="Normal 21 12 9" xfId="28978" xr:uid="{9DAE62DB-A750-4A80-A55B-F0C648563610}"/>
    <cellStyle name="Normal 21 13" xfId="28979" xr:uid="{F5B9B61E-642B-417D-9F87-D21DCDFD9CE3}"/>
    <cellStyle name="Normal 21 13 10" xfId="28980" xr:uid="{093934C6-22A2-42D2-8E22-FBA0D313D4A5}"/>
    <cellStyle name="Normal 21 13 11" xfId="28981" xr:uid="{B2569459-D2EC-4B65-90F7-602E8A65A181}"/>
    <cellStyle name="Normal 21 13 12" xfId="28982" xr:uid="{D4EF3B99-93C7-4CBC-B06F-6E3ADFC0CE92}"/>
    <cellStyle name="Normal 21 13 13" xfId="28983" xr:uid="{C99182F9-7F12-468B-A6E2-D794ED7537BA}"/>
    <cellStyle name="Normal 21 13 2" xfId="28984" xr:uid="{DF657F3B-8B85-42EA-BBAF-93552B671A44}"/>
    <cellStyle name="Normal 21 13 2 2" xfId="28985" xr:uid="{ED10119F-6366-42E1-AC1F-6A7388E12063}"/>
    <cellStyle name="Normal 21 13 2 3" xfId="28986" xr:uid="{F2B22C99-9EDA-4643-99D7-BDA870A6DC30}"/>
    <cellStyle name="Normal 21 13 2 4" xfId="28987" xr:uid="{E6C75A42-2395-426D-AF6B-11F93F5A4993}"/>
    <cellStyle name="Normal 21 13 2 5" xfId="28988" xr:uid="{E45F1EFC-3CAE-4A37-A871-EC06F6796EBA}"/>
    <cellStyle name="Normal 21 13 2 6" xfId="28989" xr:uid="{A289613B-9199-4BB6-9342-50782BF9FFA7}"/>
    <cellStyle name="Normal 21 13 3" xfId="28990" xr:uid="{93E3E404-3138-4AF1-89F9-52D8BFDF74D8}"/>
    <cellStyle name="Normal 21 13 3 2" xfId="28991" xr:uid="{4BA83D77-2DE0-4B57-A144-AEF887CA0686}"/>
    <cellStyle name="Normal 21 13 3 3" xfId="28992" xr:uid="{703E0AF4-82A6-49D6-8767-321AB57DE21F}"/>
    <cellStyle name="Normal 21 13 3 4" xfId="28993" xr:uid="{134BA52A-82F0-473C-A3E0-615D4D4E23F2}"/>
    <cellStyle name="Normal 21 13 3 5" xfId="28994" xr:uid="{308199C4-5B51-4B5D-A753-67B9923F007E}"/>
    <cellStyle name="Normal 21 13 3 6" xfId="28995" xr:uid="{73BBE89F-E64A-4478-937C-C24F31EFC6AD}"/>
    <cellStyle name="Normal 21 13 4" xfId="28996" xr:uid="{FEA77B58-96B6-49E0-B8B8-5399E07DA46E}"/>
    <cellStyle name="Normal 21 13 4 2" xfId="28997" xr:uid="{343C442E-C7FE-43EA-8C44-2FBF0E4A83FB}"/>
    <cellStyle name="Normal 21 13 4 3" xfId="28998" xr:uid="{402DF12E-2CF6-44BF-B335-AA72672736FD}"/>
    <cellStyle name="Normal 21 13 4 4" xfId="28999" xr:uid="{881903A8-6A2D-4F5B-862C-88D4C9BDDF52}"/>
    <cellStyle name="Normal 21 13 4 5" xfId="29000" xr:uid="{BA00D0A0-39FA-4ECC-B5B0-211F1CF61DA3}"/>
    <cellStyle name="Normal 21 13 4 6" xfId="29001" xr:uid="{93BAF047-710F-4667-9C58-526BEA238672}"/>
    <cellStyle name="Normal 21 13 5" xfId="29002" xr:uid="{5F09EEE3-B767-4CC8-8D0B-64F1EA221295}"/>
    <cellStyle name="Normal 21 13 5 2" xfId="29003" xr:uid="{02E580AD-3578-455E-8BBD-C8501FEEFBB8}"/>
    <cellStyle name="Normal 21 13 5 3" xfId="29004" xr:uid="{16974BCA-FD8A-489D-97B7-105F93BDD122}"/>
    <cellStyle name="Normal 21 13 5 4" xfId="29005" xr:uid="{CABDCE10-BE71-4D68-A0AA-C84AF407E1A4}"/>
    <cellStyle name="Normal 21 13 5 5" xfId="29006" xr:uid="{74843F69-D244-47E3-AB9E-61CD7A7B70F0}"/>
    <cellStyle name="Normal 21 13 5 6" xfId="29007" xr:uid="{CAB00C27-5006-434B-B460-1EFEAF30FE98}"/>
    <cellStyle name="Normal 21 13 6" xfId="29008" xr:uid="{8BE84253-6BE2-4E03-AF3D-7D7A47A2ABC9}"/>
    <cellStyle name="Normal 21 13 6 2" xfId="29009" xr:uid="{112E2D79-FE95-4A56-B804-00DB3799C1CA}"/>
    <cellStyle name="Normal 21 13 6 3" xfId="29010" xr:uid="{5AE4FAD7-3D4E-45FF-9EBB-425A227805E7}"/>
    <cellStyle name="Normal 21 13 6 4" xfId="29011" xr:uid="{6EC817CE-2F4E-4F7E-B77D-DF59EB3E348B}"/>
    <cellStyle name="Normal 21 13 6 5" xfId="29012" xr:uid="{BC3C6897-262C-4638-BF90-A9591CAF0215}"/>
    <cellStyle name="Normal 21 13 6 6" xfId="29013" xr:uid="{00517E00-03B7-47E4-AF76-F271ED9146E4}"/>
    <cellStyle name="Normal 21 13 7" xfId="29014" xr:uid="{DB704985-2F82-4CFF-B025-7F07330E544D}"/>
    <cellStyle name="Normal 21 13 7 2" xfId="29015" xr:uid="{B9EA0B4C-1966-4011-8664-8134770ADF59}"/>
    <cellStyle name="Normal 21 13 7 3" xfId="29016" xr:uid="{887FCCF4-167F-46A9-AF88-95771DBCB54A}"/>
    <cellStyle name="Normal 21 13 7 4" xfId="29017" xr:uid="{9930DA0D-919A-4265-81E3-2763504E13C8}"/>
    <cellStyle name="Normal 21 13 7 5" xfId="29018" xr:uid="{B99931AE-63BD-4889-A7E5-DECF9C24CAE1}"/>
    <cellStyle name="Normal 21 13 7 6" xfId="29019" xr:uid="{050627AF-795D-44F4-BD9A-DF10372FDB6C}"/>
    <cellStyle name="Normal 21 13 8" xfId="29020" xr:uid="{E0A5C782-43F2-4992-BEBC-9535EC8B6801}"/>
    <cellStyle name="Normal 21 13 8 2" xfId="29021" xr:uid="{D3EEEA83-C8FF-4D17-B503-B95E3BE50807}"/>
    <cellStyle name="Normal 21 13 8 3" xfId="29022" xr:uid="{A1EE3288-61FC-45E8-A148-450CE47B0E05}"/>
    <cellStyle name="Normal 21 13 8 4" xfId="29023" xr:uid="{EDB59760-9B56-4DC0-B886-28D687E14260}"/>
    <cellStyle name="Normal 21 13 8 5" xfId="29024" xr:uid="{A1B00DF3-E34B-458C-9E08-B36F5DFF2DF8}"/>
    <cellStyle name="Normal 21 13 8 6" xfId="29025" xr:uid="{65D4ABBF-BE55-43D2-AD87-AB4459703933}"/>
    <cellStyle name="Normal 21 13 9" xfId="29026" xr:uid="{6A9948DB-38EA-472C-83FE-2A4CE5C8A2D7}"/>
    <cellStyle name="Normal 21 14" xfId="29027" xr:uid="{AD19E39F-2830-486E-A948-465C6A15FBC7}"/>
    <cellStyle name="Normal 21 14 10" xfId="29028" xr:uid="{88284C22-3CCA-415D-B9E0-F84D68E2B140}"/>
    <cellStyle name="Normal 21 14 11" xfId="29029" xr:uid="{041ED717-988E-4B95-9B25-4C0D2ACCE41D}"/>
    <cellStyle name="Normal 21 14 12" xfId="29030" xr:uid="{27781EDF-22FF-4479-96B1-8A753F653243}"/>
    <cellStyle name="Normal 21 14 13" xfId="29031" xr:uid="{8E426E17-9672-4CA7-86F5-E6A0F440D2FC}"/>
    <cellStyle name="Normal 21 14 2" xfId="29032" xr:uid="{F261C7A8-3302-49CE-A522-417003A91D8C}"/>
    <cellStyle name="Normal 21 14 2 2" xfId="29033" xr:uid="{40766E52-241D-421A-8E95-228CA364A8B6}"/>
    <cellStyle name="Normal 21 14 2 3" xfId="29034" xr:uid="{28EDB3CF-AF1F-4D25-AF80-454906834549}"/>
    <cellStyle name="Normal 21 14 2 4" xfId="29035" xr:uid="{1E757F22-C5F6-4847-BA14-429651036E98}"/>
    <cellStyle name="Normal 21 14 2 5" xfId="29036" xr:uid="{D989A74B-D749-4654-90CA-121B884A799E}"/>
    <cellStyle name="Normal 21 14 2 6" xfId="29037" xr:uid="{F703CA11-AB28-4E78-8C63-7A976530CB33}"/>
    <cellStyle name="Normal 21 14 3" xfId="29038" xr:uid="{735D837F-1302-42F0-BF81-F03D508BAB15}"/>
    <cellStyle name="Normal 21 14 3 2" xfId="29039" xr:uid="{6E987942-3342-43EB-AB48-B2B434C72F0E}"/>
    <cellStyle name="Normal 21 14 3 3" xfId="29040" xr:uid="{3FC18364-720E-4898-A99A-10B2B724ABAD}"/>
    <cellStyle name="Normal 21 14 3 4" xfId="29041" xr:uid="{520F1C53-7581-421F-986E-CAFD4C3BA5BD}"/>
    <cellStyle name="Normal 21 14 3 5" xfId="29042" xr:uid="{B36E9B78-5802-4731-B88B-E81C452FEEE8}"/>
    <cellStyle name="Normal 21 14 3 6" xfId="29043" xr:uid="{5663C5FB-DDCD-4145-913A-57ABCC9F69B8}"/>
    <cellStyle name="Normal 21 14 4" xfId="29044" xr:uid="{36D010D9-6F6D-4838-A39A-3EE105567AB9}"/>
    <cellStyle name="Normal 21 14 4 2" xfId="29045" xr:uid="{67AB9555-65E9-4828-91F7-952687EA373E}"/>
    <cellStyle name="Normal 21 14 4 3" xfId="29046" xr:uid="{49C0529F-58D4-4803-80C7-9D1D13462934}"/>
    <cellStyle name="Normal 21 14 4 4" xfId="29047" xr:uid="{3BD04C24-2C90-4E99-BBAC-645642DB3D45}"/>
    <cellStyle name="Normal 21 14 4 5" xfId="29048" xr:uid="{06178965-975E-467E-B83A-2F17D6D3033D}"/>
    <cellStyle name="Normal 21 14 4 6" xfId="29049" xr:uid="{98DB9F4B-352B-4E4C-82F3-65DFC7E79264}"/>
    <cellStyle name="Normal 21 14 5" xfId="29050" xr:uid="{FE8F7AA8-82F7-473D-91F5-E87D0E167072}"/>
    <cellStyle name="Normal 21 14 5 2" xfId="29051" xr:uid="{B84CDB99-9662-401D-BF70-8D9D51653EB1}"/>
    <cellStyle name="Normal 21 14 5 3" xfId="29052" xr:uid="{9EFA2F58-9E76-4ADA-900B-7B498D71CBA2}"/>
    <cellStyle name="Normal 21 14 5 4" xfId="29053" xr:uid="{CBBD50B6-8FB7-41BA-8E8A-006DE47D794D}"/>
    <cellStyle name="Normal 21 14 5 5" xfId="29054" xr:uid="{BF8C6B3F-9F90-4AC3-A978-6F5CFB65ABD8}"/>
    <cellStyle name="Normal 21 14 5 6" xfId="29055" xr:uid="{C4201E4C-7210-4F62-B482-39CFA66265D6}"/>
    <cellStyle name="Normal 21 14 6" xfId="29056" xr:uid="{7E2DFE30-A203-45BF-B2E3-4BA6C2457A88}"/>
    <cellStyle name="Normal 21 14 6 2" xfId="29057" xr:uid="{B464A398-0381-4249-BABE-0BA58041529A}"/>
    <cellStyle name="Normal 21 14 6 3" xfId="29058" xr:uid="{D97FC7EB-295B-47D1-A9D4-91A0B649DD38}"/>
    <cellStyle name="Normal 21 14 6 4" xfId="29059" xr:uid="{8E6D9972-CECE-47DB-BD2D-7DC1C82E9D3E}"/>
    <cellStyle name="Normal 21 14 6 5" xfId="29060" xr:uid="{4A5012D0-72D7-446C-BA3A-23153DEB7371}"/>
    <cellStyle name="Normal 21 14 6 6" xfId="29061" xr:uid="{8CD7BB97-6CF5-4DA0-BE85-7D283A79CBA8}"/>
    <cellStyle name="Normal 21 14 7" xfId="29062" xr:uid="{3E644CFA-643E-472F-81A3-4FDB9D9E1E62}"/>
    <cellStyle name="Normal 21 14 7 2" xfId="29063" xr:uid="{EEB3144A-990D-4B0A-BD29-D2188F9A3C79}"/>
    <cellStyle name="Normal 21 14 7 3" xfId="29064" xr:uid="{BDD0432F-0F7B-471D-BE11-0C99F43CF024}"/>
    <cellStyle name="Normal 21 14 7 4" xfId="29065" xr:uid="{959BC59F-1AA0-402F-972A-8934BE06B54E}"/>
    <cellStyle name="Normal 21 14 7 5" xfId="29066" xr:uid="{A4A95613-1C2E-4A73-9F0C-86F2682132C1}"/>
    <cellStyle name="Normal 21 14 7 6" xfId="29067" xr:uid="{4722ED4D-7DAA-4C21-9970-1479D8FA2BB9}"/>
    <cellStyle name="Normal 21 14 8" xfId="29068" xr:uid="{B41E552E-E158-4652-BFF2-87C9718DB687}"/>
    <cellStyle name="Normal 21 14 8 2" xfId="29069" xr:uid="{55FB4075-3E8A-4D42-9880-D4C14ABFBB8D}"/>
    <cellStyle name="Normal 21 14 8 3" xfId="29070" xr:uid="{963987E5-16E4-4C28-A4B2-4A235F45682C}"/>
    <cellStyle name="Normal 21 14 8 4" xfId="29071" xr:uid="{5E7D5936-64B2-4050-8987-E0B6D9C9B9A5}"/>
    <cellStyle name="Normal 21 14 8 5" xfId="29072" xr:uid="{BAAC2445-5859-41D2-8712-4C5E5C120E4B}"/>
    <cellStyle name="Normal 21 14 8 6" xfId="29073" xr:uid="{C6B3C519-CDCB-4795-B560-8582A2320DCB}"/>
    <cellStyle name="Normal 21 14 9" xfId="29074" xr:uid="{6928719F-6758-490C-8BE6-67069960AF57}"/>
    <cellStyle name="Normal 21 15" xfId="29075" xr:uid="{22835A4A-4BD9-499C-B555-B024D2FF2FA1}"/>
    <cellStyle name="Normal 21 15 10" xfId="29076" xr:uid="{78DC466C-1A0A-4DAC-A602-EB98B2871655}"/>
    <cellStyle name="Normal 21 15 11" xfId="29077" xr:uid="{15461E46-3985-4D17-ABBE-3C8DB634CC6C}"/>
    <cellStyle name="Normal 21 15 12" xfId="29078" xr:uid="{06A1FA36-8F70-4460-9D58-E0F72A2F9A29}"/>
    <cellStyle name="Normal 21 15 13" xfId="29079" xr:uid="{E5DFE5EA-D2ED-4BF7-B5BE-7AE9C793A22B}"/>
    <cellStyle name="Normal 21 15 2" xfId="29080" xr:uid="{4EF16D30-BBCA-44C0-BDF2-115343E09D3A}"/>
    <cellStyle name="Normal 21 15 2 2" xfId="29081" xr:uid="{70138B65-1595-49FA-86E1-3ECB46C80A85}"/>
    <cellStyle name="Normal 21 15 2 3" xfId="29082" xr:uid="{E2D33746-8C17-4C8C-BA93-982141D94929}"/>
    <cellStyle name="Normal 21 15 2 4" xfId="29083" xr:uid="{572A63AA-21CF-4FC9-8F0E-65E832DB3C3B}"/>
    <cellStyle name="Normal 21 15 2 5" xfId="29084" xr:uid="{A5EAEE93-C82F-479A-A6FC-60658761D974}"/>
    <cellStyle name="Normal 21 15 2 6" xfId="29085" xr:uid="{CEC2882F-55CF-478F-8D7B-E569F49D32DB}"/>
    <cellStyle name="Normal 21 15 3" xfId="29086" xr:uid="{8F834718-5BA9-47E5-A669-E36A0C5B5525}"/>
    <cellStyle name="Normal 21 15 3 2" xfId="29087" xr:uid="{07C5AA51-8C06-4E2C-8FC8-347E0782529B}"/>
    <cellStyle name="Normal 21 15 3 3" xfId="29088" xr:uid="{CBF13D42-AF69-4384-BFCA-FE2F5326C159}"/>
    <cellStyle name="Normal 21 15 3 4" xfId="29089" xr:uid="{7B367B0F-498D-4F35-8715-D647B5517290}"/>
    <cellStyle name="Normal 21 15 3 5" xfId="29090" xr:uid="{4CEE9A59-9A12-4F0C-B5E7-6BE4E20582CE}"/>
    <cellStyle name="Normal 21 15 3 6" xfId="29091" xr:uid="{47A38DEB-4518-4AF3-84D6-39727BD3125D}"/>
    <cellStyle name="Normal 21 15 4" xfId="29092" xr:uid="{A77F1271-C108-4038-967A-A6603008FC00}"/>
    <cellStyle name="Normal 21 15 4 2" xfId="29093" xr:uid="{00FC1242-425D-4D71-A5AC-00B51C260916}"/>
    <cellStyle name="Normal 21 15 4 3" xfId="29094" xr:uid="{D6135F21-9EC9-4289-BC66-B6E1BE06EFFB}"/>
    <cellStyle name="Normal 21 15 4 4" xfId="29095" xr:uid="{BE7FB440-12D9-48E5-B949-CFD607AD4EF3}"/>
    <cellStyle name="Normal 21 15 4 5" xfId="29096" xr:uid="{A8161635-9E76-431D-85F3-BD4715524376}"/>
    <cellStyle name="Normal 21 15 4 6" xfId="29097" xr:uid="{C212DC6D-6E56-474E-9CFB-D9C36C6E77E3}"/>
    <cellStyle name="Normal 21 15 5" xfId="29098" xr:uid="{7FAF3F39-C8F5-41C3-879A-C465BA3C7240}"/>
    <cellStyle name="Normal 21 15 5 2" xfId="29099" xr:uid="{061D54B1-456A-4C77-9DB3-4C79874C804A}"/>
    <cellStyle name="Normal 21 15 5 3" xfId="29100" xr:uid="{8364D6B5-59CC-4F85-8848-32060AA66F6B}"/>
    <cellStyle name="Normal 21 15 5 4" xfId="29101" xr:uid="{0E18A50B-1692-40B5-BD90-B86CAA04292F}"/>
    <cellStyle name="Normal 21 15 5 5" xfId="29102" xr:uid="{554122ED-E794-4642-BF4E-6DD94931BE52}"/>
    <cellStyle name="Normal 21 15 5 6" xfId="29103" xr:uid="{ADA376DA-89E2-459F-BD3F-4B91985F31FF}"/>
    <cellStyle name="Normal 21 15 6" xfId="29104" xr:uid="{D62AF322-7BA6-4059-928A-5E9ED1317812}"/>
    <cellStyle name="Normal 21 15 6 2" xfId="29105" xr:uid="{6AB28C24-E375-44D9-9808-256A6D6A27E6}"/>
    <cellStyle name="Normal 21 15 6 3" xfId="29106" xr:uid="{1E08CB72-9FB4-4C76-80AE-187D43C99776}"/>
    <cellStyle name="Normal 21 15 6 4" xfId="29107" xr:uid="{ACD784F5-FAD6-4320-AD17-F1EAD984DA6E}"/>
    <cellStyle name="Normal 21 15 6 5" xfId="29108" xr:uid="{72715103-3858-41CF-A6AB-342A12436B4F}"/>
    <cellStyle name="Normal 21 15 6 6" xfId="29109" xr:uid="{DA495676-CC3B-490C-A64D-91922C0BD730}"/>
    <cellStyle name="Normal 21 15 7" xfId="29110" xr:uid="{FF0C5B5B-AFA0-4CFE-8A91-40771FE71E38}"/>
    <cellStyle name="Normal 21 15 7 2" xfId="29111" xr:uid="{E92C3187-1428-452E-AFF5-7022B1280623}"/>
    <cellStyle name="Normal 21 15 7 3" xfId="29112" xr:uid="{9B3CA799-B2A5-4638-824A-4950DA2FE05B}"/>
    <cellStyle name="Normal 21 15 7 4" xfId="29113" xr:uid="{B95F327D-EE88-4971-A3CE-AEEBFC677A36}"/>
    <cellStyle name="Normal 21 15 7 5" xfId="29114" xr:uid="{4907E9B0-6FD4-4AF3-BEF1-62F87F7D1624}"/>
    <cellStyle name="Normal 21 15 7 6" xfId="29115" xr:uid="{E7FAE2F9-6B2F-4C1B-A88A-B3CBA7F29F3A}"/>
    <cellStyle name="Normal 21 15 8" xfId="29116" xr:uid="{63B53415-C68F-4771-B913-9FE8CFFAA754}"/>
    <cellStyle name="Normal 21 15 8 2" xfId="29117" xr:uid="{013F7EE2-6FA2-474F-96A8-BAEA37242DBE}"/>
    <cellStyle name="Normal 21 15 8 3" xfId="29118" xr:uid="{0C44C5EA-D1AB-4A33-AEFB-E53B0116CE8B}"/>
    <cellStyle name="Normal 21 15 8 4" xfId="29119" xr:uid="{05CB64FD-2FF3-4D38-A057-8AE2F5C459F0}"/>
    <cellStyle name="Normal 21 15 8 5" xfId="29120" xr:uid="{DF85F586-D0B5-4071-A8CC-2B112D301EA9}"/>
    <cellStyle name="Normal 21 15 8 6" xfId="29121" xr:uid="{1912AFA9-C60D-4C3E-A1C8-C078A6236B68}"/>
    <cellStyle name="Normal 21 15 9" xfId="29122" xr:uid="{018AA79B-BCB6-4C0E-A1E8-A2500720FE10}"/>
    <cellStyle name="Normal 21 16" xfId="29123" xr:uid="{F1D6B332-FE60-40DA-963A-2A16419AAA93}"/>
    <cellStyle name="Normal 21 16 10" xfId="29124" xr:uid="{3C6CABB4-0476-464E-85B0-2DFFA23FBD32}"/>
    <cellStyle name="Normal 21 16 11" xfId="29125" xr:uid="{243634C4-4000-4877-81AB-F949E841F35D}"/>
    <cellStyle name="Normal 21 16 12" xfId="29126" xr:uid="{A4136DC8-2039-469E-A164-66E667E37E83}"/>
    <cellStyle name="Normal 21 16 13" xfId="29127" xr:uid="{44954AA5-D3A8-463F-98B9-2483275A383F}"/>
    <cellStyle name="Normal 21 16 2" xfId="29128" xr:uid="{40E5A508-E13D-44C0-BFA9-19A39EC80CC7}"/>
    <cellStyle name="Normal 21 16 2 2" xfId="29129" xr:uid="{9AE090AC-08D3-4DE6-8CB1-B0A9FF6DCA92}"/>
    <cellStyle name="Normal 21 16 2 3" xfId="29130" xr:uid="{8003A6C7-8CEF-4286-8D85-766FC6B64583}"/>
    <cellStyle name="Normal 21 16 2 4" xfId="29131" xr:uid="{09A7C22D-CBF9-45AD-B88C-884A85627F7F}"/>
    <cellStyle name="Normal 21 16 2 5" xfId="29132" xr:uid="{D28A425C-F664-44E8-9640-19DE1DC2558E}"/>
    <cellStyle name="Normal 21 16 2 6" xfId="29133" xr:uid="{F02B0DE9-2F40-4539-964A-970A796BBC45}"/>
    <cellStyle name="Normal 21 16 3" xfId="29134" xr:uid="{1E4D6CE5-087D-45AC-AB2C-C89EAD85C9E0}"/>
    <cellStyle name="Normal 21 16 3 2" xfId="29135" xr:uid="{FCD11479-93D7-475D-A21D-FAE89EE8E698}"/>
    <cellStyle name="Normal 21 16 3 3" xfId="29136" xr:uid="{52DD814D-1640-4DB0-B814-294DFD82DE9B}"/>
    <cellStyle name="Normal 21 16 3 4" xfId="29137" xr:uid="{DE3DCFCD-ECAD-4526-9B66-7C0D4DD89450}"/>
    <cellStyle name="Normal 21 16 3 5" xfId="29138" xr:uid="{0B592E14-9B4B-49EF-91E7-5DD57E2A67FD}"/>
    <cellStyle name="Normal 21 16 3 6" xfId="29139" xr:uid="{6DE5E21E-FCA8-4DF3-873C-5DFE37F8B6F7}"/>
    <cellStyle name="Normal 21 16 4" xfId="29140" xr:uid="{850FF2D9-1C25-4CF3-B3B3-F128E85F8A00}"/>
    <cellStyle name="Normal 21 16 4 2" xfId="29141" xr:uid="{1604CBBC-D460-40BC-849F-8BB5DAE103B5}"/>
    <cellStyle name="Normal 21 16 4 3" xfId="29142" xr:uid="{885A7301-1D84-4AA8-A1E8-337C9A382F81}"/>
    <cellStyle name="Normal 21 16 4 4" xfId="29143" xr:uid="{7C6FD2E0-EFB5-46C1-8C25-2E60995CEF1E}"/>
    <cellStyle name="Normal 21 16 4 5" xfId="29144" xr:uid="{499D702D-C489-4DE2-8844-2C8E3C479151}"/>
    <cellStyle name="Normal 21 16 4 6" xfId="29145" xr:uid="{6E11E2C9-B278-4E55-A7D1-A5235B10A1C0}"/>
    <cellStyle name="Normal 21 16 5" xfId="29146" xr:uid="{AF53CA3D-1140-4F5B-8183-E600BECC4949}"/>
    <cellStyle name="Normal 21 16 5 2" xfId="29147" xr:uid="{967A6C46-3B90-4B61-A3D4-4695303DA77B}"/>
    <cellStyle name="Normal 21 16 5 3" xfId="29148" xr:uid="{55B57F76-7D4C-4982-A71C-2A788072D319}"/>
    <cellStyle name="Normal 21 16 5 4" xfId="29149" xr:uid="{4F29283B-9B48-42F7-9E4E-3DE08032F838}"/>
    <cellStyle name="Normal 21 16 5 5" xfId="29150" xr:uid="{F2140F53-4957-4703-B8DA-242E6C9C54EB}"/>
    <cellStyle name="Normal 21 16 5 6" xfId="29151" xr:uid="{493A7AF4-9D59-48A0-ACDA-FBF1597F339B}"/>
    <cellStyle name="Normal 21 16 6" xfId="29152" xr:uid="{9D827C31-1044-4BAE-8FF9-158F6B4610B0}"/>
    <cellStyle name="Normal 21 16 6 2" xfId="29153" xr:uid="{BBC7E356-1E31-4081-88F5-1FF53A0299DB}"/>
    <cellStyle name="Normal 21 16 6 3" xfId="29154" xr:uid="{CC67B744-417A-4284-978A-2ED7FE39C161}"/>
    <cellStyle name="Normal 21 16 6 4" xfId="29155" xr:uid="{9C3AA0B8-03F0-42F4-ACAE-4A83EABE6776}"/>
    <cellStyle name="Normal 21 16 6 5" xfId="29156" xr:uid="{91BFFFBC-E3A4-4134-BCD8-0050682E46A1}"/>
    <cellStyle name="Normal 21 16 6 6" xfId="29157" xr:uid="{4CA6A58C-61DE-43E7-8DA3-66584E5BA7F1}"/>
    <cellStyle name="Normal 21 16 7" xfId="29158" xr:uid="{A7A320D0-F59F-4384-942D-7DF49D75ABD0}"/>
    <cellStyle name="Normal 21 16 7 2" xfId="29159" xr:uid="{05A87CEB-FF1F-45B5-B00A-E1CCC9BF38CF}"/>
    <cellStyle name="Normal 21 16 7 3" xfId="29160" xr:uid="{D5479875-9D7D-4692-A51F-7EB950872821}"/>
    <cellStyle name="Normal 21 16 7 4" xfId="29161" xr:uid="{4ABADD0B-19DC-4BBC-9200-4E0A2D37728C}"/>
    <cellStyle name="Normal 21 16 7 5" xfId="29162" xr:uid="{B4453B8C-9693-4C11-9FC6-999019CA8E4E}"/>
    <cellStyle name="Normal 21 16 7 6" xfId="29163" xr:uid="{57882388-1FA9-4968-938B-E723A9F8EBD7}"/>
    <cellStyle name="Normal 21 16 8" xfId="29164" xr:uid="{2DC7075E-5535-4E8E-A2D3-94A0FC74EEB7}"/>
    <cellStyle name="Normal 21 16 8 2" xfId="29165" xr:uid="{302755DA-AD8C-447F-9E39-7E9763F2251D}"/>
    <cellStyle name="Normal 21 16 8 3" xfId="29166" xr:uid="{184823AB-3E28-4866-B645-528DF1F369A4}"/>
    <cellStyle name="Normal 21 16 8 4" xfId="29167" xr:uid="{2F3E033E-CC3B-4FD1-838E-276C91235932}"/>
    <cellStyle name="Normal 21 16 8 5" xfId="29168" xr:uid="{39488975-44BD-4079-8AF1-0D55CADE3BB4}"/>
    <cellStyle name="Normal 21 16 8 6" xfId="29169" xr:uid="{58FA60C6-110F-4282-96C1-AABAFB713D47}"/>
    <cellStyle name="Normal 21 16 9" xfId="29170" xr:uid="{616EC757-7761-4870-BE74-B158BEEDEBA5}"/>
    <cellStyle name="Normal 21 17" xfId="29171" xr:uid="{B1B18F4F-6836-4CE5-9853-37C89C9F041D}"/>
    <cellStyle name="Normal 21 17 10" xfId="29172" xr:uid="{1A35825E-43D8-4FC1-8EAF-A0F27EDD5619}"/>
    <cellStyle name="Normal 21 17 11" xfId="29173" xr:uid="{F544F967-22D4-49A2-A519-CDB045DEDFE0}"/>
    <cellStyle name="Normal 21 17 12" xfId="29174" xr:uid="{017F7DAB-5C8E-45FC-86FA-47FD1F4A24AD}"/>
    <cellStyle name="Normal 21 17 13" xfId="29175" xr:uid="{D6048AAE-7D8C-4CBB-9882-9053E405741B}"/>
    <cellStyle name="Normal 21 17 2" xfId="29176" xr:uid="{03C44E85-6F37-45FA-AB40-2D3EB0E5D8C6}"/>
    <cellStyle name="Normal 21 17 2 2" xfId="29177" xr:uid="{287ACCFB-7C42-40AE-9DA7-6D8B159C6D96}"/>
    <cellStyle name="Normal 21 17 2 3" xfId="29178" xr:uid="{3FB321C6-1725-46D6-BE29-C7A3EC8714A0}"/>
    <cellStyle name="Normal 21 17 2 4" xfId="29179" xr:uid="{790F1AF7-6ED9-47C9-A8FC-6AD5DD6E1BE2}"/>
    <cellStyle name="Normal 21 17 2 5" xfId="29180" xr:uid="{9BAE91B7-2E6A-4046-B8AC-571331BFC0ED}"/>
    <cellStyle name="Normal 21 17 2 6" xfId="29181" xr:uid="{C688D8BD-702E-497E-AB0F-75778CB68414}"/>
    <cellStyle name="Normal 21 17 3" xfId="29182" xr:uid="{B023AA7F-63B2-40D5-A3D0-0EE2D013C061}"/>
    <cellStyle name="Normal 21 17 3 2" xfId="29183" xr:uid="{49CA3A97-6491-41FE-B625-AD011DE8E7FC}"/>
    <cellStyle name="Normal 21 17 3 3" xfId="29184" xr:uid="{17C0A398-9B45-4617-8602-A6DD2B832BF2}"/>
    <cellStyle name="Normal 21 17 3 4" xfId="29185" xr:uid="{79FF825A-089F-4F54-AD72-93D29805FD5F}"/>
    <cellStyle name="Normal 21 17 3 5" xfId="29186" xr:uid="{45FE3100-725A-4F0F-95BC-13E07762917F}"/>
    <cellStyle name="Normal 21 17 3 6" xfId="29187" xr:uid="{C16F20E5-0700-4149-873D-76A896553690}"/>
    <cellStyle name="Normal 21 17 4" xfId="29188" xr:uid="{E95ED8B6-A533-4A73-BC6C-3ABCAA7A504D}"/>
    <cellStyle name="Normal 21 17 4 2" xfId="29189" xr:uid="{A5FAEDA6-613F-4155-8809-39BB069AE2E7}"/>
    <cellStyle name="Normal 21 17 4 3" xfId="29190" xr:uid="{70B09D79-4BD2-4B26-9AB2-7FDF17A6280A}"/>
    <cellStyle name="Normal 21 17 4 4" xfId="29191" xr:uid="{E82E53AB-C561-47E6-A23F-475397E96E92}"/>
    <cellStyle name="Normal 21 17 4 5" xfId="29192" xr:uid="{CD5612E7-26C5-4708-83E2-5D228FED64BD}"/>
    <cellStyle name="Normal 21 17 4 6" xfId="29193" xr:uid="{54CD033A-6D8C-4010-B3A7-AC4EED7242A0}"/>
    <cellStyle name="Normal 21 17 5" xfId="29194" xr:uid="{521F28BF-B1AE-46C3-A5D2-8332D7339746}"/>
    <cellStyle name="Normal 21 17 5 2" xfId="29195" xr:uid="{CF24D029-E81E-4848-88C5-9ABE8B42CBD6}"/>
    <cellStyle name="Normal 21 17 5 3" xfId="29196" xr:uid="{3FAB2AA9-9DD0-4C5E-A300-E51E8F4607B3}"/>
    <cellStyle name="Normal 21 17 5 4" xfId="29197" xr:uid="{AEF642E0-47F8-4775-8172-7A2A51F5860C}"/>
    <cellStyle name="Normal 21 17 5 5" xfId="29198" xr:uid="{F14A07B9-A3ED-4F1C-8B2E-3CD8C5399FB9}"/>
    <cellStyle name="Normal 21 17 5 6" xfId="29199" xr:uid="{91297110-8657-4AEA-9B55-F5DDCCED57F0}"/>
    <cellStyle name="Normal 21 17 6" xfId="29200" xr:uid="{BA3034AF-DDE2-4AD7-BD83-73002207102D}"/>
    <cellStyle name="Normal 21 17 6 2" xfId="29201" xr:uid="{F082E688-1572-4F8A-8A15-B3AA7F7A094E}"/>
    <cellStyle name="Normal 21 17 6 3" xfId="29202" xr:uid="{47E07A6F-CB7E-414B-A852-328EC6BBE50F}"/>
    <cellStyle name="Normal 21 17 6 4" xfId="29203" xr:uid="{EAA781AF-1145-4001-AA69-EDA0CC564515}"/>
    <cellStyle name="Normal 21 17 6 5" xfId="29204" xr:uid="{A9C8036E-256E-4F79-AFA9-33E49804B88E}"/>
    <cellStyle name="Normal 21 17 6 6" xfId="29205" xr:uid="{372EA37A-A9E7-4B45-B524-58CEE3B170E9}"/>
    <cellStyle name="Normal 21 17 7" xfId="29206" xr:uid="{5C174341-CDB5-434E-95BB-FEA3CD32C332}"/>
    <cellStyle name="Normal 21 17 7 2" xfId="29207" xr:uid="{BC42CF8B-DA62-45D8-A708-67A4D1B0F19D}"/>
    <cellStyle name="Normal 21 17 7 3" xfId="29208" xr:uid="{6D27DE2B-A25A-4594-ADD8-7F5E200CC7AB}"/>
    <cellStyle name="Normal 21 17 7 4" xfId="29209" xr:uid="{060A9ADE-659E-4EE5-83C2-3405ACB9D8D0}"/>
    <cellStyle name="Normal 21 17 7 5" xfId="29210" xr:uid="{8B5ECCB8-5465-4FF8-9C98-67F4093E571B}"/>
    <cellStyle name="Normal 21 17 7 6" xfId="29211" xr:uid="{6676ABA6-450F-42A3-8E85-94AAC369E5F7}"/>
    <cellStyle name="Normal 21 17 8" xfId="29212" xr:uid="{ED29C6BC-0A27-4D94-990A-D20CD6D9207C}"/>
    <cellStyle name="Normal 21 17 8 2" xfId="29213" xr:uid="{21F5D922-5377-452F-A1A9-B7A002C9F151}"/>
    <cellStyle name="Normal 21 17 8 3" xfId="29214" xr:uid="{9534FAEE-4715-408F-AA03-FB415DF69525}"/>
    <cellStyle name="Normal 21 17 8 4" xfId="29215" xr:uid="{E0E8D347-1C6C-408F-96AC-DF0D9FC8EE99}"/>
    <cellStyle name="Normal 21 17 8 5" xfId="29216" xr:uid="{9D50D1EC-18A7-46A8-8904-711BF36A0FB8}"/>
    <cellStyle name="Normal 21 17 8 6" xfId="29217" xr:uid="{051CDE73-7340-47E2-96BB-1CF39A1B8E08}"/>
    <cellStyle name="Normal 21 17 9" xfId="29218" xr:uid="{94746739-536D-46D6-9DE9-49EA8AE0C5D8}"/>
    <cellStyle name="Normal 21 18" xfId="29219" xr:uid="{92356F3F-436F-479A-9172-88F04A386708}"/>
    <cellStyle name="Normal 21 18 10" xfId="29220" xr:uid="{FE1E9323-F293-426F-AE83-5298B15922DF}"/>
    <cellStyle name="Normal 21 18 11" xfId="29221" xr:uid="{EE859FD9-6905-4200-B18A-8411C3209371}"/>
    <cellStyle name="Normal 21 18 12" xfId="29222" xr:uid="{389CAA36-573C-4267-A160-6732A009EB83}"/>
    <cellStyle name="Normal 21 18 13" xfId="29223" xr:uid="{7CC28FE7-0B88-4C5E-957B-0EC0BBECA340}"/>
    <cellStyle name="Normal 21 18 2" xfId="29224" xr:uid="{B5C9CCB3-5289-43AE-B65E-75AFD1B771EA}"/>
    <cellStyle name="Normal 21 18 2 2" xfId="29225" xr:uid="{4ABCFED2-1727-4222-A75D-900911FB776F}"/>
    <cellStyle name="Normal 21 18 2 3" xfId="29226" xr:uid="{9F13179F-6CC1-49B3-9EA3-2D57044F34C6}"/>
    <cellStyle name="Normal 21 18 2 4" xfId="29227" xr:uid="{28AED756-F982-403C-B059-DC52FDD64EEF}"/>
    <cellStyle name="Normal 21 18 2 5" xfId="29228" xr:uid="{5AA9C271-8F26-4DB1-A5C2-FBD3506F2D19}"/>
    <cellStyle name="Normal 21 18 2 6" xfId="29229" xr:uid="{B02F023F-C2F8-4773-AE16-7749916F44E9}"/>
    <cellStyle name="Normal 21 18 3" xfId="29230" xr:uid="{E28CFF7E-1CEC-43A3-975F-6AC5A41457F1}"/>
    <cellStyle name="Normal 21 18 3 2" xfId="29231" xr:uid="{DAEF5A84-4672-4E29-BBF7-A14A3D921255}"/>
    <cellStyle name="Normal 21 18 3 3" xfId="29232" xr:uid="{4F8FFA0E-BDBA-4EB8-BB8A-1514EB74A1BA}"/>
    <cellStyle name="Normal 21 18 3 4" xfId="29233" xr:uid="{92378A2B-F463-48E6-B463-E23E8E28AD91}"/>
    <cellStyle name="Normal 21 18 3 5" xfId="29234" xr:uid="{67A3BAFE-0FFA-4C85-A184-FB2C43D75F33}"/>
    <cellStyle name="Normal 21 18 3 6" xfId="29235" xr:uid="{252CDC5F-5030-46BF-90E7-DA91232B23BD}"/>
    <cellStyle name="Normal 21 18 4" xfId="29236" xr:uid="{7A6BC341-8197-46E8-B663-3FF243EA2AE9}"/>
    <cellStyle name="Normal 21 18 4 2" xfId="29237" xr:uid="{C13F616D-9AE8-4B07-A0B1-2DC88321B049}"/>
    <cellStyle name="Normal 21 18 4 3" xfId="29238" xr:uid="{C3B039AE-C658-45C2-B97B-E8BDC1F081A8}"/>
    <cellStyle name="Normal 21 18 4 4" xfId="29239" xr:uid="{8CE7117D-9A43-478B-8839-BCC7A3393D5B}"/>
    <cellStyle name="Normal 21 18 4 5" xfId="29240" xr:uid="{07C1DCB8-A08B-43E2-899F-A3AF8C6A154B}"/>
    <cellStyle name="Normal 21 18 4 6" xfId="29241" xr:uid="{6DDB8E36-4001-451E-811A-6047D51729B0}"/>
    <cellStyle name="Normal 21 18 5" xfId="29242" xr:uid="{22F5C2CD-271C-4640-B19D-C50781D7C5D4}"/>
    <cellStyle name="Normal 21 18 5 2" xfId="29243" xr:uid="{0B3DEF69-BB71-4D8B-BF2D-17890BDAAB2E}"/>
    <cellStyle name="Normal 21 18 5 3" xfId="29244" xr:uid="{8CE0DC7B-FC8E-4C03-A016-F1DC6FBE77C9}"/>
    <cellStyle name="Normal 21 18 5 4" xfId="29245" xr:uid="{1568B76E-4AB6-4BDD-8E53-44AF067C3B65}"/>
    <cellStyle name="Normal 21 18 5 5" xfId="29246" xr:uid="{859C0623-2FEB-4F4F-9D08-4FF3CA14A572}"/>
    <cellStyle name="Normal 21 18 5 6" xfId="29247" xr:uid="{6559F728-6205-4901-9175-88CE6AE2AF52}"/>
    <cellStyle name="Normal 21 18 6" xfId="29248" xr:uid="{6139B04C-ED18-4937-BCF7-1CD08CEF9446}"/>
    <cellStyle name="Normal 21 18 6 2" xfId="29249" xr:uid="{A548FDE1-A7EB-431F-9DC5-75800C2FB45D}"/>
    <cellStyle name="Normal 21 18 6 3" xfId="29250" xr:uid="{D9132408-E5D2-4BC8-A29B-F4B58709CE08}"/>
    <cellStyle name="Normal 21 18 6 4" xfId="29251" xr:uid="{67486D32-AA3C-4539-B7C6-531E5FCE6A44}"/>
    <cellStyle name="Normal 21 18 6 5" xfId="29252" xr:uid="{2BB7F4DC-6E08-4FED-8FED-FD6DD115C38F}"/>
    <cellStyle name="Normal 21 18 6 6" xfId="29253" xr:uid="{3309242F-FFA7-4C59-8953-981DD3A6E7AA}"/>
    <cellStyle name="Normal 21 18 7" xfId="29254" xr:uid="{C9518C8D-8843-42FD-8559-625077A394AF}"/>
    <cellStyle name="Normal 21 18 7 2" xfId="29255" xr:uid="{F798191E-2662-44A6-9D6E-1D6DE9199E12}"/>
    <cellStyle name="Normal 21 18 7 3" xfId="29256" xr:uid="{388DC506-1DEE-467C-8C26-63EE5F39C0A8}"/>
    <cellStyle name="Normal 21 18 7 4" xfId="29257" xr:uid="{2CBB0E34-1444-47D9-A845-440A4B4110BC}"/>
    <cellStyle name="Normal 21 18 7 5" xfId="29258" xr:uid="{B917A674-3611-4BC9-818E-7D32F9CF77C5}"/>
    <cellStyle name="Normal 21 18 7 6" xfId="29259" xr:uid="{2338D476-13D8-427C-B84C-A20C4428D684}"/>
    <cellStyle name="Normal 21 18 8" xfId="29260" xr:uid="{F1761AA7-1D30-4A2F-965C-88DA9BB3A73F}"/>
    <cellStyle name="Normal 21 18 8 2" xfId="29261" xr:uid="{CA1F85E5-7E29-47FD-AA47-8A5B9A23E4B7}"/>
    <cellStyle name="Normal 21 18 8 3" xfId="29262" xr:uid="{429F69FC-07B7-4E7F-81F1-643423E48D52}"/>
    <cellStyle name="Normal 21 18 8 4" xfId="29263" xr:uid="{21737A61-8298-4C30-BA5C-77FCCF00BBFB}"/>
    <cellStyle name="Normal 21 18 8 5" xfId="29264" xr:uid="{7CD35CC9-43BB-47CC-B723-DF8D0B8E9437}"/>
    <cellStyle name="Normal 21 18 8 6" xfId="29265" xr:uid="{0C323EA8-3CC1-42A1-983E-6F8052AD6530}"/>
    <cellStyle name="Normal 21 18 9" xfId="29266" xr:uid="{96FE8DA2-9B67-41FA-8C5D-E4DCEE7E4391}"/>
    <cellStyle name="Normal 21 19" xfId="29267" xr:uid="{D8D28E57-A3C1-44D9-90C2-B264E71E38D5}"/>
    <cellStyle name="Normal 21 19 10" xfId="29268" xr:uid="{E9C282AC-8C8E-4EE1-9D66-F75EE4A243FA}"/>
    <cellStyle name="Normal 21 19 11" xfId="29269" xr:uid="{17A01786-A1B1-41FF-A9ED-09BA6F0B7343}"/>
    <cellStyle name="Normal 21 19 12" xfId="29270" xr:uid="{C4C00951-4D40-448A-9787-DB371554F061}"/>
    <cellStyle name="Normal 21 19 13" xfId="29271" xr:uid="{5B45AA75-ECDA-45E7-B037-150BCF4E1D2F}"/>
    <cellStyle name="Normal 21 19 2" xfId="29272" xr:uid="{BB420360-32C4-4989-9F9D-84837BF95EBE}"/>
    <cellStyle name="Normal 21 19 2 2" xfId="29273" xr:uid="{3201EEBC-CC73-443E-8E14-D4880E42774F}"/>
    <cellStyle name="Normal 21 19 2 3" xfId="29274" xr:uid="{7F0DD8C0-9BB8-4505-BD22-EA156B5B8723}"/>
    <cellStyle name="Normal 21 19 2 4" xfId="29275" xr:uid="{A792E956-6633-491D-AF9E-8ADBB57DD025}"/>
    <cellStyle name="Normal 21 19 2 5" xfId="29276" xr:uid="{816A651C-C3C5-4255-881A-DF6B106AA1F2}"/>
    <cellStyle name="Normal 21 19 2 6" xfId="29277" xr:uid="{7B789195-8132-46B2-9BE7-F3F578C9EAC9}"/>
    <cellStyle name="Normal 21 19 3" xfId="29278" xr:uid="{DAFDD1D0-FD70-4233-A6C4-1D0E9EC6F007}"/>
    <cellStyle name="Normal 21 19 3 2" xfId="29279" xr:uid="{F9363B34-CFCC-43E4-B321-944FD228B4E7}"/>
    <cellStyle name="Normal 21 19 3 3" xfId="29280" xr:uid="{389146A2-C804-4BD7-8175-5BB96D9D66DA}"/>
    <cellStyle name="Normal 21 19 3 4" xfId="29281" xr:uid="{C1A4AB7B-3C8A-4050-9558-E500EA1F2E3C}"/>
    <cellStyle name="Normal 21 19 3 5" xfId="29282" xr:uid="{EB58909D-244B-4EE3-8D73-B3EDFF18A9BA}"/>
    <cellStyle name="Normal 21 19 3 6" xfId="29283" xr:uid="{C61E1700-5ACE-4B83-91FE-70508F8C31E1}"/>
    <cellStyle name="Normal 21 19 4" xfId="29284" xr:uid="{8CAFCBCA-05A6-4ADF-A57B-5506B4921D81}"/>
    <cellStyle name="Normal 21 19 4 2" xfId="29285" xr:uid="{7C535715-86F8-452A-8468-023FB1CF0396}"/>
    <cellStyle name="Normal 21 19 4 3" xfId="29286" xr:uid="{1B1B340C-ECB8-41B1-9E44-515CCEA2BCDE}"/>
    <cellStyle name="Normal 21 19 4 4" xfId="29287" xr:uid="{95C73085-6573-405F-B741-240856155F70}"/>
    <cellStyle name="Normal 21 19 4 5" xfId="29288" xr:uid="{BDAF4283-B6B7-4397-BB5B-9538555644A7}"/>
    <cellStyle name="Normal 21 19 4 6" xfId="29289" xr:uid="{A0878BEE-AF0A-4D10-AA2D-8BB940FAB29D}"/>
    <cellStyle name="Normal 21 19 5" xfId="29290" xr:uid="{0DD7CE42-03AD-42E4-A32D-B6B3DE8C66B7}"/>
    <cellStyle name="Normal 21 19 5 2" xfId="29291" xr:uid="{BFCFA1CC-6350-43BC-ABFA-3B0B7BA781BC}"/>
    <cellStyle name="Normal 21 19 5 3" xfId="29292" xr:uid="{12029BB1-E013-401C-82E1-7B46AD9C5C87}"/>
    <cellStyle name="Normal 21 19 5 4" xfId="29293" xr:uid="{A6DB61BA-C21E-45CE-9DF5-E39F83B4DEB2}"/>
    <cellStyle name="Normal 21 19 5 5" xfId="29294" xr:uid="{5C73C24E-746A-4D3B-8921-B7AD94754F12}"/>
    <cellStyle name="Normal 21 19 5 6" xfId="29295" xr:uid="{06B8DA76-3A2A-4285-A717-0F3D291A9DF5}"/>
    <cellStyle name="Normal 21 19 6" xfId="29296" xr:uid="{6E4F4063-42FB-45CE-9507-C8DEB9B050EF}"/>
    <cellStyle name="Normal 21 19 6 2" xfId="29297" xr:uid="{698F1793-2D1A-49E6-B61B-D74013A92282}"/>
    <cellStyle name="Normal 21 19 6 3" xfId="29298" xr:uid="{73E37778-7ACB-4260-B1F6-ED7C678979C7}"/>
    <cellStyle name="Normal 21 19 6 4" xfId="29299" xr:uid="{F87AC24D-545A-4447-8E0A-A97E3F372D5F}"/>
    <cellStyle name="Normal 21 19 6 5" xfId="29300" xr:uid="{6FE5C4D5-DB95-4687-964E-3A21814A20D7}"/>
    <cellStyle name="Normal 21 19 6 6" xfId="29301" xr:uid="{38175342-D16D-4002-B4D6-52F5D33F83D1}"/>
    <cellStyle name="Normal 21 19 7" xfId="29302" xr:uid="{31489122-4771-489A-8199-06CA8F394281}"/>
    <cellStyle name="Normal 21 19 7 2" xfId="29303" xr:uid="{5ED131E5-6E2A-42F1-9215-7B36402AF350}"/>
    <cellStyle name="Normal 21 19 7 3" xfId="29304" xr:uid="{3B4BF7BD-D00A-485E-A441-89D86C623326}"/>
    <cellStyle name="Normal 21 19 7 4" xfId="29305" xr:uid="{0B693AD2-6845-4139-BE41-6CABED8770EC}"/>
    <cellStyle name="Normal 21 19 7 5" xfId="29306" xr:uid="{DA1F8BC3-5FD3-4D4B-8979-58A79E9ABB38}"/>
    <cellStyle name="Normal 21 19 7 6" xfId="29307" xr:uid="{7F740014-CC0C-4753-B0CB-1AD5D0FB7029}"/>
    <cellStyle name="Normal 21 19 8" xfId="29308" xr:uid="{DB407F79-D6AF-4CE0-B5D8-3D5361D44FDD}"/>
    <cellStyle name="Normal 21 19 8 2" xfId="29309" xr:uid="{B86B865E-495D-4DC8-A2A9-F1A81B08425A}"/>
    <cellStyle name="Normal 21 19 8 3" xfId="29310" xr:uid="{5C88106C-F71D-4E97-AAE0-F348D19E1D43}"/>
    <cellStyle name="Normal 21 19 8 4" xfId="29311" xr:uid="{2F1B7C44-8D65-4321-B607-2D71F989D8B5}"/>
    <cellStyle name="Normal 21 19 8 5" xfId="29312" xr:uid="{CDF7D2FD-5F57-4CA3-8CEF-8F195FE30577}"/>
    <cellStyle name="Normal 21 19 8 6" xfId="29313" xr:uid="{2DD0C559-012C-4C50-9460-0E803A54F5F5}"/>
    <cellStyle name="Normal 21 19 9" xfId="29314" xr:uid="{CD20E330-BDF0-4D3E-B482-719414C86E9F}"/>
    <cellStyle name="Normal 21 2" xfId="29315" xr:uid="{F1391E68-DF2A-4695-B4A9-95F667682244}"/>
    <cellStyle name="Normal 21 2 10" xfId="29316" xr:uid="{375DA336-59BE-4C43-958A-BFE8230CF470}"/>
    <cellStyle name="Normal 21 2 11" xfId="29317" xr:uid="{74C56AC3-F40B-47CC-9D56-97FC549957D9}"/>
    <cellStyle name="Normal 21 2 12" xfId="29318" xr:uid="{52C359F7-2FE5-4CD0-B8EC-0131377D1C26}"/>
    <cellStyle name="Normal 21 2 13" xfId="29319" xr:uid="{3E070F06-F945-43DC-8519-27200F0FB2F4}"/>
    <cellStyle name="Normal 21 2 2" xfId="29320" xr:uid="{A685F522-04A0-41EE-A548-49F0EBFACD9D}"/>
    <cellStyle name="Normal 21 2 2 2" xfId="29321" xr:uid="{90ED38DA-526C-47D6-84DA-3AB3AF6FEEFE}"/>
    <cellStyle name="Normal 21 2 2 3" xfId="29322" xr:uid="{A5C9FD38-01DF-4CD1-9A2D-98B837366054}"/>
    <cellStyle name="Normal 21 2 2 4" xfId="29323" xr:uid="{5A7A3894-9475-4FBD-8DD4-86AD0A6640EE}"/>
    <cellStyle name="Normal 21 2 2 5" xfId="29324" xr:uid="{3E8F66AF-EECC-4CF6-ADFA-7C4214F4A79E}"/>
    <cellStyle name="Normal 21 2 2 6" xfId="29325" xr:uid="{E23357DC-A26E-41F0-81E4-93FF87FD7AA8}"/>
    <cellStyle name="Normal 21 2 3" xfId="29326" xr:uid="{D214894F-0C4E-473A-9A54-4AE5B7351E63}"/>
    <cellStyle name="Normal 21 2 3 2" xfId="29327" xr:uid="{AF9C5611-D538-4A34-9B72-313FB0D6AB88}"/>
    <cellStyle name="Normal 21 2 3 3" xfId="29328" xr:uid="{37227BE6-D130-4C53-8EDF-2CD293027BCD}"/>
    <cellStyle name="Normal 21 2 3 4" xfId="29329" xr:uid="{77127499-4557-47CC-BBF0-14E701D1A6EA}"/>
    <cellStyle name="Normal 21 2 3 5" xfId="29330" xr:uid="{A2668882-929D-4382-9DF7-84C5A8CC54A5}"/>
    <cellStyle name="Normal 21 2 3 6" xfId="29331" xr:uid="{4C5E9566-6E6D-4E79-870C-92C0C4913DB9}"/>
    <cellStyle name="Normal 21 2 4" xfId="29332" xr:uid="{87DF173D-2807-405F-A5D1-14DA22137FB9}"/>
    <cellStyle name="Normal 21 2 4 2" xfId="29333" xr:uid="{8637708D-DDBC-480F-9F6F-2B3DCCDA7F55}"/>
    <cellStyle name="Normal 21 2 4 3" xfId="29334" xr:uid="{BBCA0FFA-D25E-48F8-8618-92AF41EB5C53}"/>
    <cellStyle name="Normal 21 2 4 4" xfId="29335" xr:uid="{3648CCEC-AFF3-44E1-9884-561B851E6E84}"/>
    <cellStyle name="Normal 21 2 4 5" xfId="29336" xr:uid="{2E13D7AB-3B88-4CE0-BD18-9FC1CC147683}"/>
    <cellStyle name="Normal 21 2 4 6" xfId="29337" xr:uid="{806CD8B5-9173-426B-BAE0-08A00E6CED9F}"/>
    <cellStyle name="Normal 21 2 5" xfId="29338" xr:uid="{8588E378-9BD4-4495-B149-17DDBCE4D24A}"/>
    <cellStyle name="Normal 21 2 5 2" xfId="29339" xr:uid="{C0F515F0-2FF4-4E48-86B4-FB3C132ECB76}"/>
    <cellStyle name="Normal 21 2 5 3" xfId="29340" xr:uid="{2E24E67B-550F-4BD7-A854-21F43A18B57B}"/>
    <cellStyle name="Normal 21 2 5 4" xfId="29341" xr:uid="{3CBEC563-1A21-445E-88FC-D7AD54E4F367}"/>
    <cellStyle name="Normal 21 2 5 5" xfId="29342" xr:uid="{CA7FD10C-7B4B-4EAA-B7B1-303840F16463}"/>
    <cellStyle name="Normal 21 2 5 6" xfId="29343" xr:uid="{73C14733-D398-41DB-9080-02B2FB43BA74}"/>
    <cellStyle name="Normal 21 2 6" xfId="29344" xr:uid="{1374A50D-6E86-4C0D-A59B-8AF9F0ED7CB7}"/>
    <cellStyle name="Normal 21 2 6 2" xfId="29345" xr:uid="{FEBC2CAA-F29A-435F-B1B3-FEFD7E38BCA8}"/>
    <cellStyle name="Normal 21 2 6 3" xfId="29346" xr:uid="{70ADD04A-F6FD-414E-BC9E-6A7F83BBEE93}"/>
    <cellStyle name="Normal 21 2 6 4" xfId="29347" xr:uid="{B8246423-49EE-4E99-88D1-E683F39809F0}"/>
    <cellStyle name="Normal 21 2 6 5" xfId="29348" xr:uid="{3217574D-0361-4D83-B367-3424B1E1FCE3}"/>
    <cellStyle name="Normal 21 2 6 6" xfId="29349" xr:uid="{2C1DBF7C-8F60-4A6F-BBAE-ACDC938D59F8}"/>
    <cellStyle name="Normal 21 2 7" xfId="29350" xr:uid="{C3F895F2-5547-4E5E-BF46-4008178A585F}"/>
    <cellStyle name="Normal 21 2 7 2" xfId="29351" xr:uid="{4770D537-4962-4081-81FE-C9B7831EF4E0}"/>
    <cellStyle name="Normal 21 2 7 3" xfId="29352" xr:uid="{8D9170BE-F27F-435F-A7F6-B8F48C584264}"/>
    <cellStyle name="Normal 21 2 7 4" xfId="29353" xr:uid="{AEAE917F-7236-46E2-A1BC-C59A9E3D972B}"/>
    <cellStyle name="Normal 21 2 7 5" xfId="29354" xr:uid="{FB50AB9B-DF68-46EA-973C-0BDA2BB87BFB}"/>
    <cellStyle name="Normal 21 2 7 6" xfId="29355" xr:uid="{36423BBB-0D7F-403A-A707-072604CD7E05}"/>
    <cellStyle name="Normal 21 2 8" xfId="29356" xr:uid="{0F92DEF5-0424-4DFF-B75A-3C84CD68D361}"/>
    <cellStyle name="Normal 21 2 8 2" xfId="29357" xr:uid="{8CC28F81-A5BB-49F5-B0E8-E0607510EBB9}"/>
    <cellStyle name="Normal 21 2 8 3" xfId="29358" xr:uid="{1AB69146-22C0-4CFD-BDF4-40CCF4E142FD}"/>
    <cellStyle name="Normal 21 2 8 4" xfId="29359" xr:uid="{800D787A-07A1-4B06-8CAF-D8869362EBD1}"/>
    <cellStyle name="Normal 21 2 8 5" xfId="29360" xr:uid="{8377B363-9A3C-4BE0-B148-A1C06A43519C}"/>
    <cellStyle name="Normal 21 2 8 6" xfId="29361" xr:uid="{4431F318-1705-428D-B68F-259B8A0507EF}"/>
    <cellStyle name="Normal 21 2 9" xfId="29362" xr:uid="{D137317F-CD5D-4BAB-B1E3-F43B816EE8FF}"/>
    <cellStyle name="Normal 21 20" xfId="29363" xr:uid="{457FF51D-B89E-4289-AFDF-A11F1E9E8256}"/>
    <cellStyle name="Normal 21 20 10" xfId="29364" xr:uid="{71DF2BB2-1495-4FB0-8B57-EDCBC259945F}"/>
    <cellStyle name="Normal 21 20 11" xfId="29365" xr:uid="{AA708CB3-878D-4F47-A6AB-409430D87F9B}"/>
    <cellStyle name="Normal 21 20 12" xfId="29366" xr:uid="{637708A8-21D3-4C66-8957-80469D02CA59}"/>
    <cellStyle name="Normal 21 20 13" xfId="29367" xr:uid="{C7DF8822-1FF8-4ED4-AA5E-F3B0324AF821}"/>
    <cellStyle name="Normal 21 20 2" xfId="29368" xr:uid="{0BA888F4-DF58-4B02-86DC-AECBFBD7433B}"/>
    <cellStyle name="Normal 21 20 2 2" xfId="29369" xr:uid="{B6C2BF44-E421-433E-A06B-03D8ECCFEB9B}"/>
    <cellStyle name="Normal 21 20 2 3" xfId="29370" xr:uid="{F3C331FD-36B1-4953-9C21-1348225B19E6}"/>
    <cellStyle name="Normal 21 20 2 4" xfId="29371" xr:uid="{6FECABAD-CBB7-47FE-B970-522C8C2E9EAE}"/>
    <cellStyle name="Normal 21 20 2 5" xfId="29372" xr:uid="{BDD752F6-5E71-41E3-8111-682839A0D70C}"/>
    <cellStyle name="Normal 21 20 2 6" xfId="29373" xr:uid="{B791FF1B-43DD-4A39-AE67-96F05D6FC9AA}"/>
    <cellStyle name="Normal 21 20 3" xfId="29374" xr:uid="{687A88D6-E3F2-426A-A039-6630C031214D}"/>
    <cellStyle name="Normal 21 20 3 2" xfId="29375" xr:uid="{F9ED7D6A-48E0-48DD-9B6B-DCDC01EB804F}"/>
    <cellStyle name="Normal 21 20 3 3" xfId="29376" xr:uid="{8FB6538E-F1F8-49E7-9E2A-12C8CA061C2E}"/>
    <cellStyle name="Normal 21 20 3 4" xfId="29377" xr:uid="{821BC1A3-2DB2-45BE-8C95-A5EDD26E9C3D}"/>
    <cellStyle name="Normal 21 20 3 5" xfId="29378" xr:uid="{B8C32D35-031F-438F-847B-BD6C0C881BE2}"/>
    <cellStyle name="Normal 21 20 3 6" xfId="29379" xr:uid="{A6A21099-888F-4224-AB32-15B81DAA2ACB}"/>
    <cellStyle name="Normal 21 20 4" xfId="29380" xr:uid="{C41B9E76-BC95-46B6-AABF-80FFABDF000D}"/>
    <cellStyle name="Normal 21 20 4 2" xfId="29381" xr:uid="{58F513F6-76DB-4993-A11E-DC199E7BFBA9}"/>
    <cellStyle name="Normal 21 20 4 3" xfId="29382" xr:uid="{CD198D0A-1DD9-47D3-8749-93079C093D79}"/>
    <cellStyle name="Normal 21 20 4 4" xfId="29383" xr:uid="{583E4828-3A35-4F55-9F51-2FF9505BE619}"/>
    <cellStyle name="Normal 21 20 4 5" xfId="29384" xr:uid="{0F2E4DE9-245A-4362-92BA-DE6E7FFB2209}"/>
    <cellStyle name="Normal 21 20 4 6" xfId="29385" xr:uid="{9413852A-5803-434C-83A0-FE2FD5D3FB09}"/>
    <cellStyle name="Normal 21 20 5" xfId="29386" xr:uid="{51AF29A3-EB2E-4DCA-AE42-CDC1B41AD324}"/>
    <cellStyle name="Normal 21 20 5 2" xfId="29387" xr:uid="{A118B0A1-67FE-44AD-8E6F-DBE7DA514875}"/>
    <cellStyle name="Normal 21 20 5 3" xfId="29388" xr:uid="{7A1A72CE-635A-4451-BED3-3FCD21BB4BF3}"/>
    <cellStyle name="Normal 21 20 5 4" xfId="29389" xr:uid="{A448FB07-AAC0-4218-8C54-F66014C39D3B}"/>
    <cellStyle name="Normal 21 20 5 5" xfId="29390" xr:uid="{A2F8CBEB-0695-482A-AD46-19D15D79E7AD}"/>
    <cellStyle name="Normal 21 20 5 6" xfId="29391" xr:uid="{014C8D65-6CCC-476E-BAB3-B88C5CE23F35}"/>
    <cellStyle name="Normal 21 20 6" xfId="29392" xr:uid="{435B01CB-F643-4CA5-8285-83E4B5569FE0}"/>
    <cellStyle name="Normal 21 20 6 2" xfId="29393" xr:uid="{D6028223-CE7E-444A-8B51-79F99B941E39}"/>
    <cellStyle name="Normal 21 20 6 3" xfId="29394" xr:uid="{FB71D391-E530-4F70-B805-3D67984072A0}"/>
    <cellStyle name="Normal 21 20 6 4" xfId="29395" xr:uid="{CD4BF208-C88A-4D2E-B351-CA0C08050B21}"/>
    <cellStyle name="Normal 21 20 6 5" xfId="29396" xr:uid="{9E1A6DE0-FCFB-4190-AC82-C15BDB8CA72E}"/>
    <cellStyle name="Normal 21 20 6 6" xfId="29397" xr:uid="{177153DD-B90D-4279-9604-79377F14D0D4}"/>
    <cellStyle name="Normal 21 20 7" xfId="29398" xr:uid="{CF95579A-9AC4-40E7-9D1A-81F4F08A853E}"/>
    <cellStyle name="Normal 21 20 7 2" xfId="29399" xr:uid="{E4801CC0-8D5E-44F4-9AA5-CEC65E7FAF1A}"/>
    <cellStyle name="Normal 21 20 7 3" xfId="29400" xr:uid="{AB5B946C-95EE-4AC6-BC09-094F4A8A5EED}"/>
    <cellStyle name="Normal 21 20 7 4" xfId="29401" xr:uid="{9D80CC58-1CF9-4518-B1DF-16D3117202FD}"/>
    <cellStyle name="Normal 21 20 7 5" xfId="29402" xr:uid="{74E2C0FA-8A47-46B9-A469-97758C2EF997}"/>
    <cellStyle name="Normal 21 20 7 6" xfId="29403" xr:uid="{8F06B3FD-60D0-47DB-8D16-C701326EED16}"/>
    <cellStyle name="Normal 21 20 8" xfId="29404" xr:uid="{857B49D3-A374-4644-8298-30D187298F48}"/>
    <cellStyle name="Normal 21 20 8 2" xfId="29405" xr:uid="{95EBE77C-0F89-435F-8468-96225C871164}"/>
    <cellStyle name="Normal 21 20 8 3" xfId="29406" xr:uid="{0C0EB306-768B-429F-AD9C-C2D243D63BE8}"/>
    <cellStyle name="Normal 21 20 8 4" xfId="29407" xr:uid="{C2B863FC-0011-4D82-8B0E-14C5BBCF1FE6}"/>
    <cellStyle name="Normal 21 20 8 5" xfId="29408" xr:uid="{174C0A85-0352-48C9-84EF-AF59A5F16810}"/>
    <cellStyle name="Normal 21 20 8 6" xfId="29409" xr:uid="{48D052D7-4251-4E43-BCB7-510D43265180}"/>
    <cellStyle name="Normal 21 20 9" xfId="29410" xr:uid="{5A42490E-F560-4951-B8A8-41DE4121147C}"/>
    <cellStyle name="Normal 21 21" xfId="29411" xr:uid="{E07AB01E-EE3A-4305-BCA3-ECAB6305EC85}"/>
    <cellStyle name="Normal 21 21 10" xfId="29412" xr:uid="{9B0C960E-ADFC-4EF0-AC56-D92D07023773}"/>
    <cellStyle name="Normal 21 21 11" xfId="29413" xr:uid="{893DE112-C65F-46BF-9CB3-C350D5E10576}"/>
    <cellStyle name="Normal 21 21 12" xfId="29414" xr:uid="{E778F06B-5327-4925-B335-3597AC87ADB8}"/>
    <cellStyle name="Normal 21 21 13" xfId="29415" xr:uid="{41238834-57C8-4748-BE43-AAA42D82E073}"/>
    <cellStyle name="Normal 21 21 2" xfId="29416" xr:uid="{60B2BEC3-E3AC-4A4D-AA82-70E4A71E9CD8}"/>
    <cellStyle name="Normal 21 21 2 2" xfId="29417" xr:uid="{C9D9006C-F3E5-401E-BDB6-43C0178D67DD}"/>
    <cellStyle name="Normal 21 21 2 3" xfId="29418" xr:uid="{D98EE1C7-1B9D-4C5E-930E-41A4EA9EF6F0}"/>
    <cellStyle name="Normal 21 21 2 4" xfId="29419" xr:uid="{6377F14A-BB58-44E6-8123-8CD5ABFE07D7}"/>
    <cellStyle name="Normal 21 21 2 5" xfId="29420" xr:uid="{8F9F70A1-57BA-4415-B4A3-C634D3A259E5}"/>
    <cellStyle name="Normal 21 21 2 6" xfId="29421" xr:uid="{F69EAA2F-6231-4313-84F1-F993F73456B3}"/>
    <cellStyle name="Normal 21 21 3" xfId="29422" xr:uid="{14CF2098-76D6-417B-BEDF-814AD9AFB8CB}"/>
    <cellStyle name="Normal 21 21 3 2" xfId="29423" xr:uid="{8556B8C8-1E26-42E5-869C-FD2506BD4BB5}"/>
    <cellStyle name="Normal 21 21 3 3" xfId="29424" xr:uid="{506ED13B-3AED-41CF-A5F0-5DF8088FDC0B}"/>
    <cellStyle name="Normal 21 21 3 4" xfId="29425" xr:uid="{3C9BC1D1-F64A-40A1-AE28-60CBF69916EF}"/>
    <cellStyle name="Normal 21 21 3 5" xfId="29426" xr:uid="{8A87ED88-6941-4A72-A97D-904032803DE6}"/>
    <cellStyle name="Normal 21 21 3 6" xfId="29427" xr:uid="{33AB50BB-3ABA-4F21-B43B-569CB7E7A9FC}"/>
    <cellStyle name="Normal 21 21 4" xfId="29428" xr:uid="{28C92130-F843-4C75-991F-BCD94DC47A67}"/>
    <cellStyle name="Normal 21 21 4 2" xfId="29429" xr:uid="{C6BCC23E-9E4B-4661-A19B-52BACC0175FA}"/>
    <cellStyle name="Normal 21 21 4 3" xfId="29430" xr:uid="{3C00B2B9-FF00-45BD-A575-CF7906132145}"/>
    <cellStyle name="Normal 21 21 4 4" xfId="29431" xr:uid="{EC2D64BF-A729-4649-A78A-86819E873879}"/>
    <cellStyle name="Normal 21 21 4 5" xfId="29432" xr:uid="{854A90FE-67C4-4E93-AB40-AA91E9215387}"/>
    <cellStyle name="Normal 21 21 4 6" xfId="29433" xr:uid="{2BCD6E47-7B17-4026-9983-456047213161}"/>
    <cellStyle name="Normal 21 21 5" xfId="29434" xr:uid="{DC645782-9D58-4077-A645-76A56B39D394}"/>
    <cellStyle name="Normal 21 21 5 2" xfId="29435" xr:uid="{D6AF20C1-BDA2-4207-AEA9-3EA43AFA005B}"/>
    <cellStyle name="Normal 21 21 5 3" xfId="29436" xr:uid="{A4FDEAE1-B87E-46B1-98E3-8AC8CCA09655}"/>
    <cellStyle name="Normal 21 21 5 4" xfId="29437" xr:uid="{2704FE05-2EF6-4734-B4C8-EF93B30E39DE}"/>
    <cellStyle name="Normal 21 21 5 5" xfId="29438" xr:uid="{A5482A84-FF8B-4110-8789-84ECAF6D6F6C}"/>
    <cellStyle name="Normal 21 21 5 6" xfId="29439" xr:uid="{13048CA6-89CD-4587-9B3A-010F03FBBE9A}"/>
    <cellStyle name="Normal 21 21 6" xfId="29440" xr:uid="{878CEEE5-AB50-496D-B22E-CBB3DDF51486}"/>
    <cellStyle name="Normal 21 21 6 2" xfId="29441" xr:uid="{449CBE07-9323-4F45-B0EA-51547AF01259}"/>
    <cellStyle name="Normal 21 21 6 3" xfId="29442" xr:uid="{61D639DA-3A55-4E80-9D58-7D00E9E53A92}"/>
    <cellStyle name="Normal 21 21 6 4" xfId="29443" xr:uid="{39F3E294-4CD2-430D-83B4-A66B93AD26BD}"/>
    <cellStyle name="Normal 21 21 6 5" xfId="29444" xr:uid="{03590B24-8BB0-4A20-946D-B16AA914F6B5}"/>
    <cellStyle name="Normal 21 21 6 6" xfId="29445" xr:uid="{F930C9D3-91F6-4B8C-8ACA-CEB00A47020C}"/>
    <cellStyle name="Normal 21 21 7" xfId="29446" xr:uid="{7DF117A6-C0EF-46D6-9D57-03E2A2600747}"/>
    <cellStyle name="Normal 21 21 7 2" xfId="29447" xr:uid="{17F0120D-312E-413D-A213-FC109FBE9B72}"/>
    <cellStyle name="Normal 21 21 7 3" xfId="29448" xr:uid="{140E1A4F-3861-4164-A1F2-A0857B30B921}"/>
    <cellStyle name="Normal 21 21 7 4" xfId="29449" xr:uid="{B1CCD246-F128-4832-9654-E71449B0CD51}"/>
    <cellStyle name="Normal 21 21 7 5" xfId="29450" xr:uid="{19AEB129-7949-4941-AA86-097A163872D6}"/>
    <cellStyle name="Normal 21 21 7 6" xfId="29451" xr:uid="{09BA02B7-A173-4F8B-82CA-F88991405B16}"/>
    <cellStyle name="Normal 21 21 8" xfId="29452" xr:uid="{A7F2A536-916A-42B8-988D-B8672EBD8608}"/>
    <cellStyle name="Normal 21 21 8 2" xfId="29453" xr:uid="{F9AE1D8C-6470-4B33-A5A1-F37204DDAA17}"/>
    <cellStyle name="Normal 21 21 8 3" xfId="29454" xr:uid="{5408484C-D4F4-4A4D-91BE-6D86C2A706B8}"/>
    <cellStyle name="Normal 21 21 8 4" xfId="29455" xr:uid="{659D7514-09B8-408F-84CB-B70F91FF30CE}"/>
    <cellStyle name="Normal 21 21 8 5" xfId="29456" xr:uid="{5967D7F8-4120-40C4-85B6-4056C197DD32}"/>
    <cellStyle name="Normal 21 21 8 6" xfId="29457" xr:uid="{80BFAC25-3EDF-4E3D-B0CC-50B27EC115D0}"/>
    <cellStyle name="Normal 21 21 9" xfId="29458" xr:uid="{02AF370D-5C5B-4FDC-9BA2-87EB3B01F933}"/>
    <cellStyle name="Normal 21 22" xfId="29459" xr:uid="{5A2192BA-E4B3-4FBD-AE88-86F64FC85345}"/>
    <cellStyle name="Normal 21 22 10" xfId="29460" xr:uid="{677C42B3-8984-41D6-97E3-AA1D94CFCD5A}"/>
    <cellStyle name="Normal 21 22 11" xfId="29461" xr:uid="{870FA8E5-AF67-42FD-8659-F582522D1FB7}"/>
    <cellStyle name="Normal 21 22 12" xfId="29462" xr:uid="{0CECCF46-2A43-402A-8728-0ED0D32C3322}"/>
    <cellStyle name="Normal 21 22 13" xfId="29463" xr:uid="{9C077F4F-BE39-44B2-B928-C9423082E635}"/>
    <cellStyle name="Normal 21 22 2" xfId="29464" xr:uid="{11CBC819-B01D-43E4-9752-C54AF72D257B}"/>
    <cellStyle name="Normal 21 22 2 2" xfId="29465" xr:uid="{3EEFD2FA-6D32-46FE-BEC5-9E5F1F89B11D}"/>
    <cellStyle name="Normal 21 22 2 3" xfId="29466" xr:uid="{B13586AB-C801-40B3-89A6-DE36EB64F2C0}"/>
    <cellStyle name="Normal 21 22 2 4" xfId="29467" xr:uid="{0F778476-6932-4A3E-83E0-7808C2A87390}"/>
    <cellStyle name="Normal 21 22 2 5" xfId="29468" xr:uid="{31A2C7C8-4F08-4379-9F26-4F74BCE05FE4}"/>
    <cellStyle name="Normal 21 22 2 6" xfId="29469" xr:uid="{9E62ECDF-B313-4D3A-9427-16AB60E33DF9}"/>
    <cellStyle name="Normal 21 22 3" xfId="29470" xr:uid="{A1A83427-0713-4A69-9DDB-137FCD1222D9}"/>
    <cellStyle name="Normal 21 22 3 2" xfId="29471" xr:uid="{BCB6A884-8075-4028-BA21-5906EF7B4D95}"/>
    <cellStyle name="Normal 21 22 3 3" xfId="29472" xr:uid="{A99EE44A-6003-4DDE-92F2-AFF62976D16A}"/>
    <cellStyle name="Normal 21 22 3 4" xfId="29473" xr:uid="{9E190E8E-1141-487F-BFA9-42DE2DBF2245}"/>
    <cellStyle name="Normal 21 22 3 5" xfId="29474" xr:uid="{CDDECE7D-3C20-4498-BC21-AAEF4AFA54F8}"/>
    <cellStyle name="Normal 21 22 3 6" xfId="29475" xr:uid="{2C76A5C6-1D17-4CFF-BF42-DDA9F639CC70}"/>
    <cellStyle name="Normal 21 22 4" xfId="29476" xr:uid="{207F3EB3-613D-4712-96A4-8317DCA2A9D4}"/>
    <cellStyle name="Normal 21 22 4 2" xfId="29477" xr:uid="{CFCBA612-80F3-473A-9C89-A8B68B1F35F9}"/>
    <cellStyle name="Normal 21 22 4 3" xfId="29478" xr:uid="{753AB554-2545-4541-AD21-1798CA4B3441}"/>
    <cellStyle name="Normal 21 22 4 4" xfId="29479" xr:uid="{B87AA964-B817-4E73-96E5-3AC1A29F4757}"/>
    <cellStyle name="Normal 21 22 4 5" xfId="29480" xr:uid="{A8BD0637-30BE-4055-8179-F3B116644487}"/>
    <cellStyle name="Normal 21 22 4 6" xfId="29481" xr:uid="{6642FEE4-D212-4CF8-BD48-08A5D027370C}"/>
    <cellStyle name="Normal 21 22 5" xfId="29482" xr:uid="{662EE350-3112-49E9-9450-AF01F1808953}"/>
    <cellStyle name="Normal 21 22 5 2" xfId="29483" xr:uid="{39275ADB-8389-481B-A451-C788D89BE5B1}"/>
    <cellStyle name="Normal 21 22 5 3" xfId="29484" xr:uid="{1BA63EC1-7428-41A1-8079-476DBE9B54EB}"/>
    <cellStyle name="Normal 21 22 5 4" xfId="29485" xr:uid="{67C44607-7B52-4AD2-A714-4CF831D50617}"/>
    <cellStyle name="Normal 21 22 5 5" xfId="29486" xr:uid="{7182F2FC-7917-4325-985C-ECB6EFBFC7C7}"/>
    <cellStyle name="Normal 21 22 5 6" xfId="29487" xr:uid="{8C4CD841-FA56-47B1-AA43-8E388DDCEA24}"/>
    <cellStyle name="Normal 21 22 6" xfId="29488" xr:uid="{1E27A107-A1CD-485B-8A40-84836FB43C74}"/>
    <cellStyle name="Normal 21 22 6 2" xfId="29489" xr:uid="{76C66697-E3A4-40B7-8BFE-326B95B45B2D}"/>
    <cellStyle name="Normal 21 22 6 3" xfId="29490" xr:uid="{455E1849-45CE-4FEC-B4CF-65A8A4AECA16}"/>
    <cellStyle name="Normal 21 22 6 4" xfId="29491" xr:uid="{FB6A6B86-AB1A-4D3C-9DF8-F38883CAE94E}"/>
    <cellStyle name="Normal 21 22 6 5" xfId="29492" xr:uid="{6851CA23-95C5-48AB-9174-90D8FEF87419}"/>
    <cellStyle name="Normal 21 22 6 6" xfId="29493" xr:uid="{2BD98139-0475-487E-9D62-D16F0DC6F189}"/>
    <cellStyle name="Normal 21 22 7" xfId="29494" xr:uid="{1AB98BA9-A8E0-46B5-9FAB-1C8735797770}"/>
    <cellStyle name="Normal 21 22 7 2" xfId="29495" xr:uid="{ACEEAE71-EBED-49D0-B171-6CE43D51E8A0}"/>
    <cellStyle name="Normal 21 22 7 3" xfId="29496" xr:uid="{70890689-F46E-4D1D-B17E-1EFBF8359D46}"/>
    <cellStyle name="Normal 21 22 7 4" xfId="29497" xr:uid="{321DAD6F-B785-47F0-8B91-3C43BE919BFF}"/>
    <cellStyle name="Normal 21 22 7 5" xfId="29498" xr:uid="{94865054-AAC1-4CCB-8526-25717F91FDE4}"/>
    <cellStyle name="Normal 21 22 7 6" xfId="29499" xr:uid="{C632D8B7-2B77-4600-A65B-B4FC26E37C7B}"/>
    <cellStyle name="Normal 21 22 8" xfId="29500" xr:uid="{1174AD4B-EAAC-40E7-A810-FE7BEBE20D31}"/>
    <cellStyle name="Normal 21 22 8 2" xfId="29501" xr:uid="{054B33B1-0248-4820-83B6-9C8FE4F6401B}"/>
    <cellStyle name="Normal 21 22 8 3" xfId="29502" xr:uid="{3AB47768-5609-4DB4-AEDD-EB2AA133A5A6}"/>
    <cellStyle name="Normal 21 22 8 4" xfId="29503" xr:uid="{903B551E-E185-47BB-BD12-4127AD2D543D}"/>
    <cellStyle name="Normal 21 22 8 5" xfId="29504" xr:uid="{E3179F80-D6C4-4271-A3B7-DC7DFE9AF33F}"/>
    <cellStyle name="Normal 21 22 8 6" xfId="29505" xr:uid="{3E1DC11B-6F79-44C9-AFFB-5DFB7479DDB9}"/>
    <cellStyle name="Normal 21 22 9" xfId="29506" xr:uid="{5CDC9F21-BF54-4280-95AC-9A49BB0EA814}"/>
    <cellStyle name="Normal 21 23" xfId="29507" xr:uid="{0B1D084B-EE13-4DB1-96DE-41016BBEDCD9}"/>
    <cellStyle name="Normal 21 23 10" xfId="29508" xr:uid="{AF1AD5F5-F54D-430B-9504-5D63D413F7A4}"/>
    <cellStyle name="Normal 21 23 11" xfId="29509" xr:uid="{FD490635-8355-4DAE-AE90-EB37388AA765}"/>
    <cellStyle name="Normal 21 23 12" xfId="29510" xr:uid="{41CC2ACC-065A-4B83-9E9B-9DDC6F634687}"/>
    <cellStyle name="Normal 21 23 13" xfId="29511" xr:uid="{8E531034-EBEC-403F-8954-31329604925B}"/>
    <cellStyle name="Normal 21 23 2" xfId="29512" xr:uid="{A17C7763-09F4-4A5D-A34A-068CA251DE89}"/>
    <cellStyle name="Normal 21 23 2 2" xfId="29513" xr:uid="{5FA60C1D-EA98-4059-BB32-3B8D0BD3CF61}"/>
    <cellStyle name="Normal 21 23 2 3" xfId="29514" xr:uid="{23329EC7-C4DA-40C3-B769-95A2024BB6E6}"/>
    <cellStyle name="Normal 21 23 2 4" xfId="29515" xr:uid="{C8973825-D932-44BF-A5FB-8C6D504FA7B3}"/>
    <cellStyle name="Normal 21 23 2 5" xfId="29516" xr:uid="{FCBC1661-5649-4D52-A4FD-662818648735}"/>
    <cellStyle name="Normal 21 23 2 6" xfId="29517" xr:uid="{C22CAF83-655D-43D6-99EB-B3EB4DE2E3A5}"/>
    <cellStyle name="Normal 21 23 3" xfId="29518" xr:uid="{956C8460-F1C2-4E92-A9FE-EAAEAB42122D}"/>
    <cellStyle name="Normal 21 23 3 2" xfId="29519" xr:uid="{7025940B-34C7-4703-AD7A-29AC46DABEF0}"/>
    <cellStyle name="Normal 21 23 3 3" xfId="29520" xr:uid="{04A98A27-6E27-42C7-A4BF-F47A38CA3BB2}"/>
    <cellStyle name="Normal 21 23 3 4" xfId="29521" xr:uid="{2591A9C4-1063-4E29-96A1-CC4E1328EB3B}"/>
    <cellStyle name="Normal 21 23 3 5" xfId="29522" xr:uid="{CEB48FD2-76E6-454C-A8FA-F43A3D36281F}"/>
    <cellStyle name="Normal 21 23 3 6" xfId="29523" xr:uid="{D2F86884-CB54-446A-A11E-123AFBBC2947}"/>
    <cellStyle name="Normal 21 23 4" xfId="29524" xr:uid="{A90DBAAB-3935-4BE4-B9BC-8E9FF92CE7A4}"/>
    <cellStyle name="Normal 21 23 4 2" xfId="29525" xr:uid="{CD63C5D6-2CD8-43EE-9582-A013E66F05CC}"/>
    <cellStyle name="Normal 21 23 4 3" xfId="29526" xr:uid="{30710B15-04BA-4091-BFEA-9DC57BAF517C}"/>
    <cellStyle name="Normal 21 23 4 4" xfId="29527" xr:uid="{58CEF238-D3A5-46F5-B56F-36699EB5DC34}"/>
    <cellStyle name="Normal 21 23 4 5" xfId="29528" xr:uid="{01B7B640-037D-4179-ABAC-A1C530BC9E3D}"/>
    <cellStyle name="Normal 21 23 4 6" xfId="29529" xr:uid="{781418E3-2982-4C69-BDFA-5F575BBF310C}"/>
    <cellStyle name="Normal 21 23 5" xfId="29530" xr:uid="{64A855D7-B953-470F-9401-51BAEAB713F4}"/>
    <cellStyle name="Normal 21 23 5 2" xfId="29531" xr:uid="{847A4DD8-2C95-4004-80E1-9CD27E7050DC}"/>
    <cellStyle name="Normal 21 23 5 3" xfId="29532" xr:uid="{680FD6C3-E1C2-4B69-90DB-A2A6BA0C1FC2}"/>
    <cellStyle name="Normal 21 23 5 4" xfId="29533" xr:uid="{A4039D19-8E04-4F90-AB6F-B957698B28CD}"/>
    <cellStyle name="Normal 21 23 5 5" xfId="29534" xr:uid="{880EBAFC-C7F4-4153-A8D6-8E6789B59973}"/>
    <cellStyle name="Normal 21 23 5 6" xfId="29535" xr:uid="{FE3CE352-A4FC-4633-8BF8-4F41C9AF5C50}"/>
    <cellStyle name="Normal 21 23 6" xfId="29536" xr:uid="{2215961F-A0AE-440E-8E05-3D90A076CD73}"/>
    <cellStyle name="Normal 21 23 6 2" xfId="29537" xr:uid="{50C78DC7-BC03-48BB-8B9D-FC2AF11CD395}"/>
    <cellStyle name="Normal 21 23 6 3" xfId="29538" xr:uid="{D1036FD7-2529-4819-996A-85B40E2C9597}"/>
    <cellStyle name="Normal 21 23 6 4" xfId="29539" xr:uid="{81C0E605-8C99-4A8A-9260-80D7CB3F2591}"/>
    <cellStyle name="Normal 21 23 6 5" xfId="29540" xr:uid="{AF4B57A8-9B73-4820-BF86-1DD17B343EAB}"/>
    <cellStyle name="Normal 21 23 6 6" xfId="29541" xr:uid="{087C7C0E-6582-49F4-83CF-B1CA0530EC66}"/>
    <cellStyle name="Normal 21 23 7" xfId="29542" xr:uid="{C8E9832E-1008-4750-BE80-A73B800AF723}"/>
    <cellStyle name="Normal 21 23 7 2" xfId="29543" xr:uid="{DEE5D5B2-E83E-4425-9421-F246BAD13474}"/>
    <cellStyle name="Normal 21 23 7 3" xfId="29544" xr:uid="{C504AB60-AC91-41BB-9987-7621AB23F30D}"/>
    <cellStyle name="Normal 21 23 7 4" xfId="29545" xr:uid="{FB58A0EF-880F-40F2-A665-1313E34181F0}"/>
    <cellStyle name="Normal 21 23 7 5" xfId="29546" xr:uid="{E1C55E99-9DCC-4CB3-9731-920250572A6D}"/>
    <cellStyle name="Normal 21 23 7 6" xfId="29547" xr:uid="{1D0E5DA4-5D6B-4B39-A95C-639B3D0EA076}"/>
    <cellStyle name="Normal 21 23 8" xfId="29548" xr:uid="{E1027621-CDBA-4522-A874-ABF386D31264}"/>
    <cellStyle name="Normal 21 23 8 2" xfId="29549" xr:uid="{669A310E-9C84-4736-A4CA-5B583CF4D366}"/>
    <cellStyle name="Normal 21 23 8 3" xfId="29550" xr:uid="{B3B1A1F5-3805-49F5-9249-BB4B5EF9A04A}"/>
    <cellStyle name="Normal 21 23 8 4" xfId="29551" xr:uid="{42DE31B3-8551-4C5C-8EFB-03821F7C328A}"/>
    <cellStyle name="Normal 21 23 8 5" xfId="29552" xr:uid="{AC962A84-B2CE-47F9-84A8-D4D42922B57F}"/>
    <cellStyle name="Normal 21 23 8 6" xfId="29553" xr:uid="{46503405-B7AC-4522-97B3-37615363B33A}"/>
    <cellStyle name="Normal 21 23 9" xfId="29554" xr:uid="{1D66234E-EF5D-46F8-A629-9757EE26A301}"/>
    <cellStyle name="Normal 21 24" xfId="29555" xr:uid="{6EDC208D-A374-441C-8596-D50BC45E9F7D}"/>
    <cellStyle name="Normal 21 24 10" xfId="29556" xr:uid="{AA4F8A4A-A1A1-4C3B-BD56-8BFEF3EAEDE9}"/>
    <cellStyle name="Normal 21 24 11" xfId="29557" xr:uid="{26CC9E08-3319-4821-985A-7B5C56D26947}"/>
    <cellStyle name="Normal 21 24 12" xfId="29558" xr:uid="{57EDA920-CC5C-4253-9413-73DD4D54C927}"/>
    <cellStyle name="Normal 21 24 13" xfId="29559" xr:uid="{CB47E160-AA2B-4961-B98B-5D646F186447}"/>
    <cellStyle name="Normal 21 24 2" xfId="29560" xr:uid="{CBFD9637-83C9-44FB-A448-D850529A530E}"/>
    <cellStyle name="Normal 21 24 2 2" xfId="29561" xr:uid="{678B2534-4234-4819-ACA4-558A03A1E554}"/>
    <cellStyle name="Normal 21 24 2 3" xfId="29562" xr:uid="{96494015-FB5C-46D8-B602-F67FCC3CCFFB}"/>
    <cellStyle name="Normal 21 24 2 4" xfId="29563" xr:uid="{C4822D80-9F96-4430-B35C-A5FF150537A9}"/>
    <cellStyle name="Normal 21 24 2 5" xfId="29564" xr:uid="{8D28DAC6-BAC6-43BE-B34E-7DC48645E2EB}"/>
    <cellStyle name="Normal 21 24 2 6" xfId="29565" xr:uid="{5391BA82-4400-4BDE-8936-4122371E1F5F}"/>
    <cellStyle name="Normal 21 24 3" xfId="29566" xr:uid="{4373662E-8BCE-4EF0-A421-71DE7FCB93A3}"/>
    <cellStyle name="Normal 21 24 3 2" xfId="29567" xr:uid="{5AE5136C-F56B-457E-BBDC-94C5C8460EDB}"/>
    <cellStyle name="Normal 21 24 3 3" xfId="29568" xr:uid="{1385E936-D3C5-43E0-A61C-874371F247E7}"/>
    <cellStyle name="Normal 21 24 3 4" xfId="29569" xr:uid="{C410E535-47F3-4BA4-B339-DEA6665411CB}"/>
    <cellStyle name="Normal 21 24 3 5" xfId="29570" xr:uid="{58F3CFBD-7EEE-4874-AD1B-F34B2A1B27FF}"/>
    <cellStyle name="Normal 21 24 3 6" xfId="29571" xr:uid="{3484FBC8-6787-4F06-90AC-40A16CF99E60}"/>
    <cellStyle name="Normal 21 24 4" xfId="29572" xr:uid="{CE14258B-B719-4172-BF4F-DD5D8EC27B69}"/>
    <cellStyle name="Normal 21 24 4 2" xfId="29573" xr:uid="{B23B9C4B-3674-4280-9C3E-25AB4C6800FE}"/>
    <cellStyle name="Normal 21 24 4 3" xfId="29574" xr:uid="{5A610A2D-204E-4FEB-B717-9092B67661AC}"/>
    <cellStyle name="Normal 21 24 4 4" xfId="29575" xr:uid="{B57BCAF3-9DB3-4926-A394-15AAAB20320C}"/>
    <cellStyle name="Normal 21 24 4 5" xfId="29576" xr:uid="{5F5E5826-FEE3-4BD2-A889-5E3D2063A617}"/>
    <cellStyle name="Normal 21 24 4 6" xfId="29577" xr:uid="{7EE8F4FD-6346-4570-A136-6A466B22E9F6}"/>
    <cellStyle name="Normal 21 24 5" xfId="29578" xr:uid="{7844E11B-84AE-49FF-B17E-D4C9991A1864}"/>
    <cellStyle name="Normal 21 24 5 2" xfId="29579" xr:uid="{60E58C6D-5796-428B-8DF5-5B75557EA8C3}"/>
    <cellStyle name="Normal 21 24 5 3" xfId="29580" xr:uid="{038A6032-079C-49C0-9F36-051C8FA72B8C}"/>
    <cellStyle name="Normal 21 24 5 4" xfId="29581" xr:uid="{C05F0160-5868-4C65-987B-85C4B6F59C8F}"/>
    <cellStyle name="Normal 21 24 5 5" xfId="29582" xr:uid="{E6881DF7-1392-41D7-975B-7FD49A1D1D79}"/>
    <cellStyle name="Normal 21 24 5 6" xfId="29583" xr:uid="{5B11DC69-AE17-4164-8212-676D86700D6B}"/>
    <cellStyle name="Normal 21 24 6" xfId="29584" xr:uid="{5BC96A83-8B99-4BD9-A03F-6AE1B28F49E1}"/>
    <cellStyle name="Normal 21 24 6 2" xfId="29585" xr:uid="{E8DB35FE-759C-427D-9DE4-439A83B0693F}"/>
    <cellStyle name="Normal 21 24 6 3" xfId="29586" xr:uid="{CD27023B-B7CA-47A7-819B-E32B87F02400}"/>
    <cellStyle name="Normal 21 24 6 4" xfId="29587" xr:uid="{181A83FE-70B5-4827-81CB-F31F17F7D3A2}"/>
    <cellStyle name="Normal 21 24 6 5" xfId="29588" xr:uid="{A20EA523-5144-44F6-A493-5641630A2021}"/>
    <cellStyle name="Normal 21 24 6 6" xfId="29589" xr:uid="{493E8C71-E31C-4DDD-93F6-5A37085093D3}"/>
    <cellStyle name="Normal 21 24 7" xfId="29590" xr:uid="{D657F035-89DF-4E73-92DB-6DC4DF6AF6AA}"/>
    <cellStyle name="Normal 21 24 7 2" xfId="29591" xr:uid="{D9599AC4-6EDE-4CEB-8F20-62E288C70242}"/>
    <cellStyle name="Normal 21 24 7 3" xfId="29592" xr:uid="{17AC2054-9D8D-4319-BACC-09BFD38C1337}"/>
    <cellStyle name="Normal 21 24 7 4" xfId="29593" xr:uid="{810CDD2C-4A70-4E9F-8FE1-87B863DCF8DE}"/>
    <cellStyle name="Normal 21 24 7 5" xfId="29594" xr:uid="{4D90DD7B-B42E-4915-8294-5F35623633D1}"/>
    <cellStyle name="Normal 21 24 7 6" xfId="29595" xr:uid="{30D2A674-A2ED-4BD1-BB93-0552E96EF264}"/>
    <cellStyle name="Normal 21 24 8" xfId="29596" xr:uid="{5E720E7F-45FF-4879-AD1A-69BAEFD16DFD}"/>
    <cellStyle name="Normal 21 24 8 2" xfId="29597" xr:uid="{41F8D17E-1759-450D-8012-92783B8559D4}"/>
    <cellStyle name="Normal 21 24 8 3" xfId="29598" xr:uid="{C89B2018-35BB-4F11-AB4A-9841564C0640}"/>
    <cellStyle name="Normal 21 24 8 4" xfId="29599" xr:uid="{D15B9148-EE29-49D9-B113-981E8DF485B5}"/>
    <cellStyle name="Normal 21 24 8 5" xfId="29600" xr:uid="{EF2E27BB-A813-4DF1-BBDD-CCF3F5D60179}"/>
    <cellStyle name="Normal 21 24 8 6" xfId="29601" xr:uid="{C61E27E0-6C42-4995-B6FA-0C6011593823}"/>
    <cellStyle name="Normal 21 24 9" xfId="29602" xr:uid="{BDBFC163-490F-44AC-8CBD-E9CD224129CF}"/>
    <cellStyle name="Normal 21 25" xfId="29603" xr:uid="{E383B6D3-6F31-4B6B-9CA7-1FA0F40A954A}"/>
    <cellStyle name="Normal 21 25 2" xfId="29604" xr:uid="{FB4D86E0-AA00-48A7-A821-3678A0BA0B9F}"/>
    <cellStyle name="Normal 21 25 3" xfId="29605" xr:uid="{5DCCC2C2-C43B-453A-815A-25CE6E9BFBFB}"/>
    <cellStyle name="Normal 21 25 4" xfId="29606" xr:uid="{A838F69F-0968-4E88-8385-B2090827E3E2}"/>
    <cellStyle name="Normal 21 25 5" xfId="29607" xr:uid="{173C67B6-D297-49D7-AE94-339B2CC52B20}"/>
    <cellStyle name="Normal 21 25 6" xfId="29608" xr:uid="{519D61D5-289D-43AB-93F2-195105F2512E}"/>
    <cellStyle name="Normal 21 26" xfId="29609" xr:uid="{E3230EC3-E74D-48C2-A6D0-AF3293272F37}"/>
    <cellStyle name="Normal 21 26 2" xfId="29610" xr:uid="{D2C37483-AE0B-40D0-AFB0-042B4911C314}"/>
    <cellStyle name="Normal 21 26 3" xfId="29611" xr:uid="{8D73E72C-0919-427F-BE6C-66ACC9A8905F}"/>
    <cellStyle name="Normal 21 26 4" xfId="29612" xr:uid="{18B9F97A-0FA2-4DF0-9144-923F029168C3}"/>
    <cellStyle name="Normal 21 26 5" xfId="29613" xr:uid="{C8720166-8976-47D7-8F12-51856FA98CAB}"/>
    <cellStyle name="Normal 21 26 6" xfId="29614" xr:uid="{0C837695-351E-4E91-815D-A0E69D01CC3E}"/>
    <cellStyle name="Normal 21 27" xfId="29615" xr:uid="{6196E557-73CE-49BD-81B3-67F60A6B40F9}"/>
    <cellStyle name="Normal 21 27 2" xfId="29616" xr:uid="{2FE28B65-758C-4588-B1E3-BFF3005D0CFC}"/>
    <cellStyle name="Normal 21 27 3" xfId="29617" xr:uid="{6C8C6DED-103E-45A3-B839-C3CCC176B612}"/>
    <cellStyle name="Normal 21 27 4" xfId="29618" xr:uid="{36CB9171-7DD5-4004-8C56-0740A8AC81B4}"/>
    <cellStyle name="Normal 21 27 5" xfId="29619" xr:uid="{E87189C8-EFB6-4053-9C1D-9663EA2BD04B}"/>
    <cellStyle name="Normal 21 27 6" xfId="29620" xr:uid="{335DDACD-EC2C-4E83-8070-D073A606AC98}"/>
    <cellStyle name="Normal 21 28" xfId="29621" xr:uid="{761EACE9-6ADD-4F31-82FA-95BA5478546C}"/>
    <cellStyle name="Normal 21 28 2" xfId="29622" xr:uid="{9998FCFF-864F-440C-85E7-44C4098EA581}"/>
    <cellStyle name="Normal 21 28 3" xfId="29623" xr:uid="{3D646663-95DF-4B1F-9901-F7BB52CABA76}"/>
    <cellStyle name="Normal 21 28 4" xfId="29624" xr:uid="{2F42436D-A3D9-460C-8C37-A066486188B4}"/>
    <cellStyle name="Normal 21 28 5" xfId="29625" xr:uid="{A929E529-9328-4C18-BCEE-07E615E88514}"/>
    <cellStyle name="Normal 21 28 6" xfId="29626" xr:uid="{2169F2C9-AAFD-4C42-9576-F0C4B76E223A}"/>
    <cellStyle name="Normal 21 29" xfId="29627" xr:uid="{A5551A34-54DE-44F6-B76C-9601922D910F}"/>
    <cellStyle name="Normal 21 29 2" xfId="29628" xr:uid="{7285FE92-FB45-4533-98E8-1DD50AC50AEE}"/>
    <cellStyle name="Normal 21 29 3" xfId="29629" xr:uid="{CC167719-4027-481D-AB8C-F3A0308E6AB9}"/>
    <cellStyle name="Normal 21 29 4" xfId="29630" xr:uid="{CA0B2E6C-8D89-4CAB-BAD5-D92B1D0EC8C7}"/>
    <cellStyle name="Normal 21 29 5" xfId="29631" xr:uid="{6394FA10-4150-4FE0-B1DD-4D304C773BC2}"/>
    <cellStyle name="Normal 21 29 6" xfId="29632" xr:uid="{3A208ED1-8FC2-4CDF-A69D-425C911F5CCE}"/>
    <cellStyle name="Normal 21 3" xfId="29633" xr:uid="{F3823BBE-6DE5-4D92-8A64-EA06B2E3BCFD}"/>
    <cellStyle name="Normal 21 3 10" xfId="29634" xr:uid="{5C1B4224-464E-41DE-90EB-767B24955DDE}"/>
    <cellStyle name="Normal 21 3 11" xfId="29635" xr:uid="{24568A46-FB4C-4503-B385-E2ACF53F2FA5}"/>
    <cellStyle name="Normal 21 3 12" xfId="29636" xr:uid="{EF11FD93-C649-4272-803E-DECC1EE5F081}"/>
    <cellStyle name="Normal 21 3 13" xfId="29637" xr:uid="{1C0B9FCE-BC7E-4FD6-93D1-20600D85ACDA}"/>
    <cellStyle name="Normal 21 3 2" xfId="29638" xr:uid="{58DC216F-AABC-48B5-831E-4B3045AF3DD1}"/>
    <cellStyle name="Normal 21 3 2 2" xfId="29639" xr:uid="{6A80D905-EEFF-4C19-A004-A9443CC561E3}"/>
    <cellStyle name="Normal 21 3 2 3" xfId="29640" xr:uid="{80C5A3C3-F0F7-4E2E-ACF4-B387C9D86AC5}"/>
    <cellStyle name="Normal 21 3 2 4" xfId="29641" xr:uid="{2C0E8DA8-4E78-463C-AEAA-7DBD8F6A9328}"/>
    <cellStyle name="Normal 21 3 2 5" xfId="29642" xr:uid="{E2F030FC-A629-42B6-A176-145399592BCC}"/>
    <cellStyle name="Normal 21 3 2 6" xfId="29643" xr:uid="{8F841A91-FEC1-40F1-A1EA-B1CD5E7AEE6B}"/>
    <cellStyle name="Normal 21 3 3" xfId="29644" xr:uid="{2A76FE47-0BCD-4B86-89FB-F7957974E0EB}"/>
    <cellStyle name="Normal 21 3 3 2" xfId="29645" xr:uid="{999B9BFB-B8BB-4BEA-A494-F4693272CCFB}"/>
    <cellStyle name="Normal 21 3 3 3" xfId="29646" xr:uid="{D9EDE0B9-31F7-4BA6-9FD1-C34852F7875B}"/>
    <cellStyle name="Normal 21 3 3 4" xfId="29647" xr:uid="{0D0BC5ED-7478-4CC3-B5D2-6D1740E0ED9E}"/>
    <cellStyle name="Normal 21 3 3 5" xfId="29648" xr:uid="{0CF1F974-8C7F-4560-B692-13FB829AB3B7}"/>
    <cellStyle name="Normal 21 3 3 6" xfId="29649" xr:uid="{EAB43CB6-6010-4813-AD24-77BC3922D997}"/>
    <cellStyle name="Normal 21 3 4" xfId="29650" xr:uid="{CA78A45B-42D3-4B98-8CF0-961F3B71A2BA}"/>
    <cellStyle name="Normal 21 3 4 2" xfId="29651" xr:uid="{5773939B-0596-443E-ABCF-549059E1B2BA}"/>
    <cellStyle name="Normal 21 3 4 3" xfId="29652" xr:uid="{95D8B880-5421-4398-8FDE-D0FEC54B7BDF}"/>
    <cellStyle name="Normal 21 3 4 4" xfId="29653" xr:uid="{74067E15-E133-4BBA-A0B0-074A3D7197E0}"/>
    <cellStyle name="Normal 21 3 4 5" xfId="29654" xr:uid="{70DADC7F-1620-42EA-9E8E-DCEBD1A2AD50}"/>
    <cellStyle name="Normal 21 3 4 6" xfId="29655" xr:uid="{C71C9A11-000D-49A8-AE3A-FD496A692B48}"/>
    <cellStyle name="Normal 21 3 5" xfId="29656" xr:uid="{AA7233D0-80B3-4982-AA11-77FFAA95665F}"/>
    <cellStyle name="Normal 21 3 5 2" xfId="29657" xr:uid="{DCD0CE2B-A887-4300-912B-F67DC53362D8}"/>
    <cellStyle name="Normal 21 3 5 3" xfId="29658" xr:uid="{C793F91B-69EA-4AF2-AF2B-EE39114F8D4B}"/>
    <cellStyle name="Normal 21 3 5 4" xfId="29659" xr:uid="{DAF5FD8D-44A1-4123-A4FE-0F62862BDD41}"/>
    <cellStyle name="Normal 21 3 5 5" xfId="29660" xr:uid="{F716446A-0090-4C53-93B2-8E0CD4AD6B98}"/>
    <cellStyle name="Normal 21 3 5 6" xfId="29661" xr:uid="{ED46EB08-CA61-4BAD-839A-E7A6906E90F0}"/>
    <cellStyle name="Normal 21 3 6" xfId="29662" xr:uid="{2E5A897F-05ED-4703-91CB-596C0CC12C46}"/>
    <cellStyle name="Normal 21 3 6 2" xfId="29663" xr:uid="{E0F6A488-7080-4A87-9278-939163D9A24F}"/>
    <cellStyle name="Normal 21 3 6 3" xfId="29664" xr:uid="{8E647D3C-A7FF-4A6C-AC9C-7B8DE75C275D}"/>
    <cellStyle name="Normal 21 3 6 4" xfId="29665" xr:uid="{E14FB14B-153A-49B4-8E99-89EAFC02CE2F}"/>
    <cellStyle name="Normal 21 3 6 5" xfId="29666" xr:uid="{24FA4E75-6072-4A3A-9006-6013D9A99C60}"/>
    <cellStyle name="Normal 21 3 6 6" xfId="29667" xr:uid="{75169427-79F4-4906-82DD-23214DE6082A}"/>
    <cellStyle name="Normal 21 3 7" xfId="29668" xr:uid="{ABA83474-0877-4B0C-9B18-A2F6D3CFA833}"/>
    <cellStyle name="Normal 21 3 7 2" xfId="29669" xr:uid="{20EE8C60-AC42-4FF8-A075-FCD5F66B2108}"/>
    <cellStyle name="Normal 21 3 7 3" xfId="29670" xr:uid="{A47BAD34-1E43-492B-93C5-E681D6612183}"/>
    <cellStyle name="Normal 21 3 7 4" xfId="29671" xr:uid="{EFFB8DED-FF3B-4488-896B-92B75AE4C5EC}"/>
    <cellStyle name="Normal 21 3 7 5" xfId="29672" xr:uid="{8F07B61C-A203-4FCB-BD1F-CC2EAC360B89}"/>
    <cellStyle name="Normal 21 3 7 6" xfId="29673" xr:uid="{E701C63D-C1E1-41FE-896D-FE46F5B42F3B}"/>
    <cellStyle name="Normal 21 3 8" xfId="29674" xr:uid="{88E1BD40-9434-4AAC-BF11-7F00C101B89F}"/>
    <cellStyle name="Normal 21 3 8 2" xfId="29675" xr:uid="{9A11C134-0722-4010-8E00-1FF139EC1E6E}"/>
    <cellStyle name="Normal 21 3 8 3" xfId="29676" xr:uid="{1283B3DF-59AF-4BB7-85F7-A9E1CCDD5551}"/>
    <cellStyle name="Normal 21 3 8 4" xfId="29677" xr:uid="{588EF5BA-F7EA-4A02-BD73-96AB00865DD7}"/>
    <cellStyle name="Normal 21 3 8 5" xfId="29678" xr:uid="{BA46A3E4-F957-47FC-BB45-C8F39F6B03D5}"/>
    <cellStyle name="Normal 21 3 8 6" xfId="29679" xr:uid="{53392C0D-F7B4-48E6-8578-251B0E16C338}"/>
    <cellStyle name="Normal 21 3 9" xfId="29680" xr:uid="{E45AB664-662F-4EEF-9BD0-DF5094B0DB9A}"/>
    <cellStyle name="Normal 21 30" xfId="29681" xr:uid="{307F00A5-2540-4679-AA15-DE228A0DBC76}"/>
    <cellStyle name="Normal 21 30 2" xfId="29682" xr:uid="{36FDE87D-DBA7-42CE-AF79-023F0FAA877A}"/>
    <cellStyle name="Normal 21 30 3" xfId="29683" xr:uid="{60F9718A-FC1D-4C53-807D-66FE5B431518}"/>
    <cellStyle name="Normal 21 30 4" xfId="29684" xr:uid="{1136EB61-2BFF-435D-B748-1B8B9E80498B}"/>
    <cellStyle name="Normal 21 30 5" xfId="29685" xr:uid="{C7E8F6BB-CDEC-43AD-A081-3574428F6729}"/>
    <cellStyle name="Normal 21 30 6" xfId="29686" xr:uid="{BC5CA39B-7043-428E-B912-C4BE6BE2CE77}"/>
    <cellStyle name="Normal 21 31" xfId="29687" xr:uid="{C8EF42D4-79AD-42B8-8EA2-1BE5B855C344}"/>
    <cellStyle name="Normal 21 31 2" xfId="29688" xr:uid="{3835A21C-F1C5-4DF9-B7BB-E9E1A6CFA0C1}"/>
    <cellStyle name="Normal 21 31 3" xfId="29689" xr:uid="{A13ACF26-9810-4FA3-9546-729D8D0C07CA}"/>
    <cellStyle name="Normal 21 31 4" xfId="29690" xr:uid="{A684E1C0-7DE5-407B-A296-DA0AA3673287}"/>
    <cellStyle name="Normal 21 31 5" xfId="29691" xr:uid="{910B08EB-C987-4F00-833F-D95E0663E85C}"/>
    <cellStyle name="Normal 21 31 6" xfId="29692" xr:uid="{6291AF29-60ED-4374-A0C5-0034B986B718}"/>
    <cellStyle name="Normal 21 32" xfId="29693" xr:uid="{0DCF61DF-CC17-423D-B29F-4008A36396BD}"/>
    <cellStyle name="Normal 21 33" xfId="29694" xr:uid="{E36252E1-52E2-4897-ADC4-643250160D07}"/>
    <cellStyle name="Normal 21 34" xfId="29695" xr:uid="{D403B16D-240D-4E68-9988-FF81AABB9C51}"/>
    <cellStyle name="Normal 21 35" xfId="29696" xr:uid="{AB85EF65-E5B6-45EF-816D-12E6D9A41C3B}"/>
    <cellStyle name="Normal 21 36" xfId="29697" xr:uid="{DAAFEF15-5D5B-4930-ACA1-57EEF7EA4462}"/>
    <cellStyle name="Normal 21 4" xfId="29698" xr:uid="{C99328B5-7A78-4531-8274-118A81B0210C}"/>
    <cellStyle name="Normal 21 4 10" xfId="29699" xr:uid="{42CE6B88-3759-4BC9-8217-3683F75BBCFE}"/>
    <cellStyle name="Normal 21 4 11" xfId="29700" xr:uid="{0FE10CE9-EE7B-46CB-9B87-39D089237753}"/>
    <cellStyle name="Normal 21 4 12" xfId="29701" xr:uid="{1934A0A3-CABA-4A89-B453-9B9E259CD167}"/>
    <cellStyle name="Normal 21 4 13" xfId="29702" xr:uid="{FC5AC4CA-3310-46DE-8971-D386F159A500}"/>
    <cellStyle name="Normal 21 4 2" xfId="29703" xr:uid="{FC2855A7-BC9E-40C1-A543-C7F244DB8B4F}"/>
    <cellStyle name="Normal 21 4 2 2" xfId="29704" xr:uid="{53FC2B7A-EE11-4C94-A2F1-E6D600849A4A}"/>
    <cellStyle name="Normal 21 4 2 3" xfId="29705" xr:uid="{8FA44017-8A00-4349-A087-85237AD0D8FA}"/>
    <cellStyle name="Normal 21 4 2 4" xfId="29706" xr:uid="{BE4F7633-A8F7-4D00-A201-7A1CBBE4104C}"/>
    <cellStyle name="Normal 21 4 2 5" xfId="29707" xr:uid="{884579D3-F76A-4510-A481-0820CC2EFBDD}"/>
    <cellStyle name="Normal 21 4 2 6" xfId="29708" xr:uid="{B8382994-5C34-40A6-8F98-F3DC12B2EB47}"/>
    <cellStyle name="Normal 21 4 3" xfId="29709" xr:uid="{628A451A-2BBD-4123-A699-E1A3B9B2BA2D}"/>
    <cellStyle name="Normal 21 4 3 2" xfId="29710" xr:uid="{DFD37B67-3B81-4BF3-9852-A383628571D3}"/>
    <cellStyle name="Normal 21 4 3 3" xfId="29711" xr:uid="{8DDFD94B-FC7E-436F-B854-2D019EF510F0}"/>
    <cellStyle name="Normal 21 4 3 4" xfId="29712" xr:uid="{E6EF1126-1478-4D84-A541-A618F10AF1B3}"/>
    <cellStyle name="Normal 21 4 3 5" xfId="29713" xr:uid="{A7E3B5ED-1030-4BC2-9CA7-CAE94EFF6314}"/>
    <cellStyle name="Normal 21 4 3 6" xfId="29714" xr:uid="{EAF7DAC4-E837-45C9-9F0E-939DC7F79CE5}"/>
    <cellStyle name="Normal 21 4 4" xfId="29715" xr:uid="{352D65BF-C408-4ABA-859D-E5546465A7B7}"/>
    <cellStyle name="Normal 21 4 4 2" xfId="29716" xr:uid="{823B642F-6307-4D58-A098-FBF6646D9E93}"/>
    <cellStyle name="Normal 21 4 4 3" xfId="29717" xr:uid="{7231B5C1-C833-423F-8C94-A77BAA1395B3}"/>
    <cellStyle name="Normal 21 4 4 4" xfId="29718" xr:uid="{8A6FF181-7B0F-4D1F-86FF-DA9A1BB17514}"/>
    <cellStyle name="Normal 21 4 4 5" xfId="29719" xr:uid="{4AA715D0-6AB3-43E7-8CE6-E6353C2F7788}"/>
    <cellStyle name="Normal 21 4 4 6" xfId="29720" xr:uid="{BDEFB8C6-1030-4AEF-AD7C-3A975042E997}"/>
    <cellStyle name="Normal 21 4 5" xfId="29721" xr:uid="{FDE6684C-D759-4EE9-BE71-DCC291C9357E}"/>
    <cellStyle name="Normal 21 4 5 2" xfId="29722" xr:uid="{0FD6F73F-F259-460B-A87E-5CDC9E384843}"/>
    <cellStyle name="Normal 21 4 5 3" xfId="29723" xr:uid="{A094DE30-B5CE-4D4C-886E-0D041260A5E6}"/>
    <cellStyle name="Normal 21 4 5 4" xfId="29724" xr:uid="{B83DE192-DB92-4103-B297-525866DD7FEB}"/>
    <cellStyle name="Normal 21 4 5 5" xfId="29725" xr:uid="{41DD984F-C9BA-4918-8BA5-2924A81645EF}"/>
    <cellStyle name="Normal 21 4 5 6" xfId="29726" xr:uid="{94EA237E-E392-49B9-ABB1-3B93C4B6ABD3}"/>
    <cellStyle name="Normal 21 4 6" xfId="29727" xr:uid="{A201418A-46B5-4AC5-9744-535151AFF82D}"/>
    <cellStyle name="Normal 21 4 6 2" xfId="29728" xr:uid="{2726285C-E374-4558-8873-5361628F0166}"/>
    <cellStyle name="Normal 21 4 6 3" xfId="29729" xr:uid="{FF903D70-8F0F-4260-83F8-14B13E180960}"/>
    <cellStyle name="Normal 21 4 6 4" xfId="29730" xr:uid="{673DD14C-B562-4907-BA9A-C4433994BB90}"/>
    <cellStyle name="Normal 21 4 6 5" xfId="29731" xr:uid="{D42EC2AE-44FE-4A6A-84F6-E49E4D733C8A}"/>
    <cellStyle name="Normal 21 4 6 6" xfId="29732" xr:uid="{B95C9771-1473-455E-9C49-D14DFC3FAF8D}"/>
    <cellStyle name="Normal 21 4 7" xfId="29733" xr:uid="{69BDF765-04AA-4DA3-9366-9E61FFE5E9F8}"/>
    <cellStyle name="Normal 21 4 7 2" xfId="29734" xr:uid="{EC027F39-1F5D-475E-92EB-D2DECF0867A1}"/>
    <cellStyle name="Normal 21 4 7 3" xfId="29735" xr:uid="{F15658C9-BB57-4BA5-B0F5-6D90E9AEC3C0}"/>
    <cellStyle name="Normal 21 4 7 4" xfId="29736" xr:uid="{782535DE-84BC-48EB-BBA6-6D0ABDB7C738}"/>
    <cellStyle name="Normal 21 4 7 5" xfId="29737" xr:uid="{E7DDDC7B-A149-40D2-9BC9-C95E14D12975}"/>
    <cellStyle name="Normal 21 4 7 6" xfId="29738" xr:uid="{351538AC-CA8D-4279-8E3B-4B95DEB4F3D2}"/>
    <cellStyle name="Normal 21 4 8" xfId="29739" xr:uid="{655062E5-AD30-4070-9E35-E0C864F13998}"/>
    <cellStyle name="Normal 21 4 8 2" xfId="29740" xr:uid="{74C8A7FF-C4BC-4190-9F55-F1D8352BDA9E}"/>
    <cellStyle name="Normal 21 4 8 3" xfId="29741" xr:uid="{CE2A0E70-4781-4C6C-882C-58FB13A92C8E}"/>
    <cellStyle name="Normal 21 4 8 4" xfId="29742" xr:uid="{FD95533D-B898-4162-A260-2E05E28585F5}"/>
    <cellStyle name="Normal 21 4 8 5" xfId="29743" xr:uid="{D33E1827-0C17-495C-BC2C-D18CA6A5F6F3}"/>
    <cellStyle name="Normal 21 4 8 6" xfId="29744" xr:uid="{71603CC3-5D7C-404B-85A9-386D5E3009E6}"/>
    <cellStyle name="Normal 21 4 9" xfId="29745" xr:uid="{C6F8CDFD-4765-45D6-9ED8-3153BF2C124E}"/>
    <cellStyle name="Normal 21 5" xfId="29746" xr:uid="{69484E54-5631-4BC8-808B-ED720B5B661D}"/>
    <cellStyle name="Normal 21 5 10" xfId="29747" xr:uid="{9A685011-0B3C-4C69-9AD7-360780BE5E76}"/>
    <cellStyle name="Normal 21 5 11" xfId="29748" xr:uid="{E333F876-2AE7-4279-827D-436A95DD7C48}"/>
    <cellStyle name="Normal 21 5 12" xfId="29749" xr:uid="{F02FFB4C-556B-4BDC-AE9E-644DDDAD9EE0}"/>
    <cellStyle name="Normal 21 5 13" xfId="29750" xr:uid="{E39BB77A-4CB7-44D6-A7A3-60E6AE08003C}"/>
    <cellStyle name="Normal 21 5 2" xfId="29751" xr:uid="{99EDB156-9147-4FC7-ACF5-D3A1D6D5BF73}"/>
    <cellStyle name="Normal 21 5 2 2" xfId="29752" xr:uid="{28D28F16-01BB-4591-ACAB-78A50F235847}"/>
    <cellStyle name="Normal 21 5 2 3" xfId="29753" xr:uid="{61B2F1E2-83D2-4C69-AA60-F8777B0ACA0C}"/>
    <cellStyle name="Normal 21 5 2 4" xfId="29754" xr:uid="{E2A2A0DE-CD53-49FB-A8EE-F4141B8D4CA3}"/>
    <cellStyle name="Normal 21 5 2 5" xfId="29755" xr:uid="{6590AE9A-3873-4FFF-A564-781EB40983D6}"/>
    <cellStyle name="Normal 21 5 2 6" xfId="29756" xr:uid="{3BED90FE-75DA-48FE-9738-549BBF29C1D2}"/>
    <cellStyle name="Normal 21 5 3" xfId="29757" xr:uid="{BD6F4E57-BD6B-42F2-BC32-66F7A69CB605}"/>
    <cellStyle name="Normal 21 5 3 2" xfId="29758" xr:uid="{CE8EEEA3-A189-4A73-AD1E-992B7E12C54C}"/>
    <cellStyle name="Normal 21 5 3 3" xfId="29759" xr:uid="{0DF63594-33F0-4552-B44A-0DBF61A86045}"/>
    <cellStyle name="Normal 21 5 3 4" xfId="29760" xr:uid="{9B8F08A4-F56D-4D37-BE66-74E25E187813}"/>
    <cellStyle name="Normal 21 5 3 5" xfId="29761" xr:uid="{C70D3C82-133D-466F-B6F8-1761B05C9764}"/>
    <cellStyle name="Normal 21 5 3 6" xfId="29762" xr:uid="{EE45C205-59BA-4C4E-810F-D49424FE7283}"/>
    <cellStyle name="Normal 21 5 4" xfId="29763" xr:uid="{D11E82B0-3882-418B-84F8-056BA19B80E9}"/>
    <cellStyle name="Normal 21 5 4 2" xfId="29764" xr:uid="{8483D88B-97AB-445A-BD2A-8FB58A8E8AFD}"/>
    <cellStyle name="Normal 21 5 4 3" xfId="29765" xr:uid="{0E2F0B2D-16C2-46DC-BCA2-D655B1D080E7}"/>
    <cellStyle name="Normal 21 5 4 4" xfId="29766" xr:uid="{E77A05EC-452D-4666-8E2A-39908B8DC978}"/>
    <cellStyle name="Normal 21 5 4 5" xfId="29767" xr:uid="{2249BAFE-E410-4ED4-8F1A-9123EDEFA4FA}"/>
    <cellStyle name="Normal 21 5 4 6" xfId="29768" xr:uid="{A9D63B60-CE86-4F96-AF29-110083BAD6CF}"/>
    <cellStyle name="Normal 21 5 5" xfId="29769" xr:uid="{969D8AE1-289D-449E-BB30-CB34CF289875}"/>
    <cellStyle name="Normal 21 5 5 2" xfId="29770" xr:uid="{AD492CB0-362E-4369-A882-1E849FB2D92B}"/>
    <cellStyle name="Normal 21 5 5 3" xfId="29771" xr:uid="{1894150B-70B3-4C13-95E4-BFCCA0DA0CA2}"/>
    <cellStyle name="Normal 21 5 5 4" xfId="29772" xr:uid="{95DFB60D-051E-4B8C-95CB-A8D566B39DB7}"/>
    <cellStyle name="Normal 21 5 5 5" xfId="29773" xr:uid="{EBCD0895-39DF-4C43-B7DB-E57947AE243B}"/>
    <cellStyle name="Normal 21 5 5 6" xfId="29774" xr:uid="{74BE2B79-62C8-4054-B3F9-69C7DD8E42A8}"/>
    <cellStyle name="Normal 21 5 6" xfId="29775" xr:uid="{CC67CB39-313F-44CC-9FF9-10899BA92A07}"/>
    <cellStyle name="Normal 21 5 6 2" xfId="29776" xr:uid="{58203F16-C60F-449C-81BE-EF0B7740CE39}"/>
    <cellStyle name="Normal 21 5 6 3" xfId="29777" xr:uid="{7DC719C3-09D7-484D-A71A-8FFA6D48FEFC}"/>
    <cellStyle name="Normal 21 5 6 4" xfId="29778" xr:uid="{9AE72EC4-5743-4C8E-AC2A-71182A992984}"/>
    <cellStyle name="Normal 21 5 6 5" xfId="29779" xr:uid="{E75C3BAF-3B97-4191-80FB-95930FB877BE}"/>
    <cellStyle name="Normal 21 5 6 6" xfId="29780" xr:uid="{CE77AF2E-E059-45FD-8328-073449B9B8AA}"/>
    <cellStyle name="Normal 21 5 7" xfId="29781" xr:uid="{F64F63DC-75B3-4CF7-90F0-A2414B74B7D4}"/>
    <cellStyle name="Normal 21 5 7 2" xfId="29782" xr:uid="{007CB3E2-E7CC-4201-A5F9-755149731A44}"/>
    <cellStyle name="Normal 21 5 7 3" xfId="29783" xr:uid="{ED7DE65B-32E2-47F9-B83E-E4C0388DED73}"/>
    <cellStyle name="Normal 21 5 7 4" xfId="29784" xr:uid="{A3660579-9B09-40F3-B4B0-C4D6703F0D12}"/>
    <cellStyle name="Normal 21 5 7 5" xfId="29785" xr:uid="{B597FF22-FB2B-4AA9-BFDA-C621DEFBD37D}"/>
    <cellStyle name="Normal 21 5 7 6" xfId="29786" xr:uid="{E531C005-671D-4D8F-9E3F-E54E3F8C43A9}"/>
    <cellStyle name="Normal 21 5 8" xfId="29787" xr:uid="{BBC604D7-52A0-453D-86EC-A5CA8F1E64C5}"/>
    <cellStyle name="Normal 21 5 8 2" xfId="29788" xr:uid="{0AE5CEB9-A82E-4CF3-AC11-E1A3DC75889B}"/>
    <cellStyle name="Normal 21 5 8 3" xfId="29789" xr:uid="{3115D05D-5E57-4958-8EF8-1C741A543E5B}"/>
    <cellStyle name="Normal 21 5 8 4" xfId="29790" xr:uid="{5AFD84C8-78C8-48CC-B403-8E40B4C98976}"/>
    <cellStyle name="Normal 21 5 8 5" xfId="29791" xr:uid="{8F0A14AE-8335-4F39-B9F9-32F518967A9B}"/>
    <cellStyle name="Normal 21 5 8 6" xfId="29792" xr:uid="{E81C2052-631A-4AE6-9F38-8E78B3C5FB1B}"/>
    <cellStyle name="Normal 21 5 9" xfId="29793" xr:uid="{669535E0-B646-428F-B386-1163B86EB263}"/>
    <cellStyle name="Normal 21 6" xfId="29794" xr:uid="{BAB4C251-C383-404A-A1ED-6B1CB3F26C57}"/>
    <cellStyle name="Normal 21 6 10" xfId="29795" xr:uid="{236ECE80-F64D-4746-89B2-0C2FB926ADFE}"/>
    <cellStyle name="Normal 21 6 11" xfId="29796" xr:uid="{E085434B-3AE6-4749-B4D1-1ED95C074885}"/>
    <cellStyle name="Normal 21 6 12" xfId="29797" xr:uid="{6830AB57-1CC5-47F8-85BD-F990B2735DDC}"/>
    <cellStyle name="Normal 21 6 13" xfId="29798" xr:uid="{AD8B62DC-DEEF-4410-A1FB-4277D1755919}"/>
    <cellStyle name="Normal 21 6 2" xfId="29799" xr:uid="{659CF142-AE0A-45B4-8B74-F5EE0973EEF3}"/>
    <cellStyle name="Normal 21 6 2 2" xfId="29800" xr:uid="{8F51648E-D5D3-4928-9842-944AC80478CB}"/>
    <cellStyle name="Normal 21 6 2 3" xfId="29801" xr:uid="{CB2EA4E7-B9CF-4E03-9789-9AF59D9754A7}"/>
    <cellStyle name="Normal 21 6 2 4" xfId="29802" xr:uid="{272646F3-18C5-4356-BA30-C78DEAF6DE0A}"/>
    <cellStyle name="Normal 21 6 2 5" xfId="29803" xr:uid="{662373D9-34C2-40B0-B350-49C5BE48433D}"/>
    <cellStyle name="Normal 21 6 2 6" xfId="29804" xr:uid="{9531E6F8-29CA-44CE-8951-9881497DF021}"/>
    <cellStyle name="Normal 21 6 3" xfId="29805" xr:uid="{20B6FC10-129E-4961-A9EA-B779FB234982}"/>
    <cellStyle name="Normal 21 6 3 2" xfId="29806" xr:uid="{B0DACB3B-5A70-4E84-81C7-8CD068522579}"/>
    <cellStyle name="Normal 21 6 3 3" xfId="29807" xr:uid="{F706C228-621E-4C11-BBD1-344CE649DC6B}"/>
    <cellStyle name="Normal 21 6 3 4" xfId="29808" xr:uid="{582AFC9D-8905-4D8B-B2E2-73AF98D36E97}"/>
    <cellStyle name="Normal 21 6 3 5" xfId="29809" xr:uid="{4195ED18-CEF7-4387-9DB6-BAE6970D3B65}"/>
    <cellStyle name="Normal 21 6 3 6" xfId="29810" xr:uid="{E679C086-4634-42A6-9D81-FE776D3BC66A}"/>
    <cellStyle name="Normal 21 6 4" xfId="29811" xr:uid="{C2F61310-E12E-4A15-88D8-383A303E01A2}"/>
    <cellStyle name="Normal 21 6 4 2" xfId="29812" xr:uid="{B8206449-5F6C-4135-BCEC-DED4EA911BD1}"/>
    <cellStyle name="Normal 21 6 4 3" xfId="29813" xr:uid="{08AC0949-4243-47B6-B116-F784FF4BCF19}"/>
    <cellStyle name="Normal 21 6 4 4" xfId="29814" xr:uid="{B63602A3-CCF8-440A-A7C9-DA689B702923}"/>
    <cellStyle name="Normal 21 6 4 5" xfId="29815" xr:uid="{CF13BC53-8EE1-4A91-9FDF-0EB7935CFA7E}"/>
    <cellStyle name="Normal 21 6 4 6" xfId="29816" xr:uid="{C19FEE6B-5488-40D7-9E00-30D46D4300A3}"/>
    <cellStyle name="Normal 21 6 5" xfId="29817" xr:uid="{3F0861D6-F332-4E86-A4CC-4787FB753D7E}"/>
    <cellStyle name="Normal 21 6 5 2" xfId="29818" xr:uid="{7ABBCC10-4EF7-44F6-872C-F79EFC35D2E5}"/>
    <cellStyle name="Normal 21 6 5 3" xfId="29819" xr:uid="{C7DBBCF7-FD6A-4DB3-B338-2FF0A3FCA417}"/>
    <cellStyle name="Normal 21 6 5 4" xfId="29820" xr:uid="{257CF557-1B79-4416-A7F9-A15F3F981E1F}"/>
    <cellStyle name="Normal 21 6 5 5" xfId="29821" xr:uid="{0D9B1BC2-ACBE-48D1-8676-EFF6A3EB74B5}"/>
    <cellStyle name="Normal 21 6 5 6" xfId="29822" xr:uid="{B27BFF89-9BEA-4255-BAF9-59C480415878}"/>
    <cellStyle name="Normal 21 6 6" xfId="29823" xr:uid="{27AA4EF4-1E42-4435-ACDC-E8549334FA7A}"/>
    <cellStyle name="Normal 21 6 6 2" xfId="29824" xr:uid="{075879D3-A41C-4D0B-A265-D3DFDE84441B}"/>
    <cellStyle name="Normal 21 6 6 3" xfId="29825" xr:uid="{36877B11-AD5F-4BED-8FBB-A67FC9FC2726}"/>
    <cellStyle name="Normal 21 6 6 4" xfId="29826" xr:uid="{0ADD6731-4D24-4851-932B-C2F40DD10102}"/>
    <cellStyle name="Normal 21 6 6 5" xfId="29827" xr:uid="{1B1F6220-4849-4EBF-9B33-88A007D30D55}"/>
    <cellStyle name="Normal 21 6 6 6" xfId="29828" xr:uid="{77007394-780D-4A7B-8738-393578B1008C}"/>
    <cellStyle name="Normal 21 6 7" xfId="29829" xr:uid="{27C6B9CC-4614-4021-8C88-54195E45B484}"/>
    <cellStyle name="Normal 21 6 7 2" xfId="29830" xr:uid="{C3201E01-B074-4C22-BD27-821D8A359123}"/>
    <cellStyle name="Normal 21 6 7 3" xfId="29831" xr:uid="{1A13FD88-C749-4240-B64A-0B2645A14CB7}"/>
    <cellStyle name="Normal 21 6 7 4" xfId="29832" xr:uid="{B6F82B5A-408E-4143-B1F4-5B99007C1391}"/>
    <cellStyle name="Normal 21 6 7 5" xfId="29833" xr:uid="{E37E189B-84E3-4550-8EC4-6000389241D4}"/>
    <cellStyle name="Normal 21 6 7 6" xfId="29834" xr:uid="{D5D0723B-684E-4578-9214-1712DBAC1DE3}"/>
    <cellStyle name="Normal 21 6 8" xfId="29835" xr:uid="{3CF3F693-9A2B-4E43-A41A-52CAAA16CFEB}"/>
    <cellStyle name="Normal 21 6 8 2" xfId="29836" xr:uid="{CA691A2B-05DD-48CF-AAF1-B7138C5DACFC}"/>
    <cellStyle name="Normal 21 6 8 3" xfId="29837" xr:uid="{E991D8F8-8D1B-44BC-9946-953DB5578D69}"/>
    <cellStyle name="Normal 21 6 8 4" xfId="29838" xr:uid="{D36F43E9-9256-48E6-91A0-509E5DF47FE1}"/>
    <cellStyle name="Normal 21 6 8 5" xfId="29839" xr:uid="{2E2F4A7E-4FD7-4419-B9C6-8CCA0A60943D}"/>
    <cellStyle name="Normal 21 6 8 6" xfId="29840" xr:uid="{C6F8874D-6CCA-40DA-98BB-B6CC73401197}"/>
    <cellStyle name="Normal 21 6 9" xfId="29841" xr:uid="{56F10F23-0A6F-42B8-8A59-5CA034939BA6}"/>
    <cellStyle name="Normal 21 7" xfId="29842" xr:uid="{7222DA5B-AE21-446D-BAF7-B3ED09D8A99C}"/>
    <cellStyle name="Normal 21 7 10" xfId="29843" xr:uid="{A523EC51-2061-434A-BC8A-40908B868DBF}"/>
    <cellStyle name="Normal 21 7 11" xfId="29844" xr:uid="{9318D6DE-83FC-4492-AB8F-26A914FDE690}"/>
    <cellStyle name="Normal 21 7 12" xfId="29845" xr:uid="{3AD3A4C0-983C-4ADB-AAC0-BB634E1A024A}"/>
    <cellStyle name="Normal 21 7 13" xfId="29846" xr:uid="{07AD5B86-E851-4437-9163-5E12E5583A80}"/>
    <cellStyle name="Normal 21 7 2" xfId="29847" xr:uid="{306A7D31-5AE0-4229-9AD6-81A6F5D33E30}"/>
    <cellStyle name="Normal 21 7 2 2" xfId="29848" xr:uid="{702F5C10-AE8B-4EE5-8FEE-B238A4F1591B}"/>
    <cellStyle name="Normal 21 7 2 3" xfId="29849" xr:uid="{9876A288-36FD-4DE1-B549-5B3000D68AA5}"/>
    <cellStyle name="Normal 21 7 2 4" xfId="29850" xr:uid="{A7748E21-C813-45A7-9FFC-C41BAF8BCEFC}"/>
    <cellStyle name="Normal 21 7 2 5" xfId="29851" xr:uid="{A238C3AA-4216-4370-B07D-55D05736AA00}"/>
    <cellStyle name="Normal 21 7 2 6" xfId="29852" xr:uid="{5CC01AE4-91CB-48A9-86E9-5B944C5869A2}"/>
    <cellStyle name="Normal 21 7 3" xfId="29853" xr:uid="{D53C01F3-BE0C-4F43-8C3B-CAD819C98937}"/>
    <cellStyle name="Normal 21 7 3 2" xfId="29854" xr:uid="{CFB2179B-5E04-4B61-8995-AADDE4836EAF}"/>
    <cellStyle name="Normal 21 7 3 3" xfId="29855" xr:uid="{6A164B97-2697-456B-A216-885B6944DED5}"/>
    <cellStyle name="Normal 21 7 3 4" xfId="29856" xr:uid="{7D152DC4-B8F3-4315-8DF7-84CA06454FBD}"/>
    <cellStyle name="Normal 21 7 3 5" xfId="29857" xr:uid="{5797679A-9751-467A-9419-51A5996F52C6}"/>
    <cellStyle name="Normal 21 7 3 6" xfId="29858" xr:uid="{2EF18EB9-68B2-4D54-AB25-3CDD2C6FBEF3}"/>
    <cellStyle name="Normal 21 7 4" xfId="29859" xr:uid="{2863FD48-85CA-4B3B-80A0-D3C407166A1C}"/>
    <cellStyle name="Normal 21 7 4 2" xfId="29860" xr:uid="{F3F28F0C-B86A-4A2A-939E-8F9025F11949}"/>
    <cellStyle name="Normal 21 7 4 3" xfId="29861" xr:uid="{93C0C9F0-FE68-4003-AB0A-0AD550F7851F}"/>
    <cellStyle name="Normal 21 7 4 4" xfId="29862" xr:uid="{0EB96DE3-8F95-4DEF-B8E9-4D18A75100EB}"/>
    <cellStyle name="Normal 21 7 4 5" xfId="29863" xr:uid="{1FDCDF78-3CAF-4FA9-88D4-38CF9EEC02DC}"/>
    <cellStyle name="Normal 21 7 4 6" xfId="29864" xr:uid="{26AC0724-CB04-464A-AC14-5763163D4FF8}"/>
    <cellStyle name="Normal 21 7 5" xfId="29865" xr:uid="{846825CC-1461-45D8-8402-97926847D553}"/>
    <cellStyle name="Normal 21 7 5 2" xfId="29866" xr:uid="{71A248DC-739E-4ACD-9948-A36A08C688B1}"/>
    <cellStyle name="Normal 21 7 5 3" xfId="29867" xr:uid="{5A632DDE-0A58-426B-A09C-D067FB7C1E66}"/>
    <cellStyle name="Normal 21 7 5 4" xfId="29868" xr:uid="{731EB4EB-F856-47A5-8D30-1B3F004C92A5}"/>
    <cellStyle name="Normal 21 7 5 5" xfId="29869" xr:uid="{D80DABA7-B59B-477A-AC49-D7E1C0DE3DD3}"/>
    <cellStyle name="Normal 21 7 5 6" xfId="29870" xr:uid="{A4DA4866-09B6-475D-88AC-4A175802BBCB}"/>
    <cellStyle name="Normal 21 7 6" xfId="29871" xr:uid="{3F4B01AE-7260-444F-A0E4-5C2B5A98A3DB}"/>
    <cellStyle name="Normal 21 7 6 2" xfId="29872" xr:uid="{7916973F-8DA4-4586-84DD-DD646ACB0B12}"/>
    <cellStyle name="Normal 21 7 6 3" xfId="29873" xr:uid="{034C30B4-D21C-4862-B664-EB6E6A935D4F}"/>
    <cellStyle name="Normal 21 7 6 4" xfId="29874" xr:uid="{B30F382D-A4AA-4BB1-A664-31014ACD1135}"/>
    <cellStyle name="Normal 21 7 6 5" xfId="29875" xr:uid="{34B46173-4E1C-402E-8702-D628A86EC990}"/>
    <cellStyle name="Normal 21 7 6 6" xfId="29876" xr:uid="{D952D764-6749-4C4A-A90E-1180796E8A86}"/>
    <cellStyle name="Normal 21 7 7" xfId="29877" xr:uid="{9E95A518-CEDC-4FEA-A47E-96F0BC5BD2A6}"/>
    <cellStyle name="Normal 21 7 7 2" xfId="29878" xr:uid="{ADC166D6-C1F1-4FDF-A47C-27227ED4359C}"/>
    <cellStyle name="Normal 21 7 7 3" xfId="29879" xr:uid="{778D91E5-7D6B-4890-B050-AFE1E6E4004C}"/>
    <cellStyle name="Normal 21 7 7 4" xfId="29880" xr:uid="{E559D144-4B11-4461-B683-3A18B63CC17E}"/>
    <cellStyle name="Normal 21 7 7 5" xfId="29881" xr:uid="{56EB199B-7D4F-411C-B4CC-2AE8961FB592}"/>
    <cellStyle name="Normal 21 7 7 6" xfId="29882" xr:uid="{37C7652F-DF9E-4C70-97B9-46BBA845EEB8}"/>
    <cellStyle name="Normal 21 7 8" xfId="29883" xr:uid="{0B54FDCD-D9DB-4993-B906-61FC9C610600}"/>
    <cellStyle name="Normal 21 7 8 2" xfId="29884" xr:uid="{824A8CCA-CC25-4722-8F7E-545DC0E77C9F}"/>
    <cellStyle name="Normal 21 7 8 3" xfId="29885" xr:uid="{5402783C-E058-412B-A902-BDD09C229720}"/>
    <cellStyle name="Normal 21 7 8 4" xfId="29886" xr:uid="{46BA9240-31A2-4781-8942-70DEA893A0E5}"/>
    <cellStyle name="Normal 21 7 8 5" xfId="29887" xr:uid="{2BE3E09D-DA94-4448-8A44-2C4B09303FAE}"/>
    <cellStyle name="Normal 21 7 8 6" xfId="29888" xr:uid="{27EAC53E-8125-4BBB-A41D-7A14FF5C3B9F}"/>
    <cellStyle name="Normal 21 7 9" xfId="29889" xr:uid="{1CE77C7A-291A-42AC-932F-428D63CAB2EE}"/>
    <cellStyle name="Normal 21 8" xfId="29890" xr:uid="{002898A4-81BA-4E73-9B44-291CC6A4284B}"/>
    <cellStyle name="Normal 21 8 10" xfId="29891" xr:uid="{2286F4B7-EF04-4AB5-B0F4-49F0FDD45D48}"/>
    <cellStyle name="Normal 21 8 11" xfId="29892" xr:uid="{77C0A4BB-DE46-4E48-8CF7-BEB0068F8D53}"/>
    <cellStyle name="Normal 21 8 12" xfId="29893" xr:uid="{5E641761-399C-42AC-91C9-C40F9A3DBB7C}"/>
    <cellStyle name="Normal 21 8 13" xfId="29894" xr:uid="{918868C7-C3F3-410F-81E6-C11933D2FA8C}"/>
    <cellStyle name="Normal 21 8 2" xfId="29895" xr:uid="{1E80192B-92FE-4F40-927E-B5AECF0540B6}"/>
    <cellStyle name="Normal 21 8 2 2" xfId="29896" xr:uid="{EB90D7D1-D1B4-4377-8E33-E37C4BF2AEF7}"/>
    <cellStyle name="Normal 21 8 2 3" xfId="29897" xr:uid="{76FA7529-5FDB-4906-A5BD-337C4978ACA2}"/>
    <cellStyle name="Normal 21 8 2 4" xfId="29898" xr:uid="{2F8F08A0-9B0B-48E7-841D-57A3812852FF}"/>
    <cellStyle name="Normal 21 8 2 5" xfId="29899" xr:uid="{DFB1A8B0-B7EE-477F-907C-24058769168C}"/>
    <cellStyle name="Normal 21 8 2 6" xfId="29900" xr:uid="{AD812774-111E-4985-9ADE-6419DE94882E}"/>
    <cellStyle name="Normal 21 8 3" xfId="29901" xr:uid="{5EAB5F10-8E6D-4275-8632-D75C537F71C0}"/>
    <cellStyle name="Normal 21 8 3 2" xfId="29902" xr:uid="{531C8137-079B-4BC8-AF58-A359C4B077BD}"/>
    <cellStyle name="Normal 21 8 3 3" xfId="29903" xr:uid="{FFEEA177-C959-4A20-9502-62AA4775330C}"/>
    <cellStyle name="Normal 21 8 3 4" xfId="29904" xr:uid="{FAB13A2C-0FEA-4CDD-86EA-A70C6F63805C}"/>
    <cellStyle name="Normal 21 8 3 5" xfId="29905" xr:uid="{880F8BA6-1305-4643-8F0C-C085874AAD0A}"/>
    <cellStyle name="Normal 21 8 3 6" xfId="29906" xr:uid="{DBB45510-1D3C-4D47-87BC-0465B02D22AE}"/>
    <cellStyle name="Normal 21 8 4" xfId="29907" xr:uid="{6E08B07A-3E0D-4F8F-87FA-D22AE1B0834E}"/>
    <cellStyle name="Normal 21 8 4 2" xfId="29908" xr:uid="{B5462D8A-16CA-4B75-B60A-161557437730}"/>
    <cellStyle name="Normal 21 8 4 3" xfId="29909" xr:uid="{B0BFC4EF-3830-4FE3-97D2-EBE5D35A4D86}"/>
    <cellStyle name="Normal 21 8 4 4" xfId="29910" xr:uid="{3FB18604-AB0B-4081-8FE0-D2750912290A}"/>
    <cellStyle name="Normal 21 8 4 5" xfId="29911" xr:uid="{AB0136E1-6944-4B52-9822-0120777639DB}"/>
    <cellStyle name="Normal 21 8 4 6" xfId="29912" xr:uid="{D47D3A6C-6766-4D1E-A805-8201F877E796}"/>
    <cellStyle name="Normal 21 8 5" xfId="29913" xr:uid="{E75E0AE2-2007-4365-B1E8-9C121569BF9E}"/>
    <cellStyle name="Normal 21 8 5 2" xfId="29914" xr:uid="{BFC97362-D1C8-4728-96CC-3E4A407CFB71}"/>
    <cellStyle name="Normal 21 8 5 3" xfId="29915" xr:uid="{7B4E0E1F-8D0E-496A-B3EC-9C8052E9B978}"/>
    <cellStyle name="Normal 21 8 5 4" xfId="29916" xr:uid="{5ABC6FEF-45C3-4162-9AA3-2608AA6ECE5F}"/>
    <cellStyle name="Normal 21 8 5 5" xfId="29917" xr:uid="{F201F0CE-05DC-43D3-9611-255AA53CCCEA}"/>
    <cellStyle name="Normal 21 8 5 6" xfId="29918" xr:uid="{43E4D6C0-6344-4387-8C02-93C81DA06A15}"/>
    <cellStyle name="Normal 21 8 6" xfId="29919" xr:uid="{80B4725C-55DB-4C42-8157-25DE47656135}"/>
    <cellStyle name="Normal 21 8 6 2" xfId="29920" xr:uid="{41242B7A-F3BB-4811-A6A9-3401F383BD2B}"/>
    <cellStyle name="Normal 21 8 6 3" xfId="29921" xr:uid="{B205CF20-9500-4C77-BE65-0D4691A62C98}"/>
    <cellStyle name="Normal 21 8 6 4" xfId="29922" xr:uid="{4BE8A12D-219E-4B89-A165-621B7B2A9DDB}"/>
    <cellStyle name="Normal 21 8 6 5" xfId="29923" xr:uid="{CB2B9740-599D-4B77-BA0E-4CCDF1287666}"/>
    <cellStyle name="Normal 21 8 6 6" xfId="29924" xr:uid="{97567175-A30E-4088-8EA0-D06825BE24B6}"/>
    <cellStyle name="Normal 21 8 7" xfId="29925" xr:uid="{A7103D29-AB28-4C12-9453-FC5E77CF2883}"/>
    <cellStyle name="Normal 21 8 7 2" xfId="29926" xr:uid="{AD3A2DE8-6557-4E89-AA6C-A5412031A5EF}"/>
    <cellStyle name="Normal 21 8 7 3" xfId="29927" xr:uid="{EDC2063C-FDCD-4F9C-BD73-70E1A84ABA92}"/>
    <cellStyle name="Normal 21 8 7 4" xfId="29928" xr:uid="{80385BE5-0007-43F6-A461-563E4FC12E0E}"/>
    <cellStyle name="Normal 21 8 7 5" xfId="29929" xr:uid="{462C63C0-04D1-4BDE-A279-03FF6E6E4904}"/>
    <cellStyle name="Normal 21 8 7 6" xfId="29930" xr:uid="{F1DBD24A-2270-47AC-A0C0-051267590B34}"/>
    <cellStyle name="Normal 21 8 8" xfId="29931" xr:uid="{236D9F45-8E01-40ED-8E03-41C93692DD4C}"/>
    <cellStyle name="Normal 21 8 8 2" xfId="29932" xr:uid="{24BD8EC3-7646-4B83-AEDA-76F41841C0AA}"/>
    <cellStyle name="Normal 21 8 8 3" xfId="29933" xr:uid="{C4BB8CFF-965F-4EF3-BA5C-C0D738DB254E}"/>
    <cellStyle name="Normal 21 8 8 4" xfId="29934" xr:uid="{CB19C8D9-5877-42BF-BCE4-5C5198263AF0}"/>
    <cellStyle name="Normal 21 8 8 5" xfId="29935" xr:uid="{66A2744C-33D9-4EE0-A989-3286052B32B1}"/>
    <cellStyle name="Normal 21 8 8 6" xfId="29936" xr:uid="{0030B5BD-576E-47D5-A38E-F4010A3149D4}"/>
    <cellStyle name="Normal 21 8 9" xfId="29937" xr:uid="{995EA00A-EDA6-4CD9-A64F-DAD7177A2E25}"/>
    <cellStyle name="Normal 21 9" xfId="29938" xr:uid="{FD773E74-3C84-490B-866F-37293922BE85}"/>
    <cellStyle name="Normal 21 9 10" xfId="29939" xr:uid="{F0CFCB16-68C5-4E63-A047-A2B2B5866F4C}"/>
    <cellStyle name="Normal 21 9 11" xfId="29940" xr:uid="{4C4788C8-AE3F-4B32-948F-6E206583FA70}"/>
    <cellStyle name="Normal 21 9 12" xfId="29941" xr:uid="{CC661CCB-8475-4C36-A887-3801EB2846C6}"/>
    <cellStyle name="Normal 21 9 13" xfId="29942" xr:uid="{CDBF1C36-3986-4D72-8726-3B7749D55E56}"/>
    <cellStyle name="Normal 21 9 2" xfId="29943" xr:uid="{25E26A34-1B17-472D-91FC-BBEBC9ED656C}"/>
    <cellStyle name="Normal 21 9 2 2" xfId="29944" xr:uid="{BBBA8FE3-6E32-4B46-B64C-8A06D80BD8AF}"/>
    <cellStyle name="Normal 21 9 2 3" xfId="29945" xr:uid="{028D2306-211A-420B-923E-B8B7E138F018}"/>
    <cellStyle name="Normal 21 9 2 4" xfId="29946" xr:uid="{44C0F594-5720-40D8-B7AF-36F0DF457BEB}"/>
    <cellStyle name="Normal 21 9 2 5" xfId="29947" xr:uid="{42258DD2-4423-43A4-AC08-C9F50FF4E8CF}"/>
    <cellStyle name="Normal 21 9 2 6" xfId="29948" xr:uid="{F5AF2C1D-0E80-4B59-A1F4-98397C340E7F}"/>
    <cellStyle name="Normal 21 9 3" xfId="29949" xr:uid="{C58A5EEF-3D9F-424D-AB4D-71F26F589861}"/>
    <cellStyle name="Normal 21 9 3 2" xfId="29950" xr:uid="{8C80CA4F-C60A-442B-8562-7E4BE058DC15}"/>
    <cellStyle name="Normal 21 9 3 3" xfId="29951" xr:uid="{70381107-FAD2-464C-866E-876068AD1330}"/>
    <cellStyle name="Normal 21 9 3 4" xfId="29952" xr:uid="{66E8EB8E-46AC-49E8-8680-87D806ABB89E}"/>
    <cellStyle name="Normal 21 9 3 5" xfId="29953" xr:uid="{3EC7205C-8D18-432E-8D70-FEF152BF7EE2}"/>
    <cellStyle name="Normal 21 9 3 6" xfId="29954" xr:uid="{D6D69C28-0F25-4783-8EEE-00EC81E5ADFE}"/>
    <cellStyle name="Normal 21 9 4" xfId="29955" xr:uid="{4E808C69-5C74-46AE-B545-EDD74CF3F5CF}"/>
    <cellStyle name="Normal 21 9 4 2" xfId="29956" xr:uid="{435F0154-026D-4294-9A74-C45C2FB658B2}"/>
    <cellStyle name="Normal 21 9 4 3" xfId="29957" xr:uid="{8BEADB58-9B83-41A7-BDAC-9AE965CE19FB}"/>
    <cellStyle name="Normal 21 9 4 4" xfId="29958" xr:uid="{DB2E1622-4F91-490C-B92A-F678F0B1AB42}"/>
    <cellStyle name="Normal 21 9 4 5" xfId="29959" xr:uid="{00B2435A-1B04-4901-9B6A-9A74A2E9BD94}"/>
    <cellStyle name="Normal 21 9 4 6" xfId="29960" xr:uid="{62D65943-DEDF-41EC-8052-CBBBF35BA498}"/>
    <cellStyle name="Normal 21 9 5" xfId="29961" xr:uid="{2D46EF44-848C-4BF9-A348-417B22D405FA}"/>
    <cellStyle name="Normal 21 9 5 2" xfId="29962" xr:uid="{AEEAC94F-0512-49E9-AD37-53EEFEFFD21E}"/>
    <cellStyle name="Normal 21 9 5 3" xfId="29963" xr:uid="{677B525D-0FCE-4326-9147-085B9432C868}"/>
    <cellStyle name="Normal 21 9 5 4" xfId="29964" xr:uid="{692D1D1F-5FCA-4E84-8837-CAAA1F4C3474}"/>
    <cellStyle name="Normal 21 9 5 5" xfId="29965" xr:uid="{944324B3-0D17-4098-AB10-E346BB7A3428}"/>
    <cellStyle name="Normal 21 9 5 6" xfId="29966" xr:uid="{2FE4E7E8-7A94-40ED-8E92-BCBAADA6F5AB}"/>
    <cellStyle name="Normal 21 9 6" xfId="29967" xr:uid="{14488B17-56C8-4A84-8B65-5DD2880A6B27}"/>
    <cellStyle name="Normal 21 9 6 2" xfId="29968" xr:uid="{102D6D3C-96EF-4EC2-B5DF-937AEC99F3DC}"/>
    <cellStyle name="Normal 21 9 6 3" xfId="29969" xr:uid="{FB2A5BC1-01E2-40EF-B246-FE68CFC17A00}"/>
    <cellStyle name="Normal 21 9 6 4" xfId="29970" xr:uid="{746E1A5F-DF82-4F73-9474-97FDA992FB26}"/>
    <cellStyle name="Normal 21 9 6 5" xfId="29971" xr:uid="{66B64EC1-4F16-4245-9DA9-49C197865326}"/>
    <cellStyle name="Normal 21 9 6 6" xfId="29972" xr:uid="{6CB48F04-53E1-49CD-86CB-88A4B8A28076}"/>
    <cellStyle name="Normal 21 9 7" xfId="29973" xr:uid="{576D8BC8-52FD-428D-9655-9B61FE17F18B}"/>
    <cellStyle name="Normal 21 9 7 2" xfId="29974" xr:uid="{18682374-D560-466C-8EF0-E6DB886A4EDE}"/>
    <cellStyle name="Normal 21 9 7 3" xfId="29975" xr:uid="{28D75A73-652E-4742-A045-5517583B4D52}"/>
    <cellStyle name="Normal 21 9 7 4" xfId="29976" xr:uid="{AC150EB9-1CD8-4B31-ADE6-97E7CCAF65F5}"/>
    <cellStyle name="Normal 21 9 7 5" xfId="29977" xr:uid="{F6B703DD-27D3-4600-942C-F54301149C77}"/>
    <cellStyle name="Normal 21 9 7 6" xfId="29978" xr:uid="{E4632805-8440-4A3C-9C7B-FB010F72E2D6}"/>
    <cellStyle name="Normal 21 9 8" xfId="29979" xr:uid="{756CDB4C-486C-40AD-8560-37BF04278F8C}"/>
    <cellStyle name="Normal 21 9 8 2" xfId="29980" xr:uid="{44483815-2587-4E94-A366-CD66A61ACD1B}"/>
    <cellStyle name="Normal 21 9 8 3" xfId="29981" xr:uid="{32EABCC3-D064-4C36-B1C4-502CEEAF7054}"/>
    <cellStyle name="Normal 21 9 8 4" xfId="29982" xr:uid="{59025BCA-4248-43D9-A668-9CD906E6E5AC}"/>
    <cellStyle name="Normal 21 9 8 5" xfId="29983" xr:uid="{86806C4D-1F3E-4A28-B2AD-B4D02449B345}"/>
    <cellStyle name="Normal 21 9 8 6" xfId="29984" xr:uid="{DBEB0D62-5EA8-4BC8-8830-D8967BA830C7}"/>
    <cellStyle name="Normal 21 9 9" xfId="29985" xr:uid="{C49CE3C5-37B1-4F4A-B053-37CEDC34C00B}"/>
    <cellStyle name="Normal 22" xfId="1086" xr:uid="{4A923D1F-DB3A-484C-88D6-4F1160929D35}"/>
    <cellStyle name="Normal 22 10" xfId="29986" xr:uid="{C1D219F7-1146-4A7C-B2BC-2EC63160582C}"/>
    <cellStyle name="Normal 22 11" xfId="29987" xr:uid="{F068FE94-C3FA-46B1-908E-E7941CC352F9}"/>
    <cellStyle name="Normal 22 12" xfId="29988" xr:uid="{EB7D5337-8AD1-41C0-96A2-F379DA993FCD}"/>
    <cellStyle name="Normal 22 13" xfId="29989" xr:uid="{EAC19790-65B9-4235-B4B9-27BDC0265C39}"/>
    <cellStyle name="Normal 22 14" xfId="29990" xr:uid="{EBA606BE-FBB2-4A4E-A974-8CDA040A0BE2}"/>
    <cellStyle name="Normal 22 15" xfId="29991" xr:uid="{20A1EE34-9C46-4AA5-B247-C504E9BABE26}"/>
    <cellStyle name="Normal 22 16" xfId="29992" xr:uid="{86491138-01F1-4241-ADA6-B75D6E3855F5}"/>
    <cellStyle name="Normal 22 17" xfId="29993" xr:uid="{4B3CF90A-B7E5-495D-8550-F2791AE99E49}"/>
    <cellStyle name="Normal 22 18" xfId="29994" xr:uid="{F543ABDE-7F37-4511-95ED-A22D7509B068}"/>
    <cellStyle name="Normal 22 19" xfId="29995" xr:uid="{BA7C12FC-9D3E-4A8B-A55D-A80B01835A20}"/>
    <cellStyle name="Normal 22 2" xfId="29996" xr:uid="{E647B6C2-617F-470B-91DE-3CE75C678C0B}"/>
    <cellStyle name="Normal 22 20" xfId="29997" xr:uid="{6C73A3AE-4C64-4002-BA64-E648F78381F0}"/>
    <cellStyle name="Normal 22 21" xfId="29998" xr:uid="{BEA9E59C-2066-4019-B8E5-A8E7EF8FC0E2}"/>
    <cellStyle name="Normal 22 22" xfId="29999" xr:uid="{BB91FD70-A15C-4891-8560-203F39D9BE82}"/>
    <cellStyle name="Normal 22 23" xfId="30000" xr:uid="{224EED7F-43E3-4C28-956C-E6D22C9F1A49}"/>
    <cellStyle name="Normal 22 24" xfId="30001" xr:uid="{DF1C0DA4-B4CC-4AEB-A1CD-6403932BB851}"/>
    <cellStyle name="Normal 22 25" xfId="30002" xr:uid="{9652B3E2-923B-4C44-80C0-BE850A3E9248}"/>
    <cellStyle name="Normal 22 26" xfId="30003" xr:uid="{FD8189D6-1BBD-44EC-BC9F-60B44F987146}"/>
    <cellStyle name="Normal 22 27" xfId="30004" xr:uid="{675B0A98-BB1E-4A68-9BEA-7CAD9D2B1059}"/>
    <cellStyle name="Normal 22 28" xfId="30005" xr:uid="{367C4C82-C47A-45ED-9289-45313103D308}"/>
    <cellStyle name="Normal 22 29" xfId="30006" xr:uid="{42B97176-774F-4F07-B228-EAC02D80289A}"/>
    <cellStyle name="Normal 22 3" xfId="30007" xr:uid="{3D112E5F-E1E6-4AB0-B4CB-773E7D35A15F}"/>
    <cellStyle name="Normal 22 30" xfId="30008" xr:uid="{8C8251DA-79E0-458F-BC43-F640BAA4C748}"/>
    <cellStyle name="Normal 22 31" xfId="30009" xr:uid="{F16AC491-1D53-465E-AEBB-B3CE6DBE1549}"/>
    <cellStyle name="Normal 22 32" xfId="30010" xr:uid="{9AA0762A-490F-435E-9089-CCD69DB39321}"/>
    <cellStyle name="Normal 22 33" xfId="30011" xr:uid="{D78543AD-08C3-4F8F-8850-45D334FDFD2F}"/>
    <cellStyle name="Normal 22 34" xfId="30012" xr:uid="{83FD42A5-13D0-46B0-9147-4753B01444A3}"/>
    <cellStyle name="Normal 22 35" xfId="30013" xr:uid="{8A0C0A75-AD45-41DE-BD58-EADA5609B853}"/>
    <cellStyle name="Normal 22 36" xfId="30014" xr:uid="{5F851F74-0C08-4A58-B3BD-26538C3C4A6E}"/>
    <cellStyle name="Normal 22 37" xfId="30015" xr:uid="{30C21D65-62C9-406A-866F-0FF90650AC53}"/>
    <cellStyle name="Normal 22 38" xfId="30016" xr:uid="{B8CF8E8F-4EE0-4693-BC3F-F6E2EDA85E3F}"/>
    <cellStyle name="Normal 22 39" xfId="30017" xr:uid="{DF19BA70-6C56-4557-A473-C95A89D43BC6}"/>
    <cellStyle name="Normal 22 4" xfId="30018" xr:uid="{C04D5D5D-801B-4611-A779-E44C0975B7B7}"/>
    <cellStyle name="Normal 22 40" xfId="30019" xr:uid="{B8B18348-E3AB-4AF1-83E3-6DA6539AB905}"/>
    <cellStyle name="Normal 22 41" xfId="30020" xr:uid="{EA7A1CC9-9AED-4622-88EE-48A1B43AC721}"/>
    <cellStyle name="Normal 22 42" xfId="30021" xr:uid="{A960D734-B9E6-4A1C-9E76-903D06E3BFE4}"/>
    <cellStyle name="Normal 22 43" xfId="30022" xr:uid="{720A7219-4C2B-4844-80C4-70F171587ED1}"/>
    <cellStyle name="Normal 22 5" xfId="30023" xr:uid="{D216BE4B-AF2D-4CB3-830B-14B80BD4D764}"/>
    <cellStyle name="Normal 22 6" xfId="30024" xr:uid="{60BF442A-E2BD-4878-993B-249CF61C49C6}"/>
    <cellStyle name="Normal 22 7" xfId="30025" xr:uid="{76E5BA86-245A-4951-A086-E50F5737F5E4}"/>
    <cellStyle name="Normal 22 8" xfId="30026" xr:uid="{4F05F266-913C-4752-8F8D-6E772CC59909}"/>
    <cellStyle name="Normal 22 9" xfId="30027" xr:uid="{D7B604AF-36AB-4F56-A3B1-D1D7EADC3835}"/>
    <cellStyle name="Normal 23" xfId="1087" xr:uid="{2C3C0D99-8195-43AF-93EF-6E464D90DE05}"/>
    <cellStyle name="Normal 23 10" xfId="30028" xr:uid="{7206D356-5650-4614-A800-351368FEE5BD}"/>
    <cellStyle name="Normal 23 11" xfId="30029" xr:uid="{1555B605-1403-4B6F-87B1-5DCD8ED36B29}"/>
    <cellStyle name="Normal 23 12" xfId="30030" xr:uid="{97D83612-DFE5-4099-949B-A0BB3285253E}"/>
    <cellStyle name="Normal 23 13" xfId="30031" xr:uid="{523447FC-CF16-4C5C-BC6F-CEE69E2908A7}"/>
    <cellStyle name="Normal 23 14" xfId="30032" xr:uid="{98DEA334-89E7-43AE-BA7B-1F9AD46518F8}"/>
    <cellStyle name="Normal 23 15" xfId="30033" xr:uid="{14FC2534-66C6-4AE0-A016-C2B917AA14CD}"/>
    <cellStyle name="Normal 23 16" xfId="30034" xr:uid="{2872B3E3-43E1-4A62-951E-8FD9181D2F14}"/>
    <cellStyle name="Normal 23 17" xfId="30035" xr:uid="{B41BE06C-7C3E-4426-9434-AA4E694970C0}"/>
    <cellStyle name="Normal 23 18" xfId="30036" xr:uid="{4F3D8714-FD03-45D8-8948-853F285186A5}"/>
    <cellStyle name="Normal 23 19" xfId="30037" xr:uid="{F53BE41A-8542-4F34-AC96-AAF1CE92254D}"/>
    <cellStyle name="Normal 23 2" xfId="30038" xr:uid="{50C1D7CD-AC87-4B5E-8FF0-C13CEA15B77E}"/>
    <cellStyle name="Normal 23 20" xfId="30039" xr:uid="{DA828721-42A1-4E27-ACE7-602C3C7C12B0}"/>
    <cellStyle name="Normal 23 21" xfId="30040" xr:uid="{8D0C5F36-166C-49C1-A061-3CC7DECF16C7}"/>
    <cellStyle name="Normal 23 22" xfId="30041" xr:uid="{BD3FFDE9-FF74-4652-898C-D9B6C7668169}"/>
    <cellStyle name="Normal 23 23" xfId="30042" xr:uid="{9294D5AE-4B96-4A23-9861-9A3AEB0573DD}"/>
    <cellStyle name="Normal 23 24" xfId="30043" xr:uid="{D3AA8942-DAA8-455B-B958-7D3EDA3ABAF4}"/>
    <cellStyle name="Normal 23 25" xfId="30044" xr:uid="{83E1B09F-13AC-49B2-B549-A3BF2DA3C1BD}"/>
    <cellStyle name="Normal 23 26" xfId="30045" xr:uid="{4A905E95-C27A-471A-8471-24A19C773C08}"/>
    <cellStyle name="Normal 23 27" xfId="30046" xr:uid="{79751776-DF32-4F84-B2F8-6482E64AF5F2}"/>
    <cellStyle name="Normal 23 28" xfId="30047" xr:uid="{F53A8566-D943-4BFD-B3F1-8167E3D6913B}"/>
    <cellStyle name="Normal 23 29" xfId="30048" xr:uid="{263A2177-D007-4A53-A641-A77078E36D42}"/>
    <cellStyle name="Normal 23 3" xfId="30049" xr:uid="{DE4C199D-A4F5-4015-B52B-E52CCC0D0BD2}"/>
    <cellStyle name="Normal 23 30" xfId="30050" xr:uid="{A75C37DD-2052-470B-B427-985E630F5B6C}"/>
    <cellStyle name="Normal 23 31" xfId="30051" xr:uid="{DF429CC3-889F-41F2-9CFB-6A79C3A289C0}"/>
    <cellStyle name="Normal 23 32" xfId="30052" xr:uid="{1A2A2A50-18C8-4BC6-B5DC-B8DA342D7F5F}"/>
    <cellStyle name="Normal 23 33" xfId="30053" xr:uid="{14683EA4-D831-4602-A789-1FF518DF2B3D}"/>
    <cellStyle name="Normal 23 34" xfId="30054" xr:uid="{28F931D7-F6D6-4877-AA2F-65455A85AEBB}"/>
    <cellStyle name="Normal 23 35" xfId="30055" xr:uid="{7A1A9B19-AC38-44C7-93EA-7411171807FE}"/>
    <cellStyle name="Normal 23 36" xfId="30056" xr:uid="{8272D6D9-8990-43EB-811D-80889C3EDCC3}"/>
    <cellStyle name="Normal 23 37" xfId="30057" xr:uid="{61D54F7F-0BE7-453D-A1F6-4091D67A01CA}"/>
    <cellStyle name="Normal 23 38" xfId="30058" xr:uid="{233EE59F-1B19-4E1A-A7B0-EE837A687CC9}"/>
    <cellStyle name="Normal 23 39" xfId="30059" xr:uid="{000012A4-A5BC-411E-B787-24AA7D4E7B86}"/>
    <cellStyle name="Normal 23 4" xfId="30060" xr:uid="{962A51BD-393F-4C8D-B3E5-034FE52D298E}"/>
    <cellStyle name="Normal 23 40" xfId="30061" xr:uid="{AE3BB8BF-36B3-4A07-A30E-B0188ED5E08E}"/>
    <cellStyle name="Normal 23 41" xfId="30062" xr:uid="{9414D4AB-61F3-40E1-8D8F-7500A5C333D7}"/>
    <cellStyle name="Normal 23 42" xfId="30063" xr:uid="{8172EEAA-6083-4211-B7DB-7DE2F21FCC6F}"/>
    <cellStyle name="Normal 23 43" xfId="30064" xr:uid="{5467A826-C015-479F-9783-CF60F1417AAF}"/>
    <cellStyle name="Normal 23 5" xfId="30065" xr:uid="{03190A8C-24B8-4548-8B34-AD3DF64C997F}"/>
    <cellStyle name="Normal 23 6" xfId="30066" xr:uid="{A4BCD575-A050-40EB-B24F-B2A625939F14}"/>
    <cellStyle name="Normal 23 7" xfId="30067" xr:uid="{163729AD-2C97-41AD-8132-F8176E5F684C}"/>
    <cellStyle name="Normal 23 8" xfId="30068" xr:uid="{7F6D15AB-D3FA-4C29-96F3-670004B320D3}"/>
    <cellStyle name="Normal 23 9" xfId="30069" xr:uid="{C70A0E76-55DF-4A0E-AEC9-34D900DB18B2}"/>
    <cellStyle name="Normal 24" xfId="1088" xr:uid="{BA449FBA-5C0E-43F8-82C9-15734ADE926A}"/>
    <cellStyle name="Normal 24 10" xfId="30070" xr:uid="{937A9C3A-1D48-49E9-97B2-077B3098C7D0}"/>
    <cellStyle name="Normal 24 11" xfId="30071" xr:uid="{1EF5CA1F-63F6-4C9C-8FB3-4D58B2DF1632}"/>
    <cellStyle name="Normal 24 12" xfId="30072" xr:uid="{65DB3F0C-4E72-44A0-8D43-CCC421785C61}"/>
    <cellStyle name="Normal 24 13" xfId="30073" xr:uid="{729AF58A-7804-4629-8542-FCE10AAA1466}"/>
    <cellStyle name="Normal 24 14" xfId="30074" xr:uid="{5E651E69-1BAE-4E17-B166-B87EF366D11F}"/>
    <cellStyle name="Normal 24 15" xfId="30075" xr:uid="{CFD8571D-5B66-4474-B8CE-70CE122876CB}"/>
    <cellStyle name="Normal 24 16" xfId="30076" xr:uid="{A07A4FCA-E676-4F84-ACAE-18A9994097F2}"/>
    <cellStyle name="Normal 24 17" xfId="30077" xr:uid="{B4FE6099-9428-424F-85E9-F388FB2F1ACA}"/>
    <cellStyle name="Normal 24 18" xfId="30078" xr:uid="{E575AA8D-26D3-4BF9-9C26-008AF235B1CB}"/>
    <cellStyle name="Normal 24 19" xfId="30079" xr:uid="{1F051D42-974E-4944-AC9C-B1CB18204430}"/>
    <cellStyle name="Normal 24 2" xfId="30080" xr:uid="{215F056A-5D53-4B71-8E9A-745478B37DB2}"/>
    <cellStyle name="Normal 24 20" xfId="30081" xr:uid="{89F1A988-C3A3-4967-BC35-AF268EBA1A52}"/>
    <cellStyle name="Normal 24 21" xfId="30082" xr:uid="{79147A91-D48C-4AF3-AB3C-0013C0A0E4E8}"/>
    <cellStyle name="Normal 24 22" xfId="30083" xr:uid="{CDC27453-2F1E-4BA4-9032-9114EEABA393}"/>
    <cellStyle name="Normal 24 23" xfId="30084" xr:uid="{A1279B92-C092-4095-9608-360BE68532AB}"/>
    <cellStyle name="Normal 24 24" xfId="30085" xr:uid="{14AD2481-3D47-4308-9B7C-15D50E377249}"/>
    <cellStyle name="Normal 24 25" xfId="30086" xr:uid="{D69F89A6-5D36-4641-80A6-C6CCBC7F1FEF}"/>
    <cellStyle name="Normal 24 26" xfId="30087" xr:uid="{7F60622A-EF5E-4757-A384-CC4B206EE1CA}"/>
    <cellStyle name="Normal 24 27" xfId="30088" xr:uid="{A421379C-D490-4B03-9DE8-F6DB2296D0D0}"/>
    <cellStyle name="Normal 24 28" xfId="30089" xr:uid="{09B29D1C-B112-4E90-8A69-837BA917F61C}"/>
    <cellStyle name="Normal 24 29" xfId="30090" xr:uid="{3709BCEF-0323-4E2B-BE7E-0855CFC0F9FF}"/>
    <cellStyle name="Normal 24 3" xfId="30091" xr:uid="{D4509A0E-01C5-4B3C-A673-A84EB1E15FA2}"/>
    <cellStyle name="Normal 24 30" xfId="30092" xr:uid="{2957D296-718A-4D53-814A-526995B7741A}"/>
    <cellStyle name="Normal 24 31" xfId="30093" xr:uid="{3CD0A6B8-9CA6-4FBF-AAA9-60BAC9DE2817}"/>
    <cellStyle name="Normal 24 32" xfId="30094" xr:uid="{BC735093-AF9E-4A20-9001-CC9520BC5839}"/>
    <cellStyle name="Normal 24 33" xfId="30095" xr:uid="{CB52506D-B1F2-4FAD-AA35-F147FE3B0F89}"/>
    <cellStyle name="Normal 24 34" xfId="30096" xr:uid="{568795BC-F42E-4749-BC3B-903BC7A3DB8C}"/>
    <cellStyle name="Normal 24 35" xfId="30097" xr:uid="{4B047A78-5435-4E70-813F-D393A169D447}"/>
    <cellStyle name="Normal 24 36" xfId="30098" xr:uid="{B3FD6C2C-ACDC-40D7-9F54-6830DE0E1B55}"/>
    <cellStyle name="Normal 24 37" xfId="30099" xr:uid="{E2066A13-955A-4CE8-9BEE-BD60EEA36D5F}"/>
    <cellStyle name="Normal 24 38" xfId="30100" xr:uid="{6113AB90-17EA-43B3-A91E-3735C62CA0AD}"/>
    <cellStyle name="Normal 24 39" xfId="30101" xr:uid="{BE717E08-AD3B-4FFA-B554-D914ADF7F1DF}"/>
    <cellStyle name="Normal 24 4" xfId="30102" xr:uid="{64765902-8647-4E37-9AAF-57142DE393AA}"/>
    <cellStyle name="Normal 24 40" xfId="30103" xr:uid="{3367BE28-91AC-40B0-9936-9C1D27586DA6}"/>
    <cellStyle name="Normal 24 41" xfId="30104" xr:uid="{2E52D23A-BDC4-4F0E-8C82-3A23CBFDC48E}"/>
    <cellStyle name="Normal 24 42" xfId="30105" xr:uid="{2F0B704F-B088-481A-8ADE-CD686072A4C9}"/>
    <cellStyle name="Normal 24 43" xfId="30106" xr:uid="{0609A3E3-DE7D-4BD0-BC7D-7F8C35C7565D}"/>
    <cellStyle name="Normal 24 5" xfId="30107" xr:uid="{D0770ACF-ACFA-48D8-B3DD-A2C5F009280B}"/>
    <cellStyle name="Normal 24 6" xfId="30108" xr:uid="{901AB519-4926-45E0-A93C-0E3C50BF08DB}"/>
    <cellStyle name="Normal 24 7" xfId="30109" xr:uid="{911B7C54-2DD2-478D-94D4-3538042FEA2C}"/>
    <cellStyle name="Normal 24 8" xfId="30110" xr:uid="{4DB598FE-D89F-4FE7-A967-59A94DC966D2}"/>
    <cellStyle name="Normal 24 9" xfId="30111" xr:uid="{BFB211EA-FB8E-42D0-AB20-12AB46F2DBD7}"/>
    <cellStyle name="Normal 25" xfId="1089" xr:uid="{C9368A94-5B78-4F50-8378-C5E2DD66663B}"/>
    <cellStyle name="Normal 25 10" xfId="30112" xr:uid="{E894D185-67BE-444F-BE81-85E381F3078C}"/>
    <cellStyle name="Normal 25 11" xfId="30113" xr:uid="{41F6B84E-20A1-44DC-86DF-CBEBA038B9B2}"/>
    <cellStyle name="Normal 25 12" xfId="30114" xr:uid="{852BB594-D33F-4EC1-8DB2-47BCCB1E4E89}"/>
    <cellStyle name="Normal 25 13" xfId="30115" xr:uid="{EDEAD030-712B-4703-BE19-444CC463A079}"/>
    <cellStyle name="Normal 25 14" xfId="30116" xr:uid="{0B73B9A0-9B1C-4D4D-8AF5-321FE782BEAD}"/>
    <cellStyle name="Normal 25 15" xfId="30117" xr:uid="{64CB33B1-4D0E-4C6D-A93C-6FCEA7192BC7}"/>
    <cellStyle name="Normal 25 16" xfId="30118" xr:uid="{451F2846-69C9-4B3B-BC0E-89FCCF98FB08}"/>
    <cellStyle name="Normal 25 17" xfId="30119" xr:uid="{A8BB65DF-25E4-4729-8822-A64C7F1346B5}"/>
    <cellStyle name="Normal 25 18" xfId="30120" xr:uid="{99893521-FE32-40AC-8199-2128828EA16A}"/>
    <cellStyle name="Normal 25 19" xfId="30121" xr:uid="{A7AEAB82-4C24-463E-98D2-FDF6C6EA24AE}"/>
    <cellStyle name="Normal 25 2" xfId="30122" xr:uid="{0A5DE9D3-A4E2-4FDC-9121-BA73BFA5B03F}"/>
    <cellStyle name="Normal 25 20" xfId="30123" xr:uid="{1FC35365-40E2-414B-9B6B-F3EEC30E3DA4}"/>
    <cellStyle name="Normal 25 21" xfId="30124" xr:uid="{ADD1749B-EBAB-4F60-98BF-7862DE9A2307}"/>
    <cellStyle name="Normal 25 22" xfId="30125" xr:uid="{183CD0C3-17A8-4E84-AFE1-4CF6844CE536}"/>
    <cellStyle name="Normal 25 23" xfId="30126" xr:uid="{D9F85377-8FAD-4C18-84CF-19CD57762BAD}"/>
    <cellStyle name="Normal 25 24" xfId="30127" xr:uid="{03D62011-81A4-40D6-8CA5-52FF18A89286}"/>
    <cellStyle name="Normal 25 25" xfId="30128" xr:uid="{CA14FA41-2493-4DF7-BA77-5C6C4C7EFD0A}"/>
    <cellStyle name="Normal 25 26" xfId="30129" xr:uid="{51E39C83-1C3E-4CC2-83DF-A9328FE6ED35}"/>
    <cellStyle name="Normal 25 27" xfId="30130" xr:uid="{8D2FAF7E-FF37-4A9F-AD57-FDEABF0C7FC6}"/>
    <cellStyle name="Normal 25 28" xfId="30131" xr:uid="{BF984BFB-CEAD-4B8F-B5F2-4B2355727F2F}"/>
    <cellStyle name="Normal 25 29" xfId="30132" xr:uid="{E30E60AD-7CEF-4828-A569-8EF85DD7DADA}"/>
    <cellStyle name="Normal 25 3" xfId="30133" xr:uid="{94E94D17-D14C-420A-B25B-66C5342CD152}"/>
    <cellStyle name="Normal 25 30" xfId="30134" xr:uid="{4B21A84B-32BD-4184-B15F-6BCC645EBCAE}"/>
    <cellStyle name="Normal 25 31" xfId="30135" xr:uid="{9810A3D7-BD92-4511-8074-F38D01A1E7E0}"/>
    <cellStyle name="Normal 25 32" xfId="30136" xr:uid="{816A84DE-B85A-421A-96E3-4AF812BA2267}"/>
    <cellStyle name="Normal 25 33" xfId="30137" xr:uid="{8F98E9FC-87EB-484D-860C-B2BE5C3AE831}"/>
    <cellStyle name="Normal 25 34" xfId="30138" xr:uid="{D7BA0D39-CC20-4316-9736-37475364658A}"/>
    <cellStyle name="Normal 25 35" xfId="30139" xr:uid="{3EFBE465-7480-44B4-9AE9-80A0590991C1}"/>
    <cellStyle name="Normal 25 36" xfId="30140" xr:uid="{5A2962F2-B2BC-4180-978B-2C6F7F28DA5B}"/>
    <cellStyle name="Normal 25 37" xfId="30141" xr:uid="{934E215D-4AA7-4EEE-A540-C1283CB2B5F0}"/>
    <cellStyle name="Normal 25 38" xfId="30142" xr:uid="{E6C0C291-E856-41E4-9C80-6F917E32ADB6}"/>
    <cellStyle name="Normal 25 39" xfId="30143" xr:uid="{0B8655D4-EFE3-4F48-9929-91023F0DC629}"/>
    <cellStyle name="Normal 25 4" xfId="30144" xr:uid="{F26B99C5-2EF2-41FD-A279-2254617D2578}"/>
    <cellStyle name="Normal 25 40" xfId="30145" xr:uid="{BF624B91-51EB-41F6-ACE7-D01D081C5368}"/>
    <cellStyle name="Normal 25 41" xfId="30146" xr:uid="{85921E2A-CBE1-48E7-8CEE-B03E86C3F28B}"/>
    <cellStyle name="Normal 25 42" xfId="30147" xr:uid="{CC07CEDB-55E0-4621-A521-8BF53957FE63}"/>
    <cellStyle name="Normal 25 43" xfId="30148" xr:uid="{F0AD8E03-AF1B-46AC-9CB5-6221D8EF4EF5}"/>
    <cellStyle name="Normal 25 5" xfId="30149" xr:uid="{CC34737B-A9C7-4877-9035-348D3BBEF49A}"/>
    <cellStyle name="Normal 25 6" xfId="30150" xr:uid="{341650C5-AEA2-4A0B-AFB5-207683E69B6B}"/>
    <cellStyle name="Normal 25 7" xfId="30151" xr:uid="{E6C94726-1D61-4FD3-AA47-D8E3A92FC39F}"/>
    <cellStyle name="Normal 25 8" xfId="30152" xr:uid="{8909AB12-F912-4B8F-8342-B963E6E9B0E1}"/>
    <cellStyle name="Normal 25 9" xfId="30153" xr:uid="{F270BE42-7181-4066-90C5-EFE1B9332A86}"/>
    <cellStyle name="Normal 26" xfId="1493" xr:uid="{4A171BA5-7E6F-4CA3-A540-ABDC5909D370}"/>
    <cellStyle name="Normal 26 10" xfId="30154" xr:uid="{323154E4-1A5E-4552-80AC-06A94CFE0C12}"/>
    <cellStyle name="Normal 26 10 10" xfId="30155" xr:uid="{ACE768CF-E64D-4850-9DB6-B750B76EF934}"/>
    <cellStyle name="Normal 26 10 11" xfId="30156" xr:uid="{AD06DA0E-6C9D-47A1-A1CD-4FAEFFA30AA3}"/>
    <cellStyle name="Normal 26 10 12" xfId="30157" xr:uid="{62510B36-F848-4FBE-9C91-8891C33F3632}"/>
    <cellStyle name="Normal 26 10 13" xfId="30158" xr:uid="{88292790-439C-45F0-BED4-306B73E8AF70}"/>
    <cellStyle name="Normal 26 10 2" xfId="30159" xr:uid="{CEF82E0F-8447-48BB-932C-D0520F81444C}"/>
    <cellStyle name="Normal 26 10 2 2" xfId="30160" xr:uid="{C7735210-4062-4EC0-BF2D-261257A82443}"/>
    <cellStyle name="Normal 26 10 2 3" xfId="30161" xr:uid="{12230AFB-8D6B-4F86-96FB-8688AC6D0267}"/>
    <cellStyle name="Normal 26 10 2 4" xfId="30162" xr:uid="{8CB14645-98BA-4904-BA04-CCEF6322BA50}"/>
    <cellStyle name="Normal 26 10 2 5" xfId="30163" xr:uid="{84C282EA-9F9E-4483-A0DA-78438FAE0A86}"/>
    <cellStyle name="Normal 26 10 2 6" xfId="30164" xr:uid="{AE9DA3D2-3A45-4359-9A68-A772D1F47C95}"/>
    <cellStyle name="Normal 26 10 3" xfId="30165" xr:uid="{5DAC564D-E973-4CD9-893B-7F23541F3D1B}"/>
    <cellStyle name="Normal 26 10 3 2" xfId="30166" xr:uid="{F64A6889-6B61-472E-BB50-4F249FEDD9CA}"/>
    <cellStyle name="Normal 26 10 3 3" xfId="30167" xr:uid="{12F35D8F-EE22-483A-AB15-B845C5C0DD8C}"/>
    <cellStyle name="Normal 26 10 3 4" xfId="30168" xr:uid="{407AC697-A468-4DC2-8034-7D6DF9CE59C0}"/>
    <cellStyle name="Normal 26 10 3 5" xfId="30169" xr:uid="{B731A3E5-2C98-406A-A9C1-E0BAE46A9900}"/>
    <cellStyle name="Normal 26 10 3 6" xfId="30170" xr:uid="{37375BB6-62D8-40AB-B167-464895A7B48D}"/>
    <cellStyle name="Normal 26 10 4" xfId="30171" xr:uid="{8B6E9E3C-E69E-487E-AD1A-0C7EA2AF9771}"/>
    <cellStyle name="Normal 26 10 4 2" xfId="30172" xr:uid="{1C67D73C-A21D-44A6-8090-73560FF99A58}"/>
    <cellStyle name="Normal 26 10 4 3" xfId="30173" xr:uid="{5C2C6FC5-07EF-49F4-95A1-B635AF0DCD28}"/>
    <cellStyle name="Normal 26 10 4 4" xfId="30174" xr:uid="{D60F2528-23BD-4EB2-9430-AD54CCAAE3ED}"/>
    <cellStyle name="Normal 26 10 4 5" xfId="30175" xr:uid="{AD92C782-DF7B-49D1-BF50-B8176A6F92CC}"/>
    <cellStyle name="Normal 26 10 4 6" xfId="30176" xr:uid="{FC199729-4297-4559-BB23-17693EB23450}"/>
    <cellStyle name="Normal 26 10 5" xfId="30177" xr:uid="{D3C8271B-714A-4749-BBC3-B16E0EA1AA48}"/>
    <cellStyle name="Normal 26 10 5 2" xfId="30178" xr:uid="{9C3E7C63-08AB-4F4E-8D97-F71F67C6BBFB}"/>
    <cellStyle name="Normal 26 10 5 3" xfId="30179" xr:uid="{5547ECB7-CE98-4B81-9DC1-DC90271A6324}"/>
    <cellStyle name="Normal 26 10 5 4" xfId="30180" xr:uid="{2B768201-D420-48B0-9CA1-0ADF2CA47699}"/>
    <cellStyle name="Normal 26 10 5 5" xfId="30181" xr:uid="{848CED56-1466-439F-8FEC-EF03D577007C}"/>
    <cellStyle name="Normal 26 10 5 6" xfId="30182" xr:uid="{76FF3183-41C4-4682-B5FB-712461EE79CD}"/>
    <cellStyle name="Normal 26 10 6" xfId="30183" xr:uid="{8955B452-5E6B-4BE9-BBBB-511B14D50921}"/>
    <cellStyle name="Normal 26 10 6 2" xfId="30184" xr:uid="{90717897-503F-4AFA-9329-FFF7A6EA527B}"/>
    <cellStyle name="Normal 26 10 6 3" xfId="30185" xr:uid="{3D6CF8B1-41DC-4577-88BF-22149EDB5E93}"/>
    <cellStyle name="Normal 26 10 6 4" xfId="30186" xr:uid="{2CF2D717-82D5-4E1D-B8C9-ACAD55DA8074}"/>
    <cellStyle name="Normal 26 10 6 5" xfId="30187" xr:uid="{3F656F81-38B8-4ADB-A864-372473799E1A}"/>
    <cellStyle name="Normal 26 10 6 6" xfId="30188" xr:uid="{53AF7732-2239-4708-A1BB-805D6651E717}"/>
    <cellStyle name="Normal 26 10 7" xfId="30189" xr:uid="{6AFC534E-B908-4CC4-8FE2-1FACAAAFC11C}"/>
    <cellStyle name="Normal 26 10 7 2" xfId="30190" xr:uid="{4404CE63-1C22-4D17-B64C-12DD667FBEF8}"/>
    <cellStyle name="Normal 26 10 7 3" xfId="30191" xr:uid="{6678129B-8184-4C0B-868A-4E0A33380245}"/>
    <cellStyle name="Normal 26 10 7 4" xfId="30192" xr:uid="{EF83FD87-36F1-4BB1-ADE5-CD1E1F690C07}"/>
    <cellStyle name="Normal 26 10 7 5" xfId="30193" xr:uid="{DF980051-E429-4C8B-93C4-B9F9B29FFF8D}"/>
    <cellStyle name="Normal 26 10 7 6" xfId="30194" xr:uid="{6FF7B565-9A53-4E52-BDF9-853FC6E46AC1}"/>
    <cellStyle name="Normal 26 10 8" xfId="30195" xr:uid="{6EB60FE6-CD8C-4B5E-BA46-9DC5380EEDB0}"/>
    <cellStyle name="Normal 26 10 8 2" xfId="30196" xr:uid="{484448E2-3B7F-4739-8E59-4B9C05F16CE4}"/>
    <cellStyle name="Normal 26 10 8 3" xfId="30197" xr:uid="{DDC61FBC-771B-4B6F-95D2-CEB5D6DA8901}"/>
    <cellStyle name="Normal 26 10 8 4" xfId="30198" xr:uid="{94483C05-323B-4555-AACC-D737D9E56F49}"/>
    <cellStyle name="Normal 26 10 8 5" xfId="30199" xr:uid="{8D27C9D6-CBC7-4275-A793-70D6151363EE}"/>
    <cellStyle name="Normal 26 10 8 6" xfId="30200" xr:uid="{1C244614-614D-4F3E-92D3-27682FADC4F0}"/>
    <cellStyle name="Normal 26 10 9" xfId="30201" xr:uid="{E485F4DE-09A5-4D63-9732-699825658704}"/>
    <cellStyle name="Normal 26 11" xfId="30202" xr:uid="{49CDF238-4641-4EDC-90B9-3A068D294CF8}"/>
    <cellStyle name="Normal 26 11 10" xfId="30203" xr:uid="{957E4EE6-E4BE-4043-BB08-E0E9A510EF2E}"/>
    <cellStyle name="Normal 26 11 11" xfId="30204" xr:uid="{F5AE105F-3003-4725-BEB9-523EC8FE5658}"/>
    <cellStyle name="Normal 26 11 12" xfId="30205" xr:uid="{8CD5038B-DF28-4D4C-A641-23557C9C2FE8}"/>
    <cellStyle name="Normal 26 11 13" xfId="30206" xr:uid="{4F92F40E-8B53-4535-90E6-674BC6318FEA}"/>
    <cellStyle name="Normal 26 11 2" xfId="30207" xr:uid="{3A48C1FB-15E7-4453-9680-E304E9FE06C2}"/>
    <cellStyle name="Normal 26 11 2 2" xfId="30208" xr:uid="{19FAE6BA-30AF-43EE-9826-84E467322B87}"/>
    <cellStyle name="Normal 26 11 2 3" xfId="30209" xr:uid="{89C5E794-3A66-4D12-8EC0-C1290994DE49}"/>
    <cellStyle name="Normal 26 11 2 4" xfId="30210" xr:uid="{A776BCD7-6A35-420E-B204-294018C58DAF}"/>
    <cellStyle name="Normal 26 11 2 5" xfId="30211" xr:uid="{91F9E3E8-8060-4E3C-8317-53017A828146}"/>
    <cellStyle name="Normal 26 11 2 6" xfId="30212" xr:uid="{99C23E79-2CA2-4920-8EF1-7743ED8BF7B9}"/>
    <cellStyle name="Normal 26 11 3" xfId="30213" xr:uid="{9DB0A8E0-7680-4345-8208-8F31F3E46D66}"/>
    <cellStyle name="Normal 26 11 3 2" xfId="30214" xr:uid="{E5028E69-A709-4459-BDD7-13841E75CFAC}"/>
    <cellStyle name="Normal 26 11 3 3" xfId="30215" xr:uid="{2B317CE7-C5A4-47C6-ABDC-47593561CC90}"/>
    <cellStyle name="Normal 26 11 3 4" xfId="30216" xr:uid="{ABF716DD-E221-4726-9C9C-E1C351C18BF0}"/>
    <cellStyle name="Normal 26 11 3 5" xfId="30217" xr:uid="{E6507A94-FD49-41D9-8DF3-0DCF317EFD32}"/>
    <cellStyle name="Normal 26 11 3 6" xfId="30218" xr:uid="{A084FDCA-B09D-4E07-B6BA-A7D6BFD78EE5}"/>
    <cellStyle name="Normal 26 11 4" xfId="30219" xr:uid="{0626A6A8-CAE8-402A-9A23-FED0D83299DF}"/>
    <cellStyle name="Normal 26 11 4 2" xfId="30220" xr:uid="{C24F69B5-FAB4-4674-9CBD-DD0A460F2196}"/>
    <cellStyle name="Normal 26 11 4 3" xfId="30221" xr:uid="{73B777AC-953D-4C20-A6F0-3C59EB1C2EAF}"/>
    <cellStyle name="Normal 26 11 4 4" xfId="30222" xr:uid="{9CFFA246-4B8B-43A7-9C75-8A63CFCE17B9}"/>
    <cellStyle name="Normal 26 11 4 5" xfId="30223" xr:uid="{781C5396-EDE2-4FFA-8045-31E50FE6A54B}"/>
    <cellStyle name="Normal 26 11 4 6" xfId="30224" xr:uid="{9C8BFA52-D60D-43F9-A485-0DFDB19F8A5C}"/>
    <cellStyle name="Normal 26 11 5" xfId="30225" xr:uid="{DC7FC651-F553-4CD0-86EF-E6F599C1125B}"/>
    <cellStyle name="Normal 26 11 5 2" xfId="30226" xr:uid="{C98199E4-2A23-48F8-BB16-4C1D5E4CAE47}"/>
    <cellStyle name="Normal 26 11 5 3" xfId="30227" xr:uid="{CFDBAD5D-244F-4625-8559-2AFA88B2AB11}"/>
    <cellStyle name="Normal 26 11 5 4" xfId="30228" xr:uid="{35B1A3A4-BE8A-4801-A3A6-594E5797113B}"/>
    <cellStyle name="Normal 26 11 5 5" xfId="30229" xr:uid="{ED14DFB7-3292-4C5E-84DA-F23CF3D320B2}"/>
    <cellStyle name="Normal 26 11 5 6" xfId="30230" xr:uid="{0E6F7359-3BC3-48EE-8744-412C4AEF0981}"/>
    <cellStyle name="Normal 26 11 6" xfId="30231" xr:uid="{B6EC09DB-F995-443E-AA4F-A81552C3429F}"/>
    <cellStyle name="Normal 26 11 6 2" xfId="30232" xr:uid="{885ACF86-74D9-4030-B232-BA91F6231CC2}"/>
    <cellStyle name="Normal 26 11 6 3" xfId="30233" xr:uid="{5100C145-C44B-43CB-A9BC-302211C16F1B}"/>
    <cellStyle name="Normal 26 11 6 4" xfId="30234" xr:uid="{43AA96C1-AF99-4C1B-B967-6EEE93F37D9F}"/>
    <cellStyle name="Normal 26 11 6 5" xfId="30235" xr:uid="{0FE91CD9-1DE0-4076-803A-36C10E13AE6C}"/>
    <cellStyle name="Normal 26 11 6 6" xfId="30236" xr:uid="{8E2B30F3-FD44-4614-AF16-98CE315A44F4}"/>
    <cellStyle name="Normal 26 11 7" xfId="30237" xr:uid="{BE063B3D-971A-41AD-A159-5BD93AE2D496}"/>
    <cellStyle name="Normal 26 11 7 2" xfId="30238" xr:uid="{0A550671-173E-4BD9-BB8F-18409A9D04E8}"/>
    <cellStyle name="Normal 26 11 7 3" xfId="30239" xr:uid="{58BB281B-B4AD-484E-9FC0-9A1C9C395563}"/>
    <cellStyle name="Normal 26 11 7 4" xfId="30240" xr:uid="{BD903412-3C12-475E-BC51-5BB7EF93DCCD}"/>
    <cellStyle name="Normal 26 11 7 5" xfId="30241" xr:uid="{A2CA9CA3-6A93-46E3-86ED-12A5FE1A30E6}"/>
    <cellStyle name="Normal 26 11 7 6" xfId="30242" xr:uid="{AC3CFB1A-1962-4EF2-8C58-6E27EA5C05D1}"/>
    <cellStyle name="Normal 26 11 8" xfId="30243" xr:uid="{2F085F72-232E-4D65-B34F-0096707415EA}"/>
    <cellStyle name="Normal 26 11 8 2" xfId="30244" xr:uid="{3EF9FAEB-03DB-4279-80D6-C1B0CEA812CC}"/>
    <cellStyle name="Normal 26 11 8 3" xfId="30245" xr:uid="{F8F22DF4-CFAC-4F81-8D4D-37C8D08AD116}"/>
    <cellStyle name="Normal 26 11 8 4" xfId="30246" xr:uid="{C36D999D-831C-40AC-91EE-8D62A39EA37A}"/>
    <cellStyle name="Normal 26 11 8 5" xfId="30247" xr:uid="{90C48FF9-84A6-4F70-A700-CAF4DED3257C}"/>
    <cellStyle name="Normal 26 11 8 6" xfId="30248" xr:uid="{69411963-32E8-45C1-A534-CC8CEBA733A5}"/>
    <cellStyle name="Normal 26 11 9" xfId="30249" xr:uid="{2FCEFC51-D380-4EA0-AA82-ABE70BBDA01A}"/>
    <cellStyle name="Normal 26 12" xfId="30250" xr:uid="{DADD65DA-9EAD-4AB7-8864-6A184EEDFB3B}"/>
    <cellStyle name="Normal 26 12 10" xfId="30251" xr:uid="{06DDD44F-4F4F-48F4-8DDD-F2AE52C167C0}"/>
    <cellStyle name="Normal 26 12 11" xfId="30252" xr:uid="{1CBC6943-E324-4291-A8AE-673775B031D7}"/>
    <cellStyle name="Normal 26 12 12" xfId="30253" xr:uid="{595EEA08-17F1-47E5-BF8F-4AA12255E7FB}"/>
    <cellStyle name="Normal 26 12 13" xfId="30254" xr:uid="{15C7106D-2B04-4AC9-A9B4-563852BF3747}"/>
    <cellStyle name="Normal 26 12 2" xfId="30255" xr:uid="{7B38C78A-3E18-48CF-A7B6-3548B1F05919}"/>
    <cellStyle name="Normal 26 12 2 2" xfId="30256" xr:uid="{1F8E4508-0F3F-4386-A340-B9D29DAD3AD4}"/>
    <cellStyle name="Normal 26 12 2 3" xfId="30257" xr:uid="{BE8D6E7B-1F09-43B8-9EFC-F4BDF5959E1D}"/>
    <cellStyle name="Normal 26 12 2 4" xfId="30258" xr:uid="{492D2133-14EC-4821-A074-A2B27912A534}"/>
    <cellStyle name="Normal 26 12 2 5" xfId="30259" xr:uid="{803A5F02-4227-4515-8E51-195DF9E40F0E}"/>
    <cellStyle name="Normal 26 12 2 6" xfId="30260" xr:uid="{E444958B-6B08-451F-9635-8FD6B4788518}"/>
    <cellStyle name="Normal 26 12 3" xfId="30261" xr:uid="{A3B7641F-9A62-4EE8-A540-FC53C31A16D5}"/>
    <cellStyle name="Normal 26 12 3 2" xfId="30262" xr:uid="{85015AA0-A94E-4BD4-B1F6-F229E061CDC7}"/>
    <cellStyle name="Normal 26 12 3 3" xfId="30263" xr:uid="{4B56100B-74CF-4A9A-9BB2-C4EBC82E4C14}"/>
    <cellStyle name="Normal 26 12 3 4" xfId="30264" xr:uid="{CF551624-BE4F-4B28-B905-D2A2EAD056DC}"/>
    <cellStyle name="Normal 26 12 3 5" xfId="30265" xr:uid="{C2E7BC8E-B929-4037-AFE0-F7637DAE0DED}"/>
    <cellStyle name="Normal 26 12 3 6" xfId="30266" xr:uid="{C8CF141F-333F-496D-BE10-B968BAC47344}"/>
    <cellStyle name="Normal 26 12 4" xfId="30267" xr:uid="{E6328A79-6276-497F-9B34-0F3E272F93B1}"/>
    <cellStyle name="Normal 26 12 4 2" xfId="30268" xr:uid="{6562128A-76E1-4710-9E4C-352120202366}"/>
    <cellStyle name="Normal 26 12 4 3" xfId="30269" xr:uid="{405848FC-6325-4D81-B613-1E1678B6920C}"/>
    <cellStyle name="Normal 26 12 4 4" xfId="30270" xr:uid="{E0861AF5-A16F-4B53-BC26-FA3729E41A60}"/>
    <cellStyle name="Normal 26 12 4 5" xfId="30271" xr:uid="{9F48FDDE-6A4B-4AFD-841F-0816B2625A06}"/>
    <cellStyle name="Normal 26 12 4 6" xfId="30272" xr:uid="{69401EE2-F759-420D-88CF-CB76B9C7C694}"/>
    <cellStyle name="Normal 26 12 5" xfId="30273" xr:uid="{CD96BAC8-0CCB-463C-8DCA-6906243AE3B7}"/>
    <cellStyle name="Normal 26 12 5 2" xfId="30274" xr:uid="{8A3F486C-164B-4804-B16B-ADBCFBB034F1}"/>
    <cellStyle name="Normal 26 12 5 3" xfId="30275" xr:uid="{EED18EC9-2F0A-4E8C-BBA5-C335792565DD}"/>
    <cellStyle name="Normal 26 12 5 4" xfId="30276" xr:uid="{824040B7-F3CD-43E8-B22A-941016C0CD26}"/>
    <cellStyle name="Normal 26 12 5 5" xfId="30277" xr:uid="{93442682-C134-49C0-A4EC-17E14C5A460C}"/>
    <cellStyle name="Normal 26 12 5 6" xfId="30278" xr:uid="{E0AFB041-D13B-43A2-95F1-D57758695CFD}"/>
    <cellStyle name="Normal 26 12 6" xfId="30279" xr:uid="{618A5E85-18DB-4358-80AC-8692629C75F6}"/>
    <cellStyle name="Normal 26 12 6 2" xfId="30280" xr:uid="{98B4E0AC-1348-4E7C-9902-7B205256A57B}"/>
    <cellStyle name="Normal 26 12 6 3" xfId="30281" xr:uid="{A5829D02-F180-4C13-A109-19786823F6C4}"/>
    <cellStyle name="Normal 26 12 6 4" xfId="30282" xr:uid="{5F0BE2FF-A0E0-4517-AD98-DF65D1D7F0EF}"/>
    <cellStyle name="Normal 26 12 6 5" xfId="30283" xr:uid="{FEC8933C-ABFB-44AE-A6FB-D99734A0797A}"/>
    <cellStyle name="Normal 26 12 6 6" xfId="30284" xr:uid="{66CFB4D0-0372-4264-8764-AB9AE63D0D4D}"/>
    <cellStyle name="Normal 26 12 7" xfId="30285" xr:uid="{3A3C3C0E-8FA9-4289-80D7-5659BFADF73A}"/>
    <cellStyle name="Normal 26 12 7 2" xfId="30286" xr:uid="{4E3898D8-6581-4C6B-B057-C434EB28858C}"/>
    <cellStyle name="Normal 26 12 7 3" xfId="30287" xr:uid="{6C783F2C-70BF-4B18-BEFF-A499220F86CC}"/>
    <cellStyle name="Normal 26 12 7 4" xfId="30288" xr:uid="{C56CF957-A26C-4977-A37A-2F78456DD327}"/>
    <cellStyle name="Normal 26 12 7 5" xfId="30289" xr:uid="{F34A2DF0-AD66-4752-BE39-11BB676DFF18}"/>
    <cellStyle name="Normal 26 12 7 6" xfId="30290" xr:uid="{8C674445-244F-4AF5-B8DE-2AF817B15771}"/>
    <cellStyle name="Normal 26 12 8" xfId="30291" xr:uid="{FEF0374F-AE45-479E-9F83-0B4BC064CC84}"/>
    <cellStyle name="Normal 26 12 8 2" xfId="30292" xr:uid="{BC604781-C10A-411A-9EC1-3B15AE84EE8F}"/>
    <cellStyle name="Normal 26 12 8 3" xfId="30293" xr:uid="{7197CE50-9BA3-4F74-889A-E1719BFB62F1}"/>
    <cellStyle name="Normal 26 12 8 4" xfId="30294" xr:uid="{DC52F0AB-6366-4489-95E5-DC63CE2A8C67}"/>
    <cellStyle name="Normal 26 12 8 5" xfId="30295" xr:uid="{C44E964F-C00F-449B-9F71-A84D9107C010}"/>
    <cellStyle name="Normal 26 12 8 6" xfId="30296" xr:uid="{2B51E03A-618C-4385-9BCA-95AE34DE7CCA}"/>
    <cellStyle name="Normal 26 12 9" xfId="30297" xr:uid="{9D80815F-75D0-4AAD-ACBF-ACCA75424FA4}"/>
    <cellStyle name="Normal 26 13" xfId="30298" xr:uid="{B730704F-AE28-4F64-9DDF-AFE36C637C99}"/>
    <cellStyle name="Normal 26 13 10" xfId="30299" xr:uid="{BD354959-DAFF-4FA2-B864-E54948533B4C}"/>
    <cellStyle name="Normal 26 13 11" xfId="30300" xr:uid="{65D70064-557B-4540-94AD-F7AF433E76A0}"/>
    <cellStyle name="Normal 26 13 12" xfId="30301" xr:uid="{E7DE5125-A1F8-4AF4-997D-B8714D7950D5}"/>
    <cellStyle name="Normal 26 13 13" xfId="30302" xr:uid="{CA0B986F-6FC2-48C2-9586-7D2A40FFA311}"/>
    <cellStyle name="Normal 26 13 2" xfId="30303" xr:uid="{B81FD98A-3C87-4BD1-A73A-3471C4E8041F}"/>
    <cellStyle name="Normal 26 13 2 2" xfId="30304" xr:uid="{657FBE3E-3016-4DC3-B4E0-B5076C18A0FB}"/>
    <cellStyle name="Normal 26 13 2 3" xfId="30305" xr:uid="{72645C28-7510-407D-AD49-7B056208A0DB}"/>
    <cellStyle name="Normal 26 13 2 4" xfId="30306" xr:uid="{778B06E1-3D88-4178-8546-8007D5736172}"/>
    <cellStyle name="Normal 26 13 2 5" xfId="30307" xr:uid="{B3396139-1AEB-4AFB-A9B9-01CD181F1F1B}"/>
    <cellStyle name="Normal 26 13 2 6" xfId="30308" xr:uid="{C75CEA88-D508-418E-A6E4-1642195877C3}"/>
    <cellStyle name="Normal 26 13 3" xfId="30309" xr:uid="{830A6D55-6013-4215-BEDC-53F841333322}"/>
    <cellStyle name="Normal 26 13 3 2" xfId="30310" xr:uid="{5CCBDACC-8BEE-45C9-A9D9-36402BE0343E}"/>
    <cellStyle name="Normal 26 13 3 3" xfId="30311" xr:uid="{1C84E888-FA98-405E-8E03-482F6B7A710A}"/>
    <cellStyle name="Normal 26 13 3 4" xfId="30312" xr:uid="{055CDDCD-EAB3-4F3E-8089-71377B2AB209}"/>
    <cellStyle name="Normal 26 13 3 5" xfId="30313" xr:uid="{9DFCA5C3-9DBB-4323-B696-55512D34A665}"/>
    <cellStyle name="Normal 26 13 3 6" xfId="30314" xr:uid="{578CC215-8C56-4E7B-991C-76C889D21B08}"/>
    <cellStyle name="Normal 26 13 4" xfId="30315" xr:uid="{903A4660-33EE-4026-A3AC-148DB50A11C3}"/>
    <cellStyle name="Normal 26 13 4 2" xfId="30316" xr:uid="{2C1D21D3-F613-44DD-AD43-F74056913112}"/>
    <cellStyle name="Normal 26 13 4 3" xfId="30317" xr:uid="{109EEF87-2CDF-475C-A887-CDF4EEC9A8B2}"/>
    <cellStyle name="Normal 26 13 4 4" xfId="30318" xr:uid="{5A55E666-0097-4F16-BE30-524100D9BD21}"/>
    <cellStyle name="Normal 26 13 4 5" xfId="30319" xr:uid="{B41AF996-D3A0-4D58-9A5F-E166465E9EB0}"/>
    <cellStyle name="Normal 26 13 4 6" xfId="30320" xr:uid="{3DAA97A6-69EF-4676-B15A-379050B620E7}"/>
    <cellStyle name="Normal 26 13 5" xfId="30321" xr:uid="{BC6F297A-38E7-40C6-949C-C37E7D84CB0B}"/>
    <cellStyle name="Normal 26 13 5 2" xfId="30322" xr:uid="{087E4BD3-8BF2-430A-99E3-DC2956C87B7B}"/>
    <cellStyle name="Normal 26 13 5 3" xfId="30323" xr:uid="{D006F053-B951-4EEC-ADF5-67B44349925B}"/>
    <cellStyle name="Normal 26 13 5 4" xfId="30324" xr:uid="{83DE578C-6DE2-486B-A18B-2B45B7FC1EBF}"/>
    <cellStyle name="Normal 26 13 5 5" xfId="30325" xr:uid="{8D81E0C1-B49B-48C3-A5EB-4F54E505F92C}"/>
    <cellStyle name="Normal 26 13 5 6" xfId="30326" xr:uid="{0804BF8F-A6FC-4829-92FE-8C334A44B507}"/>
    <cellStyle name="Normal 26 13 6" xfId="30327" xr:uid="{01BA6452-1723-431D-9343-2D70BDF5E3A1}"/>
    <cellStyle name="Normal 26 13 6 2" xfId="30328" xr:uid="{37A1116B-7193-445B-9156-9C0313276777}"/>
    <cellStyle name="Normal 26 13 6 3" xfId="30329" xr:uid="{BF096C35-01FA-485F-86D3-601DE0371B2D}"/>
    <cellStyle name="Normal 26 13 6 4" xfId="30330" xr:uid="{3E52BAA8-457B-41C3-A7B4-87F2B10F7F26}"/>
    <cellStyle name="Normal 26 13 6 5" xfId="30331" xr:uid="{52A705E5-023A-4DBC-A9BB-BD736712D561}"/>
    <cellStyle name="Normal 26 13 6 6" xfId="30332" xr:uid="{9B0667BA-0E2E-4F18-AE05-F593BF40DC84}"/>
    <cellStyle name="Normal 26 13 7" xfId="30333" xr:uid="{054F06F7-0596-4A05-8A44-8932E6D86DCE}"/>
    <cellStyle name="Normal 26 13 7 2" xfId="30334" xr:uid="{6929F069-7FF3-4907-A03B-D3EE2A57D898}"/>
    <cellStyle name="Normal 26 13 7 3" xfId="30335" xr:uid="{A31C2956-DCC8-4B96-ACC5-6C6F7A3A5AAD}"/>
    <cellStyle name="Normal 26 13 7 4" xfId="30336" xr:uid="{32D9BB45-C43C-4815-97EA-3A9EF2F716FB}"/>
    <cellStyle name="Normal 26 13 7 5" xfId="30337" xr:uid="{5BA5C5F4-0450-4A3B-A2C3-00EEDE7097C8}"/>
    <cellStyle name="Normal 26 13 7 6" xfId="30338" xr:uid="{F5E41020-EBA3-47AA-8A77-5F17D08144D6}"/>
    <cellStyle name="Normal 26 13 8" xfId="30339" xr:uid="{AA51ABC6-EFD7-40DE-84C4-35932F23C441}"/>
    <cellStyle name="Normal 26 13 8 2" xfId="30340" xr:uid="{337BE6CE-4A8D-468A-B72E-607CBA2071BE}"/>
    <cellStyle name="Normal 26 13 8 3" xfId="30341" xr:uid="{B156CA0C-E82F-46A6-BC2C-2DBF55BD2A94}"/>
    <cellStyle name="Normal 26 13 8 4" xfId="30342" xr:uid="{7BCE9F92-5177-47EE-8E6B-98F0F6D96F2D}"/>
    <cellStyle name="Normal 26 13 8 5" xfId="30343" xr:uid="{B55DB0E1-A088-4E92-9B49-25E2C43B9E85}"/>
    <cellStyle name="Normal 26 13 8 6" xfId="30344" xr:uid="{69D7EF79-7C96-42DE-997F-A4D3F2AFACCD}"/>
    <cellStyle name="Normal 26 13 9" xfId="30345" xr:uid="{18C82D7C-E715-4104-87C7-A660A6319F70}"/>
    <cellStyle name="Normal 26 14" xfId="30346" xr:uid="{ECE5CF87-4C16-46E9-8F63-6B15400F85CE}"/>
    <cellStyle name="Normal 26 14 10" xfId="30347" xr:uid="{21600D11-0BD2-4B22-A963-38E7DEF727E3}"/>
    <cellStyle name="Normal 26 14 11" xfId="30348" xr:uid="{22E10A90-2BB6-4876-B1E9-6C6B9F14CC99}"/>
    <cellStyle name="Normal 26 14 12" xfId="30349" xr:uid="{55BD493B-FB4C-4D75-83D1-C1CF19E5EE50}"/>
    <cellStyle name="Normal 26 14 13" xfId="30350" xr:uid="{F3DA5763-287C-4646-A780-AF97715E74A8}"/>
    <cellStyle name="Normal 26 14 2" xfId="30351" xr:uid="{961F80BD-B3B8-44D5-B483-EB43493FBA9E}"/>
    <cellStyle name="Normal 26 14 2 2" xfId="30352" xr:uid="{35E713F4-3233-419B-844F-BEAE47106C5A}"/>
    <cellStyle name="Normal 26 14 2 3" xfId="30353" xr:uid="{BA3CC845-C7EF-4A80-925D-EDF3844DF0A7}"/>
    <cellStyle name="Normal 26 14 2 4" xfId="30354" xr:uid="{6CFC857F-DEA8-4DFC-9DB3-D56351065391}"/>
    <cellStyle name="Normal 26 14 2 5" xfId="30355" xr:uid="{4D5B1400-D055-48BE-92E7-451C538DEC32}"/>
    <cellStyle name="Normal 26 14 2 6" xfId="30356" xr:uid="{002A00D3-BE6E-43EB-897C-2F617B68D345}"/>
    <cellStyle name="Normal 26 14 3" xfId="30357" xr:uid="{4B522A32-33AD-4865-B975-91E3FB4B6512}"/>
    <cellStyle name="Normal 26 14 3 2" xfId="30358" xr:uid="{FE84E5FF-67FD-4756-9B40-D2ED68A08047}"/>
    <cellStyle name="Normal 26 14 3 3" xfId="30359" xr:uid="{718E2F25-C88F-4884-AB14-85C8405B4DA8}"/>
    <cellStyle name="Normal 26 14 3 4" xfId="30360" xr:uid="{A70F758B-704C-4D80-9C07-E30522C718D5}"/>
    <cellStyle name="Normal 26 14 3 5" xfId="30361" xr:uid="{444F33C6-4932-4997-A913-2358DBA8DE38}"/>
    <cellStyle name="Normal 26 14 3 6" xfId="30362" xr:uid="{18AF3E27-0B9D-46BB-8724-9FBAF07B8A6D}"/>
    <cellStyle name="Normal 26 14 4" xfId="30363" xr:uid="{81AC56D1-948E-4CBB-B623-0C3BBED288D6}"/>
    <cellStyle name="Normal 26 14 4 2" xfId="30364" xr:uid="{8E360B84-7084-4CE6-A0BA-17A54AB1A514}"/>
    <cellStyle name="Normal 26 14 4 3" xfId="30365" xr:uid="{26CC1880-995E-4304-A730-796818695A9E}"/>
    <cellStyle name="Normal 26 14 4 4" xfId="30366" xr:uid="{453BECD2-9D88-4B30-BD4B-2974D95F9835}"/>
    <cellStyle name="Normal 26 14 4 5" xfId="30367" xr:uid="{5303BB33-2BAF-4205-A66F-9C9444D4AB5A}"/>
    <cellStyle name="Normal 26 14 4 6" xfId="30368" xr:uid="{25600C82-D38F-4FD4-816E-63185C285B3C}"/>
    <cellStyle name="Normal 26 14 5" xfId="30369" xr:uid="{B7EC4B28-E129-41B8-832F-F15C3490EC45}"/>
    <cellStyle name="Normal 26 14 5 2" xfId="30370" xr:uid="{79D54DAA-F994-49B1-AFD1-2F98552AF046}"/>
    <cellStyle name="Normal 26 14 5 3" xfId="30371" xr:uid="{89E8DAE0-1A74-498D-8278-9AACF55795E7}"/>
    <cellStyle name="Normal 26 14 5 4" xfId="30372" xr:uid="{F5600244-D773-4EEA-A852-07D0F3CA99BE}"/>
    <cellStyle name="Normal 26 14 5 5" xfId="30373" xr:uid="{0A9E4B27-DEBE-4F3D-BB2D-BE43FC47096B}"/>
    <cellStyle name="Normal 26 14 5 6" xfId="30374" xr:uid="{674CF228-4972-499F-BDC1-275E4359A4A5}"/>
    <cellStyle name="Normal 26 14 6" xfId="30375" xr:uid="{4737B24A-5B46-4EC4-B0D9-2B5B45D590D4}"/>
    <cellStyle name="Normal 26 14 6 2" xfId="30376" xr:uid="{CB04CDEA-F657-4F9C-A1B4-74D9E86850DE}"/>
    <cellStyle name="Normal 26 14 6 3" xfId="30377" xr:uid="{D113E184-AB15-4DEF-8B68-86C01965BE30}"/>
    <cellStyle name="Normal 26 14 6 4" xfId="30378" xr:uid="{AC941D50-AF0A-4479-B9EA-26928F0B4168}"/>
    <cellStyle name="Normal 26 14 6 5" xfId="30379" xr:uid="{B773E6FC-DB11-44B6-8F62-622B4B9E85CD}"/>
    <cellStyle name="Normal 26 14 6 6" xfId="30380" xr:uid="{BF13CAB3-7D9E-425D-920E-F1D45B748A3C}"/>
    <cellStyle name="Normal 26 14 7" xfId="30381" xr:uid="{CDB6F3BA-DEDC-45B1-811A-E310026ABB47}"/>
    <cellStyle name="Normal 26 14 7 2" xfId="30382" xr:uid="{1AFECF20-C38E-459D-BC81-62C5737E3430}"/>
    <cellStyle name="Normal 26 14 7 3" xfId="30383" xr:uid="{78A2837A-50BE-416E-A9C2-03E991EC0C77}"/>
    <cellStyle name="Normal 26 14 7 4" xfId="30384" xr:uid="{D0DF2452-18B3-44D2-B697-4C58488FB4AE}"/>
    <cellStyle name="Normal 26 14 7 5" xfId="30385" xr:uid="{E5EC9E0F-99C1-4672-8D19-CC5E376E415D}"/>
    <cellStyle name="Normal 26 14 7 6" xfId="30386" xr:uid="{320CD3F1-7A38-4884-A462-DE724899F2EF}"/>
    <cellStyle name="Normal 26 14 8" xfId="30387" xr:uid="{4F73033B-5820-442D-B91A-5B85BB23A4AB}"/>
    <cellStyle name="Normal 26 14 8 2" xfId="30388" xr:uid="{B37F3E2C-CB16-4FCF-A5D8-7D29DFDEA742}"/>
    <cellStyle name="Normal 26 14 8 3" xfId="30389" xr:uid="{DCE15DFD-6426-4155-9D2C-57C26A4E8249}"/>
    <cellStyle name="Normal 26 14 8 4" xfId="30390" xr:uid="{45D38FCC-E604-418C-9327-D6D5616EA3A5}"/>
    <cellStyle name="Normal 26 14 8 5" xfId="30391" xr:uid="{F29FCDA3-1AB4-41F1-A52F-B263A1BF3A90}"/>
    <cellStyle name="Normal 26 14 8 6" xfId="30392" xr:uid="{20453E29-E5B7-4085-91FD-0729726701DA}"/>
    <cellStyle name="Normal 26 14 9" xfId="30393" xr:uid="{059F7DAB-E06A-40F3-8309-C835A862D55C}"/>
    <cellStyle name="Normal 26 15" xfId="30394" xr:uid="{1D91B54D-66DE-4FFB-BA64-12B9BE422116}"/>
    <cellStyle name="Normal 26 15 10" xfId="30395" xr:uid="{3A0843FA-45DD-42AB-A536-1E332E3DECEF}"/>
    <cellStyle name="Normal 26 15 11" xfId="30396" xr:uid="{C65A3101-979F-48DD-AE7F-DDB5D0C02DD4}"/>
    <cellStyle name="Normal 26 15 12" xfId="30397" xr:uid="{E3301DE1-1EE0-420E-88FE-6AF5B1B172DF}"/>
    <cellStyle name="Normal 26 15 13" xfId="30398" xr:uid="{E0CF3AEA-1D9C-43DA-BE0B-B08D2BF69501}"/>
    <cellStyle name="Normal 26 15 2" xfId="30399" xr:uid="{F9F001BF-763C-4F3C-83C7-EEA04CE01C9E}"/>
    <cellStyle name="Normal 26 15 2 2" xfId="30400" xr:uid="{05E2F173-CE43-4755-B136-19D75E6F89AF}"/>
    <cellStyle name="Normal 26 15 2 3" xfId="30401" xr:uid="{266FBC1F-207B-47CF-865B-35F0812C6EBB}"/>
    <cellStyle name="Normal 26 15 2 4" xfId="30402" xr:uid="{94CBF8A1-6652-48C9-9F03-B9471044D936}"/>
    <cellStyle name="Normal 26 15 2 5" xfId="30403" xr:uid="{AE777F94-B6CA-4863-8DC0-BFA7F4C81E3F}"/>
    <cellStyle name="Normal 26 15 2 6" xfId="30404" xr:uid="{95D122CC-FF29-41CE-8323-C3A2BAF9A516}"/>
    <cellStyle name="Normal 26 15 3" xfId="30405" xr:uid="{7BC4A63B-EFD5-46A7-878F-0F814DA155FD}"/>
    <cellStyle name="Normal 26 15 3 2" xfId="30406" xr:uid="{3D245881-B9DB-44F3-A58A-CEAD236A6D87}"/>
    <cellStyle name="Normal 26 15 3 3" xfId="30407" xr:uid="{110FBBED-BB88-4245-B640-BE884BCCF850}"/>
    <cellStyle name="Normal 26 15 3 4" xfId="30408" xr:uid="{D8C3C675-F051-459B-AF39-211B408465BF}"/>
    <cellStyle name="Normal 26 15 3 5" xfId="30409" xr:uid="{A05994D0-7D4F-40E9-B10C-30F860CB5D4D}"/>
    <cellStyle name="Normal 26 15 3 6" xfId="30410" xr:uid="{9BD1D72F-A39F-4B5A-B099-932D6F8D2347}"/>
    <cellStyle name="Normal 26 15 4" xfId="30411" xr:uid="{4A5B7324-1FDE-435D-867C-E8AC3F0D79EE}"/>
    <cellStyle name="Normal 26 15 4 2" xfId="30412" xr:uid="{2DCD44C3-5468-43BD-9CE4-A29B1255D3C6}"/>
    <cellStyle name="Normal 26 15 4 3" xfId="30413" xr:uid="{6B36EC21-0830-4E16-B9A8-0D735629737B}"/>
    <cellStyle name="Normal 26 15 4 4" xfId="30414" xr:uid="{025FF2C4-9B35-4FC6-9215-1FF3D0EA8EE7}"/>
    <cellStyle name="Normal 26 15 4 5" xfId="30415" xr:uid="{4126F0D0-8923-457D-B399-B68267ACB285}"/>
    <cellStyle name="Normal 26 15 4 6" xfId="30416" xr:uid="{600D7733-3EA4-4CE4-9570-88AD57263D57}"/>
    <cellStyle name="Normal 26 15 5" xfId="30417" xr:uid="{CE570B4A-1DF5-4E4B-A3F0-09E51835126F}"/>
    <cellStyle name="Normal 26 15 5 2" xfId="30418" xr:uid="{F7DC1BD7-10F8-4BA8-BB1E-B67D1AEC07B2}"/>
    <cellStyle name="Normal 26 15 5 3" xfId="30419" xr:uid="{CAF14A72-B683-4C5E-8D39-D20564412541}"/>
    <cellStyle name="Normal 26 15 5 4" xfId="30420" xr:uid="{1D459C23-934C-4333-A7FB-569BA386147A}"/>
    <cellStyle name="Normal 26 15 5 5" xfId="30421" xr:uid="{8EFDA5F6-13A8-4759-B106-E5C9A66C9C15}"/>
    <cellStyle name="Normal 26 15 5 6" xfId="30422" xr:uid="{41FCD777-0425-4F3D-8437-3148B6F78204}"/>
    <cellStyle name="Normal 26 15 6" xfId="30423" xr:uid="{8370009B-D445-4EFB-BD53-9FFD3883A423}"/>
    <cellStyle name="Normal 26 15 6 2" xfId="30424" xr:uid="{28C94A10-6FEF-4655-ACA4-33B5DFC5F312}"/>
    <cellStyle name="Normal 26 15 6 3" xfId="30425" xr:uid="{7FAB759A-4493-4821-9ADF-C21EDD367C73}"/>
    <cellStyle name="Normal 26 15 6 4" xfId="30426" xr:uid="{A3C8EBE7-8C74-4B59-B0AD-42768B33B580}"/>
    <cellStyle name="Normal 26 15 6 5" xfId="30427" xr:uid="{5C9BDD9B-E48A-459F-8F0B-4F994E01421F}"/>
    <cellStyle name="Normal 26 15 6 6" xfId="30428" xr:uid="{7680E31D-A0B9-4E37-853B-C3F6C1830695}"/>
    <cellStyle name="Normal 26 15 7" xfId="30429" xr:uid="{AA5201D4-D4A1-4709-82AD-023CB6A521FF}"/>
    <cellStyle name="Normal 26 15 7 2" xfId="30430" xr:uid="{A1FE94F5-E260-483E-A833-10C02045B991}"/>
    <cellStyle name="Normal 26 15 7 3" xfId="30431" xr:uid="{A7C08AF0-DAB5-4AE3-A886-97BA78D28961}"/>
    <cellStyle name="Normal 26 15 7 4" xfId="30432" xr:uid="{E8BB32EA-6DE2-4EA4-B1B5-DCBB9D4914BD}"/>
    <cellStyle name="Normal 26 15 7 5" xfId="30433" xr:uid="{B3FAB0B2-D4DD-40F7-BC24-3EBE998415D3}"/>
    <cellStyle name="Normal 26 15 7 6" xfId="30434" xr:uid="{FFC0659B-5570-4A25-A797-6D75F7C9B732}"/>
    <cellStyle name="Normal 26 15 8" xfId="30435" xr:uid="{0756E388-D35F-4F70-B689-0DFCBD4E4D4E}"/>
    <cellStyle name="Normal 26 15 8 2" xfId="30436" xr:uid="{851B7FFA-0BDD-4EEE-B117-9F8760A066BD}"/>
    <cellStyle name="Normal 26 15 8 3" xfId="30437" xr:uid="{1D50130B-C528-47E1-A545-8A857B3BCCC0}"/>
    <cellStyle name="Normal 26 15 8 4" xfId="30438" xr:uid="{C429C294-0207-43C6-8B5E-A4BD2D4D9405}"/>
    <cellStyle name="Normal 26 15 8 5" xfId="30439" xr:uid="{A41CBE7A-70BB-4F87-BD71-6968EAB9E2CE}"/>
    <cellStyle name="Normal 26 15 8 6" xfId="30440" xr:uid="{E81794F3-95B9-4B46-A97A-9B0E44BA1639}"/>
    <cellStyle name="Normal 26 15 9" xfId="30441" xr:uid="{72349F50-CF1F-4160-A25D-43A5D6AF8E38}"/>
    <cellStyle name="Normal 26 16" xfId="30442" xr:uid="{7DE342FA-49D3-400F-B67C-87F897243426}"/>
    <cellStyle name="Normal 26 16 10" xfId="30443" xr:uid="{AA643FA4-780A-4880-991A-43CAB092756E}"/>
    <cellStyle name="Normal 26 16 11" xfId="30444" xr:uid="{4F231AFD-FF7E-48DB-8FA2-323A1DE2310E}"/>
    <cellStyle name="Normal 26 16 12" xfId="30445" xr:uid="{B4946A4C-6B32-40BA-AE5D-69091DBB44A9}"/>
    <cellStyle name="Normal 26 16 13" xfId="30446" xr:uid="{837159DB-F884-4655-95A2-F4546B142580}"/>
    <cellStyle name="Normal 26 16 2" xfId="30447" xr:uid="{D9B85729-6E71-4E4D-A341-EBCBA653B077}"/>
    <cellStyle name="Normal 26 16 2 2" xfId="30448" xr:uid="{625F8EC2-D543-4376-AFB1-3A13F1BFED8D}"/>
    <cellStyle name="Normal 26 16 2 3" xfId="30449" xr:uid="{ED044707-7BDE-4DCA-9DAB-C7139F301348}"/>
    <cellStyle name="Normal 26 16 2 4" xfId="30450" xr:uid="{6C5C1D2D-F304-4A3F-ABEF-E6689AEBD12D}"/>
    <cellStyle name="Normal 26 16 2 5" xfId="30451" xr:uid="{E5642D5F-1212-420F-B1A8-6F282C96D5C8}"/>
    <cellStyle name="Normal 26 16 2 6" xfId="30452" xr:uid="{7E351E22-B976-41E9-813E-8CA14E786446}"/>
    <cellStyle name="Normal 26 16 3" xfId="30453" xr:uid="{75C01727-DBD8-4D06-A3D5-A21CA74E061B}"/>
    <cellStyle name="Normal 26 16 3 2" xfId="30454" xr:uid="{5227CB6D-A02A-4B11-BC87-4E9A49365C7C}"/>
    <cellStyle name="Normal 26 16 3 3" xfId="30455" xr:uid="{48307C93-E483-4F3D-BF4B-81B771F6A956}"/>
    <cellStyle name="Normal 26 16 3 4" xfId="30456" xr:uid="{0878650C-E238-4A64-8F91-68460EF9F127}"/>
    <cellStyle name="Normal 26 16 3 5" xfId="30457" xr:uid="{D2DF517A-18CF-4B0C-8BF8-C3397C1386F0}"/>
    <cellStyle name="Normal 26 16 3 6" xfId="30458" xr:uid="{9F8DDF9E-CAA8-4190-81B8-A5F3DFEBC246}"/>
    <cellStyle name="Normal 26 16 4" xfId="30459" xr:uid="{05B1CA75-D293-4B0C-9B8A-282612FF786B}"/>
    <cellStyle name="Normal 26 16 4 2" xfId="30460" xr:uid="{AB32D2F0-FE84-4BC8-B0BF-61C6E4B8E576}"/>
    <cellStyle name="Normal 26 16 4 3" xfId="30461" xr:uid="{5977142C-6E9C-4229-A193-DA180526F047}"/>
    <cellStyle name="Normal 26 16 4 4" xfId="30462" xr:uid="{E44940CC-34F8-4FB7-ADD0-44B799CF8D6A}"/>
    <cellStyle name="Normal 26 16 4 5" xfId="30463" xr:uid="{EA0A5995-E29C-4CF1-943A-46E17B655FBD}"/>
    <cellStyle name="Normal 26 16 4 6" xfId="30464" xr:uid="{53B63BCC-29D7-4886-8A4A-1A8C8F9361D6}"/>
    <cellStyle name="Normal 26 16 5" xfId="30465" xr:uid="{1709B4B7-F471-4A97-BDF5-F939EAFD59B2}"/>
    <cellStyle name="Normal 26 16 5 2" xfId="30466" xr:uid="{551EE982-CC60-4C82-8D70-45CB94E97C00}"/>
    <cellStyle name="Normal 26 16 5 3" xfId="30467" xr:uid="{7306995A-A58B-4212-9A7A-0F94A36D3B01}"/>
    <cellStyle name="Normal 26 16 5 4" xfId="30468" xr:uid="{F8BA9AA9-4BBB-497A-A049-69E1FC989AA8}"/>
    <cellStyle name="Normal 26 16 5 5" xfId="30469" xr:uid="{1C83E23F-7C96-4DDE-BB70-C180254EEBC3}"/>
    <cellStyle name="Normal 26 16 5 6" xfId="30470" xr:uid="{6B8D9074-B1D9-4B5A-801C-25AA79165109}"/>
    <cellStyle name="Normal 26 16 6" xfId="30471" xr:uid="{03FD3C10-A60F-4F76-8E7A-778CA720C0BA}"/>
    <cellStyle name="Normal 26 16 6 2" xfId="30472" xr:uid="{0FA3B43C-3D7E-4A84-9BA9-E7475BC46653}"/>
    <cellStyle name="Normal 26 16 6 3" xfId="30473" xr:uid="{FBB2C58A-AEB5-4661-9693-95B90955D980}"/>
    <cellStyle name="Normal 26 16 6 4" xfId="30474" xr:uid="{350FEF3C-1DF3-41BE-A40F-B2237A423521}"/>
    <cellStyle name="Normal 26 16 6 5" xfId="30475" xr:uid="{95AA2C32-8F1C-4CA7-BAAC-90CD8882EB4D}"/>
    <cellStyle name="Normal 26 16 6 6" xfId="30476" xr:uid="{D7BC5779-2B74-4F5E-BDA7-9D1F03CFEF02}"/>
    <cellStyle name="Normal 26 16 7" xfId="30477" xr:uid="{644BB833-63A9-4023-8564-252B41827136}"/>
    <cellStyle name="Normal 26 16 7 2" xfId="30478" xr:uid="{66093751-8B94-4A9D-8B45-9C05DE8417FD}"/>
    <cellStyle name="Normal 26 16 7 3" xfId="30479" xr:uid="{8ADD0546-86F4-478C-9E0D-4872A1FB6317}"/>
    <cellStyle name="Normal 26 16 7 4" xfId="30480" xr:uid="{9703ACBA-C530-486D-BE0A-DD4F1AE714F0}"/>
    <cellStyle name="Normal 26 16 7 5" xfId="30481" xr:uid="{9C7775FF-3E61-4110-AF03-BF31E5FB6EB3}"/>
    <cellStyle name="Normal 26 16 7 6" xfId="30482" xr:uid="{31A2299F-7852-4EC5-9D66-607F3D84D24B}"/>
    <cellStyle name="Normal 26 16 8" xfId="30483" xr:uid="{26405F03-AD27-4F98-8B5D-9DDD0B59C0FA}"/>
    <cellStyle name="Normal 26 16 8 2" xfId="30484" xr:uid="{E78F13DE-5E03-4B8D-ACC0-78953D3A7FC6}"/>
    <cellStyle name="Normal 26 16 8 3" xfId="30485" xr:uid="{A5B54CF9-0E10-40C0-80C0-9A88D2D369A7}"/>
    <cellStyle name="Normal 26 16 8 4" xfId="30486" xr:uid="{11CC6849-18A7-4796-95DF-426C51823FDA}"/>
    <cellStyle name="Normal 26 16 8 5" xfId="30487" xr:uid="{4F7D439F-02FE-4C46-B6D5-B5F0C2A3C150}"/>
    <cellStyle name="Normal 26 16 8 6" xfId="30488" xr:uid="{51C24DA0-6C7A-4496-AAFC-EA0422213846}"/>
    <cellStyle name="Normal 26 16 9" xfId="30489" xr:uid="{15CFCED0-0E36-464B-8380-EC6856D07F66}"/>
    <cellStyle name="Normal 26 17" xfId="30490" xr:uid="{F445F2FA-2D79-42D3-A3E0-1BBB6A7365AE}"/>
    <cellStyle name="Normal 26 17 10" xfId="30491" xr:uid="{6DC86A3F-A81A-4936-9FEC-C043D005AA92}"/>
    <cellStyle name="Normal 26 17 11" xfId="30492" xr:uid="{27001BF5-33C3-415D-B675-74BED2475375}"/>
    <cellStyle name="Normal 26 17 12" xfId="30493" xr:uid="{822579CF-8B1B-4CDF-9774-F29F24E49A69}"/>
    <cellStyle name="Normal 26 17 13" xfId="30494" xr:uid="{749E173D-3A2C-4846-A94C-3B6284DBF580}"/>
    <cellStyle name="Normal 26 17 2" xfId="30495" xr:uid="{4349F75F-AA0B-41E5-8152-81C076B24F4E}"/>
    <cellStyle name="Normal 26 17 2 2" xfId="30496" xr:uid="{D91C0889-ECC1-45BE-A6DF-ACE32F0E572C}"/>
    <cellStyle name="Normal 26 17 2 3" xfId="30497" xr:uid="{FCA806E4-D15F-47C6-A366-128240EF7BBB}"/>
    <cellStyle name="Normal 26 17 2 4" xfId="30498" xr:uid="{3BFC7220-2957-4E81-854A-5076786902CA}"/>
    <cellStyle name="Normal 26 17 2 5" xfId="30499" xr:uid="{137A9C60-2409-42E5-97D2-D1E65BF07792}"/>
    <cellStyle name="Normal 26 17 2 6" xfId="30500" xr:uid="{AD9F82D7-AD7D-4088-B526-3F03E2F9C3D5}"/>
    <cellStyle name="Normal 26 17 3" xfId="30501" xr:uid="{53E5E92A-037D-440E-B672-A2F2DE34E687}"/>
    <cellStyle name="Normal 26 17 3 2" xfId="30502" xr:uid="{7E3E36E5-F2C2-4FE0-9DCA-2FE4E6374B6F}"/>
    <cellStyle name="Normal 26 17 3 3" xfId="30503" xr:uid="{FB2E0E8A-7F02-435C-8106-1B2DF55A27D1}"/>
    <cellStyle name="Normal 26 17 3 4" xfId="30504" xr:uid="{1F9BEC5B-7579-4DFC-A446-9CB9C8F9F184}"/>
    <cellStyle name="Normal 26 17 3 5" xfId="30505" xr:uid="{EB00EF5C-5A0E-47A4-83FF-52EAFE80A81E}"/>
    <cellStyle name="Normal 26 17 3 6" xfId="30506" xr:uid="{502E964E-27A4-4613-8F0E-FB4FCA01BD41}"/>
    <cellStyle name="Normal 26 17 4" xfId="30507" xr:uid="{E7014021-0E9D-4CB7-ABB5-FA6EC00A3304}"/>
    <cellStyle name="Normal 26 17 4 2" xfId="30508" xr:uid="{0142BDCF-4EF9-4D74-B070-47CE886C47D7}"/>
    <cellStyle name="Normal 26 17 4 3" xfId="30509" xr:uid="{3968C8AE-E1D3-4047-98CF-18CCBF7351D4}"/>
    <cellStyle name="Normal 26 17 4 4" xfId="30510" xr:uid="{7649E121-8004-44A4-BFEA-0A210DF42FE5}"/>
    <cellStyle name="Normal 26 17 4 5" xfId="30511" xr:uid="{9ABAE98F-6C30-49BA-834E-AB9B69850F8F}"/>
    <cellStyle name="Normal 26 17 4 6" xfId="30512" xr:uid="{0FF10982-4913-489D-BD45-8417341E8415}"/>
    <cellStyle name="Normal 26 17 5" xfId="30513" xr:uid="{3DDF5E3A-09CE-4392-AE89-B27C16C3D112}"/>
    <cellStyle name="Normal 26 17 5 2" xfId="30514" xr:uid="{7FC42535-398B-4393-9B46-A165D1A1CF26}"/>
    <cellStyle name="Normal 26 17 5 3" xfId="30515" xr:uid="{E1C465E6-DB5A-47CB-81BB-6662E4CDFA87}"/>
    <cellStyle name="Normal 26 17 5 4" xfId="30516" xr:uid="{60CBC37C-DB6E-4755-98FA-ED80FFCA0E97}"/>
    <cellStyle name="Normal 26 17 5 5" xfId="30517" xr:uid="{86E064E4-C614-4035-8EE1-85537208A5E4}"/>
    <cellStyle name="Normal 26 17 5 6" xfId="30518" xr:uid="{FB333104-2695-4E22-8B60-0CD8E7ADD15C}"/>
    <cellStyle name="Normal 26 17 6" xfId="30519" xr:uid="{7F983B40-0EF1-49A9-AAD3-DFF8EB910685}"/>
    <cellStyle name="Normal 26 17 6 2" xfId="30520" xr:uid="{6ED105EF-9C5B-44BF-8943-490648D5A64E}"/>
    <cellStyle name="Normal 26 17 6 3" xfId="30521" xr:uid="{4C2E4F4B-7C29-41C6-8046-74F3C0A90B19}"/>
    <cellStyle name="Normal 26 17 6 4" xfId="30522" xr:uid="{4E11709D-413B-402F-BC38-29C6AAA8A2A0}"/>
    <cellStyle name="Normal 26 17 6 5" xfId="30523" xr:uid="{79715281-5D7B-46AF-BBAF-49D3A4FA82FB}"/>
    <cellStyle name="Normal 26 17 6 6" xfId="30524" xr:uid="{B575262C-6D8B-4ECA-AB78-3D389BFC1F41}"/>
    <cellStyle name="Normal 26 17 7" xfId="30525" xr:uid="{B3FC23FC-7689-4BF8-B3D6-94E8FEBEEB94}"/>
    <cellStyle name="Normal 26 17 7 2" xfId="30526" xr:uid="{73602064-0A5B-4234-9D4D-93FD253115B4}"/>
    <cellStyle name="Normal 26 17 7 3" xfId="30527" xr:uid="{BD3DFE53-5BD1-4086-BC6B-F84AE9B6D927}"/>
    <cellStyle name="Normal 26 17 7 4" xfId="30528" xr:uid="{A9E413A0-AB0A-435B-ACE5-843C5E6BCBF4}"/>
    <cellStyle name="Normal 26 17 7 5" xfId="30529" xr:uid="{FFD3D4A3-CC29-4518-9157-37CB98CCA2FC}"/>
    <cellStyle name="Normal 26 17 7 6" xfId="30530" xr:uid="{9887932B-86B5-4D8F-9548-9B0938C57A07}"/>
    <cellStyle name="Normal 26 17 8" xfId="30531" xr:uid="{0BBF2FEF-1299-4920-BF95-45D9313F3A82}"/>
    <cellStyle name="Normal 26 17 8 2" xfId="30532" xr:uid="{6851BA53-3D21-4BA3-94EB-7B014416F6BA}"/>
    <cellStyle name="Normal 26 17 8 3" xfId="30533" xr:uid="{9750C488-E6D8-4655-8473-F1FDD7337A47}"/>
    <cellStyle name="Normal 26 17 8 4" xfId="30534" xr:uid="{DCA3C41C-DF45-4D8A-8445-30509DFBCB8E}"/>
    <cellStyle name="Normal 26 17 8 5" xfId="30535" xr:uid="{23F7F5D3-3EBD-4D3D-B219-11EDF73F03D5}"/>
    <cellStyle name="Normal 26 17 8 6" xfId="30536" xr:uid="{CB10D85F-8DFE-47B8-A426-F509A3777250}"/>
    <cellStyle name="Normal 26 17 9" xfId="30537" xr:uid="{F39DBC05-F1B4-4863-AC19-8AD0285C3B51}"/>
    <cellStyle name="Normal 26 18" xfId="30538" xr:uid="{FE6FC047-1C5E-46E2-8D6B-7E7558B8F8CD}"/>
    <cellStyle name="Normal 26 18 2" xfId="30539" xr:uid="{A51B12AD-D9F2-4089-B2F7-7011AD42C45E}"/>
    <cellStyle name="Normal 26 18 3" xfId="30540" xr:uid="{FC3BC520-9C2A-497D-88D8-B45766C399D8}"/>
    <cellStyle name="Normal 26 18 4" xfId="30541" xr:uid="{BB7EF2F5-825E-430E-A382-AA72F1CD0FC6}"/>
    <cellStyle name="Normal 26 18 5" xfId="30542" xr:uid="{AC2464E2-E9BD-408C-A3ED-CBC0F63234DA}"/>
    <cellStyle name="Normal 26 18 6" xfId="30543" xr:uid="{1C6228C2-AB33-4D9E-A3A4-2B4F8C7DF5FF}"/>
    <cellStyle name="Normal 26 19" xfId="30544" xr:uid="{C23B9BFE-D31A-4370-A00B-DD314FABBE0A}"/>
    <cellStyle name="Normal 26 19 2" xfId="30545" xr:uid="{68108CBB-8E35-43F5-AD53-68214FB0B3F8}"/>
    <cellStyle name="Normal 26 19 3" xfId="30546" xr:uid="{A36C816B-23D5-465F-BBB0-C728189D3229}"/>
    <cellStyle name="Normal 26 19 4" xfId="30547" xr:uid="{586E4E11-72BD-4FB5-B773-ACFCE515AE81}"/>
    <cellStyle name="Normal 26 19 5" xfId="30548" xr:uid="{4527757C-C76D-4C15-93CA-AC8E3E7F6F64}"/>
    <cellStyle name="Normal 26 19 6" xfId="30549" xr:uid="{9461314A-4818-411E-995D-7EAEBF9EB572}"/>
    <cellStyle name="Normal 26 2" xfId="30550" xr:uid="{0B2AA019-911A-49FA-8D9A-F4A9560D9AC6}"/>
    <cellStyle name="Normal 26 2 10" xfId="30551" xr:uid="{8E1A751A-DD9F-44DA-87EC-5D0766B49150}"/>
    <cellStyle name="Normal 26 2 11" xfId="30552" xr:uid="{622A3864-807F-45AE-BC80-D612FB980CD3}"/>
    <cellStyle name="Normal 26 2 12" xfId="30553" xr:uid="{3B6A5696-2E33-4FE4-B39A-5FC09753F3E3}"/>
    <cellStyle name="Normal 26 2 13" xfId="30554" xr:uid="{69CFA345-D289-4217-9815-F53852067872}"/>
    <cellStyle name="Normal 26 2 2" xfId="30555" xr:uid="{CA0FEDA8-A807-4AE1-AFBA-E907C6CD9EF4}"/>
    <cellStyle name="Normal 26 2 2 2" xfId="30556" xr:uid="{4353C4F3-5C01-4219-B952-55B76F4E27DB}"/>
    <cellStyle name="Normal 26 2 2 3" xfId="30557" xr:uid="{EC615ACB-2BA6-445B-8562-81BDAF7A1806}"/>
    <cellStyle name="Normal 26 2 2 4" xfId="30558" xr:uid="{BC1BE01D-0117-4F49-AF8E-1D6EED2F8011}"/>
    <cellStyle name="Normal 26 2 2 5" xfId="30559" xr:uid="{EE92B7FD-3B87-4513-9BDA-5D92B344EF20}"/>
    <cellStyle name="Normal 26 2 2 6" xfId="30560" xr:uid="{F6EFD91F-8F0A-49A7-AD34-D4B1547EFFFA}"/>
    <cellStyle name="Normal 26 2 3" xfId="30561" xr:uid="{CE463983-2603-4FBD-90AA-94FDBC5A53D4}"/>
    <cellStyle name="Normal 26 2 3 2" xfId="30562" xr:uid="{E2F2CA51-8FC1-43C2-954E-971BD955599B}"/>
    <cellStyle name="Normal 26 2 3 3" xfId="30563" xr:uid="{2012A584-5D76-45EF-8C07-9E1E6698FA3E}"/>
    <cellStyle name="Normal 26 2 3 4" xfId="30564" xr:uid="{E5F2ED13-5128-4AA7-B02C-7F8F2A321D8F}"/>
    <cellStyle name="Normal 26 2 3 5" xfId="30565" xr:uid="{242AA456-C6B1-4321-9FFB-8197FB223A80}"/>
    <cellStyle name="Normal 26 2 3 6" xfId="30566" xr:uid="{3DC3B570-BE72-4E5E-90E5-7C63717DADF8}"/>
    <cellStyle name="Normal 26 2 4" xfId="30567" xr:uid="{BB55C4D5-7144-474A-A0F3-33262EB38D23}"/>
    <cellStyle name="Normal 26 2 4 2" xfId="30568" xr:uid="{542A99A6-4681-4A1B-B099-5D99F901013B}"/>
    <cellStyle name="Normal 26 2 4 3" xfId="30569" xr:uid="{E5164B03-567D-424D-9E6C-7CA3111AF811}"/>
    <cellStyle name="Normal 26 2 4 4" xfId="30570" xr:uid="{0124F44B-F1AD-44E7-9EEF-4E0061D19938}"/>
    <cellStyle name="Normal 26 2 4 5" xfId="30571" xr:uid="{732F4C9A-103C-4182-ACE4-C218F0EB9C3A}"/>
    <cellStyle name="Normal 26 2 4 6" xfId="30572" xr:uid="{B775B53C-59DA-4258-A74B-4912A2E0145F}"/>
    <cellStyle name="Normal 26 2 5" xfId="30573" xr:uid="{5749367F-10D4-4FA2-8879-8CD15F402439}"/>
    <cellStyle name="Normal 26 2 5 2" xfId="30574" xr:uid="{2A2D801C-875A-4DDF-8DDE-208078E4860B}"/>
    <cellStyle name="Normal 26 2 5 3" xfId="30575" xr:uid="{1F5D2699-BA81-4C49-9452-A09BB235D06C}"/>
    <cellStyle name="Normal 26 2 5 4" xfId="30576" xr:uid="{69B870B8-B3E2-4130-96C0-F2FE536E77C6}"/>
    <cellStyle name="Normal 26 2 5 5" xfId="30577" xr:uid="{52859C67-E236-4EAE-8B9A-6AD220180452}"/>
    <cellStyle name="Normal 26 2 5 6" xfId="30578" xr:uid="{8922CE96-9A8A-4DBF-9B95-BF6E118138F5}"/>
    <cellStyle name="Normal 26 2 6" xfId="30579" xr:uid="{13870CCE-7C66-4F5E-8C55-D932973F7E14}"/>
    <cellStyle name="Normal 26 2 6 2" xfId="30580" xr:uid="{F64BAEEB-7EFB-4B22-832D-B6882C49DBAA}"/>
    <cellStyle name="Normal 26 2 6 3" xfId="30581" xr:uid="{917A896B-F383-4419-B989-E493F7CA0F5E}"/>
    <cellStyle name="Normal 26 2 6 4" xfId="30582" xr:uid="{2434619C-CC6D-48D1-836E-B16B9AC9F48C}"/>
    <cellStyle name="Normal 26 2 6 5" xfId="30583" xr:uid="{E67592F4-C235-4D8B-94D9-0493449F7DC7}"/>
    <cellStyle name="Normal 26 2 6 6" xfId="30584" xr:uid="{7CA2611C-B038-47C0-AD6E-FA6F6100DC92}"/>
    <cellStyle name="Normal 26 2 7" xfId="30585" xr:uid="{8B9C77CB-8465-4B68-A0FE-0F9F0F51E105}"/>
    <cellStyle name="Normal 26 2 7 2" xfId="30586" xr:uid="{279C945C-01B1-46EB-8514-BA2A9394E1CD}"/>
    <cellStyle name="Normal 26 2 7 3" xfId="30587" xr:uid="{1F555249-3863-4A67-9A74-C6E2976460CB}"/>
    <cellStyle name="Normal 26 2 7 4" xfId="30588" xr:uid="{9ABC6ECC-5CBC-4EC6-9A41-BFBB43DDF787}"/>
    <cellStyle name="Normal 26 2 7 5" xfId="30589" xr:uid="{31FF67D3-AB9A-4AD3-B65A-AB1556718E4B}"/>
    <cellStyle name="Normal 26 2 7 6" xfId="30590" xr:uid="{B95D7337-0FB0-48A5-8916-3219F741A44A}"/>
    <cellStyle name="Normal 26 2 8" xfId="30591" xr:uid="{62CDEC8E-3174-4205-8389-337CA7473827}"/>
    <cellStyle name="Normal 26 2 8 2" xfId="30592" xr:uid="{3DC2A433-383E-42F5-91CF-46B605F8F698}"/>
    <cellStyle name="Normal 26 2 8 3" xfId="30593" xr:uid="{6510EF4C-FE09-427F-BCE0-CC910A697D51}"/>
    <cellStyle name="Normal 26 2 8 4" xfId="30594" xr:uid="{6D2B2927-38BD-461A-947D-31685734D3DF}"/>
    <cellStyle name="Normal 26 2 8 5" xfId="30595" xr:uid="{242EECDB-2BE6-4181-98C7-3DF5865A8671}"/>
    <cellStyle name="Normal 26 2 8 6" xfId="30596" xr:uid="{0CB5D271-8112-4B5E-9933-5B05488F2D26}"/>
    <cellStyle name="Normal 26 2 9" xfId="30597" xr:uid="{D2A6298E-FB70-49CF-86F7-6235413ABE6E}"/>
    <cellStyle name="Normal 26 20" xfId="30598" xr:uid="{EE681C9A-BC01-4369-8707-43CD3EEFE517}"/>
    <cellStyle name="Normal 26 20 2" xfId="30599" xr:uid="{EB9FC866-41B8-4227-8BF7-E908172F0A9B}"/>
    <cellStyle name="Normal 26 20 3" xfId="30600" xr:uid="{B5093370-0D49-4A5F-80B1-E99A4CBB1477}"/>
    <cellStyle name="Normal 26 20 4" xfId="30601" xr:uid="{FDB0FDD4-1429-4C4A-8BB0-AC05057D4A95}"/>
    <cellStyle name="Normal 26 20 5" xfId="30602" xr:uid="{50B62D38-9244-4DB1-A525-6A94AB138671}"/>
    <cellStyle name="Normal 26 20 6" xfId="30603" xr:uid="{4F24B229-3BB9-48A3-8013-7ACCD75B3C00}"/>
    <cellStyle name="Normal 26 21" xfId="30604" xr:uid="{1B1477A4-CFA0-4D12-8B48-9346E33F395E}"/>
    <cellStyle name="Normal 26 21 2" xfId="30605" xr:uid="{C7B44DC7-5DBD-4EB7-B2E3-CDA7FAB6955A}"/>
    <cellStyle name="Normal 26 21 3" xfId="30606" xr:uid="{3AEEFE67-10F3-42F0-A78A-DB5F9548A2D8}"/>
    <cellStyle name="Normal 26 21 4" xfId="30607" xr:uid="{13F47565-5A3A-4AE7-9504-D22045D3DDDD}"/>
    <cellStyle name="Normal 26 21 5" xfId="30608" xr:uid="{C8684200-F9C9-4443-93C2-A0EB32A43E06}"/>
    <cellStyle name="Normal 26 21 6" xfId="30609" xr:uid="{70FFCA9C-F3F0-489D-A622-21A4C1856110}"/>
    <cellStyle name="Normal 26 22" xfId="30610" xr:uid="{07C033C9-84CC-4B8E-AF08-E0260F74B033}"/>
    <cellStyle name="Normal 26 22 2" xfId="30611" xr:uid="{ABB91B18-DE9D-4BA0-930E-E02B8C7FA02E}"/>
    <cellStyle name="Normal 26 22 3" xfId="30612" xr:uid="{FD8C13CA-14E5-4DAF-BAE4-C3CB81D4E2DC}"/>
    <cellStyle name="Normal 26 22 4" xfId="30613" xr:uid="{7889AAC8-4A1B-42D6-B195-661326F7C099}"/>
    <cellStyle name="Normal 26 22 5" xfId="30614" xr:uid="{FC04A62E-2959-4E8D-AF3D-1AC786A7596E}"/>
    <cellStyle name="Normal 26 22 6" xfId="30615" xr:uid="{74265431-79C4-40F2-AB78-EB88A6115323}"/>
    <cellStyle name="Normal 26 23" xfId="30616" xr:uid="{FB5CB26C-4596-4273-ADE4-28F43FFEDA93}"/>
    <cellStyle name="Normal 26 23 2" xfId="30617" xr:uid="{FC210137-B226-409A-90C8-4B1E91302065}"/>
    <cellStyle name="Normal 26 23 3" xfId="30618" xr:uid="{D3D640E9-C464-46CB-864D-66D8D05E226A}"/>
    <cellStyle name="Normal 26 23 4" xfId="30619" xr:uid="{EAA0558A-6CC9-47AC-B506-41A297CFB077}"/>
    <cellStyle name="Normal 26 23 5" xfId="30620" xr:uid="{E7A1FA58-E38A-4D37-8049-C8B5A93EE0D7}"/>
    <cellStyle name="Normal 26 23 6" xfId="30621" xr:uid="{71F53DCC-66FA-4017-BD29-B65581554483}"/>
    <cellStyle name="Normal 26 24" xfId="30622" xr:uid="{87CFFAF2-BF58-494F-998E-DCC4F6E5CE13}"/>
    <cellStyle name="Normal 26 24 2" xfId="30623" xr:uid="{5E0905BD-54E7-4D11-8F70-94E5E56AF2D7}"/>
    <cellStyle name="Normal 26 24 3" xfId="30624" xr:uid="{D7AE7C95-9AC6-4559-8132-E845142D5D6D}"/>
    <cellStyle name="Normal 26 24 4" xfId="30625" xr:uid="{743C2784-BC5E-40BC-A40A-CD3C07556926}"/>
    <cellStyle name="Normal 26 24 5" xfId="30626" xr:uid="{9F9ACB67-9EA1-461D-ADBE-E20DF62B62BC}"/>
    <cellStyle name="Normal 26 24 6" xfId="30627" xr:uid="{40BE7870-33C9-44C1-A81F-6DA8D7AD0EAC}"/>
    <cellStyle name="Normal 26 25" xfId="30628" xr:uid="{F5435FD7-FDEA-4891-9C2A-CEA7D5098D5A}"/>
    <cellStyle name="Normal 26 26" xfId="30629" xr:uid="{9C59CEBD-7C0E-4A3E-94FB-A63748A0DA90}"/>
    <cellStyle name="Normal 26 27" xfId="30630" xr:uid="{69FEEFEE-0422-4A73-A60B-98A87495E9CF}"/>
    <cellStyle name="Normal 26 28" xfId="30631" xr:uid="{96E908CD-AD57-45A0-827F-C2C84183CAA7}"/>
    <cellStyle name="Normal 26 29" xfId="30632" xr:uid="{BE65C6C1-17C0-4CBC-9519-FE5E7C201D7F}"/>
    <cellStyle name="Normal 26 3" xfId="30633" xr:uid="{2D9381E1-689A-48C1-80FE-E5C7AE7B99E6}"/>
    <cellStyle name="Normal 26 3 10" xfId="30634" xr:uid="{85214FE6-37B8-415D-A12B-8C9F3F8D9C60}"/>
    <cellStyle name="Normal 26 3 11" xfId="30635" xr:uid="{C5C9CC8C-B6CA-4C8C-ADD6-272E40D25CBA}"/>
    <cellStyle name="Normal 26 3 12" xfId="30636" xr:uid="{9E6A8199-CA60-4E4B-8E7D-AEAAED706C6F}"/>
    <cellStyle name="Normal 26 3 13" xfId="30637" xr:uid="{67870DD0-B43A-43B6-A442-C6E9A7EC2C53}"/>
    <cellStyle name="Normal 26 3 2" xfId="30638" xr:uid="{64410F22-9F07-484E-BE43-25FEA80DBECA}"/>
    <cellStyle name="Normal 26 3 2 2" xfId="30639" xr:uid="{1045981D-7FAE-4EC1-83E9-074C05C1FC91}"/>
    <cellStyle name="Normal 26 3 2 3" xfId="30640" xr:uid="{9D171951-913F-4298-B536-FF28C47FC4DF}"/>
    <cellStyle name="Normal 26 3 2 4" xfId="30641" xr:uid="{F40AEDA6-C725-4560-B258-D2724431E5A6}"/>
    <cellStyle name="Normal 26 3 2 5" xfId="30642" xr:uid="{D594CFDF-13B0-4D7F-8A41-2AAB322E1248}"/>
    <cellStyle name="Normal 26 3 2 6" xfId="30643" xr:uid="{F0DF8FE9-9EE4-4E75-B065-3C0631A55026}"/>
    <cellStyle name="Normal 26 3 3" xfId="30644" xr:uid="{B202B6FF-5C94-4B43-85A0-87BF64D89292}"/>
    <cellStyle name="Normal 26 3 3 2" xfId="30645" xr:uid="{7FA4D2BA-F847-4C05-9DD2-CA0F91962B79}"/>
    <cellStyle name="Normal 26 3 3 3" xfId="30646" xr:uid="{C4FA5F72-C3AE-47F9-B2C9-8E7DC06980FC}"/>
    <cellStyle name="Normal 26 3 3 4" xfId="30647" xr:uid="{20E5B5FC-B2FD-453D-951A-BC496F57CBB2}"/>
    <cellStyle name="Normal 26 3 3 5" xfId="30648" xr:uid="{49E4C8AE-3821-4874-9C0E-FA5E538B38E8}"/>
    <cellStyle name="Normal 26 3 3 6" xfId="30649" xr:uid="{E242A5D0-DE6C-4058-A7B9-FA2F40C8256E}"/>
    <cellStyle name="Normal 26 3 4" xfId="30650" xr:uid="{2B72D5A4-5E35-4FBB-91A5-7C90EB1C55A6}"/>
    <cellStyle name="Normal 26 3 4 2" xfId="30651" xr:uid="{697099F5-AC5C-4A93-B211-435165F46D80}"/>
    <cellStyle name="Normal 26 3 4 3" xfId="30652" xr:uid="{B90697B9-32DA-4833-BF3D-A18D1A85A428}"/>
    <cellStyle name="Normal 26 3 4 4" xfId="30653" xr:uid="{C9AFE684-380B-4260-97D5-3BF2066A960B}"/>
    <cellStyle name="Normal 26 3 4 5" xfId="30654" xr:uid="{51C1DC3F-A447-4EC1-81B4-5DBEEE3161C3}"/>
    <cellStyle name="Normal 26 3 4 6" xfId="30655" xr:uid="{FBD0FA7A-A4DD-4884-BC05-20E93185088E}"/>
    <cellStyle name="Normal 26 3 5" xfId="30656" xr:uid="{58D2DA64-7006-4C58-92DA-EF685D8F7298}"/>
    <cellStyle name="Normal 26 3 5 2" xfId="30657" xr:uid="{48444E0A-4E28-4F88-81DC-4D7116406E76}"/>
    <cellStyle name="Normal 26 3 5 3" xfId="30658" xr:uid="{E0553973-A64D-4417-A34B-774B46D0BC7C}"/>
    <cellStyle name="Normal 26 3 5 4" xfId="30659" xr:uid="{49188493-5694-4AAA-B214-18768F6EBE14}"/>
    <cellStyle name="Normal 26 3 5 5" xfId="30660" xr:uid="{A772BB26-7380-48B6-977B-C8B2150C3023}"/>
    <cellStyle name="Normal 26 3 5 6" xfId="30661" xr:uid="{F9D19447-F66D-42E9-9A5B-30AD1D05A501}"/>
    <cellStyle name="Normal 26 3 6" xfId="30662" xr:uid="{5F2CD62D-13BD-4692-810F-A46D2F48FC7C}"/>
    <cellStyle name="Normal 26 3 6 2" xfId="30663" xr:uid="{8BF81419-9705-4533-ADC1-F258BDBE1EDC}"/>
    <cellStyle name="Normal 26 3 6 3" xfId="30664" xr:uid="{061279DD-A3AC-4DB1-8F95-DD1CE1443381}"/>
    <cellStyle name="Normal 26 3 6 4" xfId="30665" xr:uid="{B159C3C3-1365-4F66-BF6D-B0C3D8C08647}"/>
    <cellStyle name="Normal 26 3 6 5" xfId="30666" xr:uid="{7F962F92-86E1-4668-BA2A-BBEFF645CD71}"/>
    <cellStyle name="Normal 26 3 6 6" xfId="30667" xr:uid="{B3C0DD2D-807A-47E4-A9E7-F5F79F680297}"/>
    <cellStyle name="Normal 26 3 7" xfId="30668" xr:uid="{BE8CB1BC-2537-4747-9119-49F63B7204A7}"/>
    <cellStyle name="Normal 26 3 7 2" xfId="30669" xr:uid="{B9219ABB-4234-4CA4-B49D-671C8ED38D26}"/>
    <cellStyle name="Normal 26 3 7 3" xfId="30670" xr:uid="{A959AF20-6956-45CF-9CAF-23424E912A71}"/>
    <cellStyle name="Normal 26 3 7 4" xfId="30671" xr:uid="{D69890BE-FDBC-4FE6-8806-291677AEE2E8}"/>
    <cellStyle name="Normal 26 3 7 5" xfId="30672" xr:uid="{ABB35E64-FEEC-483F-8A86-C18E2735D591}"/>
    <cellStyle name="Normal 26 3 7 6" xfId="30673" xr:uid="{D436712B-1FC2-4AD3-9ED1-74EC5F5B7C1A}"/>
    <cellStyle name="Normal 26 3 8" xfId="30674" xr:uid="{AC618035-3000-465B-869F-447780F1147F}"/>
    <cellStyle name="Normal 26 3 8 2" xfId="30675" xr:uid="{87D6EB3E-69BF-4660-806F-15FBE1C8F2F6}"/>
    <cellStyle name="Normal 26 3 8 3" xfId="30676" xr:uid="{FE9536F2-D5C0-402D-B7E1-B28FE40551BE}"/>
    <cellStyle name="Normal 26 3 8 4" xfId="30677" xr:uid="{0D26AEB7-1462-4A9B-A0BF-1D016DF1E651}"/>
    <cellStyle name="Normal 26 3 8 5" xfId="30678" xr:uid="{B8D21E53-2C3D-46C0-9DE3-F56A61976D4C}"/>
    <cellStyle name="Normal 26 3 8 6" xfId="30679" xr:uid="{BE2A75CD-78DA-420B-86EB-997098F09E7E}"/>
    <cellStyle name="Normal 26 3 9" xfId="30680" xr:uid="{98583724-D15C-42CF-A6E5-8CA5B94CB1E2}"/>
    <cellStyle name="Normal 26 4" xfId="30681" xr:uid="{DD2BC5FF-ADE5-484D-9EA0-A9C9A70F7FDA}"/>
    <cellStyle name="Normal 26 4 10" xfId="30682" xr:uid="{5925023D-8AC8-4CB0-BDB9-F31BAD96F1D7}"/>
    <cellStyle name="Normal 26 4 11" xfId="30683" xr:uid="{053B8591-C8D2-4242-8EFB-16F8B9D9EB13}"/>
    <cellStyle name="Normal 26 4 12" xfId="30684" xr:uid="{917C1CDA-5E0E-4871-BB94-26DC7725F962}"/>
    <cellStyle name="Normal 26 4 13" xfId="30685" xr:uid="{497F5A64-9673-45AE-AF43-85E155387A01}"/>
    <cellStyle name="Normal 26 4 2" xfId="30686" xr:uid="{12B55746-B383-4904-B266-B1BB691CBD23}"/>
    <cellStyle name="Normal 26 4 2 2" xfId="30687" xr:uid="{2865A50F-37F3-4E3B-9389-0C1CC41217B5}"/>
    <cellStyle name="Normal 26 4 2 3" xfId="30688" xr:uid="{79092970-A272-4993-85E7-B9F734C3648A}"/>
    <cellStyle name="Normal 26 4 2 4" xfId="30689" xr:uid="{A94D6226-E573-457B-9E31-C5A681E136C2}"/>
    <cellStyle name="Normal 26 4 2 5" xfId="30690" xr:uid="{C37C9ED3-D63D-4A33-9058-7FAEE66E7BF5}"/>
    <cellStyle name="Normal 26 4 2 6" xfId="30691" xr:uid="{1A5C133C-EA87-4B1E-9FFB-DF8E4CC33DE8}"/>
    <cellStyle name="Normal 26 4 3" xfId="30692" xr:uid="{3D19B1D8-26C9-462C-9BE6-EFEBC4F557C3}"/>
    <cellStyle name="Normal 26 4 3 2" xfId="30693" xr:uid="{533C4A9B-5196-4AE0-A611-1BD5C3BE2867}"/>
    <cellStyle name="Normal 26 4 3 3" xfId="30694" xr:uid="{56C8FC88-686D-490B-9895-2A11485639CF}"/>
    <cellStyle name="Normal 26 4 3 4" xfId="30695" xr:uid="{1D487C47-9EAF-4FFC-A9A1-53B7B65DB384}"/>
    <cellStyle name="Normal 26 4 3 5" xfId="30696" xr:uid="{75C620BD-A3DC-408F-889F-21FB98382543}"/>
    <cellStyle name="Normal 26 4 3 6" xfId="30697" xr:uid="{E52AA7AF-A911-44E1-828F-9A6FDEC08367}"/>
    <cellStyle name="Normal 26 4 4" xfId="30698" xr:uid="{3102C41F-9D8D-42FB-B51C-D9714EF4748B}"/>
    <cellStyle name="Normal 26 4 4 2" xfId="30699" xr:uid="{C19B645A-4F34-4B62-8990-0239F969DE44}"/>
    <cellStyle name="Normal 26 4 4 3" xfId="30700" xr:uid="{9965641C-A54E-439E-932D-A53F09A58D03}"/>
    <cellStyle name="Normal 26 4 4 4" xfId="30701" xr:uid="{95D710EC-D645-4330-974B-53C6AFCDF554}"/>
    <cellStyle name="Normal 26 4 4 5" xfId="30702" xr:uid="{845681FE-F57A-48CF-8597-0CDBDC42697C}"/>
    <cellStyle name="Normal 26 4 4 6" xfId="30703" xr:uid="{9FE23B86-49F0-4A60-950D-3704B1E23584}"/>
    <cellStyle name="Normal 26 4 5" xfId="30704" xr:uid="{01CE5A21-FA8F-476A-988F-62B74FCB88D3}"/>
    <cellStyle name="Normal 26 4 5 2" xfId="30705" xr:uid="{8A6AB104-0711-4DBC-8070-7255D635E698}"/>
    <cellStyle name="Normal 26 4 5 3" xfId="30706" xr:uid="{45608B77-C918-499F-ABDF-1ABEB40F210A}"/>
    <cellStyle name="Normal 26 4 5 4" xfId="30707" xr:uid="{699FA795-BDA6-45DB-81DF-29FBC2DB034B}"/>
    <cellStyle name="Normal 26 4 5 5" xfId="30708" xr:uid="{67AC8A60-8FBE-40BB-965C-7E167431FD4D}"/>
    <cellStyle name="Normal 26 4 5 6" xfId="30709" xr:uid="{18D471AE-2629-4303-A020-0CC46777FC41}"/>
    <cellStyle name="Normal 26 4 6" xfId="30710" xr:uid="{9B2521D3-C9F1-4824-867A-68F2A4B74676}"/>
    <cellStyle name="Normal 26 4 6 2" xfId="30711" xr:uid="{6B679E9A-67BD-4B77-BF3A-4915E0BB93E0}"/>
    <cellStyle name="Normal 26 4 6 3" xfId="30712" xr:uid="{AF45DC41-1329-4F79-96DA-BF987F92E1B1}"/>
    <cellStyle name="Normal 26 4 6 4" xfId="30713" xr:uid="{A4351256-E675-4FAE-850B-0A5C017FBDFC}"/>
    <cellStyle name="Normal 26 4 6 5" xfId="30714" xr:uid="{0B1E4FAB-78D8-4FA1-A42B-D9E37DFACDEB}"/>
    <cellStyle name="Normal 26 4 6 6" xfId="30715" xr:uid="{E9AC110D-4B17-45B3-89BF-0A93A7B30B64}"/>
    <cellStyle name="Normal 26 4 7" xfId="30716" xr:uid="{82698337-F395-4036-9E30-D64E32A5094D}"/>
    <cellStyle name="Normal 26 4 7 2" xfId="30717" xr:uid="{A36EEF93-171C-433B-BCC4-14518CA5AB4E}"/>
    <cellStyle name="Normal 26 4 7 3" xfId="30718" xr:uid="{574FB7EA-54FD-4730-92F0-4FA6B86BDF35}"/>
    <cellStyle name="Normal 26 4 7 4" xfId="30719" xr:uid="{2D8EEDB6-82C4-4492-9511-AB3F89095F0E}"/>
    <cellStyle name="Normal 26 4 7 5" xfId="30720" xr:uid="{75B310B6-FE29-4CDC-92EF-1813225A93D4}"/>
    <cellStyle name="Normal 26 4 7 6" xfId="30721" xr:uid="{99882CEE-F47B-4C16-BF53-74D6843A0FF8}"/>
    <cellStyle name="Normal 26 4 8" xfId="30722" xr:uid="{2254EC13-B95D-4DF8-9265-FAAC9EC15531}"/>
    <cellStyle name="Normal 26 4 8 2" xfId="30723" xr:uid="{3D649941-7924-44E7-A6BE-17C3B906FABA}"/>
    <cellStyle name="Normal 26 4 8 3" xfId="30724" xr:uid="{3AE8F37D-E46B-402B-A43A-216D2C1971F1}"/>
    <cellStyle name="Normal 26 4 8 4" xfId="30725" xr:uid="{6709A702-B898-4926-A14D-841C25877398}"/>
    <cellStyle name="Normal 26 4 8 5" xfId="30726" xr:uid="{A8DFDB8D-A966-43CE-8443-20DEA3E7C35C}"/>
    <cellStyle name="Normal 26 4 8 6" xfId="30727" xr:uid="{48D33268-743B-48CC-BD06-D81FEEF9C1F4}"/>
    <cellStyle name="Normal 26 4 9" xfId="30728" xr:uid="{E011E1AA-8C9D-4DF5-8836-DDCD1AE1DDD4}"/>
    <cellStyle name="Normal 26 5" xfId="30729" xr:uid="{32319752-34A7-419B-9BE3-3A48AEF102E8}"/>
    <cellStyle name="Normal 26 5 10" xfId="30730" xr:uid="{FB04E213-9D21-4163-97C7-2FAE2CAF2643}"/>
    <cellStyle name="Normal 26 5 11" xfId="30731" xr:uid="{341AAC1C-A5D3-4D33-8648-20096F8EE812}"/>
    <cellStyle name="Normal 26 5 12" xfId="30732" xr:uid="{06BA2A2E-B4E6-4593-9C96-412BD8FEB4EB}"/>
    <cellStyle name="Normal 26 5 13" xfId="30733" xr:uid="{AB73A327-8D3B-44F8-9B93-BF2D4B4DB959}"/>
    <cellStyle name="Normal 26 5 2" xfId="30734" xr:uid="{B4EF8A0C-83E8-45BA-BB20-41EB9D66A2F6}"/>
    <cellStyle name="Normal 26 5 2 2" xfId="30735" xr:uid="{24468B7A-C795-489D-BE9F-C2D6F20C0F20}"/>
    <cellStyle name="Normal 26 5 2 3" xfId="30736" xr:uid="{2EEFD4ED-2051-4C9B-A1DA-993787237C6E}"/>
    <cellStyle name="Normal 26 5 2 4" xfId="30737" xr:uid="{C2B13AC4-AAC9-4C6F-B109-6EFD69DFC1CC}"/>
    <cellStyle name="Normal 26 5 2 5" xfId="30738" xr:uid="{DE7B31E5-26D8-4988-AEAC-7402FD703C1D}"/>
    <cellStyle name="Normal 26 5 2 6" xfId="30739" xr:uid="{0F120231-5125-400A-ADFF-711771C48E79}"/>
    <cellStyle name="Normal 26 5 3" xfId="30740" xr:uid="{4C3AACFB-91E8-4CFF-B2AE-1159913C59FA}"/>
    <cellStyle name="Normal 26 5 3 2" xfId="30741" xr:uid="{BE7D8373-11E8-40DA-8A16-3F8459F812A7}"/>
    <cellStyle name="Normal 26 5 3 3" xfId="30742" xr:uid="{4CD5FE4A-6B59-4874-9CB8-AEF9969C8AE1}"/>
    <cellStyle name="Normal 26 5 3 4" xfId="30743" xr:uid="{517D8014-A446-413D-B088-24C21C846A99}"/>
    <cellStyle name="Normal 26 5 3 5" xfId="30744" xr:uid="{010FE3F8-013B-4310-BC64-A8322A6EF987}"/>
    <cellStyle name="Normal 26 5 3 6" xfId="30745" xr:uid="{ABD32797-B042-4336-AF24-AD0D34815A3A}"/>
    <cellStyle name="Normal 26 5 4" xfId="30746" xr:uid="{1315CC78-D3AE-45AA-B178-B82F50F4ED3D}"/>
    <cellStyle name="Normal 26 5 4 2" xfId="30747" xr:uid="{C5025E11-BD87-4FDF-9153-B6C98F1894B6}"/>
    <cellStyle name="Normal 26 5 4 3" xfId="30748" xr:uid="{9190872C-3E92-45E7-B076-7C9512E69D4B}"/>
    <cellStyle name="Normal 26 5 4 4" xfId="30749" xr:uid="{D34792E9-7A33-41E4-9BB3-9C0CEED467C9}"/>
    <cellStyle name="Normal 26 5 4 5" xfId="30750" xr:uid="{EB4AC68D-B590-48BB-9BC1-BD122805F11A}"/>
    <cellStyle name="Normal 26 5 4 6" xfId="30751" xr:uid="{FDEA1B6D-13EC-4A2A-9C2C-0A3463591352}"/>
    <cellStyle name="Normal 26 5 5" xfId="30752" xr:uid="{E4419A7A-B709-490D-A762-F760550636AD}"/>
    <cellStyle name="Normal 26 5 5 2" xfId="30753" xr:uid="{74CB83DC-74F9-4703-876F-D194A990FB6D}"/>
    <cellStyle name="Normal 26 5 5 3" xfId="30754" xr:uid="{52D423A1-E34C-4871-894A-7CEB684E9208}"/>
    <cellStyle name="Normal 26 5 5 4" xfId="30755" xr:uid="{AAAED384-9AEC-4F3A-99B7-B63029AE3D11}"/>
    <cellStyle name="Normal 26 5 5 5" xfId="30756" xr:uid="{AA749238-1E6B-49EF-9D48-9243BCB67461}"/>
    <cellStyle name="Normal 26 5 5 6" xfId="30757" xr:uid="{9F50AF99-0160-4325-A95A-54AFBD3CF4A4}"/>
    <cellStyle name="Normal 26 5 6" xfId="30758" xr:uid="{6E319E85-EB09-4BA0-81D4-DF98B85EF13F}"/>
    <cellStyle name="Normal 26 5 6 2" xfId="30759" xr:uid="{7298A72B-480B-4B2B-8841-D07B75F4019B}"/>
    <cellStyle name="Normal 26 5 6 3" xfId="30760" xr:uid="{A5317493-FA98-492E-994F-0748DFCA363F}"/>
    <cellStyle name="Normal 26 5 6 4" xfId="30761" xr:uid="{AF1B9684-45E9-443B-8035-13AA25B370C0}"/>
    <cellStyle name="Normal 26 5 6 5" xfId="30762" xr:uid="{362FC6F2-431F-465B-9EA6-4A0D66071C7F}"/>
    <cellStyle name="Normal 26 5 6 6" xfId="30763" xr:uid="{D0A14837-6E2E-43D3-A27C-B39DB3DC90A1}"/>
    <cellStyle name="Normal 26 5 7" xfId="30764" xr:uid="{2F0FDB06-6855-4C51-A04D-D5430BDAC97B}"/>
    <cellStyle name="Normal 26 5 7 2" xfId="30765" xr:uid="{4E4459E7-64F6-408B-BD9C-3EECEDE92978}"/>
    <cellStyle name="Normal 26 5 7 3" xfId="30766" xr:uid="{8B17A02D-A9A5-4CC3-BF1B-6D2A81E8BFBF}"/>
    <cellStyle name="Normal 26 5 7 4" xfId="30767" xr:uid="{BA8A800F-22E0-4B64-B157-41646DD06EBD}"/>
    <cellStyle name="Normal 26 5 7 5" xfId="30768" xr:uid="{E7EF1C58-1E21-4CFC-B32B-42D0DAF542B4}"/>
    <cellStyle name="Normal 26 5 7 6" xfId="30769" xr:uid="{5417FFE8-76AD-4BD7-95D3-B111170E26C7}"/>
    <cellStyle name="Normal 26 5 8" xfId="30770" xr:uid="{AF1945F8-84C5-48C4-A9CD-F583C8AB9D6C}"/>
    <cellStyle name="Normal 26 5 8 2" xfId="30771" xr:uid="{523181DA-25A0-4AA7-8DA7-8A056E854EB3}"/>
    <cellStyle name="Normal 26 5 8 3" xfId="30772" xr:uid="{345A1413-2735-48CA-8308-6D26A2B9DC47}"/>
    <cellStyle name="Normal 26 5 8 4" xfId="30773" xr:uid="{B36DBE7B-643A-4E7D-9DD0-9122E76AA7B5}"/>
    <cellStyle name="Normal 26 5 8 5" xfId="30774" xr:uid="{3AFE276C-B09B-4EAF-8A07-5D21C2715663}"/>
    <cellStyle name="Normal 26 5 8 6" xfId="30775" xr:uid="{93250459-FAC7-44A2-90B6-813B8A715F74}"/>
    <cellStyle name="Normal 26 5 9" xfId="30776" xr:uid="{45F39A30-EADE-4CFB-82A3-E35828245882}"/>
    <cellStyle name="Normal 26 6" xfId="30777" xr:uid="{FF13F22E-F9A6-4823-B9A2-DFC9171950C7}"/>
    <cellStyle name="Normal 26 6 10" xfId="30778" xr:uid="{9968C287-F89E-4480-ABD1-E5EAA7E3F7B1}"/>
    <cellStyle name="Normal 26 6 11" xfId="30779" xr:uid="{3AEDA322-E8AC-4FB8-B826-2EB2A4C4D3B6}"/>
    <cellStyle name="Normal 26 6 12" xfId="30780" xr:uid="{DD826AD0-1ABF-4535-86D7-EC7023590060}"/>
    <cellStyle name="Normal 26 6 13" xfId="30781" xr:uid="{1053EF14-A979-40EC-A702-286D7BB01BC1}"/>
    <cellStyle name="Normal 26 6 2" xfId="30782" xr:uid="{594C5E3F-BBAB-41C5-8693-35E232E2F5D2}"/>
    <cellStyle name="Normal 26 6 2 2" xfId="30783" xr:uid="{90CEB079-3549-495E-9238-D05815A2CC98}"/>
    <cellStyle name="Normal 26 6 2 3" xfId="30784" xr:uid="{55E76EC0-C527-45EA-96A2-DB5506C6D81B}"/>
    <cellStyle name="Normal 26 6 2 4" xfId="30785" xr:uid="{DD9613F8-C7CE-40E8-8C66-9FCCAB81613E}"/>
    <cellStyle name="Normal 26 6 2 5" xfId="30786" xr:uid="{C3E61B93-17AB-4D10-B8C3-A0DE49D1C47C}"/>
    <cellStyle name="Normal 26 6 2 6" xfId="30787" xr:uid="{54E4B7AB-A9BF-413A-9B14-8B7DCD55A6BC}"/>
    <cellStyle name="Normal 26 6 3" xfId="30788" xr:uid="{5EA0C436-766D-4802-AE7E-18DC5AE63A11}"/>
    <cellStyle name="Normal 26 6 3 2" xfId="30789" xr:uid="{3E6D42A5-5541-4D90-8B06-1EA87638D769}"/>
    <cellStyle name="Normal 26 6 3 3" xfId="30790" xr:uid="{6DCD3A8D-F8C6-4925-9B53-D2A107A053CB}"/>
    <cellStyle name="Normal 26 6 3 4" xfId="30791" xr:uid="{C87AB2F9-6EBE-423E-90BC-9DF02F972852}"/>
    <cellStyle name="Normal 26 6 3 5" xfId="30792" xr:uid="{8698FAD4-A607-4026-9582-85FF7DCBBE4D}"/>
    <cellStyle name="Normal 26 6 3 6" xfId="30793" xr:uid="{BDE38599-7E24-4F29-A4CA-20D37D6262B7}"/>
    <cellStyle name="Normal 26 6 4" xfId="30794" xr:uid="{F5DDCDFF-A9CE-44AC-8B2E-DF11ED7A06D9}"/>
    <cellStyle name="Normal 26 6 4 2" xfId="30795" xr:uid="{6505761A-E369-4A47-9AF8-17432F69B115}"/>
    <cellStyle name="Normal 26 6 4 3" xfId="30796" xr:uid="{251FD8A9-FBE8-4FB1-9B60-D7772896F84B}"/>
    <cellStyle name="Normal 26 6 4 4" xfId="30797" xr:uid="{870B5309-AD09-4317-9014-6926AEC60DB7}"/>
    <cellStyle name="Normal 26 6 4 5" xfId="30798" xr:uid="{E83275E9-CC08-4360-9D26-40DD23D33DC5}"/>
    <cellStyle name="Normal 26 6 4 6" xfId="30799" xr:uid="{5DAD7EEA-CD2C-458D-A98F-037A87A1F3BF}"/>
    <cellStyle name="Normal 26 6 5" xfId="30800" xr:uid="{5893AB09-FEFD-4353-9494-B168534B4208}"/>
    <cellStyle name="Normal 26 6 5 2" xfId="30801" xr:uid="{B42108C8-2DB8-49D0-AE8D-8DD1D399BF83}"/>
    <cellStyle name="Normal 26 6 5 3" xfId="30802" xr:uid="{E575A223-9E85-4A95-85DD-DE6E5D04B784}"/>
    <cellStyle name="Normal 26 6 5 4" xfId="30803" xr:uid="{FA0F9B82-7ED7-473C-98ED-C0BD4E74F007}"/>
    <cellStyle name="Normal 26 6 5 5" xfId="30804" xr:uid="{1BE4253D-96D0-4F86-B9A0-CE307AE9B36A}"/>
    <cellStyle name="Normal 26 6 5 6" xfId="30805" xr:uid="{B0F40DF6-66A7-436F-B808-E5F66DA612B5}"/>
    <cellStyle name="Normal 26 6 6" xfId="30806" xr:uid="{159196D2-D51A-45AC-BCEA-99DF990081FC}"/>
    <cellStyle name="Normal 26 6 6 2" xfId="30807" xr:uid="{7E29029A-313C-433C-A063-D9D168AEC3F6}"/>
    <cellStyle name="Normal 26 6 6 3" xfId="30808" xr:uid="{13018FAE-8372-440E-A39F-2B31072D7B33}"/>
    <cellStyle name="Normal 26 6 6 4" xfId="30809" xr:uid="{DB26122D-2AF4-478F-9EFD-B16889633A4C}"/>
    <cellStyle name="Normal 26 6 6 5" xfId="30810" xr:uid="{64F810A2-7510-4137-A951-93F66167CE22}"/>
    <cellStyle name="Normal 26 6 6 6" xfId="30811" xr:uid="{E1F89E1D-6DFC-41E3-8A45-4B868FB96489}"/>
    <cellStyle name="Normal 26 6 7" xfId="30812" xr:uid="{A4788B3E-D511-4483-A800-C311F29E2A76}"/>
    <cellStyle name="Normal 26 6 7 2" xfId="30813" xr:uid="{6516B166-79E3-435C-8BBC-A97A47CA8DF4}"/>
    <cellStyle name="Normal 26 6 7 3" xfId="30814" xr:uid="{39203CE6-2062-442F-96B6-CE784F0A02B2}"/>
    <cellStyle name="Normal 26 6 7 4" xfId="30815" xr:uid="{5047A30C-201F-4BE5-AEC6-DF0BE0BCD7CE}"/>
    <cellStyle name="Normal 26 6 7 5" xfId="30816" xr:uid="{4964338A-D486-4442-B7B5-C368FFF82568}"/>
    <cellStyle name="Normal 26 6 7 6" xfId="30817" xr:uid="{3E8260F6-097B-4FCD-A576-F49E1B8FEBD8}"/>
    <cellStyle name="Normal 26 6 8" xfId="30818" xr:uid="{E2057AB2-80F2-4412-AC50-4DE33954CA5E}"/>
    <cellStyle name="Normal 26 6 8 2" xfId="30819" xr:uid="{D3F6CDA2-FDB8-4DA7-AAF6-594DB19C135E}"/>
    <cellStyle name="Normal 26 6 8 3" xfId="30820" xr:uid="{10F673FD-36A5-4203-B611-AAAFD5875CC5}"/>
    <cellStyle name="Normal 26 6 8 4" xfId="30821" xr:uid="{2B3C2FC1-23AB-4855-9D12-B65655BF393E}"/>
    <cellStyle name="Normal 26 6 8 5" xfId="30822" xr:uid="{C359D359-20AE-4008-A705-345CFFC6FC3B}"/>
    <cellStyle name="Normal 26 6 8 6" xfId="30823" xr:uid="{E8906B0C-1524-4072-A8CC-FF601DC0E93A}"/>
    <cellStyle name="Normal 26 6 9" xfId="30824" xr:uid="{DB3D8E6A-F1C4-4D92-87BF-E3E13F30F5A2}"/>
    <cellStyle name="Normal 26 7" xfId="30825" xr:uid="{AC7CDA40-1A4D-4DE5-AA39-2B269883F9E9}"/>
    <cellStyle name="Normal 26 7 10" xfId="30826" xr:uid="{8E0E09B1-40AB-48A2-8A8B-1B1BF1494EAC}"/>
    <cellStyle name="Normal 26 7 11" xfId="30827" xr:uid="{9DF8E882-52AC-44E9-908A-5ADA19B6CE6A}"/>
    <cellStyle name="Normal 26 7 12" xfId="30828" xr:uid="{E888BAA8-BCC9-4018-96ED-C0ADACFBFFD7}"/>
    <cellStyle name="Normal 26 7 13" xfId="30829" xr:uid="{EC4A10E8-7406-4787-A5BC-E6B698C6CEC9}"/>
    <cellStyle name="Normal 26 7 2" xfId="30830" xr:uid="{D7FB5077-8FB9-4E3F-BB52-9FA07A400064}"/>
    <cellStyle name="Normal 26 7 2 2" xfId="30831" xr:uid="{69DE4DE2-05D8-4C32-B04E-FA1D4F00DF66}"/>
    <cellStyle name="Normal 26 7 2 3" xfId="30832" xr:uid="{912FF4D1-43FE-47C6-AC35-209AEB03ADF6}"/>
    <cellStyle name="Normal 26 7 2 4" xfId="30833" xr:uid="{C97F53B1-9C3D-4961-BC60-07A18F70965C}"/>
    <cellStyle name="Normal 26 7 2 5" xfId="30834" xr:uid="{C0E80220-9E18-44FF-8E38-39D2EBD3337F}"/>
    <cellStyle name="Normal 26 7 2 6" xfId="30835" xr:uid="{AE0B04DD-5CEA-452A-8D3C-F53644A45AD8}"/>
    <cellStyle name="Normal 26 7 3" xfId="30836" xr:uid="{9DD8235E-7531-4F89-9F22-62333EC12B7F}"/>
    <cellStyle name="Normal 26 7 3 2" xfId="30837" xr:uid="{5C900EAA-AA74-46B0-B6AE-882018BE264E}"/>
    <cellStyle name="Normal 26 7 3 3" xfId="30838" xr:uid="{DCE4B990-C953-4115-AE2B-D3B9C84386B2}"/>
    <cellStyle name="Normal 26 7 3 4" xfId="30839" xr:uid="{6926C382-0400-4CAB-B617-8E81FFBAEC2F}"/>
    <cellStyle name="Normal 26 7 3 5" xfId="30840" xr:uid="{BA2DFCC8-99D1-42F1-A6EE-40F607B5F817}"/>
    <cellStyle name="Normal 26 7 3 6" xfId="30841" xr:uid="{086EE2D8-40E7-4691-BE2B-9D874A826515}"/>
    <cellStyle name="Normal 26 7 4" xfId="30842" xr:uid="{25938E08-D7FE-4869-B772-CC5428CB4E1F}"/>
    <cellStyle name="Normal 26 7 4 2" xfId="30843" xr:uid="{16779A31-3115-426F-8E38-486322A758F9}"/>
    <cellStyle name="Normal 26 7 4 3" xfId="30844" xr:uid="{B6705796-D310-4AD5-B984-0F297BCC117A}"/>
    <cellStyle name="Normal 26 7 4 4" xfId="30845" xr:uid="{1EADE939-C39D-48BE-A2EC-803EC193CFEC}"/>
    <cellStyle name="Normal 26 7 4 5" xfId="30846" xr:uid="{00CDA043-653D-473F-919F-A3F87EEF6C52}"/>
    <cellStyle name="Normal 26 7 4 6" xfId="30847" xr:uid="{B0A60D6D-EDA8-476C-92A5-5C5B00835A57}"/>
    <cellStyle name="Normal 26 7 5" xfId="30848" xr:uid="{D0ED141B-4935-469D-8712-C7817DFE48AD}"/>
    <cellStyle name="Normal 26 7 5 2" xfId="30849" xr:uid="{E199FDEE-5578-4919-9C34-B7F424AD7554}"/>
    <cellStyle name="Normal 26 7 5 3" xfId="30850" xr:uid="{2654CA7D-CA83-4EFE-B8BD-D6764B4942A7}"/>
    <cellStyle name="Normal 26 7 5 4" xfId="30851" xr:uid="{BC2B9882-8124-4508-AFD1-2890749D757B}"/>
    <cellStyle name="Normal 26 7 5 5" xfId="30852" xr:uid="{1DB2B838-F644-4E35-8CCB-C66D98B44074}"/>
    <cellStyle name="Normal 26 7 5 6" xfId="30853" xr:uid="{E1E03AE8-F404-401A-A995-68F9D10480C9}"/>
    <cellStyle name="Normal 26 7 6" xfId="30854" xr:uid="{B2310193-1538-4775-A0BD-0D0DDE7389CE}"/>
    <cellStyle name="Normal 26 7 6 2" xfId="30855" xr:uid="{2FDBFFBE-C5F3-48AB-A93B-D46B482E4E94}"/>
    <cellStyle name="Normal 26 7 6 3" xfId="30856" xr:uid="{71306957-4FEA-4FB5-9AFC-F9A58DFDEED2}"/>
    <cellStyle name="Normal 26 7 6 4" xfId="30857" xr:uid="{D8006F0D-0380-445A-B071-3D28D8D17401}"/>
    <cellStyle name="Normal 26 7 6 5" xfId="30858" xr:uid="{CCD42BE4-E36C-4470-9EC2-8E343B1651E3}"/>
    <cellStyle name="Normal 26 7 6 6" xfId="30859" xr:uid="{AED28F17-8871-4BB4-9C02-21718FB77672}"/>
    <cellStyle name="Normal 26 7 7" xfId="30860" xr:uid="{4A8A3F65-D677-4A27-AB76-AD4E53B18B47}"/>
    <cellStyle name="Normal 26 7 7 2" xfId="30861" xr:uid="{17F42F0F-AC72-4BA0-B0BB-E18D5D6A1E4F}"/>
    <cellStyle name="Normal 26 7 7 3" xfId="30862" xr:uid="{E831DD4D-5B92-4AA3-9F3D-7E15C04F13E8}"/>
    <cellStyle name="Normal 26 7 7 4" xfId="30863" xr:uid="{68FD8398-C33E-44B4-BD94-2847401A2258}"/>
    <cellStyle name="Normal 26 7 7 5" xfId="30864" xr:uid="{F11286E8-24FB-4824-B9F9-41301AED8987}"/>
    <cellStyle name="Normal 26 7 7 6" xfId="30865" xr:uid="{E3CF112A-B967-4E6C-B4D2-544F1F370939}"/>
    <cellStyle name="Normal 26 7 8" xfId="30866" xr:uid="{A73FBEAA-D967-40CE-911B-33C7BEB649A3}"/>
    <cellStyle name="Normal 26 7 8 2" xfId="30867" xr:uid="{E46EEC03-62DF-4989-9E7C-7B73713FDF1B}"/>
    <cellStyle name="Normal 26 7 8 3" xfId="30868" xr:uid="{04BF0A30-70D1-4092-8A58-534DB97C2F5E}"/>
    <cellStyle name="Normal 26 7 8 4" xfId="30869" xr:uid="{688C39F3-DFA7-43F9-8489-9AA2AC97BD32}"/>
    <cellStyle name="Normal 26 7 8 5" xfId="30870" xr:uid="{C6D6802A-A021-4DCC-A68C-5E81BD5222D0}"/>
    <cellStyle name="Normal 26 7 8 6" xfId="30871" xr:uid="{B58CAC0D-655B-4C1E-A97B-B18C8DB786A4}"/>
    <cellStyle name="Normal 26 7 9" xfId="30872" xr:uid="{C5DD214A-0D54-408A-89D0-077B3A34CE46}"/>
    <cellStyle name="Normal 26 8" xfId="30873" xr:uid="{05A46E12-4552-4C48-BB2D-824601C7010B}"/>
    <cellStyle name="Normal 26 8 10" xfId="30874" xr:uid="{49F28671-EBFC-4F9E-881B-007D85CBF8A2}"/>
    <cellStyle name="Normal 26 8 11" xfId="30875" xr:uid="{F01478D7-1DF8-4BA4-86A1-15FC9E442A74}"/>
    <cellStyle name="Normal 26 8 12" xfId="30876" xr:uid="{58722927-2C8F-4A49-A7A0-C30F7C11C27A}"/>
    <cellStyle name="Normal 26 8 13" xfId="30877" xr:uid="{BCA91F83-8097-486D-BBB8-D7F47919A448}"/>
    <cellStyle name="Normal 26 8 2" xfId="30878" xr:uid="{F82A2B50-E31E-40A9-85DB-6BB851150D43}"/>
    <cellStyle name="Normal 26 8 2 2" xfId="30879" xr:uid="{1BFDEFDE-E77C-4B58-BD06-B93135A18A85}"/>
    <cellStyle name="Normal 26 8 2 3" xfId="30880" xr:uid="{AEE0068B-AEC8-46FF-AE00-F0AF28DA418A}"/>
    <cellStyle name="Normal 26 8 2 4" xfId="30881" xr:uid="{96A62DCD-106D-4C74-AF0A-DF83CA2C1EC8}"/>
    <cellStyle name="Normal 26 8 2 5" xfId="30882" xr:uid="{3C4AAF0A-DA4B-4473-84D0-EA874F5ABA89}"/>
    <cellStyle name="Normal 26 8 2 6" xfId="30883" xr:uid="{046FDF8E-0F02-4975-AB0D-CB99E709C6AC}"/>
    <cellStyle name="Normal 26 8 3" xfId="30884" xr:uid="{7DA0F294-4AF1-4DD3-9FC5-3602B5B79B33}"/>
    <cellStyle name="Normal 26 8 3 2" xfId="30885" xr:uid="{7E776BAF-68D1-4E37-8185-36C0397B1A68}"/>
    <cellStyle name="Normal 26 8 3 3" xfId="30886" xr:uid="{F76712E4-2CE7-4CEB-90AF-8EA88220A494}"/>
    <cellStyle name="Normal 26 8 3 4" xfId="30887" xr:uid="{602244F0-E4E8-49EF-87CE-3C4CBD8D114B}"/>
    <cellStyle name="Normal 26 8 3 5" xfId="30888" xr:uid="{4F402698-AC2A-4412-A8DC-F72F77C11A60}"/>
    <cellStyle name="Normal 26 8 3 6" xfId="30889" xr:uid="{BD3203BA-D06E-458C-A27B-16B5102A1DB8}"/>
    <cellStyle name="Normal 26 8 4" xfId="30890" xr:uid="{788BFFA9-2A88-4E83-B48F-54FC1540E999}"/>
    <cellStyle name="Normal 26 8 4 2" xfId="30891" xr:uid="{4BAE9F90-9670-4E7A-8045-14263743B8DA}"/>
    <cellStyle name="Normal 26 8 4 3" xfId="30892" xr:uid="{232A04C4-5814-4450-BB11-2FC5B90724F6}"/>
    <cellStyle name="Normal 26 8 4 4" xfId="30893" xr:uid="{F8072B4D-2E5B-476C-A73F-155F2EF8D69F}"/>
    <cellStyle name="Normal 26 8 4 5" xfId="30894" xr:uid="{0CB917AD-E064-45B4-8A0A-EC9C77F42396}"/>
    <cellStyle name="Normal 26 8 4 6" xfId="30895" xr:uid="{9612A28A-49F7-41F6-878C-8C6C2F1F3ED8}"/>
    <cellStyle name="Normal 26 8 5" xfId="30896" xr:uid="{65826182-AA49-4891-BCDF-66181CA2B38A}"/>
    <cellStyle name="Normal 26 8 5 2" xfId="30897" xr:uid="{C920B04C-4BF7-410A-B611-5DF8F2A9E2F7}"/>
    <cellStyle name="Normal 26 8 5 3" xfId="30898" xr:uid="{E5D6A0A6-F25D-4C7A-9671-F844831CC277}"/>
    <cellStyle name="Normal 26 8 5 4" xfId="30899" xr:uid="{2A41312E-D47B-4168-9B16-1A6D27839992}"/>
    <cellStyle name="Normal 26 8 5 5" xfId="30900" xr:uid="{66E243AB-0F80-406E-B7ED-D44C898BF168}"/>
    <cellStyle name="Normal 26 8 5 6" xfId="30901" xr:uid="{721F4843-D61A-47C2-84E0-17FE4C1ED070}"/>
    <cellStyle name="Normal 26 8 6" xfId="30902" xr:uid="{EC83474F-03EA-457D-9E61-6B7947DC2F9F}"/>
    <cellStyle name="Normal 26 8 6 2" xfId="30903" xr:uid="{0A3DD19D-6FBC-4980-9C33-AD4B534DF6C9}"/>
    <cellStyle name="Normal 26 8 6 3" xfId="30904" xr:uid="{6EAC585C-4C3B-4B37-AFC6-FE50CB1CC115}"/>
    <cellStyle name="Normal 26 8 6 4" xfId="30905" xr:uid="{4A0456C8-5539-4B66-9B65-6C435A7302D4}"/>
    <cellStyle name="Normal 26 8 6 5" xfId="30906" xr:uid="{EA835856-CAB9-44D3-B79D-5C9A3E0AB42F}"/>
    <cellStyle name="Normal 26 8 6 6" xfId="30907" xr:uid="{710DEF06-7E84-41CD-B28D-77409854C081}"/>
    <cellStyle name="Normal 26 8 7" xfId="30908" xr:uid="{ABB9FD78-198C-4F2F-87DD-D8BEE3EBA3FF}"/>
    <cellStyle name="Normal 26 8 7 2" xfId="30909" xr:uid="{7A41286A-CB07-4BEC-B766-ECDFF60764E2}"/>
    <cellStyle name="Normal 26 8 7 3" xfId="30910" xr:uid="{BF6AF56B-F436-4D53-8396-300B2344A60D}"/>
    <cellStyle name="Normal 26 8 7 4" xfId="30911" xr:uid="{CE5BE228-2691-439F-91D0-C3A15D9FD48A}"/>
    <cellStyle name="Normal 26 8 7 5" xfId="30912" xr:uid="{4AC38324-240F-4A16-B6EE-B672D281732A}"/>
    <cellStyle name="Normal 26 8 7 6" xfId="30913" xr:uid="{026A2864-83B6-4ACC-91F8-2E274A84EA14}"/>
    <cellStyle name="Normal 26 8 8" xfId="30914" xr:uid="{C3A738A9-F966-472A-A312-A974C1C9C492}"/>
    <cellStyle name="Normal 26 8 8 2" xfId="30915" xr:uid="{D284C45E-C7A6-436D-B4A6-D574BA75E789}"/>
    <cellStyle name="Normal 26 8 8 3" xfId="30916" xr:uid="{F681BB12-D3B0-498B-80CB-E2A91835DE24}"/>
    <cellStyle name="Normal 26 8 8 4" xfId="30917" xr:uid="{47EFA646-FF06-4C51-A886-679A75060022}"/>
    <cellStyle name="Normal 26 8 8 5" xfId="30918" xr:uid="{14412F59-4716-4590-91E6-B69DFB8A699B}"/>
    <cellStyle name="Normal 26 8 8 6" xfId="30919" xr:uid="{F52561A7-ED31-4380-9CB1-D4D3A87B2749}"/>
    <cellStyle name="Normal 26 8 9" xfId="30920" xr:uid="{7B0D04A0-3A3C-44E9-8326-D30C392B159A}"/>
    <cellStyle name="Normal 26 9" xfId="30921" xr:uid="{2016CAF1-3E52-4713-92D3-56FE9468C2EA}"/>
    <cellStyle name="Normal 26 9 10" xfId="30922" xr:uid="{E66F7F91-4799-4EF0-BDBF-06082D03D5EF}"/>
    <cellStyle name="Normal 26 9 11" xfId="30923" xr:uid="{EF691250-14EE-41D9-A45F-F42DF8A0EF97}"/>
    <cellStyle name="Normal 26 9 12" xfId="30924" xr:uid="{34A650BE-CA5C-46FC-AF5E-27E4EFD14393}"/>
    <cellStyle name="Normal 26 9 13" xfId="30925" xr:uid="{53ABAA73-EA84-4E8C-8D7D-2339CFCCFBBB}"/>
    <cellStyle name="Normal 26 9 2" xfId="30926" xr:uid="{2A06CB81-2BCF-4A29-AD25-AA4C011366D4}"/>
    <cellStyle name="Normal 26 9 2 2" xfId="30927" xr:uid="{6375EADA-ABD3-4FD2-B50B-77BA2DBA4356}"/>
    <cellStyle name="Normal 26 9 2 3" xfId="30928" xr:uid="{111B2B73-E9DA-4A4A-B8DE-C4814D7EF90F}"/>
    <cellStyle name="Normal 26 9 2 4" xfId="30929" xr:uid="{A1A9228B-F668-4722-BBB5-3096824EC0DC}"/>
    <cellStyle name="Normal 26 9 2 5" xfId="30930" xr:uid="{40673633-2E55-476E-90D9-E8E5AC368C84}"/>
    <cellStyle name="Normal 26 9 2 6" xfId="30931" xr:uid="{6AD19309-C83C-4F4E-B9CD-97BED8133AA8}"/>
    <cellStyle name="Normal 26 9 3" xfId="30932" xr:uid="{520EF84B-44E7-4C20-A2F9-34E724CC41BC}"/>
    <cellStyle name="Normal 26 9 3 2" xfId="30933" xr:uid="{6A06B51F-A146-44D4-AC51-576DA5A22EF1}"/>
    <cellStyle name="Normal 26 9 3 3" xfId="30934" xr:uid="{A02AD03D-D2CD-43E3-BD1D-FD3E23D46545}"/>
    <cellStyle name="Normal 26 9 3 4" xfId="30935" xr:uid="{0991A6C0-5738-447A-9FB0-943210545ACE}"/>
    <cellStyle name="Normal 26 9 3 5" xfId="30936" xr:uid="{342FF7C4-1418-41EB-86F6-C75220022198}"/>
    <cellStyle name="Normal 26 9 3 6" xfId="30937" xr:uid="{8C40BAF7-BDF6-49EC-87F3-FAFA6F1C8778}"/>
    <cellStyle name="Normal 26 9 4" xfId="30938" xr:uid="{31A88F22-B51F-4F1F-945C-50DC26B20ECE}"/>
    <cellStyle name="Normal 26 9 4 2" xfId="30939" xr:uid="{F7647868-DD6F-467A-9D1E-196BCFFC053B}"/>
    <cellStyle name="Normal 26 9 4 3" xfId="30940" xr:uid="{F921E618-DABA-4289-915D-40117FC33E00}"/>
    <cellStyle name="Normal 26 9 4 4" xfId="30941" xr:uid="{0691B937-7239-44BA-A377-8D21B54C518B}"/>
    <cellStyle name="Normal 26 9 4 5" xfId="30942" xr:uid="{0CCF7867-F82F-40DC-81A5-C0B31755E929}"/>
    <cellStyle name="Normal 26 9 4 6" xfId="30943" xr:uid="{4B6CE5FE-398B-41F8-B098-B1C77BA077B6}"/>
    <cellStyle name="Normal 26 9 5" xfId="30944" xr:uid="{CA34E1A2-7C58-4025-9C98-AA316427AF7A}"/>
    <cellStyle name="Normal 26 9 5 2" xfId="30945" xr:uid="{30B31B2F-A473-4D44-9294-F877C0C34B8A}"/>
    <cellStyle name="Normal 26 9 5 3" xfId="30946" xr:uid="{863ECC9E-512B-4167-9901-FD51BDF6FD13}"/>
    <cellStyle name="Normal 26 9 5 4" xfId="30947" xr:uid="{C1F384F5-CDC3-45A1-AD7D-2979DB8BC134}"/>
    <cellStyle name="Normal 26 9 5 5" xfId="30948" xr:uid="{1103068C-731A-49F5-90E8-37155333B555}"/>
    <cellStyle name="Normal 26 9 5 6" xfId="30949" xr:uid="{C4609192-EF03-4000-A654-2993B11B286C}"/>
    <cellStyle name="Normal 26 9 6" xfId="30950" xr:uid="{916DA831-71F1-4D40-B2D7-1D92AA458CEE}"/>
    <cellStyle name="Normal 26 9 6 2" xfId="30951" xr:uid="{BA7F199B-E703-434D-988B-B5BDC2313FD7}"/>
    <cellStyle name="Normal 26 9 6 3" xfId="30952" xr:uid="{5E5DBD8E-2590-45FA-B252-1B807D6BA082}"/>
    <cellStyle name="Normal 26 9 6 4" xfId="30953" xr:uid="{DB16EAF6-E1AB-4573-BB4B-8137D1CA09FE}"/>
    <cellStyle name="Normal 26 9 6 5" xfId="30954" xr:uid="{BEEAE7EF-44AF-4DD1-BD47-25107FE516C0}"/>
    <cellStyle name="Normal 26 9 6 6" xfId="30955" xr:uid="{06E9B3AA-A63D-4F47-B6EF-C675FBBC3C53}"/>
    <cellStyle name="Normal 26 9 7" xfId="30956" xr:uid="{3A85A8C1-DD90-4E0A-9974-3FC0612F30A2}"/>
    <cellStyle name="Normal 26 9 7 2" xfId="30957" xr:uid="{28CEC793-99BA-4E3B-B258-B6CBF2F3516E}"/>
    <cellStyle name="Normal 26 9 7 3" xfId="30958" xr:uid="{FEA90F4C-530D-48B9-A04F-331139A3360E}"/>
    <cellStyle name="Normal 26 9 7 4" xfId="30959" xr:uid="{18C155F3-8FF1-4441-B74D-66DD2497EDC2}"/>
    <cellStyle name="Normal 26 9 7 5" xfId="30960" xr:uid="{6F21BFDD-D711-4741-ADBF-764B0A210A15}"/>
    <cellStyle name="Normal 26 9 7 6" xfId="30961" xr:uid="{CE921D42-213F-4961-8E16-D588345EF12B}"/>
    <cellStyle name="Normal 26 9 8" xfId="30962" xr:uid="{63A93B71-6786-44BF-9B4D-5D35BBC67D5F}"/>
    <cellStyle name="Normal 26 9 8 2" xfId="30963" xr:uid="{A6874A26-9933-4793-BCDE-2FB194C76D7C}"/>
    <cellStyle name="Normal 26 9 8 3" xfId="30964" xr:uid="{BF8E6269-FE7E-48F1-B75C-7A77B6340550}"/>
    <cellStyle name="Normal 26 9 8 4" xfId="30965" xr:uid="{A775352B-6BC2-4F9B-B2DC-0A59178877B2}"/>
    <cellStyle name="Normal 26 9 8 5" xfId="30966" xr:uid="{78C48620-619A-4E87-8D92-3451A5B168A0}"/>
    <cellStyle name="Normal 26 9 8 6" xfId="30967" xr:uid="{4F06B6A9-4187-4311-8945-71C62337F413}"/>
    <cellStyle name="Normal 26 9 9" xfId="30968" xr:uid="{F121CF25-19D1-486F-A4AD-FA9282FACED0}"/>
    <cellStyle name="Normal 27" xfId="1791" xr:uid="{C59384F6-4631-46AE-A28A-E70500151FD5}"/>
    <cellStyle name="Normal 27 10" xfId="30969" xr:uid="{361A71F9-9487-4DA9-B80D-65A2D18BE2C2}"/>
    <cellStyle name="Normal 27 10 10" xfId="30970" xr:uid="{73C38401-9993-4AF3-B805-2C0994CF1EBD}"/>
    <cellStyle name="Normal 27 10 11" xfId="30971" xr:uid="{A18F521F-0AAE-4DAE-AE38-239AC69F2947}"/>
    <cellStyle name="Normal 27 10 12" xfId="30972" xr:uid="{CFECC39A-D8E6-43ED-86C6-B06DBC841B8C}"/>
    <cellStyle name="Normal 27 10 13" xfId="30973" xr:uid="{EA53F7C1-151E-4D39-B40A-523FEB6381F6}"/>
    <cellStyle name="Normal 27 10 2" xfId="30974" xr:uid="{9ED94EB2-AC4A-478F-902A-D2436103BC6F}"/>
    <cellStyle name="Normal 27 10 2 2" xfId="30975" xr:uid="{7F2D68F1-A9D6-4FA3-A6A7-2D655A99276C}"/>
    <cellStyle name="Normal 27 10 2 3" xfId="30976" xr:uid="{83343327-DBF3-473A-B612-EEC1B4CD32CC}"/>
    <cellStyle name="Normal 27 10 2 4" xfId="30977" xr:uid="{E4A6A84A-ECA3-4961-B8EA-B4EBF1168E94}"/>
    <cellStyle name="Normal 27 10 2 5" xfId="30978" xr:uid="{EB552CF0-F5F7-4CA6-A16E-7EBD32F218F9}"/>
    <cellStyle name="Normal 27 10 2 6" xfId="30979" xr:uid="{C039E2A5-2B31-429F-9781-EEC1E5880B41}"/>
    <cellStyle name="Normal 27 10 3" xfId="30980" xr:uid="{DC373322-C3AE-4B2C-8555-F98EAD0C60F8}"/>
    <cellStyle name="Normal 27 10 3 2" xfId="30981" xr:uid="{056B046A-402D-4973-AAD1-DF5D303494F0}"/>
    <cellStyle name="Normal 27 10 3 3" xfId="30982" xr:uid="{08EDD806-8F95-4324-A649-2700E6217526}"/>
    <cellStyle name="Normal 27 10 3 4" xfId="30983" xr:uid="{BECBE2EA-49BA-46F7-B810-067305DE8B4B}"/>
    <cellStyle name="Normal 27 10 3 5" xfId="30984" xr:uid="{ED6F53C1-0808-4C61-BC26-72489242A8FF}"/>
    <cellStyle name="Normal 27 10 3 6" xfId="30985" xr:uid="{3399C7E1-AAF8-4CD0-92C6-A20C7F4F1E8B}"/>
    <cellStyle name="Normal 27 10 4" xfId="30986" xr:uid="{2A488801-E82D-4EC5-B06A-8647117A7F32}"/>
    <cellStyle name="Normal 27 10 4 2" xfId="30987" xr:uid="{E8BEDB05-BFFE-4D33-936B-CBB521B95E34}"/>
    <cellStyle name="Normal 27 10 4 3" xfId="30988" xr:uid="{05EC62A9-5D45-4FB6-9668-C6E606900816}"/>
    <cellStyle name="Normal 27 10 4 4" xfId="30989" xr:uid="{04F0B7FA-D368-4B07-BF84-D8A9868819FC}"/>
    <cellStyle name="Normal 27 10 4 5" xfId="30990" xr:uid="{09C1124A-5194-4F77-8026-A555880F73C0}"/>
    <cellStyle name="Normal 27 10 4 6" xfId="30991" xr:uid="{61323266-1D4E-41E4-BC8F-7DB3EA0185C6}"/>
    <cellStyle name="Normal 27 10 5" xfId="30992" xr:uid="{230F9743-79F3-4B83-B09A-29F96D1C493D}"/>
    <cellStyle name="Normal 27 10 5 2" xfId="30993" xr:uid="{5675C589-4134-42DC-970A-0DB25104EBF2}"/>
    <cellStyle name="Normal 27 10 5 3" xfId="30994" xr:uid="{FAA10E79-B6CB-4E63-81A2-24FE40F3E718}"/>
    <cellStyle name="Normal 27 10 5 4" xfId="30995" xr:uid="{82C33BB6-1810-43A6-B9DA-1EC8892699A2}"/>
    <cellStyle name="Normal 27 10 5 5" xfId="30996" xr:uid="{790B6772-34CB-40E6-A448-15763C7003CF}"/>
    <cellStyle name="Normal 27 10 5 6" xfId="30997" xr:uid="{83EACFA3-4EE6-40F4-ABE5-8368D2B56DE2}"/>
    <cellStyle name="Normal 27 10 6" xfId="30998" xr:uid="{0174459B-053F-41CB-9139-8B0F386CA977}"/>
    <cellStyle name="Normal 27 10 6 2" xfId="30999" xr:uid="{713F2524-D15C-4F63-854A-C9C5B3F9FBE8}"/>
    <cellStyle name="Normal 27 10 6 3" xfId="31000" xr:uid="{E7139F0F-45FA-43C4-8A77-DD8519600CCA}"/>
    <cellStyle name="Normal 27 10 6 4" xfId="31001" xr:uid="{E6CE6E27-C952-40BD-8539-0D79F6595368}"/>
    <cellStyle name="Normal 27 10 6 5" xfId="31002" xr:uid="{14B5904F-A794-4D6F-B45F-0520359DBD0F}"/>
    <cellStyle name="Normal 27 10 6 6" xfId="31003" xr:uid="{39C45FEE-2D94-4AE4-9162-869BEB73FE52}"/>
    <cellStyle name="Normal 27 10 7" xfId="31004" xr:uid="{002C2340-EE65-4D8B-AF0B-BA7DEC683645}"/>
    <cellStyle name="Normal 27 10 7 2" xfId="31005" xr:uid="{2B20C558-B5C9-4A0D-8E3F-444B6A9BCE9C}"/>
    <cellStyle name="Normal 27 10 7 3" xfId="31006" xr:uid="{62AE8C87-6D8B-457A-97B1-54CA67EDC311}"/>
    <cellStyle name="Normal 27 10 7 4" xfId="31007" xr:uid="{1F57721A-9042-4A75-8360-E4B1B6438791}"/>
    <cellStyle name="Normal 27 10 7 5" xfId="31008" xr:uid="{9518EFB1-263B-4F16-B6E2-1D2BA5225856}"/>
    <cellStyle name="Normal 27 10 7 6" xfId="31009" xr:uid="{4EEFB371-4804-4464-B7BB-B8A30149108C}"/>
    <cellStyle name="Normal 27 10 8" xfId="31010" xr:uid="{399D2CB9-799C-49EC-81BF-E3CAA07A55CD}"/>
    <cellStyle name="Normal 27 10 8 2" xfId="31011" xr:uid="{B58F7B77-970C-42BD-9612-4B69E9DFF3C8}"/>
    <cellStyle name="Normal 27 10 8 3" xfId="31012" xr:uid="{B5707817-716F-4826-B542-76E23EE09EB8}"/>
    <cellStyle name="Normal 27 10 8 4" xfId="31013" xr:uid="{BD54CEEE-F7D9-4ED8-AE34-15D7E30ABA03}"/>
    <cellStyle name="Normal 27 10 8 5" xfId="31014" xr:uid="{C422D5BA-8A5F-4C17-9A65-53D114C08174}"/>
    <cellStyle name="Normal 27 10 8 6" xfId="31015" xr:uid="{9D4D8C47-F49A-4D2F-B9DA-BB8CC199FA08}"/>
    <cellStyle name="Normal 27 10 9" xfId="31016" xr:uid="{FFD3F404-D1C8-4A22-BE50-6565B147BF2E}"/>
    <cellStyle name="Normal 27 11" xfId="31017" xr:uid="{CF13BC82-516A-4495-B76B-8D76A20B2FF2}"/>
    <cellStyle name="Normal 27 11 10" xfId="31018" xr:uid="{F8F698B8-5A39-4B64-9901-445728655B7C}"/>
    <cellStyle name="Normal 27 11 11" xfId="31019" xr:uid="{F138D6B8-BE2F-45E2-9DC9-88B47BD88B72}"/>
    <cellStyle name="Normal 27 11 12" xfId="31020" xr:uid="{11C45CD3-AFEB-413B-85BE-E4FDD21A730F}"/>
    <cellStyle name="Normal 27 11 13" xfId="31021" xr:uid="{96A97B1A-38E3-40DA-B48B-8F971A4D3F0F}"/>
    <cellStyle name="Normal 27 11 2" xfId="31022" xr:uid="{3F9ABE58-F1E8-444D-8FAD-F2783F8C5DD0}"/>
    <cellStyle name="Normal 27 11 2 2" xfId="31023" xr:uid="{5AEACC2C-4B07-424D-9091-4D2C3CA5C793}"/>
    <cellStyle name="Normal 27 11 2 3" xfId="31024" xr:uid="{FC0AECD9-2929-4A9F-9C5D-F4BB5556D0C8}"/>
    <cellStyle name="Normal 27 11 2 4" xfId="31025" xr:uid="{EC1C4274-BFFA-4779-A246-A1F540B49F99}"/>
    <cellStyle name="Normal 27 11 2 5" xfId="31026" xr:uid="{61558801-1859-4F8D-8A27-2B404A3AA1B2}"/>
    <cellStyle name="Normal 27 11 2 6" xfId="31027" xr:uid="{123B529F-BEA1-4153-98D2-89652A2B0EEB}"/>
    <cellStyle name="Normal 27 11 3" xfId="31028" xr:uid="{38D2E0C1-E77B-4C88-9B88-7E915B90726B}"/>
    <cellStyle name="Normal 27 11 3 2" xfId="31029" xr:uid="{A3F0455C-FD22-4A73-8F6D-AD19B1929331}"/>
    <cellStyle name="Normal 27 11 3 3" xfId="31030" xr:uid="{33B88CAD-B52E-4D5D-9E70-85B57B157BD2}"/>
    <cellStyle name="Normal 27 11 3 4" xfId="31031" xr:uid="{77CE53ED-89DE-4527-AEF5-4B7CB40787E7}"/>
    <cellStyle name="Normal 27 11 3 5" xfId="31032" xr:uid="{3CC4349C-A1F5-4B11-AD68-60ADFC7F3076}"/>
    <cellStyle name="Normal 27 11 3 6" xfId="31033" xr:uid="{56321BFA-EFCD-444F-9535-4EDECEE2E00C}"/>
    <cellStyle name="Normal 27 11 4" xfId="31034" xr:uid="{9525EDCB-41C0-41D0-B060-3907952A0826}"/>
    <cellStyle name="Normal 27 11 4 2" xfId="31035" xr:uid="{AB94C76F-1347-481C-B57C-F4B5F1BE9C8C}"/>
    <cellStyle name="Normal 27 11 4 3" xfId="31036" xr:uid="{653ADDC4-890E-4971-80CB-3E6051941C6E}"/>
    <cellStyle name="Normal 27 11 4 4" xfId="31037" xr:uid="{36FB09CD-4D86-4ECF-B527-EAA35962E649}"/>
    <cellStyle name="Normal 27 11 4 5" xfId="31038" xr:uid="{BBDD9F8F-4330-488D-9F68-5FFAC124887C}"/>
    <cellStyle name="Normal 27 11 4 6" xfId="31039" xr:uid="{C12C50A5-4D38-45D9-8E92-47A3A7A6B6B3}"/>
    <cellStyle name="Normal 27 11 5" xfId="31040" xr:uid="{D1866D3A-9536-4959-80E5-B072F024612F}"/>
    <cellStyle name="Normal 27 11 5 2" xfId="31041" xr:uid="{48360A84-EBE6-47C0-8BC4-0DB1C915D0FA}"/>
    <cellStyle name="Normal 27 11 5 3" xfId="31042" xr:uid="{E9F58E6C-376A-4585-8B45-B37585C16FF3}"/>
    <cellStyle name="Normal 27 11 5 4" xfId="31043" xr:uid="{56AFCD21-24F8-423A-9AD8-5DDF6CBD1D8D}"/>
    <cellStyle name="Normal 27 11 5 5" xfId="31044" xr:uid="{CECF0581-80CC-438B-A189-DDE4EEECFABA}"/>
    <cellStyle name="Normal 27 11 5 6" xfId="31045" xr:uid="{2491E7CF-2B6A-4A49-A615-EC063A3ABF90}"/>
    <cellStyle name="Normal 27 11 6" xfId="31046" xr:uid="{8AE7FFDE-0CFC-4275-BBC2-8B8B327F99AA}"/>
    <cellStyle name="Normal 27 11 6 2" xfId="31047" xr:uid="{D6C56879-43F1-4048-B0D8-5AD765A34C2D}"/>
    <cellStyle name="Normal 27 11 6 3" xfId="31048" xr:uid="{9A2A37C3-76FD-4384-9112-871CAF053F71}"/>
    <cellStyle name="Normal 27 11 6 4" xfId="31049" xr:uid="{593CBE15-E207-436F-BA74-694C1822C13D}"/>
    <cellStyle name="Normal 27 11 6 5" xfId="31050" xr:uid="{D5181255-845F-45D1-8EBA-3B1AB1F5FC2D}"/>
    <cellStyle name="Normal 27 11 6 6" xfId="31051" xr:uid="{F8ABD317-07D9-42F1-BA27-8DA75D878ADF}"/>
    <cellStyle name="Normal 27 11 7" xfId="31052" xr:uid="{EB917A49-DB65-4375-9F81-BB73ACA96A2A}"/>
    <cellStyle name="Normal 27 11 7 2" xfId="31053" xr:uid="{F1A32B50-2E79-458A-AE22-8F7DEC4EB51C}"/>
    <cellStyle name="Normal 27 11 7 3" xfId="31054" xr:uid="{093850E2-4311-4311-B873-C132E367D1E2}"/>
    <cellStyle name="Normal 27 11 7 4" xfId="31055" xr:uid="{4FB1DA27-FC3B-4831-BB6F-0E426E111471}"/>
    <cellStyle name="Normal 27 11 7 5" xfId="31056" xr:uid="{39E0A3BA-84C6-40E9-932B-C24ECBE76EAE}"/>
    <cellStyle name="Normal 27 11 7 6" xfId="31057" xr:uid="{EDF79AA9-4B91-46ED-8DEB-334A5A6DD95E}"/>
    <cellStyle name="Normal 27 11 8" xfId="31058" xr:uid="{60A51453-A856-426C-84D6-F363F4AD4590}"/>
    <cellStyle name="Normal 27 11 8 2" xfId="31059" xr:uid="{C0DB3677-3F9C-420A-AD89-BD83207EA724}"/>
    <cellStyle name="Normal 27 11 8 3" xfId="31060" xr:uid="{B26E835C-82BE-41FA-8692-7D25B9B6C233}"/>
    <cellStyle name="Normal 27 11 8 4" xfId="31061" xr:uid="{4841A359-9159-4A8B-8BC8-35AC21A7B0A7}"/>
    <cellStyle name="Normal 27 11 8 5" xfId="31062" xr:uid="{E5959C5D-7E07-4620-8438-DE38F4DB4312}"/>
    <cellStyle name="Normal 27 11 8 6" xfId="31063" xr:uid="{F7880F3F-1BC4-40C5-8C73-00E59308074F}"/>
    <cellStyle name="Normal 27 11 9" xfId="31064" xr:uid="{ABD59D6C-C22D-48A6-98EF-E04991C0722B}"/>
    <cellStyle name="Normal 27 12" xfId="31065" xr:uid="{AFA48998-C091-4C21-B82B-0881CAEC44CB}"/>
    <cellStyle name="Normal 27 12 10" xfId="31066" xr:uid="{E6F03F07-C3A3-43AA-BA97-B0572B4BBB6D}"/>
    <cellStyle name="Normal 27 12 11" xfId="31067" xr:uid="{6021DACD-8DB7-4AED-8818-61F1C86F36DB}"/>
    <cellStyle name="Normal 27 12 12" xfId="31068" xr:uid="{3BD6390E-700D-4DB9-84D8-B475459A8112}"/>
    <cellStyle name="Normal 27 12 13" xfId="31069" xr:uid="{F92BF82A-D023-4C39-B0EC-0A4897FC1CB9}"/>
    <cellStyle name="Normal 27 12 2" xfId="31070" xr:uid="{6BE94AC2-FF87-4F5B-A6ED-38086A28CDE3}"/>
    <cellStyle name="Normal 27 12 2 2" xfId="31071" xr:uid="{0D855AB0-03A4-4F9D-8EB4-804F91E3FAEA}"/>
    <cellStyle name="Normal 27 12 2 3" xfId="31072" xr:uid="{8C008C35-0772-4535-95D6-774819C02731}"/>
    <cellStyle name="Normal 27 12 2 4" xfId="31073" xr:uid="{069BD783-A6C3-49D7-93A3-DC12D79D31D9}"/>
    <cellStyle name="Normal 27 12 2 5" xfId="31074" xr:uid="{455144C0-70F3-48C5-A771-C6C8FB444691}"/>
    <cellStyle name="Normal 27 12 2 6" xfId="31075" xr:uid="{8B850813-3EF1-43B0-BD97-E89607FA0BA6}"/>
    <cellStyle name="Normal 27 12 3" xfId="31076" xr:uid="{769D084C-D8A2-4024-B3B1-87FD065E280F}"/>
    <cellStyle name="Normal 27 12 3 2" xfId="31077" xr:uid="{7A323ED7-77D5-4FFB-BDEF-605D3C97E8DA}"/>
    <cellStyle name="Normal 27 12 3 3" xfId="31078" xr:uid="{38110D9C-8B38-4FB1-92DD-8D52D7448EF6}"/>
    <cellStyle name="Normal 27 12 3 4" xfId="31079" xr:uid="{698722C1-BEC8-47C9-AD30-48E25551362B}"/>
    <cellStyle name="Normal 27 12 3 5" xfId="31080" xr:uid="{71D739ED-EE13-4402-8282-161776C13CCB}"/>
    <cellStyle name="Normal 27 12 3 6" xfId="31081" xr:uid="{08FE7227-5ABC-4221-BEC9-AE43EFAD3AFA}"/>
    <cellStyle name="Normal 27 12 4" xfId="31082" xr:uid="{1791C5B1-36AB-441F-BE87-A3F50A1EA0D4}"/>
    <cellStyle name="Normal 27 12 4 2" xfId="31083" xr:uid="{F3750888-FA7E-42EE-A442-4AFF94845D13}"/>
    <cellStyle name="Normal 27 12 4 3" xfId="31084" xr:uid="{61CB2F7D-4140-4569-B275-3DE51B43BF7D}"/>
    <cellStyle name="Normal 27 12 4 4" xfId="31085" xr:uid="{B890E216-EFEB-473B-AF5C-CFD0638339F0}"/>
    <cellStyle name="Normal 27 12 4 5" xfId="31086" xr:uid="{75C7C94D-73A1-4B6A-B827-F636A7F426E5}"/>
    <cellStyle name="Normal 27 12 4 6" xfId="31087" xr:uid="{2AF4A6B5-2922-4B18-A62F-1E191A3DD1DF}"/>
    <cellStyle name="Normal 27 12 5" xfId="31088" xr:uid="{118BAF5B-CFFE-41D9-BECA-757294759CC8}"/>
    <cellStyle name="Normal 27 12 5 2" xfId="31089" xr:uid="{98040935-9DF0-44CE-B7C6-A0C8A4C105AC}"/>
    <cellStyle name="Normal 27 12 5 3" xfId="31090" xr:uid="{94B50BB8-1B86-46B8-BE05-C2BEB1B7FC38}"/>
    <cellStyle name="Normal 27 12 5 4" xfId="31091" xr:uid="{D83B2807-9D14-46A7-B79B-717D099EDCF8}"/>
    <cellStyle name="Normal 27 12 5 5" xfId="31092" xr:uid="{836056FB-63F2-4BFF-9504-B09E4EC2AF38}"/>
    <cellStyle name="Normal 27 12 5 6" xfId="31093" xr:uid="{96589C34-FF4B-479B-8F0C-0A555C10C4D4}"/>
    <cellStyle name="Normal 27 12 6" xfId="31094" xr:uid="{675954DD-7D40-4B66-AA37-B1253389A0BF}"/>
    <cellStyle name="Normal 27 12 6 2" xfId="31095" xr:uid="{533BF5BC-9AA5-4C93-A315-A6D540AFCEBF}"/>
    <cellStyle name="Normal 27 12 6 3" xfId="31096" xr:uid="{966429AB-8906-416C-B70A-31DE1EE57331}"/>
    <cellStyle name="Normal 27 12 6 4" xfId="31097" xr:uid="{90E2B4A4-5400-4635-BCF5-5AA6D466CC5E}"/>
    <cellStyle name="Normal 27 12 6 5" xfId="31098" xr:uid="{1F7CD5D1-1DC0-41EB-96F6-4B524B825395}"/>
    <cellStyle name="Normal 27 12 6 6" xfId="31099" xr:uid="{89EDD87D-46FC-41CA-951A-8FE670B5F4CE}"/>
    <cellStyle name="Normal 27 12 7" xfId="31100" xr:uid="{AC99DE71-EB4C-4894-A07F-1B482628213E}"/>
    <cellStyle name="Normal 27 12 7 2" xfId="31101" xr:uid="{85D55C30-FBE4-43D3-A473-9EBB9D306CD4}"/>
    <cellStyle name="Normal 27 12 7 3" xfId="31102" xr:uid="{704F3957-FB24-4D49-8838-9400800CDEE9}"/>
    <cellStyle name="Normal 27 12 7 4" xfId="31103" xr:uid="{1E08349E-A3CA-48AE-AB77-D541C9F7A8F0}"/>
    <cellStyle name="Normal 27 12 7 5" xfId="31104" xr:uid="{9E0B420C-074D-468B-A6BB-4A4D4640FEB0}"/>
    <cellStyle name="Normal 27 12 7 6" xfId="31105" xr:uid="{26AEF029-4E56-4794-8D52-C9D79F917310}"/>
    <cellStyle name="Normal 27 12 8" xfId="31106" xr:uid="{D8372DD3-EEEA-4AA3-896B-7D7B4E4E2153}"/>
    <cellStyle name="Normal 27 12 8 2" xfId="31107" xr:uid="{0C4210E4-E575-4CDE-8703-76C891D1E387}"/>
    <cellStyle name="Normal 27 12 8 3" xfId="31108" xr:uid="{F14925CC-C709-406A-A605-92804F8551C3}"/>
    <cellStyle name="Normal 27 12 8 4" xfId="31109" xr:uid="{C61F18A1-A241-4FF6-A847-BB6ECE97A15F}"/>
    <cellStyle name="Normal 27 12 8 5" xfId="31110" xr:uid="{7B19024E-F69D-47B3-A887-5B224B73ECB1}"/>
    <cellStyle name="Normal 27 12 8 6" xfId="31111" xr:uid="{CDDFD016-76E2-43EB-9247-FE5F6B38CA2F}"/>
    <cellStyle name="Normal 27 12 9" xfId="31112" xr:uid="{A4C941AE-BB8E-4911-B7E4-D47ECF31918F}"/>
    <cellStyle name="Normal 27 13" xfId="31113" xr:uid="{3618C495-452E-45A0-A7E2-8E447FA05BFA}"/>
    <cellStyle name="Normal 27 13 10" xfId="31114" xr:uid="{B67225FA-D5BA-488E-8D2E-1BFE45E03B87}"/>
    <cellStyle name="Normal 27 13 11" xfId="31115" xr:uid="{F36B768D-C61A-4963-B755-08E6DBDA5018}"/>
    <cellStyle name="Normal 27 13 12" xfId="31116" xr:uid="{4921194D-B1F7-4546-8601-BFE6F0872B44}"/>
    <cellStyle name="Normal 27 13 13" xfId="31117" xr:uid="{54D66AED-3688-4751-91EF-B615E9E98B0B}"/>
    <cellStyle name="Normal 27 13 2" xfId="31118" xr:uid="{F015E1F5-D620-4748-97F0-55D0A3C59AC6}"/>
    <cellStyle name="Normal 27 13 2 2" xfId="31119" xr:uid="{46BFC15A-CC84-42A6-8EF0-D7A4E2A6B89D}"/>
    <cellStyle name="Normal 27 13 2 3" xfId="31120" xr:uid="{A192DE8E-F0CC-4AA7-8305-702E06C4296A}"/>
    <cellStyle name="Normal 27 13 2 4" xfId="31121" xr:uid="{B7E14366-0FD9-4863-9DB7-4EC92883596C}"/>
    <cellStyle name="Normal 27 13 2 5" xfId="31122" xr:uid="{96DA9FCF-4E63-4F23-8225-5286333E20CE}"/>
    <cellStyle name="Normal 27 13 2 6" xfId="31123" xr:uid="{36FCD173-62E7-4F29-9A99-6640BCE45B62}"/>
    <cellStyle name="Normal 27 13 3" xfId="31124" xr:uid="{584126AF-99BD-4091-8C05-1CE9E5AB23D4}"/>
    <cellStyle name="Normal 27 13 3 2" xfId="31125" xr:uid="{0765C37C-3A22-4FC1-95F4-0539B309E2D8}"/>
    <cellStyle name="Normal 27 13 3 3" xfId="31126" xr:uid="{0DBA093D-6508-463E-8B35-46FD1432473F}"/>
    <cellStyle name="Normal 27 13 3 4" xfId="31127" xr:uid="{AF716393-5E4B-4759-A846-CD56D2AEA52D}"/>
    <cellStyle name="Normal 27 13 3 5" xfId="31128" xr:uid="{1E933C6A-93DF-4D76-BE40-8DDE9255E9B6}"/>
    <cellStyle name="Normal 27 13 3 6" xfId="31129" xr:uid="{A4FCC807-0EE6-46AB-A842-364F32485E0D}"/>
    <cellStyle name="Normal 27 13 4" xfId="31130" xr:uid="{56D8CCF1-BC8C-4283-A696-68627CEF8F5B}"/>
    <cellStyle name="Normal 27 13 4 2" xfId="31131" xr:uid="{6E0596AA-6FFD-4946-BC1E-AC1A4254CB4D}"/>
    <cellStyle name="Normal 27 13 4 3" xfId="31132" xr:uid="{5D37AD75-313A-4C41-8CB4-F08FDECA034E}"/>
    <cellStyle name="Normal 27 13 4 4" xfId="31133" xr:uid="{76666058-D6E1-468E-BA3C-5EB00A2B70B5}"/>
    <cellStyle name="Normal 27 13 4 5" xfId="31134" xr:uid="{D9A3697D-55AC-4C13-9943-57D48F7C3A18}"/>
    <cellStyle name="Normal 27 13 4 6" xfId="31135" xr:uid="{FF3D7E07-E48B-4A11-948F-B1382580BCB1}"/>
    <cellStyle name="Normal 27 13 5" xfId="31136" xr:uid="{B1D68CD3-0F6C-4422-8971-A6E01E09430C}"/>
    <cellStyle name="Normal 27 13 5 2" xfId="31137" xr:uid="{F370D6FC-2599-4EAF-8932-A369454B892B}"/>
    <cellStyle name="Normal 27 13 5 3" xfId="31138" xr:uid="{3BDC4EFE-0274-48D3-B021-7247C6FC913C}"/>
    <cellStyle name="Normal 27 13 5 4" xfId="31139" xr:uid="{A3A19BCF-F4F5-46B6-A7B4-1EEE6BC740D7}"/>
    <cellStyle name="Normal 27 13 5 5" xfId="31140" xr:uid="{1B1ED9EA-EEBD-4170-9310-D777D1379FB7}"/>
    <cellStyle name="Normal 27 13 5 6" xfId="31141" xr:uid="{DB69146A-433B-4D55-B5BC-865336421ED7}"/>
    <cellStyle name="Normal 27 13 6" xfId="31142" xr:uid="{CAEB9034-8967-4B51-B819-DA56B7D32650}"/>
    <cellStyle name="Normal 27 13 6 2" xfId="31143" xr:uid="{10FF5318-2865-4E45-B6D2-79373039A3B6}"/>
    <cellStyle name="Normal 27 13 6 3" xfId="31144" xr:uid="{81B7B642-FBDC-4EE6-A97C-75EA2109F9CC}"/>
    <cellStyle name="Normal 27 13 6 4" xfId="31145" xr:uid="{EEDFC50B-4587-463E-A062-C6CF9D8256DD}"/>
    <cellStyle name="Normal 27 13 6 5" xfId="31146" xr:uid="{51770DFE-0A92-4A4E-9C6D-6C5E02F4AE8D}"/>
    <cellStyle name="Normal 27 13 6 6" xfId="31147" xr:uid="{42D6766D-B7D1-4DE5-8F15-79771F7AA2D7}"/>
    <cellStyle name="Normal 27 13 7" xfId="31148" xr:uid="{4A4C6028-FD3F-49C5-BFAE-D3A7731E42F0}"/>
    <cellStyle name="Normal 27 13 7 2" xfId="31149" xr:uid="{A2679278-2D28-425D-9DA6-5551D2E92424}"/>
    <cellStyle name="Normal 27 13 7 3" xfId="31150" xr:uid="{509225C2-1FB6-4415-A36A-941CBFBFB5AB}"/>
    <cellStyle name="Normal 27 13 7 4" xfId="31151" xr:uid="{FDA5A315-0158-459D-8829-C96064E4CEB5}"/>
    <cellStyle name="Normal 27 13 7 5" xfId="31152" xr:uid="{1C15D8F0-7DD6-42F4-BAE6-62DFFC6EAB8B}"/>
    <cellStyle name="Normal 27 13 7 6" xfId="31153" xr:uid="{55725C3F-6C06-41EB-A82B-4C357C8863BC}"/>
    <cellStyle name="Normal 27 13 8" xfId="31154" xr:uid="{4C9669B6-9E4E-4E20-9D4F-4CEA36614388}"/>
    <cellStyle name="Normal 27 13 8 2" xfId="31155" xr:uid="{BBFB39C2-7A40-4B8B-A5BC-A756B26E0EDE}"/>
    <cellStyle name="Normal 27 13 8 3" xfId="31156" xr:uid="{1E34EB0C-F6EB-4D3B-B7AF-E74B6B84C3E5}"/>
    <cellStyle name="Normal 27 13 8 4" xfId="31157" xr:uid="{64B676CF-14EC-404E-BD4B-6AA29430DC25}"/>
    <cellStyle name="Normal 27 13 8 5" xfId="31158" xr:uid="{1FB260C1-6047-4296-8691-897FDF555F90}"/>
    <cellStyle name="Normal 27 13 8 6" xfId="31159" xr:uid="{D1CDCBBD-0715-41A2-8C73-C23657FFF3AC}"/>
    <cellStyle name="Normal 27 13 9" xfId="31160" xr:uid="{76AAD031-9AE5-4FA4-B754-1B8D74778C0E}"/>
    <cellStyle name="Normal 27 14" xfId="31161" xr:uid="{7F00007F-E220-47DF-94D1-249BF7F9033C}"/>
    <cellStyle name="Normal 27 14 10" xfId="31162" xr:uid="{06F5A2CD-5DB3-4C80-82F2-2CA4E3E42FD1}"/>
    <cellStyle name="Normal 27 14 11" xfId="31163" xr:uid="{98E9C39B-96C2-46CC-844A-F218177D16EF}"/>
    <cellStyle name="Normal 27 14 12" xfId="31164" xr:uid="{59EA3E50-9806-4B58-9706-7BB9E9BCBFBB}"/>
    <cellStyle name="Normal 27 14 13" xfId="31165" xr:uid="{55DD6919-F0B2-4EB8-BFEC-9AD541415917}"/>
    <cellStyle name="Normal 27 14 2" xfId="31166" xr:uid="{FD7FDBBF-A43F-473F-91F7-BCECB67625AB}"/>
    <cellStyle name="Normal 27 14 2 2" xfId="31167" xr:uid="{25E4F873-2EDF-47D9-9B03-1EFC7B0EF09B}"/>
    <cellStyle name="Normal 27 14 2 3" xfId="31168" xr:uid="{1DB27A33-C4D1-496F-9BF0-D2996E844319}"/>
    <cellStyle name="Normal 27 14 2 4" xfId="31169" xr:uid="{3D01C6B0-117A-45E6-9464-73F0D04F9CCB}"/>
    <cellStyle name="Normal 27 14 2 5" xfId="31170" xr:uid="{003C1152-8CE5-495D-98A7-EEAC40A7BE7D}"/>
    <cellStyle name="Normal 27 14 2 6" xfId="31171" xr:uid="{BD3C2793-F8F2-4714-A5D9-FEC0101A6AA1}"/>
    <cellStyle name="Normal 27 14 3" xfId="31172" xr:uid="{8C107AD3-DDC6-4ED4-8AB1-9A7E1391A434}"/>
    <cellStyle name="Normal 27 14 3 2" xfId="31173" xr:uid="{D887F761-A4DA-478E-9BF7-7353C282E938}"/>
    <cellStyle name="Normal 27 14 3 3" xfId="31174" xr:uid="{2E1A4754-A3F2-4DC3-AE93-6248D6C0EF59}"/>
    <cellStyle name="Normal 27 14 3 4" xfId="31175" xr:uid="{2A853313-1EFE-4F4E-BC4E-91AEAF0F4243}"/>
    <cellStyle name="Normal 27 14 3 5" xfId="31176" xr:uid="{1F4D0FF7-C809-450F-8DEB-EF092390167C}"/>
    <cellStyle name="Normal 27 14 3 6" xfId="31177" xr:uid="{0F14D1C1-AB39-4AB7-8643-A24095F244AF}"/>
    <cellStyle name="Normal 27 14 4" xfId="31178" xr:uid="{9D2D4285-9E98-42DF-BFE9-3DC6FFCC8399}"/>
    <cellStyle name="Normal 27 14 4 2" xfId="31179" xr:uid="{6A875860-2CBE-429D-AAD7-38FB55266F3D}"/>
    <cellStyle name="Normal 27 14 4 3" xfId="31180" xr:uid="{817AB090-D90C-4FEC-8A3E-E7329C3C8A55}"/>
    <cellStyle name="Normal 27 14 4 4" xfId="31181" xr:uid="{24E76F14-09CA-468A-8CF5-BBEC9E5BE673}"/>
    <cellStyle name="Normal 27 14 4 5" xfId="31182" xr:uid="{68EA9BF7-B895-4B93-BA16-2C5AE80E3A52}"/>
    <cellStyle name="Normal 27 14 4 6" xfId="31183" xr:uid="{6ECAEB37-BC58-499E-8981-3DCA4A0B660F}"/>
    <cellStyle name="Normal 27 14 5" xfId="31184" xr:uid="{13E2EF22-377F-481A-837F-374729EAC357}"/>
    <cellStyle name="Normal 27 14 5 2" xfId="31185" xr:uid="{2B85669F-3449-4E58-B717-841B269AE7CB}"/>
    <cellStyle name="Normal 27 14 5 3" xfId="31186" xr:uid="{E3D06F8B-22C7-4740-B831-CB690AC69C92}"/>
    <cellStyle name="Normal 27 14 5 4" xfId="31187" xr:uid="{7E1D0F4A-CC76-4B6A-B8C3-67D415A0E5FB}"/>
    <cellStyle name="Normal 27 14 5 5" xfId="31188" xr:uid="{8ADA3ABA-ECAE-4E53-AF40-446C47882BCE}"/>
    <cellStyle name="Normal 27 14 5 6" xfId="31189" xr:uid="{0660E4DB-DA39-4A4F-A9F6-D7ED35565115}"/>
    <cellStyle name="Normal 27 14 6" xfId="31190" xr:uid="{41C17024-1687-44BB-A6FB-127E7DF439ED}"/>
    <cellStyle name="Normal 27 14 6 2" xfId="31191" xr:uid="{0A385FF6-4919-4699-8064-E31A2FB603BA}"/>
    <cellStyle name="Normal 27 14 6 3" xfId="31192" xr:uid="{148BD01B-DE17-4405-96A3-46F567F4295F}"/>
    <cellStyle name="Normal 27 14 6 4" xfId="31193" xr:uid="{4E8412E5-8637-468E-BA9D-C859BA943E8C}"/>
    <cellStyle name="Normal 27 14 6 5" xfId="31194" xr:uid="{EF3B4E62-825A-486E-9223-A45FD39C5FA1}"/>
    <cellStyle name="Normal 27 14 6 6" xfId="31195" xr:uid="{A704A48B-F6A3-4F10-BEF4-D707CEA11671}"/>
    <cellStyle name="Normal 27 14 7" xfId="31196" xr:uid="{DF37714F-ABE8-469D-9C85-DFD35ADF6785}"/>
    <cellStyle name="Normal 27 14 7 2" xfId="31197" xr:uid="{DC742013-33C5-41D0-8E29-750979C201A4}"/>
    <cellStyle name="Normal 27 14 7 3" xfId="31198" xr:uid="{728CB96C-E645-45A2-9F7A-3619FE2182B3}"/>
    <cellStyle name="Normal 27 14 7 4" xfId="31199" xr:uid="{0830BEDF-D502-4101-AABD-4F3E3E0EDB06}"/>
    <cellStyle name="Normal 27 14 7 5" xfId="31200" xr:uid="{46ECA92D-CA63-4528-9E5A-070F9186F167}"/>
    <cellStyle name="Normal 27 14 7 6" xfId="31201" xr:uid="{BC39DC9F-7D39-4C08-B786-10A7419D87A5}"/>
    <cellStyle name="Normal 27 14 8" xfId="31202" xr:uid="{0F69A3F2-0099-4D38-A0F9-F4AEC7F8CC22}"/>
    <cellStyle name="Normal 27 14 8 2" xfId="31203" xr:uid="{A39A9F10-1BC1-4443-A5AA-D5B175023DF7}"/>
    <cellStyle name="Normal 27 14 8 3" xfId="31204" xr:uid="{1D880672-5F29-4241-934D-059684CCA207}"/>
    <cellStyle name="Normal 27 14 8 4" xfId="31205" xr:uid="{695DDB6B-8D49-49C6-A7ED-3C409029E25C}"/>
    <cellStyle name="Normal 27 14 8 5" xfId="31206" xr:uid="{9A4BF29C-30EF-4EAD-9B72-803E26BD0706}"/>
    <cellStyle name="Normal 27 14 8 6" xfId="31207" xr:uid="{4649A086-1377-4DB6-AE78-D708E168A698}"/>
    <cellStyle name="Normal 27 14 9" xfId="31208" xr:uid="{63C91AC7-F86C-4C17-BF5A-D7E4A0EA5E34}"/>
    <cellStyle name="Normal 27 15" xfId="31209" xr:uid="{D1D47C0B-D964-453D-9706-6FFAD8CC1CCA}"/>
    <cellStyle name="Normal 27 15 10" xfId="31210" xr:uid="{CC8A1894-6246-4CA3-94B1-0793A36D0012}"/>
    <cellStyle name="Normal 27 15 11" xfId="31211" xr:uid="{EBF20B3B-3905-4212-9F7C-98125C42D271}"/>
    <cellStyle name="Normal 27 15 12" xfId="31212" xr:uid="{71674A36-98F2-4A5E-99A8-19856F960072}"/>
    <cellStyle name="Normal 27 15 13" xfId="31213" xr:uid="{E9DAEE56-0B04-44EB-B4FE-3D479C2A3FCB}"/>
    <cellStyle name="Normal 27 15 2" xfId="31214" xr:uid="{AEE91799-AAC3-4F03-B308-1FA7907A930E}"/>
    <cellStyle name="Normal 27 15 2 2" xfId="31215" xr:uid="{8C595DFF-4EBB-4A49-AB3F-238E9930F992}"/>
    <cellStyle name="Normal 27 15 2 3" xfId="31216" xr:uid="{832E5C0D-5FE3-49E5-90B8-8DABCA4AF72D}"/>
    <cellStyle name="Normal 27 15 2 4" xfId="31217" xr:uid="{F302F2EF-37F1-4F4E-8E04-B9C805F09D22}"/>
    <cellStyle name="Normal 27 15 2 5" xfId="31218" xr:uid="{1A521E60-01FE-4BBF-8F77-5403803B8EBB}"/>
    <cellStyle name="Normal 27 15 2 6" xfId="31219" xr:uid="{7155AE6E-86D6-49A7-B531-D9457E18CFEB}"/>
    <cellStyle name="Normal 27 15 3" xfId="31220" xr:uid="{D77F4054-7739-4704-A403-278980487F5E}"/>
    <cellStyle name="Normal 27 15 3 2" xfId="31221" xr:uid="{10E5310D-E677-40F1-9704-A2CAB269DC71}"/>
    <cellStyle name="Normal 27 15 3 3" xfId="31222" xr:uid="{87315C11-1085-43E8-894B-F0D822E100C7}"/>
    <cellStyle name="Normal 27 15 3 4" xfId="31223" xr:uid="{3E9FB35E-AA60-498A-9C59-7736CFBA157F}"/>
    <cellStyle name="Normal 27 15 3 5" xfId="31224" xr:uid="{B9AF2DEF-EC77-4CC3-A887-9BFFF095D10E}"/>
    <cellStyle name="Normal 27 15 3 6" xfId="31225" xr:uid="{0ED88492-D3ED-4E05-9C49-C01B857C0436}"/>
    <cellStyle name="Normal 27 15 4" xfId="31226" xr:uid="{619D907A-9501-4CE3-A49C-9C388FB00B3F}"/>
    <cellStyle name="Normal 27 15 4 2" xfId="31227" xr:uid="{4EFAF18A-4E75-434C-839C-7ED6A9E5AA74}"/>
    <cellStyle name="Normal 27 15 4 3" xfId="31228" xr:uid="{69CD2D84-4884-4ABF-982E-CF157EB7997E}"/>
    <cellStyle name="Normal 27 15 4 4" xfId="31229" xr:uid="{5C76D24D-760B-4821-85E4-4EE4E3448581}"/>
    <cellStyle name="Normal 27 15 4 5" xfId="31230" xr:uid="{EBB45A94-A8EA-44CB-A71C-F5BF9914DEA9}"/>
    <cellStyle name="Normal 27 15 4 6" xfId="31231" xr:uid="{928FC2F0-5220-4931-9075-C58AB5A5EED8}"/>
    <cellStyle name="Normal 27 15 5" xfId="31232" xr:uid="{D94B55FF-7B1F-4F7B-8B6E-211EB4125371}"/>
    <cellStyle name="Normal 27 15 5 2" xfId="31233" xr:uid="{272377D0-852A-4A52-8FA5-E8EC45B4A02F}"/>
    <cellStyle name="Normal 27 15 5 3" xfId="31234" xr:uid="{F16AB060-2696-496E-A229-C39B7B5071DF}"/>
    <cellStyle name="Normal 27 15 5 4" xfId="31235" xr:uid="{1EAD105B-E016-48BD-8011-D40126204CD5}"/>
    <cellStyle name="Normal 27 15 5 5" xfId="31236" xr:uid="{0F2E41F9-1061-44AF-A1CA-8624519C2610}"/>
    <cellStyle name="Normal 27 15 5 6" xfId="31237" xr:uid="{9870F536-512C-4D7A-B417-0B9872E6D440}"/>
    <cellStyle name="Normal 27 15 6" xfId="31238" xr:uid="{2611BBC9-F188-4A38-8381-993FA550D20D}"/>
    <cellStyle name="Normal 27 15 6 2" xfId="31239" xr:uid="{D3D74CC8-50BE-4135-AAD7-24A96A717433}"/>
    <cellStyle name="Normal 27 15 6 3" xfId="31240" xr:uid="{99C635E3-DFAC-4093-8047-3ABC9F810F97}"/>
    <cellStyle name="Normal 27 15 6 4" xfId="31241" xr:uid="{A5E2F847-4A45-4973-906E-06CAFD8FE3A3}"/>
    <cellStyle name="Normal 27 15 6 5" xfId="31242" xr:uid="{DC451464-24C8-494D-A227-BC16C528F6FE}"/>
    <cellStyle name="Normal 27 15 6 6" xfId="31243" xr:uid="{1DDF9313-00FE-4664-9EE5-E456574BC901}"/>
    <cellStyle name="Normal 27 15 7" xfId="31244" xr:uid="{FB30C8D0-79F2-414E-9AE3-6F108D723CDF}"/>
    <cellStyle name="Normal 27 15 7 2" xfId="31245" xr:uid="{08BB5F60-9779-45B5-A770-E499BE41F667}"/>
    <cellStyle name="Normal 27 15 7 3" xfId="31246" xr:uid="{2C7701C9-9CFA-4824-B094-0534B2DE55F1}"/>
    <cellStyle name="Normal 27 15 7 4" xfId="31247" xr:uid="{D7A016CE-DEEA-4C04-9BBE-C81BA4406E55}"/>
    <cellStyle name="Normal 27 15 7 5" xfId="31248" xr:uid="{B1094AC5-E264-40D7-8C2C-D7949A20EE61}"/>
    <cellStyle name="Normal 27 15 7 6" xfId="31249" xr:uid="{F16F2AB9-D30A-4A52-9719-8C4628455224}"/>
    <cellStyle name="Normal 27 15 8" xfId="31250" xr:uid="{F8FCB883-8E04-4AAD-ADEA-128F6B8A83FE}"/>
    <cellStyle name="Normal 27 15 8 2" xfId="31251" xr:uid="{87648CF4-B909-4A86-91C2-E0EA25AE80CB}"/>
    <cellStyle name="Normal 27 15 8 3" xfId="31252" xr:uid="{4AFF318E-D328-4A1D-BC9A-4DEDBB15E522}"/>
    <cellStyle name="Normal 27 15 8 4" xfId="31253" xr:uid="{35705CA6-4112-4E7B-B2C2-C06A18B7CA61}"/>
    <cellStyle name="Normal 27 15 8 5" xfId="31254" xr:uid="{652EB51E-EC93-4695-BAAE-76E779506612}"/>
    <cellStyle name="Normal 27 15 8 6" xfId="31255" xr:uid="{DCCF042C-B577-42C3-A991-FEF57D18E280}"/>
    <cellStyle name="Normal 27 15 9" xfId="31256" xr:uid="{C36E6849-AA22-4830-B050-BAD2368DA9C2}"/>
    <cellStyle name="Normal 27 16" xfId="31257" xr:uid="{143693CE-16D9-46C4-9A0E-A228B1540422}"/>
    <cellStyle name="Normal 27 16 10" xfId="31258" xr:uid="{71E1C2E8-205B-4404-AA20-EB75F406AC3C}"/>
    <cellStyle name="Normal 27 16 11" xfId="31259" xr:uid="{5E2AEF48-308C-46AF-9C5D-FA0E6338A638}"/>
    <cellStyle name="Normal 27 16 12" xfId="31260" xr:uid="{706571FA-6DCF-4A75-8EDB-02525C615DCB}"/>
    <cellStyle name="Normal 27 16 13" xfId="31261" xr:uid="{E9F94CD7-35A3-4FE7-A507-5FE5D11B571F}"/>
    <cellStyle name="Normal 27 16 2" xfId="31262" xr:uid="{382F7708-6218-46CC-ADD2-83E08A112A66}"/>
    <cellStyle name="Normal 27 16 2 2" xfId="31263" xr:uid="{1C247727-0B76-47D7-BA1E-1F544AF2FF3E}"/>
    <cellStyle name="Normal 27 16 2 3" xfId="31264" xr:uid="{745D37CE-799F-40CC-AB75-8F1F8701817E}"/>
    <cellStyle name="Normal 27 16 2 4" xfId="31265" xr:uid="{3BAC8BBC-CA8C-44AE-A927-77C1607D3165}"/>
    <cellStyle name="Normal 27 16 2 5" xfId="31266" xr:uid="{EC8EF04E-A99C-4449-B5E6-1E263BF5A111}"/>
    <cellStyle name="Normal 27 16 2 6" xfId="31267" xr:uid="{972CC2F1-B3D8-4D88-B9EE-7BA12D1CC160}"/>
    <cellStyle name="Normal 27 16 3" xfId="31268" xr:uid="{828C2E63-B49B-4DC6-BACF-03B331FC5012}"/>
    <cellStyle name="Normal 27 16 3 2" xfId="31269" xr:uid="{0540949A-D199-4598-951E-C7811259DE4A}"/>
    <cellStyle name="Normal 27 16 3 3" xfId="31270" xr:uid="{9CEC2406-8C33-4030-B4A9-FFEA1E719D89}"/>
    <cellStyle name="Normal 27 16 3 4" xfId="31271" xr:uid="{F2F2B562-5ACB-4E5A-946C-8F2CA6F3EFDA}"/>
    <cellStyle name="Normal 27 16 3 5" xfId="31272" xr:uid="{E750DF16-5284-479A-9380-408E6AA5C02E}"/>
    <cellStyle name="Normal 27 16 3 6" xfId="31273" xr:uid="{EF536A66-ECC6-4C74-8ED4-C24A4D1DFAC3}"/>
    <cellStyle name="Normal 27 16 4" xfId="31274" xr:uid="{85FF4668-4AE2-4677-825A-FE98046C0E9F}"/>
    <cellStyle name="Normal 27 16 4 2" xfId="31275" xr:uid="{1BDD0E19-24DA-49E5-BC22-36B13282448D}"/>
    <cellStyle name="Normal 27 16 4 3" xfId="31276" xr:uid="{5A7B7267-69CA-44BE-A37E-EB7652985E5B}"/>
    <cellStyle name="Normal 27 16 4 4" xfId="31277" xr:uid="{D0FDF069-7416-4BA3-B363-8774DF529BB8}"/>
    <cellStyle name="Normal 27 16 4 5" xfId="31278" xr:uid="{DB29F98E-16C3-485F-A768-3A0CE258876E}"/>
    <cellStyle name="Normal 27 16 4 6" xfId="31279" xr:uid="{F171FEFB-D9FA-45F5-8DEC-2F96149F96D9}"/>
    <cellStyle name="Normal 27 16 5" xfId="31280" xr:uid="{7B3E3AF4-02D9-45EF-8F38-BB3B432AFC35}"/>
    <cellStyle name="Normal 27 16 5 2" xfId="31281" xr:uid="{00849ABF-1CC1-4803-B658-6B9118C37232}"/>
    <cellStyle name="Normal 27 16 5 3" xfId="31282" xr:uid="{157E8D94-56BD-48C5-8218-3D1627D7C9AA}"/>
    <cellStyle name="Normal 27 16 5 4" xfId="31283" xr:uid="{795900C1-4DFD-4BB1-B203-0D34403033CD}"/>
    <cellStyle name="Normal 27 16 5 5" xfId="31284" xr:uid="{589400B5-2E58-46AC-829C-4D6E5D334DE1}"/>
    <cellStyle name="Normal 27 16 5 6" xfId="31285" xr:uid="{8B5062E2-4416-4534-A2D0-994138EFD867}"/>
    <cellStyle name="Normal 27 16 6" xfId="31286" xr:uid="{FC58CC93-F0EF-4EB4-86FC-30F9FCA412F7}"/>
    <cellStyle name="Normal 27 16 6 2" xfId="31287" xr:uid="{04BFDAA6-31BE-4115-ACBF-7543A4B43F02}"/>
    <cellStyle name="Normal 27 16 6 3" xfId="31288" xr:uid="{7CE5249F-5F3B-45FA-8B50-527F5EADA54E}"/>
    <cellStyle name="Normal 27 16 6 4" xfId="31289" xr:uid="{AFA8A2B0-D5E2-4537-940A-F8C5D4F531F0}"/>
    <cellStyle name="Normal 27 16 6 5" xfId="31290" xr:uid="{1A781DF2-4F40-4D10-8F65-82D16CA71667}"/>
    <cellStyle name="Normal 27 16 6 6" xfId="31291" xr:uid="{AF15D656-D7BF-44AD-AF44-E1F77DC80F76}"/>
    <cellStyle name="Normal 27 16 7" xfId="31292" xr:uid="{208F0B63-A6FD-4E5E-9DB5-2D00A5EF6863}"/>
    <cellStyle name="Normal 27 16 7 2" xfId="31293" xr:uid="{EB3EDBEC-C2DC-4008-A918-713E923B8E06}"/>
    <cellStyle name="Normal 27 16 7 3" xfId="31294" xr:uid="{10D7E7D8-B015-44B2-823D-884F62420DDC}"/>
    <cellStyle name="Normal 27 16 7 4" xfId="31295" xr:uid="{7E6A4632-4F92-4450-80B1-DDD0C72443F3}"/>
    <cellStyle name="Normal 27 16 7 5" xfId="31296" xr:uid="{BB83BBDB-D8A8-4879-8F56-69532DD6CFE4}"/>
    <cellStyle name="Normal 27 16 7 6" xfId="31297" xr:uid="{913E53E7-CD2A-4130-8173-4F97B877F532}"/>
    <cellStyle name="Normal 27 16 8" xfId="31298" xr:uid="{ECC50851-D96A-43A8-BF9C-E9CC68CE0793}"/>
    <cellStyle name="Normal 27 16 8 2" xfId="31299" xr:uid="{3AF77758-3837-4E1E-8E4D-ED62AA5628A0}"/>
    <cellStyle name="Normal 27 16 8 3" xfId="31300" xr:uid="{98211A0D-1BEE-498A-878A-B9B31A875023}"/>
    <cellStyle name="Normal 27 16 8 4" xfId="31301" xr:uid="{2C47E17D-E0D5-4A82-90C9-BEEE63BDB099}"/>
    <cellStyle name="Normal 27 16 8 5" xfId="31302" xr:uid="{399CA0B6-C0FD-4A6E-8C42-EE9B750E3982}"/>
    <cellStyle name="Normal 27 16 8 6" xfId="31303" xr:uid="{05AAFFD3-5422-413D-B6D7-FD801F3777D0}"/>
    <cellStyle name="Normal 27 16 9" xfId="31304" xr:uid="{54473142-DBFC-4B1B-A2EE-1D5223E5CC2C}"/>
    <cellStyle name="Normal 27 17" xfId="31305" xr:uid="{4C5A9284-C294-42C8-AB66-15ED5A4DA1C7}"/>
    <cellStyle name="Normal 27 17 10" xfId="31306" xr:uid="{29E065FB-2A88-4D9E-9BA0-3DD41A5FD938}"/>
    <cellStyle name="Normal 27 17 11" xfId="31307" xr:uid="{CABFCE1D-5384-42D3-905E-26F8A7EFB3F9}"/>
    <cellStyle name="Normal 27 17 12" xfId="31308" xr:uid="{F0B97389-F164-4353-9622-DDD6E1BCC7BC}"/>
    <cellStyle name="Normal 27 17 13" xfId="31309" xr:uid="{D89F6EB1-7CE0-451C-8B77-4AE167CCE994}"/>
    <cellStyle name="Normal 27 17 2" xfId="31310" xr:uid="{FC603E64-C033-4BF1-B9B3-758AE6C2816A}"/>
    <cellStyle name="Normal 27 17 2 2" xfId="31311" xr:uid="{88695F7C-5D0B-4B0B-9379-E9518FCC23C9}"/>
    <cellStyle name="Normal 27 17 2 3" xfId="31312" xr:uid="{F50310AC-043C-40DC-8C1F-7B7B6CA1D5AA}"/>
    <cellStyle name="Normal 27 17 2 4" xfId="31313" xr:uid="{0E898A5C-D8DB-4266-BC9D-BFA5B685ECFB}"/>
    <cellStyle name="Normal 27 17 2 5" xfId="31314" xr:uid="{2EEE6B1C-E125-4262-B45E-BB5BEFB96EA1}"/>
    <cellStyle name="Normal 27 17 2 6" xfId="31315" xr:uid="{1F8B105E-0D8C-4816-A3DD-0E632CC9E933}"/>
    <cellStyle name="Normal 27 17 3" xfId="31316" xr:uid="{A010D1DB-07A9-40F4-8A68-4B08178B4BE1}"/>
    <cellStyle name="Normal 27 17 3 2" xfId="31317" xr:uid="{5A886DBB-F113-45F5-AC37-6387478ED040}"/>
    <cellStyle name="Normal 27 17 3 3" xfId="31318" xr:uid="{E39B2DA2-8E46-4426-9430-D845455C900A}"/>
    <cellStyle name="Normal 27 17 3 4" xfId="31319" xr:uid="{90E30DF3-6F3D-4972-9A33-B35E9C06D888}"/>
    <cellStyle name="Normal 27 17 3 5" xfId="31320" xr:uid="{BBAC3129-EE88-4F54-A247-D6E1BD57F8C6}"/>
    <cellStyle name="Normal 27 17 3 6" xfId="31321" xr:uid="{640FD9D8-FD37-4D0F-B0DC-78BA1AD525F3}"/>
    <cellStyle name="Normal 27 17 4" xfId="31322" xr:uid="{99362780-3B72-4F5A-9DD1-DEFBC518C0CE}"/>
    <cellStyle name="Normal 27 17 4 2" xfId="31323" xr:uid="{01ACBDEF-0331-4443-8FF9-B93DD6DF3D5C}"/>
    <cellStyle name="Normal 27 17 4 3" xfId="31324" xr:uid="{178FD59E-9E3D-48AD-8B9D-839F6083D01B}"/>
    <cellStyle name="Normal 27 17 4 4" xfId="31325" xr:uid="{088209DF-8CC1-4F71-84D1-9F5702A91051}"/>
    <cellStyle name="Normal 27 17 4 5" xfId="31326" xr:uid="{BBE95235-3750-4EA7-BB9A-ABC29918287C}"/>
    <cellStyle name="Normal 27 17 4 6" xfId="31327" xr:uid="{0BA390D6-B92E-438C-9F44-8251A2C1743B}"/>
    <cellStyle name="Normal 27 17 5" xfId="31328" xr:uid="{BC71F780-783A-4F94-8CFD-36486E652F6D}"/>
    <cellStyle name="Normal 27 17 5 2" xfId="31329" xr:uid="{0F3E04AA-060F-4EF4-B7A9-41793DFF7C31}"/>
    <cellStyle name="Normal 27 17 5 3" xfId="31330" xr:uid="{4F3ABB9E-2714-434D-AAB6-A95694D63081}"/>
    <cellStyle name="Normal 27 17 5 4" xfId="31331" xr:uid="{F07EF083-DBE4-47B9-812F-EFE0DEEBC070}"/>
    <cellStyle name="Normal 27 17 5 5" xfId="31332" xr:uid="{3BF2466D-6279-4E4E-A798-CA2659DC2D89}"/>
    <cellStyle name="Normal 27 17 5 6" xfId="31333" xr:uid="{2AAF9BC5-3BA7-46EF-AA40-8E6B7B08C7BF}"/>
    <cellStyle name="Normal 27 17 6" xfId="31334" xr:uid="{0D6D3BB5-916F-4F22-A036-DB991EB2FBB9}"/>
    <cellStyle name="Normal 27 17 6 2" xfId="31335" xr:uid="{35288A81-D4E2-49A5-9000-EDC9B6A42C72}"/>
    <cellStyle name="Normal 27 17 6 3" xfId="31336" xr:uid="{D76A51E0-3302-45C7-8E86-F8BF10E7C297}"/>
    <cellStyle name="Normal 27 17 6 4" xfId="31337" xr:uid="{9114F7E6-21F3-4816-ADFB-A86728E03E26}"/>
    <cellStyle name="Normal 27 17 6 5" xfId="31338" xr:uid="{D866365A-0D19-4A0F-8F6A-C0A2BB4DFAF7}"/>
    <cellStyle name="Normal 27 17 6 6" xfId="31339" xr:uid="{65C46347-E9DC-49B2-A3AD-1977BD4AD8C4}"/>
    <cellStyle name="Normal 27 17 7" xfId="31340" xr:uid="{5CE201C0-6EA7-4EF6-9B25-C0F90AA05F75}"/>
    <cellStyle name="Normal 27 17 7 2" xfId="31341" xr:uid="{19366805-3C08-4209-9E19-9CB2EA60A45C}"/>
    <cellStyle name="Normal 27 17 7 3" xfId="31342" xr:uid="{D195045A-A9A0-4A4B-A3CF-C3CC106FE2A7}"/>
    <cellStyle name="Normal 27 17 7 4" xfId="31343" xr:uid="{F2BEFAA9-6BD8-4F79-BA1D-6D9AC8F2B1C4}"/>
    <cellStyle name="Normal 27 17 7 5" xfId="31344" xr:uid="{BD965695-C00D-416D-8E85-7F63E4AE35D0}"/>
    <cellStyle name="Normal 27 17 7 6" xfId="31345" xr:uid="{508344C9-9B96-41CE-9DBD-C59D9EDF9A65}"/>
    <cellStyle name="Normal 27 17 8" xfId="31346" xr:uid="{B83289AC-B108-4A75-BF76-49E30459B323}"/>
    <cellStyle name="Normal 27 17 8 2" xfId="31347" xr:uid="{8FF8A832-B99B-413F-B5A9-B5AB007F3793}"/>
    <cellStyle name="Normal 27 17 8 3" xfId="31348" xr:uid="{A0EF2ACF-1842-4E7E-8570-7E2203AD0DAA}"/>
    <cellStyle name="Normal 27 17 8 4" xfId="31349" xr:uid="{0149B4CD-4DE9-438A-9E6E-47DD7A446658}"/>
    <cellStyle name="Normal 27 17 8 5" xfId="31350" xr:uid="{9B907D86-7BE0-4F40-A74A-A4197D6206D1}"/>
    <cellStyle name="Normal 27 17 8 6" xfId="31351" xr:uid="{030ED935-EBFB-4C68-8A30-7D8E6F6F1FD0}"/>
    <cellStyle name="Normal 27 17 9" xfId="31352" xr:uid="{DBF0306D-31ED-42FC-A365-0C0D4DD1541E}"/>
    <cellStyle name="Normal 27 18" xfId="31353" xr:uid="{37AA4A88-8262-4395-939F-F2D01EC9CD78}"/>
    <cellStyle name="Normal 27 18 2" xfId="31354" xr:uid="{A31CAF70-66E8-4BF3-BFF8-40C31355A6B5}"/>
    <cellStyle name="Normal 27 18 3" xfId="31355" xr:uid="{0B3321F5-9661-4E2C-A512-E7E8B8B6C203}"/>
    <cellStyle name="Normal 27 18 4" xfId="31356" xr:uid="{EF916D68-38BE-46D1-A45D-1498B8AEE390}"/>
    <cellStyle name="Normal 27 18 5" xfId="31357" xr:uid="{4091469B-0068-46E0-9A6B-9A5B3CCFBE22}"/>
    <cellStyle name="Normal 27 18 6" xfId="31358" xr:uid="{E9ADBDEE-46F5-4C4D-B550-23FA427259AD}"/>
    <cellStyle name="Normal 27 19" xfId="31359" xr:uid="{E7D294B5-B65C-452C-B362-546D903E9F44}"/>
    <cellStyle name="Normal 27 19 2" xfId="31360" xr:uid="{6BFEB6E7-333B-4621-A79B-441F7972263A}"/>
    <cellStyle name="Normal 27 19 3" xfId="31361" xr:uid="{96D93E3B-25CA-4503-ABCA-BBB1466B4330}"/>
    <cellStyle name="Normal 27 19 4" xfId="31362" xr:uid="{A40989CF-4F9A-416E-A764-6F52A987B434}"/>
    <cellStyle name="Normal 27 19 5" xfId="31363" xr:uid="{8CD257EC-B499-4F4F-9DBD-623FE1DDC5D5}"/>
    <cellStyle name="Normal 27 19 6" xfId="31364" xr:uid="{AB3E7EFB-495D-4D3B-9F1E-E077FE52743B}"/>
    <cellStyle name="Normal 27 2" xfId="31365" xr:uid="{08E68C4E-2C83-4417-B789-FC301943A289}"/>
    <cellStyle name="Normal 27 2 10" xfId="31366" xr:uid="{FF818BF8-3C89-465D-AA1E-789555F0687C}"/>
    <cellStyle name="Normal 27 2 11" xfId="31367" xr:uid="{719B92E4-3A25-4D99-AF91-E364DE057CB1}"/>
    <cellStyle name="Normal 27 2 12" xfId="31368" xr:uid="{61FF9B8E-0FD0-4960-836D-31093A420B89}"/>
    <cellStyle name="Normal 27 2 13" xfId="31369" xr:uid="{543757D0-DECE-4CD0-B52C-C2932DBF965B}"/>
    <cellStyle name="Normal 27 2 2" xfId="31370" xr:uid="{1F9B7D8C-52FD-4A9B-9703-83B951206AC3}"/>
    <cellStyle name="Normal 27 2 2 2" xfId="31371" xr:uid="{A2AC917E-2BEB-4710-AFF2-234E521C125D}"/>
    <cellStyle name="Normal 27 2 2 3" xfId="31372" xr:uid="{C3F3C55B-A8EA-489F-B3EF-69F0AC477C78}"/>
    <cellStyle name="Normal 27 2 2 4" xfId="31373" xr:uid="{96BE6A83-1CB2-4A6D-A0D4-4154F702C7FD}"/>
    <cellStyle name="Normal 27 2 2 5" xfId="31374" xr:uid="{C8FFBB88-72B0-4D8F-A677-A5D07C1C60F0}"/>
    <cellStyle name="Normal 27 2 2 6" xfId="31375" xr:uid="{7AA4988F-1A27-4C22-82B1-8A8640E41309}"/>
    <cellStyle name="Normal 27 2 3" xfId="31376" xr:uid="{73D2DF17-45C0-472D-A206-AE29CB33EDDD}"/>
    <cellStyle name="Normal 27 2 3 2" xfId="31377" xr:uid="{4F79F35E-506A-46F4-B5D2-83AD8148BB7D}"/>
    <cellStyle name="Normal 27 2 3 3" xfId="31378" xr:uid="{52BDFC2B-FCD7-4BC5-9F21-4918EDBED2B5}"/>
    <cellStyle name="Normal 27 2 3 4" xfId="31379" xr:uid="{35C101A3-E450-437B-B95F-27B03A66AE77}"/>
    <cellStyle name="Normal 27 2 3 5" xfId="31380" xr:uid="{78B7E0DE-D742-4B20-A4FA-8151FA705134}"/>
    <cellStyle name="Normal 27 2 3 6" xfId="31381" xr:uid="{EA153655-8558-468A-B2A9-CE6235CF1534}"/>
    <cellStyle name="Normal 27 2 4" xfId="31382" xr:uid="{4F638BF8-96A5-4619-B908-5440C9B19FDC}"/>
    <cellStyle name="Normal 27 2 4 2" xfId="31383" xr:uid="{BF629CBA-3E82-4E5E-AEA1-E1909C51B75F}"/>
    <cellStyle name="Normal 27 2 4 3" xfId="31384" xr:uid="{C8758117-3B87-4918-A958-21BFE07219C3}"/>
    <cellStyle name="Normal 27 2 4 4" xfId="31385" xr:uid="{B4B1709C-46F9-4869-849E-AD3970C51CE6}"/>
    <cellStyle name="Normal 27 2 4 5" xfId="31386" xr:uid="{95438AD2-E466-4043-AA4A-902CF6ACE17D}"/>
    <cellStyle name="Normal 27 2 4 6" xfId="31387" xr:uid="{AD24C0C5-FDA8-4621-9C49-C71114509266}"/>
    <cellStyle name="Normal 27 2 5" xfId="31388" xr:uid="{ED28841F-DCB3-4F90-869B-4467378DBEA9}"/>
    <cellStyle name="Normal 27 2 5 2" xfId="31389" xr:uid="{0D47041E-8F73-4BFD-9D4F-9F0DF2F778F0}"/>
    <cellStyle name="Normal 27 2 5 3" xfId="31390" xr:uid="{F938C8BA-0DA5-4628-BCC2-A292AC83F2F4}"/>
    <cellStyle name="Normal 27 2 5 4" xfId="31391" xr:uid="{B524E38D-7245-4391-8B1B-7A699F679CE9}"/>
    <cellStyle name="Normal 27 2 5 5" xfId="31392" xr:uid="{09C495ED-9703-49D6-B1B6-0F4B7F7E2BCE}"/>
    <cellStyle name="Normal 27 2 5 6" xfId="31393" xr:uid="{A98B4AE4-D9C3-4FC8-BD54-39F018DFA547}"/>
    <cellStyle name="Normal 27 2 6" xfId="31394" xr:uid="{C337E543-C8E3-4146-B175-3ACA52346153}"/>
    <cellStyle name="Normal 27 2 6 2" xfId="31395" xr:uid="{38E0F2DC-86DA-40E8-BF93-E2FD64AE9F1D}"/>
    <cellStyle name="Normal 27 2 6 3" xfId="31396" xr:uid="{4FD965CA-61B5-411B-B254-0926832E2921}"/>
    <cellStyle name="Normal 27 2 6 4" xfId="31397" xr:uid="{4397F161-6544-4DE1-ACDD-E78197D56F1A}"/>
    <cellStyle name="Normal 27 2 6 5" xfId="31398" xr:uid="{23EAAB4C-320A-43AD-BCF3-21852E8983EA}"/>
    <cellStyle name="Normal 27 2 6 6" xfId="31399" xr:uid="{98619794-2229-4945-AD74-3DEAFE3ADE95}"/>
    <cellStyle name="Normal 27 2 7" xfId="31400" xr:uid="{13913C1D-4B43-4A6C-B36D-A8E588ADB937}"/>
    <cellStyle name="Normal 27 2 7 2" xfId="31401" xr:uid="{52BF5D3A-4514-4236-BBBF-6931CDF658C2}"/>
    <cellStyle name="Normal 27 2 7 3" xfId="31402" xr:uid="{3DE5E82E-20F7-4E8E-9171-37A48934DE1A}"/>
    <cellStyle name="Normal 27 2 7 4" xfId="31403" xr:uid="{48FDEC65-7B0E-4759-BAB0-FB4C56181817}"/>
    <cellStyle name="Normal 27 2 7 5" xfId="31404" xr:uid="{0480F1E4-70C2-46CF-AA6A-21E5B9A74C22}"/>
    <cellStyle name="Normal 27 2 7 6" xfId="31405" xr:uid="{D5EC5D16-06AB-4EDD-B72B-2BA0BBF15557}"/>
    <cellStyle name="Normal 27 2 8" xfId="31406" xr:uid="{A0D90653-4283-4B6E-A502-E9596C31B3E6}"/>
    <cellStyle name="Normal 27 2 8 2" xfId="31407" xr:uid="{625488C6-E529-4DA2-A116-850D706D11BD}"/>
    <cellStyle name="Normal 27 2 8 3" xfId="31408" xr:uid="{FE3385D0-744D-4160-9820-C7664BEBCBDE}"/>
    <cellStyle name="Normal 27 2 8 4" xfId="31409" xr:uid="{C94C36E6-F973-44A1-A8EF-DC177B58032E}"/>
    <cellStyle name="Normal 27 2 8 5" xfId="31410" xr:uid="{C46F9C6A-D99E-475A-8EAA-1A53D74567BD}"/>
    <cellStyle name="Normal 27 2 8 6" xfId="31411" xr:uid="{718700B4-B16A-4AD2-A989-F601E605A9EB}"/>
    <cellStyle name="Normal 27 2 9" xfId="31412" xr:uid="{B0A51CAD-6760-499C-BCF0-5A53086CB459}"/>
    <cellStyle name="Normal 27 20" xfId="31413" xr:uid="{4C66CA16-AB2B-4622-9EEB-7713C2855CC4}"/>
    <cellStyle name="Normal 27 20 2" xfId="31414" xr:uid="{1E10F828-59F9-4F81-8E70-C05AB6B72C60}"/>
    <cellStyle name="Normal 27 20 3" xfId="31415" xr:uid="{B0E15970-4368-488A-B001-B7F68BFDDD49}"/>
    <cellStyle name="Normal 27 20 4" xfId="31416" xr:uid="{1DBDAD2F-F01E-4364-915E-48716075BA77}"/>
    <cellStyle name="Normal 27 20 5" xfId="31417" xr:uid="{378EFFCC-D3BE-4C99-858F-81EC2B3B2C79}"/>
    <cellStyle name="Normal 27 20 6" xfId="31418" xr:uid="{8E6E728D-B41B-405B-B1D4-7B4D4D5A4125}"/>
    <cellStyle name="Normal 27 21" xfId="31419" xr:uid="{80FE556B-BC9A-4CDE-88A3-25AC22B83429}"/>
    <cellStyle name="Normal 27 21 2" xfId="31420" xr:uid="{86274218-69DF-42B9-80C5-6F3D94A8143C}"/>
    <cellStyle name="Normal 27 21 3" xfId="31421" xr:uid="{00C5A491-1327-4185-B2A7-1AC4A6781F34}"/>
    <cellStyle name="Normal 27 21 4" xfId="31422" xr:uid="{5DD103B7-E021-4366-902E-8E4FFA3B6201}"/>
    <cellStyle name="Normal 27 21 5" xfId="31423" xr:uid="{2F240CCC-2CA3-4BEC-B317-4F4BFAB17988}"/>
    <cellStyle name="Normal 27 21 6" xfId="31424" xr:uid="{7CB9DC29-D05D-4FC5-B325-8093FD90078C}"/>
    <cellStyle name="Normal 27 22" xfId="31425" xr:uid="{33A66867-86F5-40A7-BEC6-7313A321EB33}"/>
    <cellStyle name="Normal 27 22 2" xfId="31426" xr:uid="{A0AE14C7-92D9-41A4-BB0B-22DBC0E3E9C1}"/>
    <cellStyle name="Normal 27 22 3" xfId="31427" xr:uid="{7BF41E54-0648-4BA0-85C2-3E51DBD109CB}"/>
    <cellStyle name="Normal 27 22 4" xfId="31428" xr:uid="{CE4F2326-F3F6-4462-8E02-DC800AE41DFB}"/>
    <cellStyle name="Normal 27 22 5" xfId="31429" xr:uid="{70862762-0FA2-44CA-A5E0-9FFA325737A9}"/>
    <cellStyle name="Normal 27 22 6" xfId="31430" xr:uid="{74752EB9-F3F3-4731-A3F4-EA491AD81C00}"/>
    <cellStyle name="Normal 27 23" xfId="31431" xr:uid="{66C33CF8-51C9-4635-9608-FC6A707160AA}"/>
    <cellStyle name="Normal 27 23 2" xfId="31432" xr:uid="{A6F06B54-D14D-4A20-B54B-B8F560700BA5}"/>
    <cellStyle name="Normal 27 23 3" xfId="31433" xr:uid="{D52A98D0-5541-4F4E-A517-C4CC66EEB192}"/>
    <cellStyle name="Normal 27 23 4" xfId="31434" xr:uid="{4EC792E6-83EA-47EA-BC05-EF9101B629C5}"/>
    <cellStyle name="Normal 27 23 5" xfId="31435" xr:uid="{97447554-35F2-4C40-807D-60BE0B5DEAA6}"/>
    <cellStyle name="Normal 27 23 6" xfId="31436" xr:uid="{77F30486-4FF1-41B0-A565-D314D609A624}"/>
    <cellStyle name="Normal 27 24" xfId="31437" xr:uid="{836E214B-A436-48DE-93FF-4FBFFF8CA825}"/>
    <cellStyle name="Normal 27 24 2" xfId="31438" xr:uid="{894203C8-8F74-43CA-AEAC-7A5C279DFFD9}"/>
    <cellStyle name="Normal 27 24 3" xfId="31439" xr:uid="{C505BFC7-D58E-4807-818C-E1F655EC1AC7}"/>
    <cellStyle name="Normal 27 24 4" xfId="31440" xr:uid="{836E861C-7E97-4380-807D-AD273E9195D2}"/>
    <cellStyle name="Normal 27 24 5" xfId="31441" xr:uid="{16109B85-E7A8-49E4-817A-1BCA0D520D89}"/>
    <cellStyle name="Normal 27 24 6" xfId="31442" xr:uid="{F5F4A4DE-827E-4ED8-82EA-0346DADE0D3C}"/>
    <cellStyle name="Normal 27 25" xfId="31443" xr:uid="{A484DFBB-1D24-4D6F-A037-61F0AEE90549}"/>
    <cellStyle name="Normal 27 26" xfId="31444" xr:uid="{A645E53C-29BF-4BCB-8D02-2A4366B1CD43}"/>
    <cellStyle name="Normal 27 27" xfId="31445" xr:uid="{7A08A6ED-D3F7-48AF-A696-026F3032F8D0}"/>
    <cellStyle name="Normal 27 28" xfId="31446" xr:uid="{1F02E995-B890-4A41-ACA6-43D573B6EC61}"/>
    <cellStyle name="Normal 27 29" xfId="31447" xr:uid="{5E34AEDC-2AAC-4201-AE27-DC0920F4E589}"/>
    <cellStyle name="Normal 27 3" xfId="31448" xr:uid="{758FA2F5-A67C-4B59-97A7-1C2474AA88F7}"/>
    <cellStyle name="Normal 27 3 10" xfId="31449" xr:uid="{A1B49C27-C3DA-41B2-80F5-F56080842F67}"/>
    <cellStyle name="Normal 27 3 11" xfId="31450" xr:uid="{DF80C2F5-2E22-4B55-B56D-DBEB8950538F}"/>
    <cellStyle name="Normal 27 3 12" xfId="31451" xr:uid="{829C85A4-4037-4A92-B553-63F06F4959C7}"/>
    <cellStyle name="Normal 27 3 13" xfId="31452" xr:uid="{790E0902-B431-44D6-BA27-660AF5810081}"/>
    <cellStyle name="Normal 27 3 2" xfId="31453" xr:uid="{2ED69B15-0261-4367-BAF4-A504BB5D9F8F}"/>
    <cellStyle name="Normal 27 3 2 2" xfId="31454" xr:uid="{68730CAA-EB6F-4A4E-82D7-64B9E5DE65BC}"/>
    <cellStyle name="Normal 27 3 2 3" xfId="31455" xr:uid="{3EB56126-4E65-4820-A98B-EB4EB2A8972D}"/>
    <cellStyle name="Normal 27 3 2 4" xfId="31456" xr:uid="{22B28CEE-8453-4566-9001-312DD3217B61}"/>
    <cellStyle name="Normal 27 3 2 5" xfId="31457" xr:uid="{1CB02212-3E8B-4FC3-8AEF-F7EE862D4017}"/>
    <cellStyle name="Normal 27 3 2 6" xfId="31458" xr:uid="{0A42B832-B2A2-42A4-975C-539F6EC88900}"/>
    <cellStyle name="Normal 27 3 3" xfId="31459" xr:uid="{A00441C1-3DB0-4737-B748-8E26275E4D55}"/>
    <cellStyle name="Normal 27 3 3 2" xfId="31460" xr:uid="{D9246D61-B1B0-4E69-9CA1-45B8D3485C9C}"/>
    <cellStyle name="Normal 27 3 3 3" xfId="31461" xr:uid="{AF65AA16-2FEA-4813-ADF0-A442B4FECA9B}"/>
    <cellStyle name="Normal 27 3 3 4" xfId="31462" xr:uid="{085CDA6B-ECFA-4982-8647-E57FC38CE229}"/>
    <cellStyle name="Normal 27 3 3 5" xfId="31463" xr:uid="{95D51A35-592C-4EBA-A4C2-8627AC1BB2BD}"/>
    <cellStyle name="Normal 27 3 3 6" xfId="31464" xr:uid="{D1FA5223-F74E-428C-8102-BFE91E8A13EC}"/>
    <cellStyle name="Normal 27 3 4" xfId="31465" xr:uid="{96338043-6246-40E1-9BBF-A7C122424CB7}"/>
    <cellStyle name="Normal 27 3 4 2" xfId="31466" xr:uid="{A85A0445-F795-4CBC-906E-120FFA0671F4}"/>
    <cellStyle name="Normal 27 3 4 3" xfId="31467" xr:uid="{15FE738A-14F7-452F-AAFA-23161E8E7231}"/>
    <cellStyle name="Normal 27 3 4 4" xfId="31468" xr:uid="{494124DD-DE31-4BAC-A2E3-9615568C378D}"/>
    <cellStyle name="Normal 27 3 4 5" xfId="31469" xr:uid="{0E263A93-622D-4495-876A-FBCC2C401081}"/>
    <cellStyle name="Normal 27 3 4 6" xfId="31470" xr:uid="{F62D68BA-5A61-4F53-B030-10790F5F8178}"/>
    <cellStyle name="Normal 27 3 5" xfId="31471" xr:uid="{ACCE859E-3EBE-4F79-A42B-78E27EB54CD5}"/>
    <cellStyle name="Normal 27 3 5 2" xfId="31472" xr:uid="{EAB95BF3-629D-4E9E-9F65-E87C898C6961}"/>
    <cellStyle name="Normal 27 3 5 3" xfId="31473" xr:uid="{A717A081-47E7-4078-90E4-F8A54AD025C2}"/>
    <cellStyle name="Normal 27 3 5 4" xfId="31474" xr:uid="{2014B56B-8987-46DD-83BA-C005527A081C}"/>
    <cellStyle name="Normal 27 3 5 5" xfId="31475" xr:uid="{3244255F-C748-4599-866C-6B328B2E8362}"/>
    <cellStyle name="Normal 27 3 5 6" xfId="31476" xr:uid="{CC90115F-812E-4626-AB17-66321A0F1F60}"/>
    <cellStyle name="Normal 27 3 6" xfId="31477" xr:uid="{6B3F5E22-5612-4E99-8DAC-A9E5DDDBC859}"/>
    <cellStyle name="Normal 27 3 6 2" xfId="31478" xr:uid="{9E2ECFAF-B4D6-455C-B442-29F5FDBFB205}"/>
    <cellStyle name="Normal 27 3 6 3" xfId="31479" xr:uid="{00FA3545-58B7-4162-BA55-E2879B942FC4}"/>
    <cellStyle name="Normal 27 3 6 4" xfId="31480" xr:uid="{6372E034-3955-4D66-BB1D-60F0CB847F4F}"/>
    <cellStyle name="Normal 27 3 6 5" xfId="31481" xr:uid="{5AE5A93E-1D1D-46D3-BD32-F91756E642CE}"/>
    <cellStyle name="Normal 27 3 6 6" xfId="31482" xr:uid="{AD689731-8F6D-4968-A70E-BD6E49204F0F}"/>
    <cellStyle name="Normal 27 3 7" xfId="31483" xr:uid="{35E291E8-F0D0-48C6-93A9-B59642EB7C81}"/>
    <cellStyle name="Normal 27 3 7 2" xfId="31484" xr:uid="{37D55CAE-958B-41A4-A6D3-5F8007358572}"/>
    <cellStyle name="Normal 27 3 7 3" xfId="31485" xr:uid="{FA1CC011-6DB2-4F6F-86D7-DFB0D51BC2D0}"/>
    <cellStyle name="Normal 27 3 7 4" xfId="31486" xr:uid="{5332BAC7-2B32-4DA1-8CB0-13FE40DCDAED}"/>
    <cellStyle name="Normal 27 3 7 5" xfId="31487" xr:uid="{F9EA1420-79FB-4165-9C81-739836A7DAC2}"/>
    <cellStyle name="Normal 27 3 7 6" xfId="31488" xr:uid="{DEE017DA-476D-48CF-B57F-5BB868C35BA7}"/>
    <cellStyle name="Normal 27 3 8" xfId="31489" xr:uid="{FFD39481-7613-4DBA-A032-0BA88E7BB8E9}"/>
    <cellStyle name="Normal 27 3 8 2" xfId="31490" xr:uid="{74E4C7A9-7152-4A24-8E1A-34BFA0C3A129}"/>
    <cellStyle name="Normal 27 3 8 3" xfId="31491" xr:uid="{2368E294-D0B6-4B29-B9BF-A74F2C70375B}"/>
    <cellStyle name="Normal 27 3 8 4" xfId="31492" xr:uid="{556EC726-3B13-4738-9C57-53ACDC84DED7}"/>
    <cellStyle name="Normal 27 3 8 5" xfId="31493" xr:uid="{01AC51B9-B2EB-4D8C-958C-6D087D1D99AC}"/>
    <cellStyle name="Normal 27 3 8 6" xfId="31494" xr:uid="{7723A652-7752-46B4-AB6F-A280BEB6E5A9}"/>
    <cellStyle name="Normal 27 3 9" xfId="31495" xr:uid="{53A3E73B-6859-4FE6-81B0-C0511F63E16B}"/>
    <cellStyle name="Normal 27 4" xfId="31496" xr:uid="{6EBC40B6-EE53-43FA-B893-CFF7D99BCDD8}"/>
    <cellStyle name="Normal 27 4 10" xfId="31497" xr:uid="{7363C3FE-7C25-4A34-A8AF-C523A3DF6DAF}"/>
    <cellStyle name="Normal 27 4 11" xfId="31498" xr:uid="{1D273FA0-9D7B-46D7-A0E9-BC8F4F9B514A}"/>
    <cellStyle name="Normal 27 4 12" xfId="31499" xr:uid="{ED3D2812-057C-4612-A930-88936956F855}"/>
    <cellStyle name="Normal 27 4 13" xfId="31500" xr:uid="{DF0D96D1-D95B-48AA-84C1-7F8234963E50}"/>
    <cellStyle name="Normal 27 4 2" xfId="31501" xr:uid="{05BBA8F7-53CF-4F33-823A-ABA7A50BA3FF}"/>
    <cellStyle name="Normal 27 4 2 2" xfId="31502" xr:uid="{799D43BF-3BF4-4644-A080-A450861A5548}"/>
    <cellStyle name="Normal 27 4 2 3" xfId="31503" xr:uid="{F4C1C724-E136-4FBB-A785-F16AB9496C99}"/>
    <cellStyle name="Normal 27 4 2 4" xfId="31504" xr:uid="{44969BC0-99DD-4CD5-96D2-DBCF7CD23AD2}"/>
    <cellStyle name="Normal 27 4 2 5" xfId="31505" xr:uid="{A8743417-9A17-4DAB-9DDF-81E9BBEE4C2F}"/>
    <cellStyle name="Normal 27 4 2 6" xfId="31506" xr:uid="{DC122798-8794-471C-AB81-A30719A1A52A}"/>
    <cellStyle name="Normal 27 4 3" xfId="31507" xr:uid="{2297AD43-BFB4-4CFB-9397-EFB67EBAE44D}"/>
    <cellStyle name="Normal 27 4 3 2" xfId="31508" xr:uid="{F5C06015-1BA2-409D-BC7A-A60B07F0D6AA}"/>
    <cellStyle name="Normal 27 4 3 3" xfId="31509" xr:uid="{82B20AA1-789B-4C71-8F4E-0AD675597A78}"/>
    <cellStyle name="Normal 27 4 3 4" xfId="31510" xr:uid="{A4323210-FF3D-4B60-80EE-AAE09A718D38}"/>
    <cellStyle name="Normal 27 4 3 5" xfId="31511" xr:uid="{374B0205-C700-4CF1-BCF2-B6DFBFFAD45F}"/>
    <cellStyle name="Normal 27 4 3 6" xfId="31512" xr:uid="{26CBE294-9FC1-4257-82E3-4F59FA49F144}"/>
    <cellStyle name="Normal 27 4 4" xfId="31513" xr:uid="{3C5F47F4-59B4-49F2-906D-A29A064435CC}"/>
    <cellStyle name="Normal 27 4 4 2" xfId="31514" xr:uid="{CE2F12C1-329A-4B42-89DE-33BD7C715708}"/>
    <cellStyle name="Normal 27 4 4 3" xfId="31515" xr:uid="{121414FC-70B6-456B-8B69-3A0DD6F43EDD}"/>
    <cellStyle name="Normal 27 4 4 4" xfId="31516" xr:uid="{7EC46A1B-AD8D-42E3-A4CC-245D944A433A}"/>
    <cellStyle name="Normal 27 4 4 5" xfId="31517" xr:uid="{84E9C810-6EE7-4631-94EE-874DA8801760}"/>
    <cellStyle name="Normal 27 4 4 6" xfId="31518" xr:uid="{BF8CE168-019B-4289-BE3C-D273929B748B}"/>
    <cellStyle name="Normal 27 4 5" xfId="31519" xr:uid="{ED6827E6-99E0-4538-AC16-E09BB354F5AB}"/>
    <cellStyle name="Normal 27 4 5 2" xfId="31520" xr:uid="{BAE99A66-549C-4745-8BB9-AB9F589E5593}"/>
    <cellStyle name="Normal 27 4 5 3" xfId="31521" xr:uid="{4E7BB4E4-3C0E-4025-A851-0CF8B348E639}"/>
    <cellStyle name="Normal 27 4 5 4" xfId="31522" xr:uid="{ECF4EF4A-C508-495E-8712-20F4DA06CADD}"/>
    <cellStyle name="Normal 27 4 5 5" xfId="31523" xr:uid="{64E74767-054D-4BC0-9B0E-6B79919453E4}"/>
    <cellStyle name="Normal 27 4 5 6" xfId="31524" xr:uid="{C5A43375-56A8-4462-AFE1-6C104200A327}"/>
    <cellStyle name="Normal 27 4 6" xfId="31525" xr:uid="{AA51D003-830E-4B96-B864-97AA344B623E}"/>
    <cellStyle name="Normal 27 4 6 2" xfId="31526" xr:uid="{4FA5D856-C8A9-4DCC-ACEF-8C982E7EE6B8}"/>
    <cellStyle name="Normal 27 4 6 3" xfId="31527" xr:uid="{D84A0F6D-952B-49DD-B022-EAC4B184DF49}"/>
    <cellStyle name="Normal 27 4 6 4" xfId="31528" xr:uid="{4A802BB5-57BB-4310-A747-858D7320A822}"/>
    <cellStyle name="Normal 27 4 6 5" xfId="31529" xr:uid="{019FA32A-3EAF-448C-9B9C-97C4814C4C12}"/>
    <cellStyle name="Normal 27 4 6 6" xfId="31530" xr:uid="{5E845A14-FA04-45B5-AFF9-FD3305785FE9}"/>
    <cellStyle name="Normal 27 4 7" xfId="31531" xr:uid="{C7A9BAE9-2FF0-4701-A87A-D5D27EF30A88}"/>
    <cellStyle name="Normal 27 4 7 2" xfId="31532" xr:uid="{FC59F770-5C76-4E1C-A500-3AD21D236349}"/>
    <cellStyle name="Normal 27 4 7 3" xfId="31533" xr:uid="{433A6B9B-6D4E-40F3-B707-4481B0C395B6}"/>
    <cellStyle name="Normal 27 4 7 4" xfId="31534" xr:uid="{0C81EBE5-EDDC-410B-85C2-25FF6661C057}"/>
    <cellStyle name="Normal 27 4 7 5" xfId="31535" xr:uid="{D468C4D1-7FB5-4CF8-9E2D-E3294833E979}"/>
    <cellStyle name="Normal 27 4 7 6" xfId="31536" xr:uid="{1697A77C-5919-4181-B0BD-68841E4DC395}"/>
    <cellStyle name="Normal 27 4 8" xfId="31537" xr:uid="{BBFA5408-E927-4675-9237-50A771CF45EE}"/>
    <cellStyle name="Normal 27 4 8 2" xfId="31538" xr:uid="{C11651D0-D806-4776-90EE-EC5EDC79BC48}"/>
    <cellStyle name="Normal 27 4 8 3" xfId="31539" xr:uid="{65E9B9AE-5672-4804-8A1A-39CF8CF044F0}"/>
    <cellStyle name="Normal 27 4 8 4" xfId="31540" xr:uid="{02E99E03-FD89-444F-8D47-D5B1F40AAA08}"/>
    <cellStyle name="Normal 27 4 8 5" xfId="31541" xr:uid="{6ABB11F1-CABC-4128-99E1-B9295C2B7D0E}"/>
    <cellStyle name="Normal 27 4 8 6" xfId="31542" xr:uid="{7BBA4851-18E9-4664-837E-1D4B180CCCE9}"/>
    <cellStyle name="Normal 27 4 9" xfId="31543" xr:uid="{22A5F998-710F-413F-8985-CA73C4290F28}"/>
    <cellStyle name="Normal 27 5" xfId="31544" xr:uid="{505CE129-DF86-4672-A107-44497EEFB354}"/>
    <cellStyle name="Normal 27 5 10" xfId="31545" xr:uid="{498F37AD-E9C2-4D6A-91F6-95421BF69C5F}"/>
    <cellStyle name="Normal 27 5 11" xfId="31546" xr:uid="{0C89398A-39B2-4ABF-9B81-096A56D6E2DD}"/>
    <cellStyle name="Normal 27 5 12" xfId="31547" xr:uid="{9134AD97-4916-45D9-B600-07F8FD0233F2}"/>
    <cellStyle name="Normal 27 5 13" xfId="31548" xr:uid="{B1EDC112-A721-4350-ADAA-2F1A729EC0A0}"/>
    <cellStyle name="Normal 27 5 2" xfId="31549" xr:uid="{AAC40068-2BFA-42F4-B388-4BDE04CF274C}"/>
    <cellStyle name="Normal 27 5 2 2" xfId="31550" xr:uid="{A57F5EAB-B097-416A-A15A-50EC8B1D4745}"/>
    <cellStyle name="Normal 27 5 2 3" xfId="31551" xr:uid="{D1F19A5C-6281-42D6-AEDA-F9BC8DDBE4CC}"/>
    <cellStyle name="Normal 27 5 2 4" xfId="31552" xr:uid="{7AA462C7-3BC9-4726-802D-953F72095346}"/>
    <cellStyle name="Normal 27 5 2 5" xfId="31553" xr:uid="{C4889FE2-E4F6-4462-AC52-D7D0882280C8}"/>
    <cellStyle name="Normal 27 5 2 6" xfId="31554" xr:uid="{AF7E49F7-E894-46C8-9E28-24D8D6C15D0B}"/>
    <cellStyle name="Normal 27 5 3" xfId="31555" xr:uid="{2B4AF33E-9438-4997-A113-CBAA9A278D96}"/>
    <cellStyle name="Normal 27 5 3 2" xfId="31556" xr:uid="{E68350F3-BFCA-4129-A0F4-38FD20C50FC2}"/>
    <cellStyle name="Normal 27 5 3 3" xfId="31557" xr:uid="{1AB3641A-2D24-4943-8D95-3B9D1026A230}"/>
    <cellStyle name="Normal 27 5 3 4" xfId="31558" xr:uid="{C0EB37FA-8B62-431A-863C-F7F76F4C517D}"/>
    <cellStyle name="Normal 27 5 3 5" xfId="31559" xr:uid="{9C60FB72-4E07-4535-AFCA-D383991344CF}"/>
    <cellStyle name="Normal 27 5 3 6" xfId="31560" xr:uid="{7D384240-A7E4-4790-A9CC-D21CC86D1CF0}"/>
    <cellStyle name="Normal 27 5 4" xfId="31561" xr:uid="{C2296C76-B0F4-4791-8DD1-6FF25C06D592}"/>
    <cellStyle name="Normal 27 5 4 2" xfId="31562" xr:uid="{B8142A13-0ECF-4681-9A7A-50F1A93F4C0F}"/>
    <cellStyle name="Normal 27 5 4 3" xfId="31563" xr:uid="{6C3B0C83-59E5-4939-AB1C-849578A764DA}"/>
    <cellStyle name="Normal 27 5 4 4" xfId="31564" xr:uid="{20BFF8F3-8A66-4C0B-A81B-98EC03858F71}"/>
    <cellStyle name="Normal 27 5 4 5" xfId="31565" xr:uid="{2B907CDC-29E3-4935-A6B6-9800EF5C4ECB}"/>
    <cellStyle name="Normal 27 5 4 6" xfId="31566" xr:uid="{649E4BE8-9F8D-4F9B-B1B6-A134BC2A6611}"/>
    <cellStyle name="Normal 27 5 5" xfId="31567" xr:uid="{D0F7CFAC-EB3C-4BF9-8EE7-00F54EB9005F}"/>
    <cellStyle name="Normal 27 5 5 2" xfId="31568" xr:uid="{0A0E7475-CEAD-4450-95DE-B1E806535295}"/>
    <cellStyle name="Normal 27 5 5 3" xfId="31569" xr:uid="{96A58822-C210-488B-8DB4-D0E55E727F64}"/>
    <cellStyle name="Normal 27 5 5 4" xfId="31570" xr:uid="{5ED0590F-5670-492E-8596-79589C03D59A}"/>
    <cellStyle name="Normal 27 5 5 5" xfId="31571" xr:uid="{EEC675B0-C206-4A67-9A87-937820CFD47C}"/>
    <cellStyle name="Normal 27 5 5 6" xfId="31572" xr:uid="{334B35EF-6F09-439B-99A3-CA6289748509}"/>
    <cellStyle name="Normal 27 5 6" xfId="31573" xr:uid="{E813D143-F465-4B47-A633-C079EA257CFE}"/>
    <cellStyle name="Normal 27 5 6 2" xfId="31574" xr:uid="{8DBCD950-319A-4F84-9ABD-B88ACD71A1B0}"/>
    <cellStyle name="Normal 27 5 6 3" xfId="31575" xr:uid="{69C835FC-12C6-4E9E-8C02-C8729C6FD812}"/>
    <cellStyle name="Normal 27 5 6 4" xfId="31576" xr:uid="{B6A97896-563B-46EC-A6F3-715A6A56EE90}"/>
    <cellStyle name="Normal 27 5 6 5" xfId="31577" xr:uid="{0FC8606A-380D-476C-8E66-649CC322D140}"/>
    <cellStyle name="Normal 27 5 6 6" xfId="31578" xr:uid="{97901FCA-B2E5-4BB0-8E3A-A6674A54A42A}"/>
    <cellStyle name="Normal 27 5 7" xfId="31579" xr:uid="{475558C8-D476-44A0-9982-477B23FE8C26}"/>
    <cellStyle name="Normal 27 5 7 2" xfId="31580" xr:uid="{588E06FD-D74A-4FF8-BF8C-D3B959762806}"/>
    <cellStyle name="Normal 27 5 7 3" xfId="31581" xr:uid="{80A0E17E-FA49-4291-B435-4A84DD4216AA}"/>
    <cellStyle name="Normal 27 5 7 4" xfId="31582" xr:uid="{DA7052A9-5C37-4C43-8F9A-3079087698EA}"/>
    <cellStyle name="Normal 27 5 7 5" xfId="31583" xr:uid="{8EAF582F-1D71-4362-8246-D573444B55F9}"/>
    <cellStyle name="Normal 27 5 7 6" xfId="31584" xr:uid="{53D7A021-F268-4BB9-B23F-2CDCFFE6F46E}"/>
    <cellStyle name="Normal 27 5 8" xfId="31585" xr:uid="{DAA5FEBE-BCC5-4B85-A247-2ED8566A1741}"/>
    <cellStyle name="Normal 27 5 8 2" xfId="31586" xr:uid="{E18118B2-8942-449F-98CC-79F4F8FC7EDF}"/>
    <cellStyle name="Normal 27 5 8 3" xfId="31587" xr:uid="{3E32C795-D9B0-47E0-BD5B-28E2A910A537}"/>
    <cellStyle name="Normal 27 5 8 4" xfId="31588" xr:uid="{8363CA3A-3846-4A1C-BFCC-B65C969C233D}"/>
    <cellStyle name="Normal 27 5 8 5" xfId="31589" xr:uid="{920D437E-78D8-4C17-8E7A-BF1E44B60D46}"/>
    <cellStyle name="Normal 27 5 8 6" xfId="31590" xr:uid="{7708CE6E-3A20-4D9E-8404-9D8396F2AC7A}"/>
    <cellStyle name="Normal 27 5 9" xfId="31591" xr:uid="{9871F0C9-50F8-401C-86BC-02F9A975A451}"/>
    <cellStyle name="Normal 27 6" xfId="31592" xr:uid="{C0868BAB-3CA8-4527-8F1B-57D577E73623}"/>
    <cellStyle name="Normal 27 6 10" xfId="31593" xr:uid="{DF493F50-293D-4012-8911-70F9FB695C5A}"/>
    <cellStyle name="Normal 27 6 11" xfId="31594" xr:uid="{0BF78DD8-9A37-405C-B0FC-FCEEE35097E5}"/>
    <cellStyle name="Normal 27 6 12" xfId="31595" xr:uid="{01114316-948E-4470-9DD6-BDC4F0F9CD6B}"/>
    <cellStyle name="Normal 27 6 13" xfId="31596" xr:uid="{1395BE95-F924-4D2C-95BD-0BA6CE5BAD3A}"/>
    <cellStyle name="Normal 27 6 2" xfId="31597" xr:uid="{BE323D56-E217-42B8-89DB-D281CD769F55}"/>
    <cellStyle name="Normal 27 6 2 2" xfId="31598" xr:uid="{45897DB5-871B-49D4-A034-8BB1CC3F70F9}"/>
    <cellStyle name="Normal 27 6 2 3" xfId="31599" xr:uid="{B2AFF0E2-7AB5-4FA3-83A9-A97A674C07F2}"/>
    <cellStyle name="Normal 27 6 2 4" xfId="31600" xr:uid="{B08C8727-569C-48DB-A39B-8A0A3AC75F56}"/>
    <cellStyle name="Normal 27 6 2 5" xfId="31601" xr:uid="{5F2EAAEF-B705-4D29-82AB-68971E7FC8F0}"/>
    <cellStyle name="Normal 27 6 2 6" xfId="31602" xr:uid="{EEB389F7-63C9-494F-AC60-7D9BB7BB7DAA}"/>
    <cellStyle name="Normal 27 6 3" xfId="31603" xr:uid="{72CFA1AE-BD18-4EB1-8599-8919562CB0D6}"/>
    <cellStyle name="Normal 27 6 3 2" xfId="31604" xr:uid="{AD428EBB-E380-438F-BCE7-1B1074D09954}"/>
    <cellStyle name="Normal 27 6 3 3" xfId="31605" xr:uid="{776EC4D3-66BE-4230-916C-E160B67B6EAA}"/>
    <cellStyle name="Normal 27 6 3 4" xfId="31606" xr:uid="{A86F1FD4-9C68-44D3-B7A9-B9250FFAE078}"/>
    <cellStyle name="Normal 27 6 3 5" xfId="31607" xr:uid="{8E5BDF89-35D2-424B-A27B-1AD9C2B6EE6E}"/>
    <cellStyle name="Normal 27 6 3 6" xfId="31608" xr:uid="{CB1F6F4A-7A2B-42D9-A8BF-0B60F08E04F6}"/>
    <cellStyle name="Normal 27 6 4" xfId="31609" xr:uid="{F6CFD9EC-4C2B-4E05-B142-2AE0287865A7}"/>
    <cellStyle name="Normal 27 6 4 2" xfId="31610" xr:uid="{BE5DFCD4-DB18-4FDB-8732-AC52368EA0D3}"/>
    <cellStyle name="Normal 27 6 4 3" xfId="31611" xr:uid="{BE98632B-009C-42E7-9BE5-CBA4A5BCDEE4}"/>
    <cellStyle name="Normal 27 6 4 4" xfId="31612" xr:uid="{E2005002-01A4-42B5-BEB3-8C3FEC8D17EF}"/>
    <cellStyle name="Normal 27 6 4 5" xfId="31613" xr:uid="{2EA5DFA1-F712-43F0-B825-1DBE6C10D469}"/>
    <cellStyle name="Normal 27 6 4 6" xfId="31614" xr:uid="{E23E4AE4-DCC7-43B6-A68F-3C2894AA6228}"/>
    <cellStyle name="Normal 27 6 5" xfId="31615" xr:uid="{38E6C16F-2EBD-43EC-8F1D-7B249B2C6A7B}"/>
    <cellStyle name="Normal 27 6 5 2" xfId="31616" xr:uid="{F5C5C5FE-0F86-480A-90B6-4DA4C71F7666}"/>
    <cellStyle name="Normal 27 6 5 3" xfId="31617" xr:uid="{12FA80E0-3B03-4C33-8544-DE6DB725EDF7}"/>
    <cellStyle name="Normal 27 6 5 4" xfId="31618" xr:uid="{D8C7CB38-134E-49DE-B45B-620D86DBA5AB}"/>
    <cellStyle name="Normal 27 6 5 5" xfId="31619" xr:uid="{E49596EA-235D-47E4-A353-49FEF2515C71}"/>
    <cellStyle name="Normal 27 6 5 6" xfId="31620" xr:uid="{E3A0FE4B-CBF4-4836-9B4E-90526029E69A}"/>
    <cellStyle name="Normal 27 6 6" xfId="31621" xr:uid="{C474D697-071C-4C7A-A65A-E649E34F861D}"/>
    <cellStyle name="Normal 27 6 6 2" xfId="31622" xr:uid="{A1CF49EB-2F2B-4DE8-ADFC-15525F50E2F0}"/>
    <cellStyle name="Normal 27 6 6 3" xfId="31623" xr:uid="{20751C97-D94E-488D-9B04-F7F8E8497E4D}"/>
    <cellStyle name="Normal 27 6 6 4" xfId="31624" xr:uid="{0F68CFBB-16B6-42EE-90A2-D8378C9CFB78}"/>
    <cellStyle name="Normal 27 6 6 5" xfId="31625" xr:uid="{0F4A1E54-6C2D-429D-968F-2C786CE8AF64}"/>
    <cellStyle name="Normal 27 6 6 6" xfId="31626" xr:uid="{DD9B54C8-5C0A-460C-9AB7-2FAED6854AA5}"/>
    <cellStyle name="Normal 27 6 7" xfId="31627" xr:uid="{51D4593C-1C18-4989-AC9E-2DACA8239F65}"/>
    <cellStyle name="Normal 27 6 7 2" xfId="31628" xr:uid="{05A41AEC-EC2E-4E34-A945-F624DCAA6A30}"/>
    <cellStyle name="Normal 27 6 7 3" xfId="31629" xr:uid="{A5E49D92-5FD1-41CC-87BB-212E68E11C5C}"/>
    <cellStyle name="Normal 27 6 7 4" xfId="31630" xr:uid="{8E93C8F1-273D-4BEF-AFF1-5720BE2F0836}"/>
    <cellStyle name="Normal 27 6 7 5" xfId="31631" xr:uid="{D8C8418A-4FE9-4057-94D2-3C29509C4528}"/>
    <cellStyle name="Normal 27 6 7 6" xfId="31632" xr:uid="{A0D32D5D-41A5-440B-B61D-85D91B67F3DC}"/>
    <cellStyle name="Normal 27 6 8" xfId="31633" xr:uid="{8BC3E53E-F068-4635-A9E6-2EBC790D93F5}"/>
    <cellStyle name="Normal 27 6 8 2" xfId="31634" xr:uid="{562CA529-E535-4761-BE82-98A7C2C5607D}"/>
    <cellStyle name="Normal 27 6 8 3" xfId="31635" xr:uid="{FBB51899-A9DA-4EBC-A806-A2D56C6E07E1}"/>
    <cellStyle name="Normal 27 6 8 4" xfId="31636" xr:uid="{E864FC38-2B38-4062-9B69-9289860BC1EF}"/>
    <cellStyle name="Normal 27 6 8 5" xfId="31637" xr:uid="{2C6C7DE4-5429-4927-8696-46F19A76BE7B}"/>
    <cellStyle name="Normal 27 6 8 6" xfId="31638" xr:uid="{B18DE469-DA51-4DFD-99B0-AA457AD8B76F}"/>
    <cellStyle name="Normal 27 6 9" xfId="31639" xr:uid="{9C61C126-0E51-496A-800E-D38B21C97181}"/>
    <cellStyle name="Normal 27 7" xfId="31640" xr:uid="{61BF4D24-84CB-49B4-BF05-56B6DDBB037A}"/>
    <cellStyle name="Normal 27 7 10" xfId="31641" xr:uid="{F25930D9-374E-4C34-904D-1C5554B8C94E}"/>
    <cellStyle name="Normal 27 7 11" xfId="31642" xr:uid="{1B802F79-C104-4469-AD5D-B699A0BAC69B}"/>
    <cellStyle name="Normal 27 7 12" xfId="31643" xr:uid="{EF52B54F-14F4-49F3-A88E-DB80978BA05D}"/>
    <cellStyle name="Normal 27 7 13" xfId="31644" xr:uid="{CF57B028-95CF-40B2-98F5-B6846CB3DFCB}"/>
    <cellStyle name="Normal 27 7 2" xfId="31645" xr:uid="{B82302F3-97C4-4290-84AD-E89AD7B9EC7A}"/>
    <cellStyle name="Normal 27 7 2 2" xfId="31646" xr:uid="{5335B4C9-48CF-4579-8CDE-B22A0A362665}"/>
    <cellStyle name="Normal 27 7 2 3" xfId="31647" xr:uid="{6BED522A-7C2A-4AA1-A1D6-6D4B805ECF54}"/>
    <cellStyle name="Normal 27 7 2 4" xfId="31648" xr:uid="{B2DC5C2D-9110-46FF-BF78-7DC16AB5CE8C}"/>
    <cellStyle name="Normal 27 7 2 5" xfId="31649" xr:uid="{BDB85935-84F0-4CC2-AD1B-39538814C67E}"/>
    <cellStyle name="Normal 27 7 2 6" xfId="31650" xr:uid="{38327964-F1D6-47B7-850C-AFE2F2E4A3A2}"/>
    <cellStyle name="Normal 27 7 3" xfId="31651" xr:uid="{ABB3288E-7E74-47A6-A9B8-6E822AC55B61}"/>
    <cellStyle name="Normal 27 7 3 2" xfId="31652" xr:uid="{31335195-2DDA-4E38-BC54-9146BD386FA0}"/>
    <cellStyle name="Normal 27 7 3 3" xfId="31653" xr:uid="{5E3810D7-686A-4F55-BB16-F76D0CF4E7B9}"/>
    <cellStyle name="Normal 27 7 3 4" xfId="31654" xr:uid="{9105B870-26B6-4093-8902-8FF6B6DD1391}"/>
    <cellStyle name="Normal 27 7 3 5" xfId="31655" xr:uid="{0E738552-D98B-436C-94BA-745E35BF7349}"/>
    <cellStyle name="Normal 27 7 3 6" xfId="31656" xr:uid="{2F7780E3-2A01-4192-A643-B5B58DEE9F57}"/>
    <cellStyle name="Normal 27 7 4" xfId="31657" xr:uid="{A95AFDB1-1462-4EF9-858D-537F725B74B4}"/>
    <cellStyle name="Normal 27 7 4 2" xfId="31658" xr:uid="{C6EF46C3-A8CE-4911-8FC9-57D91156C3BF}"/>
    <cellStyle name="Normal 27 7 4 3" xfId="31659" xr:uid="{05C1C446-10BC-42FB-9045-08F380E26476}"/>
    <cellStyle name="Normal 27 7 4 4" xfId="31660" xr:uid="{CE4F7C00-D56F-4193-9186-04730A02BAC2}"/>
    <cellStyle name="Normal 27 7 4 5" xfId="31661" xr:uid="{B4810131-8484-493B-A216-FDFCB05AB62A}"/>
    <cellStyle name="Normal 27 7 4 6" xfId="31662" xr:uid="{67F1DB43-6FD1-4DB2-9391-1A1F9A61E276}"/>
    <cellStyle name="Normal 27 7 5" xfId="31663" xr:uid="{C55A3800-77D1-4736-9A4B-6564AA505DAC}"/>
    <cellStyle name="Normal 27 7 5 2" xfId="31664" xr:uid="{FF320F34-12F3-4457-BFF2-141D47A3F6E2}"/>
    <cellStyle name="Normal 27 7 5 3" xfId="31665" xr:uid="{56C38610-63D0-4C26-96CF-0F3858C0ACD3}"/>
    <cellStyle name="Normal 27 7 5 4" xfId="31666" xr:uid="{1033F506-CC9A-4552-ABAB-E8804360AB77}"/>
    <cellStyle name="Normal 27 7 5 5" xfId="31667" xr:uid="{54D3D75A-7345-4B5B-A9D6-A64F29DF37B0}"/>
    <cellStyle name="Normal 27 7 5 6" xfId="31668" xr:uid="{3EC45A5E-EEF9-4133-8BEE-2C16FCFD182C}"/>
    <cellStyle name="Normal 27 7 6" xfId="31669" xr:uid="{95521AC5-A783-453C-A1CC-2C45063DA687}"/>
    <cellStyle name="Normal 27 7 6 2" xfId="31670" xr:uid="{8AFD549B-3551-4F7F-973F-820DDEFCD4BF}"/>
    <cellStyle name="Normal 27 7 6 3" xfId="31671" xr:uid="{0BD32934-A884-4238-BF31-5E1B4205604F}"/>
    <cellStyle name="Normal 27 7 6 4" xfId="31672" xr:uid="{3252899E-662F-450C-8018-511785F6295A}"/>
    <cellStyle name="Normal 27 7 6 5" xfId="31673" xr:uid="{1E901509-492F-4C97-944D-C31346A41E1E}"/>
    <cellStyle name="Normal 27 7 6 6" xfId="31674" xr:uid="{662EB186-72CC-4CC9-8990-7A63CD9CDC9F}"/>
    <cellStyle name="Normal 27 7 7" xfId="31675" xr:uid="{078551DC-C677-4225-9032-E959E29E52CC}"/>
    <cellStyle name="Normal 27 7 7 2" xfId="31676" xr:uid="{740273D5-09B7-489F-83DD-4BC2A27C59F3}"/>
    <cellStyle name="Normal 27 7 7 3" xfId="31677" xr:uid="{E44705A8-54F9-4743-86BF-A60E363A385F}"/>
    <cellStyle name="Normal 27 7 7 4" xfId="31678" xr:uid="{6E07B2C0-971A-4AFB-A54D-9129568F25A3}"/>
    <cellStyle name="Normal 27 7 7 5" xfId="31679" xr:uid="{40561761-8CC8-42CB-AFCD-09D8F4383466}"/>
    <cellStyle name="Normal 27 7 7 6" xfId="31680" xr:uid="{CFAC9414-4375-44CE-8FF6-D945BB2CF60C}"/>
    <cellStyle name="Normal 27 7 8" xfId="31681" xr:uid="{4DC0F5CB-377E-427A-A440-69598544FD3F}"/>
    <cellStyle name="Normal 27 7 8 2" xfId="31682" xr:uid="{DCA4692F-F32A-4671-A398-19D40D1CD225}"/>
    <cellStyle name="Normal 27 7 8 3" xfId="31683" xr:uid="{7454F8DF-2728-43DF-B75F-AA95B82EEEB3}"/>
    <cellStyle name="Normal 27 7 8 4" xfId="31684" xr:uid="{66C6357F-5305-4D1C-BEFA-6D6BEC37FD20}"/>
    <cellStyle name="Normal 27 7 8 5" xfId="31685" xr:uid="{1015BB0B-796D-4498-9C60-2E6E18D16C64}"/>
    <cellStyle name="Normal 27 7 8 6" xfId="31686" xr:uid="{9B113E40-1A7D-4AE6-9C4F-37F50425CC4C}"/>
    <cellStyle name="Normal 27 7 9" xfId="31687" xr:uid="{9667E775-8A8B-4B01-B1AF-3BABF48699C4}"/>
    <cellStyle name="Normal 27 8" xfId="31688" xr:uid="{93AE475B-8D44-4F20-A72D-339824A73935}"/>
    <cellStyle name="Normal 27 8 10" xfId="31689" xr:uid="{9CAC1C9C-D45D-4742-88F1-6854625FCC6E}"/>
    <cellStyle name="Normal 27 8 11" xfId="31690" xr:uid="{A272F666-BC88-4823-A559-54F73FE4EDB8}"/>
    <cellStyle name="Normal 27 8 12" xfId="31691" xr:uid="{CAA66BC2-73F3-41C7-B827-3430C2677230}"/>
    <cellStyle name="Normal 27 8 13" xfId="31692" xr:uid="{D8F6F1D7-3B90-41F5-9F2E-2032323E31F7}"/>
    <cellStyle name="Normal 27 8 2" xfId="31693" xr:uid="{7D4F87C3-E975-40F0-A2DC-09FC362D5319}"/>
    <cellStyle name="Normal 27 8 2 2" xfId="31694" xr:uid="{F545F207-45C5-472E-9BB0-F2E9CB0EFA37}"/>
    <cellStyle name="Normal 27 8 2 3" xfId="31695" xr:uid="{0CD121D9-B10A-4D75-961B-76AE3B9E65DD}"/>
    <cellStyle name="Normal 27 8 2 4" xfId="31696" xr:uid="{F90C0B23-BEE3-4F85-B16E-2775BF0D83C2}"/>
    <cellStyle name="Normal 27 8 2 5" xfId="31697" xr:uid="{F97E1DA8-86D9-4B49-B044-E4D9C08F0F7C}"/>
    <cellStyle name="Normal 27 8 2 6" xfId="31698" xr:uid="{E4372404-4D9B-49D6-82B6-16AE079A9F95}"/>
    <cellStyle name="Normal 27 8 3" xfId="31699" xr:uid="{D2679E98-BD2F-486C-803B-0DCCF24096BB}"/>
    <cellStyle name="Normal 27 8 3 2" xfId="31700" xr:uid="{77A6C544-78DD-4E38-9C14-D2377C5CEDDD}"/>
    <cellStyle name="Normal 27 8 3 3" xfId="31701" xr:uid="{4ADDC7D3-2657-47D5-AA4A-D6CD1A30A320}"/>
    <cellStyle name="Normal 27 8 3 4" xfId="31702" xr:uid="{663E85C4-0372-4289-98CB-28CBB6C68C30}"/>
    <cellStyle name="Normal 27 8 3 5" xfId="31703" xr:uid="{364ECA0A-81D5-4EE2-8245-C225E68E5E3C}"/>
    <cellStyle name="Normal 27 8 3 6" xfId="31704" xr:uid="{6ADD3FA8-06E0-45B3-9B25-D2FF48D8A415}"/>
    <cellStyle name="Normal 27 8 4" xfId="31705" xr:uid="{D8CB10B9-D2C6-4422-A698-68706D62B719}"/>
    <cellStyle name="Normal 27 8 4 2" xfId="31706" xr:uid="{A643D51F-C78C-4682-A074-17C5D5546BF3}"/>
    <cellStyle name="Normal 27 8 4 3" xfId="31707" xr:uid="{8D85DE8D-1F80-41B7-8206-1F81AE00FEB6}"/>
    <cellStyle name="Normal 27 8 4 4" xfId="31708" xr:uid="{98086B8B-C377-40D3-B60F-8A5005C7D294}"/>
    <cellStyle name="Normal 27 8 4 5" xfId="31709" xr:uid="{F6EA8E83-A6B3-4E4D-985B-CF699D81D4E1}"/>
    <cellStyle name="Normal 27 8 4 6" xfId="31710" xr:uid="{D4B5FD48-EA4D-4737-9C0F-4E70FCC59406}"/>
    <cellStyle name="Normal 27 8 5" xfId="31711" xr:uid="{2B0669EE-C374-47AD-8C51-85C8D0632B66}"/>
    <cellStyle name="Normal 27 8 5 2" xfId="31712" xr:uid="{4DDC6C39-1169-4F59-A970-85C36BDBAED9}"/>
    <cellStyle name="Normal 27 8 5 3" xfId="31713" xr:uid="{75BDC88C-9CA3-4BEF-A66D-4720BAEFD885}"/>
    <cellStyle name="Normal 27 8 5 4" xfId="31714" xr:uid="{1DAB66AA-1F3E-44FF-ACCD-885713A528BE}"/>
    <cellStyle name="Normal 27 8 5 5" xfId="31715" xr:uid="{30287E74-1701-4B58-95A8-B9E5AAE3A9B6}"/>
    <cellStyle name="Normal 27 8 5 6" xfId="31716" xr:uid="{5376DAB4-3F5B-4D61-8C29-6A6F91E2BAED}"/>
    <cellStyle name="Normal 27 8 6" xfId="31717" xr:uid="{19A27744-DB2B-4396-B186-A7378D9C1588}"/>
    <cellStyle name="Normal 27 8 6 2" xfId="31718" xr:uid="{9D196BC8-1465-4A50-8A43-CB157AE28AA8}"/>
    <cellStyle name="Normal 27 8 6 3" xfId="31719" xr:uid="{EE85CCB2-15FA-4194-BA81-75E245D9BC38}"/>
    <cellStyle name="Normal 27 8 6 4" xfId="31720" xr:uid="{5FE62993-9DCA-4E78-88A5-21873EE134EA}"/>
    <cellStyle name="Normal 27 8 6 5" xfId="31721" xr:uid="{5FB51A62-9C2D-4775-A12C-52FCDCEAB347}"/>
    <cellStyle name="Normal 27 8 6 6" xfId="31722" xr:uid="{BC6816FF-3666-4530-BC2E-02A37BFE4F65}"/>
    <cellStyle name="Normal 27 8 7" xfId="31723" xr:uid="{E8EBDCCE-5B88-41C9-89F4-79988122DB09}"/>
    <cellStyle name="Normal 27 8 7 2" xfId="31724" xr:uid="{74F57414-32D8-41E2-B43E-F36F736224E8}"/>
    <cellStyle name="Normal 27 8 7 3" xfId="31725" xr:uid="{C33D8FBC-B82A-493A-B344-33BB2EC10399}"/>
    <cellStyle name="Normal 27 8 7 4" xfId="31726" xr:uid="{CC77365A-F14B-4588-BA37-4640F69AC2C0}"/>
    <cellStyle name="Normal 27 8 7 5" xfId="31727" xr:uid="{73AB9C4E-0D9D-406D-9A6C-66C5802EC320}"/>
    <cellStyle name="Normal 27 8 7 6" xfId="31728" xr:uid="{5846D97A-BDBD-4146-AFF8-B4DF1EFC47A9}"/>
    <cellStyle name="Normal 27 8 8" xfId="31729" xr:uid="{5856BD41-1C65-4362-B675-0B496E3F9163}"/>
    <cellStyle name="Normal 27 8 8 2" xfId="31730" xr:uid="{421BDD37-A8B9-49A3-826F-093B920E572E}"/>
    <cellStyle name="Normal 27 8 8 3" xfId="31731" xr:uid="{47CF1EE1-4256-4429-801E-AD122E4A9BE0}"/>
    <cellStyle name="Normal 27 8 8 4" xfId="31732" xr:uid="{511766AA-FC72-426F-A4AC-A2C545AC5F1E}"/>
    <cellStyle name="Normal 27 8 8 5" xfId="31733" xr:uid="{246E48DD-1459-40E9-8A76-BB82D2708129}"/>
    <cellStyle name="Normal 27 8 8 6" xfId="31734" xr:uid="{0362CDD3-7C3A-4BA9-8C8D-61CC20080132}"/>
    <cellStyle name="Normal 27 8 9" xfId="31735" xr:uid="{9281B05A-7900-4DFF-A4F2-0A4EF4BA244A}"/>
    <cellStyle name="Normal 27 9" xfId="31736" xr:uid="{640D90F8-663A-4EB0-974B-1C121EF822CB}"/>
    <cellStyle name="Normal 27 9 10" xfId="31737" xr:uid="{4D00141C-A4ED-414C-89B4-7D678FC7C1BD}"/>
    <cellStyle name="Normal 27 9 11" xfId="31738" xr:uid="{892699F1-D3E5-4F64-B3E1-EFCB3D46FF5F}"/>
    <cellStyle name="Normal 27 9 12" xfId="31739" xr:uid="{89A8E9E9-88AE-48B9-B317-B5E0E572448D}"/>
    <cellStyle name="Normal 27 9 13" xfId="31740" xr:uid="{36F2A1F7-1483-4FD8-8068-94811FB8E159}"/>
    <cellStyle name="Normal 27 9 2" xfId="31741" xr:uid="{89C2E9C1-28E3-42F7-9521-FF230BCA55F4}"/>
    <cellStyle name="Normal 27 9 2 2" xfId="31742" xr:uid="{DB31D8D1-3C93-4DCB-98B2-2914587471DA}"/>
    <cellStyle name="Normal 27 9 2 3" xfId="31743" xr:uid="{A4FA0AC0-15C0-4476-9405-76A4F2123A4B}"/>
    <cellStyle name="Normal 27 9 2 4" xfId="31744" xr:uid="{D56225E3-9B37-4F52-AA7C-5C76EBE14B51}"/>
    <cellStyle name="Normal 27 9 2 5" xfId="31745" xr:uid="{AF6920A0-CEC6-4C64-9253-9A8A53842F69}"/>
    <cellStyle name="Normal 27 9 2 6" xfId="31746" xr:uid="{0E63AE4B-65C6-4E4F-828F-3030F0DB781A}"/>
    <cellStyle name="Normal 27 9 3" xfId="31747" xr:uid="{0C3A519D-595A-4C3F-9EC3-8820AF20B5AE}"/>
    <cellStyle name="Normal 27 9 3 2" xfId="31748" xr:uid="{E6D12180-D06C-44FA-A2CA-3EE52B613641}"/>
    <cellStyle name="Normal 27 9 3 3" xfId="31749" xr:uid="{AC40A81B-5C6E-4F00-BF87-4042A9A7842E}"/>
    <cellStyle name="Normal 27 9 3 4" xfId="31750" xr:uid="{3B3488D3-A721-4F4C-8F50-B6579C316E34}"/>
    <cellStyle name="Normal 27 9 3 5" xfId="31751" xr:uid="{4A465AE8-C99E-4C73-A21B-06957BDA2A2C}"/>
    <cellStyle name="Normal 27 9 3 6" xfId="31752" xr:uid="{A1DE4CEF-5E0F-4624-8A1E-C7014D20264D}"/>
    <cellStyle name="Normal 27 9 4" xfId="31753" xr:uid="{C27C0208-4641-4E8A-B677-72269918DC32}"/>
    <cellStyle name="Normal 27 9 4 2" xfId="31754" xr:uid="{D6F34D5C-2538-47E7-A8B7-EF584EF8EFAC}"/>
    <cellStyle name="Normal 27 9 4 3" xfId="31755" xr:uid="{1AE12FBC-A2DE-4D3F-B42C-6075A3C76061}"/>
    <cellStyle name="Normal 27 9 4 4" xfId="31756" xr:uid="{D24FBA3C-D025-458C-8626-F083EB57320B}"/>
    <cellStyle name="Normal 27 9 4 5" xfId="31757" xr:uid="{248DB0C7-F83D-4417-8BE6-4B1168818952}"/>
    <cellStyle name="Normal 27 9 4 6" xfId="31758" xr:uid="{ED4AB861-1F7A-4790-9027-2B9547C1BCE0}"/>
    <cellStyle name="Normal 27 9 5" xfId="31759" xr:uid="{CB69E8E7-572A-4CF2-BA53-BF9CD9408B83}"/>
    <cellStyle name="Normal 27 9 5 2" xfId="31760" xr:uid="{AF7C86DA-7491-4ECD-811D-3AB8488AE0D8}"/>
    <cellStyle name="Normal 27 9 5 3" xfId="31761" xr:uid="{870A3740-B54F-4734-9DAF-78B8B18F4025}"/>
    <cellStyle name="Normal 27 9 5 4" xfId="31762" xr:uid="{116EBD6C-A444-4E73-9C62-978C834825F9}"/>
    <cellStyle name="Normal 27 9 5 5" xfId="31763" xr:uid="{52EDD570-7633-44AC-BBF8-3D66474948CD}"/>
    <cellStyle name="Normal 27 9 5 6" xfId="31764" xr:uid="{CA34F726-E6DD-4BEF-AB73-28FF86C660B0}"/>
    <cellStyle name="Normal 27 9 6" xfId="31765" xr:uid="{4DE5C883-6241-46E1-B76D-FD1954C2280A}"/>
    <cellStyle name="Normal 27 9 6 2" xfId="31766" xr:uid="{B7735BD1-99A9-4CB0-910E-6472792E0C0A}"/>
    <cellStyle name="Normal 27 9 6 3" xfId="31767" xr:uid="{051B05B6-92BC-4D80-B658-13660A5158D8}"/>
    <cellStyle name="Normal 27 9 6 4" xfId="31768" xr:uid="{CFDD0119-D238-40EB-A99A-4E7F4AA085C3}"/>
    <cellStyle name="Normal 27 9 6 5" xfId="31769" xr:uid="{A43FA478-9F62-46F5-B572-D291AD8DE29B}"/>
    <cellStyle name="Normal 27 9 6 6" xfId="31770" xr:uid="{87786E80-C3FD-4069-9355-37CBE50BF9F6}"/>
    <cellStyle name="Normal 27 9 7" xfId="31771" xr:uid="{307AB127-28AE-4B0C-8AEB-1900E1613365}"/>
    <cellStyle name="Normal 27 9 7 2" xfId="31772" xr:uid="{7CA2AC08-F741-4788-AAB7-E70C4D0095E8}"/>
    <cellStyle name="Normal 27 9 7 3" xfId="31773" xr:uid="{19FBFBF5-22EB-49DC-8739-13B5702127F1}"/>
    <cellStyle name="Normal 27 9 7 4" xfId="31774" xr:uid="{FA494540-91E8-44C7-8181-0769638B8FD5}"/>
    <cellStyle name="Normal 27 9 7 5" xfId="31775" xr:uid="{AF6EE826-F2EB-47B3-B2A6-D740163B9037}"/>
    <cellStyle name="Normal 27 9 7 6" xfId="31776" xr:uid="{A206253F-500B-4BCE-868D-CDFF9AC0BA7D}"/>
    <cellStyle name="Normal 27 9 8" xfId="31777" xr:uid="{6D7BA77D-AC96-496C-AFF5-8B9AF76C81FC}"/>
    <cellStyle name="Normal 27 9 8 2" xfId="31778" xr:uid="{98C445A1-9C1B-4FEC-A7E9-1A2FAE8529B2}"/>
    <cellStyle name="Normal 27 9 8 3" xfId="31779" xr:uid="{3F40F452-A070-41D7-A321-4250B88B6575}"/>
    <cellStyle name="Normal 27 9 8 4" xfId="31780" xr:uid="{BEDBC585-9D5B-4C82-A015-FC308077C7D8}"/>
    <cellStyle name="Normal 27 9 8 5" xfId="31781" xr:uid="{A77B4C0F-DA7A-4EF4-A5AE-E892BB80BD7C}"/>
    <cellStyle name="Normal 27 9 8 6" xfId="31782" xr:uid="{C23D705E-6C86-4E6E-B956-1F6E916B08C6}"/>
    <cellStyle name="Normal 27 9 9" xfId="31783" xr:uid="{929E70AA-6C7D-4F12-B875-1D35F65AD902}"/>
    <cellStyle name="Normal 28" xfId="31784" xr:uid="{F381AD13-24E9-40C7-B5A8-FC3578C105E9}"/>
    <cellStyle name="Normal 28 10" xfId="31785" xr:uid="{6BA4AC48-4150-4DA8-AE5D-2B079E6B6AE0}"/>
    <cellStyle name="Normal 28 10 10" xfId="31786" xr:uid="{A1ACB889-33FF-4FC9-A379-A168D2A105C5}"/>
    <cellStyle name="Normal 28 10 11" xfId="31787" xr:uid="{E35168B1-A4A7-47AF-9A8F-8F149C8553AF}"/>
    <cellStyle name="Normal 28 10 12" xfId="31788" xr:uid="{95670272-1D04-4515-AAB8-9E0CC2EE47D1}"/>
    <cellStyle name="Normal 28 10 13" xfId="31789" xr:uid="{4446E232-A2F3-4045-995A-F11A593403C1}"/>
    <cellStyle name="Normal 28 10 2" xfId="31790" xr:uid="{B79A41FB-7AEF-4279-9E8A-9AB6467B33D6}"/>
    <cellStyle name="Normal 28 10 2 2" xfId="31791" xr:uid="{DB41152E-B45C-4A48-939B-FD65A001E978}"/>
    <cellStyle name="Normal 28 10 2 3" xfId="31792" xr:uid="{3E8EAC01-1A42-4E95-BA07-1F39CA9C05DB}"/>
    <cellStyle name="Normal 28 10 2 4" xfId="31793" xr:uid="{06DFD584-BFFB-4180-AA62-E10B5FB0831E}"/>
    <cellStyle name="Normal 28 10 2 5" xfId="31794" xr:uid="{4DEBD708-219A-4CED-98CE-FAB8A1385CE3}"/>
    <cellStyle name="Normal 28 10 2 6" xfId="31795" xr:uid="{A2E1A6FE-D2E2-4091-9CE9-27355D904016}"/>
    <cellStyle name="Normal 28 10 3" xfId="31796" xr:uid="{1D2EA1D9-5DB5-4CDB-A4E7-886B4B5117AD}"/>
    <cellStyle name="Normal 28 10 3 2" xfId="31797" xr:uid="{66FB5C66-8C15-4795-A7E7-518827848CB9}"/>
    <cellStyle name="Normal 28 10 3 3" xfId="31798" xr:uid="{6FBCB2F5-4F7A-437F-9D5E-AB1B4DCE8053}"/>
    <cellStyle name="Normal 28 10 3 4" xfId="31799" xr:uid="{AD46A885-C010-4DF1-86AE-4AF1C976A01E}"/>
    <cellStyle name="Normal 28 10 3 5" xfId="31800" xr:uid="{ED8D7A18-758B-4A02-AD69-03057D6A745C}"/>
    <cellStyle name="Normal 28 10 3 6" xfId="31801" xr:uid="{B2661509-99A7-4BD7-A07B-93934D61D20E}"/>
    <cellStyle name="Normal 28 10 4" xfId="31802" xr:uid="{BF5C14C5-8412-4ECA-B422-AC82B7F194B1}"/>
    <cellStyle name="Normal 28 10 4 2" xfId="31803" xr:uid="{FC556C5B-3D56-436B-9B77-CED695A2D418}"/>
    <cellStyle name="Normal 28 10 4 3" xfId="31804" xr:uid="{1CE4B1EF-F0E4-41FD-90EB-6C2DFB40E84C}"/>
    <cellStyle name="Normal 28 10 4 4" xfId="31805" xr:uid="{29D54772-3D29-444E-BF1C-C47B434E864D}"/>
    <cellStyle name="Normal 28 10 4 5" xfId="31806" xr:uid="{2B55E8E3-ED7A-498F-B8BB-8640A042F2D4}"/>
    <cellStyle name="Normal 28 10 4 6" xfId="31807" xr:uid="{C37464F7-C687-478B-B6B3-A0EAD6EA883F}"/>
    <cellStyle name="Normal 28 10 5" xfId="31808" xr:uid="{ADF99953-31E8-4A60-A220-EF885D0298FB}"/>
    <cellStyle name="Normal 28 10 5 2" xfId="31809" xr:uid="{571DAF3F-7FE4-404F-86EE-2BBE2E5E0547}"/>
    <cellStyle name="Normal 28 10 5 3" xfId="31810" xr:uid="{8488C0A0-BA3B-4DCC-8412-203DDFAA6030}"/>
    <cellStyle name="Normal 28 10 5 4" xfId="31811" xr:uid="{BB3B444A-1B96-469D-A680-FE1926E3F683}"/>
    <cellStyle name="Normal 28 10 5 5" xfId="31812" xr:uid="{262AE2CB-00ED-4A0B-B18E-E60429F077D4}"/>
    <cellStyle name="Normal 28 10 5 6" xfId="31813" xr:uid="{C397E62E-F5F9-4235-9A37-9F07BFC15E5B}"/>
    <cellStyle name="Normal 28 10 6" xfId="31814" xr:uid="{32C928E5-2FD0-4761-8C44-247C8120C65B}"/>
    <cellStyle name="Normal 28 10 6 2" xfId="31815" xr:uid="{A6B5D223-84EC-4EC0-A180-8EFEC68D74BC}"/>
    <cellStyle name="Normal 28 10 6 3" xfId="31816" xr:uid="{FFF22256-2162-4221-9FC1-A4DA0DDB8FEC}"/>
    <cellStyle name="Normal 28 10 6 4" xfId="31817" xr:uid="{11DA82E4-C503-473B-9A5C-0E0CE029C8A3}"/>
    <cellStyle name="Normal 28 10 6 5" xfId="31818" xr:uid="{253EEA3A-CFE4-43D0-8C0C-6B9C6792661E}"/>
    <cellStyle name="Normal 28 10 6 6" xfId="31819" xr:uid="{71D413A0-BFC0-4305-B031-22E031CB3FB1}"/>
    <cellStyle name="Normal 28 10 7" xfId="31820" xr:uid="{BB3B04D8-9C0D-4DBF-BF1F-0ADF2FBCE6CB}"/>
    <cellStyle name="Normal 28 10 7 2" xfId="31821" xr:uid="{80386C6B-9873-4F57-AE3B-2E7E42560230}"/>
    <cellStyle name="Normal 28 10 7 3" xfId="31822" xr:uid="{D3D474ED-843D-4C3D-BE2E-AF5ED9D7CCF7}"/>
    <cellStyle name="Normal 28 10 7 4" xfId="31823" xr:uid="{7440C546-8C8D-4AAE-9D63-8BE179BAEF88}"/>
    <cellStyle name="Normal 28 10 7 5" xfId="31824" xr:uid="{71EC3FEF-221F-48DF-9A70-EE6D7432FE83}"/>
    <cellStyle name="Normal 28 10 7 6" xfId="31825" xr:uid="{24E87CE8-2197-418D-BDBC-9FEFA8C90E1A}"/>
    <cellStyle name="Normal 28 10 8" xfId="31826" xr:uid="{E669B6C9-4386-416C-A1ED-C857C41569B2}"/>
    <cellStyle name="Normal 28 10 8 2" xfId="31827" xr:uid="{3C2DE52A-4791-46DA-B276-DA99D990F7F1}"/>
    <cellStyle name="Normal 28 10 8 3" xfId="31828" xr:uid="{DAAACF34-F6A8-4A60-95A8-116388360866}"/>
    <cellStyle name="Normal 28 10 8 4" xfId="31829" xr:uid="{4AF629ED-6EAA-4C85-B9F3-D6163DA86F68}"/>
    <cellStyle name="Normal 28 10 8 5" xfId="31830" xr:uid="{F6679F29-63EC-4715-989E-B3BEBE97DB39}"/>
    <cellStyle name="Normal 28 10 8 6" xfId="31831" xr:uid="{704F7207-7A5E-4FC7-AD68-128D4C01D532}"/>
    <cellStyle name="Normal 28 10 9" xfId="31832" xr:uid="{B26CF304-A621-43EA-80B3-7391529E10A2}"/>
    <cellStyle name="Normal 28 11" xfId="31833" xr:uid="{4685A3D2-997F-4861-A6EA-8109AAF9864B}"/>
    <cellStyle name="Normal 28 11 10" xfId="31834" xr:uid="{9F196E08-FB0E-4CEA-99D0-F0AB2AAE5ECA}"/>
    <cellStyle name="Normal 28 11 11" xfId="31835" xr:uid="{BDB1CDB3-F993-4922-BC6F-F0D40F1D3F32}"/>
    <cellStyle name="Normal 28 11 12" xfId="31836" xr:uid="{F5942D50-9A6A-41FD-AD0B-59AECD179595}"/>
    <cellStyle name="Normal 28 11 13" xfId="31837" xr:uid="{23955C8E-F6A4-488B-8358-79469D49B520}"/>
    <cellStyle name="Normal 28 11 2" xfId="31838" xr:uid="{7FA8F936-439B-47B9-B36D-E1987AC498BE}"/>
    <cellStyle name="Normal 28 11 2 2" xfId="31839" xr:uid="{2686DC9A-ECA5-4CC3-A4E2-C7BC799D3AE5}"/>
    <cellStyle name="Normal 28 11 2 3" xfId="31840" xr:uid="{FC6062A3-17AB-4C36-8E05-61DEC397D1C4}"/>
    <cellStyle name="Normal 28 11 2 4" xfId="31841" xr:uid="{445C0F8A-3DEE-4B7B-9331-073DF32DFD33}"/>
    <cellStyle name="Normal 28 11 2 5" xfId="31842" xr:uid="{E9AD1FF7-CB9B-4448-BA95-E4C3E7840392}"/>
    <cellStyle name="Normal 28 11 2 6" xfId="31843" xr:uid="{71742A63-B2FB-41D7-A873-4BFA9CB93F84}"/>
    <cellStyle name="Normal 28 11 3" xfId="31844" xr:uid="{0562DD9F-4E93-47EC-8099-020072749720}"/>
    <cellStyle name="Normal 28 11 3 2" xfId="31845" xr:uid="{AD373882-D269-4D9E-A8C7-B17468E90164}"/>
    <cellStyle name="Normal 28 11 3 3" xfId="31846" xr:uid="{8507FD52-D3E4-4954-8D9F-212B3C6A0E19}"/>
    <cellStyle name="Normal 28 11 3 4" xfId="31847" xr:uid="{BA4C1BEF-B9C4-43F9-A18F-FA9018BFC943}"/>
    <cellStyle name="Normal 28 11 3 5" xfId="31848" xr:uid="{26A41CED-8762-4FAC-AC23-1BAE30EFCDD8}"/>
    <cellStyle name="Normal 28 11 3 6" xfId="31849" xr:uid="{A782E530-6BF1-4C14-873B-FC13EBDE73D6}"/>
    <cellStyle name="Normal 28 11 4" xfId="31850" xr:uid="{FF00D90A-4EB8-415A-93B4-E8D1D18110ED}"/>
    <cellStyle name="Normal 28 11 4 2" xfId="31851" xr:uid="{77F0DA7C-F351-4827-B100-D64D168A15FE}"/>
    <cellStyle name="Normal 28 11 4 3" xfId="31852" xr:uid="{DAD7EC3A-B527-4575-A7DE-A036140CEC10}"/>
    <cellStyle name="Normal 28 11 4 4" xfId="31853" xr:uid="{602A4D8E-EF14-4D52-918C-C4FD583CEC08}"/>
    <cellStyle name="Normal 28 11 4 5" xfId="31854" xr:uid="{43575F57-A5EA-4E1B-8BF0-607FFBE13570}"/>
    <cellStyle name="Normal 28 11 4 6" xfId="31855" xr:uid="{21687048-204D-48A9-B344-E7BA8FFBAEF3}"/>
    <cellStyle name="Normal 28 11 5" xfId="31856" xr:uid="{55C159B7-43B5-4639-B369-196A3178D969}"/>
    <cellStyle name="Normal 28 11 5 2" xfId="31857" xr:uid="{535E04E5-C46C-4F90-9DF2-A402F85396A6}"/>
    <cellStyle name="Normal 28 11 5 3" xfId="31858" xr:uid="{E6A64DA2-1090-4614-B2F0-A41D6EE7842B}"/>
    <cellStyle name="Normal 28 11 5 4" xfId="31859" xr:uid="{534CD308-2986-47C9-9FA6-6F04AAD14A6A}"/>
    <cellStyle name="Normal 28 11 5 5" xfId="31860" xr:uid="{43156BAF-E12C-4404-A1D2-925D78059EE4}"/>
    <cellStyle name="Normal 28 11 5 6" xfId="31861" xr:uid="{16662955-10F1-4B9C-BBB8-B6C46D37685D}"/>
    <cellStyle name="Normal 28 11 6" xfId="31862" xr:uid="{FFF5B00C-942F-4A64-961F-D3DE0ABB4D2A}"/>
    <cellStyle name="Normal 28 11 6 2" xfId="31863" xr:uid="{C85C4D97-FE89-4DAB-8688-98A2256D3E62}"/>
    <cellStyle name="Normal 28 11 6 3" xfId="31864" xr:uid="{1F3AFD00-CA19-4355-90B3-EB0B41509ECF}"/>
    <cellStyle name="Normal 28 11 6 4" xfId="31865" xr:uid="{D8E197F0-5729-4610-9E2A-8A8B2422C878}"/>
    <cellStyle name="Normal 28 11 6 5" xfId="31866" xr:uid="{CDD3822D-4D98-4272-9990-F54DFB2850A6}"/>
    <cellStyle name="Normal 28 11 6 6" xfId="31867" xr:uid="{502BBBCF-F8A0-49E7-B10F-3828F92E9FB0}"/>
    <cellStyle name="Normal 28 11 7" xfId="31868" xr:uid="{7CEE0C44-B5BA-4006-941A-2E5BF76FB893}"/>
    <cellStyle name="Normal 28 11 7 2" xfId="31869" xr:uid="{158B07DB-8738-4C2B-9E03-BD78BA9A01E6}"/>
    <cellStyle name="Normal 28 11 7 3" xfId="31870" xr:uid="{BEB09D40-9F57-467E-B1C8-4F2C82DBC2A0}"/>
    <cellStyle name="Normal 28 11 7 4" xfId="31871" xr:uid="{19E6C9D4-84ED-4DEC-A8BE-C22B99388009}"/>
    <cellStyle name="Normal 28 11 7 5" xfId="31872" xr:uid="{583E7406-9F32-4B61-A9EA-E80F0487FAD1}"/>
    <cellStyle name="Normal 28 11 7 6" xfId="31873" xr:uid="{FED0280C-C8E2-432F-9AE9-39C62D3C4A9E}"/>
    <cellStyle name="Normal 28 11 8" xfId="31874" xr:uid="{633F9713-B03C-493D-A724-198B65729B8E}"/>
    <cellStyle name="Normal 28 11 8 2" xfId="31875" xr:uid="{DD3C2348-7291-45EA-8CBC-87A2C745A225}"/>
    <cellStyle name="Normal 28 11 8 3" xfId="31876" xr:uid="{509ED839-795F-41E4-9D40-2200856AB062}"/>
    <cellStyle name="Normal 28 11 8 4" xfId="31877" xr:uid="{99C9545B-28E0-46CC-8CF1-E82C998308E6}"/>
    <cellStyle name="Normal 28 11 8 5" xfId="31878" xr:uid="{40CF215E-44DA-46CB-BB63-51E3554EE010}"/>
    <cellStyle name="Normal 28 11 8 6" xfId="31879" xr:uid="{C2E1FEE3-4EB5-4F30-8D6E-67D71E38F488}"/>
    <cellStyle name="Normal 28 11 9" xfId="31880" xr:uid="{264960BF-E1E3-4E90-A21A-8B5CF9E90F66}"/>
    <cellStyle name="Normal 28 12" xfId="31881" xr:uid="{ADF18FB8-AAA4-43B2-A812-45D5BB1F6DD3}"/>
    <cellStyle name="Normal 28 12 10" xfId="31882" xr:uid="{1A1D8AD8-D106-45B8-ACBD-867FB9DFD05B}"/>
    <cellStyle name="Normal 28 12 11" xfId="31883" xr:uid="{6D95A673-2265-4626-A3B2-C1A00C42F4CC}"/>
    <cellStyle name="Normal 28 12 12" xfId="31884" xr:uid="{CE8E53BA-CFAF-4EED-8B4B-46C239FD0F02}"/>
    <cellStyle name="Normal 28 12 13" xfId="31885" xr:uid="{89417B7B-DCC1-46E9-896F-0959468C0FDE}"/>
    <cellStyle name="Normal 28 12 2" xfId="31886" xr:uid="{E3F40DB2-E873-4D8A-92AC-714526A0AE65}"/>
    <cellStyle name="Normal 28 12 2 2" xfId="31887" xr:uid="{CA52F735-2482-47DB-8BE5-7D852E165A19}"/>
    <cellStyle name="Normal 28 12 2 3" xfId="31888" xr:uid="{5E00A939-551C-401A-B9A4-E6100C08F363}"/>
    <cellStyle name="Normal 28 12 2 4" xfId="31889" xr:uid="{3195BE4B-E4CF-48A4-8118-6CF57F7262AD}"/>
    <cellStyle name="Normal 28 12 2 5" xfId="31890" xr:uid="{D4C85FAE-99BD-4861-966A-197A45ECB160}"/>
    <cellStyle name="Normal 28 12 2 6" xfId="31891" xr:uid="{448D5583-62A5-4492-A445-2B347152B9B6}"/>
    <cellStyle name="Normal 28 12 3" xfId="31892" xr:uid="{A49ECF62-B43C-47D6-A3D5-209126D98CED}"/>
    <cellStyle name="Normal 28 12 3 2" xfId="31893" xr:uid="{90CB2D28-4778-49A8-9D39-E16DA14D4A58}"/>
    <cellStyle name="Normal 28 12 3 3" xfId="31894" xr:uid="{D63EB4AB-2D43-4B2E-8EB4-6EE67989F6B3}"/>
    <cellStyle name="Normal 28 12 3 4" xfId="31895" xr:uid="{704E9956-9BA1-4FAF-AB1A-2A46F6FE3D4A}"/>
    <cellStyle name="Normal 28 12 3 5" xfId="31896" xr:uid="{417056CA-F776-46DB-BA5C-99F33A1D3743}"/>
    <cellStyle name="Normal 28 12 3 6" xfId="31897" xr:uid="{52B428F1-567F-4BA7-ADD0-97CF56805FC6}"/>
    <cellStyle name="Normal 28 12 4" xfId="31898" xr:uid="{DC47DBA1-437F-4982-9539-4BACD41D1442}"/>
    <cellStyle name="Normal 28 12 4 2" xfId="31899" xr:uid="{8899491A-1D9D-47E8-9BD5-9ED76D4AD173}"/>
    <cellStyle name="Normal 28 12 4 3" xfId="31900" xr:uid="{F8762135-F41B-4A77-B48D-9B04627B283B}"/>
    <cellStyle name="Normal 28 12 4 4" xfId="31901" xr:uid="{644A6D73-15C5-43F2-B4AD-A45975A321D1}"/>
    <cellStyle name="Normal 28 12 4 5" xfId="31902" xr:uid="{7995FCA7-8A03-42B2-86E4-EAD05876B66D}"/>
    <cellStyle name="Normal 28 12 4 6" xfId="31903" xr:uid="{A170322D-8B6D-445D-BDE6-1EDB5BCCB882}"/>
    <cellStyle name="Normal 28 12 5" xfId="31904" xr:uid="{64CABD04-F8F7-43E4-9631-362BA2AF627D}"/>
    <cellStyle name="Normal 28 12 5 2" xfId="31905" xr:uid="{497B1C8E-5598-4F58-A05E-116C0213647D}"/>
    <cellStyle name="Normal 28 12 5 3" xfId="31906" xr:uid="{24D9026C-3C3C-4F8B-92D9-584316497EA8}"/>
    <cellStyle name="Normal 28 12 5 4" xfId="31907" xr:uid="{4D5A9386-53EA-4300-B706-BBD4956FA9BE}"/>
    <cellStyle name="Normal 28 12 5 5" xfId="31908" xr:uid="{3F2C4634-21C2-4D40-AACA-4F5F3A344B0F}"/>
    <cellStyle name="Normal 28 12 5 6" xfId="31909" xr:uid="{115DF5CC-82F2-47C5-B4AC-8DF2C1FFE75A}"/>
    <cellStyle name="Normal 28 12 6" xfId="31910" xr:uid="{79D8D4EE-C90A-4B30-B0E3-63EF40B1A40C}"/>
    <cellStyle name="Normal 28 12 6 2" xfId="31911" xr:uid="{E196280E-3637-4E88-80EE-80EC1E25F78D}"/>
    <cellStyle name="Normal 28 12 6 3" xfId="31912" xr:uid="{A8E71E6B-583F-4FFC-A77A-D94220F15E21}"/>
    <cellStyle name="Normal 28 12 6 4" xfId="31913" xr:uid="{11245AC3-5D9E-4C5F-827F-C56053791A6C}"/>
    <cellStyle name="Normal 28 12 6 5" xfId="31914" xr:uid="{910E3BBB-6619-4D24-93D1-3DA91471F126}"/>
    <cellStyle name="Normal 28 12 6 6" xfId="31915" xr:uid="{A1BD6147-5E5D-42B3-8714-EFE57046FBBB}"/>
    <cellStyle name="Normal 28 12 7" xfId="31916" xr:uid="{532717C7-0D7A-4769-8A5A-FD3326D78CAE}"/>
    <cellStyle name="Normal 28 12 7 2" xfId="31917" xr:uid="{73AE621E-B227-4F44-94CD-00C8B993516B}"/>
    <cellStyle name="Normal 28 12 7 3" xfId="31918" xr:uid="{0663EF61-1DC7-4938-8CE0-5ED5CAB43798}"/>
    <cellStyle name="Normal 28 12 7 4" xfId="31919" xr:uid="{3C53BB5F-B483-4AF0-896A-2D17D71611EF}"/>
    <cellStyle name="Normal 28 12 7 5" xfId="31920" xr:uid="{C9201DC3-D612-41CC-AC7C-E7A04483CB44}"/>
    <cellStyle name="Normal 28 12 7 6" xfId="31921" xr:uid="{A4FE7F0A-CA50-41F4-A36F-3BE1FEB9B6DF}"/>
    <cellStyle name="Normal 28 12 8" xfId="31922" xr:uid="{2E8B9B91-075F-425C-8C13-535736B0EEC8}"/>
    <cellStyle name="Normal 28 12 8 2" xfId="31923" xr:uid="{36741313-9150-4608-B8CE-2E3D2AED8E78}"/>
    <cellStyle name="Normal 28 12 8 3" xfId="31924" xr:uid="{9395E35B-A0AA-4D05-BFAE-C2F39C8E63E3}"/>
    <cellStyle name="Normal 28 12 8 4" xfId="31925" xr:uid="{4AEF39E1-5ADD-4056-8074-0344B2FF80B7}"/>
    <cellStyle name="Normal 28 12 8 5" xfId="31926" xr:uid="{E5381DEB-CFA2-4047-93B5-7E42C70F4B30}"/>
    <cellStyle name="Normal 28 12 8 6" xfId="31927" xr:uid="{0DD2799C-193E-4E94-8D0F-56745FDBBE81}"/>
    <cellStyle name="Normal 28 12 9" xfId="31928" xr:uid="{702B9DFE-38F8-4D06-A884-85E983FF3767}"/>
    <cellStyle name="Normal 28 13" xfId="31929" xr:uid="{E4CFE517-5A43-4303-AD74-E237728B6DB0}"/>
    <cellStyle name="Normal 28 13 10" xfId="31930" xr:uid="{14B4F933-AB0C-4282-B7C0-35DC4BC36886}"/>
    <cellStyle name="Normal 28 13 11" xfId="31931" xr:uid="{88B61D65-48A9-4398-8224-84ABF8D2E06F}"/>
    <cellStyle name="Normal 28 13 12" xfId="31932" xr:uid="{1202B956-B936-4C69-9EF5-57CD82EFD413}"/>
    <cellStyle name="Normal 28 13 13" xfId="31933" xr:uid="{02B3162C-E6F6-4786-A23D-C71F01F3AA17}"/>
    <cellStyle name="Normal 28 13 2" xfId="31934" xr:uid="{04808717-15BD-4434-958A-661617A70894}"/>
    <cellStyle name="Normal 28 13 2 2" xfId="31935" xr:uid="{47075510-FA69-41BF-9446-541E6558DC53}"/>
    <cellStyle name="Normal 28 13 2 3" xfId="31936" xr:uid="{1264FD23-4518-44E2-8F91-23E24A6EC848}"/>
    <cellStyle name="Normal 28 13 2 4" xfId="31937" xr:uid="{80EE325A-16CB-43AC-9169-7F0C54BDAC90}"/>
    <cellStyle name="Normal 28 13 2 5" xfId="31938" xr:uid="{1A00DB8E-BE87-4DA0-8166-B95409F824F3}"/>
    <cellStyle name="Normal 28 13 2 6" xfId="31939" xr:uid="{2F74042E-AECB-4DD8-BD90-416AC9D99564}"/>
    <cellStyle name="Normal 28 13 3" xfId="31940" xr:uid="{ACE796CF-B50C-4F44-B146-84D41D3C96C1}"/>
    <cellStyle name="Normal 28 13 3 2" xfId="31941" xr:uid="{D6FD4FB9-AA93-46E4-957B-B87464C75153}"/>
    <cellStyle name="Normal 28 13 3 3" xfId="31942" xr:uid="{FCC901F8-A10B-4A98-8DAD-965A427ABB69}"/>
    <cellStyle name="Normal 28 13 3 4" xfId="31943" xr:uid="{DE3BB132-A2A2-4B16-921F-A5D090D600FC}"/>
    <cellStyle name="Normal 28 13 3 5" xfId="31944" xr:uid="{57B29736-1198-4176-B63D-5B7E32EC7513}"/>
    <cellStyle name="Normal 28 13 3 6" xfId="31945" xr:uid="{FE5918F8-28AF-4E8F-89A9-D504986ABA0B}"/>
    <cellStyle name="Normal 28 13 4" xfId="31946" xr:uid="{A3DE2712-A4E3-41A1-8FFB-9F2C845A2A5C}"/>
    <cellStyle name="Normal 28 13 4 2" xfId="31947" xr:uid="{A394DE9D-DA2B-4625-8518-57A470280E23}"/>
    <cellStyle name="Normal 28 13 4 3" xfId="31948" xr:uid="{D3527FE8-EE05-4280-A9BD-358215659DBB}"/>
    <cellStyle name="Normal 28 13 4 4" xfId="31949" xr:uid="{AF66E298-DC0B-4426-9F85-AEF273920266}"/>
    <cellStyle name="Normal 28 13 4 5" xfId="31950" xr:uid="{127F6F35-CB54-4D28-8F22-732F96009197}"/>
    <cellStyle name="Normal 28 13 4 6" xfId="31951" xr:uid="{F1AF6256-44C9-4FEE-9BC9-6C9B46C034B5}"/>
    <cellStyle name="Normal 28 13 5" xfId="31952" xr:uid="{F474CFFF-C82E-429E-81A7-BFE33C15EDF1}"/>
    <cellStyle name="Normal 28 13 5 2" xfId="31953" xr:uid="{14CC45B1-EA1F-4383-A66A-7297027EF51E}"/>
    <cellStyle name="Normal 28 13 5 3" xfId="31954" xr:uid="{2C94E023-38AA-4639-86FF-A4E7F29AAA65}"/>
    <cellStyle name="Normal 28 13 5 4" xfId="31955" xr:uid="{5B8BD7AA-E16A-4B9F-BC14-FB5F8B6CEA39}"/>
    <cellStyle name="Normal 28 13 5 5" xfId="31956" xr:uid="{54F5E67C-7266-412A-AC40-633C66FBC126}"/>
    <cellStyle name="Normal 28 13 5 6" xfId="31957" xr:uid="{25944A66-A631-4002-AA06-8FACD7F39030}"/>
    <cellStyle name="Normal 28 13 6" xfId="31958" xr:uid="{8A4D312C-0BC3-443F-8443-AE43164F990A}"/>
    <cellStyle name="Normal 28 13 6 2" xfId="31959" xr:uid="{7E6B62F4-82E6-4356-854B-F7085DBAE35A}"/>
    <cellStyle name="Normal 28 13 6 3" xfId="31960" xr:uid="{20284735-556B-4A89-89C9-385E65F83ABE}"/>
    <cellStyle name="Normal 28 13 6 4" xfId="31961" xr:uid="{A6096814-D2A6-47A8-B1EA-D8759E1CDB83}"/>
    <cellStyle name="Normal 28 13 6 5" xfId="31962" xr:uid="{438AA4AA-036A-4394-8576-C1A287891496}"/>
    <cellStyle name="Normal 28 13 6 6" xfId="31963" xr:uid="{E3AFB7B0-D288-4C01-B685-508C2A3A6AAB}"/>
    <cellStyle name="Normal 28 13 7" xfId="31964" xr:uid="{B6C750CA-EE8D-4432-94C8-E9CEFA136D40}"/>
    <cellStyle name="Normal 28 13 7 2" xfId="31965" xr:uid="{7424EF5A-062A-4E43-B941-295804658DC0}"/>
    <cellStyle name="Normal 28 13 7 3" xfId="31966" xr:uid="{602738A1-A72F-47F7-A30E-664E3BCE9341}"/>
    <cellStyle name="Normal 28 13 7 4" xfId="31967" xr:uid="{8E012439-ECF8-4AA9-9326-6DD34252886E}"/>
    <cellStyle name="Normal 28 13 7 5" xfId="31968" xr:uid="{CB9EBB33-7FC1-42AC-94DD-BCA0176B6324}"/>
    <cellStyle name="Normal 28 13 7 6" xfId="31969" xr:uid="{A903AD03-067A-4839-9709-B6E32D764295}"/>
    <cellStyle name="Normal 28 13 8" xfId="31970" xr:uid="{323E9B99-68B6-4CE4-9895-2A60B35BE521}"/>
    <cellStyle name="Normal 28 13 8 2" xfId="31971" xr:uid="{7272E873-8343-4922-B95C-A62373F1A194}"/>
    <cellStyle name="Normal 28 13 8 3" xfId="31972" xr:uid="{9043C0B8-BCE2-49B8-8E39-31DC8D86358A}"/>
    <cellStyle name="Normal 28 13 8 4" xfId="31973" xr:uid="{31C8C870-9C5B-4E45-BF68-319B0243A49B}"/>
    <cellStyle name="Normal 28 13 8 5" xfId="31974" xr:uid="{0DA3C67A-79D0-4AFD-A7FC-BCAAD89551B2}"/>
    <cellStyle name="Normal 28 13 8 6" xfId="31975" xr:uid="{A6927981-605C-409E-9CC6-DB518CED55D2}"/>
    <cellStyle name="Normal 28 13 9" xfId="31976" xr:uid="{EF5AACD8-AC00-4FE3-8CE6-90155699993E}"/>
    <cellStyle name="Normal 28 14" xfId="31977" xr:uid="{F1570A52-1C8A-4111-A80B-0E622C63D4EC}"/>
    <cellStyle name="Normal 28 14 10" xfId="31978" xr:uid="{B67CC3B9-C831-4F86-B134-C5E8BFD127D7}"/>
    <cellStyle name="Normal 28 14 11" xfId="31979" xr:uid="{220C24BB-9A97-4684-ABA6-E8E8517CDA96}"/>
    <cellStyle name="Normal 28 14 12" xfId="31980" xr:uid="{6A1148F8-A716-4D5A-82D4-0F869AFFB868}"/>
    <cellStyle name="Normal 28 14 13" xfId="31981" xr:uid="{89444E31-C230-41F2-86F9-C24883BAC043}"/>
    <cellStyle name="Normal 28 14 2" xfId="31982" xr:uid="{0423310F-0230-467D-9ED2-29A13A05857C}"/>
    <cellStyle name="Normal 28 14 2 2" xfId="31983" xr:uid="{6462D0A3-A160-4D89-B7F5-0134D507CA41}"/>
    <cellStyle name="Normal 28 14 2 3" xfId="31984" xr:uid="{B495EA36-BC60-42E5-9F50-35E7DB95D829}"/>
    <cellStyle name="Normal 28 14 2 4" xfId="31985" xr:uid="{63F34296-7A0E-45C2-B948-DEEFDDCF0899}"/>
    <cellStyle name="Normal 28 14 2 5" xfId="31986" xr:uid="{67E2A4AD-D206-4D73-9C4F-E95C4EDDA9E0}"/>
    <cellStyle name="Normal 28 14 2 6" xfId="31987" xr:uid="{8DA956D4-D011-4BE0-A433-77DAA0178B03}"/>
    <cellStyle name="Normal 28 14 3" xfId="31988" xr:uid="{DF888CFD-33F7-4B30-A011-9774EB82A993}"/>
    <cellStyle name="Normal 28 14 3 2" xfId="31989" xr:uid="{64E1F359-A39B-4B13-8A9F-02A0F7B3E288}"/>
    <cellStyle name="Normal 28 14 3 3" xfId="31990" xr:uid="{8879151F-2E8C-400D-A960-65024F357CA3}"/>
    <cellStyle name="Normal 28 14 3 4" xfId="31991" xr:uid="{0179D3D9-5581-44AA-BF9A-3B40453478A1}"/>
    <cellStyle name="Normal 28 14 3 5" xfId="31992" xr:uid="{51182FBD-0C4E-4672-910E-4C6A3DD56615}"/>
    <cellStyle name="Normal 28 14 3 6" xfId="31993" xr:uid="{E1B4F264-AAC2-479A-BF29-895294DC0CFD}"/>
    <cellStyle name="Normal 28 14 4" xfId="31994" xr:uid="{CCDECFE1-4950-4858-B306-32DBB171C2EE}"/>
    <cellStyle name="Normal 28 14 4 2" xfId="31995" xr:uid="{EC9BE19F-A756-4BFB-A7A7-632C4A2F7262}"/>
    <cellStyle name="Normal 28 14 4 3" xfId="31996" xr:uid="{0A8C5177-8918-4112-A9FC-F8FB839D7719}"/>
    <cellStyle name="Normal 28 14 4 4" xfId="31997" xr:uid="{98158A66-4D1C-40CD-99A7-D4DF25515238}"/>
    <cellStyle name="Normal 28 14 4 5" xfId="31998" xr:uid="{6E6325A9-2F30-40CE-A1D4-7EB7816E4EF8}"/>
    <cellStyle name="Normal 28 14 4 6" xfId="31999" xr:uid="{A292EB32-B18F-43C3-8ADE-C721195E8D96}"/>
    <cellStyle name="Normal 28 14 5" xfId="32000" xr:uid="{B8CB5624-4999-4E51-B6A8-C101F4B912FD}"/>
    <cellStyle name="Normal 28 14 5 2" xfId="32001" xr:uid="{803BA79C-3E20-445C-8E92-B278F2B1CBA9}"/>
    <cellStyle name="Normal 28 14 5 3" xfId="32002" xr:uid="{49CA6755-67C1-47BB-A7FA-1B75431A747E}"/>
    <cellStyle name="Normal 28 14 5 4" xfId="32003" xr:uid="{57356BB6-0E2C-4902-B0E7-22C5888F42A3}"/>
    <cellStyle name="Normal 28 14 5 5" xfId="32004" xr:uid="{E754119A-9004-4AB8-BEBD-41102D6EF934}"/>
    <cellStyle name="Normal 28 14 5 6" xfId="32005" xr:uid="{529046FB-70B6-46C7-B94D-F71B311E1395}"/>
    <cellStyle name="Normal 28 14 6" xfId="32006" xr:uid="{90E277A4-98EA-4AFE-BBEF-F8E2026F418B}"/>
    <cellStyle name="Normal 28 14 6 2" xfId="32007" xr:uid="{6729B4A0-3DDE-4D66-A457-6B2718FBB779}"/>
    <cellStyle name="Normal 28 14 6 3" xfId="32008" xr:uid="{E47A83BB-0891-4D01-9EFF-14CC5FC5CDCA}"/>
    <cellStyle name="Normal 28 14 6 4" xfId="32009" xr:uid="{9F39FF95-53FE-42A8-A124-07C7A4D2FD28}"/>
    <cellStyle name="Normal 28 14 6 5" xfId="32010" xr:uid="{50FD9055-375B-43BF-BFCF-5BFAAF372484}"/>
    <cellStyle name="Normal 28 14 6 6" xfId="32011" xr:uid="{D64ADCBC-0AAB-430E-8DF4-603760341714}"/>
    <cellStyle name="Normal 28 14 7" xfId="32012" xr:uid="{20FA921D-387E-4D69-B734-4BA9733FB91E}"/>
    <cellStyle name="Normal 28 14 7 2" xfId="32013" xr:uid="{B9E28D9E-5701-424B-A877-C487E7CA9633}"/>
    <cellStyle name="Normal 28 14 7 3" xfId="32014" xr:uid="{424DB88A-4803-4548-84EB-CD1BC400E4D9}"/>
    <cellStyle name="Normal 28 14 7 4" xfId="32015" xr:uid="{7FE3F2F9-8472-4E61-920C-19AE156E0E4C}"/>
    <cellStyle name="Normal 28 14 7 5" xfId="32016" xr:uid="{C8722344-A2F3-4C24-833E-58DEC0D37F36}"/>
    <cellStyle name="Normal 28 14 7 6" xfId="32017" xr:uid="{A0D62E96-DBA3-471F-B561-BF45152281AC}"/>
    <cellStyle name="Normal 28 14 8" xfId="32018" xr:uid="{A24592E1-1578-486C-888D-F75EA1172230}"/>
    <cellStyle name="Normal 28 14 8 2" xfId="32019" xr:uid="{3C1A47A7-14AF-490B-A09D-1C663E57F751}"/>
    <cellStyle name="Normal 28 14 8 3" xfId="32020" xr:uid="{5FA93C86-0DF9-4949-A0F8-B01E962788F1}"/>
    <cellStyle name="Normal 28 14 8 4" xfId="32021" xr:uid="{773ECE2E-170B-41CD-99C2-9317AFAAEFC7}"/>
    <cellStyle name="Normal 28 14 8 5" xfId="32022" xr:uid="{29660538-B504-4A4B-B39D-C484276F3F74}"/>
    <cellStyle name="Normal 28 14 8 6" xfId="32023" xr:uid="{EC60D507-0AAF-480D-B69D-039ADB829E35}"/>
    <cellStyle name="Normal 28 14 9" xfId="32024" xr:uid="{59456763-4A36-4DA4-B4D3-B2BB03815C6E}"/>
    <cellStyle name="Normal 28 15" xfId="32025" xr:uid="{9F7C8FB0-007F-4026-B674-32D388990686}"/>
    <cellStyle name="Normal 28 15 10" xfId="32026" xr:uid="{25538834-A282-4CA0-8CAF-A29076628932}"/>
    <cellStyle name="Normal 28 15 11" xfId="32027" xr:uid="{4F03AF04-5262-405B-876D-9A94D5640F76}"/>
    <cellStyle name="Normal 28 15 12" xfId="32028" xr:uid="{4743FD65-57E5-4336-9ADA-7552AE6439FA}"/>
    <cellStyle name="Normal 28 15 13" xfId="32029" xr:uid="{AC4B61FA-912D-4261-8EC5-56AABD35C4DA}"/>
    <cellStyle name="Normal 28 15 2" xfId="32030" xr:uid="{DC55B1B9-A510-4E90-A6D5-876F0E21E736}"/>
    <cellStyle name="Normal 28 15 2 2" xfId="32031" xr:uid="{02506266-7730-4480-BC01-5D44751B17A8}"/>
    <cellStyle name="Normal 28 15 2 3" xfId="32032" xr:uid="{9743C834-C322-46AA-8B6E-24D5EFE649D9}"/>
    <cellStyle name="Normal 28 15 2 4" xfId="32033" xr:uid="{F58315E6-DFC1-4D3A-AEC7-A6E4A961EA28}"/>
    <cellStyle name="Normal 28 15 2 5" xfId="32034" xr:uid="{5F96FD5C-1A4C-453C-A49F-6892F772055A}"/>
    <cellStyle name="Normal 28 15 2 6" xfId="32035" xr:uid="{B09CB248-6349-4E92-980F-89D959A3100C}"/>
    <cellStyle name="Normal 28 15 3" xfId="32036" xr:uid="{9B827018-33CB-4B51-9064-CD45A800AF4B}"/>
    <cellStyle name="Normal 28 15 3 2" xfId="32037" xr:uid="{6D9C96D1-AE97-4202-9DE9-3BF40F461CD2}"/>
    <cellStyle name="Normal 28 15 3 3" xfId="32038" xr:uid="{97E97903-499F-49AF-840E-04A91C926D7C}"/>
    <cellStyle name="Normal 28 15 3 4" xfId="32039" xr:uid="{EC90F079-A20C-4B6D-925F-3F6961D8A583}"/>
    <cellStyle name="Normal 28 15 3 5" xfId="32040" xr:uid="{43E6813B-0FB5-49FA-A4CE-372EA2000803}"/>
    <cellStyle name="Normal 28 15 3 6" xfId="32041" xr:uid="{AD4323F0-FFA8-433A-AB3B-9DC02B146A86}"/>
    <cellStyle name="Normal 28 15 4" xfId="32042" xr:uid="{03202DD2-9ED7-431E-BA44-56390BC2863B}"/>
    <cellStyle name="Normal 28 15 4 2" xfId="32043" xr:uid="{06A47D5D-6F92-402E-9283-0A8ED36B9DAB}"/>
    <cellStyle name="Normal 28 15 4 3" xfId="32044" xr:uid="{FC539007-0850-4DD5-94E8-1A4967E8B98C}"/>
    <cellStyle name="Normal 28 15 4 4" xfId="32045" xr:uid="{4D509C92-E24F-4C90-9C3F-EA93ACF3D963}"/>
    <cellStyle name="Normal 28 15 4 5" xfId="32046" xr:uid="{E61707BA-10E5-48BD-857F-8C052B37C310}"/>
    <cellStyle name="Normal 28 15 4 6" xfId="32047" xr:uid="{34C6E742-102D-45B1-B78B-5F3C9C504012}"/>
    <cellStyle name="Normal 28 15 5" xfId="32048" xr:uid="{0DEECDC0-7B0A-4B64-B2AE-06022F6C6175}"/>
    <cellStyle name="Normal 28 15 5 2" xfId="32049" xr:uid="{E6CEB035-9850-45AA-9797-E0E576855D96}"/>
    <cellStyle name="Normal 28 15 5 3" xfId="32050" xr:uid="{665A568D-68C6-45CC-BE72-388CC3810246}"/>
    <cellStyle name="Normal 28 15 5 4" xfId="32051" xr:uid="{04DF6322-8729-43C2-BD03-95E1A9E5D30D}"/>
    <cellStyle name="Normal 28 15 5 5" xfId="32052" xr:uid="{01106F60-F302-469E-8927-EBDF9B58B953}"/>
    <cellStyle name="Normal 28 15 5 6" xfId="32053" xr:uid="{3C2C9587-3027-4C6C-A419-DA4AF093E1B6}"/>
    <cellStyle name="Normal 28 15 6" xfId="32054" xr:uid="{C3FD16B5-E0B3-45B9-8536-466DCC67FE52}"/>
    <cellStyle name="Normal 28 15 6 2" xfId="32055" xr:uid="{F6A595BB-ECBD-415C-B40B-BE3CD6B0E7F2}"/>
    <cellStyle name="Normal 28 15 6 3" xfId="32056" xr:uid="{A6C1E423-F104-4316-9B4B-D0AC64107A4A}"/>
    <cellStyle name="Normal 28 15 6 4" xfId="32057" xr:uid="{B484E4F7-603B-445C-9D7A-B495F3C9EB78}"/>
    <cellStyle name="Normal 28 15 6 5" xfId="32058" xr:uid="{3C5D8888-769E-4365-8317-4AE74645CDC4}"/>
    <cellStyle name="Normal 28 15 6 6" xfId="32059" xr:uid="{EFFA1B85-6CD9-48A6-93FA-CFDC3857D363}"/>
    <cellStyle name="Normal 28 15 7" xfId="32060" xr:uid="{D884469F-FCAF-4B7B-BE4F-9E9A1626018B}"/>
    <cellStyle name="Normal 28 15 7 2" xfId="32061" xr:uid="{267C3896-AD1D-49B3-9288-CD46ED09FC12}"/>
    <cellStyle name="Normal 28 15 7 3" xfId="32062" xr:uid="{0BF2142C-8702-4CCA-ABC3-CA55373113F1}"/>
    <cellStyle name="Normal 28 15 7 4" xfId="32063" xr:uid="{EAF42438-44A3-4BC1-93BB-B4BC3F804EDF}"/>
    <cellStyle name="Normal 28 15 7 5" xfId="32064" xr:uid="{36918F51-609B-47FC-BCA5-66A8AD9D8CF9}"/>
    <cellStyle name="Normal 28 15 7 6" xfId="32065" xr:uid="{2D36EBBD-CCBC-4AEB-BED8-32A863E248BC}"/>
    <cellStyle name="Normal 28 15 8" xfId="32066" xr:uid="{8BD2E836-11CB-4ED2-835F-3212656997BE}"/>
    <cellStyle name="Normal 28 15 8 2" xfId="32067" xr:uid="{2FC29951-0C81-4B61-86BD-A6852003A178}"/>
    <cellStyle name="Normal 28 15 8 3" xfId="32068" xr:uid="{EDFB3342-0997-4BDF-8137-D8AD9E4189EA}"/>
    <cellStyle name="Normal 28 15 8 4" xfId="32069" xr:uid="{BDC5FDCE-DFEA-4348-82A3-EA9D3521F0B6}"/>
    <cellStyle name="Normal 28 15 8 5" xfId="32070" xr:uid="{ACAF3866-03BA-4AC6-8147-F860BED4C6F2}"/>
    <cellStyle name="Normal 28 15 8 6" xfId="32071" xr:uid="{5E51EDAB-0959-43B9-B32A-B369590DC181}"/>
    <cellStyle name="Normal 28 15 9" xfId="32072" xr:uid="{E81278F5-3787-420B-BCDA-81A3CF6F8A7E}"/>
    <cellStyle name="Normal 28 16" xfId="32073" xr:uid="{926BDED3-0636-45C4-AF40-C6B3A4322804}"/>
    <cellStyle name="Normal 28 16 10" xfId="32074" xr:uid="{C181C07B-3C69-477A-845D-0D30DBB2B911}"/>
    <cellStyle name="Normal 28 16 11" xfId="32075" xr:uid="{24510C2A-7A40-41E4-8953-EE126C05F1C9}"/>
    <cellStyle name="Normal 28 16 12" xfId="32076" xr:uid="{5DBAB1E2-FE35-43B9-A8AD-0F8D15F9B20D}"/>
    <cellStyle name="Normal 28 16 13" xfId="32077" xr:uid="{292CA21B-E713-49DA-A344-E45C5D5C4CCC}"/>
    <cellStyle name="Normal 28 16 2" xfId="32078" xr:uid="{BB9DB90D-D2B8-4F66-A88F-D7AF1CBEB70F}"/>
    <cellStyle name="Normal 28 16 2 2" xfId="32079" xr:uid="{6B3791D4-4B1B-4B46-A4C6-C3CB0571FDD8}"/>
    <cellStyle name="Normal 28 16 2 3" xfId="32080" xr:uid="{96002D94-CB0D-4575-9CE4-225C44CEAD3A}"/>
    <cellStyle name="Normal 28 16 2 4" xfId="32081" xr:uid="{8BC162E8-DC0C-4339-9365-56C017397895}"/>
    <cellStyle name="Normal 28 16 2 5" xfId="32082" xr:uid="{DE3AD65B-16A0-438B-A4D8-D2C33A80ABDB}"/>
    <cellStyle name="Normal 28 16 2 6" xfId="32083" xr:uid="{7B43AC12-247D-4CF7-820F-319A3A3500DF}"/>
    <cellStyle name="Normal 28 16 3" xfId="32084" xr:uid="{8E47BF51-A285-4EAD-90D5-E948C9E02D37}"/>
    <cellStyle name="Normal 28 16 3 2" xfId="32085" xr:uid="{A227527A-1FC9-44D8-88C6-D3FBD22E2BDB}"/>
    <cellStyle name="Normal 28 16 3 3" xfId="32086" xr:uid="{C1D07237-3B76-4100-8ED9-015B8A99C3AE}"/>
    <cellStyle name="Normal 28 16 3 4" xfId="32087" xr:uid="{00F15939-A2EA-4103-83C3-5F6C51311553}"/>
    <cellStyle name="Normal 28 16 3 5" xfId="32088" xr:uid="{99B53D1B-1A27-49CE-B5A7-00582DB97C1E}"/>
    <cellStyle name="Normal 28 16 3 6" xfId="32089" xr:uid="{94353A0F-7976-4B56-AA35-E6748B16B6C4}"/>
    <cellStyle name="Normal 28 16 4" xfId="32090" xr:uid="{B4FFBA9D-876E-438C-84FB-9905541F492A}"/>
    <cellStyle name="Normal 28 16 4 2" xfId="32091" xr:uid="{25D88D57-5533-4C07-A432-4FFB9D0F62BE}"/>
    <cellStyle name="Normal 28 16 4 3" xfId="32092" xr:uid="{F10D984A-6FA7-4F4A-B874-CC33C9F2BDE2}"/>
    <cellStyle name="Normal 28 16 4 4" xfId="32093" xr:uid="{D9B39149-53DE-461F-BDB7-BA1893D02136}"/>
    <cellStyle name="Normal 28 16 4 5" xfId="32094" xr:uid="{83670BE9-E5CB-4020-A36C-94709DA94A9E}"/>
    <cellStyle name="Normal 28 16 4 6" xfId="32095" xr:uid="{B531FB5E-E9CA-4B9B-8042-078994000C14}"/>
    <cellStyle name="Normal 28 16 5" xfId="32096" xr:uid="{DCF0251A-F25B-48FE-8D1B-897CBEAFA7D8}"/>
    <cellStyle name="Normal 28 16 5 2" xfId="32097" xr:uid="{332165D3-682C-4812-872F-4CEFE4729895}"/>
    <cellStyle name="Normal 28 16 5 3" xfId="32098" xr:uid="{CB8CF54E-CD27-4A2B-9820-639B3C7DC161}"/>
    <cellStyle name="Normal 28 16 5 4" xfId="32099" xr:uid="{A268E5C8-C9CE-4F6C-A10E-230F618D4A25}"/>
    <cellStyle name="Normal 28 16 5 5" xfId="32100" xr:uid="{54D8DC09-B0BE-48E7-AB1B-8F735C36D358}"/>
    <cellStyle name="Normal 28 16 5 6" xfId="32101" xr:uid="{C615E4BB-F1A4-49C8-9BF4-7615F68B1AEF}"/>
    <cellStyle name="Normal 28 16 6" xfId="32102" xr:uid="{37801849-3A46-4DFA-B788-4FB9D7E30073}"/>
    <cellStyle name="Normal 28 16 6 2" xfId="32103" xr:uid="{297C6C07-EF23-4CFC-8514-F6001982CD1A}"/>
    <cellStyle name="Normal 28 16 6 3" xfId="32104" xr:uid="{1323C5F5-B955-4509-AF6E-79DC9F7CC81E}"/>
    <cellStyle name="Normal 28 16 6 4" xfId="32105" xr:uid="{9DA009BF-BD6F-4773-B193-574DFB1E981D}"/>
    <cellStyle name="Normal 28 16 6 5" xfId="32106" xr:uid="{AA8CE4CB-E80D-48B3-A5D2-B2A8FA76739D}"/>
    <cellStyle name="Normal 28 16 6 6" xfId="32107" xr:uid="{5877566E-E04C-48E5-BFA9-6D3507D46126}"/>
    <cellStyle name="Normal 28 16 7" xfId="32108" xr:uid="{52123A89-3C54-44FB-A5F9-E7AF433C080D}"/>
    <cellStyle name="Normal 28 16 7 2" xfId="32109" xr:uid="{093A1B1F-6910-43AC-8E51-1EE62660546F}"/>
    <cellStyle name="Normal 28 16 7 3" xfId="32110" xr:uid="{93E7D5EB-2C10-4F9A-AE4E-DC5CFED69B32}"/>
    <cellStyle name="Normal 28 16 7 4" xfId="32111" xr:uid="{37DDE8B1-F5B1-4289-91EA-F9914F6993FA}"/>
    <cellStyle name="Normal 28 16 7 5" xfId="32112" xr:uid="{B56666B6-EC42-441C-BDC9-B68DDC804BD5}"/>
    <cellStyle name="Normal 28 16 7 6" xfId="32113" xr:uid="{892810CD-C47B-4018-8736-CEFDDFAD0302}"/>
    <cellStyle name="Normal 28 16 8" xfId="32114" xr:uid="{EA214F78-CBD3-4413-8958-C924E97802A9}"/>
    <cellStyle name="Normal 28 16 8 2" xfId="32115" xr:uid="{847CE2E9-1F1F-4DAA-897E-F0B8ED789104}"/>
    <cellStyle name="Normal 28 16 8 3" xfId="32116" xr:uid="{756E4537-A341-47A8-877E-14522810CCD7}"/>
    <cellStyle name="Normal 28 16 8 4" xfId="32117" xr:uid="{5DFC07B7-8CA0-4F62-83CA-B8F005CF79E0}"/>
    <cellStyle name="Normal 28 16 8 5" xfId="32118" xr:uid="{7A36F6EF-F5BD-4FFF-A9CD-E2F026D1251D}"/>
    <cellStyle name="Normal 28 16 8 6" xfId="32119" xr:uid="{1280064B-02F1-4B6C-AEEF-EFF30424E93F}"/>
    <cellStyle name="Normal 28 16 9" xfId="32120" xr:uid="{02E4AC3E-F9CD-4538-84D8-D7C476EBB477}"/>
    <cellStyle name="Normal 28 17" xfId="32121" xr:uid="{B653E995-B63D-4074-A3C7-C30318955FF1}"/>
    <cellStyle name="Normal 28 17 10" xfId="32122" xr:uid="{8EF4909D-3A69-45B9-BDF4-9D7B98A2DAED}"/>
    <cellStyle name="Normal 28 17 11" xfId="32123" xr:uid="{3DCA3D7F-13D3-43F2-8CFE-C0AB1C0C88DD}"/>
    <cellStyle name="Normal 28 17 12" xfId="32124" xr:uid="{16BABB86-51ED-4EF0-B656-C4E3B4653064}"/>
    <cellStyle name="Normal 28 17 13" xfId="32125" xr:uid="{BCAB6190-A3CA-4ACB-8434-F9E6D4F76E7A}"/>
    <cellStyle name="Normal 28 17 2" xfId="32126" xr:uid="{91A490B7-0A6F-4E51-9309-9FC088DAEA78}"/>
    <cellStyle name="Normal 28 17 2 2" xfId="32127" xr:uid="{07E023AB-1DBA-408A-B4A2-E964F3EE1EFD}"/>
    <cellStyle name="Normal 28 17 2 3" xfId="32128" xr:uid="{7EAFD499-1CA9-4910-AD6F-73210E5B517F}"/>
    <cellStyle name="Normal 28 17 2 4" xfId="32129" xr:uid="{5B6AE3AF-6014-42CC-9085-7C2344B64974}"/>
    <cellStyle name="Normal 28 17 2 5" xfId="32130" xr:uid="{67F002C6-617A-4B57-93A4-1D64F6C94D2B}"/>
    <cellStyle name="Normal 28 17 2 6" xfId="32131" xr:uid="{EA7DC471-ADE6-4859-8810-C2CF281B1ACF}"/>
    <cellStyle name="Normal 28 17 3" xfId="32132" xr:uid="{6B43C1DD-713C-430C-A0F2-CDB235481601}"/>
    <cellStyle name="Normal 28 17 3 2" xfId="32133" xr:uid="{31178B3B-86BC-4B7C-B6EB-F51231DBE42A}"/>
    <cellStyle name="Normal 28 17 3 3" xfId="32134" xr:uid="{EDE8BF1C-890E-4BA6-9501-46B9A91BA644}"/>
    <cellStyle name="Normal 28 17 3 4" xfId="32135" xr:uid="{7941A495-5086-4B1B-A4F1-3ED0730023AC}"/>
    <cellStyle name="Normal 28 17 3 5" xfId="32136" xr:uid="{12B348B8-A960-4FFA-855D-C9457A915692}"/>
    <cellStyle name="Normal 28 17 3 6" xfId="32137" xr:uid="{2C6F8B7D-0182-42C6-9C91-B46D67369F6D}"/>
    <cellStyle name="Normal 28 17 4" xfId="32138" xr:uid="{01E9AB5D-83EC-4B8D-BD8C-0075792E7C90}"/>
    <cellStyle name="Normal 28 17 4 2" xfId="32139" xr:uid="{E9FF7FD0-2EFF-4DC3-A8E8-21ECA08BC609}"/>
    <cellStyle name="Normal 28 17 4 3" xfId="32140" xr:uid="{D88DC3D7-4263-454A-8A5C-B7AC124980BF}"/>
    <cellStyle name="Normal 28 17 4 4" xfId="32141" xr:uid="{C91528DA-FE89-42D2-B855-B5E0A7D9DAE7}"/>
    <cellStyle name="Normal 28 17 4 5" xfId="32142" xr:uid="{802C558F-AE9A-41EB-8C5F-EFCF44817509}"/>
    <cellStyle name="Normal 28 17 4 6" xfId="32143" xr:uid="{CAD80B62-4963-4A8D-B888-7E0B7C4E9284}"/>
    <cellStyle name="Normal 28 17 5" xfId="32144" xr:uid="{5A7D57EC-922A-403C-999D-A6E44FF22CFC}"/>
    <cellStyle name="Normal 28 17 5 2" xfId="32145" xr:uid="{6EE759A0-F219-4035-B05F-36F14CDB6221}"/>
    <cellStyle name="Normal 28 17 5 3" xfId="32146" xr:uid="{DC97BAD0-B64B-47B9-9B32-CCCED17AAE86}"/>
    <cellStyle name="Normal 28 17 5 4" xfId="32147" xr:uid="{DECB1B97-C4C3-4221-89B0-72E45DF59199}"/>
    <cellStyle name="Normal 28 17 5 5" xfId="32148" xr:uid="{85F2C714-7DA1-4DB6-BB8A-E77240B2F559}"/>
    <cellStyle name="Normal 28 17 5 6" xfId="32149" xr:uid="{4A67B29A-0CCD-489B-9059-006A8495E402}"/>
    <cellStyle name="Normal 28 17 6" xfId="32150" xr:uid="{E50F6226-3776-4A73-A1EC-5E5F120C6CDF}"/>
    <cellStyle name="Normal 28 17 6 2" xfId="32151" xr:uid="{EF1DE815-FE46-40F0-876A-458B3FEF2D28}"/>
    <cellStyle name="Normal 28 17 6 3" xfId="32152" xr:uid="{CE46A8E0-CE8E-46AB-BD9D-A134ADED4152}"/>
    <cellStyle name="Normal 28 17 6 4" xfId="32153" xr:uid="{5A4BA023-BA94-4DDF-A1C4-933B03864A95}"/>
    <cellStyle name="Normal 28 17 6 5" xfId="32154" xr:uid="{44659622-2792-4246-84C8-FF90B2F4C142}"/>
    <cellStyle name="Normal 28 17 6 6" xfId="32155" xr:uid="{07A53999-4C95-4549-80D6-B9BFCC229786}"/>
    <cellStyle name="Normal 28 17 7" xfId="32156" xr:uid="{ABE168B6-62A9-46BE-B47F-96197538D36E}"/>
    <cellStyle name="Normal 28 17 7 2" xfId="32157" xr:uid="{2334DEA0-3CE1-494F-99D5-B4219429EAE4}"/>
    <cellStyle name="Normal 28 17 7 3" xfId="32158" xr:uid="{1578C8E8-779A-4AE2-84D6-8BF6EB3D5B8B}"/>
    <cellStyle name="Normal 28 17 7 4" xfId="32159" xr:uid="{E13DADE6-F8AC-463B-89FF-A3B1340BDD0B}"/>
    <cellStyle name="Normal 28 17 7 5" xfId="32160" xr:uid="{E7078E6E-F1A2-4ADA-B914-16D1E3AF6E87}"/>
    <cellStyle name="Normal 28 17 7 6" xfId="32161" xr:uid="{102ADA69-4202-45BC-9AA5-DC1B7C77B35A}"/>
    <cellStyle name="Normal 28 17 8" xfId="32162" xr:uid="{CBC0E63F-2C19-4AC3-BF01-7F3A8189DF25}"/>
    <cellStyle name="Normal 28 17 8 2" xfId="32163" xr:uid="{CFC8B487-DEB8-46ED-A42C-0FFD965F9A29}"/>
    <cellStyle name="Normal 28 17 8 3" xfId="32164" xr:uid="{C58D7B45-B16B-4619-A865-13C72694C585}"/>
    <cellStyle name="Normal 28 17 8 4" xfId="32165" xr:uid="{617E344A-77CD-4E25-8CA2-FE82722DCC25}"/>
    <cellStyle name="Normal 28 17 8 5" xfId="32166" xr:uid="{579CAC38-940A-4C81-8499-9AC4FDB790A0}"/>
    <cellStyle name="Normal 28 17 8 6" xfId="32167" xr:uid="{402C3502-BCF1-4C8B-BA56-BCACEB46D29C}"/>
    <cellStyle name="Normal 28 17 9" xfId="32168" xr:uid="{2B856A58-AB0B-4E7F-9047-C2FE707C4B84}"/>
    <cellStyle name="Normal 28 18" xfId="32169" xr:uid="{BE329654-5A36-4DC5-98E9-B9E924CFD91E}"/>
    <cellStyle name="Normal 28 18 2" xfId="32170" xr:uid="{3CD7B16B-8B0B-45A1-A545-BC225DE684E0}"/>
    <cellStyle name="Normal 28 18 3" xfId="32171" xr:uid="{50C0CC95-8ED5-440D-9C61-8CAE837D8D9E}"/>
    <cellStyle name="Normal 28 18 4" xfId="32172" xr:uid="{8C659D92-9F03-4E3C-BEEA-E60EF4D690FE}"/>
    <cellStyle name="Normal 28 18 5" xfId="32173" xr:uid="{B48E4AEE-874C-46D7-9EA0-96A273505B63}"/>
    <cellStyle name="Normal 28 18 6" xfId="32174" xr:uid="{7546A85D-38D6-4704-9971-E53C4FAC2DA7}"/>
    <cellStyle name="Normal 28 19" xfId="32175" xr:uid="{3BF8DA77-ACE7-4E09-8854-CD527DADC507}"/>
    <cellStyle name="Normal 28 19 2" xfId="32176" xr:uid="{5A310CA8-95F8-4ADC-8ABC-31409A2FD924}"/>
    <cellStyle name="Normal 28 19 3" xfId="32177" xr:uid="{A355B379-B1ED-45B9-907F-8C93FB9F47F9}"/>
    <cellStyle name="Normal 28 19 4" xfId="32178" xr:uid="{3637CB81-80A2-48FC-BBAF-90DCF8DE7D39}"/>
    <cellStyle name="Normal 28 19 5" xfId="32179" xr:uid="{E29C9385-89C2-4EAA-AB21-BA6FC55EDC34}"/>
    <cellStyle name="Normal 28 19 6" xfId="32180" xr:uid="{054D9874-C7EF-4A20-AD9A-BD4AC38AC04C}"/>
    <cellStyle name="Normal 28 2" xfId="1687" xr:uid="{C972CE99-2318-4395-A4A6-261A9EF3A56D}"/>
    <cellStyle name="Normal 28 2 10" xfId="32181" xr:uid="{66B68EAC-9CAB-4AD9-A3BA-33C847127515}"/>
    <cellStyle name="Normal 28 2 11" xfId="32182" xr:uid="{79090D0B-3D26-41D1-97A2-D340F6711119}"/>
    <cellStyle name="Normal 28 2 12" xfId="32183" xr:uid="{1FC2A84B-6EA2-4BCD-821F-01046A20C0F6}"/>
    <cellStyle name="Normal 28 2 13" xfId="32184" xr:uid="{4C6BD6E6-AC14-4828-942B-11FB5F7322EA}"/>
    <cellStyle name="Normal 28 2 2" xfId="32185" xr:uid="{D7DF7087-9DA9-4A92-B908-22CA77FC06AA}"/>
    <cellStyle name="Normal 28 2 2 2" xfId="32186" xr:uid="{B9B63B8D-C70C-4B54-832B-3E059DA2E37B}"/>
    <cellStyle name="Normal 28 2 2 3" xfId="32187" xr:uid="{EFCDEE6B-5491-4B84-8A25-2E2E60148E77}"/>
    <cellStyle name="Normal 28 2 2 4" xfId="32188" xr:uid="{74DE062D-852F-488E-8848-A2A2E31711ED}"/>
    <cellStyle name="Normal 28 2 2 5" xfId="32189" xr:uid="{FF524872-4834-4AF2-A923-625311077B29}"/>
    <cellStyle name="Normal 28 2 2 6" xfId="32190" xr:uid="{02A470A6-C6D5-43E6-9C6D-F97CCAC18A30}"/>
    <cellStyle name="Normal 28 2 3" xfId="32191" xr:uid="{A2B24838-E53A-43DF-94F6-2634944CD45A}"/>
    <cellStyle name="Normal 28 2 3 2" xfId="32192" xr:uid="{63CDDBC7-913D-4609-8462-FE40B5D5BBB5}"/>
    <cellStyle name="Normal 28 2 3 3" xfId="32193" xr:uid="{B631395A-DD81-4EFD-8BB1-CABE3F9AD730}"/>
    <cellStyle name="Normal 28 2 3 4" xfId="32194" xr:uid="{FED011A0-B3F5-4DD6-8DA8-455BA09BC72F}"/>
    <cellStyle name="Normal 28 2 3 5" xfId="32195" xr:uid="{458E2B7C-7308-4D2D-88BB-D97A10BBA170}"/>
    <cellStyle name="Normal 28 2 3 6" xfId="32196" xr:uid="{A2097A42-81B0-4169-83D4-D0F2AFDC434B}"/>
    <cellStyle name="Normal 28 2 4" xfId="32197" xr:uid="{0C5F4231-AB32-4578-A52F-AFE3969164E2}"/>
    <cellStyle name="Normal 28 2 4 2" xfId="32198" xr:uid="{91476921-FFE0-480C-8F0A-509C2CBE56C9}"/>
    <cellStyle name="Normal 28 2 4 3" xfId="32199" xr:uid="{44D8CA48-FB7F-4C7F-9252-735E42F090C6}"/>
    <cellStyle name="Normal 28 2 4 4" xfId="32200" xr:uid="{8AD76D55-ADB4-4FF2-BC6B-996E24DBFC46}"/>
    <cellStyle name="Normal 28 2 4 5" xfId="32201" xr:uid="{F107DCC1-F2F2-43F6-897D-2ACAFDAE9F8D}"/>
    <cellStyle name="Normal 28 2 4 6" xfId="32202" xr:uid="{604BE71B-636F-4DF9-A069-12C33A6FB38E}"/>
    <cellStyle name="Normal 28 2 5" xfId="32203" xr:uid="{4AB3E742-7405-42F1-8AB2-A8F94768D729}"/>
    <cellStyle name="Normal 28 2 5 2" xfId="32204" xr:uid="{66C85E4A-BBD1-4A67-8854-913B795DFF01}"/>
    <cellStyle name="Normal 28 2 5 3" xfId="32205" xr:uid="{856242B1-DB7F-4FFA-84CB-7D23E8ECFB34}"/>
    <cellStyle name="Normal 28 2 5 4" xfId="32206" xr:uid="{502DDE47-1314-436B-BC20-17A93F5D48F8}"/>
    <cellStyle name="Normal 28 2 5 5" xfId="32207" xr:uid="{E8608ED4-FBCF-439D-A32D-7650AF648416}"/>
    <cellStyle name="Normal 28 2 5 6" xfId="32208" xr:uid="{32EEC5D9-FF3D-4493-B96F-CD6CAD78248E}"/>
    <cellStyle name="Normal 28 2 6" xfId="32209" xr:uid="{8A532846-F69F-4483-8AF5-5B1E4911AD85}"/>
    <cellStyle name="Normal 28 2 6 2" xfId="32210" xr:uid="{FE4B52C2-6A15-4401-944D-D64067B50100}"/>
    <cellStyle name="Normal 28 2 6 3" xfId="32211" xr:uid="{68EA1671-36BA-453B-8302-D91E010AC09F}"/>
    <cellStyle name="Normal 28 2 6 4" xfId="32212" xr:uid="{AAB80FBE-06DB-4F88-924F-2F72C28F7D76}"/>
    <cellStyle name="Normal 28 2 6 5" xfId="32213" xr:uid="{35EDE299-96BA-48A7-A709-08140C177B2C}"/>
    <cellStyle name="Normal 28 2 6 6" xfId="32214" xr:uid="{4F53B412-54DA-4A0F-9783-C8E3DBA254E3}"/>
    <cellStyle name="Normal 28 2 7" xfId="32215" xr:uid="{305CB64D-31E5-49E8-B79F-CAC1FACB4F66}"/>
    <cellStyle name="Normal 28 2 7 2" xfId="32216" xr:uid="{92E0878A-3A49-485C-BF51-33C15B1229B7}"/>
    <cellStyle name="Normal 28 2 7 3" xfId="32217" xr:uid="{EA7EB9CA-3180-4964-832E-A2F68F925D12}"/>
    <cellStyle name="Normal 28 2 7 4" xfId="32218" xr:uid="{3437D8CB-7E9C-49B2-B02B-09A22F69FD1D}"/>
    <cellStyle name="Normal 28 2 7 5" xfId="32219" xr:uid="{7B306D3D-143A-4659-834D-496D85015F0B}"/>
    <cellStyle name="Normal 28 2 7 6" xfId="32220" xr:uid="{8FC6DD21-212D-4BBB-8E4D-33F4CC2F57C0}"/>
    <cellStyle name="Normal 28 2 8" xfId="32221" xr:uid="{817C4345-879E-4B4E-A864-EDAAE92D6742}"/>
    <cellStyle name="Normal 28 2 8 2" xfId="32222" xr:uid="{643A7F5A-9B83-4EA5-A482-FE56AA4D8A81}"/>
    <cellStyle name="Normal 28 2 8 3" xfId="32223" xr:uid="{0794A223-0686-4ACC-989A-A3F8CBFD44A2}"/>
    <cellStyle name="Normal 28 2 8 4" xfId="32224" xr:uid="{A4D1D5C4-1E1F-4236-8727-7102C1D164B6}"/>
    <cellStyle name="Normal 28 2 8 5" xfId="32225" xr:uid="{94F65DA6-2238-4C1E-8310-F36935385F6F}"/>
    <cellStyle name="Normal 28 2 8 6" xfId="32226" xr:uid="{F1F31CF3-FDC0-4ABB-93F6-D7F6E51BC03B}"/>
    <cellStyle name="Normal 28 2 9" xfId="32227" xr:uid="{596D385A-B140-407F-933C-A09A75ED8218}"/>
    <cellStyle name="Normal 28 20" xfId="32228" xr:uid="{ADC8DBA2-003F-4A9B-9758-6A7BB4F92C9F}"/>
    <cellStyle name="Normal 28 20 2" xfId="32229" xr:uid="{E8196D54-5A61-4995-95E4-A483BBA83170}"/>
    <cellStyle name="Normal 28 20 3" xfId="32230" xr:uid="{FBF2CDD0-95A7-4227-B82C-186C001DF1B7}"/>
    <cellStyle name="Normal 28 20 4" xfId="32231" xr:uid="{ECE849E1-A709-428B-93B4-C2B340C79DD9}"/>
    <cellStyle name="Normal 28 20 5" xfId="32232" xr:uid="{8893EBDB-0763-4451-8179-F4F30F557840}"/>
    <cellStyle name="Normal 28 20 6" xfId="32233" xr:uid="{684F7FC5-4E35-47F8-8CF2-F317A6CBBBF6}"/>
    <cellStyle name="Normal 28 21" xfId="32234" xr:uid="{E88A54B8-354F-4FFB-9DB9-7A50E2B09A36}"/>
    <cellStyle name="Normal 28 21 2" xfId="32235" xr:uid="{A027D3D5-B084-4E4B-9089-ED78ACE8DCC3}"/>
    <cellStyle name="Normal 28 21 3" xfId="32236" xr:uid="{2A86DFA8-E0BF-43D6-AEDC-31CA996DE5D9}"/>
    <cellStyle name="Normal 28 21 4" xfId="32237" xr:uid="{CE4BFC2B-E491-4F1C-B66E-9C75576A555E}"/>
    <cellStyle name="Normal 28 21 5" xfId="32238" xr:uid="{97915938-568E-4A58-B453-08E78A626499}"/>
    <cellStyle name="Normal 28 21 6" xfId="32239" xr:uid="{22BCD23C-8C61-411B-B3B1-5884E44F77DB}"/>
    <cellStyle name="Normal 28 22" xfId="32240" xr:uid="{B1B6F28C-BB30-42C0-BCC0-9538177C1FEC}"/>
    <cellStyle name="Normal 28 22 2" xfId="32241" xr:uid="{3D123767-0299-4280-88C9-F03FD75C2BD0}"/>
    <cellStyle name="Normal 28 22 3" xfId="32242" xr:uid="{CBF5EE58-84B1-4B23-BA01-F5B23896FD5B}"/>
    <cellStyle name="Normal 28 22 4" xfId="32243" xr:uid="{462B321D-D37D-40D3-B666-6159ADBEACFC}"/>
    <cellStyle name="Normal 28 22 5" xfId="32244" xr:uid="{2540DED6-4799-40ED-B566-C907236BBC56}"/>
    <cellStyle name="Normal 28 22 6" xfId="32245" xr:uid="{D892D59D-5BCE-4ACD-B518-19CC58F9A9E1}"/>
    <cellStyle name="Normal 28 23" xfId="32246" xr:uid="{26DA2B61-CF4D-41D8-9D1A-7327564AB2A8}"/>
    <cellStyle name="Normal 28 23 2" xfId="32247" xr:uid="{E71FAFA1-47EC-4B8E-AE7E-873490535791}"/>
    <cellStyle name="Normal 28 23 3" xfId="32248" xr:uid="{2261AF94-2384-4F73-8F39-57ABAD708285}"/>
    <cellStyle name="Normal 28 23 4" xfId="32249" xr:uid="{28FB8C56-BD35-4998-AC83-10DAA26F8836}"/>
    <cellStyle name="Normal 28 23 5" xfId="32250" xr:uid="{B1A21057-13A5-4916-BC17-3771053E2F16}"/>
    <cellStyle name="Normal 28 23 6" xfId="32251" xr:uid="{F46C1688-04F2-4E20-B56F-40C7FBCAA436}"/>
    <cellStyle name="Normal 28 24" xfId="32252" xr:uid="{AB0B1A9F-7AE3-4B79-B4EC-8ED592773461}"/>
    <cellStyle name="Normal 28 24 2" xfId="32253" xr:uid="{2EB73CFC-1FDE-4996-B7AA-9B0B90E9E902}"/>
    <cellStyle name="Normal 28 24 3" xfId="32254" xr:uid="{77A8012E-325D-4D45-8D66-C1F9FF64FD98}"/>
    <cellStyle name="Normal 28 24 4" xfId="32255" xr:uid="{F8AF7EBF-80D4-4517-A5A5-78B579C7B3AE}"/>
    <cellStyle name="Normal 28 24 5" xfId="32256" xr:uid="{7D4FE501-208A-4816-9E3B-ECDAD1447604}"/>
    <cellStyle name="Normal 28 24 6" xfId="32257" xr:uid="{860B9872-AE8C-411B-8D63-8F4A1023347E}"/>
    <cellStyle name="Normal 28 25" xfId="32258" xr:uid="{A6E1AF12-B5DD-45F0-98B1-F45DEB105316}"/>
    <cellStyle name="Normal 28 26" xfId="32259" xr:uid="{0E7AB4B4-E204-448B-BB23-26598AB776AB}"/>
    <cellStyle name="Normal 28 27" xfId="32260" xr:uid="{04C4D36E-390E-487D-BAA9-46505886294F}"/>
    <cellStyle name="Normal 28 28" xfId="32261" xr:uid="{363C589C-9C1C-4550-90DE-E3C3DF5D9179}"/>
    <cellStyle name="Normal 28 29" xfId="32262" xr:uid="{A28B646C-AD17-48E9-A7DB-63EB236C2CDF}"/>
    <cellStyle name="Normal 28 3" xfId="32263" xr:uid="{FA077545-7A5E-4D43-9AB5-3EA326B1E628}"/>
    <cellStyle name="Normal 28 3 10" xfId="32264" xr:uid="{995225C6-439E-433A-9021-4F3DEB243B7E}"/>
    <cellStyle name="Normal 28 3 11" xfId="32265" xr:uid="{0A54CF92-1635-4B97-9DE8-CF58C01A9F2A}"/>
    <cellStyle name="Normal 28 3 12" xfId="32266" xr:uid="{9BFAF6D4-E3AB-424C-AE11-075E16A6BE39}"/>
    <cellStyle name="Normal 28 3 13" xfId="32267" xr:uid="{F4AB421C-C762-4A4D-9203-738FDCB24063}"/>
    <cellStyle name="Normal 28 3 2" xfId="32268" xr:uid="{F2000FC5-3A2A-4970-89AA-3E11DED03EB1}"/>
    <cellStyle name="Normal 28 3 2 2" xfId="32269" xr:uid="{F841B49C-52A2-4A52-A7BD-CE66F0BA3793}"/>
    <cellStyle name="Normal 28 3 2 3" xfId="32270" xr:uid="{90505E01-66EA-46EB-B9C1-159BF0C63495}"/>
    <cellStyle name="Normal 28 3 2 4" xfId="32271" xr:uid="{E216B77E-5051-4F5B-A94D-D16CAA0888D9}"/>
    <cellStyle name="Normal 28 3 2 5" xfId="32272" xr:uid="{BD723120-16DC-4AFB-869A-85E1580C9EFD}"/>
    <cellStyle name="Normal 28 3 2 6" xfId="32273" xr:uid="{77697A42-4381-49BE-B112-430AD47945AB}"/>
    <cellStyle name="Normal 28 3 3" xfId="32274" xr:uid="{26F35314-B8B6-4704-9A86-08E7FBCE8896}"/>
    <cellStyle name="Normal 28 3 3 2" xfId="32275" xr:uid="{5360EF2E-84CB-4E58-BF91-D60BE5E7A01A}"/>
    <cellStyle name="Normal 28 3 3 3" xfId="32276" xr:uid="{E54CBBEE-DE82-4E44-B165-E64A0F2496E6}"/>
    <cellStyle name="Normal 28 3 3 4" xfId="32277" xr:uid="{94C1AD82-6DCB-4C7B-A88B-2454121E0996}"/>
    <cellStyle name="Normal 28 3 3 5" xfId="32278" xr:uid="{6BF62C47-15A1-4A6B-9B1A-1F3C1275DD99}"/>
    <cellStyle name="Normal 28 3 3 6" xfId="32279" xr:uid="{F998AA6F-56C8-43C4-AC4B-AFC4D33BBEFB}"/>
    <cellStyle name="Normal 28 3 4" xfId="32280" xr:uid="{F64F82AA-41D0-4C2B-B75A-10AB4A356B35}"/>
    <cellStyle name="Normal 28 3 4 2" xfId="32281" xr:uid="{237A1713-C155-43A7-9F05-2238B2858DDE}"/>
    <cellStyle name="Normal 28 3 4 3" xfId="32282" xr:uid="{2DFE64A3-24B7-425B-8FCC-2F413D34523D}"/>
    <cellStyle name="Normal 28 3 4 4" xfId="32283" xr:uid="{B084141D-6AC6-4409-8BDB-D5FE9EFCADE8}"/>
    <cellStyle name="Normal 28 3 4 5" xfId="32284" xr:uid="{BC383B33-C1CB-47C6-A705-E12EF3A5B995}"/>
    <cellStyle name="Normal 28 3 4 6" xfId="32285" xr:uid="{2F65CB9D-8B1A-4D30-AF46-253BC7902880}"/>
    <cellStyle name="Normal 28 3 5" xfId="32286" xr:uid="{229FA84F-7478-48FB-A182-FB163D4D0A0D}"/>
    <cellStyle name="Normal 28 3 5 2" xfId="32287" xr:uid="{303323EA-D5E7-47EC-8096-168EA9C90289}"/>
    <cellStyle name="Normal 28 3 5 3" xfId="32288" xr:uid="{D18DB605-5B24-4843-BE1B-8F7CAFF13EE1}"/>
    <cellStyle name="Normal 28 3 5 4" xfId="32289" xr:uid="{7568ED30-BF22-4F28-8D1B-0A8AEDF11DC4}"/>
    <cellStyle name="Normal 28 3 5 5" xfId="32290" xr:uid="{8A6D4729-68B4-4674-825F-8A5615EEE850}"/>
    <cellStyle name="Normal 28 3 5 6" xfId="32291" xr:uid="{FD43A7E5-EC3F-4ED3-83D4-38E62C266038}"/>
    <cellStyle name="Normal 28 3 6" xfId="32292" xr:uid="{A4779FCA-FD33-4C2A-95E5-7BFF17E7EE02}"/>
    <cellStyle name="Normal 28 3 6 2" xfId="32293" xr:uid="{1818054F-7D45-4E48-97BC-0C9A708F0038}"/>
    <cellStyle name="Normal 28 3 6 3" xfId="32294" xr:uid="{02285B9C-EBE5-468C-96FF-6191ED11EBDE}"/>
    <cellStyle name="Normal 28 3 6 4" xfId="32295" xr:uid="{E3EA53F4-E55B-4C6E-98A2-AF0F7F6EDE94}"/>
    <cellStyle name="Normal 28 3 6 5" xfId="32296" xr:uid="{15D78B1F-988C-45F9-8AC3-8D0B10921F1D}"/>
    <cellStyle name="Normal 28 3 6 6" xfId="32297" xr:uid="{EDDE644D-70CF-4B08-8E25-2536BF4CD9B6}"/>
    <cellStyle name="Normal 28 3 7" xfId="32298" xr:uid="{9C7A6A61-9C81-4487-BDA4-DC4005503252}"/>
    <cellStyle name="Normal 28 3 7 2" xfId="32299" xr:uid="{5B04D974-0BC0-479F-92E1-2CFA9505E239}"/>
    <cellStyle name="Normal 28 3 7 3" xfId="32300" xr:uid="{46442BCC-00F2-42C7-ADF6-A5DC73897D96}"/>
    <cellStyle name="Normal 28 3 7 4" xfId="32301" xr:uid="{857288AD-BC12-444E-B4EC-6E7A568A3FB7}"/>
    <cellStyle name="Normal 28 3 7 5" xfId="32302" xr:uid="{753A6E57-3232-4B0A-9947-89420547EA11}"/>
    <cellStyle name="Normal 28 3 7 6" xfId="32303" xr:uid="{4FA82C16-B2A3-4068-8827-537EEA0B0048}"/>
    <cellStyle name="Normal 28 3 8" xfId="32304" xr:uid="{CA422DD2-4765-4C30-B836-33BDC45EC809}"/>
    <cellStyle name="Normal 28 3 8 2" xfId="32305" xr:uid="{CB1948CE-79CB-498F-B41C-F2022638369A}"/>
    <cellStyle name="Normal 28 3 8 3" xfId="32306" xr:uid="{4E39D511-EDE2-46F1-A7A3-950CF1C6C827}"/>
    <cellStyle name="Normal 28 3 8 4" xfId="32307" xr:uid="{3ACBA6C8-9E4F-41C4-86EF-074D41D6DAD8}"/>
    <cellStyle name="Normal 28 3 8 5" xfId="32308" xr:uid="{E4DFE4CE-EBD4-4685-B05F-E40D61BB71C4}"/>
    <cellStyle name="Normal 28 3 8 6" xfId="32309" xr:uid="{CFD9AEF4-7AB1-4752-99D9-410DDEA3102F}"/>
    <cellStyle name="Normal 28 3 9" xfId="32310" xr:uid="{24D486F9-135D-48AF-B7F9-62D5AF9E3105}"/>
    <cellStyle name="Normal 28 4" xfId="32311" xr:uid="{4453AFC8-248C-452A-B182-702F4E9D4963}"/>
    <cellStyle name="Normal 28 4 10" xfId="32312" xr:uid="{1941064F-4084-4FEC-8D51-41200C202002}"/>
    <cellStyle name="Normal 28 4 11" xfId="32313" xr:uid="{0EF5FBE7-D701-4F7B-9AD6-81B434C43352}"/>
    <cellStyle name="Normal 28 4 12" xfId="32314" xr:uid="{EAB42CB6-D021-44BB-95CE-C14E56A12C7B}"/>
    <cellStyle name="Normal 28 4 13" xfId="32315" xr:uid="{54302C40-75CE-4499-A3F6-65CD14464415}"/>
    <cellStyle name="Normal 28 4 2" xfId="32316" xr:uid="{87C803AD-13A0-4836-A792-7DD055B2F128}"/>
    <cellStyle name="Normal 28 4 2 2" xfId="32317" xr:uid="{E253C425-203C-4D27-843D-896A2680E26B}"/>
    <cellStyle name="Normal 28 4 2 3" xfId="32318" xr:uid="{5E6F41F5-A382-4B63-B5B6-497D666E1978}"/>
    <cellStyle name="Normal 28 4 2 4" xfId="32319" xr:uid="{418E25B6-28AD-4995-98FD-1D212C354A90}"/>
    <cellStyle name="Normal 28 4 2 5" xfId="32320" xr:uid="{8C893743-2518-4EC3-99A5-EA5049F79CF1}"/>
    <cellStyle name="Normal 28 4 2 6" xfId="32321" xr:uid="{2A236E87-FFBC-424F-BADD-65FF2A3D7FA9}"/>
    <cellStyle name="Normal 28 4 3" xfId="32322" xr:uid="{E3F385DD-B313-44B8-86C1-1909D4EF6915}"/>
    <cellStyle name="Normal 28 4 3 2" xfId="32323" xr:uid="{BB2B6338-D9CF-44B3-AD87-248F7670A700}"/>
    <cellStyle name="Normal 28 4 3 3" xfId="32324" xr:uid="{CE5758BE-C83C-464C-98A9-92B7377EB634}"/>
    <cellStyle name="Normal 28 4 3 4" xfId="32325" xr:uid="{093925AB-023C-4C66-A84B-A48E1A37284E}"/>
    <cellStyle name="Normal 28 4 3 5" xfId="32326" xr:uid="{323BE18D-4E37-43D0-B16C-4A60ED933508}"/>
    <cellStyle name="Normal 28 4 3 6" xfId="32327" xr:uid="{BFA4B11F-35E3-4D14-932E-D38BCF6663E8}"/>
    <cellStyle name="Normal 28 4 4" xfId="32328" xr:uid="{96029032-52F8-4554-9862-26FF5E05A30B}"/>
    <cellStyle name="Normal 28 4 4 2" xfId="32329" xr:uid="{D1662647-381A-4E0F-B917-5F7C67773290}"/>
    <cellStyle name="Normal 28 4 4 3" xfId="32330" xr:uid="{5AD47A31-1E6C-4AF6-B6F3-A05B5BE38044}"/>
    <cellStyle name="Normal 28 4 4 4" xfId="32331" xr:uid="{22B54A51-ACDF-4038-A39B-7913E7BA5A4D}"/>
    <cellStyle name="Normal 28 4 4 5" xfId="32332" xr:uid="{66A173CA-8838-4210-B03E-B869DF360DF1}"/>
    <cellStyle name="Normal 28 4 4 6" xfId="32333" xr:uid="{498BAF97-86E6-4F64-91D0-342EDE54ECC9}"/>
    <cellStyle name="Normal 28 4 5" xfId="32334" xr:uid="{7F4DF77D-ECFA-4C5A-AD5F-E5DC9E9ED8A2}"/>
    <cellStyle name="Normal 28 4 5 2" xfId="32335" xr:uid="{7C4DD4AD-C0C5-402D-9428-25055AA7BE79}"/>
    <cellStyle name="Normal 28 4 5 3" xfId="32336" xr:uid="{088F24A3-6CF2-4B7C-B12F-F776B4E6DC86}"/>
    <cellStyle name="Normal 28 4 5 4" xfId="32337" xr:uid="{6925A11C-3C76-4032-B577-7354DD5361BC}"/>
    <cellStyle name="Normal 28 4 5 5" xfId="32338" xr:uid="{2FEF9708-2047-4F25-8B16-8EB30122F929}"/>
    <cellStyle name="Normal 28 4 5 6" xfId="32339" xr:uid="{F1637F6D-BEB7-4A77-9E1E-4EF16ACA64BD}"/>
    <cellStyle name="Normal 28 4 6" xfId="32340" xr:uid="{7593EEFE-3DD3-4F80-84C1-3A343D638ADD}"/>
    <cellStyle name="Normal 28 4 6 2" xfId="32341" xr:uid="{079C08E1-A754-48F2-8C0B-8320734A65AF}"/>
    <cellStyle name="Normal 28 4 6 3" xfId="32342" xr:uid="{4B1B72B7-9918-4419-8F68-1C45D105C2A6}"/>
    <cellStyle name="Normal 28 4 6 4" xfId="32343" xr:uid="{641AE97A-CC67-489B-BA75-D4E8492B6884}"/>
    <cellStyle name="Normal 28 4 6 5" xfId="32344" xr:uid="{ADBE0224-A1B6-47E2-9402-6A81323E307A}"/>
    <cellStyle name="Normal 28 4 6 6" xfId="32345" xr:uid="{EB7EC82D-6531-4921-BAC4-C15C412E51E5}"/>
    <cellStyle name="Normal 28 4 7" xfId="32346" xr:uid="{3CD8B711-E2C0-4E87-9B42-015AB4C6F2ED}"/>
    <cellStyle name="Normal 28 4 7 2" xfId="32347" xr:uid="{AE6FB9C9-0ADB-4096-A9AB-815CC19D420D}"/>
    <cellStyle name="Normal 28 4 7 3" xfId="32348" xr:uid="{C05808C6-FC12-4C9C-832A-D994B421AF1A}"/>
    <cellStyle name="Normal 28 4 7 4" xfId="32349" xr:uid="{FBCF1D25-D2E8-4ADC-B6C1-99B3D27DD3FB}"/>
    <cellStyle name="Normal 28 4 7 5" xfId="32350" xr:uid="{03480759-F0C2-490C-916C-6AF6A7A57491}"/>
    <cellStyle name="Normal 28 4 7 6" xfId="32351" xr:uid="{869C432C-1CCF-433D-A2DD-F09EF7C44D34}"/>
    <cellStyle name="Normal 28 4 8" xfId="32352" xr:uid="{7111F37F-6DB9-4AB1-9910-674C0B9CA9EE}"/>
    <cellStyle name="Normal 28 4 8 2" xfId="32353" xr:uid="{2C4D99E9-2C8F-4301-A979-D620D0E3DDD1}"/>
    <cellStyle name="Normal 28 4 8 3" xfId="32354" xr:uid="{90FD2B4D-04F5-4E54-A3AD-4EAB4BA76D3D}"/>
    <cellStyle name="Normal 28 4 8 4" xfId="32355" xr:uid="{A2950764-AABD-49E3-9833-CF9FEA497ED0}"/>
    <cellStyle name="Normal 28 4 8 5" xfId="32356" xr:uid="{DD8DE2BD-2C56-47BC-841D-DFFF36BB5493}"/>
    <cellStyle name="Normal 28 4 8 6" xfId="32357" xr:uid="{32F10611-518A-4EB2-B78B-A440D49E9100}"/>
    <cellStyle name="Normal 28 4 9" xfId="32358" xr:uid="{0A3730D8-A6CA-4209-A1F5-BAF81F1B6802}"/>
    <cellStyle name="Normal 28 5" xfId="32359" xr:uid="{E103213C-4371-4FFE-B4B2-9C250D6A01F6}"/>
    <cellStyle name="Normal 28 5 10" xfId="32360" xr:uid="{44CD3762-A77A-4813-BAFA-73D444535C71}"/>
    <cellStyle name="Normal 28 5 11" xfId="32361" xr:uid="{4329C35E-56AB-44C1-9661-61758A79F843}"/>
    <cellStyle name="Normal 28 5 12" xfId="32362" xr:uid="{F8357A24-EC42-496A-A71A-8F1B997AAEA7}"/>
    <cellStyle name="Normal 28 5 13" xfId="32363" xr:uid="{492ABB6D-99A5-4E22-926B-EEA9DE349F7D}"/>
    <cellStyle name="Normal 28 5 2" xfId="32364" xr:uid="{F2E46F77-1F22-4173-8CFB-B29B79F5734E}"/>
    <cellStyle name="Normal 28 5 2 2" xfId="32365" xr:uid="{6A41060A-37CA-4AA5-B2DB-C69D56F9B1E0}"/>
    <cellStyle name="Normal 28 5 2 3" xfId="32366" xr:uid="{3F852133-8FB5-4731-A3B7-5A82F45DA0C3}"/>
    <cellStyle name="Normal 28 5 2 4" xfId="32367" xr:uid="{0939B5BD-E9C2-42DD-84BC-53A887155DB4}"/>
    <cellStyle name="Normal 28 5 2 5" xfId="32368" xr:uid="{4CA8EA76-BA4F-4778-8881-BFE97639EEF4}"/>
    <cellStyle name="Normal 28 5 2 6" xfId="32369" xr:uid="{BC42062B-9ABC-4EA7-A77E-5F3AC301CB8E}"/>
    <cellStyle name="Normal 28 5 3" xfId="32370" xr:uid="{066DA357-8D45-4B70-BB52-8FB3A3BCA462}"/>
    <cellStyle name="Normal 28 5 3 2" xfId="32371" xr:uid="{C8ECF3B0-2811-47CA-853E-ABC5CC332863}"/>
    <cellStyle name="Normal 28 5 3 3" xfId="32372" xr:uid="{010A057D-E7DF-45CD-A256-A4AC5BE059C9}"/>
    <cellStyle name="Normal 28 5 3 4" xfId="32373" xr:uid="{9381F114-4EC6-4B94-AB98-FFDECFE7AF61}"/>
    <cellStyle name="Normal 28 5 3 5" xfId="32374" xr:uid="{0CBE5380-B54E-4532-9EF2-6DBD3DD452D7}"/>
    <cellStyle name="Normal 28 5 3 6" xfId="32375" xr:uid="{7074F7AA-434F-4BBB-A669-0E3CF35760C7}"/>
    <cellStyle name="Normal 28 5 4" xfId="32376" xr:uid="{188A8B74-7CB2-401D-BB6F-EE540242DA3C}"/>
    <cellStyle name="Normal 28 5 4 2" xfId="32377" xr:uid="{90775AA1-8F4E-4E72-B1C3-073674CB89B0}"/>
    <cellStyle name="Normal 28 5 4 3" xfId="32378" xr:uid="{F6F0ED94-B7BC-42D2-B9ED-73401CAD028E}"/>
    <cellStyle name="Normal 28 5 4 4" xfId="32379" xr:uid="{B2630FCD-9F42-4333-AF1F-F6C8F463B4AE}"/>
    <cellStyle name="Normal 28 5 4 5" xfId="32380" xr:uid="{4FC53140-DBD3-4687-8E10-9675891D5AEB}"/>
    <cellStyle name="Normal 28 5 4 6" xfId="32381" xr:uid="{F58CF35F-2FF8-4CDF-8C0A-45E8BFE54C8B}"/>
    <cellStyle name="Normal 28 5 5" xfId="32382" xr:uid="{19FFE9A9-DC75-4389-8AFD-CA0F59053CB8}"/>
    <cellStyle name="Normal 28 5 5 2" xfId="32383" xr:uid="{452A215B-DA31-422A-8A3D-59D736F48145}"/>
    <cellStyle name="Normal 28 5 5 3" xfId="32384" xr:uid="{DCAD107D-5041-49C0-B1F6-A3A8A9F5533D}"/>
    <cellStyle name="Normal 28 5 5 4" xfId="32385" xr:uid="{D4EE2680-6999-4191-B635-7904A2D6A115}"/>
    <cellStyle name="Normal 28 5 5 5" xfId="32386" xr:uid="{D84F4B0D-871A-4FFC-8FC5-356DE09AACEB}"/>
    <cellStyle name="Normal 28 5 5 6" xfId="32387" xr:uid="{5481D6EE-5DDD-42D3-A723-9F7A10162FA2}"/>
    <cellStyle name="Normal 28 5 6" xfId="32388" xr:uid="{643E04F2-55AF-4A98-AF2B-17B09A3907CB}"/>
    <cellStyle name="Normal 28 5 6 2" xfId="32389" xr:uid="{8D9DE536-7B2D-4A96-A26A-85C60F6645A9}"/>
    <cellStyle name="Normal 28 5 6 3" xfId="32390" xr:uid="{F1F75799-7221-4C23-A891-5103A33104F1}"/>
    <cellStyle name="Normal 28 5 6 4" xfId="32391" xr:uid="{E3F9F910-FD26-4FB6-9F11-F5B5E5022B37}"/>
    <cellStyle name="Normal 28 5 6 5" xfId="32392" xr:uid="{A7459FC2-0ADC-4764-84F2-46B64E9146EC}"/>
    <cellStyle name="Normal 28 5 6 6" xfId="32393" xr:uid="{10E2684D-9998-460B-BCC4-43DD353B6528}"/>
    <cellStyle name="Normal 28 5 7" xfId="32394" xr:uid="{B4E4F9A2-C5A7-4204-A007-2A5328F6071B}"/>
    <cellStyle name="Normal 28 5 7 2" xfId="32395" xr:uid="{46DE23A4-F0B7-495D-BBC8-193669D6DF4C}"/>
    <cellStyle name="Normal 28 5 7 3" xfId="32396" xr:uid="{D1D025E2-A513-4CBA-B072-F2DD06406EE4}"/>
    <cellStyle name="Normal 28 5 7 4" xfId="32397" xr:uid="{B6534ACA-57D8-4EF6-B8B9-02765AF35D2C}"/>
    <cellStyle name="Normal 28 5 7 5" xfId="32398" xr:uid="{EA22D3F1-1352-45B2-87A2-DCEE5D6340A2}"/>
    <cellStyle name="Normal 28 5 7 6" xfId="32399" xr:uid="{2A3E9F86-B052-4279-94D3-E1CC99BAF3A6}"/>
    <cellStyle name="Normal 28 5 8" xfId="32400" xr:uid="{291F0240-4F6D-452B-8808-5DE76B085A43}"/>
    <cellStyle name="Normal 28 5 8 2" xfId="32401" xr:uid="{743EF3B7-34DC-4F27-AE97-203D05279B1E}"/>
    <cellStyle name="Normal 28 5 8 3" xfId="32402" xr:uid="{AB1B0DF3-61A1-48ED-B351-0783E986BB2B}"/>
    <cellStyle name="Normal 28 5 8 4" xfId="32403" xr:uid="{3C8E7365-DF0D-4447-8692-E612CC84903C}"/>
    <cellStyle name="Normal 28 5 8 5" xfId="32404" xr:uid="{42720290-26BE-41C8-BAA8-9801E32677D0}"/>
    <cellStyle name="Normal 28 5 8 6" xfId="32405" xr:uid="{1AFC24D5-5104-46B8-B93E-00CA590C72E9}"/>
    <cellStyle name="Normal 28 5 9" xfId="32406" xr:uid="{1A5B8855-5240-467F-8831-B00FF53695D4}"/>
    <cellStyle name="Normal 28 6" xfId="32407" xr:uid="{3D9FB703-1A15-4CF1-8937-D7EBC60F6406}"/>
    <cellStyle name="Normal 28 6 10" xfId="32408" xr:uid="{B836D41A-90F9-4E92-9215-7CF7A938BD4B}"/>
    <cellStyle name="Normal 28 6 11" xfId="32409" xr:uid="{88E0DC05-43B1-4A9D-A04B-DD02A741B968}"/>
    <cellStyle name="Normal 28 6 12" xfId="32410" xr:uid="{EB6B0FC2-AE2C-4371-B1E7-6CEB305C96F1}"/>
    <cellStyle name="Normal 28 6 13" xfId="32411" xr:uid="{E4B3B73A-C866-4A61-849C-77C2F20A1DEE}"/>
    <cellStyle name="Normal 28 6 2" xfId="32412" xr:uid="{338E01A5-BAA1-4B2E-8D1A-E75B0B6DB0CC}"/>
    <cellStyle name="Normal 28 6 2 2" xfId="32413" xr:uid="{FDE30988-8F69-4DC0-BF6F-34A1F3194A50}"/>
    <cellStyle name="Normal 28 6 2 3" xfId="32414" xr:uid="{E5BB7E23-A4AB-4714-B600-E6E564A206F7}"/>
    <cellStyle name="Normal 28 6 2 4" xfId="32415" xr:uid="{7FFB9584-4528-410D-8EC6-3B28E262A479}"/>
    <cellStyle name="Normal 28 6 2 5" xfId="32416" xr:uid="{95800234-C368-48C5-A93B-92CF0AA2D8E4}"/>
    <cellStyle name="Normal 28 6 2 6" xfId="32417" xr:uid="{C98289EF-57B3-4896-B802-75A821124C14}"/>
    <cellStyle name="Normal 28 6 3" xfId="32418" xr:uid="{404AC8D9-A9FD-42D6-B638-E85E947CFB50}"/>
    <cellStyle name="Normal 28 6 3 2" xfId="32419" xr:uid="{2BA47DCB-68F8-44A6-8D3B-39F0A482BD29}"/>
    <cellStyle name="Normal 28 6 3 3" xfId="32420" xr:uid="{7226D82D-CF66-46B3-AB7A-6338F0AC56A3}"/>
    <cellStyle name="Normal 28 6 3 4" xfId="32421" xr:uid="{4F1F94A8-8F78-4226-AA26-B52DBD3BB57C}"/>
    <cellStyle name="Normal 28 6 3 5" xfId="32422" xr:uid="{B715F42C-275F-489D-8366-3203074A9746}"/>
    <cellStyle name="Normal 28 6 3 6" xfId="32423" xr:uid="{3CD604F1-1BE5-4DFF-AB54-6A228E986349}"/>
    <cellStyle name="Normal 28 6 4" xfId="32424" xr:uid="{2FAE2763-AED5-4FB3-A231-0DAE59BAE976}"/>
    <cellStyle name="Normal 28 6 4 2" xfId="32425" xr:uid="{9184407C-E1BF-42A2-9DDE-7CF968B52B23}"/>
    <cellStyle name="Normal 28 6 4 3" xfId="32426" xr:uid="{5E686192-2BCF-4C1C-97BE-5C211F0AAAC6}"/>
    <cellStyle name="Normal 28 6 4 4" xfId="32427" xr:uid="{C262EF3F-8807-467C-94BE-F8BE0E7FACDF}"/>
    <cellStyle name="Normal 28 6 4 5" xfId="32428" xr:uid="{568D635A-A597-4ED1-92A1-1D9AD42E5F0E}"/>
    <cellStyle name="Normal 28 6 4 6" xfId="32429" xr:uid="{0FC39176-8A89-4B36-8AEC-4DC5F0409A75}"/>
    <cellStyle name="Normal 28 6 5" xfId="32430" xr:uid="{9D1E3114-4702-45C5-87A8-E4D48C5243F9}"/>
    <cellStyle name="Normal 28 6 5 2" xfId="32431" xr:uid="{EF357308-B9C6-42D9-BB05-52D8BFBF09ED}"/>
    <cellStyle name="Normal 28 6 5 3" xfId="32432" xr:uid="{8D92FAAA-00C0-4DCC-9ADF-72BFC50D4118}"/>
    <cellStyle name="Normal 28 6 5 4" xfId="32433" xr:uid="{8BDF2993-4CC9-4890-96BA-EEA19D73FAA3}"/>
    <cellStyle name="Normal 28 6 5 5" xfId="32434" xr:uid="{D50041A1-E351-49B6-B871-CE365310180A}"/>
    <cellStyle name="Normal 28 6 5 6" xfId="32435" xr:uid="{4BD677F7-A4CE-41F8-9B15-961C630C20D1}"/>
    <cellStyle name="Normal 28 6 6" xfId="32436" xr:uid="{3A11C256-4254-4211-8A87-4528452D1BD9}"/>
    <cellStyle name="Normal 28 6 6 2" xfId="32437" xr:uid="{C0199E2B-4805-43AE-AA3F-8D8EB6A3A726}"/>
    <cellStyle name="Normal 28 6 6 3" xfId="32438" xr:uid="{4A4B16B6-4BB4-4A59-AAB1-9F23EA7347CC}"/>
    <cellStyle name="Normal 28 6 6 4" xfId="32439" xr:uid="{1F36AEDA-4D99-44FE-8A1E-DB4118E8DDA6}"/>
    <cellStyle name="Normal 28 6 6 5" xfId="32440" xr:uid="{8201E5B9-8278-4045-B20E-B6513B199829}"/>
    <cellStyle name="Normal 28 6 6 6" xfId="32441" xr:uid="{F86CBC1E-F817-4B76-8504-36DC9F282E33}"/>
    <cellStyle name="Normal 28 6 7" xfId="32442" xr:uid="{31BBB3F0-CC1D-428C-9534-8F462C5BCD69}"/>
    <cellStyle name="Normal 28 6 7 2" xfId="32443" xr:uid="{3CDC9384-FC6D-4F69-99EE-78DEBF17349F}"/>
    <cellStyle name="Normal 28 6 7 3" xfId="32444" xr:uid="{35F08CC6-1C7E-4C52-BC51-160FA02B30AE}"/>
    <cellStyle name="Normal 28 6 7 4" xfId="32445" xr:uid="{79D5E431-BFAA-4894-9043-C3E71787BCDF}"/>
    <cellStyle name="Normal 28 6 7 5" xfId="32446" xr:uid="{CEDE3531-71A7-4B73-91BC-0BDCE42062E5}"/>
    <cellStyle name="Normal 28 6 7 6" xfId="32447" xr:uid="{E204BAE7-B83D-4F42-89AC-F21EDC48C3BC}"/>
    <cellStyle name="Normal 28 6 8" xfId="32448" xr:uid="{5339180F-E874-45C9-96ED-1DFA7233092D}"/>
    <cellStyle name="Normal 28 6 8 2" xfId="32449" xr:uid="{03082253-9ADC-492E-B4E5-A8AFFF9BCC5E}"/>
    <cellStyle name="Normal 28 6 8 3" xfId="32450" xr:uid="{0E82891B-50BA-4577-A6A4-A105D696188E}"/>
    <cellStyle name="Normal 28 6 8 4" xfId="32451" xr:uid="{7FCB0BD3-D764-4C9E-A03D-DF96DADC6CA0}"/>
    <cellStyle name="Normal 28 6 8 5" xfId="32452" xr:uid="{E4F24755-0AEE-4483-B456-8597FFFB3461}"/>
    <cellStyle name="Normal 28 6 8 6" xfId="32453" xr:uid="{CE084280-1C38-49C0-BCA5-C544153C5463}"/>
    <cellStyle name="Normal 28 6 9" xfId="32454" xr:uid="{1F5D3410-A396-449F-AB84-DB2C3EE23886}"/>
    <cellStyle name="Normal 28 7" xfId="32455" xr:uid="{ACD051ED-7E0A-4B9E-B304-EEFB9497F09E}"/>
    <cellStyle name="Normal 28 7 10" xfId="32456" xr:uid="{EA30F1BB-AD63-4F3D-B1BE-7CF6F1E4F153}"/>
    <cellStyle name="Normal 28 7 11" xfId="32457" xr:uid="{E1277BE8-8AA1-49D9-A520-50FB3C7B52A3}"/>
    <cellStyle name="Normal 28 7 12" xfId="32458" xr:uid="{8CB6EA4E-04CA-46BC-9CAB-FE7C824805C5}"/>
    <cellStyle name="Normal 28 7 13" xfId="32459" xr:uid="{C4DCCD88-C008-4963-A4BB-0D2DCE1B2DED}"/>
    <cellStyle name="Normal 28 7 2" xfId="32460" xr:uid="{CCEF671C-AC1C-4783-9E99-F6AAF967751B}"/>
    <cellStyle name="Normal 28 7 2 2" xfId="32461" xr:uid="{2769114D-D512-44C7-9E4B-4F43D3273412}"/>
    <cellStyle name="Normal 28 7 2 3" xfId="32462" xr:uid="{7962C16F-9100-48CD-8866-D9B2BBD15E75}"/>
    <cellStyle name="Normal 28 7 2 4" xfId="32463" xr:uid="{8BE52F7E-FD47-4AC8-9DDE-46437F308A9C}"/>
    <cellStyle name="Normal 28 7 2 5" xfId="32464" xr:uid="{D17D42F2-F118-4729-9628-3147F139EDA5}"/>
    <cellStyle name="Normal 28 7 2 6" xfId="32465" xr:uid="{09087D9A-1848-4620-8F45-993280BE875C}"/>
    <cellStyle name="Normal 28 7 3" xfId="32466" xr:uid="{6E36B3CA-03DA-46AE-B611-355C3ADB4060}"/>
    <cellStyle name="Normal 28 7 3 2" xfId="32467" xr:uid="{690EEB85-8119-49F9-A665-CAED3BA84717}"/>
    <cellStyle name="Normal 28 7 3 3" xfId="32468" xr:uid="{3294C54F-2C71-4A1B-BF3A-560A61B8A04A}"/>
    <cellStyle name="Normal 28 7 3 4" xfId="32469" xr:uid="{E0DE9F39-E0F8-4ED1-8CE7-6C8D623B469E}"/>
    <cellStyle name="Normal 28 7 3 5" xfId="32470" xr:uid="{F748E954-5821-4E43-8337-DA69062C2336}"/>
    <cellStyle name="Normal 28 7 3 6" xfId="32471" xr:uid="{3EBFA843-B260-4639-B176-33DDDE940953}"/>
    <cellStyle name="Normal 28 7 4" xfId="32472" xr:uid="{FA952127-4391-47E1-B57C-575B4F2F3891}"/>
    <cellStyle name="Normal 28 7 4 2" xfId="32473" xr:uid="{D4BB9973-B91B-40F6-8E5F-33A77B7C13A8}"/>
    <cellStyle name="Normal 28 7 4 3" xfId="32474" xr:uid="{40ABBA3B-965C-41E7-9A41-2CDCA1FA50EA}"/>
    <cellStyle name="Normal 28 7 4 4" xfId="32475" xr:uid="{5A31BD32-7DD5-47B8-81EF-F5180B19E910}"/>
    <cellStyle name="Normal 28 7 4 5" xfId="32476" xr:uid="{6417B009-D411-4ED1-9233-F90A68DA3DB4}"/>
    <cellStyle name="Normal 28 7 4 6" xfId="32477" xr:uid="{5B8DF85F-8C75-4636-8E42-651B65D3D8D5}"/>
    <cellStyle name="Normal 28 7 5" xfId="32478" xr:uid="{50B2E455-9EEB-40FA-8423-4A167B442388}"/>
    <cellStyle name="Normal 28 7 5 2" xfId="32479" xr:uid="{E4759BAF-9FDA-4241-B7E5-53CB5CB07EDB}"/>
    <cellStyle name="Normal 28 7 5 3" xfId="32480" xr:uid="{B27048EC-4352-4865-AD35-8836E8681861}"/>
    <cellStyle name="Normal 28 7 5 4" xfId="32481" xr:uid="{65F9E2AD-AA34-4113-AF2C-BF30EF683FF0}"/>
    <cellStyle name="Normal 28 7 5 5" xfId="32482" xr:uid="{9D9285FC-E532-440C-908C-13F62875568A}"/>
    <cellStyle name="Normal 28 7 5 6" xfId="32483" xr:uid="{32018B54-2815-477A-82BC-CE01AF367CD2}"/>
    <cellStyle name="Normal 28 7 6" xfId="32484" xr:uid="{333BE32B-C024-42C7-B7A7-227A57FFA1F1}"/>
    <cellStyle name="Normal 28 7 6 2" xfId="32485" xr:uid="{86B9EA23-5880-4824-962E-2ED8D17855CC}"/>
    <cellStyle name="Normal 28 7 6 3" xfId="32486" xr:uid="{5A034913-DF9B-4AE6-9F72-A8ACE24E7112}"/>
    <cellStyle name="Normal 28 7 6 4" xfId="32487" xr:uid="{FCBDCCCE-E18A-4C4C-A5E5-94EA30185041}"/>
    <cellStyle name="Normal 28 7 6 5" xfId="32488" xr:uid="{20A15EC9-0C39-42D9-81DD-A931EABB628E}"/>
    <cellStyle name="Normal 28 7 6 6" xfId="32489" xr:uid="{FDBCA33B-3971-4771-B582-BD963237B958}"/>
    <cellStyle name="Normal 28 7 7" xfId="32490" xr:uid="{264A6E66-DEFE-41B2-82AF-ADA0D65A3B83}"/>
    <cellStyle name="Normal 28 7 7 2" xfId="32491" xr:uid="{6F0C735B-4FFB-4228-8247-9AF105AC5886}"/>
    <cellStyle name="Normal 28 7 7 3" xfId="32492" xr:uid="{08AC6F36-C632-4610-8031-7C759C99DC98}"/>
    <cellStyle name="Normal 28 7 7 4" xfId="32493" xr:uid="{AB21803C-CC25-4D08-82B0-C589257F1C2F}"/>
    <cellStyle name="Normal 28 7 7 5" xfId="32494" xr:uid="{68C54FF3-BA2D-4F5F-B6CE-7828045EAFA1}"/>
    <cellStyle name="Normal 28 7 7 6" xfId="32495" xr:uid="{51661730-7578-49DD-AEB9-2B3A9239644C}"/>
    <cellStyle name="Normal 28 7 8" xfId="32496" xr:uid="{41309101-0A7E-477B-B450-4C9E27EEC117}"/>
    <cellStyle name="Normal 28 7 8 2" xfId="32497" xr:uid="{D92BFACF-7BDE-4529-8AD9-2A4E2FC39BA6}"/>
    <cellStyle name="Normal 28 7 8 3" xfId="32498" xr:uid="{596B2E68-4120-4019-BB79-4BBCBD5CA845}"/>
    <cellStyle name="Normal 28 7 8 4" xfId="32499" xr:uid="{6F6FCA3D-5C4A-4EA4-BAA3-B9E553CB335E}"/>
    <cellStyle name="Normal 28 7 8 5" xfId="32500" xr:uid="{E367AB41-4705-49CC-9F39-20AE96CA9336}"/>
    <cellStyle name="Normal 28 7 8 6" xfId="32501" xr:uid="{911298D6-8D0A-4B83-88CC-A70BBAE0FD3B}"/>
    <cellStyle name="Normal 28 7 9" xfId="32502" xr:uid="{DC5485B9-3E1A-4943-B9B7-F73BF58BE7B8}"/>
    <cellStyle name="Normal 28 8" xfId="32503" xr:uid="{5D10900A-8929-4904-8268-F6B7204E4726}"/>
    <cellStyle name="Normal 28 8 10" xfId="32504" xr:uid="{0EB33BEA-F1FD-4647-AB2F-052679136DFF}"/>
    <cellStyle name="Normal 28 8 11" xfId="32505" xr:uid="{DF346D1F-5C82-4B7C-A5C7-1E824E95F4AF}"/>
    <cellStyle name="Normal 28 8 12" xfId="32506" xr:uid="{BFF7749F-E943-4E7C-9B50-CF398A7BDB94}"/>
    <cellStyle name="Normal 28 8 13" xfId="32507" xr:uid="{C90C5360-676F-431A-A635-E9A8913B55E0}"/>
    <cellStyle name="Normal 28 8 2" xfId="32508" xr:uid="{FEABCAA1-6E50-4C75-A439-B232A5A8AE6E}"/>
    <cellStyle name="Normal 28 8 2 2" xfId="32509" xr:uid="{4F5EA10A-6C02-4AC9-9120-32024AD8C3A4}"/>
    <cellStyle name="Normal 28 8 2 3" xfId="32510" xr:uid="{F8EFBB6E-669D-44DC-80C7-C9D2D09D6C03}"/>
    <cellStyle name="Normal 28 8 2 4" xfId="32511" xr:uid="{0EA07D0D-34A4-41FB-962D-5D5566AECE78}"/>
    <cellStyle name="Normal 28 8 2 5" xfId="32512" xr:uid="{4AA32277-0B5B-4064-9850-3A4EDD241A32}"/>
    <cellStyle name="Normal 28 8 2 6" xfId="32513" xr:uid="{698308B7-DD20-49CB-9B22-C6BA3EA5A3A5}"/>
    <cellStyle name="Normal 28 8 3" xfId="32514" xr:uid="{29BED0F5-F5A3-4D44-B129-4316CEDAB8CA}"/>
    <cellStyle name="Normal 28 8 3 2" xfId="32515" xr:uid="{8407FDC1-6B8B-4827-BBC2-FE81BD15922E}"/>
    <cellStyle name="Normal 28 8 3 3" xfId="32516" xr:uid="{8CAD2C02-A5B0-47D3-8CF9-B5568968284F}"/>
    <cellStyle name="Normal 28 8 3 4" xfId="32517" xr:uid="{11031E33-680B-4C2C-ADC7-4F7360324399}"/>
    <cellStyle name="Normal 28 8 3 5" xfId="32518" xr:uid="{ADB94378-CC01-4CD8-B585-38EE1EDE55E7}"/>
    <cellStyle name="Normal 28 8 3 6" xfId="32519" xr:uid="{1E53DDCF-C5FD-45F5-8699-010ACA546257}"/>
    <cellStyle name="Normal 28 8 4" xfId="32520" xr:uid="{7E12290F-3278-451C-9C07-F4A61277D44C}"/>
    <cellStyle name="Normal 28 8 4 2" xfId="32521" xr:uid="{C070EB10-940B-41AA-A2A5-1CB81652109A}"/>
    <cellStyle name="Normal 28 8 4 3" xfId="32522" xr:uid="{051FA672-1BFD-4AD6-8112-B51F23CC6FDA}"/>
    <cellStyle name="Normal 28 8 4 4" xfId="32523" xr:uid="{903FF46F-EF84-4A61-9F7D-20951023A2ED}"/>
    <cellStyle name="Normal 28 8 4 5" xfId="32524" xr:uid="{053A2E72-ABC1-4374-9840-512C79DAC550}"/>
    <cellStyle name="Normal 28 8 4 6" xfId="32525" xr:uid="{51E42350-88C1-42B1-9FFF-A9498AC9846D}"/>
    <cellStyle name="Normal 28 8 5" xfId="32526" xr:uid="{DC673A90-E5FF-44A0-992B-71D790C39D81}"/>
    <cellStyle name="Normal 28 8 5 2" xfId="32527" xr:uid="{5793C888-E674-4C87-B53E-CA96DC2E30A2}"/>
    <cellStyle name="Normal 28 8 5 3" xfId="32528" xr:uid="{D1AC9D98-A4AE-42E4-8674-81F0D0E8CF0D}"/>
    <cellStyle name="Normal 28 8 5 4" xfId="32529" xr:uid="{C964500B-1E6E-4BD6-AFB0-187B650F4DC9}"/>
    <cellStyle name="Normal 28 8 5 5" xfId="32530" xr:uid="{B6862227-D046-47D8-9711-B646EDF4E837}"/>
    <cellStyle name="Normal 28 8 5 6" xfId="32531" xr:uid="{63353E43-7092-476D-964E-B69BA3EB0A72}"/>
    <cellStyle name="Normal 28 8 6" xfId="32532" xr:uid="{31CB68E1-0C9A-479C-AD22-E06C4A24ABA0}"/>
    <cellStyle name="Normal 28 8 6 2" xfId="32533" xr:uid="{1B950F59-FD33-45CC-9C1F-DC496637E5B2}"/>
    <cellStyle name="Normal 28 8 6 3" xfId="32534" xr:uid="{05D4C597-198A-406F-9C16-4988DDD053CF}"/>
    <cellStyle name="Normal 28 8 6 4" xfId="32535" xr:uid="{C1AC2515-9761-4817-9EC4-F3056697857A}"/>
    <cellStyle name="Normal 28 8 6 5" xfId="32536" xr:uid="{47D6D82A-33A9-49CE-A7DF-CAD0D4B21F68}"/>
    <cellStyle name="Normal 28 8 6 6" xfId="32537" xr:uid="{BBAAF048-F55F-49D9-9CE0-313A0D805522}"/>
    <cellStyle name="Normal 28 8 7" xfId="32538" xr:uid="{A962EFCB-F454-4C72-ABB4-8742C0DED89B}"/>
    <cellStyle name="Normal 28 8 7 2" xfId="32539" xr:uid="{037D0A79-E490-4A09-940A-EDBAA8594FE9}"/>
    <cellStyle name="Normal 28 8 7 3" xfId="32540" xr:uid="{9DD02AE9-6884-4ACC-A761-D8CC80A96E4E}"/>
    <cellStyle name="Normal 28 8 7 4" xfId="32541" xr:uid="{0E7B6BAF-A928-4410-99CD-56FFFAAB4A17}"/>
    <cellStyle name="Normal 28 8 7 5" xfId="32542" xr:uid="{BDF19D9E-C258-411C-8968-45C9FE613506}"/>
    <cellStyle name="Normal 28 8 7 6" xfId="32543" xr:uid="{7D9CA760-9C48-4B65-944B-FF8C1C848849}"/>
    <cellStyle name="Normal 28 8 8" xfId="32544" xr:uid="{8C9E08C7-1F11-4E97-A312-4EB42A368F46}"/>
    <cellStyle name="Normal 28 8 8 2" xfId="32545" xr:uid="{248B1AE8-6DAF-4296-BE28-102B91D0FA82}"/>
    <cellStyle name="Normal 28 8 8 3" xfId="32546" xr:uid="{723661B8-D6F5-49A6-A935-089F73676F97}"/>
    <cellStyle name="Normal 28 8 8 4" xfId="32547" xr:uid="{39C7B42F-8DAC-435A-8403-4557A7EE84C3}"/>
    <cellStyle name="Normal 28 8 8 5" xfId="32548" xr:uid="{B57E0E1D-9FCE-42AD-ABBD-4A99F143A35B}"/>
    <cellStyle name="Normal 28 8 8 6" xfId="32549" xr:uid="{83202370-D143-4F5D-92B9-F1D689B2882E}"/>
    <cellStyle name="Normal 28 8 9" xfId="32550" xr:uid="{04270E06-90BF-41DD-ABF2-78EF9B5A805F}"/>
    <cellStyle name="Normal 28 9" xfId="32551" xr:uid="{E93196E0-B86F-4578-8467-1C48FD0CCD03}"/>
    <cellStyle name="Normal 28 9 10" xfId="32552" xr:uid="{807B6031-1B54-471F-90E3-AA9CF40C99D5}"/>
    <cellStyle name="Normal 28 9 11" xfId="32553" xr:uid="{1214CD4C-C7FA-47EC-B379-9EA05952D268}"/>
    <cellStyle name="Normal 28 9 12" xfId="32554" xr:uid="{2D073B11-E6AE-4803-83F5-35770F7FBA12}"/>
    <cellStyle name="Normal 28 9 13" xfId="32555" xr:uid="{1A12C6B9-8D1A-4CCE-A9CD-9727DA167653}"/>
    <cellStyle name="Normal 28 9 2" xfId="32556" xr:uid="{D8400367-F857-460D-B02E-BE3998FFF584}"/>
    <cellStyle name="Normal 28 9 2 2" xfId="32557" xr:uid="{540AF2BD-B19C-43E6-9953-95593E0ADE0B}"/>
    <cellStyle name="Normal 28 9 2 3" xfId="32558" xr:uid="{E2873478-D792-4293-83D2-2A00B4E6820D}"/>
    <cellStyle name="Normal 28 9 2 4" xfId="32559" xr:uid="{BE254785-D11E-459A-BCF5-25B0E5BC6DB6}"/>
    <cellStyle name="Normal 28 9 2 5" xfId="32560" xr:uid="{AF0A521D-675C-4F8A-893F-A249A566E6CE}"/>
    <cellStyle name="Normal 28 9 2 6" xfId="32561" xr:uid="{1E24DC2C-196B-46EF-A96F-A15E2624CF0E}"/>
    <cellStyle name="Normal 28 9 3" xfId="32562" xr:uid="{19DAD784-FD89-48E1-87F8-53717A71BF5D}"/>
    <cellStyle name="Normal 28 9 3 2" xfId="32563" xr:uid="{54945C5A-71CB-43E4-97BB-C46430AF4CB7}"/>
    <cellStyle name="Normal 28 9 3 3" xfId="32564" xr:uid="{D19D5E5E-22D2-4091-8342-1F67FC140B4C}"/>
    <cellStyle name="Normal 28 9 3 4" xfId="32565" xr:uid="{CA9C1C8E-1EF2-468A-AE8A-6CE7C1DB7130}"/>
    <cellStyle name="Normal 28 9 3 5" xfId="32566" xr:uid="{1EA49FB2-8C32-4BA8-91E6-1ED284FAC90B}"/>
    <cellStyle name="Normal 28 9 3 6" xfId="32567" xr:uid="{408994FE-E978-4525-A89B-46632165F078}"/>
    <cellStyle name="Normal 28 9 4" xfId="32568" xr:uid="{6EC703C6-712F-436F-AC66-C57F3ED36624}"/>
    <cellStyle name="Normal 28 9 4 2" xfId="32569" xr:uid="{FECD11E8-68E4-424C-BF55-F072FB2EF705}"/>
    <cellStyle name="Normal 28 9 4 3" xfId="32570" xr:uid="{6E2A1E44-1A9B-4F45-ADD0-37613CDC475A}"/>
    <cellStyle name="Normal 28 9 4 4" xfId="32571" xr:uid="{BAD50ECC-8878-48AC-8388-083A8A743DF4}"/>
    <cellStyle name="Normal 28 9 4 5" xfId="32572" xr:uid="{6D86FBB7-AA78-429B-A11F-AA280D9ED8D2}"/>
    <cellStyle name="Normal 28 9 4 6" xfId="32573" xr:uid="{B95B4321-FBBB-4D0B-ACAB-2E1AA8F961D7}"/>
    <cellStyle name="Normal 28 9 5" xfId="32574" xr:uid="{5753642C-ACB4-4884-969D-84F924D65323}"/>
    <cellStyle name="Normal 28 9 5 2" xfId="32575" xr:uid="{FC3F0D4A-6517-4195-9B05-D34733298D15}"/>
    <cellStyle name="Normal 28 9 5 3" xfId="32576" xr:uid="{5F5B78AD-53A6-4BB6-94D9-134C0E3E494F}"/>
    <cellStyle name="Normal 28 9 5 4" xfId="32577" xr:uid="{D0C04E73-D001-4176-9C90-EDA06C6C5D4B}"/>
    <cellStyle name="Normal 28 9 5 5" xfId="32578" xr:uid="{A2843613-7299-431C-8353-F9E49F1367A9}"/>
    <cellStyle name="Normal 28 9 5 6" xfId="32579" xr:uid="{BB108B8E-1A95-434E-9349-3C6FC308C86F}"/>
    <cellStyle name="Normal 28 9 6" xfId="32580" xr:uid="{AE7BAD59-736B-4EDB-AD11-BF5FF0E43F57}"/>
    <cellStyle name="Normal 28 9 6 2" xfId="32581" xr:uid="{8A0569AF-B0FE-47B3-BB8A-5CCFBFDF6804}"/>
    <cellStyle name="Normal 28 9 6 3" xfId="32582" xr:uid="{01CB75EC-7987-4C29-9CDA-8C57BA1C3522}"/>
    <cellStyle name="Normal 28 9 6 4" xfId="32583" xr:uid="{EECF48F7-85C1-49C7-9C94-5EAE5ABE25C6}"/>
    <cellStyle name="Normal 28 9 6 5" xfId="32584" xr:uid="{CECD31B1-B8D1-4148-AFCB-CB6E1AB174BD}"/>
    <cellStyle name="Normal 28 9 6 6" xfId="32585" xr:uid="{8FA56A77-9D75-4F78-9D68-B1922205DA93}"/>
    <cellStyle name="Normal 28 9 7" xfId="32586" xr:uid="{9A61B715-9068-4556-A383-E5F553B723B5}"/>
    <cellStyle name="Normal 28 9 7 2" xfId="32587" xr:uid="{11CF2594-C28A-41A5-A2CB-8B3156E3642F}"/>
    <cellStyle name="Normal 28 9 7 3" xfId="32588" xr:uid="{57785243-AACE-4493-BD21-8D5DD1F8A3A4}"/>
    <cellStyle name="Normal 28 9 7 4" xfId="32589" xr:uid="{08C1DC73-A6A9-4E3F-BD0E-743DD7299FBD}"/>
    <cellStyle name="Normal 28 9 7 5" xfId="32590" xr:uid="{580F0A8D-6981-49F9-ACC4-2510CEA8ACB7}"/>
    <cellStyle name="Normal 28 9 7 6" xfId="32591" xr:uid="{EC1EDC0F-05A2-4918-A9C7-373EBA8BAD12}"/>
    <cellStyle name="Normal 28 9 8" xfId="32592" xr:uid="{E85C19F3-02E1-4806-8A7A-2DC27A4160E7}"/>
    <cellStyle name="Normal 28 9 8 2" xfId="32593" xr:uid="{B7CA2203-2768-4D05-80DE-2BC53632F3E1}"/>
    <cellStyle name="Normal 28 9 8 3" xfId="32594" xr:uid="{CCE4E438-A275-4E8B-A431-1DFD30C6A79D}"/>
    <cellStyle name="Normal 28 9 8 4" xfId="32595" xr:uid="{3E242EEB-B5F9-4F2C-AFA7-83992F202307}"/>
    <cellStyle name="Normal 28 9 8 5" xfId="32596" xr:uid="{F57737EE-8EAF-4F1B-B0A1-12C04A6E1416}"/>
    <cellStyle name="Normal 28 9 8 6" xfId="32597" xr:uid="{272264C2-C34E-4077-A13A-3AAD6535B8CF}"/>
    <cellStyle name="Normal 28 9 9" xfId="32598" xr:uid="{1F3E5EAF-1B6A-42AA-8AC0-E2EE4FD7863A}"/>
    <cellStyle name="Normal 29" xfId="32599" xr:uid="{F16508F5-7334-4D76-B010-2162679AA7D4}"/>
    <cellStyle name="Normal 29 10" xfId="32600" xr:uid="{CBB93381-6764-4E04-8457-6E8B7DEEAEB2}"/>
    <cellStyle name="Normal 29 11" xfId="32601" xr:uid="{07E224F4-47CC-49DE-B97E-C5E552B15CE6}"/>
    <cellStyle name="Normal 29 12" xfId="32602" xr:uid="{5F7B6B4A-BC12-4F11-BF80-7CFC39B00930}"/>
    <cellStyle name="Normal 29 13" xfId="32603" xr:uid="{DACAF680-8651-4395-AA13-BAB8A813BEAE}"/>
    <cellStyle name="Normal 29 14" xfId="32604" xr:uid="{6DD30915-4E57-4EC7-8895-9CC8BF147B1D}"/>
    <cellStyle name="Normal 29 15" xfId="32605" xr:uid="{8FCD2271-7BA8-4F47-8684-EDD0ED19FAF3}"/>
    <cellStyle name="Normal 29 16" xfId="32606" xr:uid="{FC90DFD9-D73B-43A1-AE9F-CCB6C6721BDB}"/>
    <cellStyle name="Normal 29 17" xfId="32607" xr:uid="{47BF1EAF-F0B1-41CC-A301-DE8098861010}"/>
    <cellStyle name="Normal 29 18" xfId="32608" xr:uid="{5681BA04-2B9F-4B08-B08C-47630C82DFF4}"/>
    <cellStyle name="Normal 29 19" xfId="32609" xr:uid="{122E5898-C1D9-40E4-8021-5DCBD411B367}"/>
    <cellStyle name="Normal 29 2" xfId="32610" xr:uid="{17BD8038-41C5-409A-91C4-0DA9BDCBF5BF}"/>
    <cellStyle name="Normal 29 20" xfId="32611" xr:uid="{952FB4C7-D399-4A57-86B1-4FBBCA361ABE}"/>
    <cellStyle name="Normal 29 21" xfId="32612" xr:uid="{4A6BFDEF-24FC-440E-BB55-67635967BAB8}"/>
    <cellStyle name="Normal 29 22" xfId="32613" xr:uid="{D40AB3E9-67E4-4A2C-A7D2-4668D20A96B3}"/>
    <cellStyle name="Normal 29 23" xfId="32614" xr:uid="{447336EC-46B5-4D64-9C59-B61E807A12B3}"/>
    <cellStyle name="Normal 29 24" xfId="32615" xr:uid="{523D58D5-7946-4C1A-8957-08422A60BC5C}"/>
    <cellStyle name="Normal 29 25" xfId="32616" xr:uid="{E556AE0C-0EC7-471F-ACA0-38F2658F6BAA}"/>
    <cellStyle name="Normal 29 26" xfId="32617" xr:uid="{6D982A90-D286-46B1-BD1F-3AAA34FB1F5B}"/>
    <cellStyle name="Normal 29 27" xfId="32618" xr:uid="{FA413DE8-F81D-4BFC-BEE2-73917FE322E4}"/>
    <cellStyle name="Normal 29 28" xfId="32619" xr:uid="{CF96CD9D-9530-40C4-B4C3-05B91249803C}"/>
    <cellStyle name="Normal 29 29" xfId="32620" xr:uid="{FD3A75A4-D554-435A-A412-86B74387F092}"/>
    <cellStyle name="Normal 29 3" xfId="32621" xr:uid="{A23B9B06-28DA-427F-8229-455398923E96}"/>
    <cellStyle name="Normal 29 30" xfId="32622" xr:uid="{AEFEE15C-FB0E-456C-BD7D-576F0B6854DD}"/>
    <cellStyle name="Normal 29 31" xfId="32623" xr:uid="{9668F1F3-2817-4335-A777-B246C9DD5BA0}"/>
    <cellStyle name="Normal 29 32" xfId="32624" xr:uid="{6196FC5E-A916-4098-88AA-32ADE9C49E11}"/>
    <cellStyle name="Normal 29 33" xfId="32625" xr:uid="{9A1C41B7-1A7D-45A2-B957-AE015148094A}"/>
    <cellStyle name="Normal 29 34" xfId="32626" xr:uid="{D01E0505-5E36-4C63-8D88-6D14A74E0F76}"/>
    <cellStyle name="Normal 29 35" xfId="32627" xr:uid="{264A70E4-CBC1-4847-BD5F-1ECD24636DE8}"/>
    <cellStyle name="Normal 29 36" xfId="32628" xr:uid="{71B408D7-60B3-40A0-A169-2B5C6F79AB82}"/>
    <cellStyle name="Normal 29 37" xfId="32629" xr:uid="{DB65CE9D-78B5-479B-8B74-E673A7DEE696}"/>
    <cellStyle name="Normal 29 38" xfId="32630" xr:uid="{EF497FA4-20A2-4F6C-B17A-C79629A70DEF}"/>
    <cellStyle name="Normal 29 39" xfId="32631" xr:uid="{C2AE9BB9-33B6-4C2C-81D0-177280781B54}"/>
    <cellStyle name="Normal 29 4" xfId="32632" xr:uid="{996C33F9-2F58-48FB-9EA3-E5A6FEE1C8A7}"/>
    <cellStyle name="Normal 29 40" xfId="32633" xr:uid="{B0C25D48-8400-4C25-9876-842E7249BA8F}"/>
    <cellStyle name="Normal 29 41" xfId="32634" xr:uid="{DA8DF3E6-BD47-4B39-9795-E0265102F7F9}"/>
    <cellStyle name="Normal 29 42" xfId="32635" xr:uid="{D96DD4E4-5D34-4A3E-91EE-7A9059863EE9}"/>
    <cellStyle name="Normal 29 43" xfId="32636" xr:uid="{A041E384-02A2-4523-BD95-3B658DA424F4}"/>
    <cellStyle name="Normal 29 5" xfId="32637" xr:uid="{6F08DE3B-BEDE-4B22-81B0-024320F7C904}"/>
    <cellStyle name="Normal 29 6" xfId="32638" xr:uid="{EFDF9842-C6FE-4666-9D29-14104762A6E1}"/>
    <cellStyle name="Normal 29 7" xfId="32639" xr:uid="{07A721DA-EDDE-4964-A9C2-6525161AA660}"/>
    <cellStyle name="Normal 29 8" xfId="32640" xr:uid="{2EE85450-B833-4088-975E-5BF2606B521C}"/>
    <cellStyle name="Normal 29 9" xfId="32641" xr:uid="{D4294E20-9EA8-4EDA-9B81-B3680EBB6CAF}"/>
    <cellStyle name="Normal 3" xfId="26" xr:uid="{00000000-0005-0000-0000-000009000000}"/>
    <cellStyle name="Normal 3 10" xfId="32642" xr:uid="{22A76751-565F-4A00-8DB1-2F74FDA6379C}"/>
    <cellStyle name="Normal 3 11" xfId="32643" xr:uid="{08A50600-4FCC-4203-BD2C-FA3AD9FB0030}"/>
    <cellStyle name="Normal 3 12" xfId="32644" xr:uid="{AB9D921E-CBB3-45A4-B3CB-FB7405A0F534}"/>
    <cellStyle name="Normal 3 13" xfId="32645" xr:uid="{822CBB16-92BB-48B9-8672-E2DDA0F1EAB0}"/>
    <cellStyle name="Normal 3 14" xfId="32646" xr:uid="{2F348790-71F0-4076-B3A3-3F06396F7C84}"/>
    <cellStyle name="Normal 3 15" xfId="32647" xr:uid="{4A1378C9-A104-4F96-82C1-37AD0BE4D990}"/>
    <cellStyle name="Normal 3 16" xfId="32648" xr:uid="{BFF2F30A-2BC3-4F88-A990-EBBA216A746D}"/>
    <cellStyle name="Normal 3 17" xfId="32649" xr:uid="{9D6B6825-A640-4BA6-B297-94C65906EAFB}"/>
    <cellStyle name="Normal 3 18" xfId="32650" xr:uid="{12F5443A-6D1A-4F56-87C6-44AD1BE59771}"/>
    <cellStyle name="Normal 3 19" xfId="32651" xr:uid="{E9FD9E3A-CE2A-495E-A17A-AEEADD65FE29}"/>
    <cellStyle name="Normal 3 2" xfId="1090" xr:uid="{1E42DDE7-0CDA-4DE5-AFB6-8116484D0DC8}"/>
    <cellStyle name="Normal 3 2 10" xfId="32652" xr:uid="{57EEB463-6963-4719-8F87-C0BBCE8B1662}"/>
    <cellStyle name="Normal 3 2 11" xfId="32653" xr:uid="{EC211DB2-9B1C-4AF0-A61B-347D684B8837}"/>
    <cellStyle name="Normal 3 2 12" xfId="32654" xr:uid="{D5DDF463-EA20-4A1E-8554-8446CD9A727F}"/>
    <cellStyle name="Normal 3 2 13" xfId="32655" xr:uid="{429F9D41-094E-4224-9797-E521F5C493A5}"/>
    <cellStyle name="Normal 3 2 14" xfId="32656" xr:uid="{D40F93B0-AA3C-45E7-A3AB-71902A6168FE}"/>
    <cellStyle name="Normal 3 2 15" xfId="32657" xr:uid="{84B62545-70D8-4401-9C54-DF4C9788F42C}"/>
    <cellStyle name="Normal 3 2 16" xfId="32658" xr:uid="{5B2A7286-7115-4DAF-A905-F35C3BC4EBB9}"/>
    <cellStyle name="Normal 3 2 17" xfId="32659" xr:uid="{FE66888A-A8C2-4E60-A55C-93027A3B810F}"/>
    <cellStyle name="Normal 3 2 18" xfId="32660" xr:uid="{ECAB7C23-A585-4BE3-9BB5-19CD34879345}"/>
    <cellStyle name="Normal 3 2 19" xfId="32661" xr:uid="{67A4A1F0-20DE-41F2-9F17-7A6F65437B4F}"/>
    <cellStyle name="Normal 3 2 2" xfId="32662" xr:uid="{A5DB2AE5-9510-4BFA-BA71-CB78EEB96729}"/>
    <cellStyle name="Normal 3 2 20" xfId="32663" xr:uid="{A1ADD6B5-0B01-402B-BCD8-393CF87E00C0}"/>
    <cellStyle name="Normal 3 2 21" xfId="32664" xr:uid="{B10FC4F6-4238-4E15-BD37-03215295F1C5}"/>
    <cellStyle name="Normal 3 2 22" xfId="32665" xr:uid="{CA58C35B-A2AD-4037-B930-7290BAF4B5C3}"/>
    <cellStyle name="Normal 3 2 23" xfId="32666" xr:uid="{A2188484-C106-4EE7-8FC9-786A8789EEE7}"/>
    <cellStyle name="Normal 3 2 24" xfId="32667" xr:uid="{C631EF50-CC2B-4A1D-81D2-70CB09E28178}"/>
    <cellStyle name="Normal 3 2 25" xfId="32668" xr:uid="{E0DD93BC-2D58-4655-9BC4-EB7F7717E5BF}"/>
    <cellStyle name="Normal 3 2 26" xfId="32669" xr:uid="{CD30B069-8041-4F36-800B-6F938DD81621}"/>
    <cellStyle name="Normal 3 2 27" xfId="32670" xr:uid="{CA9BE990-2B1E-4983-9AEC-3DFF571B4295}"/>
    <cellStyle name="Normal 3 2 28" xfId="32671" xr:uid="{FBE2CD2A-F1D3-4BC9-AD92-B2E5C1C904E3}"/>
    <cellStyle name="Normal 3 2 29" xfId="32672" xr:uid="{6972175E-94FE-47D9-9C5F-4092B67D83DD}"/>
    <cellStyle name="Normal 3 2 3" xfId="32673" xr:uid="{0E70AED6-70C4-4F7E-81DD-BCBCD304FEC0}"/>
    <cellStyle name="Normal 3 2 30" xfId="32674" xr:uid="{594B49E2-B233-4828-8496-E0250C1C42AF}"/>
    <cellStyle name="Normal 3 2 31" xfId="32675" xr:uid="{A9384F31-5057-480D-8022-938304814590}"/>
    <cellStyle name="Normal 3 2 32" xfId="32676" xr:uid="{08AF8336-CD0D-4697-B93A-3758005419F5}"/>
    <cellStyle name="Normal 3 2 33" xfId="32677" xr:uid="{1F32653B-52DA-4D8A-B736-A920AC2C64A5}"/>
    <cellStyle name="Normal 3 2 34" xfId="32678" xr:uid="{A8964477-FA03-467C-8F7A-61D66566DDB9}"/>
    <cellStyle name="Normal 3 2 35" xfId="32679" xr:uid="{0EBA8071-59A3-47DE-BD9E-935FBF4C988C}"/>
    <cellStyle name="Normal 3 2 36" xfId="32680" xr:uid="{80EA0F31-DD21-4E54-AE0B-473974E06D16}"/>
    <cellStyle name="Normal 3 2 37" xfId="32681" xr:uid="{A32169C4-983E-4DB8-9D61-D1EF6C20F01F}"/>
    <cellStyle name="Normal 3 2 38" xfId="32682" xr:uid="{B62E467E-F3F8-46D5-8079-DA33639380F7}"/>
    <cellStyle name="Normal 3 2 39" xfId="32683" xr:uid="{292CF1B5-C957-468F-AB0F-D1536B1A6422}"/>
    <cellStyle name="Normal 3 2 4" xfId="32684" xr:uid="{CD1D1AEF-31AA-44C0-B4A3-7F2963C308ED}"/>
    <cellStyle name="Normal 3 2 40" xfId="32685" xr:uid="{D30FB6FD-9A1B-4464-922B-094CDFB92EBD}"/>
    <cellStyle name="Normal 3 2 41" xfId="32686" xr:uid="{EBE1BE17-42E2-4132-B5ED-FA412DF03289}"/>
    <cellStyle name="Normal 3 2 42" xfId="32687" xr:uid="{67659CDB-98D4-495D-8713-79F0F7AE8561}"/>
    <cellStyle name="Normal 3 2 43" xfId="32688" xr:uid="{BF64AD64-8DC4-436F-B24E-BDD3F8FD5D40}"/>
    <cellStyle name="Normal 3 2 44" xfId="32689" xr:uid="{6FE20999-5B63-436F-A98E-5802CC0B6232}"/>
    <cellStyle name="Normal 3 2 45" xfId="32690" xr:uid="{A66E323A-EA5D-4480-8E1A-74CFBCB902FD}"/>
    <cellStyle name="Normal 3 2 46" xfId="32691" xr:uid="{B648DD55-A781-4F77-9A08-C081F397468E}"/>
    <cellStyle name="Normal 3 2 5" xfId="32692" xr:uid="{FCDDB0B4-94BC-4FCF-AC90-7FC3075E1C3D}"/>
    <cellStyle name="Normal 3 2 6" xfId="32693" xr:uid="{C2A38C49-CAD2-4728-8F09-DA12B7D6BB2D}"/>
    <cellStyle name="Normal 3 2 7" xfId="32694" xr:uid="{AD091FEB-F3F2-4922-A786-DA7C8ED2F225}"/>
    <cellStyle name="Normal 3 2 8" xfId="32695" xr:uid="{347584E8-4613-4CF9-AEFD-EEB93E4617A8}"/>
    <cellStyle name="Normal 3 2 9" xfId="32696" xr:uid="{E1B74474-56B5-426C-87CB-F8884C529CAD}"/>
    <cellStyle name="Normal 3 20" xfId="32697" xr:uid="{81242561-C563-463C-AE71-9554356044DA}"/>
    <cellStyle name="Normal 3 21" xfId="32698" xr:uid="{D90433ED-6B29-4996-A9BE-EB29C3B430FC}"/>
    <cellStyle name="Normal 3 22" xfId="32699" xr:uid="{7FEAA157-8B50-4734-A362-005E25A6057A}"/>
    <cellStyle name="Normal 3 23" xfId="32700" xr:uid="{04C88434-512A-4263-A766-362B3D75D67C}"/>
    <cellStyle name="Normal 3 24" xfId="32701" xr:uid="{02975F31-233A-4A12-8B48-29D9FB844D72}"/>
    <cellStyle name="Normal 3 25" xfId="32702" xr:uid="{DF9C18D9-3533-4E90-BBAB-F9F8BBDFD309}"/>
    <cellStyle name="Normal 3 26" xfId="32703" xr:uid="{6CEE3CA1-819A-4E61-BE8C-410381C6B0A2}"/>
    <cellStyle name="Normal 3 27" xfId="32704" xr:uid="{AC9883DD-2BB6-4814-987B-E91AB097C6EB}"/>
    <cellStyle name="Normal 3 28" xfId="32705" xr:uid="{C262337A-47BA-46C9-8C0D-11758A5E76F0}"/>
    <cellStyle name="Normal 3 29" xfId="32706" xr:uid="{833B20B2-5DB8-41EB-93E0-C3322AF09433}"/>
    <cellStyle name="Normal 3 3" xfId="1091" xr:uid="{9032577C-2514-4511-A2DD-ADEE32F666CF}"/>
    <cellStyle name="Normal 3 3 2" xfId="32707" xr:uid="{57910BE0-76C9-4440-97DF-249C50CA3B3B}"/>
    <cellStyle name="Normal 3 30" xfId="32708" xr:uid="{DBE314D0-1919-4B10-9E01-D21540308E43}"/>
    <cellStyle name="Normal 3 31" xfId="32709" xr:uid="{88486B6C-D4EA-4350-8120-8CA327457DD4}"/>
    <cellStyle name="Normal 3 32" xfId="32710" xr:uid="{C4FA56FA-B61B-412D-BA01-3F9A36FF17E5}"/>
    <cellStyle name="Normal 3 33" xfId="32711" xr:uid="{7EE8CAE5-7E61-42E5-A4DC-032D853144D1}"/>
    <cellStyle name="Normal 3 34" xfId="32712" xr:uid="{FCAAF104-1372-42F9-A40F-7CB46F8A57CC}"/>
    <cellStyle name="Normal 3 35" xfId="32713" xr:uid="{6F5CADAA-2490-405C-9CAA-7AD81CB7595E}"/>
    <cellStyle name="Normal 3 36" xfId="32714" xr:uid="{AECB7577-E1F5-4B98-A158-6769F8416FE5}"/>
    <cellStyle name="Normal 3 37" xfId="32715" xr:uid="{5274C2F5-66EC-47B8-839E-8BFFCA540DF5}"/>
    <cellStyle name="Normal 3 38" xfId="32716" xr:uid="{BF4B1852-A1A4-4F2D-8476-20A259BF4D9A}"/>
    <cellStyle name="Normal 3 39" xfId="32717" xr:uid="{C594CE72-8395-414E-A586-13DA7A38CA47}"/>
    <cellStyle name="Normal 3 4" xfId="1792" xr:uid="{B1AA8B40-57EA-4A38-821D-487E5F278F38}"/>
    <cellStyle name="Normal 3 4 2" xfId="32718" xr:uid="{815E57AC-ED93-4A73-9A53-4BD6A627A058}"/>
    <cellStyle name="Normal 3 40" xfId="32719" xr:uid="{E4400675-A91D-432E-AF11-8E05E2AD56CF}"/>
    <cellStyle name="Normal 3 41" xfId="32720" xr:uid="{A6005CA8-5266-498A-9474-9CAE691A0F3F}"/>
    <cellStyle name="Normal 3 42" xfId="32721" xr:uid="{389FF1CE-A402-44F7-888C-4255A38AA034}"/>
    <cellStyle name="Normal 3 43" xfId="32722" xr:uid="{12A29C32-0B0B-4ABF-8B27-79A50971460D}"/>
    <cellStyle name="Normal 3 44" xfId="32723" xr:uid="{9F42F659-B232-4962-8EEA-345A47D9E4E1}"/>
    <cellStyle name="Normal 3 45" xfId="32724" xr:uid="{DD88CF40-11E8-481B-A005-AEDCEA561CAF}"/>
    <cellStyle name="Normal 3 46" xfId="32725" xr:uid="{3D0CC064-84B7-466A-B5D5-1400C75E5F89}"/>
    <cellStyle name="Normal 3 47" xfId="32726" xr:uid="{919B54BE-F8FC-4DB2-AF5F-2B1300CCF315}"/>
    <cellStyle name="Normal 3 48" xfId="32727" xr:uid="{683C27CC-2D1C-4C57-848F-2ACA62FA7F2E}"/>
    <cellStyle name="Normal 3 49" xfId="32728" xr:uid="{0FAA6DDC-463C-4D07-AC26-920C2372334F}"/>
    <cellStyle name="Normal 3 5" xfId="32729" xr:uid="{18D8C489-EFAF-4086-AD84-F655D0FA60CC}"/>
    <cellStyle name="Normal 3 5 2" xfId="32730" xr:uid="{ADBA3071-E8B5-412B-82AF-73D830EC9EB7}"/>
    <cellStyle name="Normal 3 5 3" xfId="32731" xr:uid="{0AB09412-3E9F-4DC0-8F52-EF39549FCCF3}"/>
    <cellStyle name="Normal 3 50" xfId="32732" xr:uid="{6FFB077F-EF9F-4E57-9D0D-B8701EFE7123}"/>
    <cellStyle name="Normal 3 51" xfId="32733" xr:uid="{0648245D-A295-409E-B24B-438B2942DF2F}"/>
    <cellStyle name="Normal 3 52" xfId="43585" xr:uid="{DC729F78-0310-4BE5-9F0B-178D1991B629}"/>
    <cellStyle name="Normal 3 53" xfId="858" xr:uid="{45132E5C-07E8-4B95-BFD7-28BE9F91895C}"/>
    <cellStyle name="Normal 3 6" xfId="32734" xr:uid="{46875D90-3A2B-4288-A77F-7E7F63B62FA8}"/>
    <cellStyle name="Normal 3 6 2" xfId="32735" xr:uid="{04679D71-0188-4420-840F-A9D19A9D1C47}"/>
    <cellStyle name="Normal 3 7" xfId="32736" xr:uid="{B603DB1C-8A2D-401A-BDD4-29A5E0E6687E}"/>
    <cellStyle name="Normal 3 7 2" xfId="32737" xr:uid="{8A98DAD3-7978-470B-9D05-332AFDC47158}"/>
    <cellStyle name="Normal 3 7 2 2" xfId="32738" xr:uid="{4D175775-7DBF-4E3F-A35D-665ECDB71B20}"/>
    <cellStyle name="Normal 3 7 2 2 2" xfId="32739" xr:uid="{D72B687D-0D2D-4546-B30F-E4A7851A4956}"/>
    <cellStyle name="Normal 3 7 2 2 2 2" xfId="32740" xr:uid="{A12F2291-8CA7-49FD-AA0D-543FBDA37DFC}"/>
    <cellStyle name="Normal 3 7 2 2 3" xfId="32741" xr:uid="{6FC05AB3-7837-4FAF-AAF1-AB3C7392CF75}"/>
    <cellStyle name="Normal 3 7 2 3" xfId="32742" xr:uid="{D04BAFD7-A063-40DA-96B2-D0B35EDACD17}"/>
    <cellStyle name="Normal 3 7 2 3 2" xfId="32743" xr:uid="{FB54E835-4F17-46B9-8BE3-1054140A1E96}"/>
    <cellStyle name="Normal 3 7 3" xfId="32744" xr:uid="{B954A901-71FB-478E-9B14-EE739D9F9070}"/>
    <cellStyle name="Normal 3 7 4" xfId="32745" xr:uid="{3592FBA8-40E5-42F4-8F6B-42CF8145BCA9}"/>
    <cellStyle name="Normal 3 7 4 2" xfId="32746" xr:uid="{4E901375-C89C-414E-AB71-8ADA40E82D8C}"/>
    <cellStyle name="Normal 3 7 5" xfId="32747" xr:uid="{C79CBB60-CD26-494C-B4A3-19A596B8DA06}"/>
    <cellStyle name="Normal 3 8" xfId="32748" xr:uid="{5F8E1083-315D-4B35-8468-5AF53ABB03E8}"/>
    <cellStyle name="Normal 3 9" xfId="32749" xr:uid="{D4E60C81-F257-4ED8-85C4-B219B931C284}"/>
    <cellStyle name="Normal 3_IRT_Planilha Básica_ v2010_CERRP" xfId="1793" xr:uid="{50069C11-269B-4487-83B1-6AAA6515EC8F}"/>
    <cellStyle name="Normal 30" xfId="32750" xr:uid="{0909BB26-3EA0-4BA8-AE01-BBABC04FB01F}"/>
    <cellStyle name="Normal 30 10" xfId="32751" xr:uid="{A5D26312-32DD-421A-8600-689065CEB2E0}"/>
    <cellStyle name="Normal 30 10 10" xfId="32752" xr:uid="{67DBA5CD-68E5-40D9-8D8B-DD9F2FDD14B4}"/>
    <cellStyle name="Normal 30 10 11" xfId="32753" xr:uid="{AD728313-FCB9-476C-A2EA-488C74001E57}"/>
    <cellStyle name="Normal 30 10 12" xfId="32754" xr:uid="{BB97B12C-A635-4AF7-8346-E8A915FAC609}"/>
    <cellStyle name="Normal 30 10 13" xfId="32755" xr:uid="{82CA6271-1144-4941-8613-6EC4F16A0EB2}"/>
    <cellStyle name="Normal 30 10 2" xfId="32756" xr:uid="{9F868AC7-4FB2-475E-B812-D03E217A5C2D}"/>
    <cellStyle name="Normal 30 10 2 2" xfId="32757" xr:uid="{29EB438B-C826-46E1-863B-0813FB5634FF}"/>
    <cellStyle name="Normal 30 10 2 3" xfId="32758" xr:uid="{D45218DD-9D39-4257-893D-5D9170276B0D}"/>
    <cellStyle name="Normal 30 10 2 4" xfId="32759" xr:uid="{D0D1DC52-CD02-4DBA-8237-760982579422}"/>
    <cellStyle name="Normal 30 10 2 5" xfId="32760" xr:uid="{74AAE324-0632-42DE-9219-A35F792264B4}"/>
    <cellStyle name="Normal 30 10 2 6" xfId="32761" xr:uid="{2825CFB6-E576-46E5-A8AC-65FABE17B9C5}"/>
    <cellStyle name="Normal 30 10 3" xfId="32762" xr:uid="{3970CCFD-6E52-4D48-8B19-A6DB251CAD59}"/>
    <cellStyle name="Normal 30 10 3 2" xfId="32763" xr:uid="{CA2E289A-D174-4468-8DF0-6A92CED80107}"/>
    <cellStyle name="Normal 30 10 3 3" xfId="32764" xr:uid="{9A628E9C-B46B-437F-8829-ED5D3BFB4CD7}"/>
    <cellStyle name="Normal 30 10 3 4" xfId="32765" xr:uid="{48107C38-A7BE-42BE-98C5-306CC074AB8F}"/>
    <cellStyle name="Normal 30 10 3 5" xfId="32766" xr:uid="{316CFB78-CF5E-47FC-8357-61FD1D5E6C2B}"/>
    <cellStyle name="Normal 30 10 3 6" xfId="32767" xr:uid="{511FC067-CBAA-46D5-AA87-717A7D5B47DF}"/>
    <cellStyle name="Normal 30 10 4" xfId="32768" xr:uid="{C6EF1B39-B000-4324-BACD-D3BE33BECAAA}"/>
    <cellStyle name="Normal 30 10 4 2" xfId="32769" xr:uid="{870D446A-EEE8-4D7A-97B0-4B85ACB93B85}"/>
    <cellStyle name="Normal 30 10 4 3" xfId="32770" xr:uid="{CD3DF0BF-47CB-4508-9517-C42A99FF0749}"/>
    <cellStyle name="Normal 30 10 4 4" xfId="32771" xr:uid="{129DFACE-48DA-44A6-8700-8CC7C9C3A3AE}"/>
    <cellStyle name="Normal 30 10 4 5" xfId="32772" xr:uid="{0E90598F-FAB6-4BD9-A1E5-C98A99DF478D}"/>
    <cellStyle name="Normal 30 10 4 6" xfId="32773" xr:uid="{605E5ECC-FD00-4D33-9943-D622FB8CBBD7}"/>
    <cellStyle name="Normal 30 10 5" xfId="32774" xr:uid="{7EADF89B-697B-47DD-AE1C-11BFC11B480B}"/>
    <cellStyle name="Normal 30 10 5 2" xfId="32775" xr:uid="{BF3D0ED3-F6E3-4AD4-9FBE-4DE004FC6E2E}"/>
    <cellStyle name="Normal 30 10 5 3" xfId="32776" xr:uid="{A2C0F0E4-D4FF-4D79-A630-BC4928A71E90}"/>
    <cellStyle name="Normal 30 10 5 4" xfId="32777" xr:uid="{8407854D-E736-4DE6-865B-542D112C14FC}"/>
    <cellStyle name="Normal 30 10 5 5" xfId="32778" xr:uid="{EC9099B6-A7B5-49D0-884B-B786AAB55BE2}"/>
    <cellStyle name="Normal 30 10 5 6" xfId="32779" xr:uid="{7435510E-F057-4AB2-99C4-3BCBF4D42B48}"/>
    <cellStyle name="Normal 30 10 6" xfId="32780" xr:uid="{A10B3264-2D51-4318-BDA8-0912F92DF4BE}"/>
    <cellStyle name="Normal 30 10 6 2" xfId="32781" xr:uid="{C542F594-514B-4861-B234-D0187F2DB308}"/>
    <cellStyle name="Normal 30 10 6 3" xfId="32782" xr:uid="{36883336-1A27-48C3-B686-D4C5CB318FC7}"/>
    <cellStyle name="Normal 30 10 6 4" xfId="32783" xr:uid="{EF3A87FC-85AF-4DBF-9C90-8CA02FA48A3B}"/>
    <cellStyle name="Normal 30 10 6 5" xfId="32784" xr:uid="{30598998-F8A6-4F44-A348-89D075A7DDDC}"/>
    <cellStyle name="Normal 30 10 6 6" xfId="32785" xr:uid="{8BAAF419-6298-4A25-9A73-C12DDEB3BEFC}"/>
    <cellStyle name="Normal 30 10 7" xfId="32786" xr:uid="{ACB61FAD-1DE1-4578-A507-44EDD19DD119}"/>
    <cellStyle name="Normal 30 10 7 2" xfId="32787" xr:uid="{66283736-E708-4675-8CD2-67AF10ACFACA}"/>
    <cellStyle name="Normal 30 10 7 3" xfId="32788" xr:uid="{0BFBD2D9-1438-46FC-98B8-EE88A94A6A20}"/>
    <cellStyle name="Normal 30 10 7 4" xfId="32789" xr:uid="{2952AF8E-1CBD-4C2D-B725-F7B8AC83015A}"/>
    <cellStyle name="Normal 30 10 7 5" xfId="32790" xr:uid="{407FC045-7D40-40BB-9CAE-D25281CAF520}"/>
    <cellStyle name="Normal 30 10 7 6" xfId="32791" xr:uid="{0545C749-4472-48BA-9732-414712D02820}"/>
    <cellStyle name="Normal 30 10 8" xfId="32792" xr:uid="{ED69FF47-EDD8-4562-906D-FEA0D04DBCFF}"/>
    <cellStyle name="Normal 30 10 8 2" xfId="32793" xr:uid="{9F708D6F-C55F-4294-B430-8A0188EBE8A2}"/>
    <cellStyle name="Normal 30 10 8 3" xfId="32794" xr:uid="{55068007-EAB6-40AC-BA50-A89771038969}"/>
    <cellStyle name="Normal 30 10 8 4" xfId="32795" xr:uid="{705C431F-985A-483B-80D7-B62D49AF2606}"/>
    <cellStyle name="Normal 30 10 8 5" xfId="32796" xr:uid="{FD459A63-EE4C-4B55-875C-07FDB84B30C2}"/>
    <cellStyle name="Normal 30 10 8 6" xfId="32797" xr:uid="{6812A7E1-FDF2-40BB-88BC-86FD946AEF7A}"/>
    <cellStyle name="Normal 30 10 9" xfId="32798" xr:uid="{422023D8-823F-47E0-98B5-BF35A831D98A}"/>
    <cellStyle name="Normal 30 11" xfId="32799" xr:uid="{F7E39C13-8AE0-4229-BD83-4448F7BBF398}"/>
    <cellStyle name="Normal 30 11 10" xfId="32800" xr:uid="{62190422-9BA5-4185-A7E3-5D4920F51339}"/>
    <cellStyle name="Normal 30 11 11" xfId="32801" xr:uid="{D3BA8B3F-307C-4407-BDC4-716BF899262A}"/>
    <cellStyle name="Normal 30 11 12" xfId="32802" xr:uid="{802CA934-A608-4051-A52E-5C02A526FBD1}"/>
    <cellStyle name="Normal 30 11 13" xfId="32803" xr:uid="{6AC6435F-EB56-496F-98F2-24B9DF5B44F7}"/>
    <cellStyle name="Normal 30 11 2" xfId="32804" xr:uid="{8B2DD494-ACB2-4FBC-A727-508C9E532BA7}"/>
    <cellStyle name="Normal 30 11 2 2" xfId="32805" xr:uid="{3FE4B28A-730D-44E5-AECF-AEC386702A78}"/>
    <cellStyle name="Normal 30 11 2 3" xfId="32806" xr:uid="{C4BF5832-1C29-4E82-BA25-5C3A6BCCDAE9}"/>
    <cellStyle name="Normal 30 11 2 4" xfId="32807" xr:uid="{15DDD8DE-EE24-439B-972B-C52CF63FAE68}"/>
    <cellStyle name="Normal 30 11 2 5" xfId="32808" xr:uid="{DBFE5E2E-7B50-4D3F-88C6-14D70554F479}"/>
    <cellStyle name="Normal 30 11 2 6" xfId="32809" xr:uid="{383FE5C9-8C29-406F-8A60-ABF9C85C679F}"/>
    <cellStyle name="Normal 30 11 3" xfId="32810" xr:uid="{3B053562-8342-4D03-9337-15180F5303B1}"/>
    <cellStyle name="Normal 30 11 3 2" xfId="32811" xr:uid="{E183D59A-5F01-4266-8165-FC7CDEE984BB}"/>
    <cellStyle name="Normal 30 11 3 3" xfId="32812" xr:uid="{EEDFE6DA-AA20-4E6E-B655-CBC6EFC8BC5B}"/>
    <cellStyle name="Normal 30 11 3 4" xfId="32813" xr:uid="{6BF9096D-0945-43EA-897C-1B4EE7EB7C65}"/>
    <cellStyle name="Normal 30 11 3 5" xfId="32814" xr:uid="{AC532410-DBA8-4A39-AEF8-7C80B394C01A}"/>
    <cellStyle name="Normal 30 11 3 6" xfId="32815" xr:uid="{7613CF17-811F-481D-A23C-0B4A1B298D6E}"/>
    <cellStyle name="Normal 30 11 4" xfId="32816" xr:uid="{E74E6252-4C14-4568-8DAC-36B211EDB639}"/>
    <cellStyle name="Normal 30 11 4 2" xfId="32817" xr:uid="{EA7D050D-966E-4B46-8A8A-27DFE37BE86B}"/>
    <cellStyle name="Normal 30 11 4 3" xfId="32818" xr:uid="{0C40000F-D273-4688-95B8-262E4B7DE7C9}"/>
    <cellStyle name="Normal 30 11 4 4" xfId="32819" xr:uid="{32EE2BE3-2C40-48E0-A104-D867492F0D16}"/>
    <cellStyle name="Normal 30 11 4 5" xfId="32820" xr:uid="{35A851AE-7282-4886-99EF-03AE60229C4D}"/>
    <cellStyle name="Normal 30 11 4 6" xfId="32821" xr:uid="{D0A2ABB3-3387-4C75-AB6D-16E0B953618B}"/>
    <cellStyle name="Normal 30 11 5" xfId="32822" xr:uid="{D816C21C-78FB-4B04-86C7-65F6A9E63697}"/>
    <cellStyle name="Normal 30 11 5 2" xfId="32823" xr:uid="{0B4DF44E-CA35-45FE-82A4-2AAC03CF6860}"/>
    <cellStyle name="Normal 30 11 5 3" xfId="32824" xr:uid="{2AB36930-662D-40CE-927F-956DFB069C38}"/>
    <cellStyle name="Normal 30 11 5 4" xfId="32825" xr:uid="{ABDAAA26-61B1-4862-B849-125CE2DF7C34}"/>
    <cellStyle name="Normal 30 11 5 5" xfId="32826" xr:uid="{45FCBE47-AC18-4753-8921-D0CA30B62C06}"/>
    <cellStyle name="Normal 30 11 5 6" xfId="32827" xr:uid="{8D0B672C-8ECB-4EF3-B0DD-C691B85F035B}"/>
    <cellStyle name="Normal 30 11 6" xfId="32828" xr:uid="{17037989-F187-4D5B-B11C-366CD4D9EDE8}"/>
    <cellStyle name="Normal 30 11 6 2" xfId="32829" xr:uid="{35CAB84F-AD5B-4FC5-8880-BBF4F9ACEA6E}"/>
    <cellStyle name="Normal 30 11 6 3" xfId="32830" xr:uid="{40B0629B-BA87-4FB9-92CC-A10CE5ACDBA4}"/>
    <cellStyle name="Normal 30 11 6 4" xfId="32831" xr:uid="{50CBA53A-D23A-4771-BEBC-80E427A9A2A5}"/>
    <cellStyle name="Normal 30 11 6 5" xfId="32832" xr:uid="{D7752D29-A29F-4830-97DB-F922AE242799}"/>
    <cellStyle name="Normal 30 11 6 6" xfId="32833" xr:uid="{66FC38C8-3D17-4332-B662-DA30A27AB5C6}"/>
    <cellStyle name="Normal 30 11 7" xfId="32834" xr:uid="{156654B6-2D4B-4CA3-8A56-691483DDB412}"/>
    <cellStyle name="Normal 30 11 7 2" xfId="32835" xr:uid="{C95E9B39-4006-4D36-8D35-2C9D422C6D35}"/>
    <cellStyle name="Normal 30 11 7 3" xfId="32836" xr:uid="{2A398207-2F70-4D92-9321-0F88EA3DDF26}"/>
    <cellStyle name="Normal 30 11 7 4" xfId="32837" xr:uid="{4AFE05B7-97C9-40DF-957E-2AD7D3E8B32E}"/>
    <cellStyle name="Normal 30 11 7 5" xfId="32838" xr:uid="{77EC4BC8-6E63-492D-AE88-ED507DC08247}"/>
    <cellStyle name="Normal 30 11 7 6" xfId="32839" xr:uid="{5DBC7727-6BAA-4CC9-BFF7-7CFF45CEDC6C}"/>
    <cellStyle name="Normal 30 11 8" xfId="32840" xr:uid="{08D4A67C-4F0A-4215-B63A-A3E4EDAFE272}"/>
    <cellStyle name="Normal 30 11 8 2" xfId="32841" xr:uid="{82E1B459-DF95-4D29-B26A-611C6840964E}"/>
    <cellStyle name="Normal 30 11 8 3" xfId="32842" xr:uid="{FADEE01D-C65F-415C-8625-D1E6AB67B1BC}"/>
    <cellStyle name="Normal 30 11 8 4" xfId="32843" xr:uid="{7C5D4AC9-6630-4A09-84C9-BBD13EDD0231}"/>
    <cellStyle name="Normal 30 11 8 5" xfId="32844" xr:uid="{FC134E93-6122-406D-A086-EF92F2CE57DB}"/>
    <cellStyle name="Normal 30 11 8 6" xfId="32845" xr:uid="{89DAAF94-FED9-41CD-99E7-154BE981F8B6}"/>
    <cellStyle name="Normal 30 11 9" xfId="32846" xr:uid="{486B422F-AC27-4DC1-9C52-B9D726B97825}"/>
    <cellStyle name="Normal 30 12" xfId="32847" xr:uid="{742A2573-852C-48C4-96DB-D8A414C95575}"/>
    <cellStyle name="Normal 30 12 2" xfId="32848" xr:uid="{8C8F804B-1AEA-4541-9589-F732BF15AFF4}"/>
    <cellStyle name="Normal 30 12 3" xfId="32849" xr:uid="{951BBE57-5C8B-4147-9FAF-ED2733C37A59}"/>
    <cellStyle name="Normal 30 12 4" xfId="32850" xr:uid="{B84D2E94-7A4B-44E9-B08F-55D575B6AEA3}"/>
    <cellStyle name="Normal 30 12 5" xfId="32851" xr:uid="{E3EF6858-B997-4EB0-85C6-D03D7DFF3C48}"/>
    <cellStyle name="Normal 30 12 6" xfId="32852" xr:uid="{2911EFD0-951D-4CD6-AEE4-6D6B988F0B3D}"/>
    <cellStyle name="Normal 30 13" xfId="32853" xr:uid="{B3615E3E-8425-47BC-94C6-FA638A38D5BB}"/>
    <cellStyle name="Normal 30 13 2" xfId="32854" xr:uid="{D7145C0E-348F-489C-92F1-A2CCFB29CF85}"/>
    <cellStyle name="Normal 30 13 3" xfId="32855" xr:uid="{958B796A-DDB2-4081-9EBE-8CCF45D78200}"/>
    <cellStyle name="Normal 30 13 4" xfId="32856" xr:uid="{2A37F5C6-F269-41FB-A2EC-4DCBA68E0AC4}"/>
    <cellStyle name="Normal 30 13 5" xfId="32857" xr:uid="{00E41F3D-223E-4C56-B835-6C093A26448F}"/>
    <cellStyle name="Normal 30 13 6" xfId="32858" xr:uid="{85CF310F-46D0-48FC-8EE7-0DD849589C4E}"/>
    <cellStyle name="Normal 30 14" xfId="32859" xr:uid="{C7196C6B-FAB0-42BC-AA7D-610E7E5DE37C}"/>
    <cellStyle name="Normal 30 14 2" xfId="32860" xr:uid="{FFDD1A52-7D11-4D76-BAF1-DB3F6EF4481C}"/>
    <cellStyle name="Normal 30 14 3" xfId="32861" xr:uid="{638158E2-5835-4D91-A8D2-35C26D23A657}"/>
    <cellStyle name="Normal 30 14 4" xfId="32862" xr:uid="{CB00CDDE-6568-432A-B730-34BD0FB4CBD1}"/>
    <cellStyle name="Normal 30 14 5" xfId="32863" xr:uid="{1A3B0D9D-2D82-4C65-B129-578A7DE13FC4}"/>
    <cellStyle name="Normal 30 14 6" xfId="32864" xr:uid="{F88C958F-F482-459A-85FD-6859AEAFF61D}"/>
    <cellStyle name="Normal 30 15" xfId="32865" xr:uid="{D4A8E9F4-8ED8-45E3-8B1F-EA8A472A94CB}"/>
    <cellStyle name="Normal 30 15 2" xfId="32866" xr:uid="{07DA50B0-7809-4786-ADF4-4F7243265CC7}"/>
    <cellStyle name="Normal 30 15 3" xfId="32867" xr:uid="{1D3F8D95-D545-4CFC-A18B-2F0004E9AA5C}"/>
    <cellStyle name="Normal 30 15 4" xfId="32868" xr:uid="{39342677-C584-4C20-AE3C-7D4C16F58428}"/>
    <cellStyle name="Normal 30 15 5" xfId="32869" xr:uid="{6B786B34-E493-473D-8B85-74FD183F5584}"/>
    <cellStyle name="Normal 30 15 6" xfId="32870" xr:uid="{5AC8164C-2688-4F82-B167-FCF23C3B7A5A}"/>
    <cellStyle name="Normal 30 16" xfId="32871" xr:uid="{08C3C93B-2F94-4EF2-AACA-07F7475F0F16}"/>
    <cellStyle name="Normal 30 16 2" xfId="32872" xr:uid="{DA0BB14D-B430-4566-B69F-8EAB4E37095C}"/>
    <cellStyle name="Normal 30 16 3" xfId="32873" xr:uid="{C76C5BB4-C64B-4AD5-B92C-47943C36E8A0}"/>
    <cellStyle name="Normal 30 16 4" xfId="32874" xr:uid="{AB1419E5-F914-4227-9930-0F53C0E17BF6}"/>
    <cellStyle name="Normal 30 16 5" xfId="32875" xr:uid="{B9453505-5576-49E4-9098-EC2EA9490E14}"/>
    <cellStyle name="Normal 30 16 6" xfId="32876" xr:uid="{E6C9F873-ED56-4130-BF5E-8647BC508734}"/>
    <cellStyle name="Normal 30 17" xfId="32877" xr:uid="{E9D4B8E9-B4D6-49AD-A78F-A6F3CA0CEF6B}"/>
    <cellStyle name="Normal 30 17 2" xfId="32878" xr:uid="{03A6A9D3-A824-4A23-AF36-913F2D797CE1}"/>
    <cellStyle name="Normal 30 17 3" xfId="32879" xr:uid="{B27BCB92-7853-4924-A7F6-1A2287E9C4D0}"/>
    <cellStyle name="Normal 30 17 4" xfId="32880" xr:uid="{A260BDBA-0490-40D5-B2FD-1F8F7BFCA356}"/>
    <cellStyle name="Normal 30 17 5" xfId="32881" xr:uid="{187BF25E-6FF3-4821-83B2-62CE7DDAE510}"/>
    <cellStyle name="Normal 30 17 6" xfId="32882" xr:uid="{5447C15A-542D-47F4-8782-DAF9BE6D2C7F}"/>
    <cellStyle name="Normal 30 18" xfId="32883" xr:uid="{0AF8EAFC-01A5-4C3F-BD21-6CF0EF6E6EBB}"/>
    <cellStyle name="Normal 30 18 2" xfId="32884" xr:uid="{1B81F9A4-5D99-48C7-8128-4AE2FBECE7E8}"/>
    <cellStyle name="Normal 30 18 3" xfId="32885" xr:uid="{977CB6AF-9D91-4143-AC3C-4D85748084A9}"/>
    <cellStyle name="Normal 30 18 4" xfId="32886" xr:uid="{3701A96C-51A1-4752-B79C-3886A5170343}"/>
    <cellStyle name="Normal 30 18 5" xfId="32887" xr:uid="{744BA763-14C7-4D68-B9D1-877C7623A321}"/>
    <cellStyle name="Normal 30 18 6" xfId="32888" xr:uid="{0BF35CA6-7B58-4922-9F04-6A074D91A82E}"/>
    <cellStyle name="Normal 30 19" xfId="32889" xr:uid="{5538918D-7696-4D20-8B89-E39F2E8CEE15}"/>
    <cellStyle name="Normal 30 2" xfId="32890" xr:uid="{C804FE46-74E7-4F13-8BAF-D82E43B76B74}"/>
    <cellStyle name="Normal 30 2 10" xfId="32891" xr:uid="{15902221-5C55-49A8-8C01-2B1626CBD149}"/>
    <cellStyle name="Normal 30 2 11" xfId="32892" xr:uid="{C2C8079C-2E96-48BA-B3BD-AE279019AE11}"/>
    <cellStyle name="Normal 30 2 12" xfId="32893" xr:uid="{235EB9DA-D9E6-48D6-803C-0E70295E836A}"/>
    <cellStyle name="Normal 30 2 13" xfId="32894" xr:uid="{12172327-7444-4882-8BCF-1D7637D88EF2}"/>
    <cellStyle name="Normal 30 2 2" xfId="32895" xr:uid="{FF68DB22-27D0-4103-A445-B5E126729D4D}"/>
    <cellStyle name="Normal 30 2 2 2" xfId="32896" xr:uid="{9AEC4BD6-0E56-4388-A5E0-4FE2643FA26F}"/>
    <cellStyle name="Normal 30 2 2 3" xfId="32897" xr:uid="{D7549798-2679-4100-8A7B-CE801AE9C825}"/>
    <cellStyle name="Normal 30 2 2 4" xfId="32898" xr:uid="{7DA597B9-BF7B-4274-9031-34C51B2F91CF}"/>
    <cellStyle name="Normal 30 2 2 5" xfId="32899" xr:uid="{66504DB3-65E4-43A4-8A6D-2F7C7FDA5BE9}"/>
    <cellStyle name="Normal 30 2 2 6" xfId="32900" xr:uid="{D939F765-6749-40EA-AB58-5A59D9629377}"/>
    <cellStyle name="Normal 30 2 3" xfId="32901" xr:uid="{A744E376-B2EB-4C87-AEBD-C56C90175D86}"/>
    <cellStyle name="Normal 30 2 3 2" xfId="32902" xr:uid="{0365C1DA-16E2-4FA6-A4FD-EE4470C9B8E4}"/>
    <cellStyle name="Normal 30 2 3 3" xfId="32903" xr:uid="{AB331652-3948-433D-BB90-32E8A5B6FF06}"/>
    <cellStyle name="Normal 30 2 3 4" xfId="32904" xr:uid="{2EC52992-7192-4C0B-B995-D882C1DB0D40}"/>
    <cellStyle name="Normal 30 2 3 5" xfId="32905" xr:uid="{6B106105-75A3-4D86-9766-7F6F2504E169}"/>
    <cellStyle name="Normal 30 2 3 6" xfId="32906" xr:uid="{9D1DCE15-28CE-44B2-A2E4-353344A2ED7D}"/>
    <cellStyle name="Normal 30 2 4" xfId="32907" xr:uid="{36525767-36AB-4024-B431-4964327E89F8}"/>
    <cellStyle name="Normal 30 2 4 2" xfId="32908" xr:uid="{9CEEEB9D-0B1B-45CE-9CA8-C09D4D0C3BFB}"/>
    <cellStyle name="Normal 30 2 4 3" xfId="32909" xr:uid="{DE0B5C7D-C31C-48B4-9169-AF901D434E91}"/>
    <cellStyle name="Normal 30 2 4 4" xfId="32910" xr:uid="{123A4C9B-F731-403F-87F5-8C4EB358BC53}"/>
    <cellStyle name="Normal 30 2 4 5" xfId="32911" xr:uid="{7DCBE85A-0338-4F24-A9CC-074ACC29B473}"/>
    <cellStyle name="Normal 30 2 4 6" xfId="32912" xr:uid="{B1B440CC-DAC8-4BFC-8299-C54B1A3C10CA}"/>
    <cellStyle name="Normal 30 2 5" xfId="32913" xr:uid="{D7026E95-CECC-4572-955D-C5AB32CC7D10}"/>
    <cellStyle name="Normal 30 2 5 2" xfId="32914" xr:uid="{2E2D4446-5359-4FAD-B185-C597C7F9827B}"/>
    <cellStyle name="Normal 30 2 5 3" xfId="32915" xr:uid="{337E8C4D-00AD-4118-BDA8-C76D0278998D}"/>
    <cellStyle name="Normal 30 2 5 4" xfId="32916" xr:uid="{3E3422A2-247A-4F0E-A962-B958B76FCA20}"/>
    <cellStyle name="Normal 30 2 5 5" xfId="32917" xr:uid="{39CB8059-F51B-44D7-B399-C7AB233FE2D2}"/>
    <cellStyle name="Normal 30 2 5 6" xfId="32918" xr:uid="{B47FF12D-0AE9-4FBA-8DEF-4BBDC6732B96}"/>
    <cellStyle name="Normal 30 2 6" xfId="32919" xr:uid="{F2BE6498-9FFA-4C1E-909F-AE0D72149730}"/>
    <cellStyle name="Normal 30 2 6 2" xfId="32920" xr:uid="{9A45E292-08EF-4486-A932-43B4ECE4B77E}"/>
    <cellStyle name="Normal 30 2 6 3" xfId="32921" xr:uid="{50BCA509-8661-43D7-AFC4-3F4EBF8AF1A0}"/>
    <cellStyle name="Normal 30 2 6 4" xfId="32922" xr:uid="{47DFAFC5-BD79-4557-9291-AB7AE153874E}"/>
    <cellStyle name="Normal 30 2 6 5" xfId="32923" xr:uid="{6845615D-394A-4FED-ACCF-6B0E56167173}"/>
    <cellStyle name="Normal 30 2 6 6" xfId="32924" xr:uid="{B9BD1284-A3A7-4C47-9DDB-225068A52BB3}"/>
    <cellStyle name="Normal 30 2 7" xfId="32925" xr:uid="{E59AEEC7-BDEA-4A55-9964-247024303008}"/>
    <cellStyle name="Normal 30 2 7 2" xfId="32926" xr:uid="{74B31C85-5D9F-4678-9CD9-26EEFEC3131A}"/>
    <cellStyle name="Normal 30 2 7 3" xfId="32927" xr:uid="{E71249C9-EA59-4157-801E-BD5F44B47C84}"/>
    <cellStyle name="Normal 30 2 7 4" xfId="32928" xr:uid="{137C927C-AB9C-4B6E-875C-B77B38332F84}"/>
    <cellStyle name="Normal 30 2 7 5" xfId="32929" xr:uid="{662A3AAD-A043-428F-9590-658B78763713}"/>
    <cellStyle name="Normal 30 2 7 6" xfId="32930" xr:uid="{0A2DD500-8F91-4F58-99A7-14145E9ACBFA}"/>
    <cellStyle name="Normal 30 2 8" xfId="32931" xr:uid="{8204CD1F-F5C7-46D5-9DC4-510E8978FF8F}"/>
    <cellStyle name="Normal 30 2 8 2" xfId="32932" xr:uid="{26A90D09-284B-402E-BF02-B15F188F7D4E}"/>
    <cellStyle name="Normal 30 2 8 3" xfId="32933" xr:uid="{5E093651-F970-44BD-8970-F0919775AC54}"/>
    <cellStyle name="Normal 30 2 8 4" xfId="32934" xr:uid="{1BE40EC1-EAC4-43E9-A09B-162D54C73898}"/>
    <cellStyle name="Normal 30 2 8 5" xfId="32935" xr:uid="{37417E02-72F8-4FAE-89DC-1002E627087A}"/>
    <cellStyle name="Normal 30 2 8 6" xfId="32936" xr:uid="{2BF9EEBB-BFD7-4EEA-B40F-05EEC7544875}"/>
    <cellStyle name="Normal 30 2 9" xfId="32937" xr:uid="{EEAA37F6-1AE5-49AC-95BC-1801C4F34F79}"/>
    <cellStyle name="Normal 30 20" xfId="32938" xr:uid="{3340B6CF-9708-4957-815A-B78121CD7AE8}"/>
    <cellStyle name="Normal 30 21" xfId="32939" xr:uid="{D39E653D-2836-4E70-A64D-939398D856B0}"/>
    <cellStyle name="Normal 30 22" xfId="32940" xr:uid="{6E90DBC4-BB04-42DB-9B0F-F40B2FCE004E}"/>
    <cellStyle name="Normal 30 23" xfId="32941" xr:uid="{FE5344D4-B590-47F7-AB5F-B90ABB61CE5F}"/>
    <cellStyle name="Normal 30 24" xfId="43586" xr:uid="{7B7E32FA-7167-495B-947F-30B9273AE01A}"/>
    <cellStyle name="Normal 30 3" xfId="32942" xr:uid="{525107B4-9BC5-4101-8C6F-32B0BB9ABB7D}"/>
    <cellStyle name="Normal 30 3 10" xfId="32943" xr:uid="{2FC953C4-5779-4EFB-AA6B-011C0F76FDDF}"/>
    <cellStyle name="Normal 30 3 11" xfId="32944" xr:uid="{962BBCAC-A52D-4498-B1AB-E0F5C929AD72}"/>
    <cellStyle name="Normal 30 3 12" xfId="32945" xr:uid="{AA1A2421-694B-4107-BAE3-C9111BD83A13}"/>
    <cellStyle name="Normal 30 3 13" xfId="32946" xr:uid="{0A3D1430-2114-4965-9415-000F8F153F3B}"/>
    <cellStyle name="Normal 30 3 2" xfId="32947" xr:uid="{0FADE2D0-CF45-4B27-BF82-7BAD0E203AE5}"/>
    <cellStyle name="Normal 30 3 2 2" xfId="32948" xr:uid="{2111B36F-F646-4019-8F93-AB7D0063802D}"/>
    <cellStyle name="Normal 30 3 2 3" xfId="32949" xr:uid="{D4F80CCF-81F2-48C7-8C46-658B9783AEC9}"/>
    <cellStyle name="Normal 30 3 2 4" xfId="32950" xr:uid="{D22B208C-AF98-4271-899D-273CD7614D5B}"/>
    <cellStyle name="Normal 30 3 2 5" xfId="32951" xr:uid="{12E154E4-72BD-4733-8459-48D7C3A4CE1B}"/>
    <cellStyle name="Normal 30 3 2 6" xfId="32952" xr:uid="{D46070D0-2CAE-4FC3-A221-875F236FA36E}"/>
    <cellStyle name="Normal 30 3 3" xfId="32953" xr:uid="{F9BB8C2E-5ABC-4217-9E6B-EFE929398391}"/>
    <cellStyle name="Normal 30 3 3 2" xfId="32954" xr:uid="{80DABAAF-0FD0-441E-995A-37C62A0075ED}"/>
    <cellStyle name="Normal 30 3 3 3" xfId="32955" xr:uid="{8030E8A6-D1A4-4BF4-8877-8BDD01AE772C}"/>
    <cellStyle name="Normal 30 3 3 4" xfId="32956" xr:uid="{3995DBBF-8C49-4926-826E-849CEF04AD30}"/>
    <cellStyle name="Normal 30 3 3 5" xfId="32957" xr:uid="{AF58F257-0228-4F4B-98A3-2BB9FD419884}"/>
    <cellStyle name="Normal 30 3 3 6" xfId="32958" xr:uid="{6615486A-FF62-4CAE-B0BF-5DA8A70CDF94}"/>
    <cellStyle name="Normal 30 3 4" xfId="32959" xr:uid="{7E760F84-F0B6-4BDB-B38B-0E40CB297EE9}"/>
    <cellStyle name="Normal 30 3 4 2" xfId="32960" xr:uid="{ED3EDDA4-2A39-4AD4-AE1E-DB15E9518807}"/>
    <cellStyle name="Normal 30 3 4 3" xfId="32961" xr:uid="{03BF1A01-5BAD-46D7-88BD-837DC3D38BC6}"/>
    <cellStyle name="Normal 30 3 4 4" xfId="32962" xr:uid="{7F0A0BFE-AA71-4E24-B58F-8BC027B60FA0}"/>
    <cellStyle name="Normal 30 3 4 5" xfId="32963" xr:uid="{E8A47876-869D-4E0E-A8BD-F0ECC043EC26}"/>
    <cellStyle name="Normal 30 3 4 6" xfId="32964" xr:uid="{C9F7D6EC-50C2-41BA-8BA9-EA1B7149FD04}"/>
    <cellStyle name="Normal 30 3 5" xfId="32965" xr:uid="{0D1D384B-48C7-4EF7-8D46-369B0A2150EE}"/>
    <cellStyle name="Normal 30 3 5 2" xfId="32966" xr:uid="{9D479BEA-CFAD-453F-A18B-27D8F1EC1F52}"/>
    <cellStyle name="Normal 30 3 5 3" xfId="32967" xr:uid="{75CD82B7-25BC-4621-92DB-66F87BA52109}"/>
    <cellStyle name="Normal 30 3 5 4" xfId="32968" xr:uid="{E4BA1DFA-00E9-4196-A2FE-CADFEB3EFC0E}"/>
    <cellStyle name="Normal 30 3 5 5" xfId="32969" xr:uid="{0A9096ED-0BD2-4FE1-AE0F-718935A739D9}"/>
    <cellStyle name="Normal 30 3 5 6" xfId="32970" xr:uid="{2DEDCE4B-397D-49BB-AA1E-DEE6AF9340B1}"/>
    <cellStyle name="Normal 30 3 6" xfId="32971" xr:uid="{364ACB5B-71A5-4D42-9E95-C617BF52A308}"/>
    <cellStyle name="Normal 30 3 6 2" xfId="32972" xr:uid="{67991AE6-7913-4891-8E35-C6DC421BD277}"/>
    <cellStyle name="Normal 30 3 6 3" xfId="32973" xr:uid="{C1E0529F-BC04-4C8A-918D-C206DFFC2534}"/>
    <cellStyle name="Normal 30 3 6 4" xfId="32974" xr:uid="{4368453F-F744-4F51-84E3-7E1F6DD10BBD}"/>
    <cellStyle name="Normal 30 3 6 5" xfId="32975" xr:uid="{0F8DFAA0-D368-4B90-9E2A-80D0EC9E443D}"/>
    <cellStyle name="Normal 30 3 6 6" xfId="32976" xr:uid="{4CB86239-8D56-4CA6-BA0D-451A13FD3B31}"/>
    <cellStyle name="Normal 30 3 7" xfId="32977" xr:uid="{98052A48-3919-4343-AA28-F5AC9A455BBB}"/>
    <cellStyle name="Normal 30 3 7 2" xfId="32978" xr:uid="{D28AC328-A466-4376-B75E-63E1E98FE26F}"/>
    <cellStyle name="Normal 30 3 7 3" xfId="32979" xr:uid="{BD6C0B6F-6A50-4768-8D42-D06C972910FF}"/>
    <cellStyle name="Normal 30 3 7 4" xfId="32980" xr:uid="{7D705BE9-27F0-465D-BFFC-BE502A898FAB}"/>
    <cellStyle name="Normal 30 3 7 5" xfId="32981" xr:uid="{27B92E7F-CED3-4195-A621-ED03B91BF824}"/>
    <cellStyle name="Normal 30 3 7 6" xfId="32982" xr:uid="{9E698A84-BC20-46FE-970A-8695174401F8}"/>
    <cellStyle name="Normal 30 3 8" xfId="32983" xr:uid="{479FDC8E-F945-4BCD-A44A-6DCE08F9B95F}"/>
    <cellStyle name="Normal 30 3 8 2" xfId="32984" xr:uid="{A9ED757D-B3D3-42A1-A9CB-555584A36A47}"/>
    <cellStyle name="Normal 30 3 8 3" xfId="32985" xr:uid="{5CDF54D1-D600-461C-B26F-27ADD7065357}"/>
    <cellStyle name="Normal 30 3 8 4" xfId="32986" xr:uid="{35FD9BE9-D30D-45FF-BCD9-347738F8CCCD}"/>
    <cellStyle name="Normal 30 3 8 5" xfId="32987" xr:uid="{5BD93885-2C81-424A-9B3E-C77A5C5072A5}"/>
    <cellStyle name="Normal 30 3 8 6" xfId="32988" xr:uid="{80787A35-E0C9-4108-9C7B-D9CDB09B2A05}"/>
    <cellStyle name="Normal 30 3 9" xfId="32989" xr:uid="{2EE14873-C02A-4249-A504-1E0C057CD754}"/>
    <cellStyle name="Normal 30 4" xfId="32990" xr:uid="{6DD8E3E7-576A-47ED-91D6-090305BDBFA7}"/>
    <cellStyle name="Normal 30 4 10" xfId="32991" xr:uid="{02766F4B-D7AE-4233-A19C-66352C41FF56}"/>
    <cellStyle name="Normal 30 4 11" xfId="32992" xr:uid="{601D892B-B1C0-4B09-9B53-448E28A2607D}"/>
    <cellStyle name="Normal 30 4 12" xfId="32993" xr:uid="{8C647794-8F2A-41AC-8093-81EB89B3A6FB}"/>
    <cellStyle name="Normal 30 4 13" xfId="32994" xr:uid="{A914122F-CA87-45E3-B223-8BF58C1D661F}"/>
    <cellStyle name="Normal 30 4 2" xfId="32995" xr:uid="{403BF1CC-534C-40FB-8FD9-CF170B33159D}"/>
    <cellStyle name="Normal 30 4 2 2" xfId="32996" xr:uid="{4CC619AF-8B4D-46AA-9B88-9DA996D0596C}"/>
    <cellStyle name="Normal 30 4 2 3" xfId="32997" xr:uid="{A820B061-4B7C-4DCF-B811-41F00BE8783A}"/>
    <cellStyle name="Normal 30 4 2 4" xfId="32998" xr:uid="{869B57BB-C8B7-44F7-9B53-296B057B752A}"/>
    <cellStyle name="Normal 30 4 2 5" xfId="32999" xr:uid="{306F8E28-2AB1-4408-BDBD-C604D408AAE3}"/>
    <cellStyle name="Normal 30 4 2 6" xfId="33000" xr:uid="{246D867C-16F1-4636-A8BF-3C5572817B7F}"/>
    <cellStyle name="Normal 30 4 3" xfId="33001" xr:uid="{198A5822-E33D-4190-9F68-D5C1CEFA6297}"/>
    <cellStyle name="Normal 30 4 3 2" xfId="33002" xr:uid="{ACEBBF28-05A1-4EFF-897A-66959AFCC318}"/>
    <cellStyle name="Normal 30 4 3 3" xfId="33003" xr:uid="{F55425BD-C752-4DE3-9940-574E882ECF91}"/>
    <cellStyle name="Normal 30 4 3 4" xfId="33004" xr:uid="{E768D9C0-76AD-43B7-97A8-FC803FDD3598}"/>
    <cellStyle name="Normal 30 4 3 5" xfId="33005" xr:uid="{B9938A60-9806-4A40-B587-E87C7AF00975}"/>
    <cellStyle name="Normal 30 4 3 6" xfId="33006" xr:uid="{EE3BEC56-F50F-4D7C-86CF-D1263E34839F}"/>
    <cellStyle name="Normal 30 4 4" xfId="33007" xr:uid="{D24BDF2B-635E-4850-AF4A-D43898A6D387}"/>
    <cellStyle name="Normal 30 4 4 2" xfId="33008" xr:uid="{7DCEE6AF-E75A-4AB4-9978-D6A292052368}"/>
    <cellStyle name="Normal 30 4 4 3" xfId="33009" xr:uid="{93D1E36D-8AC0-4A94-8A81-F9CD6017D0AA}"/>
    <cellStyle name="Normal 30 4 4 4" xfId="33010" xr:uid="{5629AE1F-33BE-4A67-A709-1A0445273CF4}"/>
    <cellStyle name="Normal 30 4 4 5" xfId="33011" xr:uid="{53B20014-1093-472B-A5AF-060678E5801F}"/>
    <cellStyle name="Normal 30 4 4 6" xfId="33012" xr:uid="{C93DA940-36EA-43AB-B46C-3B92CAC4A382}"/>
    <cellStyle name="Normal 30 4 5" xfId="33013" xr:uid="{1473CDE1-8D57-4D86-AAFD-C65F45BA0CB7}"/>
    <cellStyle name="Normal 30 4 5 2" xfId="33014" xr:uid="{E7CB351F-C6B9-4CC8-BF1C-71C179882F50}"/>
    <cellStyle name="Normal 30 4 5 3" xfId="33015" xr:uid="{59CD4CDE-27CA-46D0-AB2A-F8734200442B}"/>
    <cellStyle name="Normal 30 4 5 4" xfId="33016" xr:uid="{48E3E95F-C9F3-419B-8365-99B4F5FF5D2C}"/>
    <cellStyle name="Normal 30 4 5 5" xfId="33017" xr:uid="{CDFC22A7-AF56-42CA-A40A-D84C6E520455}"/>
    <cellStyle name="Normal 30 4 5 6" xfId="33018" xr:uid="{EC27FE02-8CD2-4327-B963-64E503DEAB54}"/>
    <cellStyle name="Normal 30 4 6" xfId="33019" xr:uid="{809E7BB1-B489-4209-8202-72E364A38A6B}"/>
    <cellStyle name="Normal 30 4 6 2" xfId="33020" xr:uid="{11689958-EF82-4BAF-9A67-C2EB9232AA6C}"/>
    <cellStyle name="Normal 30 4 6 3" xfId="33021" xr:uid="{B597B91D-DB4F-43E6-8DC0-55F77D0C80C6}"/>
    <cellStyle name="Normal 30 4 6 4" xfId="33022" xr:uid="{CEA843F2-50CA-425C-8A94-A84A0F48CCF8}"/>
    <cellStyle name="Normal 30 4 6 5" xfId="33023" xr:uid="{586CE63F-0161-46E5-85CF-64C8CAF48515}"/>
    <cellStyle name="Normal 30 4 6 6" xfId="33024" xr:uid="{6CD7DE4C-3B40-4026-96CF-1634FE615BCD}"/>
    <cellStyle name="Normal 30 4 7" xfId="33025" xr:uid="{64E5AA18-BC50-43BA-A650-AA589B3A6C76}"/>
    <cellStyle name="Normal 30 4 7 2" xfId="33026" xr:uid="{D3431AB6-DF7D-4449-A9D0-E23AD277401A}"/>
    <cellStyle name="Normal 30 4 7 3" xfId="33027" xr:uid="{8DAB34D4-AE4B-4D18-9751-57859F77F292}"/>
    <cellStyle name="Normal 30 4 7 4" xfId="33028" xr:uid="{A42786F0-2C6B-482B-8D1E-0A5F4A171441}"/>
    <cellStyle name="Normal 30 4 7 5" xfId="33029" xr:uid="{9116925B-DCF9-46BD-BA31-F3AF1FC15E73}"/>
    <cellStyle name="Normal 30 4 7 6" xfId="33030" xr:uid="{B92A189F-A9A4-4F2C-A35B-C142324EEB32}"/>
    <cellStyle name="Normal 30 4 8" xfId="33031" xr:uid="{574B64A4-2659-4BBE-A124-680FCCDCC70F}"/>
    <cellStyle name="Normal 30 4 8 2" xfId="33032" xr:uid="{CCF9523D-6220-4E5A-8FAB-9834318FD544}"/>
    <cellStyle name="Normal 30 4 8 3" xfId="33033" xr:uid="{A00AB90C-958B-4E0C-BA26-F9C3806E59D2}"/>
    <cellStyle name="Normal 30 4 8 4" xfId="33034" xr:uid="{76A809A8-595D-4CEB-A7C6-CC5E4389FC1F}"/>
    <cellStyle name="Normal 30 4 8 5" xfId="33035" xr:uid="{86F212FD-F2D6-4AF7-8643-7163A8FED6D1}"/>
    <cellStyle name="Normal 30 4 8 6" xfId="33036" xr:uid="{6BB1AAD8-44E6-45B7-8487-AE012C28FCAB}"/>
    <cellStyle name="Normal 30 4 9" xfId="33037" xr:uid="{15646046-785C-48B6-BFF5-6E99D2A97384}"/>
    <cellStyle name="Normal 30 5" xfId="33038" xr:uid="{1729B83B-3906-4715-958E-7613D995096F}"/>
    <cellStyle name="Normal 30 5 10" xfId="33039" xr:uid="{D815A2FE-441E-4782-9B9E-1988393D57D8}"/>
    <cellStyle name="Normal 30 5 11" xfId="33040" xr:uid="{8EF8F6E1-75FC-4DE9-A00D-07B7352BA61A}"/>
    <cellStyle name="Normal 30 5 12" xfId="33041" xr:uid="{A69D6CE9-F159-4C63-A5C2-6D1A3D10AA41}"/>
    <cellStyle name="Normal 30 5 13" xfId="33042" xr:uid="{2A65B97F-0159-49DA-BCA0-B78EE4BC0432}"/>
    <cellStyle name="Normal 30 5 2" xfId="33043" xr:uid="{F697DBB7-AEFD-4BA4-86D3-48B24EA18AE4}"/>
    <cellStyle name="Normal 30 5 2 2" xfId="33044" xr:uid="{99EF152C-13F4-48DF-ADDC-74E5BE9A15A5}"/>
    <cellStyle name="Normal 30 5 2 3" xfId="33045" xr:uid="{F49D2AB4-1929-4310-8AB5-E5228E146438}"/>
    <cellStyle name="Normal 30 5 2 4" xfId="33046" xr:uid="{A916AB40-E4A7-4EDA-8E87-B1DCBFD06EEB}"/>
    <cellStyle name="Normal 30 5 2 5" xfId="33047" xr:uid="{944AF279-B0A9-424D-BEB4-54B80DB4023C}"/>
    <cellStyle name="Normal 30 5 2 6" xfId="33048" xr:uid="{0356A66C-ED59-49B3-A061-DBA8C3AA14A7}"/>
    <cellStyle name="Normal 30 5 3" xfId="33049" xr:uid="{0E6D1C18-60EF-41CC-BFAA-87B1C345D524}"/>
    <cellStyle name="Normal 30 5 3 2" xfId="33050" xr:uid="{D049AAE5-DCD6-46D0-8482-5E5077AA6474}"/>
    <cellStyle name="Normal 30 5 3 3" xfId="33051" xr:uid="{8F7BB6DD-DF87-4BA0-A8D1-445B9B5DFC16}"/>
    <cellStyle name="Normal 30 5 3 4" xfId="33052" xr:uid="{F6DD26F9-A1AA-4B65-9F8A-6CC94CEC5DA8}"/>
    <cellStyle name="Normal 30 5 3 5" xfId="33053" xr:uid="{AF749735-B0C4-40BE-9B2A-964F9173D4C7}"/>
    <cellStyle name="Normal 30 5 3 6" xfId="33054" xr:uid="{A5D5B06F-26BD-4C40-B6D5-26A075F8298C}"/>
    <cellStyle name="Normal 30 5 4" xfId="33055" xr:uid="{381478F0-FF61-4972-BD49-1642CA920799}"/>
    <cellStyle name="Normal 30 5 4 2" xfId="33056" xr:uid="{01E6C992-A81A-4E1D-9C11-B3E7A25C232E}"/>
    <cellStyle name="Normal 30 5 4 3" xfId="33057" xr:uid="{62D56174-2CFE-4E72-B505-18A968B63BC1}"/>
    <cellStyle name="Normal 30 5 4 4" xfId="33058" xr:uid="{11CD51E4-CED0-46A0-98A0-D1DA33587B3E}"/>
    <cellStyle name="Normal 30 5 4 5" xfId="33059" xr:uid="{B5EEFA65-357E-41AF-B884-EAD46B5E1353}"/>
    <cellStyle name="Normal 30 5 4 6" xfId="33060" xr:uid="{149C70B4-305E-4303-B5A5-98F62E983FC4}"/>
    <cellStyle name="Normal 30 5 5" xfId="33061" xr:uid="{C116AB15-29DD-4E02-9896-B0EB4D2C2A89}"/>
    <cellStyle name="Normal 30 5 5 2" xfId="33062" xr:uid="{7A3B1C98-AF36-45D6-BD00-C895D9774A61}"/>
    <cellStyle name="Normal 30 5 5 3" xfId="33063" xr:uid="{72F90D06-1F86-40A3-BC0E-CCF8EF6BE8FB}"/>
    <cellStyle name="Normal 30 5 5 4" xfId="33064" xr:uid="{1C333B1B-8AA8-4A97-A8FD-EBBF0E7057F5}"/>
    <cellStyle name="Normal 30 5 5 5" xfId="33065" xr:uid="{659246D1-CC66-42E9-82B4-79CE11115591}"/>
    <cellStyle name="Normal 30 5 5 6" xfId="33066" xr:uid="{A80A583E-BBF5-4AFE-A019-26B5C5FB9110}"/>
    <cellStyle name="Normal 30 5 6" xfId="33067" xr:uid="{B36ACA61-8C5A-4C59-864F-AC912FE9CE29}"/>
    <cellStyle name="Normal 30 5 6 2" xfId="33068" xr:uid="{2F59FD4B-96B4-4875-A055-DE6A4885C992}"/>
    <cellStyle name="Normal 30 5 6 3" xfId="33069" xr:uid="{34DEF16E-B2F0-4602-BEA7-B5433EDDCF41}"/>
    <cellStyle name="Normal 30 5 6 4" xfId="33070" xr:uid="{821634A4-17E0-4ED2-BF7B-D64328A4A0B6}"/>
    <cellStyle name="Normal 30 5 6 5" xfId="33071" xr:uid="{506DBF93-10B2-4795-AFBC-E95BB0B11139}"/>
    <cellStyle name="Normal 30 5 6 6" xfId="33072" xr:uid="{9CE427D2-9216-4CA3-B137-8F580565054A}"/>
    <cellStyle name="Normal 30 5 7" xfId="33073" xr:uid="{6F39CA92-2D1F-45CB-B49F-0393013F0E33}"/>
    <cellStyle name="Normal 30 5 7 2" xfId="33074" xr:uid="{52642428-4F21-4C95-817D-1E47FFA66782}"/>
    <cellStyle name="Normal 30 5 7 3" xfId="33075" xr:uid="{553736FF-2084-462C-B2EC-E8081B2604BD}"/>
    <cellStyle name="Normal 30 5 7 4" xfId="33076" xr:uid="{5C1F6093-B816-4028-98FC-32D72CF10504}"/>
    <cellStyle name="Normal 30 5 7 5" xfId="33077" xr:uid="{2E704527-D2DD-4643-A9C9-59C86230A817}"/>
    <cellStyle name="Normal 30 5 7 6" xfId="33078" xr:uid="{1E9F2BB3-E71B-476A-BF77-72E176CF2CD4}"/>
    <cellStyle name="Normal 30 5 8" xfId="33079" xr:uid="{07752F9F-A370-44DA-972E-49D2D968CD28}"/>
    <cellStyle name="Normal 30 5 8 2" xfId="33080" xr:uid="{5D47D3D2-B344-4B46-ABD7-267D51168211}"/>
    <cellStyle name="Normal 30 5 8 3" xfId="33081" xr:uid="{564B8157-E512-4C77-8FDA-DF9DDCF7650B}"/>
    <cellStyle name="Normal 30 5 8 4" xfId="33082" xr:uid="{75976EC1-7277-41AC-A9E5-85F66FD439BB}"/>
    <cellStyle name="Normal 30 5 8 5" xfId="33083" xr:uid="{66215EA2-4C57-408E-A1AB-308B8BC1F711}"/>
    <cellStyle name="Normal 30 5 8 6" xfId="33084" xr:uid="{2301E7F3-A333-4585-BCDD-8E2014C20B68}"/>
    <cellStyle name="Normal 30 5 9" xfId="33085" xr:uid="{5F4AE2F7-C067-46F0-AE77-C846D4F5D92C}"/>
    <cellStyle name="Normal 30 6" xfId="33086" xr:uid="{5EE5E6D8-0392-4200-8A21-8243F91A5C3D}"/>
    <cellStyle name="Normal 30 6 10" xfId="33087" xr:uid="{2814C9E4-E4A1-4677-ACB3-A8F13C7F02F8}"/>
    <cellStyle name="Normal 30 6 11" xfId="33088" xr:uid="{9D972D93-68DB-4B8C-A672-2B34EBC4DBF1}"/>
    <cellStyle name="Normal 30 6 12" xfId="33089" xr:uid="{B145DBF0-6D9C-4E2C-9F22-ADF5826F184E}"/>
    <cellStyle name="Normal 30 6 13" xfId="33090" xr:uid="{6355DE2E-7A9D-4343-8002-9CE78067E1B0}"/>
    <cellStyle name="Normal 30 6 2" xfId="33091" xr:uid="{A5F0F227-E332-4AAC-913D-3FE9E4E87772}"/>
    <cellStyle name="Normal 30 6 2 2" xfId="33092" xr:uid="{5B6A6A24-0B8A-4F9A-A9D5-9785D0963D20}"/>
    <cellStyle name="Normal 30 6 2 3" xfId="33093" xr:uid="{689A14A5-E3C4-40B1-BC99-7A9FFD672E1D}"/>
    <cellStyle name="Normal 30 6 2 4" xfId="33094" xr:uid="{7652C67B-870E-4419-9AF7-AF5CE5EFE508}"/>
    <cellStyle name="Normal 30 6 2 5" xfId="33095" xr:uid="{3063B71B-589F-415C-908A-21667860CA81}"/>
    <cellStyle name="Normal 30 6 2 6" xfId="33096" xr:uid="{65211EE7-E160-4CE9-A30E-AF19B336AB43}"/>
    <cellStyle name="Normal 30 6 3" xfId="33097" xr:uid="{17922A31-465F-44E6-B9E8-A93A32B2F15F}"/>
    <cellStyle name="Normal 30 6 3 2" xfId="33098" xr:uid="{F4AEBABF-E9FF-44CC-9A5A-32A31BDF1E83}"/>
    <cellStyle name="Normal 30 6 3 3" xfId="33099" xr:uid="{F1036398-D39A-4E12-BBD8-D7967905019F}"/>
    <cellStyle name="Normal 30 6 3 4" xfId="33100" xr:uid="{A187EA65-F3FC-471F-9F73-ECB1C01DB156}"/>
    <cellStyle name="Normal 30 6 3 5" xfId="33101" xr:uid="{11054EFB-2554-4473-B940-29FA27B728A9}"/>
    <cellStyle name="Normal 30 6 3 6" xfId="33102" xr:uid="{6AE3B031-0631-47BD-892D-FCE2A2684E1E}"/>
    <cellStyle name="Normal 30 6 4" xfId="33103" xr:uid="{B46B3DD0-28E7-4ABF-9FED-504D8760B4BE}"/>
    <cellStyle name="Normal 30 6 4 2" xfId="33104" xr:uid="{2B242024-8C9C-4DB9-8513-74BFE191B3E6}"/>
    <cellStyle name="Normal 30 6 4 3" xfId="33105" xr:uid="{14BA1ED3-3A6C-4DAC-90F0-13A07F6A3EBA}"/>
    <cellStyle name="Normal 30 6 4 4" xfId="33106" xr:uid="{7901DB3C-886A-4CF5-84CD-E78663C0B6C6}"/>
    <cellStyle name="Normal 30 6 4 5" xfId="33107" xr:uid="{D85A926F-0DC5-4017-8952-144E4DEC8EE2}"/>
    <cellStyle name="Normal 30 6 4 6" xfId="33108" xr:uid="{D5959004-6832-4C3F-AAF4-702B51701AD3}"/>
    <cellStyle name="Normal 30 6 5" xfId="33109" xr:uid="{CD3883AF-817A-49FA-96FB-BB2C1EEE9AA8}"/>
    <cellStyle name="Normal 30 6 5 2" xfId="33110" xr:uid="{B4C36B98-8905-4296-B942-8CEE0EE279BE}"/>
    <cellStyle name="Normal 30 6 5 3" xfId="33111" xr:uid="{15ACF7EF-0577-4C1E-97D3-40EF014B452D}"/>
    <cellStyle name="Normal 30 6 5 4" xfId="33112" xr:uid="{7D92503E-450B-4C68-8801-77632122BF5B}"/>
    <cellStyle name="Normal 30 6 5 5" xfId="33113" xr:uid="{4C5A8DF3-0FC4-419A-8887-6072AF6ABE74}"/>
    <cellStyle name="Normal 30 6 5 6" xfId="33114" xr:uid="{15C9EBD0-DFDF-466F-96A1-DAC843F285C8}"/>
    <cellStyle name="Normal 30 6 6" xfId="33115" xr:uid="{D3F237D9-7D23-467D-B7C3-F391A4245088}"/>
    <cellStyle name="Normal 30 6 6 2" xfId="33116" xr:uid="{19030D05-DA32-4365-9088-A44B911FF629}"/>
    <cellStyle name="Normal 30 6 6 3" xfId="33117" xr:uid="{9A16FB4B-77E1-4BA6-9495-29E2CE9C754C}"/>
    <cellStyle name="Normal 30 6 6 4" xfId="33118" xr:uid="{71101A2A-3225-4603-B2C8-4B297647F2AF}"/>
    <cellStyle name="Normal 30 6 6 5" xfId="33119" xr:uid="{67A760EE-1108-4E21-9DC6-C4D62D2E702F}"/>
    <cellStyle name="Normal 30 6 6 6" xfId="33120" xr:uid="{874A04F1-D4F1-4B2B-B100-B25A555422FA}"/>
    <cellStyle name="Normal 30 6 7" xfId="33121" xr:uid="{0F47915A-0E1D-4B86-80E7-FB00E561EA60}"/>
    <cellStyle name="Normal 30 6 7 2" xfId="33122" xr:uid="{874D653A-8F55-48EF-9ECB-2500EDD4FEC4}"/>
    <cellStyle name="Normal 30 6 7 3" xfId="33123" xr:uid="{77951A23-549C-47F2-8554-792E38E9971C}"/>
    <cellStyle name="Normal 30 6 7 4" xfId="33124" xr:uid="{3D188962-C656-4E4D-B190-DA8994933203}"/>
    <cellStyle name="Normal 30 6 7 5" xfId="33125" xr:uid="{6E32A185-AFF6-4A49-AA83-6471038939FA}"/>
    <cellStyle name="Normal 30 6 7 6" xfId="33126" xr:uid="{D6269A76-2437-477C-9DF3-27E084800871}"/>
    <cellStyle name="Normal 30 6 8" xfId="33127" xr:uid="{1D6C25F8-BB8B-4DC1-A455-E7F558FEC634}"/>
    <cellStyle name="Normal 30 6 8 2" xfId="33128" xr:uid="{91FE3E8F-A021-44D4-BFDB-B57CFEE68BF1}"/>
    <cellStyle name="Normal 30 6 8 3" xfId="33129" xr:uid="{740DDD9B-0468-4D2E-BA87-3DFEA2A243CE}"/>
    <cellStyle name="Normal 30 6 8 4" xfId="33130" xr:uid="{A3BCE456-AB1E-425A-90B6-F146A88EE988}"/>
    <cellStyle name="Normal 30 6 8 5" xfId="33131" xr:uid="{3A813D67-3A5E-4F32-9D8A-61F7155205F2}"/>
    <cellStyle name="Normal 30 6 8 6" xfId="33132" xr:uid="{0338A78B-BB9B-4BFE-8443-FFA880E25224}"/>
    <cellStyle name="Normal 30 6 9" xfId="33133" xr:uid="{9194F6B3-CD5D-48D9-A1DE-C847626B55E0}"/>
    <cellStyle name="Normal 30 7" xfId="33134" xr:uid="{72BD0FA8-F8B6-4698-B464-B245804F1365}"/>
    <cellStyle name="Normal 30 7 10" xfId="33135" xr:uid="{690CA6EF-6314-4196-A26D-031A3D8A8187}"/>
    <cellStyle name="Normal 30 7 11" xfId="33136" xr:uid="{FAE4AB70-7785-462D-B5E9-C4ADE5495699}"/>
    <cellStyle name="Normal 30 7 12" xfId="33137" xr:uid="{05DEE277-933D-4506-965F-C1A1F35C8B00}"/>
    <cellStyle name="Normal 30 7 13" xfId="33138" xr:uid="{6436FD1E-BFD4-40B8-9C4F-47DBC988EDF5}"/>
    <cellStyle name="Normal 30 7 2" xfId="33139" xr:uid="{8A845811-0BE7-48E4-8DEC-CFEB381D556F}"/>
    <cellStyle name="Normal 30 7 2 2" xfId="33140" xr:uid="{BB3A7CF8-02B1-4CF2-8CEB-9BD132015AC5}"/>
    <cellStyle name="Normal 30 7 2 3" xfId="33141" xr:uid="{9454B2BF-8FB3-4B49-9B76-7804FB24AB59}"/>
    <cellStyle name="Normal 30 7 2 4" xfId="33142" xr:uid="{CD1E56E0-EFA1-49A4-AFCE-E0D124A56A3C}"/>
    <cellStyle name="Normal 30 7 2 5" xfId="33143" xr:uid="{5BFEE9F5-F99E-4286-8878-458DEE63E7D9}"/>
    <cellStyle name="Normal 30 7 2 6" xfId="33144" xr:uid="{FD7D80B0-75CA-4E92-9733-BE33642D5FC1}"/>
    <cellStyle name="Normal 30 7 3" xfId="33145" xr:uid="{CD78A17A-C9DF-4AF7-AEC8-461DA72D628D}"/>
    <cellStyle name="Normal 30 7 3 2" xfId="33146" xr:uid="{F6C599FF-8F74-4EBC-9CF3-195517AD4169}"/>
    <cellStyle name="Normal 30 7 3 3" xfId="33147" xr:uid="{FF4BC78D-CFA7-4C98-8B83-6262DB6429E5}"/>
    <cellStyle name="Normal 30 7 3 4" xfId="33148" xr:uid="{6DED835F-8C2B-4A8A-AAA0-773AD6F804F0}"/>
    <cellStyle name="Normal 30 7 3 5" xfId="33149" xr:uid="{E1BDCD13-BBB9-453D-BBCD-7BD26A06F143}"/>
    <cellStyle name="Normal 30 7 3 6" xfId="33150" xr:uid="{DEFD14E9-6758-430A-95CB-6BE86F60FF49}"/>
    <cellStyle name="Normal 30 7 4" xfId="33151" xr:uid="{F7112692-5D57-4EF5-8B5D-AD0417D6CD1A}"/>
    <cellStyle name="Normal 30 7 4 2" xfId="33152" xr:uid="{B337488A-F7C4-44AD-8D06-61E95B8103DA}"/>
    <cellStyle name="Normal 30 7 4 3" xfId="33153" xr:uid="{8B9BFFA2-B421-4C1D-B341-CE94F9711E2B}"/>
    <cellStyle name="Normal 30 7 4 4" xfId="33154" xr:uid="{8A237F0A-8443-4A1F-BD8D-6310FE6CD862}"/>
    <cellStyle name="Normal 30 7 4 5" xfId="33155" xr:uid="{85FF9934-9AA5-4DEA-A5A0-A8308A0EA1AC}"/>
    <cellStyle name="Normal 30 7 4 6" xfId="33156" xr:uid="{61BA4553-16EB-4CB7-8847-EFCE71823D56}"/>
    <cellStyle name="Normal 30 7 5" xfId="33157" xr:uid="{2EEDEC43-DFE7-42D8-8257-28496CCA7F83}"/>
    <cellStyle name="Normal 30 7 5 2" xfId="33158" xr:uid="{787494A6-7F65-4F0C-8D99-192139231E40}"/>
    <cellStyle name="Normal 30 7 5 3" xfId="33159" xr:uid="{32159CA8-9D63-40E1-98E2-5EAE5432A5DB}"/>
    <cellStyle name="Normal 30 7 5 4" xfId="33160" xr:uid="{C433AD47-A9B9-4C21-8A8D-D1B8D99D3699}"/>
    <cellStyle name="Normal 30 7 5 5" xfId="33161" xr:uid="{3F1BD3EC-2460-41D5-AF88-2DAFD89703C1}"/>
    <cellStyle name="Normal 30 7 5 6" xfId="33162" xr:uid="{58194A6F-1935-4F67-9E53-46688BABD2E7}"/>
    <cellStyle name="Normal 30 7 6" xfId="33163" xr:uid="{DBE6E23D-F166-4FC0-8CCF-B2800A2FA53F}"/>
    <cellStyle name="Normal 30 7 6 2" xfId="33164" xr:uid="{43F63E52-F352-4DED-B0BB-814CB31A312D}"/>
    <cellStyle name="Normal 30 7 6 3" xfId="33165" xr:uid="{17D811C5-1D17-4368-92DD-97C2CFFCF9C6}"/>
    <cellStyle name="Normal 30 7 6 4" xfId="33166" xr:uid="{BF0A8B6D-FD8C-45BF-AE52-C3A7C5D6681C}"/>
    <cellStyle name="Normal 30 7 6 5" xfId="33167" xr:uid="{33AB5374-1FCC-45F7-B665-2C5109589E0B}"/>
    <cellStyle name="Normal 30 7 6 6" xfId="33168" xr:uid="{75DB0121-2246-4669-BCDE-D65887C513D8}"/>
    <cellStyle name="Normal 30 7 7" xfId="33169" xr:uid="{380D72CB-87C0-4F6C-AF29-70A25E8044BA}"/>
    <cellStyle name="Normal 30 7 7 2" xfId="33170" xr:uid="{E076109F-B7B3-4681-BEF3-D1E1C1DBD449}"/>
    <cellStyle name="Normal 30 7 7 3" xfId="33171" xr:uid="{9DB5517B-9BDA-4C4B-9658-87E806F9F5FF}"/>
    <cellStyle name="Normal 30 7 7 4" xfId="33172" xr:uid="{1A6499BC-2BE0-462B-A51C-55D24FF97529}"/>
    <cellStyle name="Normal 30 7 7 5" xfId="33173" xr:uid="{BA8C4D42-A133-42B8-8C41-4123E6E79E49}"/>
    <cellStyle name="Normal 30 7 7 6" xfId="33174" xr:uid="{5D1C6F0A-DFB0-4D56-B667-19B483AB191A}"/>
    <cellStyle name="Normal 30 7 8" xfId="33175" xr:uid="{F6EE1731-A3F0-49A4-8C4E-4FA5921B491B}"/>
    <cellStyle name="Normal 30 7 8 2" xfId="33176" xr:uid="{93A13677-AD12-43C9-BBAA-1F2352BD2173}"/>
    <cellStyle name="Normal 30 7 8 3" xfId="33177" xr:uid="{D0188092-5F88-41FD-8B88-A5E92B01C1F6}"/>
    <cellStyle name="Normal 30 7 8 4" xfId="33178" xr:uid="{B2AAA5EA-FC4C-4B3C-83C1-6BA38426015D}"/>
    <cellStyle name="Normal 30 7 8 5" xfId="33179" xr:uid="{33FBF54C-CF14-4E76-808F-095504AF955F}"/>
    <cellStyle name="Normal 30 7 8 6" xfId="33180" xr:uid="{BFDD2B1D-3F8C-42CD-A9BA-A671214A4AA8}"/>
    <cellStyle name="Normal 30 7 9" xfId="33181" xr:uid="{82A4FDB2-43C6-48F6-BF79-0D7831FE3BE0}"/>
    <cellStyle name="Normal 30 8" xfId="33182" xr:uid="{FF79D931-8361-41F4-A25F-57247E04C6A4}"/>
    <cellStyle name="Normal 30 8 10" xfId="33183" xr:uid="{22B1FD51-D59F-45F5-90C7-B13E29FC493F}"/>
    <cellStyle name="Normal 30 8 11" xfId="33184" xr:uid="{0A4748BE-93E4-47FB-B926-525843783517}"/>
    <cellStyle name="Normal 30 8 12" xfId="33185" xr:uid="{6A6667B0-AEC5-4EFB-BE13-8E22C28BF686}"/>
    <cellStyle name="Normal 30 8 13" xfId="33186" xr:uid="{BD7DF49C-F3E1-43BF-9E38-F424BCE02ABD}"/>
    <cellStyle name="Normal 30 8 2" xfId="33187" xr:uid="{D3E3D558-38C7-465D-93CA-45AC54632998}"/>
    <cellStyle name="Normal 30 8 2 2" xfId="33188" xr:uid="{94D50690-456F-48D7-BD0F-AE913CC58D3B}"/>
    <cellStyle name="Normal 30 8 2 3" xfId="33189" xr:uid="{2D3D1399-E1B3-4E19-B4A5-9BDFD6D60C99}"/>
    <cellStyle name="Normal 30 8 2 4" xfId="33190" xr:uid="{35A72132-6145-4D3B-9189-7230536E9150}"/>
    <cellStyle name="Normal 30 8 2 5" xfId="33191" xr:uid="{03E2747B-F4E9-46D2-BAA4-C3A68BB55B1C}"/>
    <cellStyle name="Normal 30 8 2 6" xfId="33192" xr:uid="{32E03E64-C85A-4F24-A245-4619E4750DD6}"/>
    <cellStyle name="Normal 30 8 3" xfId="33193" xr:uid="{62481F6F-ECC0-4B99-B9D5-C15C8D2B336F}"/>
    <cellStyle name="Normal 30 8 3 2" xfId="33194" xr:uid="{14E24A8F-5D4C-4F48-BBC0-ED8424FA0D79}"/>
    <cellStyle name="Normal 30 8 3 3" xfId="33195" xr:uid="{542650AE-4A3D-4DA4-9CB1-FA074164E0F8}"/>
    <cellStyle name="Normal 30 8 3 4" xfId="33196" xr:uid="{907088FE-1654-4C77-83BE-2ECE66DD2275}"/>
    <cellStyle name="Normal 30 8 3 5" xfId="33197" xr:uid="{A4E8A379-7A1E-40EF-9EA8-4F5C99B29381}"/>
    <cellStyle name="Normal 30 8 3 6" xfId="33198" xr:uid="{15261BDB-037E-470A-8754-ED61245B0129}"/>
    <cellStyle name="Normal 30 8 4" xfId="33199" xr:uid="{DA88A7B6-0DB6-4AEC-BAE4-FD416010A0EE}"/>
    <cellStyle name="Normal 30 8 4 2" xfId="33200" xr:uid="{4D1D08AB-0D44-4104-BFF0-507FF2944B3D}"/>
    <cellStyle name="Normal 30 8 4 3" xfId="33201" xr:uid="{426DEE99-4B3D-42B7-9DCF-98005F673ABA}"/>
    <cellStyle name="Normal 30 8 4 4" xfId="33202" xr:uid="{4D084F09-6EAD-4196-95F1-B40F4AFC97DD}"/>
    <cellStyle name="Normal 30 8 4 5" xfId="33203" xr:uid="{0085535D-09DD-497A-81EB-2CE102D5387B}"/>
    <cellStyle name="Normal 30 8 4 6" xfId="33204" xr:uid="{7F7CD6CA-878E-41B8-86AC-FD03A52BA62C}"/>
    <cellStyle name="Normal 30 8 5" xfId="33205" xr:uid="{50885F0D-1F23-48AF-87E5-6FD45053AE4A}"/>
    <cellStyle name="Normal 30 8 5 2" xfId="33206" xr:uid="{1EC81009-5D90-47E2-A77E-71575BBD919D}"/>
    <cellStyle name="Normal 30 8 5 3" xfId="33207" xr:uid="{C37A3429-3B91-4EE2-889E-80A99CA52882}"/>
    <cellStyle name="Normal 30 8 5 4" xfId="33208" xr:uid="{796593B6-1133-4BAB-91C3-BEFB2536B43A}"/>
    <cellStyle name="Normal 30 8 5 5" xfId="33209" xr:uid="{A883BED4-33EF-46E7-BD18-3397FFFC7843}"/>
    <cellStyle name="Normal 30 8 5 6" xfId="33210" xr:uid="{5F4E1AEB-A81F-4357-8EE6-AE48A2E95A33}"/>
    <cellStyle name="Normal 30 8 6" xfId="33211" xr:uid="{E2B3A861-4DAE-4CF1-B9F2-CB43AD7C6FDB}"/>
    <cellStyle name="Normal 30 8 6 2" xfId="33212" xr:uid="{41214C9C-E677-4133-8AD7-11245BEEA416}"/>
    <cellStyle name="Normal 30 8 6 3" xfId="33213" xr:uid="{4129D0EA-168C-4CEB-86AA-5BF46532F258}"/>
    <cellStyle name="Normal 30 8 6 4" xfId="33214" xr:uid="{309282DF-493D-4984-928B-5B27C9234EEB}"/>
    <cellStyle name="Normal 30 8 6 5" xfId="33215" xr:uid="{13D89AF1-E25A-4F01-8C5B-BBCFE0F318F5}"/>
    <cellStyle name="Normal 30 8 6 6" xfId="33216" xr:uid="{3B7BEB7C-27A5-4AC6-8C1E-AABD6BE97D6F}"/>
    <cellStyle name="Normal 30 8 7" xfId="33217" xr:uid="{096E4B36-445B-46B6-8EE9-DE09828137FB}"/>
    <cellStyle name="Normal 30 8 7 2" xfId="33218" xr:uid="{019C69D9-CE02-4811-BCFB-CF5971006260}"/>
    <cellStyle name="Normal 30 8 7 3" xfId="33219" xr:uid="{4BB718EB-9252-4C2A-B439-EE29B9FFDB48}"/>
    <cellStyle name="Normal 30 8 7 4" xfId="33220" xr:uid="{E798BE75-F1B5-43EF-BCCE-D8655FE5C541}"/>
    <cellStyle name="Normal 30 8 7 5" xfId="33221" xr:uid="{5BEF1394-9B02-427E-AF97-4680A9364E0D}"/>
    <cellStyle name="Normal 30 8 7 6" xfId="33222" xr:uid="{59F5CAA7-E4EE-4B29-BB0F-5853DFF6A40C}"/>
    <cellStyle name="Normal 30 8 8" xfId="33223" xr:uid="{607A19B1-5D2C-4F59-8BA6-A4BD543FFEF6}"/>
    <cellStyle name="Normal 30 8 8 2" xfId="33224" xr:uid="{CAA8E146-2BF7-4DF9-A61F-55B048259078}"/>
    <cellStyle name="Normal 30 8 8 3" xfId="33225" xr:uid="{D08AB9B1-9FE9-4833-B842-9544DA7C2E87}"/>
    <cellStyle name="Normal 30 8 8 4" xfId="33226" xr:uid="{EF0CD53B-A45F-4311-BA8A-602564CF683B}"/>
    <cellStyle name="Normal 30 8 8 5" xfId="33227" xr:uid="{38C6AAEE-5127-47EC-BB72-94EE90C38A1F}"/>
    <cellStyle name="Normal 30 8 8 6" xfId="33228" xr:uid="{EA5CF540-E432-4094-B4B3-CF512062FD23}"/>
    <cellStyle name="Normal 30 8 9" xfId="33229" xr:uid="{AEAE38E8-9D45-4270-944B-13C1B1D80F4D}"/>
    <cellStyle name="Normal 30 9" xfId="33230" xr:uid="{EA19CBED-ED34-4564-AE54-C2611C9E3E7F}"/>
    <cellStyle name="Normal 30 9 10" xfId="33231" xr:uid="{DFB406D1-E311-4B5B-96F6-170BA41F1213}"/>
    <cellStyle name="Normal 30 9 11" xfId="33232" xr:uid="{2D0D0DFA-5A0A-4264-A18C-7F8ECE4EBE5B}"/>
    <cellStyle name="Normal 30 9 12" xfId="33233" xr:uid="{236DA862-41A6-4A52-9275-3D2224214589}"/>
    <cellStyle name="Normal 30 9 13" xfId="33234" xr:uid="{98C18020-2C9F-4274-BFF7-F1B6ED14232F}"/>
    <cellStyle name="Normal 30 9 2" xfId="33235" xr:uid="{F45099BC-0199-477E-8950-59836C8AC964}"/>
    <cellStyle name="Normal 30 9 2 2" xfId="33236" xr:uid="{26575AD5-40DD-4E83-B205-41434387E980}"/>
    <cellStyle name="Normal 30 9 2 3" xfId="33237" xr:uid="{E6B1C388-153D-43CF-83D8-49A12D5888B8}"/>
    <cellStyle name="Normal 30 9 2 4" xfId="33238" xr:uid="{8B368E9D-63FC-4054-94E5-2229074A76CC}"/>
    <cellStyle name="Normal 30 9 2 5" xfId="33239" xr:uid="{A97177B2-3B56-4ECE-ABD8-D074A0108D6D}"/>
    <cellStyle name="Normal 30 9 2 6" xfId="33240" xr:uid="{6513E800-A0EF-4D73-AB6E-837012214DF7}"/>
    <cellStyle name="Normal 30 9 3" xfId="33241" xr:uid="{80371482-EF74-4EBA-943E-3141C4D321C7}"/>
    <cellStyle name="Normal 30 9 3 2" xfId="33242" xr:uid="{316BCBDC-CBB8-4CEE-A1E6-E23901154464}"/>
    <cellStyle name="Normal 30 9 3 3" xfId="33243" xr:uid="{166BA575-394C-4C12-AD6B-BC6D15F1E89C}"/>
    <cellStyle name="Normal 30 9 3 4" xfId="33244" xr:uid="{2130F973-4A11-4487-890F-2835F71F9681}"/>
    <cellStyle name="Normal 30 9 3 5" xfId="33245" xr:uid="{4E821B83-322A-4D9B-9DD2-D0224A85F687}"/>
    <cellStyle name="Normal 30 9 3 6" xfId="33246" xr:uid="{E4291796-4B39-4715-960F-DA0B8CC0232C}"/>
    <cellStyle name="Normal 30 9 4" xfId="33247" xr:uid="{D0FA6400-4B68-402D-8D64-0DC0DC4435A6}"/>
    <cellStyle name="Normal 30 9 4 2" xfId="33248" xr:uid="{B0F5D243-BCB0-4B67-A676-DA7E75D60BE6}"/>
    <cellStyle name="Normal 30 9 4 3" xfId="33249" xr:uid="{D58DF387-62B1-4086-B400-47350FBA63B9}"/>
    <cellStyle name="Normal 30 9 4 4" xfId="33250" xr:uid="{7F03BD0F-2B97-4986-A8D0-FB9465476B55}"/>
    <cellStyle name="Normal 30 9 4 5" xfId="33251" xr:uid="{389E54B0-C752-45FB-A169-274AB4E9D1E9}"/>
    <cellStyle name="Normal 30 9 4 6" xfId="33252" xr:uid="{A77AC96D-D375-4AE3-AF90-A5E4FDF054C2}"/>
    <cellStyle name="Normal 30 9 5" xfId="33253" xr:uid="{CB67D39B-550B-4E53-98D5-10C2CF9FF68B}"/>
    <cellStyle name="Normal 30 9 5 2" xfId="33254" xr:uid="{05079304-7FD5-42AF-AEC6-D8CFE108DE6F}"/>
    <cellStyle name="Normal 30 9 5 3" xfId="33255" xr:uid="{7A9A0289-2867-4AB9-A439-68A58D278DBC}"/>
    <cellStyle name="Normal 30 9 5 4" xfId="33256" xr:uid="{C61DB275-0AF0-403D-95AB-27326EEB417D}"/>
    <cellStyle name="Normal 30 9 5 5" xfId="33257" xr:uid="{C4226616-FF7E-4DD7-9B13-2944F9AC3823}"/>
    <cellStyle name="Normal 30 9 5 6" xfId="33258" xr:uid="{5A3F891F-A654-43E6-939E-8F093C3F1BD5}"/>
    <cellStyle name="Normal 30 9 6" xfId="33259" xr:uid="{FA63769B-0AF9-4FEB-A86F-3C81C2B8C5E1}"/>
    <cellStyle name="Normal 30 9 6 2" xfId="33260" xr:uid="{70ED5ADE-A9F5-468A-9B22-8F35AFD38DBE}"/>
    <cellStyle name="Normal 30 9 6 3" xfId="33261" xr:uid="{1E83A6CF-F064-4541-B77E-AEE472F21025}"/>
    <cellStyle name="Normal 30 9 6 4" xfId="33262" xr:uid="{F343FF1E-52CD-4F70-81B0-2F9C12C1130A}"/>
    <cellStyle name="Normal 30 9 6 5" xfId="33263" xr:uid="{D1B8A887-D488-4E7D-8167-1D3D153B8922}"/>
    <cellStyle name="Normal 30 9 6 6" xfId="33264" xr:uid="{DDD2D669-F783-4F39-B682-202E2CF50AD4}"/>
    <cellStyle name="Normal 30 9 7" xfId="33265" xr:uid="{DBBE75A7-7691-4045-B318-7D44CBD2FB48}"/>
    <cellStyle name="Normal 30 9 7 2" xfId="33266" xr:uid="{7DC74E06-35BF-412D-B4AB-DA7774428E6C}"/>
    <cellStyle name="Normal 30 9 7 3" xfId="33267" xr:uid="{86040F61-AD12-4C9C-BF42-1D02F582131B}"/>
    <cellStyle name="Normal 30 9 7 4" xfId="33268" xr:uid="{48868EBE-8B09-4142-8570-BF96BD611F61}"/>
    <cellStyle name="Normal 30 9 7 5" xfId="33269" xr:uid="{059CEBEB-820A-41E9-952F-9DCDBF2841B8}"/>
    <cellStyle name="Normal 30 9 7 6" xfId="33270" xr:uid="{7A52EA42-9F61-440C-AB46-C86382ADA812}"/>
    <cellStyle name="Normal 30 9 8" xfId="33271" xr:uid="{EF5A008E-CDBE-46E6-8448-369771429898}"/>
    <cellStyle name="Normal 30 9 8 2" xfId="33272" xr:uid="{881B46F4-B27C-4517-BD57-F041B7C20F04}"/>
    <cellStyle name="Normal 30 9 8 3" xfId="33273" xr:uid="{64CF1AB3-0168-4678-9E50-66C1789FB128}"/>
    <cellStyle name="Normal 30 9 8 4" xfId="33274" xr:uid="{0C177F2A-3C6F-4134-B206-6C9CAC73F2B6}"/>
    <cellStyle name="Normal 30 9 8 5" xfId="33275" xr:uid="{D3C0316B-7C52-4E96-B9F6-D38A4A6241A0}"/>
    <cellStyle name="Normal 30 9 8 6" xfId="33276" xr:uid="{4DB3A436-C090-4011-8361-8203C4F92FDF}"/>
    <cellStyle name="Normal 30 9 9" xfId="33277" xr:uid="{5BB53311-C529-49BD-B3A9-25CB2E2B5F47}"/>
    <cellStyle name="Normal 300 3" xfId="12" xr:uid="{00000000-0005-0000-0000-00000A000000}"/>
    <cellStyle name="Normal 31" xfId="33278" xr:uid="{31D36193-270B-4D1A-A60F-E80FAC453A6B}"/>
    <cellStyle name="Normal 31 10" xfId="33279" xr:uid="{1970587F-FAA4-49D2-9542-5FEFCEE79E89}"/>
    <cellStyle name="Normal 31 10 10" xfId="33280" xr:uid="{F31993B0-5FEA-4ED7-882C-31E074064F8F}"/>
    <cellStyle name="Normal 31 10 11" xfId="33281" xr:uid="{B723212F-76BF-4B66-9AF4-B635CC7276C8}"/>
    <cellStyle name="Normal 31 10 12" xfId="33282" xr:uid="{BF924AA8-353F-4169-A226-32B6C0437149}"/>
    <cellStyle name="Normal 31 10 13" xfId="33283" xr:uid="{EB6D4AB2-99FA-4249-8C47-4931FA5F4E92}"/>
    <cellStyle name="Normal 31 10 2" xfId="33284" xr:uid="{E82BE408-C581-49AE-8D90-00291D08C102}"/>
    <cellStyle name="Normal 31 10 2 2" xfId="33285" xr:uid="{3D467DE2-5933-43D6-949A-3698D0FB3858}"/>
    <cellStyle name="Normal 31 10 2 3" xfId="33286" xr:uid="{12AFB267-9242-4354-8ACB-7951D09D0BF9}"/>
    <cellStyle name="Normal 31 10 2 4" xfId="33287" xr:uid="{2C099336-5F3F-4728-B9DF-C323F01B6BE6}"/>
    <cellStyle name="Normal 31 10 2 5" xfId="33288" xr:uid="{6E61F2DA-E8DC-40AB-9101-09955B88343D}"/>
    <cellStyle name="Normal 31 10 2 6" xfId="33289" xr:uid="{BCD84A96-6C6A-4729-9AFE-515748FD8192}"/>
    <cellStyle name="Normal 31 10 3" xfId="33290" xr:uid="{6EA0439A-CA56-402D-A2AE-1433D4B9D297}"/>
    <cellStyle name="Normal 31 10 3 2" xfId="33291" xr:uid="{8C3398CC-C861-48CC-BDE8-9C43F0B02544}"/>
    <cellStyle name="Normal 31 10 3 3" xfId="33292" xr:uid="{50FAB2B6-0308-4706-A4DE-94484A9FAC94}"/>
    <cellStyle name="Normal 31 10 3 4" xfId="33293" xr:uid="{8204AE26-CA3A-48E9-A544-9622670F1B7B}"/>
    <cellStyle name="Normal 31 10 3 5" xfId="33294" xr:uid="{51ED7C78-D19B-49A5-B160-3C45667F7D45}"/>
    <cellStyle name="Normal 31 10 3 6" xfId="33295" xr:uid="{5F7EDA46-A83B-475F-935E-1E4993F33C4C}"/>
    <cellStyle name="Normal 31 10 4" xfId="33296" xr:uid="{7EE2486D-A4DD-4CC6-ADFE-212306ACCFBE}"/>
    <cellStyle name="Normal 31 10 4 2" xfId="33297" xr:uid="{E40AC8B7-1CDD-4990-A94F-1A90EF3094CA}"/>
    <cellStyle name="Normal 31 10 4 3" xfId="33298" xr:uid="{009F3956-4517-4665-A89A-FC34498778FB}"/>
    <cellStyle name="Normal 31 10 4 4" xfId="33299" xr:uid="{79B7D998-FB57-4B2C-B2B7-C86D5FE87670}"/>
    <cellStyle name="Normal 31 10 4 5" xfId="33300" xr:uid="{9C5ED352-A1B5-471A-B9C9-6D23B77A7863}"/>
    <cellStyle name="Normal 31 10 4 6" xfId="33301" xr:uid="{746D7194-63E1-485B-8FD6-AD3C9796121F}"/>
    <cellStyle name="Normal 31 10 5" xfId="33302" xr:uid="{078F47FC-C4AD-47AD-BA60-E4C612A7833B}"/>
    <cellStyle name="Normal 31 10 5 2" xfId="33303" xr:uid="{BDD00C0B-1526-4142-B4BD-137D7CF57B34}"/>
    <cellStyle name="Normal 31 10 5 3" xfId="33304" xr:uid="{5DA08B76-6FA7-4149-BBBF-DB454F0514A3}"/>
    <cellStyle name="Normal 31 10 5 4" xfId="33305" xr:uid="{BC34096D-A9C2-4C89-90D5-08C39CAE7C45}"/>
    <cellStyle name="Normal 31 10 5 5" xfId="33306" xr:uid="{791F5EC6-5F6F-44BC-B8CD-C9EE025BDED1}"/>
    <cellStyle name="Normal 31 10 5 6" xfId="33307" xr:uid="{8AEE3AA6-626C-4689-BA81-352BD0F8BA4E}"/>
    <cellStyle name="Normal 31 10 6" xfId="33308" xr:uid="{6FD4EAF1-B85F-48EA-ABF0-D3B2FC31DD66}"/>
    <cellStyle name="Normal 31 10 6 2" xfId="33309" xr:uid="{59FB3F5D-D04A-43BE-BE0A-FE6076D81668}"/>
    <cellStyle name="Normal 31 10 6 3" xfId="33310" xr:uid="{231D870E-987D-4DB6-9CBD-C33329C83FE3}"/>
    <cellStyle name="Normal 31 10 6 4" xfId="33311" xr:uid="{3C737937-565A-4EA6-8C78-F4FEB701532C}"/>
    <cellStyle name="Normal 31 10 6 5" xfId="33312" xr:uid="{2B440543-16B3-4DDF-8EBE-599CCE43D564}"/>
    <cellStyle name="Normal 31 10 6 6" xfId="33313" xr:uid="{40DEB0C3-9FC5-496C-B218-9C87A93892B3}"/>
    <cellStyle name="Normal 31 10 7" xfId="33314" xr:uid="{C0AEB32B-0F22-468A-8A24-D0E4984D459E}"/>
    <cellStyle name="Normal 31 10 7 2" xfId="33315" xr:uid="{2E4A4154-3AF7-4618-9CCC-F693C135A431}"/>
    <cellStyle name="Normal 31 10 7 3" xfId="33316" xr:uid="{6D8A827B-2862-4EB9-9CAE-27754622C5D7}"/>
    <cellStyle name="Normal 31 10 7 4" xfId="33317" xr:uid="{DD4A90DC-12B5-45D4-917C-C9283B7263AD}"/>
    <cellStyle name="Normal 31 10 7 5" xfId="33318" xr:uid="{70F1C920-DD84-4520-884F-47A2668EDC06}"/>
    <cellStyle name="Normal 31 10 7 6" xfId="33319" xr:uid="{0803A6F0-2551-46E3-8CAC-30B70422A900}"/>
    <cellStyle name="Normal 31 10 8" xfId="33320" xr:uid="{7AC409FE-D867-4275-A702-C4265ED9240D}"/>
    <cellStyle name="Normal 31 10 8 2" xfId="33321" xr:uid="{D958D33A-8B8E-479D-9D6E-FC39842189D9}"/>
    <cellStyle name="Normal 31 10 8 3" xfId="33322" xr:uid="{8957F5E1-2805-4644-BC5C-7ED1E666AC66}"/>
    <cellStyle name="Normal 31 10 8 4" xfId="33323" xr:uid="{E2F4A4C2-EE26-48B7-AAFA-BD6CF504C1D1}"/>
    <cellStyle name="Normal 31 10 8 5" xfId="33324" xr:uid="{3FA7175E-C534-450D-B6B2-556C736EE408}"/>
    <cellStyle name="Normal 31 10 8 6" xfId="33325" xr:uid="{B5DB0A6D-60CC-4006-BD53-F92B35A5CB88}"/>
    <cellStyle name="Normal 31 10 9" xfId="33326" xr:uid="{9AB32BFA-9547-4B82-9AB0-53F4F056E6CB}"/>
    <cellStyle name="Normal 31 11" xfId="33327" xr:uid="{90E2862C-4345-4BAA-9C31-846026CDA554}"/>
    <cellStyle name="Normal 31 11 10" xfId="33328" xr:uid="{F9342DEB-8375-49BF-BAB9-BAA3D17ED38B}"/>
    <cellStyle name="Normal 31 11 11" xfId="33329" xr:uid="{92DF17F1-A459-4841-895E-256A2D03F0B6}"/>
    <cellStyle name="Normal 31 11 12" xfId="33330" xr:uid="{0BCCE68D-BD38-48BE-84F4-4BC2ACED83E7}"/>
    <cellStyle name="Normal 31 11 13" xfId="33331" xr:uid="{A3F73E74-C617-492F-B1EB-8AF7A616B853}"/>
    <cellStyle name="Normal 31 11 2" xfId="33332" xr:uid="{DBAD82A7-D4EA-4459-A61E-EDDD3A9D911B}"/>
    <cellStyle name="Normal 31 11 2 2" xfId="33333" xr:uid="{1C0F792E-233F-4A9C-93F5-2D511A00FF90}"/>
    <cellStyle name="Normal 31 11 2 3" xfId="33334" xr:uid="{E6376B58-CAF4-435A-8B74-656FAC6126F3}"/>
    <cellStyle name="Normal 31 11 2 4" xfId="33335" xr:uid="{1B98F461-C87C-424F-BF7C-092D7872ED00}"/>
    <cellStyle name="Normal 31 11 2 5" xfId="33336" xr:uid="{DEEBE61F-2E68-4BCE-A85B-104525C1B578}"/>
    <cellStyle name="Normal 31 11 2 6" xfId="33337" xr:uid="{C62EA49B-F2D1-4AB0-A005-4A8F43D37D7C}"/>
    <cellStyle name="Normal 31 11 3" xfId="33338" xr:uid="{95C3389A-3785-4888-A756-006E2B2451A9}"/>
    <cellStyle name="Normal 31 11 3 2" xfId="33339" xr:uid="{C8B0F478-59BF-443F-8262-E712E07C9E77}"/>
    <cellStyle name="Normal 31 11 3 3" xfId="33340" xr:uid="{C2DAB7F5-FCC7-4227-9E53-D3DB43A312E7}"/>
    <cellStyle name="Normal 31 11 3 4" xfId="33341" xr:uid="{AC4CC67B-D5B5-4AFE-BC40-720305C7C5BA}"/>
    <cellStyle name="Normal 31 11 3 5" xfId="33342" xr:uid="{02B7F7AA-84AC-4676-83B7-02C5BE8500C6}"/>
    <cellStyle name="Normal 31 11 3 6" xfId="33343" xr:uid="{AA42815D-4460-403A-A6B2-CAA75C9D42AA}"/>
    <cellStyle name="Normal 31 11 4" xfId="33344" xr:uid="{744FED3C-F65C-4CBF-A0D0-BFDF3333287A}"/>
    <cellStyle name="Normal 31 11 4 2" xfId="33345" xr:uid="{43D3EA73-0923-487A-BF84-F855564049AB}"/>
    <cellStyle name="Normal 31 11 4 3" xfId="33346" xr:uid="{AFF14294-FA0C-4F84-BEFE-D4F6E7E10E89}"/>
    <cellStyle name="Normal 31 11 4 4" xfId="33347" xr:uid="{5D820625-D5FC-4C5D-A955-782D9A851D04}"/>
    <cellStyle name="Normal 31 11 4 5" xfId="33348" xr:uid="{65F6C305-83E3-4C7B-8B70-BC10F68BBDC4}"/>
    <cellStyle name="Normal 31 11 4 6" xfId="33349" xr:uid="{385F5656-50E2-4985-B468-8B9385A67565}"/>
    <cellStyle name="Normal 31 11 5" xfId="33350" xr:uid="{FBA1B870-C93E-4EC2-B27F-5DFD7EA23447}"/>
    <cellStyle name="Normal 31 11 5 2" xfId="33351" xr:uid="{28B7F01A-52DC-455C-9413-36C7859BF470}"/>
    <cellStyle name="Normal 31 11 5 3" xfId="33352" xr:uid="{3F5EB708-BC29-4F98-B899-7DE23948A177}"/>
    <cellStyle name="Normal 31 11 5 4" xfId="33353" xr:uid="{687FECA9-EDBE-4781-B994-EF70B73706FE}"/>
    <cellStyle name="Normal 31 11 5 5" xfId="33354" xr:uid="{7C480041-C08F-4826-8EC4-EF2E7174C16A}"/>
    <cellStyle name="Normal 31 11 5 6" xfId="33355" xr:uid="{79E6A0B7-EAE0-4C8E-82CF-4C0473AFF85F}"/>
    <cellStyle name="Normal 31 11 6" xfId="33356" xr:uid="{AB500073-1511-46A2-B5CC-59A9D50BDDAA}"/>
    <cellStyle name="Normal 31 11 6 2" xfId="33357" xr:uid="{BA501BB2-A9B4-4720-A22D-F179823815B6}"/>
    <cellStyle name="Normal 31 11 6 3" xfId="33358" xr:uid="{151DF3BC-6FD9-4B95-B496-05F593911F13}"/>
    <cellStyle name="Normal 31 11 6 4" xfId="33359" xr:uid="{DF471390-8A77-4180-888F-77F5EC3524E9}"/>
    <cellStyle name="Normal 31 11 6 5" xfId="33360" xr:uid="{D177AF79-8F1E-4E80-B039-9E491C9AB7F9}"/>
    <cellStyle name="Normal 31 11 6 6" xfId="33361" xr:uid="{C2B626A8-BD44-4AC8-AA76-FA1902E4FB0C}"/>
    <cellStyle name="Normal 31 11 7" xfId="33362" xr:uid="{7E2BF06D-CA9E-4C51-A888-ACACD34A7BA1}"/>
    <cellStyle name="Normal 31 11 7 2" xfId="33363" xr:uid="{C847E45C-17EB-485F-A1C4-A292528BB1E4}"/>
    <cellStyle name="Normal 31 11 7 3" xfId="33364" xr:uid="{87214EF3-FB36-46B3-ACD1-FF140EC0A7AD}"/>
    <cellStyle name="Normal 31 11 7 4" xfId="33365" xr:uid="{23A4C990-4391-4535-8102-C5F1262A59FC}"/>
    <cellStyle name="Normal 31 11 7 5" xfId="33366" xr:uid="{D5C65EE2-C9FC-4BC7-8D92-A22B491E8F86}"/>
    <cellStyle name="Normal 31 11 7 6" xfId="33367" xr:uid="{3C6ACF11-1DC6-4219-903F-9F928E19948C}"/>
    <cellStyle name="Normal 31 11 8" xfId="33368" xr:uid="{012C3529-9A2F-4EA7-8D15-C4C4B16AC48F}"/>
    <cellStyle name="Normal 31 11 8 2" xfId="33369" xr:uid="{D18A07FB-FDB8-4C83-863E-14B7FA04219A}"/>
    <cellStyle name="Normal 31 11 8 3" xfId="33370" xr:uid="{9289D26A-9267-4E38-90F8-CDBE350FD9B0}"/>
    <cellStyle name="Normal 31 11 8 4" xfId="33371" xr:uid="{6A1F4544-2282-44BD-AB52-D2C7AE7B8677}"/>
    <cellStyle name="Normal 31 11 8 5" xfId="33372" xr:uid="{15174BFF-73A5-4D23-B47E-A65E7E104128}"/>
    <cellStyle name="Normal 31 11 8 6" xfId="33373" xr:uid="{4824A9DC-332D-45F6-BA19-0A7966EFCA9E}"/>
    <cellStyle name="Normal 31 11 9" xfId="33374" xr:uid="{B8600D04-2757-4BAD-BC1A-9E826098371B}"/>
    <cellStyle name="Normal 31 12" xfId="33375" xr:uid="{EB0CBE19-F52D-49EE-A8C8-6D05C062F631}"/>
    <cellStyle name="Normal 31 12 2" xfId="33376" xr:uid="{9D16C75A-137D-4A19-A6E1-8039DD79A073}"/>
    <cellStyle name="Normal 31 12 3" xfId="33377" xr:uid="{CCA08F09-7DF8-4D78-AED8-217518BD5333}"/>
    <cellStyle name="Normal 31 12 4" xfId="33378" xr:uid="{21F04EAD-7033-4571-AC83-C953C65786A4}"/>
    <cellStyle name="Normal 31 12 5" xfId="33379" xr:uid="{5C7161FC-7416-4C6B-A24B-0B28C1EFB64D}"/>
    <cellStyle name="Normal 31 12 6" xfId="33380" xr:uid="{3A325E54-E0A3-4BDA-957F-8D1F0AAA5B36}"/>
    <cellStyle name="Normal 31 13" xfId="33381" xr:uid="{8425C1DC-DF34-4A2C-B910-74CF5D21F0FD}"/>
    <cellStyle name="Normal 31 13 2" xfId="33382" xr:uid="{82B48671-2D7A-4A5F-A44E-1D2AA596DEEE}"/>
    <cellStyle name="Normal 31 13 3" xfId="33383" xr:uid="{2BEE4B65-3B11-442B-BB80-3BFD335BA76E}"/>
    <cellStyle name="Normal 31 13 4" xfId="33384" xr:uid="{DBAAC5F2-F753-4D2E-A8FF-FC91BF3064DC}"/>
    <cellStyle name="Normal 31 13 5" xfId="33385" xr:uid="{5F7C6527-AEBE-46DC-8CA4-B16C49CB7E81}"/>
    <cellStyle name="Normal 31 13 6" xfId="33386" xr:uid="{CFC2503B-2D97-4B86-ABB1-344179603F97}"/>
    <cellStyle name="Normal 31 14" xfId="33387" xr:uid="{9998CD18-9241-48A4-A64E-78FA10481CA3}"/>
    <cellStyle name="Normal 31 14 2" xfId="33388" xr:uid="{24D924FF-2825-4AD5-B815-0609335CA464}"/>
    <cellStyle name="Normal 31 14 3" xfId="33389" xr:uid="{972166B7-80CA-48B7-B13D-608BDD8A8617}"/>
    <cellStyle name="Normal 31 14 4" xfId="33390" xr:uid="{29E6EE35-8FD8-4AB7-8FA3-B2CAAB7F2DEF}"/>
    <cellStyle name="Normal 31 14 5" xfId="33391" xr:uid="{ACE29B18-F5BC-4899-AE86-3D13F9BEAC68}"/>
    <cellStyle name="Normal 31 14 6" xfId="33392" xr:uid="{A98F4A47-6B8B-40DD-A1F2-4874190B6AB9}"/>
    <cellStyle name="Normal 31 15" xfId="33393" xr:uid="{36A21702-3C22-408E-AADB-FAA948D5C113}"/>
    <cellStyle name="Normal 31 15 2" xfId="33394" xr:uid="{0EF4DE6D-DF31-47C3-B8E4-6B2F00E3C8DA}"/>
    <cellStyle name="Normal 31 15 3" xfId="33395" xr:uid="{633E9390-3B03-4C6C-ACFC-70DBBD08B558}"/>
    <cellStyle name="Normal 31 15 4" xfId="33396" xr:uid="{718C84B0-5163-4A05-B100-FC82D091C9C1}"/>
    <cellStyle name="Normal 31 15 5" xfId="33397" xr:uid="{8631A09E-C267-4BC5-AC03-F30F656FE986}"/>
    <cellStyle name="Normal 31 15 6" xfId="33398" xr:uid="{A4552586-460A-4965-882F-1194AEB8C62B}"/>
    <cellStyle name="Normal 31 16" xfId="33399" xr:uid="{D47FDB94-85F3-4651-AAD0-43DC72221296}"/>
    <cellStyle name="Normal 31 16 2" xfId="33400" xr:uid="{6AED3B9F-BA58-448C-BDF1-9DDA06AD38FA}"/>
    <cellStyle name="Normal 31 16 3" xfId="33401" xr:uid="{F0A19292-F606-48E6-8339-083AFC79C787}"/>
    <cellStyle name="Normal 31 16 4" xfId="33402" xr:uid="{FC8B579E-E057-42AB-AC30-581C2DF77995}"/>
    <cellStyle name="Normal 31 16 5" xfId="33403" xr:uid="{FAEB86F7-0E14-424A-95A0-B3F7529F0F2B}"/>
    <cellStyle name="Normal 31 16 6" xfId="33404" xr:uid="{5B0F59CD-351C-43DC-BDEC-958D6C0F4724}"/>
    <cellStyle name="Normal 31 17" xfId="33405" xr:uid="{1A4FF5DE-D4D5-49BE-9BA6-2866FD48FFDF}"/>
    <cellStyle name="Normal 31 17 2" xfId="33406" xr:uid="{EBE79826-D423-491A-B953-06E77BC9F10E}"/>
    <cellStyle name="Normal 31 17 3" xfId="33407" xr:uid="{CA4F1CB9-6E4C-4AB2-9F94-D0C7DD16568C}"/>
    <cellStyle name="Normal 31 17 4" xfId="33408" xr:uid="{BFDF6B15-4FC3-4AA7-9E58-2B3FD13150C8}"/>
    <cellStyle name="Normal 31 17 5" xfId="33409" xr:uid="{5EE8B552-8D0B-4F8B-94C8-D42BD3B3D0D3}"/>
    <cellStyle name="Normal 31 17 6" xfId="33410" xr:uid="{B7BB83C1-429A-4D6E-918D-CBB6734B2EFB}"/>
    <cellStyle name="Normal 31 18" xfId="33411" xr:uid="{7DBAB3A9-EC12-4C35-80D5-09CF40781A1D}"/>
    <cellStyle name="Normal 31 18 2" xfId="33412" xr:uid="{E20E1A76-013E-4F05-A8AA-E871853E7DFA}"/>
    <cellStyle name="Normal 31 18 3" xfId="33413" xr:uid="{A906A0D4-FB88-46F7-9D66-C6EAD1E83EAF}"/>
    <cellStyle name="Normal 31 18 4" xfId="33414" xr:uid="{F5DD8E09-BCFE-4D7B-9811-2066DBC4A559}"/>
    <cellStyle name="Normal 31 18 5" xfId="33415" xr:uid="{3574D5A1-66D7-42CF-AB04-F5E8A5410A70}"/>
    <cellStyle name="Normal 31 18 6" xfId="33416" xr:uid="{D9E0CC6A-5076-4C5E-8A9D-DC1E2B1C54E7}"/>
    <cellStyle name="Normal 31 19" xfId="33417" xr:uid="{6C7F10DB-7E4B-4865-BAB6-EB94C373CCA0}"/>
    <cellStyle name="Normal 31 2" xfId="33418" xr:uid="{F725200A-9FEC-48D1-B43B-E7B6D4375E06}"/>
    <cellStyle name="Normal 31 2 10" xfId="33419" xr:uid="{5697E3EF-640B-4AD6-B6D6-D5E5DA9E651A}"/>
    <cellStyle name="Normal 31 2 11" xfId="33420" xr:uid="{C1722E2F-7DE3-45F0-888C-57965A5D42F0}"/>
    <cellStyle name="Normal 31 2 12" xfId="33421" xr:uid="{A3E5A948-8F21-4D59-B282-15EC3FB35E5B}"/>
    <cellStyle name="Normal 31 2 13" xfId="33422" xr:uid="{11310979-E6D9-446E-90E2-0A5DA7C3999D}"/>
    <cellStyle name="Normal 31 2 2" xfId="33423" xr:uid="{C371C528-4626-4E89-AB26-DFFDBAA54A64}"/>
    <cellStyle name="Normal 31 2 2 2" xfId="33424" xr:uid="{255EB5F5-2B75-409B-94FC-F899B6C8620E}"/>
    <cellStyle name="Normal 31 2 2 3" xfId="33425" xr:uid="{369A4655-406C-4470-834E-279688EBE4C1}"/>
    <cellStyle name="Normal 31 2 2 4" xfId="33426" xr:uid="{48EDF8EE-BA3C-4CE6-B7F1-FD50FA1649F9}"/>
    <cellStyle name="Normal 31 2 2 5" xfId="33427" xr:uid="{7EFD9590-4BA1-4A8C-ACDD-2771D488E55D}"/>
    <cellStyle name="Normal 31 2 2 6" xfId="33428" xr:uid="{069EC6E6-6F2E-4251-AED2-1303CEFD81A8}"/>
    <cellStyle name="Normal 31 2 3" xfId="33429" xr:uid="{6FB0CAA4-0E1D-44B4-B32D-EA4B8AE4761E}"/>
    <cellStyle name="Normal 31 2 3 2" xfId="33430" xr:uid="{D512F90C-5769-4483-A747-47CD379C0DE8}"/>
    <cellStyle name="Normal 31 2 3 3" xfId="33431" xr:uid="{AA147EA4-384E-4873-B714-0887AD961B66}"/>
    <cellStyle name="Normal 31 2 3 4" xfId="33432" xr:uid="{7A99CCCB-147D-4D04-8B69-024120542ED5}"/>
    <cellStyle name="Normal 31 2 3 5" xfId="33433" xr:uid="{483A1E4E-9BCE-440A-84A2-AC00B9E90B5E}"/>
    <cellStyle name="Normal 31 2 3 6" xfId="33434" xr:uid="{F4801CD2-E21F-4D40-B56A-737D72400024}"/>
    <cellStyle name="Normal 31 2 4" xfId="33435" xr:uid="{05C65689-4218-41A3-805C-D61EF5E831FE}"/>
    <cellStyle name="Normal 31 2 4 2" xfId="33436" xr:uid="{06450737-2680-48B0-BA6F-30308C0C5FA3}"/>
    <cellStyle name="Normal 31 2 4 3" xfId="33437" xr:uid="{4EDF95F6-4087-4414-B5D1-95AB2C2F82A2}"/>
    <cellStyle name="Normal 31 2 4 4" xfId="33438" xr:uid="{F47EFFFC-08D4-4688-8783-EA287C9FA610}"/>
    <cellStyle name="Normal 31 2 4 5" xfId="33439" xr:uid="{D7E7B6EB-5B6D-4FBD-9A21-5C876AD81BFC}"/>
    <cellStyle name="Normal 31 2 4 6" xfId="33440" xr:uid="{2EB635D5-795D-4FDA-9DB8-7413853CA6A7}"/>
    <cellStyle name="Normal 31 2 5" xfId="33441" xr:uid="{7B78BDF1-AD37-4372-9982-021D06D3CFEE}"/>
    <cellStyle name="Normal 31 2 5 2" xfId="33442" xr:uid="{9451E990-34D5-49E0-A1AA-85F0902D1870}"/>
    <cellStyle name="Normal 31 2 5 3" xfId="33443" xr:uid="{6B953864-E8D2-40EF-AD2F-45D9FEA9F4D5}"/>
    <cellStyle name="Normal 31 2 5 4" xfId="33444" xr:uid="{21F64172-99DF-4508-A709-57FC405912D9}"/>
    <cellStyle name="Normal 31 2 5 5" xfId="33445" xr:uid="{9A5C0E0C-D018-40E1-87D8-40F41CBBF8E6}"/>
    <cellStyle name="Normal 31 2 5 6" xfId="33446" xr:uid="{A61CADE6-D11E-4373-A956-AD146C227061}"/>
    <cellStyle name="Normal 31 2 6" xfId="33447" xr:uid="{17130B47-CED6-46BB-BFBA-E8EB9FF6F7EB}"/>
    <cellStyle name="Normal 31 2 6 2" xfId="33448" xr:uid="{99B7940F-6E67-43AE-B5B0-F7411EDC3BD4}"/>
    <cellStyle name="Normal 31 2 6 3" xfId="33449" xr:uid="{A0E9ED59-4C0C-4446-9737-5AF161C37C67}"/>
    <cellStyle name="Normal 31 2 6 4" xfId="33450" xr:uid="{91480DAC-8771-4CE9-B44C-9D29F886EA77}"/>
    <cellStyle name="Normal 31 2 6 5" xfId="33451" xr:uid="{969C928A-BD12-4976-95AB-314969E36F4E}"/>
    <cellStyle name="Normal 31 2 6 6" xfId="33452" xr:uid="{B169A2FF-D126-46D2-B0C9-157F9D11E876}"/>
    <cellStyle name="Normal 31 2 7" xfId="33453" xr:uid="{CC90939C-AED0-43E8-9244-C265E0B402FC}"/>
    <cellStyle name="Normal 31 2 7 2" xfId="33454" xr:uid="{C730C564-E731-4B91-A544-819366F9E6DB}"/>
    <cellStyle name="Normal 31 2 7 3" xfId="33455" xr:uid="{2E799095-2DF2-4A3C-970B-B4D67B804C38}"/>
    <cellStyle name="Normal 31 2 7 4" xfId="33456" xr:uid="{077BE965-BFF9-4265-B353-6750BAB1B198}"/>
    <cellStyle name="Normal 31 2 7 5" xfId="33457" xr:uid="{51F31743-AC1D-47FF-92CE-F2EC5B7228CE}"/>
    <cellStyle name="Normal 31 2 7 6" xfId="33458" xr:uid="{9BC3AFFF-D134-4B49-AB91-577E979AF29F}"/>
    <cellStyle name="Normal 31 2 8" xfId="33459" xr:uid="{CA0E5428-C26D-4CE4-98B7-57949FC12A8B}"/>
    <cellStyle name="Normal 31 2 8 2" xfId="33460" xr:uid="{EB30C7BB-760D-408A-AEDB-712B201CA34D}"/>
    <cellStyle name="Normal 31 2 8 3" xfId="33461" xr:uid="{931E271D-C328-49F6-BAD4-6FB2C736DE87}"/>
    <cellStyle name="Normal 31 2 8 4" xfId="33462" xr:uid="{88E407EB-5ADC-4FF3-B6E0-738E54346884}"/>
    <cellStyle name="Normal 31 2 8 5" xfId="33463" xr:uid="{4A086D4E-36A2-4276-8784-0A4062948E95}"/>
    <cellStyle name="Normal 31 2 8 6" xfId="33464" xr:uid="{96303421-3272-49D3-AD35-932739296C76}"/>
    <cellStyle name="Normal 31 2 9" xfId="33465" xr:uid="{B01A97D1-4A0E-40A2-8030-B13AFBA026DC}"/>
    <cellStyle name="Normal 31 20" xfId="33466" xr:uid="{BB9D9913-31C5-47DF-9D66-DEEE03A97B1E}"/>
    <cellStyle name="Normal 31 21" xfId="33467" xr:uid="{DB3A95AD-4090-4CD2-94CB-11368C12AAF1}"/>
    <cellStyle name="Normal 31 22" xfId="33468" xr:uid="{76228563-D485-4C56-B31D-B3F4F70943B7}"/>
    <cellStyle name="Normal 31 23" xfId="33469" xr:uid="{999EA8DC-90CD-4706-937D-13DCD5050B93}"/>
    <cellStyle name="Normal 31 3" xfId="33470" xr:uid="{D916A5F0-3232-4CAB-8275-06AF8DABFBF4}"/>
    <cellStyle name="Normal 31 3 10" xfId="33471" xr:uid="{F3393437-AF2F-4A05-8D87-667E774B9DDF}"/>
    <cellStyle name="Normal 31 3 11" xfId="33472" xr:uid="{DCEC74E4-354A-4FB2-BC61-1751400D859E}"/>
    <cellStyle name="Normal 31 3 12" xfId="33473" xr:uid="{A12AF17D-7AC7-4972-B453-DBC2F2C0CA8E}"/>
    <cellStyle name="Normal 31 3 13" xfId="33474" xr:uid="{E3F15EA7-F8F6-4162-AB4C-7B58CFDC2A45}"/>
    <cellStyle name="Normal 31 3 2" xfId="33475" xr:uid="{E6E6CB0E-50C9-40AB-9301-52F506B4F925}"/>
    <cellStyle name="Normal 31 3 2 2" xfId="33476" xr:uid="{6B182EB0-141E-48AC-8C1D-90B06C933A89}"/>
    <cellStyle name="Normal 31 3 2 3" xfId="33477" xr:uid="{71D8AE2E-6A9D-4534-8B62-35F7524B8144}"/>
    <cellStyle name="Normal 31 3 2 4" xfId="33478" xr:uid="{3922A174-F4DE-4047-B9EA-37716A54DC81}"/>
    <cellStyle name="Normal 31 3 2 5" xfId="33479" xr:uid="{F3F70E30-424F-4D33-B8F7-A0A33A924538}"/>
    <cellStyle name="Normal 31 3 2 6" xfId="33480" xr:uid="{B5CDB5C3-A30F-4A71-A869-26B0A9ECFB23}"/>
    <cellStyle name="Normal 31 3 3" xfId="33481" xr:uid="{BBE0BE53-0CE0-4435-9648-0AC97D989CE0}"/>
    <cellStyle name="Normal 31 3 3 2" xfId="33482" xr:uid="{48EC827E-3453-42B5-B999-FAA8E520AED8}"/>
    <cellStyle name="Normal 31 3 3 3" xfId="33483" xr:uid="{BBB151E5-D946-4250-99DB-15D2A702B0C3}"/>
    <cellStyle name="Normal 31 3 3 4" xfId="33484" xr:uid="{2CB44342-D776-4391-BD43-1005D082DD8E}"/>
    <cellStyle name="Normal 31 3 3 5" xfId="33485" xr:uid="{8FB2C817-A2D9-493E-92EB-9FC9124104CD}"/>
    <cellStyle name="Normal 31 3 3 6" xfId="33486" xr:uid="{332AAA9D-9E7A-4B77-8CFF-F5D60DB7541A}"/>
    <cellStyle name="Normal 31 3 4" xfId="33487" xr:uid="{B6D6A195-4446-474F-8E54-624452A4172A}"/>
    <cellStyle name="Normal 31 3 4 2" xfId="33488" xr:uid="{7CB0C247-9BEF-405E-B7B6-92F776946466}"/>
    <cellStyle name="Normal 31 3 4 3" xfId="33489" xr:uid="{46238E1B-1154-4B6F-98A9-2146C894A53B}"/>
    <cellStyle name="Normal 31 3 4 4" xfId="33490" xr:uid="{0A35D22B-89DB-42A2-B857-07871020B7A2}"/>
    <cellStyle name="Normal 31 3 4 5" xfId="33491" xr:uid="{FF4C0DC0-64CF-4C74-9C92-ED0C76BC6BE9}"/>
    <cellStyle name="Normal 31 3 4 6" xfId="33492" xr:uid="{3180FD7B-572D-444E-A641-8C9A4CE6D0B6}"/>
    <cellStyle name="Normal 31 3 5" xfId="33493" xr:uid="{54E77AEF-329C-44AE-BEDD-126034F6FE6D}"/>
    <cellStyle name="Normal 31 3 5 2" xfId="33494" xr:uid="{F5A20ED0-A4C4-409A-A5DB-87B51B74D048}"/>
    <cellStyle name="Normal 31 3 5 3" xfId="33495" xr:uid="{B0135CC1-D684-482B-82E2-3E5020F5F881}"/>
    <cellStyle name="Normal 31 3 5 4" xfId="33496" xr:uid="{D19BED5A-8C99-4E59-959E-D8294B305494}"/>
    <cellStyle name="Normal 31 3 5 5" xfId="33497" xr:uid="{5A983C0D-81C5-4787-9E5E-52568B6EF3D6}"/>
    <cellStyle name="Normal 31 3 5 6" xfId="33498" xr:uid="{26686506-8A6A-40D8-ADD9-45224132F545}"/>
    <cellStyle name="Normal 31 3 6" xfId="33499" xr:uid="{54675E60-1521-4AE8-9F89-F767BE2B5644}"/>
    <cellStyle name="Normal 31 3 6 2" xfId="33500" xr:uid="{B118D574-9708-4328-9C80-E985A09BD8ED}"/>
    <cellStyle name="Normal 31 3 6 3" xfId="33501" xr:uid="{86A42989-4013-46A3-B05E-7F453D861192}"/>
    <cellStyle name="Normal 31 3 6 4" xfId="33502" xr:uid="{BFCD79E2-87F1-4D79-958A-EC26C1E0E0A0}"/>
    <cellStyle name="Normal 31 3 6 5" xfId="33503" xr:uid="{C0734DE9-3EE4-4549-9D28-05E77F2A292B}"/>
    <cellStyle name="Normal 31 3 6 6" xfId="33504" xr:uid="{28EE8E93-C2F8-4757-8B21-41CD1D292478}"/>
    <cellStyle name="Normal 31 3 7" xfId="33505" xr:uid="{D4AA99FD-290C-40A1-945F-DC10F38EF017}"/>
    <cellStyle name="Normal 31 3 7 2" xfId="33506" xr:uid="{A44C9195-D549-488A-A233-231D1EEB6C20}"/>
    <cellStyle name="Normal 31 3 7 3" xfId="33507" xr:uid="{2F10C7C0-1EB5-4F36-91AE-161397A91662}"/>
    <cellStyle name="Normal 31 3 7 4" xfId="33508" xr:uid="{9EACB646-75C4-493E-A254-4C1F3B55ECF8}"/>
    <cellStyle name="Normal 31 3 7 5" xfId="33509" xr:uid="{FE1366B1-C71E-4D37-AB01-9735CC0383DE}"/>
    <cellStyle name="Normal 31 3 7 6" xfId="33510" xr:uid="{0BB1C716-DB46-4E51-99CC-8786CAFF2960}"/>
    <cellStyle name="Normal 31 3 8" xfId="33511" xr:uid="{05DDA5C1-DE68-4110-BCF5-30EA09ECEFC4}"/>
    <cellStyle name="Normal 31 3 8 2" xfId="33512" xr:uid="{88047124-F40A-49A4-8736-E1BEC0517A3B}"/>
    <cellStyle name="Normal 31 3 8 3" xfId="33513" xr:uid="{2A48EE82-FB03-44E6-B151-2DBD134E961C}"/>
    <cellStyle name="Normal 31 3 8 4" xfId="33514" xr:uid="{DBA2DF0B-A576-4BB8-9304-8703A4E7E248}"/>
    <cellStyle name="Normal 31 3 8 5" xfId="33515" xr:uid="{6C102670-E2AE-411D-B05F-668650FF9994}"/>
    <cellStyle name="Normal 31 3 8 6" xfId="33516" xr:uid="{A4603134-0F21-4F9A-B002-9742602E0E51}"/>
    <cellStyle name="Normal 31 3 9" xfId="33517" xr:uid="{AC2DE7AA-504D-4DCE-8036-3B77E01AC75D}"/>
    <cellStyle name="Normal 31 4" xfId="33518" xr:uid="{57ADC348-B4F6-48F2-A40A-2B256B298F82}"/>
    <cellStyle name="Normal 31 4 10" xfId="33519" xr:uid="{3F3C0A3C-F4DC-42CD-8FF9-4527EBA0B947}"/>
    <cellStyle name="Normal 31 4 11" xfId="33520" xr:uid="{8CD3C55A-6129-434C-893E-BE695C3735CD}"/>
    <cellStyle name="Normal 31 4 12" xfId="33521" xr:uid="{D04D336B-2D78-4BF7-8279-48DD81C9C514}"/>
    <cellStyle name="Normal 31 4 13" xfId="33522" xr:uid="{2E8FED19-E6BF-41C4-8AAB-3B6F465AB8E2}"/>
    <cellStyle name="Normal 31 4 2" xfId="33523" xr:uid="{894833AA-404B-4351-A5EA-FB17508BCFEB}"/>
    <cellStyle name="Normal 31 4 2 2" xfId="33524" xr:uid="{36AC6311-8BEA-4273-BCA0-15575469C922}"/>
    <cellStyle name="Normal 31 4 2 3" xfId="33525" xr:uid="{270F7837-BD54-43BF-A485-8E0EC297E0B8}"/>
    <cellStyle name="Normal 31 4 2 4" xfId="33526" xr:uid="{4808F94C-8CAC-4B77-BFAA-D89F99DC628A}"/>
    <cellStyle name="Normal 31 4 2 5" xfId="33527" xr:uid="{A2826843-ED42-482D-A9EA-8FCEBAD7668A}"/>
    <cellStyle name="Normal 31 4 2 6" xfId="33528" xr:uid="{7E8A8879-75A5-4AE9-BB31-6C8A85267487}"/>
    <cellStyle name="Normal 31 4 3" xfId="33529" xr:uid="{1A062D73-1FF7-4748-B3D8-B469B973BFB2}"/>
    <cellStyle name="Normal 31 4 3 2" xfId="33530" xr:uid="{B4285F4F-5394-44FE-BAC1-20AA2323F2B3}"/>
    <cellStyle name="Normal 31 4 3 3" xfId="33531" xr:uid="{8486495B-B345-4CA1-B979-89B4B088DE5B}"/>
    <cellStyle name="Normal 31 4 3 4" xfId="33532" xr:uid="{1DEDA44E-5579-4F4F-8283-711462C2DF5A}"/>
    <cellStyle name="Normal 31 4 3 5" xfId="33533" xr:uid="{68EBABAA-1D2D-4BD3-892F-97509A95A8FD}"/>
    <cellStyle name="Normal 31 4 3 6" xfId="33534" xr:uid="{8B0F8B49-B2CC-4AD4-B633-B9A8F05AB1CD}"/>
    <cellStyle name="Normal 31 4 4" xfId="33535" xr:uid="{FE0D9944-E117-43C7-8085-F6347195B092}"/>
    <cellStyle name="Normal 31 4 4 2" xfId="33536" xr:uid="{19DE8DB2-14EB-4677-A321-4B1DDF79F67E}"/>
    <cellStyle name="Normal 31 4 4 3" xfId="33537" xr:uid="{9285109B-2C65-49A0-993B-F125AA89FA55}"/>
    <cellStyle name="Normal 31 4 4 4" xfId="33538" xr:uid="{7CA1C330-0C3B-4D56-8BDB-353EA0614D55}"/>
    <cellStyle name="Normal 31 4 4 5" xfId="33539" xr:uid="{58C83139-5995-447D-8EB5-673B2CB1E34E}"/>
    <cellStyle name="Normal 31 4 4 6" xfId="33540" xr:uid="{CFBFEDF7-34C9-4341-8279-E1B6F31F117E}"/>
    <cellStyle name="Normal 31 4 5" xfId="33541" xr:uid="{AB64ABEE-CD3C-4143-945F-1741F194F8FA}"/>
    <cellStyle name="Normal 31 4 5 2" xfId="33542" xr:uid="{791D6F69-87EB-4125-B846-A0504D45ED6D}"/>
    <cellStyle name="Normal 31 4 5 3" xfId="33543" xr:uid="{538446A5-DB41-4E03-9A1C-5EEEDF4D5636}"/>
    <cellStyle name="Normal 31 4 5 4" xfId="33544" xr:uid="{BD844A43-D608-4EE4-BF53-8F8188C74FB1}"/>
    <cellStyle name="Normal 31 4 5 5" xfId="33545" xr:uid="{24B5D2FE-ED0B-4F94-8709-C35951D5EBE9}"/>
    <cellStyle name="Normal 31 4 5 6" xfId="33546" xr:uid="{F0C91635-DC0A-4291-8120-174A1D0F9D52}"/>
    <cellStyle name="Normal 31 4 6" xfId="33547" xr:uid="{DC3ADF04-6472-448C-A679-5DA2C3F14ECB}"/>
    <cellStyle name="Normal 31 4 6 2" xfId="33548" xr:uid="{C78D2CD0-5545-4BC1-A54A-94BF952D8DD3}"/>
    <cellStyle name="Normal 31 4 6 3" xfId="33549" xr:uid="{886BDEAD-6DA7-49DE-B734-A543F0500502}"/>
    <cellStyle name="Normal 31 4 6 4" xfId="33550" xr:uid="{C709E864-A98B-4690-8313-843152308339}"/>
    <cellStyle name="Normal 31 4 6 5" xfId="33551" xr:uid="{30FE4CD6-EF3D-40F3-BA41-640E6C67123D}"/>
    <cellStyle name="Normal 31 4 6 6" xfId="33552" xr:uid="{68B0C585-85D5-464F-82A8-CD070C8333F0}"/>
    <cellStyle name="Normal 31 4 7" xfId="33553" xr:uid="{6B7974A9-316E-4693-9065-82B753005678}"/>
    <cellStyle name="Normal 31 4 7 2" xfId="33554" xr:uid="{1AC2C0FB-D25C-43AE-9C97-C32DD883607A}"/>
    <cellStyle name="Normal 31 4 7 3" xfId="33555" xr:uid="{CF349351-8AC4-4C4E-9DAF-4EB3724ED60E}"/>
    <cellStyle name="Normal 31 4 7 4" xfId="33556" xr:uid="{02F999B6-241A-4A93-9B4A-0C6FCE2C65A7}"/>
    <cellStyle name="Normal 31 4 7 5" xfId="33557" xr:uid="{AA29E405-CEA5-4C29-81F7-2992C920D9D7}"/>
    <cellStyle name="Normal 31 4 7 6" xfId="33558" xr:uid="{7368FD58-C4B9-4B79-BE55-3DC8D20061DF}"/>
    <cellStyle name="Normal 31 4 8" xfId="33559" xr:uid="{358126BD-8A1E-4F72-823F-F3B399D038AE}"/>
    <cellStyle name="Normal 31 4 8 2" xfId="33560" xr:uid="{8C63CC2D-5915-47E6-8B94-E56B2BFC9720}"/>
    <cellStyle name="Normal 31 4 8 3" xfId="33561" xr:uid="{760ABA10-EF7E-4552-970B-60ABC87CF185}"/>
    <cellStyle name="Normal 31 4 8 4" xfId="33562" xr:uid="{7A9FB247-FA44-42E5-B824-4F343581EC29}"/>
    <cellStyle name="Normal 31 4 8 5" xfId="33563" xr:uid="{7319D62A-2F62-428E-B91D-86F0E51947E1}"/>
    <cellStyle name="Normal 31 4 8 6" xfId="33564" xr:uid="{595DBBCF-BE00-40D3-9786-2C31686C115C}"/>
    <cellStyle name="Normal 31 4 9" xfId="33565" xr:uid="{607AF560-62E8-4780-A8FF-AEB4FE83DB64}"/>
    <cellStyle name="Normal 31 5" xfId="33566" xr:uid="{61C40ACD-F7C6-4A03-B1AB-6446A7D60072}"/>
    <cellStyle name="Normal 31 5 10" xfId="33567" xr:uid="{17F10AE3-5BB8-4B8E-8C05-4BD3935FF8D7}"/>
    <cellStyle name="Normal 31 5 11" xfId="33568" xr:uid="{8B63D771-256E-498F-82F0-3C1F7659F21F}"/>
    <cellStyle name="Normal 31 5 12" xfId="33569" xr:uid="{0566FF22-D1FF-4A74-91D5-F0B4F8274FAC}"/>
    <cellStyle name="Normal 31 5 13" xfId="33570" xr:uid="{3B36ECAB-E003-4BC3-B6FC-CAA5D16458ED}"/>
    <cellStyle name="Normal 31 5 2" xfId="33571" xr:uid="{2DD2F7D9-57DD-4234-AB46-51DDE106FF8F}"/>
    <cellStyle name="Normal 31 5 2 2" xfId="33572" xr:uid="{96E11EC3-B8DD-4783-AA93-436F08C502E3}"/>
    <cellStyle name="Normal 31 5 2 3" xfId="33573" xr:uid="{F6CEA716-AE04-4FF9-BE8A-F45DCCC0ECC4}"/>
    <cellStyle name="Normal 31 5 2 4" xfId="33574" xr:uid="{EF35E389-04F8-4CCE-ACA0-18BB855163E9}"/>
    <cellStyle name="Normal 31 5 2 5" xfId="33575" xr:uid="{70586DD3-6181-40EB-90EF-3A05F337F479}"/>
    <cellStyle name="Normal 31 5 2 6" xfId="33576" xr:uid="{1031B02D-CB06-4A78-9AB8-DCAA1C5C2A7E}"/>
    <cellStyle name="Normal 31 5 3" xfId="33577" xr:uid="{62D7893C-F85C-4024-8690-00EEB9A8CB8B}"/>
    <cellStyle name="Normal 31 5 3 2" xfId="33578" xr:uid="{5B7057AC-C0E6-4512-BC13-C3F3EF0B24FA}"/>
    <cellStyle name="Normal 31 5 3 3" xfId="33579" xr:uid="{99E94437-30E8-43F4-A662-3CC111C7B08C}"/>
    <cellStyle name="Normal 31 5 3 4" xfId="33580" xr:uid="{015C7FB0-79C1-4E64-8955-5ACD7250AF12}"/>
    <cellStyle name="Normal 31 5 3 5" xfId="33581" xr:uid="{E42F1990-A6D7-4CC2-A6EE-C5C4CB842E8A}"/>
    <cellStyle name="Normal 31 5 3 6" xfId="33582" xr:uid="{3D3D5CA8-F4A9-4FC1-8A72-119FE57145F4}"/>
    <cellStyle name="Normal 31 5 4" xfId="33583" xr:uid="{02B137E2-F627-440E-A244-B13D6CD125C9}"/>
    <cellStyle name="Normal 31 5 4 2" xfId="33584" xr:uid="{AFD4658B-23A5-43A2-A9C2-D18D8F9F4437}"/>
    <cellStyle name="Normal 31 5 4 3" xfId="33585" xr:uid="{49F68CBA-4F0C-4E3A-AB07-2874500E49BC}"/>
    <cellStyle name="Normal 31 5 4 4" xfId="33586" xr:uid="{115D95B9-A111-4F37-8A76-DE84E2FA4D14}"/>
    <cellStyle name="Normal 31 5 4 5" xfId="33587" xr:uid="{FDE62770-892E-4BB3-B676-7EEC68374219}"/>
    <cellStyle name="Normal 31 5 4 6" xfId="33588" xr:uid="{E861E17C-69FB-428B-8BDB-AB4377A2396A}"/>
    <cellStyle name="Normal 31 5 5" xfId="33589" xr:uid="{F9EB1657-4B56-4F27-8D32-5C51C9CDC0EE}"/>
    <cellStyle name="Normal 31 5 5 2" xfId="33590" xr:uid="{7164C940-5295-44A2-BFB8-3D7964394609}"/>
    <cellStyle name="Normal 31 5 5 3" xfId="33591" xr:uid="{2CC5A7E6-9EF8-4303-97B3-5FF1DB764956}"/>
    <cellStyle name="Normal 31 5 5 4" xfId="33592" xr:uid="{03E967DE-9E89-421F-A885-C1C6EF32917C}"/>
    <cellStyle name="Normal 31 5 5 5" xfId="33593" xr:uid="{DA23DF2C-8128-4811-8FFD-D887E8C04B41}"/>
    <cellStyle name="Normal 31 5 5 6" xfId="33594" xr:uid="{6E63418F-93A6-443F-B1FC-05D4EC404E3E}"/>
    <cellStyle name="Normal 31 5 6" xfId="33595" xr:uid="{F76F1222-1139-469D-82A6-FD654D0B1F3F}"/>
    <cellStyle name="Normal 31 5 6 2" xfId="33596" xr:uid="{C37064F5-0E01-46FE-88AA-B126E2ED6B8D}"/>
    <cellStyle name="Normal 31 5 6 3" xfId="33597" xr:uid="{6332C68F-6E6F-457B-B311-3F18F39C0A31}"/>
    <cellStyle name="Normal 31 5 6 4" xfId="33598" xr:uid="{D8F22843-42E7-4A73-860E-2B7F03F3B22B}"/>
    <cellStyle name="Normal 31 5 6 5" xfId="33599" xr:uid="{EB2DA43D-7262-4168-AA4D-67E96727AEDF}"/>
    <cellStyle name="Normal 31 5 6 6" xfId="33600" xr:uid="{59A26589-FD87-490E-B84D-970C70FEA11A}"/>
    <cellStyle name="Normal 31 5 7" xfId="33601" xr:uid="{43AF3EC1-6B49-4FB5-BB78-76B708461756}"/>
    <cellStyle name="Normal 31 5 7 2" xfId="33602" xr:uid="{38EE223B-6EB5-4DBB-AB13-6B41E6E50314}"/>
    <cellStyle name="Normal 31 5 7 3" xfId="33603" xr:uid="{60967A20-9EA7-4290-AC77-3C1A32B175F9}"/>
    <cellStyle name="Normal 31 5 7 4" xfId="33604" xr:uid="{99D0F851-696F-4196-9ACF-214F507F0BBA}"/>
    <cellStyle name="Normal 31 5 7 5" xfId="33605" xr:uid="{41B21748-EEE0-4BCD-BF1E-67A13FB9BABD}"/>
    <cellStyle name="Normal 31 5 7 6" xfId="33606" xr:uid="{18178159-0461-4A86-8543-7F1C5BC9170B}"/>
    <cellStyle name="Normal 31 5 8" xfId="33607" xr:uid="{4FE365E9-87EA-4055-99E9-3AB83AF711BF}"/>
    <cellStyle name="Normal 31 5 8 2" xfId="33608" xr:uid="{20E2CA68-F04B-42B7-817A-ED7439C82B08}"/>
    <cellStyle name="Normal 31 5 8 3" xfId="33609" xr:uid="{E2A063B4-FC83-4F05-8E71-DC05AE5870AF}"/>
    <cellStyle name="Normal 31 5 8 4" xfId="33610" xr:uid="{E43EE7D9-657B-4185-914B-1C1D93AA346F}"/>
    <cellStyle name="Normal 31 5 8 5" xfId="33611" xr:uid="{2A1EC640-123C-4F11-8356-1FE0BEB9739F}"/>
    <cellStyle name="Normal 31 5 8 6" xfId="33612" xr:uid="{BED69DF2-99C0-41A9-9B01-312B4A97A613}"/>
    <cellStyle name="Normal 31 5 9" xfId="33613" xr:uid="{5D2C5B92-72F1-4D41-9E20-42AC9DBAED56}"/>
    <cellStyle name="Normal 31 6" xfId="33614" xr:uid="{ECE5B14D-6144-4003-B024-8FBFF43767EA}"/>
    <cellStyle name="Normal 31 6 10" xfId="33615" xr:uid="{7F9C06F4-4816-4F62-B4A8-CF075C72CA24}"/>
    <cellStyle name="Normal 31 6 11" xfId="33616" xr:uid="{C11E35CB-C9DB-4DAA-AE2B-CE89F0F54B42}"/>
    <cellStyle name="Normal 31 6 12" xfId="33617" xr:uid="{1E3BD17D-F246-45E7-8376-30E9046F4333}"/>
    <cellStyle name="Normal 31 6 13" xfId="33618" xr:uid="{926669BC-0389-4148-8A8D-4F068DBEC441}"/>
    <cellStyle name="Normal 31 6 2" xfId="33619" xr:uid="{B50CE1D1-1587-4861-8197-40F4F1A286A0}"/>
    <cellStyle name="Normal 31 6 2 2" xfId="33620" xr:uid="{8DDAF602-2C0F-4BD2-A688-657C48F00167}"/>
    <cellStyle name="Normal 31 6 2 3" xfId="33621" xr:uid="{6E29D808-7DCA-4489-BAE3-E6B66F9A6AE3}"/>
    <cellStyle name="Normal 31 6 2 4" xfId="33622" xr:uid="{BD96EC13-474A-4244-82FE-6E4A620749F8}"/>
    <cellStyle name="Normal 31 6 2 5" xfId="33623" xr:uid="{6071987C-B422-4D98-998B-99E1C3B30D0E}"/>
    <cellStyle name="Normal 31 6 2 6" xfId="33624" xr:uid="{AD40C09F-B817-44E2-9C9B-66B1B10CC6FC}"/>
    <cellStyle name="Normal 31 6 3" xfId="33625" xr:uid="{B43FB25F-1B78-4C0D-87C0-BBFBEE9FC577}"/>
    <cellStyle name="Normal 31 6 3 2" xfId="33626" xr:uid="{783D3529-CC07-4840-B7F6-A8C3B2CEB9BA}"/>
    <cellStyle name="Normal 31 6 3 3" xfId="33627" xr:uid="{5434770A-879C-4106-92A9-44B93E20AA6C}"/>
    <cellStyle name="Normal 31 6 3 4" xfId="33628" xr:uid="{BDF06C42-E3B2-4D4C-9CA6-30C57BC1FF96}"/>
    <cellStyle name="Normal 31 6 3 5" xfId="33629" xr:uid="{129A8C1A-38CB-4BB4-836D-C31FEB9C11E0}"/>
    <cellStyle name="Normal 31 6 3 6" xfId="33630" xr:uid="{3C9FD676-D62E-424A-8B88-0B2EE683D18E}"/>
    <cellStyle name="Normal 31 6 4" xfId="33631" xr:uid="{9DBC89B7-C975-483E-A543-8EA84F0CA93A}"/>
    <cellStyle name="Normal 31 6 4 2" xfId="33632" xr:uid="{A918AE09-A271-4F33-9EEB-0620D9F90BAB}"/>
    <cellStyle name="Normal 31 6 4 3" xfId="33633" xr:uid="{FAF765FC-EB3F-4847-BC2F-D3A143BDD639}"/>
    <cellStyle name="Normal 31 6 4 4" xfId="33634" xr:uid="{8AD8A080-2BBE-49AE-BBD4-5623F6C9C490}"/>
    <cellStyle name="Normal 31 6 4 5" xfId="33635" xr:uid="{FC7C8463-31EE-4EF4-A6CF-BCACDADADC2F}"/>
    <cellStyle name="Normal 31 6 4 6" xfId="33636" xr:uid="{E53CD0C0-10FF-40B7-B20B-927426D0B984}"/>
    <cellStyle name="Normal 31 6 5" xfId="33637" xr:uid="{810628A1-938C-4166-A519-30627AE39842}"/>
    <cellStyle name="Normal 31 6 5 2" xfId="33638" xr:uid="{3E3D92FA-96FA-4092-9871-135881C2FB87}"/>
    <cellStyle name="Normal 31 6 5 3" xfId="33639" xr:uid="{1A4F81AF-80DD-4317-B5CA-74C251F39FA4}"/>
    <cellStyle name="Normal 31 6 5 4" xfId="33640" xr:uid="{675E4ADD-478B-4A79-A699-976FB491C55A}"/>
    <cellStyle name="Normal 31 6 5 5" xfId="33641" xr:uid="{8A89E4D0-8F9B-46DA-B790-D8375D3A1C4F}"/>
    <cellStyle name="Normal 31 6 5 6" xfId="33642" xr:uid="{F4D28F54-9A93-47D3-9656-BD70B2DB4E0E}"/>
    <cellStyle name="Normal 31 6 6" xfId="33643" xr:uid="{ED66DB65-B800-449B-8E97-2DF9F2066DE4}"/>
    <cellStyle name="Normal 31 6 6 2" xfId="33644" xr:uid="{98912F49-F404-4F44-86C7-DF0211E1619A}"/>
    <cellStyle name="Normal 31 6 6 3" xfId="33645" xr:uid="{CE96AB6C-8129-44BA-AB76-A8431B74F4D5}"/>
    <cellStyle name="Normal 31 6 6 4" xfId="33646" xr:uid="{82AF1289-7738-4D18-BBEC-7820C3E3AF06}"/>
    <cellStyle name="Normal 31 6 6 5" xfId="33647" xr:uid="{137D9EA7-E54E-4776-9E75-4E203D8EB7B6}"/>
    <cellStyle name="Normal 31 6 6 6" xfId="33648" xr:uid="{6ACD9801-3994-4367-9FD2-B931A670C1B4}"/>
    <cellStyle name="Normal 31 6 7" xfId="33649" xr:uid="{48FEF1E7-B4A5-40D3-B313-9F537ED2E777}"/>
    <cellStyle name="Normal 31 6 7 2" xfId="33650" xr:uid="{568DC8B5-BCCC-4C90-87AD-764F87214A7D}"/>
    <cellStyle name="Normal 31 6 7 3" xfId="33651" xr:uid="{88A4718F-FA07-47B8-9EFE-B22A185763FE}"/>
    <cellStyle name="Normal 31 6 7 4" xfId="33652" xr:uid="{2DF44ECD-3619-420C-8761-F01BB60A8B97}"/>
    <cellStyle name="Normal 31 6 7 5" xfId="33653" xr:uid="{C738431A-DB40-4AC3-8725-14E9E4FE5771}"/>
    <cellStyle name="Normal 31 6 7 6" xfId="33654" xr:uid="{60CD99ED-4373-4D74-96BC-2B65D642FCB9}"/>
    <cellStyle name="Normal 31 6 8" xfId="33655" xr:uid="{B8127DD8-2540-4319-A522-69B38ADCBC3F}"/>
    <cellStyle name="Normal 31 6 8 2" xfId="33656" xr:uid="{754E9BF2-F06D-490E-AE2C-0D13944F1F62}"/>
    <cellStyle name="Normal 31 6 8 3" xfId="33657" xr:uid="{4AA01A86-3316-4E32-B16E-985C0D8A03E8}"/>
    <cellStyle name="Normal 31 6 8 4" xfId="33658" xr:uid="{A70A7194-FFD8-49F3-8486-76B0EF1843EB}"/>
    <cellStyle name="Normal 31 6 8 5" xfId="33659" xr:uid="{D4BB3D88-B48F-4BB4-86C1-B0C4B5CA1E23}"/>
    <cellStyle name="Normal 31 6 8 6" xfId="33660" xr:uid="{6211FA98-66BC-4F93-A2AE-F1D8B6DBA1BC}"/>
    <cellStyle name="Normal 31 6 9" xfId="33661" xr:uid="{E77D374A-7086-455C-A774-40AEDE5CDB3A}"/>
    <cellStyle name="Normal 31 7" xfId="33662" xr:uid="{3893EFA6-5043-441F-8CFF-CFAE3DC3FE76}"/>
    <cellStyle name="Normal 31 7 10" xfId="33663" xr:uid="{2518D980-C630-414A-9C14-A5885DF6DEBF}"/>
    <cellStyle name="Normal 31 7 11" xfId="33664" xr:uid="{1FCA8B79-9777-4A15-A32D-31BC9B1C6D6D}"/>
    <cellStyle name="Normal 31 7 12" xfId="33665" xr:uid="{F70B625B-3659-442A-AF8D-806984AFB0C6}"/>
    <cellStyle name="Normal 31 7 13" xfId="33666" xr:uid="{E2FFBDA1-15F6-46DE-9DDC-F4E360775BED}"/>
    <cellStyle name="Normal 31 7 2" xfId="33667" xr:uid="{380A5A85-48A5-4360-BBED-4CE3C9CFF768}"/>
    <cellStyle name="Normal 31 7 2 2" xfId="33668" xr:uid="{4E362107-474D-4CE1-91BD-240939F32976}"/>
    <cellStyle name="Normal 31 7 2 3" xfId="33669" xr:uid="{DBC7FF6E-1A74-4A08-8FC9-AAD6B2346ED2}"/>
    <cellStyle name="Normal 31 7 2 4" xfId="33670" xr:uid="{CB73B7E0-B1B6-46DA-8189-28CCC07CD676}"/>
    <cellStyle name="Normal 31 7 2 5" xfId="33671" xr:uid="{04820AD2-0460-4F62-B00C-7851A4DDB943}"/>
    <cellStyle name="Normal 31 7 2 6" xfId="33672" xr:uid="{CCBC610D-E948-44AD-A810-800C4EECA7C8}"/>
    <cellStyle name="Normal 31 7 3" xfId="33673" xr:uid="{D1B3888F-13E5-4510-97B2-C80C2DDB9F8F}"/>
    <cellStyle name="Normal 31 7 3 2" xfId="33674" xr:uid="{0EA79BEB-5997-48EF-B83E-52885F8435DC}"/>
    <cellStyle name="Normal 31 7 3 3" xfId="33675" xr:uid="{E551995E-D5B6-469F-BBB6-8F2AEDCAD072}"/>
    <cellStyle name="Normal 31 7 3 4" xfId="33676" xr:uid="{8390505F-349B-4983-8F5B-EEE0C8F50DDC}"/>
    <cellStyle name="Normal 31 7 3 5" xfId="33677" xr:uid="{7D63243A-FDCE-45BA-A52D-FF5CE17E5CA6}"/>
    <cellStyle name="Normal 31 7 3 6" xfId="33678" xr:uid="{0CD4B822-00E0-4157-A875-BB69A6D3DE72}"/>
    <cellStyle name="Normal 31 7 4" xfId="33679" xr:uid="{2FBE18C5-8D8C-47CC-88F7-DB6495A2989F}"/>
    <cellStyle name="Normal 31 7 4 2" xfId="33680" xr:uid="{586A930F-36A1-484D-999D-FB4B9C4B7572}"/>
    <cellStyle name="Normal 31 7 4 3" xfId="33681" xr:uid="{4453D2F1-6C29-48B3-AD95-A1235DC30717}"/>
    <cellStyle name="Normal 31 7 4 4" xfId="33682" xr:uid="{BC92BDAC-A54F-4A30-BB12-8C1F3E912D47}"/>
    <cellStyle name="Normal 31 7 4 5" xfId="33683" xr:uid="{B8E4ABD8-7E6E-42AB-9044-CEEDA01F156F}"/>
    <cellStyle name="Normal 31 7 4 6" xfId="33684" xr:uid="{2F76DF7A-C8E7-4E93-BB2F-1B19DF1CFA86}"/>
    <cellStyle name="Normal 31 7 5" xfId="33685" xr:uid="{5B1E5F89-6BAE-420C-A051-56D37C8A03C9}"/>
    <cellStyle name="Normal 31 7 5 2" xfId="33686" xr:uid="{2EC5E082-7DAE-43D6-8C86-4EB3386AE24F}"/>
    <cellStyle name="Normal 31 7 5 3" xfId="33687" xr:uid="{02F5F108-8E6E-4DBB-BB4C-9B7B898BCCFB}"/>
    <cellStyle name="Normal 31 7 5 4" xfId="33688" xr:uid="{483E0C95-2EF0-47DB-8158-563AADD27D15}"/>
    <cellStyle name="Normal 31 7 5 5" xfId="33689" xr:uid="{3BAE494E-DE45-4EF5-B5DB-4C5EE8BF6FDF}"/>
    <cellStyle name="Normal 31 7 5 6" xfId="33690" xr:uid="{481E6A7E-480F-4AEB-AAC8-4FAABA9788B9}"/>
    <cellStyle name="Normal 31 7 6" xfId="33691" xr:uid="{6D2B880E-FABF-494B-9709-73A9899B845E}"/>
    <cellStyle name="Normal 31 7 6 2" xfId="33692" xr:uid="{D0E33EDA-9F49-4448-B551-892CC5007B86}"/>
    <cellStyle name="Normal 31 7 6 3" xfId="33693" xr:uid="{68FE3D5D-1BB8-4354-9E36-E9C73EB8C120}"/>
    <cellStyle name="Normal 31 7 6 4" xfId="33694" xr:uid="{7BDDE6C0-0A68-4387-8053-0EB368FBF7B6}"/>
    <cellStyle name="Normal 31 7 6 5" xfId="33695" xr:uid="{9067E026-D5F1-461C-A5C6-43489922C351}"/>
    <cellStyle name="Normal 31 7 6 6" xfId="33696" xr:uid="{7342A5CC-F457-4636-910B-112C98EA0C4B}"/>
    <cellStyle name="Normal 31 7 7" xfId="33697" xr:uid="{0027C371-4BBF-408E-BBB4-10B6F36D27CC}"/>
    <cellStyle name="Normal 31 7 7 2" xfId="33698" xr:uid="{2BF1D7E6-09E1-4714-A89C-1FA78B9D5EAA}"/>
    <cellStyle name="Normal 31 7 7 3" xfId="33699" xr:uid="{0F97509A-7918-435E-811C-703E68C9B1C4}"/>
    <cellStyle name="Normal 31 7 7 4" xfId="33700" xr:uid="{4256B8C5-93B5-4DEA-A6BF-BE99CACE0599}"/>
    <cellStyle name="Normal 31 7 7 5" xfId="33701" xr:uid="{C92D3A2E-C734-40B6-AF45-C78CD86C40A2}"/>
    <cellStyle name="Normal 31 7 7 6" xfId="33702" xr:uid="{53C30041-3512-4E69-951A-C119AB8F8241}"/>
    <cellStyle name="Normal 31 7 8" xfId="33703" xr:uid="{D0C4D181-88A1-4947-8205-8F6DD4718BC1}"/>
    <cellStyle name="Normal 31 7 8 2" xfId="33704" xr:uid="{18D4363D-75BA-4058-A148-47E5CBCA7F9D}"/>
    <cellStyle name="Normal 31 7 8 3" xfId="33705" xr:uid="{FF005BA4-30AF-442A-92FC-191614680A5D}"/>
    <cellStyle name="Normal 31 7 8 4" xfId="33706" xr:uid="{CC4AF17E-965C-422C-AB98-91FC629705A6}"/>
    <cellStyle name="Normal 31 7 8 5" xfId="33707" xr:uid="{7751E21A-6398-441C-994A-B21F49B03A50}"/>
    <cellStyle name="Normal 31 7 8 6" xfId="33708" xr:uid="{E2A9B723-E733-4A63-8673-0ED707E394F8}"/>
    <cellStyle name="Normal 31 7 9" xfId="33709" xr:uid="{A2CFBC4B-CFC5-49CE-93D3-E42B210B575A}"/>
    <cellStyle name="Normal 31 8" xfId="33710" xr:uid="{2D02A816-B5D7-4A11-BA34-A9051B3B4DAA}"/>
    <cellStyle name="Normal 31 8 10" xfId="33711" xr:uid="{C2E0A4A6-9E71-4F93-B9FD-D778F6B2F738}"/>
    <cellStyle name="Normal 31 8 11" xfId="33712" xr:uid="{5E8F6AC5-4DE3-4AD9-85B6-2E6213016E8A}"/>
    <cellStyle name="Normal 31 8 12" xfId="33713" xr:uid="{4A35B8E5-7B49-4A82-B95A-05A2EFE1A79F}"/>
    <cellStyle name="Normal 31 8 13" xfId="33714" xr:uid="{347E1F64-CF1A-484B-9E5C-E6CFFCE48217}"/>
    <cellStyle name="Normal 31 8 2" xfId="33715" xr:uid="{15B39CB2-7003-4E5F-B9F0-0EA231002BC0}"/>
    <cellStyle name="Normal 31 8 2 2" xfId="33716" xr:uid="{041493BF-5DF7-4F07-9928-A6FF0D9C09A4}"/>
    <cellStyle name="Normal 31 8 2 3" xfId="33717" xr:uid="{EC29D93E-7FE9-4123-84A0-67E6366C359C}"/>
    <cellStyle name="Normal 31 8 2 4" xfId="33718" xr:uid="{62E763EE-B234-4B04-A8A6-E0FB589C00FC}"/>
    <cellStyle name="Normal 31 8 2 5" xfId="33719" xr:uid="{A924F8F4-77E1-467C-A07E-F92A8B4053B5}"/>
    <cellStyle name="Normal 31 8 2 6" xfId="33720" xr:uid="{8AEABC7F-BAF0-4AAF-B7D4-DDAF946214BE}"/>
    <cellStyle name="Normal 31 8 3" xfId="33721" xr:uid="{2BD26337-4226-4E57-80B0-407451960BDC}"/>
    <cellStyle name="Normal 31 8 3 2" xfId="33722" xr:uid="{F0865FED-38CD-49E7-8BA5-56879A4B6745}"/>
    <cellStyle name="Normal 31 8 3 3" xfId="33723" xr:uid="{99B3AB94-0FB3-4D69-8B5B-F77EC5320626}"/>
    <cellStyle name="Normal 31 8 3 4" xfId="33724" xr:uid="{1FABFD15-3BEE-40ED-9331-8BAD806EA959}"/>
    <cellStyle name="Normal 31 8 3 5" xfId="33725" xr:uid="{9B767576-DCF5-456B-964A-5EDBA4306848}"/>
    <cellStyle name="Normal 31 8 3 6" xfId="33726" xr:uid="{37FB1392-2077-423B-9DF2-3969CE54ED7C}"/>
    <cellStyle name="Normal 31 8 4" xfId="33727" xr:uid="{F8FEF147-494C-4FCE-87EF-4F1B8E60D494}"/>
    <cellStyle name="Normal 31 8 4 2" xfId="33728" xr:uid="{E898BD94-7EF5-4B4D-9D2A-76A24B57590F}"/>
    <cellStyle name="Normal 31 8 4 3" xfId="33729" xr:uid="{A069CA19-843C-4BEC-8B1A-9368F71AFF39}"/>
    <cellStyle name="Normal 31 8 4 4" xfId="33730" xr:uid="{7E877E31-E4CF-48C6-B4A5-834267B6AB10}"/>
    <cellStyle name="Normal 31 8 4 5" xfId="33731" xr:uid="{F65BBA78-0C0F-4992-A1D1-9D0FFCA298A3}"/>
    <cellStyle name="Normal 31 8 4 6" xfId="33732" xr:uid="{0E5FF2B8-62A9-47F2-AAA5-A5E00CC155F8}"/>
    <cellStyle name="Normal 31 8 5" xfId="33733" xr:uid="{CB6D64F7-7858-4C53-8C3B-4CDE6B2FD4D2}"/>
    <cellStyle name="Normal 31 8 5 2" xfId="33734" xr:uid="{018D271D-E5AA-4187-A6D4-4927621AB617}"/>
    <cellStyle name="Normal 31 8 5 3" xfId="33735" xr:uid="{B87E540E-B6CE-415D-8215-C04531B5768C}"/>
    <cellStyle name="Normal 31 8 5 4" xfId="33736" xr:uid="{32C50F79-0C82-4346-8577-DFC9DEC522C3}"/>
    <cellStyle name="Normal 31 8 5 5" xfId="33737" xr:uid="{47782E2B-87DC-4A43-A991-181615C1EFFE}"/>
    <cellStyle name="Normal 31 8 5 6" xfId="33738" xr:uid="{0B513603-1DC8-41EA-85E0-47D6F308130C}"/>
    <cellStyle name="Normal 31 8 6" xfId="33739" xr:uid="{8FDB2E07-5BCE-47DC-B2A0-0F29AEE9BEB1}"/>
    <cellStyle name="Normal 31 8 6 2" xfId="33740" xr:uid="{F6CE02F4-9F76-45DF-AFCB-E41560001253}"/>
    <cellStyle name="Normal 31 8 6 3" xfId="33741" xr:uid="{291CBE70-C921-4958-B729-0B03A362118D}"/>
    <cellStyle name="Normal 31 8 6 4" xfId="33742" xr:uid="{D999C0FB-1458-4BEB-898E-99600666CC36}"/>
    <cellStyle name="Normal 31 8 6 5" xfId="33743" xr:uid="{9A09F891-4C75-4945-8583-66F9374E419D}"/>
    <cellStyle name="Normal 31 8 6 6" xfId="33744" xr:uid="{1104F987-CE99-4B34-8DF5-426E0B690C9C}"/>
    <cellStyle name="Normal 31 8 7" xfId="33745" xr:uid="{9BD6C720-4F2F-4870-9DED-D3097E81D851}"/>
    <cellStyle name="Normal 31 8 7 2" xfId="33746" xr:uid="{598AC7BF-47DD-4D3F-B503-9A0F72D341BF}"/>
    <cellStyle name="Normal 31 8 7 3" xfId="33747" xr:uid="{BB591B8A-4711-4134-A418-F00D3926416A}"/>
    <cellStyle name="Normal 31 8 7 4" xfId="33748" xr:uid="{35C9E1DA-9F76-426C-937F-A20905EE6959}"/>
    <cellStyle name="Normal 31 8 7 5" xfId="33749" xr:uid="{2A283262-6D33-4C41-ACC1-8D45B77F7DFA}"/>
    <cellStyle name="Normal 31 8 7 6" xfId="33750" xr:uid="{4EB34FAE-19A3-4E10-8118-C1B5D06965B1}"/>
    <cellStyle name="Normal 31 8 8" xfId="33751" xr:uid="{C0878C41-FA42-423F-B292-E20F25A6D570}"/>
    <cellStyle name="Normal 31 8 8 2" xfId="33752" xr:uid="{8CD405CB-B003-498B-819D-105775C84A08}"/>
    <cellStyle name="Normal 31 8 8 3" xfId="33753" xr:uid="{9510DF48-3460-4037-8E1A-69CCC1731603}"/>
    <cellStyle name="Normal 31 8 8 4" xfId="33754" xr:uid="{DD7B0232-F431-4356-A016-63E6F098E0E5}"/>
    <cellStyle name="Normal 31 8 8 5" xfId="33755" xr:uid="{0303DCED-497E-4078-BFBF-BBFD82B75882}"/>
    <cellStyle name="Normal 31 8 8 6" xfId="33756" xr:uid="{37932DB4-44F1-4577-929E-94EC1D3A72F7}"/>
    <cellStyle name="Normal 31 8 9" xfId="33757" xr:uid="{65F835E2-2668-4B78-82DA-F89013B7EFD1}"/>
    <cellStyle name="Normal 31 9" xfId="33758" xr:uid="{8C91633A-F688-430A-97EB-5ADA10D216CC}"/>
    <cellStyle name="Normal 31 9 10" xfId="33759" xr:uid="{E7F0909B-3E62-42F6-9AF8-CB67B7994FE1}"/>
    <cellStyle name="Normal 31 9 11" xfId="33760" xr:uid="{85AD6DB1-6AF9-4E0A-8DDF-0F7ADC876EC0}"/>
    <cellStyle name="Normal 31 9 12" xfId="33761" xr:uid="{9626F941-C579-49A6-B4B3-48F18EB1E529}"/>
    <cellStyle name="Normal 31 9 13" xfId="33762" xr:uid="{89E31169-E4A7-4510-9F38-496184A69B73}"/>
    <cellStyle name="Normal 31 9 2" xfId="33763" xr:uid="{703AF52D-C594-4D75-BDA0-2BDFF9DB5CD0}"/>
    <cellStyle name="Normal 31 9 2 2" xfId="33764" xr:uid="{0D4F8A40-4127-480C-8BB1-9E30DDEF8383}"/>
    <cellStyle name="Normal 31 9 2 3" xfId="33765" xr:uid="{C22B30D6-D58F-4FFA-B1CE-8B6872F9C5AC}"/>
    <cellStyle name="Normal 31 9 2 4" xfId="33766" xr:uid="{7E962E80-DF29-4E5E-A180-61A60488CF7C}"/>
    <cellStyle name="Normal 31 9 2 5" xfId="33767" xr:uid="{E23C4B24-375A-4B47-94EC-2C2629D9A635}"/>
    <cellStyle name="Normal 31 9 2 6" xfId="33768" xr:uid="{13FF99D9-560B-4553-8AFD-D80BBA52C586}"/>
    <cellStyle name="Normal 31 9 3" xfId="33769" xr:uid="{6221237C-B2AE-49D2-BC0C-2880A8D55B23}"/>
    <cellStyle name="Normal 31 9 3 2" xfId="33770" xr:uid="{E5FCC3B2-3034-4950-91D2-544061ED8FB0}"/>
    <cellStyle name="Normal 31 9 3 3" xfId="33771" xr:uid="{047A461D-21C5-465E-8319-224760B53156}"/>
    <cellStyle name="Normal 31 9 3 4" xfId="33772" xr:uid="{66CAA94C-1355-499B-A2D3-4D129BC4D689}"/>
    <cellStyle name="Normal 31 9 3 5" xfId="33773" xr:uid="{0BDCEBDA-83D3-4B93-B34F-80CAD74A71C5}"/>
    <cellStyle name="Normal 31 9 3 6" xfId="33774" xr:uid="{200D4EE1-76FA-4384-854F-DFF0892058F6}"/>
    <cellStyle name="Normal 31 9 4" xfId="33775" xr:uid="{A15F3F7E-06EF-4A80-89F9-61E64F7959AE}"/>
    <cellStyle name="Normal 31 9 4 2" xfId="33776" xr:uid="{5099D41D-F5BB-4CDE-97B1-D36ADC7AE95B}"/>
    <cellStyle name="Normal 31 9 4 3" xfId="33777" xr:uid="{8F52C7A8-7D6D-4C17-8CBD-60C2D59DEB7A}"/>
    <cellStyle name="Normal 31 9 4 4" xfId="33778" xr:uid="{40D40B4B-ECB4-49A1-8178-AE80C7B336B3}"/>
    <cellStyle name="Normal 31 9 4 5" xfId="33779" xr:uid="{B05B8215-63A5-449C-B80B-6895DBACDA71}"/>
    <cellStyle name="Normal 31 9 4 6" xfId="33780" xr:uid="{2134B88D-BB79-4AF3-8121-F83AC880FC9E}"/>
    <cellStyle name="Normal 31 9 5" xfId="33781" xr:uid="{27B0E916-86F8-432C-A811-64842E29CA9D}"/>
    <cellStyle name="Normal 31 9 5 2" xfId="33782" xr:uid="{0527F382-C047-4F14-9542-34109FBA25B7}"/>
    <cellStyle name="Normal 31 9 5 3" xfId="33783" xr:uid="{7C2F8CE8-4F21-4545-AF04-FC3F5D602F85}"/>
    <cellStyle name="Normal 31 9 5 4" xfId="33784" xr:uid="{59414271-0272-4261-8779-6C0D5CD52F2A}"/>
    <cellStyle name="Normal 31 9 5 5" xfId="33785" xr:uid="{577BEE66-79AA-4003-9FC9-84BEC037F875}"/>
    <cellStyle name="Normal 31 9 5 6" xfId="33786" xr:uid="{DB90379D-AECE-48AD-BCE1-2D4F6ABF1231}"/>
    <cellStyle name="Normal 31 9 6" xfId="33787" xr:uid="{6BD9E76F-F08B-4174-BE35-FB6470D82C08}"/>
    <cellStyle name="Normal 31 9 6 2" xfId="33788" xr:uid="{0C46661B-8492-4732-BD44-985166112348}"/>
    <cellStyle name="Normal 31 9 6 3" xfId="33789" xr:uid="{CDEFA948-5EF8-4EA4-B65A-868EDC989FE0}"/>
    <cellStyle name="Normal 31 9 6 4" xfId="33790" xr:uid="{FF3BC96B-706D-43E3-B59B-E1AEFA88B131}"/>
    <cellStyle name="Normal 31 9 6 5" xfId="33791" xr:uid="{6BD5C970-7C69-4D11-9457-398573A76151}"/>
    <cellStyle name="Normal 31 9 6 6" xfId="33792" xr:uid="{8682CE9E-D7E2-4741-99C8-07EA88535474}"/>
    <cellStyle name="Normal 31 9 7" xfId="33793" xr:uid="{7A91D1E9-7937-448A-B9F5-4D963DF8670E}"/>
    <cellStyle name="Normal 31 9 7 2" xfId="33794" xr:uid="{8704F2D6-1853-4A25-8238-1A74D3B597A0}"/>
    <cellStyle name="Normal 31 9 7 3" xfId="33795" xr:uid="{CC1E1152-2A5A-4065-A3C5-4F7212C7A766}"/>
    <cellStyle name="Normal 31 9 7 4" xfId="33796" xr:uid="{C607C73A-647D-42AF-AA7A-19C35903AD93}"/>
    <cellStyle name="Normal 31 9 7 5" xfId="33797" xr:uid="{FE9618E3-67FF-4C9B-92FD-825A401FB006}"/>
    <cellStyle name="Normal 31 9 7 6" xfId="33798" xr:uid="{1F6BAF54-2DCD-4D91-BCFA-1FE953328079}"/>
    <cellStyle name="Normal 31 9 8" xfId="33799" xr:uid="{4B088392-7482-4A0C-ADD5-40F2DE779995}"/>
    <cellStyle name="Normal 31 9 8 2" xfId="33800" xr:uid="{3062C3F6-9ED4-4F66-A674-F8EB820393A5}"/>
    <cellStyle name="Normal 31 9 8 3" xfId="33801" xr:uid="{0F4BC811-74C4-49BD-89AA-923037A2762F}"/>
    <cellStyle name="Normal 31 9 8 4" xfId="33802" xr:uid="{EA692F11-59FF-4A5B-8A70-01FD891CE1B5}"/>
    <cellStyle name="Normal 31 9 8 5" xfId="33803" xr:uid="{14BDCA6A-95FF-49A6-80F6-8FF3B442C8CF}"/>
    <cellStyle name="Normal 31 9 8 6" xfId="33804" xr:uid="{E5C9F84B-DE70-493C-9C47-DD2FAA9A8F9F}"/>
    <cellStyle name="Normal 31 9 9" xfId="33805" xr:uid="{405656EC-DA6C-4D1B-9C16-3176FB87F1E3}"/>
    <cellStyle name="Normal 32" xfId="33806" xr:uid="{A3E59D6A-7922-4F47-8FE8-10DA5586C843}"/>
    <cellStyle name="Normal 32 10" xfId="33807" xr:uid="{F8ADEDF4-DEE2-41FC-86EB-74E12E433632}"/>
    <cellStyle name="Normal 32 10 10" xfId="33808" xr:uid="{CCCF44E5-E71D-4ED4-B561-4D7A24F159EC}"/>
    <cellStyle name="Normal 32 10 11" xfId="33809" xr:uid="{55096C03-340F-4AD1-9415-94074EA8173C}"/>
    <cellStyle name="Normal 32 10 12" xfId="33810" xr:uid="{F471E564-8D56-4D8C-A556-6753D65417A7}"/>
    <cellStyle name="Normal 32 10 13" xfId="33811" xr:uid="{661FF0FB-E651-4E22-89E9-59384D2D8E75}"/>
    <cellStyle name="Normal 32 10 2" xfId="33812" xr:uid="{5A0E5BA4-A124-4AA8-8B18-B97799C0CEF6}"/>
    <cellStyle name="Normal 32 10 2 2" xfId="33813" xr:uid="{EE3B2C92-EDEB-479E-AEDF-D58B4C9B54EC}"/>
    <cellStyle name="Normal 32 10 2 3" xfId="33814" xr:uid="{6370AD47-2A7F-403E-8573-D9EE01C5DBAA}"/>
    <cellStyle name="Normal 32 10 2 4" xfId="33815" xr:uid="{ED054F87-EEE7-42D7-AE9A-D6D38A95C19D}"/>
    <cellStyle name="Normal 32 10 2 5" xfId="33816" xr:uid="{81338070-C847-4D14-B5A9-5A164732EC65}"/>
    <cellStyle name="Normal 32 10 2 6" xfId="33817" xr:uid="{1A819B8B-AC09-4ADF-A03B-F7C1EA10D763}"/>
    <cellStyle name="Normal 32 10 3" xfId="33818" xr:uid="{67BDBA13-E5DC-40D0-AF32-D7A5D58C259D}"/>
    <cellStyle name="Normal 32 10 3 2" xfId="33819" xr:uid="{AB511E26-75BA-4584-AA5D-44AE0E5CE921}"/>
    <cellStyle name="Normal 32 10 3 3" xfId="33820" xr:uid="{4E32A5AD-514B-4E58-882F-6955D0D116D0}"/>
    <cellStyle name="Normal 32 10 3 4" xfId="33821" xr:uid="{17F3F222-F55C-448C-B792-281ACECDE914}"/>
    <cellStyle name="Normal 32 10 3 5" xfId="33822" xr:uid="{702AFF64-412F-4953-9BF5-9F2FF5C9AA96}"/>
    <cellStyle name="Normal 32 10 3 6" xfId="33823" xr:uid="{73366705-E32E-4A7C-9736-D835F9BA2EAE}"/>
    <cellStyle name="Normal 32 10 4" xfId="33824" xr:uid="{FD2E28C5-1E90-4421-9AF9-D88509BFF004}"/>
    <cellStyle name="Normal 32 10 4 2" xfId="33825" xr:uid="{05394F5D-DE4D-49CB-BD09-DFC9A27A64E1}"/>
    <cellStyle name="Normal 32 10 4 3" xfId="33826" xr:uid="{C0F1DD82-FFF6-4B55-8A2D-D4EEE1A4A48E}"/>
    <cellStyle name="Normal 32 10 4 4" xfId="33827" xr:uid="{B85CBBA8-FCA6-40EE-AE7A-6FECD261CD16}"/>
    <cellStyle name="Normal 32 10 4 5" xfId="33828" xr:uid="{D650966F-273D-4656-BFDC-D6A0C1B1CD0C}"/>
    <cellStyle name="Normal 32 10 4 6" xfId="33829" xr:uid="{A5D083D8-5BE3-44BE-ACD5-B2CB73AD9DC4}"/>
    <cellStyle name="Normal 32 10 5" xfId="33830" xr:uid="{33B74E59-49D1-4AFD-ACE1-CD5EADA9E634}"/>
    <cellStyle name="Normal 32 10 5 2" xfId="33831" xr:uid="{1486B8A3-A7D8-4698-B643-0B041D5AB501}"/>
    <cellStyle name="Normal 32 10 5 3" xfId="33832" xr:uid="{52CB326E-A72B-4A2F-863E-3558679E65F7}"/>
    <cellStyle name="Normal 32 10 5 4" xfId="33833" xr:uid="{5C73AB15-1A0F-4CBC-9F57-18BA1CB6B664}"/>
    <cellStyle name="Normal 32 10 5 5" xfId="33834" xr:uid="{93BE4B4E-D24A-4BF6-8F7D-C9F22B0C578B}"/>
    <cellStyle name="Normal 32 10 5 6" xfId="33835" xr:uid="{6B776F89-C41F-4ED1-AB57-72668A1B6090}"/>
    <cellStyle name="Normal 32 10 6" xfId="33836" xr:uid="{92318225-B73C-464F-9F6E-21182FF2B85C}"/>
    <cellStyle name="Normal 32 10 6 2" xfId="33837" xr:uid="{D7BAB86D-DE18-4AB5-9F57-B2A0B8F977C5}"/>
    <cellStyle name="Normal 32 10 6 3" xfId="33838" xr:uid="{A734FB5A-20C8-4EAA-9556-DD7585550742}"/>
    <cellStyle name="Normal 32 10 6 4" xfId="33839" xr:uid="{D97C4F9C-5170-4D95-B7B6-A09F90AAACF6}"/>
    <cellStyle name="Normal 32 10 6 5" xfId="33840" xr:uid="{A9DC355D-1384-4605-95B8-1C34BC876556}"/>
    <cellStyle name="Normal 32 10 6 6" xfId="33841" xr:uid="{D7AE4617-3BC8-4243-BFB0-8BD0189CF287}"/>
    <cellStyle name="Normal 32 10 7" xfId="33842" xr:uid="{2A31B202-5BBA-4C70-A55E-B60F616454A2}"/>
    <cellStyle name="Normal 32 10 7 2" xfId="33843" xr:uid="{89070E4B-CAE0-4734-AEA6-7E28FEDBB327}"/>
    <cellStyle name="Normal 32 10 7 3" xfId="33844" xr:uid="{6037B502-9D8F-44DD-828C-00AC69EBD67E}"/>
    <cellStyle name="Normal 32 10 7 4" xfId="33845" xr:uid="{3EE6D903-E0F2-494E-883F-CC0BE9497114}"/>
    <cellStyle name="Normal 32 10 7 5" xfId="33846" xr:uid="{B0166171-F83E-447D-BE13-06DD214706B9}"/>
    <cellStyle name="Normal 32 10 7 6" xfId="33847" xr:uid="{F6BE441E-4564-4525-AD1F-704F63F28A0F}"/>
    <cellStyle name="Normal 32 10 8" xfId="33848" xr:uid="{2E88CC28-36A1-4DBC-8D8C-1B3D7F5AF627}"/>
    <cellStyle name="Normal 32 10 8 2" xfId="33849" xr:uid="{0A1335C2-54F5-4973-98B8-1245EEEF8D3D}"/>
    <cellStyle name="Normal 32 10 8 3" xfId="33850" xr:uid="{7F4F7BCA-F995-450E-B7DD-5854346F4909}"/>
    <cellStyle name="Normal 32 10 8 4" xfId="33851" xr:uid="{F1DF5EBB-5949-4509-9C08-E0174BC6288E}"/>
    <cellStyle name="Normal 32 10 8 5" xfId="33852" xr:uid="{C07ADFB3-67E2-41A9-9FD3-9D83FA5927FA}"/>
    <cellStyle name="Normal 32 10 8 6" xfId="33853" xr:uid="{F20FABAD-3BB2-4F1C-8062-773CC5274332}"/>
    <cellStyle name="Normal 32 10 9" xfId="33854" xr:uid="{4A15A050-DA0B-4E2C-9EF7-A4F4B0B3681D}"/>
    <cellStyle name="Normal 32 11" xfId="33855" xr:uid="{DEB633DC-057A-4E13-8C3B-A9C1EF9582D1}"/>
    <cellStyle name="Normal 32 11 10" xfId="33856" xr:uid="{C92717EC-7EDB-4933-9218-0C7EF7132673}"/>
    <cellStyle name="Normal 32 11 11" xfId="33857" xr:uid="{EC420808-D6A5-4CAE-9016-0DFD57897263}"/>
    <cellStyle name="Normal 32 11 12" xfId="33858" xr:uid="{F15490F3-2BCB-4FA8-8C0C-A1D8F37B97E2}"/>
    <cellStyle name="Normal 32 11 13" xfId="33859" xr:uid="{887E7C18-6662-4F39-B1AF-F528B0790D28}"/>
    <cellStyle name="Normal 32 11 2" xfId="33860" xr:uid="{BD961FD4-B470-41D0-A7A7-45FF62045736}"/>
    <cellStyle name="Normal 32 11 2 2" xfId="33861" xr:uid="{9ED0D0F0-1597-4800-827E-403E376AE372}"/>
    <cellStyle name="Normal 32 11 2 3" xfId="33862" xr:uid="{3A243887-8D3B-4B98-9E0E-B8F8873284A4}"/>
    <cellStyle name="Normal 32 11 2 4" xfId="33863" xr:uid="{233B6F02-1F78-4270-9830-7E131845D8DC}"/>
    <cellStyle name="Normal 32 11 2 5" xfId="33864" xr:uid="{8E8A2EED-9FBF-44FD-B19B-8A04B0954B7A}"/>
    <cellStyle name="Normal 32 11 2 6" xfId="33865" xr:uid="{0F406827-4C91-4A23-BD02-8FF7E73F642A}"/>
    <cellStyle name="Normal 32 11 3" xfId="33866" xr:uid="{1F073AF1-5DBD-4481-8D22-86592019256C}"/>
    <cellStyle name="Normal 32 11 3 2" xfId="33867" xr:uid="{B2808316-DE8E-44CD-B612-CF979C9AD3E3}"/>
    <cellStyle name="Normal 32 11 3 3" xfId="33868" xr:uid="{8CCD4054-12C4-494E-AB9F-26BD5498A46A}"/>
    <cellStyle name="Normal 32 11 3 4" xfId="33869" xr:uid="{8C1DD0F9-AD93-4191-9F70-EE800D7FC190}"/>
    <cellStyle name="Normal 32 11 3 5" xfId="33870" xr:uid="{35BA15F3-63AF-4ADA-9346-4BA1A54913E2}"/>
    <cellStyle name="Normal 32 11 3 6" xfId="33871" xr:uid="{5A8890E1-78FF-4F2F-A0B0-BA158E8F05C8}"/>
    <cellStyle name="Normal 32 11 4" xfId="33872" xr:uid="{90455311-FB64-4726-966F-54E8B26FC15C}"/>
    <cellStyle name="Normal 32 11 4 2" xfId="33873" xr:uid="{4426D8EC-5A45-4EB4-A7C0-EB05730827B5}"/>
    <cellStyle name="Normal 32 11 4 3" xfId="33874" xr:uid="{B5FD47A6-B42F-47FF-8BDA-CA409B7FD3A5}"/>
    <cellStyle name="Normal 32 11 4 4" xfId="33875" xr:uid="{89FACCE5-A7ED-4C19-8685-9C050DBF8110}"/>
    <cellStyle name="Normal 32 11 4 5" xfId="33876" xr:uid="{5FEA6D43-9B91-40DA-9F73-8566B9B139D2}"/>
    <cellStyle name="Normal 32 11 4 6" xfId="33877" xr:uid="{6765E1A6-CB9D-4F77-8438-4DDDBEB0CC6D}"/>
    <cellStyle name="Normal 32 11 5" xfId="33878" xr:uid="{E624BDEF-F739-4932-9A34-6BCF044EC888}"/>
    <cellStyle name="Normal 32 11 5 2" xfId="33879" xr:uid="{E3FCBCC2-1FB8-4926-8444-8B0A99601B25}"/>
    <cellStyle name="Normal 32 11 5 3" xfId="33880" xr:uid="{019F1050-E015-460B-812A-77619157D03D}"/>
    <cellStyle name="Normal 32 11 5 4" xfId="33881" xr:uid="{B7A2C262-A004-415A-9C43-DC5BB2DF6B83}"/>
    <cellStyle name="Normal 32 11 5 5" xfId="33882" xr:uid="{7DE9A0D2-5040-446A-AEE0-A54C436FF46C}"/>
    <cellStyle name="Normal 32 11 5 6" xfId="33883" xr:uid="{91D14F2F-656E-4865-98F2-1E9E237DFE77}"/>
    <cellStyle name="Normal 32 11 6" xfId="33884" xr:uid="{546985DA-2B84-4AF2-AAD5-5C7ED29DA76B}"/>
    <cellStyle name="Normal 32 11 6 2" xfId="33885" xr:uid="{75A3D3C9-4A6C-487A-BF9F-5A1219320011}"/>
    <cellStyle name="Normal 32 11 6 3" xfId="33886" xr:uid="{B212FB87-EC1D-47B3-A09E-371C2CAF8816}"/>
    <cellStyle name="Normal 32 11 6 4" xfId="33887" xr:uid="{73F9AC93-EB61-476B-84B1-EF6100D187C8}"/>
    <cellStyle name="Normal 32 11 6 5" xfId="33888" xr:uid="{4B444991-274C-47B7-9D5D-971181A201BB}"/>
    <cellStyle name="Normal 32 11 6 6" xfId="33889" xr:uid="{845F4D9B-CEFA-4EB8-8EDE-65D82EA11D5C}"/>
    <cellStyle name="Normal 32 11 7" xfId="33890" xr:uid="{53217532-E548-4305-8CE8-6A6F37F49312}"/>
    <cellStyle name="Normal 32 11 7 2" xfId="33891" xr:uid="{FC0BDC4F-5A8D-49A8-8922-AA75662AF45F}"/>
    <cellStyle name="Normal 32 11 7 3" xfId="33892" xr:uid="{53E05476-E22C-4D98-B749-D36EE281BE29}"/>
    <cellStyle name="Normal 32 11 7 4" xfId="33893" xr:uid="{094AF90F-A664-4D6E-8855-E39051B50E65}"/>
    <cellStyle name="Normal 32 11 7 5" xfId="33894" xr:uid="{3DEB4F9B-B086-4594-BF4E-78102AE1B9B6}"/>
    <cellStyle name="Normal 32 11 7 6" xfId="33895" xr:uid="{F4498CF9-6F36-4D04-B8D1-E44691981B47}"/>
    <cellStyle name="Normal 32 11 8" xfId="33896" xr:uid="{B7A53F34-61CF-409A-A068-0748460461D4}"/>
    <cellStyle name="Normal 32 11 8 2" xfId="33897" xr:uid="{E9E347D2-F8D5-4FA2-B186-BBA92CD3F760}"/>
    <cellStyle name="Normal 32 11 8 3" xfId="33898" xr:uid="{2EB7769E-FE04-495E-A82F-F2D9E3707D1A}"/>
    <cellStyle name="Normal 32 11 8 4" xfId="33899" xr:uid="{BAC9F912-95B0-4C66-AC14-289BD7E1797B}"/>
    <cellStyle name="Normal 32 11 8 5" xfId="33900" xr:uid="{25B8D859-84AC-4BFD-BBA7-D87FB994D828}"/>
    <cellStyle name="Normal 32 11 8 6" xfId="33901" xr:uid="{93EBCA22-C147-475B-B548-4B0220894EFC}"/>
    <cellStyle name="Normal 32 11 9" xfId="33902" xr:uid="{27231CCF-BA3D-470D-A826-C96D5A36A067}"/>
    <cellStyle name="Normal 32 12" xfId="33903" xr:uid="{85ABE8FD-5B32-4688-92FE-8A39D818B8C8}"/>
    <cellStyle name="Normal 32 12 2" xfId="33904" xr:uid="{88F49516-DC7C-45D8-A18B-F851F75C3458}"/>
    <cellStyle name="Normal 32 12 3" xfId="33905" xr:uid="{683BC11D-996A-4746-BA96-BCB53C89B242}"/>
    <cellStyle name="Normal 32 12 4" xfId="33906" xr:uid="{F9D863B4-EEA6-4288-945E-B6F091FCDCF6}"/>
    <cellStyle name="Normal 32 12 5" xfId="33907" xr:uid="{46E388AB-6BC4-48DA-B033-F98F4C3D3D2F}"/>
    <cellStyle name="Normal 32 12 6" xfId="33908" xr:uid="{02E205F6-00E4-4021-8786-2A3B12A146AA}"/>
    <cellStyle name="Normal 32 13" xfId="33909" xr:uid="{A65101FD-9716-4568-AD92-E219974E4306}"/>
    <cellStyle name="Normal 32 13 2" xfId="33910" xr:uid="{C1B2C716-8E61-4861-9982-BAA9DD60E6E4}"/>
    <cellStyle name="Normal 32 13 3" xfId="33911" xr:uid="{4283A907-31BA-49C7-B904-2121E5F58C8C}"/>
    <cellStyle name="Normal 32 13 4" xfId="33912" xr:uid="{F97B483F-8847-4EBD-B040-A195731C99C5}"/>
    <cellStyle name="Normal 32 13 5" xfId="33913" xr:uid="{FC99CDE3-F297-473D-931F-587262B940C3}"/>
    <cellStyle name="Normal 32 13 6" xfId="33914" xr:uid="{89E72FFB-28C9-4317-8CFA-46C2847C2E69}"/>
    <cellStyle name="Normal 32 14" xfId="33915" xr:uid="{3CEB412F-1402-4A30-BA29-8360F3DB2F40}"/>
    <cellStyle name="Normal 32 14 2" xfId="33916" xr:uid="{4B143FA0-E3CD-4155-B62F-59A757CE7FC0}"/>
    <cellStyle name="Normal 32 14 3" xfId="33917" xr:uid="{115C22C7-10DB-4AB9-9213-DD4FE1830258}"/>
    <cellStyle name="Normal 32 14 4" xfId="33918" xr:uid="{AE2C6038-9F40-4B10-86A3-EE7287A02585}"/>
    <cellStyle name="Normal 32 14 5" xfId="33919" xr:uid="{BA96C8F8-E868-445D-8F6A-E556219D3966}"/>
    <cellStyle name="Normal 32 14 6" xfId="33920" xr:uid="{DB02F4AF-91D2-45A2-8877-106B9C4B5A91}"/>
    <cellStyle name="Normal 32 15" xfId="33921" xr:uid="{CD4FEB59-EC73-4239-9842-F48ED503B79D}"/>
    <cellStyle name="Normal 32 15 2" xfId="33922" xr:uid="{917308A2-1601-4440-93CC-0372E95B7CFD}"/>
    <cellStyle name="Normal 32 15 3" xfId="33923" xr:uid="{E52329AB-456A-41E2-90B1-9A0A6907EF5E}"/>
    <cellStyle name="Normal 32 15 4" xfId="33924" xr:uid="{8B3F563F-267E-43E1-94A3-DED38FCFA842}"/>
    <cellStyle name="Normal 32 15 5" xfId="33925" xr:uid="{6F265461-BE20-47F2-A8A5-F8108AAA86D8}"/>
    <cellStyle name="Normal 32 15 6" xfId="33926" xr:uid="{B289E9BC-59D5-464A-A73E-51AB06B62C05}"/>
    <cellStyle name="Normal 32 16" xfId="33927" xr:uid="{A79F5B55-CF10-41F1-9D1A-23F1F43B208A}"/>
    <cellStyle name="Normal 32 16 2" xfId="33928" xr:uid="{0E5DE0FA-ECB5-4900-9447-508A95B3EE31}"/>
    <cellStyle name="Normal 32 16 3" xfId="33929" xr:uid="{0802E3C1-2EC2-4A3E-BCB2-FA438C2C5427}"/>
    <cellStyle name="Normal 32 16 4" xfId="33930" xr:uid="{39EBD88A-B90F-4A14-954D-BD275303AA2D}"/>
    <cellStyle name="Normal 32 16 5" xfId="33931" xr:uid="{6513B736-BCAA-407A-B3C8-9AF5D6C5B1E3}"/>
    <cellStyle name="Normal 32 16 6" xfId="33932" xr:uid="{0C198884-5681-48FA-B760-9D18BBEA0F0B}"/>
    <cellStyle name="Normal 32 17" xfId="33933" xr:uid="{A0D2443B-289F-48D1-B807-CE343B7DC977}"/>
    <cellStyle name="Normal 32 17 2" xfId="33934" xr:uid="{3B780C63-2D10-4426-967A-DE4D6B33C1E6}"/>
    <cellStyle name="Normal 32 17 3" xfId="33935" xr:uid="{0923DFBE-4214-4EF3-A7BA-346FAF7316A6}"/>
    <cellStyle name="Normal 32 17 4" xfId="33936" xr:uid="{EDC3DF9E-55BD-474C-8791-53BD1A1EDC82}"/>
    <cellStyle name="Normal 32 17 5" xfId="33937" xr:uid="{9EFF159E-83A7-4ECA-9A84-67F8FB733C4D}"/>
    <cellStyle name="Normal 32 17 6" xfId="33938" xr:uid="{3AD7CAE8-ECD3-4689-96C6-8AFDB70F7AC4}"/>
    <cellStyle name="Normal 32 18" xfId="33939" xr:uid="{CED08574-7667-41DC-A82C-968BBA82AD4F}"/>
    <cellStyle name="Normal 32 18 2" xfId="33940" xr:uid="{8BC31805-E47E-444B-AF8D-0B3A767F675D}"/>
    <cellStyle name="Normal 32 18 3" xfId="33941" xr:uid="{FEA3D9D0-FDC9-4FE7-9817-E4C7AC98A758}"/>
    <cellStyle name="Normal 32 18 4" xfId="33942" xr:uid="{89E90722-74A0-4E4A-968E-B0775C8BAE29}"/>
    <cellStyle name="Normal 32 18 5" xfId="33943" xr:uid="{3217F69E-87AF-4376-8A51-B836E89C1593}"/>
    <cellStyle name="Normal 32 18 6" xfId="33944" xr:uid="{31CD04C9-D71E-4E8C-841A-24C9387D0E60}"/>
    <cellStyle name="Normal 32 19" xfId="33945" xr:uid="{4310B68A-FD92-40D0-BFB5-6D35E300ECF8}"/>
    <cellStyle name="Normal 32 2" xfId="1688" xr:uid="{B647C361-7A40-49F8-8D74-90A6D9F85057}"/>
    <cellStyle name="Normal 32 2 10" xfId="33946" xr:uid="{4BD6FF89-E77A-4166-BEB8-71805321E339}"/>
    <cellStyle name="Normal 32 2 11" xfId="33947" xr:uid="{CF4A77F1-3189-4902-ABB1-953A84E5B143}"/>
    <cellStyle name="Normal 32 2 12" xfId="33948" xr:uid="{4C9CDB3D-DB7A-425E-B15A-FDE943F949B6}"/>
    <cellStyle name="Normal 32 2 13" xfId="33949" xr:uid="{CA63C9E7-15A6-44B1-8DE3-78801C563127}"/>
    <cellStyle name="Normal 32 2 2" xfId="33950" xr:uid="{C72D7813-9CD3-4874-8576-2E0691282E98}"/>
    <cellStyle name="Normal 32 2 2 2" xfId="33951" xr:uid="{43954388-5989-471D-8585-9FD5DCECF880}"/>
    <cellStyle name="Normal 32 2 2 3" xfId="33952" xr:uid="{44B835F8-C77E-4CC0-A6A7-CCE2605E4FC6}"/>
    <cellStyle name="Normal 32 2 2 4" xfId="33953" xr:uid="{810E136D-45F6-45EF-AF41-0061B195BBC6}"/>
    <cellStyle name="Normal 32 2 2 5" xfId="33954" xr:uid="{D0356983-F155-4626-819A-EE1DF78002C2}"/>
    <cellStyle name="Normal 32 2 2 6" xfId="33955" xr:uid="{E125569F-8704-4C21-958D-3C233CB4DDB9}"/>
    <cellStyle name="Normal 32 2 3" xfId="33956" xr:uid="{5624F81C-5226-45D2-8CFE-A565D5CBD264}"/>
    <cellStyle name="Normal 32 2 3 2" xfId="33957" xr:uid="{9ACDEE46-891A-464E-9181-6DFCE844BA18}"/>
    <cellStyle name="Normal 32 2 3 3" xfId="33958" xr:uid="{7BDBED98-5D07-4F06-8DC0-C54559F36C74}"/>
    <cellStyle name="Normal 32 2 3 4" xfId="33959" xr:uid="{F56C58E3-C175-4C87-B911-65EEA3497951}"/>
    <cellStyle name="Normal 32 2 3 5" xfId="33960" xr:uid="{017F003A-D3D7-4D95-859E-83FB00DB3133}"/>
    <cellStyle name="Normal 32 2 3 6" xfId="33961" xr:uid="{38D8F6C9-8FA2-427E-B9DC-BB7F92D1DD2C}"/>
    <cellStyle name="Normal 32 2 4" xfId="33962" xr:uid="{9ECDF043-29A5-49BB-81CF-E08EE9F99E26}"/>
    <cellStyle name="Normal 32 2 4 2" xfId="33963" xr:uid="{73935044-833F-4230-87ED-184A73387DD2}"/>
    <cellStyle name="Normal 32 2 4 3" xfId="33964" xr:uid="{49849988-0DD4-4E92-B26B-76D3546DA95B}"/>
    <cellStyle name="Normal 32 2 4 4" xfId="33965" xr:uid="{7853B17F-B43C-47E1-9B82-439608DBC9C9}"/>
    <cellStyle name="Normal 32 2 4 5" xfId="33966" xr:uid="{AA593877-72E1-41F0-A7B3-DE41FF5BA3B8}"/>
    <cellStyle name="Normal 32 2 4 6" xfId="33967" xr:uid="{E60E482D-3DEB-41EF-8636-1511AFBD1BB7}"/>
    <cellStyle name="Normal 32 2 5" xfId="33968" xr:uid="{357120A2-9BAB-428C-BD6C-F56AF9856244}"/>
    <cellStyle name="Normal 32 2 5 2" xfId="33969" xr:uid="{62C710FC-6FCE-4C80-8741-D0A39B6B1703}"/>
    <cellStyle name="Normal 32 2 5 3" xfId="33970" xr:uid="{8753112D-B636-467A-8DFA-ACCF41909F01}"/>
    <cellStyle name="Normal 32 2 5 4" xfId="33971" xr:uid="{057BCA60-2DE1-43A0-AF3A-FB496EA8D4A8}"/>
    <cellStyle name="Normal 32 2 5 5" xfId="33972" xr:uid="{983FFCF2-17FD-434F-A609-64667690B7FE}"/>
    <cellStyle name="Normal 32 2 5 6" xfId="33973" xr:uid="{659703D6-5C71-48DD-B7CB-F9B321E7A509}"/>
    <cellStyle name="Normal 32 2 6" xfId="33974" xr:uid="{22086DFC-6CD6-4E05-B779-C6C816219ADD}"/>
    <cellStyle name="Normal 32 2 6 2" xfId="33975" xr:uid="{727D7CDD-AE7B-42F0-967A-9701BA32E070}"/>
    <cellStyle name="Normal 32 2 6 3" xfId="33976" xr:uid="{8BC7D337-FF4E-4D50-9603-9B3591E59CB2}"/>
    <cellStyle name="Normal 32 2 6 4" xfId="33977" xr:uid="{F0942740-8E70-437A-952E-48F0FD20BE70}"/>
    <cellStyle name="Normal 32 2 6 5" xfId="33978" xr:uid="{1D4DD57C-50BD-4150-899A-C3E3313827DA}"/>
    <cellStyle name="Normal 32 2 6 6" xfId="33979" xr:uid="{0AA93783-DD60-416E-8585-F6665EE9303F}"/>
    <cellStyle name="Normal 32 2 7" xfId="33980" xr:uid="{44969AED-1014-485B-9B46-8D7ABF375071}"/>
    <cellStyle name="Normal 32 2 7 2" xfId="33981" xr:uid="{77D0DBC9-C353-48EF-91EA-F639B2AA8442}"/>
    <cellStyle name="Normal 32 2 7 3" xfId="33982" xr:uid="{71440DC9-ADCA-4CB7-8CE7-258B10CAED1D}"/>
    <cellStyle name="Normal 32 2 7 4" xfId="33983" xr:uid="{FC5EE978-7E27-4A1F-9E8C-2A6272C86D1B}"/>
    <cellStyle name="Normal 32 2 7 5" xfId="33984" xr:uid="{9F737DDB-D463-484A-BBFD-E19A5955AE4A}"/>
    <cellStyle name="Normal 32 2 7 6" xfId="33985" xr:uid="{70766FF6-6198-463E-B261-F1AFD4376138}"/>
    <cellStyle name="Normal 32 2 8" xfId="33986" xr:uid="{3BE3DF10-74EB-4705-BBFA-E0DA8F540329}"/>
    <cellStyle name="Normal 32 2 8 2" xfId="33987" xr:uid="{35CE34C2-02E7-4CBE-B130-455C1590E0E4}"/>
    <cellStyle name="Normal 32 2 8 3" xfId="33988" xr:uid="{4EBCE4B0-F0CD-4031-968E-C08278BBF921}"/>
    <cellStyle name="Normal 32 2 8 4" xfId="33989" xr:uid="{80DA7F4F-6A36-4B0C-9784-33B43ACF345F}"/>
    <cellStyle name="Normal 32 2 8 5" xfId="33990" xr:uid="{EE6D5127-D679-46A2-965D-25B36F62627E}"/>
    <cellStyle name="Normal 32 2 8 6" xfId="33991" xr:uid="{E8D57553-DE28-48EB-B20C-8092567BF925}"/>
    <cellStyle name="Normal 32 2 9" xfId="33992" xr:uid="{E9239533-1CF2-4488-9C50-298B875769AB}"/>
    <cellStyle name="Normal 32 20" xfId="33993" xr:uid="{63CEA618-4406-4C56-B671-8F8F5F7F6736}"/>
    <cellStyle name="Normal 32 21" xfId="33994" xr:uid="{1654D86F-D65F-4D2F-9ACC-4778FC38D6DD}"/>
    <cellStyle name="Normal 32 22" xfId="33995" xr:uid="{4E3E6E93-E53B-4CA4-95DB-EC2BA9A875E2}"/>
    <cellStyle name="Normal 32 23" xfId="33996" xr:uid="{EE6E7AE9-AE96-464A-8495-80C0B86B3CED}"/>
    <cellStyle name="Normal 32 3" xfId="23" xr:uid="{00000000-0005-0000-0000-00000B000000}"/>
    <cellStyle name="Normal 32 3 10" xfId="33997" xr:uid="{57CA5088-50EB-4C7B-A819-1173BAE68483}"/>
    <cellStyle name="Normal 32 3 11" xfId="33998" xr:uid="{3E12D2E7-D70C-423B-9543-14C2F45656B3}"/>
    <cellStyle name="Normal 32 3 12" xfId="33999" xr:uid="{BFF0BA33-D928-4E53-B3D3-754C23B203B8}"/>
    <cellStyle name="Normal 32 3 13" xfId="34000" xr:uid="{8311088F-3B59-40FF-8592-77F8928FE757}"/>
    <cellStyle name="Normal 32 3 2" xfId="34001" xr:uid="{985F15E8-64E1-4FFA-9A9F-ACD7881D94F8}"/>
    <cellStyle name="Normal 32 3 2 2" xfId="34002" xr:uid="{0D747280-39E6-4DAC-ACB4-E2181F1DC9FF}"/>
    <cellStyle name="Normal 32 3 2 3" xfId="34003" xr:uid="{908D2FFA-D8F7-46BB-8CBE-48BF23E589DD}"/>
    <cellStyle name="Normal 32 3 2 4" xfId="34004" xr:uid="{61D95325-D7F8-491B-8959-8F5661FCC1BB}"/>
    <cellStyle name="Normal 32 3 2 5" xfId="34005" xr:uid="{B852E4F8-C923-4696-9A27-49B9C4034B6A}"/>
    <cellStyle name="Normal 32 3 2 6" xfId="34006" xr:uid="{607FA1D4-921F-4305-875B-C4D85EE7DD09}"/>
    <cellStyle name="Normal 32 3 3" xfId="34007" xr:uid="{9B5C7C08-9ED9-46CF-BE84-F206E5AFF715}"/>
    <cellStyle name="Normal 32 3 3 2" xfId="34008" xr:uid="{832F43F5-069D-47DA-A4AD-CC3F42251B9F}"/>
    <cellStyle name="Normal 32 3 3 3" xfId="34009" xr:uid="{C4CB8117-1080-4F55-969E-DAE6628CB63F}"/>
    <cellStyle name="Normal 32 3 3 4" xfId="34010" xr:uid="{7438C923-7292-4300-940B-C0FED7B11B35}"/>
    <cellStyle name="Normal 32 3 3 5" xfId="34011" xr:uid="{16201607-E376-4657-90A8-8AE86DF1EFBB}"/>
    <cellStyle name="Normal 32 3 3 6" xfId="34012" xr:uid="{F6EEFE75-E532-40C1-B375-B38537BA6DE1}"/>
    <cellStyle name="Normal 32 3 4" xfId="34013" xr:uid="{D872502F-89E4-4FCF-9E1B-63B13CADCF9E}"/>
    <cellStyle name="Normal 32 3 4 2" xfId="34014" xr:uid="{47F6234D-E62C-40A0-BE05-9B2BDAE556F4}"/>
    <cellStyle name="Normal 32 3 4 3" xfId="34015" xr:uid="{48A86C0E-F939-41EB-8341-80810ADA90EC}"/>
    <cellStyle name="Normal 32 3 4 4" xfId="34016" xr:uid="{D546D67D-5488-48C1-B1B7-97F8454E01BA}"/>
    <cellStyle name="Normal 32 3 4 5" xfId="34017" xr:uid="{DB5044FB-5D2D-4D22-846E-93EA12C435C5}"/>
    <cellStyle name="Normal 32 3 4 6" xfId="34018" xr:uid="{79A6340E-CEC8-431F-8565-EA254D4BA9CD}"/>
    <cellStyle name="Normal 32 3 5" xfId="34019" xr:uid="{77B49D4D-C7D0-4DEF-8CF3-37AD57A81EFC}"/>
    <cellStyle name="Normal 32 3 5 2" xfId="34020" xr:uid="{5995DCD2-57CD-4109-81AA-90C3443063E8}"/>
    <cellStyle name="Normal 32 3 5 3" xfId="34021" xr:uid="{A0DC2D1D-98A8-4FDA-BC30-934DF8083F53}"/>
    <cellStyle name="Normal 32 3 5 4" xfId="34022" xr:uid="{6F91188B-01CE-44AE-BAA6-090240F58454}"/>
    <cellStyle name="Normal 32 3 5 5" xfId="34023" xr:uid="{1D905D06-DEC3-406D-8F0A-B478DB2F648D}"/>
    <cellStyle name="Normal 32 3 5 6" xfId="34024" xr:uid="{D127C9DE-24C9-4DB0-A7F6-3E522340701D}"/>
    <cellStyle name="Normal 32 3 6" xfId="34025" xr:uid="{EF98B86A-6CCA-441E-A112-DD6E3FD98BD4}"/>
    <cellStyle name="Normal 32 3 6 2" xfId="34026" xr:uid="{B261CA76-F92A-46AF-8D43-8A0EE17A5473}"/>
    <cellStyle name="Normal 32 3 6 3" xfId="34027" xr:uid="{A957C7CC-769A-49E7-8B60-5AF2926EB1A6}"/>
    <cellStyle name="Normal 32 3 6 4" xfId="34028" xr:uid="{0D7E2E52-FC2F-4E8C-91C9-CF79AF06C637}"/>
    <cellStyle name="Normal 32 3 6 5" xfId="34029" xr:uid="{4BB46059-CE78-4415-BF3C-D9BF86119E2F}"/>
    <cellStyle name="Normal 32 3 6 6" xfId="34030" xr:uid="{8C7B830A-BB30-4D28-A90D-040321C61595}"/>
    <cellStyle name="Normal 32 3 7" xfId="34031" xr:uid="{B94B44E9-AAAA-4D00-95AE-0DC6E3B49078}"/>
    <cellStyle name="Normal 32 3 7 2" xfId="34032" xr:uid="{E96B768C-20AA-4408-972C-91F444816E14}"/>
    <cellStyle name="Normal 32 3 7 3" xfId="34033" xr:uid="{5F748285-9900-4CB1-894C-212E4640225B}"/>
    <cellStyle name="Normal 32 3 7 4" xfId="34034" xr:uid="{0C4D2432-D7BB-4226-85A8-4037AADA55A0}"/>
    <cellStyle name="Normal 32 3 7 5" xfId="34035" xr:uid="{02A7F6B2-90B2-4130-BD7E-04034E852317}"/>
    <cellStyle name="Normal 32 3 7 6" xfId="34036" xr:uid="{5DE7CCE7-C2AC-4B33-8606-8967D2410510}"/>
    <cellStyle name="Normal 32 3 8" xfId="34037" xr:uid="{B24C8AD2-3DA3-4313-A4BF-D16080E6C8A5}"/>
    <cellStyle name="Normal 32 3 8 2" xfId="34038" xr:uid="{F92F4D5E-F980-46F3-A612-FB4A3544A113}"/>
    <cellStyle name="Normal 32 3 8 3" xfId="34039" xr:uid="{A4DCEB7B-3998-4EC1-BD60-27D10077ED01}"/>
    <cellStyle name="Normal 32 3 8 4" xfId="34040" xr:uid="{7AB3B265-B897-4278-A57C-9DAF51B83931}"/>
    <cellStyle name="Normal 32 3 8 5" xfId="34041" xr:uid="{C409CDC8-8E70-412C-994A-1B8DA65BC976}"/>
    <cellStyle name="Normal 32 3 8 6" xfId="34042" xr:uid="{3F80D5C4-BB4B-4E7E-83CA-12293D8D50E3}"/>
    <cellStyle name="Normal 32 3 9" xfId="34043" xr:uid="{FB9DC052-D938-478A-82AB-F3E15ACC46F7}"/>
    <cellStyle name="Normal 32 4" xfId="34044" xr:uid="{327EA8D7-B577-4202-A196-91CA346D5EB2}"/>
    <cellStyle name="Normal 32 4 10" xfId="34045" xr:uid="{F01464B6-B424-44FD-B55F-08D169A4CE8A}"/>
    <cellStyle name="Normal 32 4 11" xfId="34046" xr:uid="{B97AD1BB-7C57-477D-94C0-EC43FA567315}"/>
    <cellStyle name="Normal 32 4 12" xfId="34047" xr:uid="{50A0EAE1-6BC6-4456-B37E-859B750FF105}"/>
    <cellStyle name="Normal 32 4 13" xfId="34048" xr:uid="{0F1C5B53-2806-4F9A-9D06-E9CD10C0EFD4}"/>
    <cellStyle name="Normal 32 4 2" xfId="34049" xr:uid="{F663F70C-D7F4-4D37-9139-05268857A30D}"/>
    <cellStyle name="Normal 32 4 2 2" xfId="34050" xr:uid="{0AF5E40A-2450-45A0-BA25-63D4DE9BC297}"/>
    <cellStyle name="Normal 32 4 2 3" xfId="34051" xr:uid="{6F2C2A0F-162A-4315-B6F6-F94BB74A7DA3}"/>
    <cellStyle name="Normal 32 4 2 4" xfId="34052" xr:uid="{9F3AA795-46DE-4244-B0E6-2976564C7C77}"/>
    <cellStyle name="Normal 32 4 2 5" xfId="34053" xr:uid="{A0180CD7-4EF7-472E-8D2F-FDEAB7F9BDF4}"/>
    <cellStyle name="Normal 32 4 2 6" xfId="34054" xr:uid="{7A5FB1DE-EBBE-4B65-937D-53632B0A67A5}"/>
    <cellStyle name="Normal 32 4 3" xfId="34055" xr:uid="{D7D4FCCA-FFA2-4E22-A262-0FC1255F503B}"/>
    <cellStyle name="Normal 32 4 3 2" xfId="34056" xr:uid="{59F7A094-9E39-4109-98E4-1B27CB8BF43D}"/>
    <cellStyle name="Normal 32 4 3 3" xfId="34057" xr:uid="{49539C49-8251-444E-8F94-CDF99230CC7F}"/>
    <cellStyle name="Normal 32 4 3 4" xfId="34058" xr:uid="{A1FE9D3F-9920-4FAD-BBFE-E15DB495B9D8}"/>
    <cellStyle name="Normal 32 4 3 5" xfId="34059" xr:uid="{8350AE9A-2C7D-4E7B-AC15-6848CCE78DF6}"/>
    <cellStyle name="Normal 32 4 3 6" xfId="34060" xr:uid="{08D431C6-8A0E-4BD7-A003-D5DD0DB2969F}"/>
    <cellStyle name="Normal 32 4 4" xfId="34061" xr:uid="{C8243A84-2F17-4FCD-8B15-598348AEA0A0}"/>
    <cellStyle name="Normal 32 4 4 2" xfId="34062" xr:uid="{513F5656-A61A-4BC0-94AA-2DC12405B57A}"/>
    <cellStyle name="Normal 32 4 4 3" xfId="34063" xr:uid="{4CB161A0-40AB-4520-8B97-CB0ED81A9DE1}"/>
    <cellStyle name="Normal 32 4 4 4" xfId="34064" xr:uid="{1C811F60-1DC4-4C69-99D0-34E0C798D7C3}"/>
    <cellStyle name="Normal 32 4 4 5" xfId="34065" xr:uid="{4B1B1567-84DD-4AD8-A793-7345D35217CE}"/>
    <cellStyle name="Normal 32 4 4 6" xfId="34066" xr:uid="{A63C1D8C-2A28-4D70-9EA7-BA61FA3AAF9D}"/>
    <cellStyle name="Normal 32 4 5" xfId="34067" xr:uid="{E07A70A5-B29A-4A80-AE1E-4220E20E0BC0}"/>
    <cellStyle name="Normal 32 4 5 2" xfId="34068" xr:uid="{D793D6E4-7C33-4834-B382-6C55AAB28F23}"/>
    <cellStyle name="Normal 32 4 5 3" xfId="34069" xr:uid="{11017A6E-12FB-4664-BD2C-F8A39BC0445C}"/>
    <cellStyle name="Normal 32 4 5 4" xfId="34070" xr:uid="{A451C877-DF88-45AA-AF20-D64DED6D8FF7}"/>
    <cellStyle name="Normal 32 4 5 5" xfId="34071" xr:uid="{F379BAA4-1536-492C-A890-319E97D55BEB}"/>
    <cellStyle name="Normal 32 4 5 6" xfId="34072" xr:uid="{D64FC575-C2D6-432C-B4C4-AF3E3B9B8C33}"/>
    <cellStyle name="Normal 32 4 6" xfId="34073" xr:uid="{2E947916-49F9-42BC-87EB-C540E263F700}"/>
    <cellStyle name="Normal 32 4 6 2" xfId="34074" xr:uid="{1A112C92-A6B9-41A2-BC1B-514E3254A762}"/>
    <cellStyle name="Normal 32 4 6 3" xfId="34075" xr:uid="{64081D1C-C43A-4A0A-8837-8681C40B04E3}"/>
    <cellStyle name="Normal 32 4 6 4" xfId="34076" xr:uid="{F53F7340-830B-42B2-A6F6-57B82C778F7B}"/>
    <cellStyle name="Normal 32 4 6 5" xfId="34077" xr:uid="{C0B34D2B-47CB-4011-A2AF-FF0489E8289B}"/>
    <cellStyle name="Normal 32 4 6 6" xfId="34078" xr:uid="{87D29373-4264-4683-AD62-DAEEA5852CB4}"/>
    <cellStyle name="Normal 32 4 7" xfId="34079" xr:uid="{9A7A890B-7E00-43A7-A32E-BD584DACF38B}"/>
    <cellStyle name="Normal 32 4 7 2" xfId="34080" xr:uid="{3EF96584-C3E6-404D-99E1-06FE625D69FC}"/>
    <cellStyle name="Normal 32 4 7 3" xfId="34081" xr:uid="{3A30B0FE-87AA-4C04-97F3-AC91F51C2205}"/>
    <cellStyle name="Normal 32 4 7 4" xfId="34082" xr:uid="{C1BFEDEC-561F-46B1-977E-B6F3833B06D4}"/>
    <cellStyle name="Normal 32 4 7 5" xfId="34083" xr:uid="{E4471847-7A5D-44A1-94FD-512BC5C65DCF}"/>
    <cellStyle name="Normal 32 4 7 6" xfId="34084" xr:uid="{A69E562C-5A0C-4E9F-A98A-10DB51339BB8}"/>
    <cellStyle name="Normal 32 4 8" xfId="34085" xr:uid="{657A7465-2D4A-4011-81AD-52BFCD2A9AD3}"/>
    <cellStyle name="Normal 32 4 8 2" xfId="34086" xr:uid="{F25E7199-8041-4CEE-98CA-2A33A7F3B166}"/>
    <cellStyle name="Normal 32 4 8 3" xfId="34087" xr:uid="{FF5F6573-54BF-464E-B166-53C942ADE0EE}"/>
    <cellStyle name="Normal 32 4 8 4" xfId="34088" xr:uid="{62D49D3D-B438-47EC-B72C-D666A92284A6}"/>
    <cellStyle name="Normal 32 4 8 5" xfId="34089" xr:uid="{78272721-D465-4DDA-A7D2-5555AA9FD6D9}"/>
    <cellStyle name="Normal 32 4 8 6" xfId="34090" xr:uid="{69BE80A4-3D44-4EB7-B247-8F183051E5A3}"/>
    <cellStyle name="Normal 32 4 9" xfId="34091" xr:uid="{A5C201E0-1203-4D8F-97A5-5EDFBFFE7105}"/>
    <cellStyle name="Normal 32 5" xfId="34092" xr:uid="{8671808D-79B6-4647-8FBD-5F00048B512A}"/>
    <cellStyle name="Normal 32 5 10" xfId="34093" xr:uid="{9465F687-8466-4D43-BBBF-DD70E1FD388A}"/>
    <cellStyle name="Normal 32 5 11" xfId="34094" xr:uid="{871CCFED-7105-4F35-A133-E86F23782382}"/>
    <cellStyle name="Normal 32 5 12" xfId="34095" xr:uid="{D8CACD35-E8AA-4E25-952E-2F96F43913B4}"/>
    <cellStyle name="Normal 32 5 13" xfId="34096" xr:uid="{7C65B697-FEAA-456E-89C3-783C1A0E7A28}"/>
    <cellStyle name="Normal 32 5 2" xfId="34097" xr:uid="{17580E6C-F7DD-47B2-8234-18E75BF7CB40}"/>
    <cellStyle name="Normal 32 5 2 2" xfId="34098" xr:uid="{AF2112CA-CD11-4AA0-AD98-8ED29FD44277}"/>
    <cellStyle name="Normal 32 5 2 3" xfId="34099" xr:uid="{C47CA151-5BF3-4593-9A96-6CAE5A0063DF}"/>
    <cellStyle name="Normal 32 5 2 4" xfId="34100" xr:uid="{488FECF3-91B8-494A-BDEF-9DF09B5156D3}"/>
    <cellStyle name="Normal 32 5 2 5" xfId="34101" xr:uid="{8FAF5D48-17DA-402B-8EEF-A5D0EB0F3653}"/>
    <cellStyle name="Normal 32 5 2 6" xfId="34102" xr:uid="{CF857772-F42F-4984-842C-C71128CCD2B3}"/>
    <cellStyle name="Normal 32 5 3" xfId="34103" xr:uid="{D02CB089-0167-4D77-800F-B25CA80DF837}"/>
    <cellStyle name="Normal 32 5 3 2" xfId="34104" xr:uid="{77E1E9D1-1AD8-4E00-905C-887C818DC318}"/>
    <cellStyle name="Normal 32 5 3 3" xfId="34105" xr:uid="{BC85E211-4915-4C37-ADDC-C4E5C84E25F5}"/>
    <cellStyle name="Normal 32 5 3 4" xfId="34106" xr:uid="{A57DD89F-0B53-4323-968F-10B8D83CC397}"/>
    <cellStyle name="Normal 32 5 3 5" xfId="34107" xr:uid="{2B6A9F09-D882-4B5F-9764-FD0DB7FFD35B}"/>
    <cellStyle name="Normal 32 5 3 6" xfId="34108" xr:uid="{9BE69984-2342-4F24-97FD-913C004CBCCE}"/>
    <cellStyle name="Normal 32 5 4" xfId="34109" xr:uid="{33385DEA-F402-49B1-A0DA-6DF0441C1419}"/>
    <cellStyle name="Normal 32 5 4 2" xfId="34110" xr:uid="{5ECE2E9E-C4F4-442F-8641-4E05171262A9}"/>
    <cellStyle name="Normal 32 5 4 3" xfId="34111" xr:uid="{485FF2BF-7770-4282-B512-C36F1015A350}"/>
    <cellStyle name="Normal 32 5 4 4" xfId="34112" xr:uid="{F685B0CE-216C-413C-AAFB-5EE59E1ECEA5}"/>
    <cellStyle name="Normal 32 5 4 5" xfId="34113" xr:uid="{D387C26B-9034-4E85-BEF8-14F17D66AF5C}"/>
    <cellStyle name="Normal 32 5 4 6" xfId="34114" xr:uid="{81124DA8-E1CB-40D7-9078-8FFF92676C70}"/>
    <cellStyle name="Normal 32 5 5" xfId="34115" xr:uid="{4B4D3639-51C8-4D07-861B-FA6B997BCA69}"/>
    <cellStyle name="Normal 32 5 5 2" xfId="34116" xr:uid="{A66D05A2-31EF-4AB7-AE1B-D26131E92121}"/>
    <cellStyle name="Normal 32 5 5 3" xfId="34117" xr:uid="{A54E756D-76CD-476D-A51A-FBF4C4ED4A16}"/>
    <cellStyle name="Normal 32 5 5 4" xfId="34118" xr:uid="{4725D364-5C89-432C-90DA-30D7852FC121}"/>
    <cellStyle name="Normal 32 5 5 5" xfId="34119" xr:uid="{30885116-F4F1-4371-9DCE-3D9F4C625514}"/>
    <cellStyle name="Normal 32 5 5 6" xfId="34120" xr:uid="{7D931F4A-E466-4CBE-A82C-82DB629CFD88}"/>
    <cellStyle name="Normal 32 5 6" xfId="34121" xr:uid="{BEFCC0C9-6425-43E9-ADBF-11EF20BF0B42}"/>
    <cellStyle name="Normal 32 5 6 2" xfId="34122" xr:uid="{E0A62C13-0F34-48EE-96C3-D7580D05E779}"/>
    <cellStyle name="Normal 32 5 6 3" xfId="34123" xr:uid="{1A56E149-DF9A-4EB8-A317-1264CC2B713D}"/>
    <cellStyle name="Normal 32 5 6 4" xfId="34124" xr:uid="{BC4B13AE-215D-4101-81CD-89EB491019F7}"/>
    <cellStyle name="Normal 32 5 6 5" xfId="34125" xr:uid="{F164F978-30E3-4067-966A-B47BB8DC38AD}"/>
    <cellStyle name="Normal 32 5 6 6" xfId="34126" xr:uid="{F7F54BC5-3A5B-4A6B-A613-E7AB4E36FDB3}"/>
    <cellStyle name="Normal 32 5 7" xfId="34127" xr:uid="{FC0F4289-1C83-491F-95A1-414615132014}"/>
    <cellStyle name="Normal 32 5 7 2" xfId="34128" xr:uid="{94AC0A33-DF3B-41D3-820B-8D96D4EDAC50}"/>
    <cellStyle name="Normal 32 5 7 3" xfId="34129" xr:uid="{96853134-95F4-4D22-A54F-56DC544BA1C1}"/>
    <cellStyle name="Normal 32 5 7 4" xfId="34130" xr:uid="{6C9F6A54-5485-455C-81B7-EE00FD0F874E}"/>
    <cellStyle name="Normal 32 5 7 5" xfId="34131" xr:uid="{058A0C86-B061-4655-B46B-4B72E7D166F5}"/>
    <cellStyle name="Normal 32 5 7 6" xfId="34132" xr:uid="{9C170113-E4F4-4B66-86C3-05DD3D75F134}"/>
    <cellStyle name="Normal 32 5 8" xfId="34133" xr:uid="{EB08E2B7-9061-45EE-BFEA-D56BF8EAAD58}"/>
    <cellStyle name="Normal 32 5 8 2" xfId="34134" xr:uid="{63B37C98-BD7C-4AA3-A89A-12DBD51A9D5D}"/>
    <cellStyle name="Normal 32 5 8 3" xfId="34135" xr:uid="{2E5C98F5-B376-4C07-96E9-790E70014BF3}"/>
    <cellStyle name="Normal 32 5 8 4" xfId="34136" xr:uid="{577E5691-C0FE-4D71-875D-F0DD8C5CEAC9}"/>
    <cellStyle name="Normal 32 5 8 5" xfId="34137" xr:uid="{72FF385A-CD75-4EA6-8D80-B033B3426002}"/>
    <cellStyle name="Normal 32 5 8 6" xfId="34138" xr:uid="{659997B4-D79E-4C28-9760-9CAB16CE7407}"/>
    <cellStyle name="Normal 32 5 9" xfId="34139" xr:uid="{809AE773-E633-4AC2-B3BC-6D8AEE60B6B9}"/>
    <cellStyle name="Normal 32 6" xfId="34140" xr:uid="{76189128-AABF-4808-88F2-CCDEDE299DB1}"/>
    <cellStyle name="Normal 32 6 10" xfId="34141" xr:uid="{98394B7B-67C2-4F15-9BAF-81041BA1112E}"/>
    <cellStyle name="Normal 32 6 11" xfId="34142" xr:uid="{338D301E-0AE2-4252-9C7A-5D6958BD95C2}"/>
    <cellStyle name="Normal 32 6 12" xfId="34143" xr:uid="{9014B470-D2A4-4E0E-B13C-669A606CE98E}"/>
    <cellStyle name="Normal 32 6 13" xfId="34144" xr:uid="{6110879C-F3A6-47B9-BD0A-0193E37C77FA}"/>
    <cellStyle name="Normal 32 6 2" xfId="34145" xr:uid="{94B9232B-2D22-4111-A0E9-90C42BA98C75}"/>
    <cellStyle name="Normal 32 6 2 2" xfId="34146" xr:uid="{EBFEADE1-2F30-49F4-91A0-883157798D42}"/>
    <cellStyle name="Normal 32 6 2 3" xfId="34147" xr:uid="{C0CBBB0A-7EB7-433B-B60F-E337488DC5A6}"/>
    <cellStyle name="Normal 32 6 2 4" xfId="34148" xr:uid="{0C7EE1BE-9753-4BD0-8965-116C76A8242E}"/>
    <cellStyle name="Normal 32 6 2 5" xfId="34149" xr:uid="{15195A3E-4F74-4478-88E5-9227E81D1EAC}"/>
    <cellStyle name="Normal 32 6 2 6" xfId="34150" xr:uid="{259B5DED-DBB3-4AC7-A974-5CDC0436A5A1}"/>
    <cellStyle name="Normal 32 6 3" xfId="34151" xr:uid="{BE5E1C52-F320-4C36-9F79-40B782BC3C27}"/>
    <cellStyle name="Normal 32 6 3 2" xfId="34152" xr:uid="{494BEE8E-E848-4A1E-987B-3BD9914D41D4}"/>
    <cellStyle name="Normal 32 6 3 3" xfId="34153" xr:uid="{209FD4C1-8354-4D77-82ED-34AB82DD3D91}"/>
    <cellStyle name="Normal 32 6 3 4" xfId="34154" xr:uid="{32887E99-5101-4B41-B15B-223A4412AA5F}"/>
    <cellStyle name="Normal 32 6 3 5" xfId="34155" xr:uid="{F406A6CF-F29F-4509-8505-AAE008FC8775}"/>
    <cellStyle name="Normal 32 6 3 6" xfId="34156" xr:uid="{44F5F259-8C34-43F9-8AE3-624D2A9F3EC1}"/>
    <cellStyle name="Normal 32 6 4" xfId="34157" xr:uid="{7E0C3CFD-B917-4E4D-8ED3-84E0252CA718}"/>
    <cellStyle name="Normal 32 6 4 2" xfId="34158" xr:uid="{E09BE6D7-6BE2-4DBB-B706-0744B8C05D1B}"/>
    <cellStyle name="Normal 32 6 4 3" xfId="34159" xr:uid="{44D2DA97-30DB-4890-813D-275488B3B65C}"/>
    <cellStyle name="Normal 32 6 4 4" xfId="34160" xr:uid="{9AA00830-233A-4369-9BFB-2EF152C65D22}"/>
    <cellStyle name="Normal 32 6 4 5" xfId="34161" xr:uid="{B6DB3B87-9890-4F6B-B55F-B4CD883AA1A9}"/>
    <cellStyle name="Normal 32 6 4 6" xfId="34162" xr:uid="{ED7C26E6-4880-46C3-9559-64403C7AE80E}"/>
    <cellStyle name="Normal 32 6 5" xfId="34163" xr:uid="{39254FCF-7475-4A2F-AB01-0B7D4CE4C33F}"/>
    <cellStyle name="Normal 32 6 5 2" xfId="34164" xr:uid="{A543A844-4107-4D4B-AFB6-8CD2C0D4202D}"/>
    <cellStyle name="Normal 32 6 5 3" xfId="34165" xr:uid="{5F1CC4D7-9EBB-473E-B332-51F4560A9039}"/>
    <cellStyle name="Normal 32 6 5 4" xfId="34166" xr:uid="{29731D9F-7C71-426E-8222-E39D88629A19}"/>
    <cellStyle name="Normal 32 6 5 5" xfId="34167" xr:uid="{86FFC7F8-91C4-4983-B6B7-6A8BA2E9196E}"/>
    <cellStyle name="Normal 32 6 5 6" xfId="34168" xr:uid="{E2FA81D4-2DEE-4FDE-AD70-D6B19BEB2861}"/>
    <cellStyle name="Normal 32 6 6" xfId="34169" xr:uid="{4702DF53-F718-4B6D-A2DE-4E8EDA632C55}"/>
    <cellStyle name="Normal 32 6 6 2" xfId="34170" xr:uid="{962C878D-4952-4084-B465-137D2CB44ED3}"/>
    <cellStyle name="Normal 32 6 6 3" xfId="34171" xr:uid="{9E19F914-E450-4BBA-9BD0-323A5BD09003}"/>
    <cellStyle name="Normal 32 6 6 4" xfId="34172" xr:uid="{0CB0749A-694C-47EC-A901-4F674600447A}"/>
    <cellStyle name="Normal 32 6 6 5" xfId="34173" xr:uid="{C7C4D32D-5B9E-433E-B1E8-92262C51A590}"/>
    <cellStyle name="Normal 32 6 6 6" xfId="34174" xr:uid="{B99CF470-6D1E-4364-91BC-5816D46AE896}"/>
    <cellStyle name="Normal 32 6 7" xfId="34175" xr:uid="{8ABF5538-4941-4EF9-9850-FAACA273040B}"/>
    <cellStyle name="Normal 32 6 7 2" xfId="34176" xr:uid="{4487A865-CC82-491F-A71F-9BB610F19058}"/>
    <cellStyle name="Normal 32 6 7 3" xfId="34177" xr:uid="{4BE133F1-B76B-4F48-B7D7-9482E9CADA07}"/>
    <cellStyle name="Normal 32 6 7 4" xfId="34178" xr:uid="{AEB1587E-C557-48E1-82AA-FFDF9BF2AB71}"/>
    <cellStyle name="Normal 32 6 7 5" xfId="34179" xr:uid="{D0350B2B-EB71-4A98-8874-98806AA2F459}"/>
    <cellStyle name="Normal 32 6 7 6" xfId="34180" xr:uid="{DDD411B0-A7C0-4442-AA8A-923EAA3B756C}"/>
    <cellStyle name="Normal 32 6 8" xfId="34181" xr:uid="{B6CEBEFF-C02C-4F3C-A6CD-69D7FB955607}"/>
    <cellStyle name="Normal 32 6 8 2" xfId="34182" xr:uid="{2DDDDA57-80D1-4DB6-A5FD-EDC2FAA67E03}"/>
    <cellStyle name="Normal 32 6 8 3" xfId="34183" xr:uid="{4DD70F36-6ACE-49B1-8CEE-D523ED0FED9B}"/>
    <cellStyle name="Normal 32 6 8 4" xfId="34184" xr:uid="{C4C07546-A6CA-4D37-982F-543AE9C26FED}"/>
    <cellStyle name="Normal 32 6 8 5" xfId="34185" xr:uid="{2AEAFF98-1BEF-4422-AAAC-D93B6354D78F}"/>
    <cellStyle name="Normal 32 6 8 6" xfId="34186" xr:uid="{54411289-9AF9-46D4-A166-823135C0AE3C}"/>
    <cellStyle name="Normal 32 6 9" xfId="34187" xr:uid="{AC1EE011-1B95-44FE-BCD3-E2D93DCCD869}"/>
    <cellStyle name="Normal 32 7" xfId="34188" xr:uid="{BD648B87-0218-4661-822D-FC2F37E4D918}"/>
    <cellStyle name="Normal 32 7 10" xfId="34189" xr:uid="{7C5B74E8-887A-4FFF-BD04-DF961B890CA4}"/>
    <cellStyle name="Normal 32 7 11" xfId="34190" xr:uid="{E6ADD3C0-D886-4AD6-9470-4B32B2E5F35A}"/>
    <cellStyle name="Normal 32 7 12" xfId="34191" xr:uid="{18E3AC25-D031-4449-9F0A-7E09909EE04C}"/>
    <cellStyle name="Normal 32 7 13" xfId="34192" xr:uid="{9A57F636-35E9-4E36-8C28-06122D0818E2}"/>
    <cellStyle name="Normal 32 7 2" xfId="34193" xr:uid="{D54D1108-DD3E-4DFD-BE71-F775753ACC51}"/>
    <cellStyle name="Normal 32 7 2 2" xfId="34194" xr:uid="{DDD2790C-B693-487D-90D9-4373282CF3B4}"/>
    <cellStyle name="Normal 32 7 2 3" xfId="34195" xr:uid="{91EDBEB6-DE6D-4059-B0E8-AF02458AE065}"/>
    <cellStyle name="Normal 32 7 2 4" xfId="34196" xr:uid="{ABF80DB9-ABBC-4B97-8906-BAC212D8E084}"/>
    <cellStyle name="Normal 32 7 2 5" xfId="34197" xr:uid="{C0FF3182-37D0-437E-B1E6-2A192F103876}"/>
    <cellStyle name="Normal 32 7 2 6" xfId="34198" xr:uid="{40B0E996-2B60-408A-82B0-4F35986511BF}"/>
    <cellStyle name="Normal 32 7 3" xfId="34199" xr:uid="{E145DD2A-05D2-4CC6-9D7E-DF1A59D604DA}"/>
    <cellStyle name="Normal 32 7 3 2" xfId="34200" xr:uid="{1777E6F1-A40C-466D-A29E-D05CD99DB3DD}"/>
    <cellStyle name="Normal 32 7 3 3" xfId="34201" xr:uid="{394B60E1-9F8E-4B76-849E-77E55A23C9EC}"/>
    <cellStyle name="Normal 32 7 3 4" xfId="34202" xr:uid="{2C00F8F1-F6FF-484E-BAEC-3BA7CA3CF3EC}"/>
    <cellStyle name="Normal 32 7 3 5" xfId="34203" xr:uid="{918CF160-86F8-4502-AC62-DCEB264BAF65}"/>
    <cellStyle name="Normal 32 7 3 6" xfId="34204" xr:uid="{C0BBA501-3AAA-46E2-8CAB-F95211A548D4}"/>
    <cellStyle name="Normal 32 7 4" xfId="34205" xr:uid="{E8A3DDD8-7200-4CB9-8E18-7355943D545B}"/>
    <cellStyle name="Normal 32 7 4 2" xfId="34206" xr:uid="{0AA995E7-D8DA-44EC-B851-8FC7B15E81D7}"/>
    <cellStyle name="Normal 32 7 4 3" xfId="34207" xr:uid="{F257056A-6A91-48F0-A6BF-176D566127C2}"/>
    <cellStyle name="Normal 32 7 4 4" xfId="34208" xr:uid="{1B0B3B8E-E8DB-4973-B665-27F5FC5E126C}"/>
    <cellStyle name="Normal 32 7 4 5" xfId="34209" xr:uid="{76C13112-F5CB-49A4-B74B-8C8B5B80D63D}"/>
    <cellStyle name="Normal 32 7 4 6" xfId="34210" xr:uid="{533B5C0B-67B5-444A-B3CA-FA4AA1CDF3F5}"/>
    <cellStyle name="Normal 32 7 5" xfId="34211" xr:uid="{DDA21380-825A-49AB-84C7-C57136EC9B10}"/>
    <cellStyle name="Normal 32 7 5 2" xfId="34212" xr:uid="{F0306902-A0C8-4F4D-AB5D-CE2DACBD60CB}"/>
    <cellStyle name="Normal 32 7 5 3" xfId="34213" xr:uid="{022ED61D-6AF6-41AA-B85B-520DBC493FD0}"/>
    <cellStyle name="Normal 32 7 5 4" xfId="34214" xr:uid="{97625D32-A9DA-4715-9594-0508F1C34E1B}"/>
    <cellStyle name="Normal 32 7 5 5" xfId="34215" xr:uid="{C1C5A65C-1995-412B-941C-7EDA58982607}"/>
    <cellStyle name="Normal 32 7 5 6" xfId="34216" xr:uid="{6576178A-266C-4C8C-899C-D1C57206A95F}"/>
    <cellStyle name="Normal 32 7 6" xfId="34217" xr:uid="{25F85218-D96A-4E06-9523-5F9C9FD86B05}"/>
    <cellStyle name="Normal 32 7 6 2" xfId="34218" xr:uid="{36AC7343-6188-4499-9BD0-7D4936E00373}"/>
    <cellStyle name="Normal 32 7 6 3" xfId="34219" xr:uid="{FF4EA06D-C23B-408B-9977-9BADA29E9308}"/>
    <cellStyle name="Normal 32 7 6 4" xfId="34220" xr:uid="{A66A5F85-DF1D-4F4D-BF02-46B1ED702504}"/>
    <cellStyle name="Normal 32 7 6 5" xfId="34221" xr:uid="{FD00BF94-F7CC-4FA4-8CD7-A17D7FB6DFA1}"/>
    <cellStyle name="Normal 32 7 6 6" xfId="34222" xr:uid="{7621BF24-E68E-4411-8E78-B53224ECD30F}"/>
    <cellStyle name="Normal 32 7 7" xfId="34223" xr:uid="{B6FED9C5-C62F-41CB-BB5C-E1DCBCFF7B02}"/>
    <cellStyle name="Normal 32 7 7 2" xfId="34224" xr:uid="{95558CBD-B786-4389-AADC-651EB06D5FF6}"/>
    <cellStyle name="Normal 32 7 7 3" xfId="34225" xr:uid="{C745D117-4C53-435E-8108-978B32102E66}"/>
    <cellStyle name="Normal 32 7 7 4" xfId="34226" xr:uid="{B8D74B7B-B432-49BD-BFA7-73AA9B4CDDCA}"/>
    <cellStyle name="Normal 32 7 7 5" xfId="34227" xr:uid="{E1B6DEEC-B705-4342-A813-3CE33E7208B2}"/>
    <cellStyle name="Normal 32 7 7 6" xfId="34228" xr:uid="{D6BC94E0-1851-4419-9068-143D527FD278}"/>
    <cellStyle name="Normal 32 7 8" xfId="34229" xr:uid="{62471066-2F58-48D8-A75A-E49387B79F67}"/>
    <cellStyle name="Normal 32 7 8 2" xfId="34230" xr:uid="{27DEE6F2-4CE7-4574-8A73-B64F52FE5289}"/>
    <cellStyle name="Normal 32 7 8 3" xfId="34231" xr:uid="{E235A564-2B30-4498-B301-CAB17E7EE0A0}"/>
    <cellStyle name="Normal 32 7 8 4" xfId="34232" xr:uid="{5566EB01-ED64-4AB9-BDCF-D709139F7D6E}"/>
    <cellStyle name="Normal 32 7 8 5" xfId="34233" xr:uid="{6DE1B786-8E50-41D5-9A15-49A775E64426}"/>
    <cellStyle name="Normal 32 7 8 6" xfId="34234" xr:uid="{75535158-D195-41BE-9448-1B0FAA2E971D}"/>
    <cellStyle name="Normal 32 7 9" xfId="34235" xr:uid="{05DB4A51-AC2E-4E45-AB52-A706AA09234B}"/>
    <cellStyle name="Normal 32 8" xfId="34236" xr:uid="{444C2914-F99E-4A1C-93B3-2731AF601098}"/>
    <cellStyle name="Normal 32 8 10" xfId="34237" xr:uid="{AE3445AE-BE5E-4AC4-8D72-4F473B7F66A6}"/>
    <cellStyle name="Normal 32 8 11" xfId="34238" xr:uid="{8C2FADD2-880F-47D7-A6F9-E0956AE87B2E}"/>
    <cellStyle name="Normal 32 8 12" xfId="34239" xr:uid="{C3B9A7E0-17D5-4098-8943-11513114B343}"/>
    <cellStyle name="Normal 32 8 13" xfId="34240" xr:uid="{F488247D-CB19-4C09-850C-DDD8C39385D5}"/>
    <cellStyle name="Normal 32 8 2" xfId="34241" xr:uid="{E16C3381-517F-455B-83E3-34B21568DF29}"/>
    <cellStyle name="Normal 32 8 2 2" xfId="34242" xr:uid="{65F2269F-D925-4FD2-96B9-A9DA907D74DE}"/>
    <cellStyle name="Normal 32 8 2 3" xfId="34243" xr:uid="{CC43C4B8-FB1C-4208-B18F-AA474214632E}"/>
    <cellStyle name="Normal 32 8 2 4" xfId="34244" xr:uid="{A94258FC-EC94-48D6-8D98-32CE5D033D99}"/>
    <cellStyle name="Normal 32 8 2 5" xfId="34245" xr:uid="{7D4080ED-9669-42B2-9501-BEFF2B7B645F}"/>
    <cellStyle name="Normal 32 8 2 6" xfId="34246" xr:uid="{F6136109-8DDA-4679-9275-F01C4127F806}"/>
    <cellStyle name="Normal 32 8 3" xfId="34247" xr:uid="{C170FBA8-3FB7-4933-94D4-BCEBA3DCBC9A}"/>
    <cellStyle name="Normal 32 8 3 2" xfId="34248" xr:uid="{9CD73977-BE84-4370-90E7-1655553A0D54}"/>
    <cellStyle name="Normal 32 8 3 3" xfId="34249" xr:uid="{8A3611ED-6B11-4C9C-9A70-C7BA6816277A}"/>
    <cellStyle name="Normal 32 8 3 4" xfId="34250" xr:uid="{6DB86294-6DCB-4B2F-9299-4733478AA4B0}"/>
    <cellStyle name="Normal 32 8 3 5" xfId="34251" xr:uid="{DEC6ED35-AB3A-49D5-8D08-24F73D577F9D}"/>
    <cellStyle name="Normal 32 8 3 6" xfId="34252" xr:uid="{12CDD50C-980E-491C-9DC8-3652FBE279BE}"/>
    <cellStyle name="Normal 32 8 4" xfId="34253" xr:uid="{DCC6E27C-E390-485C-B863-2AC5F47742AA}"/>
    <cellStyle name="Normal 32 8 4 2" xfId="34254" xr:uid="{EE605D45-92B1-41F0-90FD-4B1ACF7FF315}"/>
    <cellStyle name="Normal 32 8 4 3" xfId="34255" xr:uid="{1A07378B-2540-435F-B5B3-28865B856ECD}"/>
    <cellStyle name="Normal 32 8 4 4" xfId="34256" xr:uid="{874364EF-2912-4D28-B302-F51B9C06AE83}"/>
    <cellStyle name="Normal 32 8 4 5" xfId="34257" xr:uid="{4F02FB3B-F462-4852-9F34-4552D7E965D6}"/>
    <cellStyle name="Normal 32 8 4 6" xfId="34258" xr:uid="{5B5E1A3C-E185-4D20-B23B-B536712D7095}"/>
    <cellStyle name="Normal 32 8 5" xfId="34259" xr:uid="{63C46DBF-6FA0-4E03-81B6-185D896315EC}"/>
    <cellStyle name="Normal 32 8 5 2" xfId="34260" xr:uid="{901EDEB3-A91D-4CDA-B15C-AF7A80D2F11B}"/>
    <cellStyle name="Normal 32 8 5 3" xfId="34261" xr:uid="{5C20DA1A-A201-4E64-8EA8-4FECCEC724E8}"/>
    <cellStyle name="Normal 32 8 5 4" xfId="34262" xr:uid="{B191D1A8-E2D9-44CD-AA87-933DB5C4A392}"/>
    <cellStyle name="Normal 32 8 5 5" xfId="34263" xr:uid="{A7036BB2-493F-463A-8FC1-719D2A473D3C}"/>
    <cellStyle name="Normal 32 8 5 6" xfId="34264" xr:uid="{A5C12FD2-002B-4FBF-84C8-FF6D4741FD10}"/>
    <cellStyle name="Normal 32 8 6" xfId="34265" xr:uid="{F1405BCD-F610-4D2B-9FD1-103CFEF7958C}"/>
    <cellStyle name="Normal 32 8 6 2" xfId="34266" xr:uid="{56346AD1-C71F-4731-ACE7-3F9CFAC44D84}"/>
    <cellStyle name="Normal 32 8 6 3" xfId="34267" xr:uid="{372A5893-22F7-4BA4-9638-DD332A9E5E12}"/>
    <cellStyle name="Normal 32 8 6 4" xfId="34268" xr:uid="{30FE05A5-6001-445D-B01D-CA2FA57FA1D9}"/>
    <cellStyle name="Normal 32 8 6 5" xfId="34269" xr:uid="{C5548E96-A401-42DC-B817-7099398728E2}"/>
    <cellStyle name="Normal 32 8 6 6" xfId="34270" xr:uid="{AC906427-13D8-4528-B65E-E23EA709FA2A}"/>
    <cellStyle name="Normal 32 8 7" xfId="34271" xr:uid="{856ABC32-896F-4C3C-BF8A-4F8B2A61D0D4}"/>
    <cellStyle name="Normal 32 8 7 2" xfId="34272" xr:uid="{796C5C1A-E9BF-4A32-9470-9E0A33E1DAEF}"/>
    <cellStyle name="Normal 32 8 7 3" xfId="34273" xr:uid="{9FA38863-16F3-4842-ADC2-2EC5791E0FA3}"/>
    <cellStyle name="Normal 32 8 7 4" xfId="34274" xr:uid="{D1003926-3C56-42BE-BA0E-F64402668A41}"/>
    <cellStyle name="Normal 32 8 7 5" xfId="34275" xr:uid="{54766BC8-F56F-4032-98E9-EF7243270141}"/>
    <cellStyle name="Normal 32 8 7 6" xfId="34276" xr:uid="{6661E7A3-155D-444A-B3F7-15A844882B18}"/>
    <cellStyle name="Normal 32 8 8" xfId="34277" xr:uid="{FD41BDFE-452A-4737-8711-43A5E0D1F074}"/>
    <cellStyle name="Normal 32 8 8 2" xfId="34278" xr:uid="{27399B18-54BE-4C36-90E8-274F63128DC9}"/>
    <cellStyle name="Normal 32 8 8 3" xfId="34279" xr:uid="{7D40CB15-C259-47F7-A967-6CBC4F3FEF87}"/>
    <cellStyle name="Normal 32 8 8 4" xfId="34280" xr:uid="{D71BCF84-CABF-4CCC-8148-1B244FBFFF2C}"/>
    <cellStyle name="Normal 32 8 8 5" xfId="34281" xr:uid="{F1B0DF62-2B6E-49D6-9DD1-BF3576811758}"/>
    <cellStyle name="Normal 32 8 8 6" xfId="34282" xr:uid="{9FFC2DA0-74B5-4028-BFF8-BCDFED4BF50A}"/>
    <cellStyle name="Normal 32 8 9" xfId="34283" xr:uid="{C8DEC8FC-ABD8-4134-8B40-652013C0418B}"/>
    <cellStyle name="Normal 32 9" xfId="34284" xr:uid="{593E6BB7-75D9-480D-BFE6-3ADA8B1DE5B4}"/>
    <cellStyle name="Normal 32 9 10" xfId="34285" xr:uid="{71737362-D94D-4725-8280-5F5192ECF3AE}"/>
    <cellStyle name="Normal 32 9 11" xfId="34286" xr:uid="{6150C8D5-7896-4A6F-ACDB-26C5F066F48B}"/>
    <cellStyle name="Normal 32 9 12" xfId="34287" xr:uid="{15D46336-E1C8-4B55-B105-6FE04FA62104}"/>
    <cellStyle name="Normal 32 9 13" xfId="34288" xr:uid="{9379593E-4BED-4415-94F5-59E98E331B52}"/>
    <cellStyle name="Normal 32 9 2" xfId="34289" xr:uid="{0CA6B75B-CB9B-4106-9775-A903A64F9AC5}"/>
    <cellStyle name="Normal 32 9 2 2" xfId="34290" xr:uid="{A1EA1AB4-B714-42A7-887A-5F033A8148F8}"/>
    <cellStyle name="Normal 32 9 2 3" xfId="34291" xr:uid="{240A8F11-5270-4844-BA06-CC9E70DC0DB5}"/>
    <cellStyle name="Normal 32 9 2 4" xfId="34292" xr:uid="{D7DD8BDF-FDC7-45D2-B525-E1ACE30E5880}"/>
    <cellStyle name="Normal 32 9 2 5" xfId="34293" xr:uid="{8A355439-5C67-42E6-B5CA-88923E249282}"/>
    <cellStyle name="Normal 32 9 2 6" xfId="34294" xr:uid="{73DF38A9-1F01-477E-B20D-5B6532CD8D35}"/>
    <cellStyle name="Normal 32 9 3" xfId="34295" xr:uid="{7E94C054-0A21-4684-BE44-54B388293A41}"/>
    <cellStyle name="Normal 32 9 3 2" xfId="34296" xr:uid="{B41C1D86-1268-4065-BFDE-CCC83ABC434A}"/>
    <cellStyle name="Normal 32 9 3 3" xfId="34297" xr:uid="{A46D475C-69E5-4023-AC6B-A5E9FB2C7FD0}"/>
    <cellStyle name="Normal 32 9 3 4" xfId="34298" xr:uid="{54E756C6-5276-42EF-8A56-C6C622403E1E}"/>
    <cellStyle name="Normal 32 9 3 5" xfId="34299" xr:uid="{0C7BCB9B-A432-43F9-B94F-6D2CABDB80CF}"/>
    <cellStyle name="Normal 32 9 3 6" xfId="34300" xr:uid="{3CBDE10D-E8E3-4E36-831F-037D6F283FC5}"/>
    <cellStyle name="Normal 32 9 4" xfId="34301" xr:uid="{103FA5AC-1939-4354-8E9E-F512B4D55F47}"/>
    <cellStyle name="Normal 32 9 4 2" xfId="34302" xr:uid="{64709473-F7C1-47E5-9BC5-CD4D9059D23F}"/>
    <cellStyle name="Normal 32 9 4 3" xfId="34303" xr:uid="{95FD2728-0D06-45AC-9EB1-520020B808C6}"/>
    <cellStyle name="Normal 32 9 4 4" xfId="34304" xr:uid="{0BBA8D9C-DB60-4018-BD2A-738BD10B3E1F}"/>
    <cellStyle name="Normal 32 9 4 5" xfId="34305" xr:uid="{4793E542-E227-42A3-B644-4C5811165F6E}"/>
    <cellStyle name="Normal 32 9 4 6" xfId="34306" xr:uid="{6A1B614D-4D78-4401-B1C6-3912795EC5EB}"/>
    <cellStyle name="Normal 32 9 5" xfId="34307" xr:uid="{F911A88D-21E3-4E60-96F7-2413D31A39B0}"/>
    <cellStyle name="Normal 32 9 5 2" xfId="34308" xr:uid="{7F8DC408-E091-416F-B11F-95FD26579394}"/>
    <cellStyle name="Normal 32 9 5 3" xfId="34309" xr:uid="{05F9C90B-DFCF-467A-9289-D25742B1B8E9}"/>
    <cellStyle name="Normal 32 9 5 4" xfId="34310" xr:uid="{055E02C1-AC1F-407B-BFA0-A73C32B868B5}"/>
    <cellStyle name="Normal 32 9 5 5" xfId="34311" xr:uid="{2D74E987-B0BE-4B54-8762-4770581C20EC}"/>
    <cellStyle name="Normal 32 9 5 6" xfId="34312" xr:uid="{9EC3DFDC-B83F-4879-9706-A32B39FBED57}"/>
    <cellStyle name="Normal 32 9 6" xfId="34313" xr:uid="{231ECE41-B1F8-425F-88C6-B1389A8B083A}"/>
    <cellStyle name="Normal 32 9 6 2" xfId="34314" xr:uid="{E9F79C0C-E88D-43A9-8CAE-8360C333CC8F}"/>
    <cellStyle name="Normal 32 9 6 3" xfId="34315" xr:uid="{891995CE-C3E5-45DC-8F23-6166A8B80C0E}"/>
    <cellStyle name="Normal 32 9 6 4" xfId="34316" xr:uid="{4A543516-2FC0-46AF-9130-EFE21889B433}"/>
    <cellStyle name="Normal 32 9 6 5" xfId="34317" xr:uid="{95D1093F-9478-4C3F-9F35-BFF889E7D866}"/>
    <cellStyle name="Normal 32 9 6 6" xfId="34318" xr:uid="{9D761E20-7161-40FC-B4CB-9AB2F4943D75}"/>
    <cellStyle name="Normal 32 9 7" xfId="34319" xr:uid="{DB036A4B-02B7-48BE-B10F-1EEFB7D74C32}"/>
    <cellStyle name="Normal 32 9 7 2" xfId="34320" xr:uid="{B8C8D83A-D712-41C6-B82C-138145E52128}"/>
    <cellStyle name="Normal 32 9 7 3" xfId="34321" xr:uid="{EC65A4DC-7435-4684-ACCB-305F694BEED8}"/>
    <cellStyle name="Normal 32 9 7 4" xfId="34322" xr:uid="{25B1E62E-9ED0-43BA-A26B-5141A17C4C3D}"/>
    <cellStyle name="Normal 32 9 7 5" xfId="34323" xr:uid="{F325311F-749A-4B77-A849-40413DB7D737}"/>
    <cellStyle name="Normal 32 9 7 6" xfId="34324" xr:uid="{667BD79E-D204-4375-9883-6E239A156066}"/>
    <cellStyle name="Normal 32 9 8" xfId="34325" xr:uid="{BB406290-2D94-4FC2-8219-A9AC5A092B35}"/>
    <cellStyle name="Normal 32 9 8 2" xfId="34326" xr:uid="{03D7D256-1ED6-44F9-BD3E-052EE0F4723B}"/>
    <cellStyle name="Normal 32 9 8 3" xfId="34327" xr:uid="{67A66AC6-686C-4D9C-AB3F-DDFAD4062564}"/>
    <cellStyle name="Normal 32 9 8 4" xfId="34328" xr:uid="{CA1ACB62-B79B-436B-B455-8AD197BB2665}"/>
    <cellStyle name="Normal 32 9 8 5" xfId="34329" xr:uid="{3D737305-5D9E-43AF-B21B-C99D2B29B320}"/>
    <cellStyle name="Normal 32 9 8 6" xfId="34330" xr:uid="{446DF17D-6F61-4D66-8BB1-452153F11D70}"/>
    <cellStyle name="Normal 32 9 9" xfId="34331" xr:uid="{02A02ABA-9B90-457E-B185-CCA9B4E63091}"/>
    <cellStyle name="Normal 33" xfId="34332" xr:uid="{A6D9671D-A586-4488-B09D-667018F9D6CF}"/>
    <cellStyle name="Normal 33 10" xfId="34333" xr:uid="{CA862105-B249-4A23-B31D-ADB6E6828EE6}"/>
    <cellStyle name="Normal 33 10 10" xfId="34334" xr:uid="{0AE76FFD-1099-4316-B579-F7ECA8038E1C}"/>
    <cellStyle name="Normal 33 10 11" xfId="34335" xr:uid="{B53C59EB-6E42-4387-ADD1-B668AF78DAE1}"/>
    <cellStyle name="Normal 33 10 12" xfId="34336" xr:uid="{3CC4DD98-25AD-43E4-82BA-F6F8680CDAD3}"/>
    <cellStyle name="Normal 33 10 13" xfId="34337" xr:uid="{E5FD935A-4BF3-45F5-BD2D-CEE54375AA37}"/>
    <cellStyle name="Normal 33 10 2" xfId="34338" xr:uid="{BA70BA03-90AA-4724-A236-EB5936A30E8D}"/>
    <cellStyle name="Normal 33 10 2 2" xfId="34339" xr:uid="{52E537DB-A277-41CB-8C83-E568BA4294A0}"/>
    <cellStyle name="Normal 33 10 2 3" xfId="34340" xr:uid="{A62CD6F7-669A-4CB6-93D3-4CCBE1C221E3}"/>
    <cellStyle name="Normal 33 10 2 4" xfId="34341" xr:uid="{7817C0E1-11A9-4CA2-82F3-195B4F91F691}"/>
    <cellStyle name="Normal 33 10 2 5" xfId="34342" xr:uid="{6F8EAEA7-5456-4167-977C-D328FF4B50FC}"/>
    <cellStyle name="Normal 33 10 2 6" xfId="34343" xr:uid="{7EA9F597-F65D-4F19-B756-EF5ED304A69F}"/>
    <cellStyle name="Normal 33 10 3" xfId="34344" xr:uid="{A716F7F1-AF31-45E1-8539-0001C7B35AA5}"/>
    <cellStyle name="Normal 33 10 3 2" xfId="34345" xr:uid="{DEE4BF14-9DA7-46C2-8EAA-AFE38A8B55D6}"/>
    <cellStyle name="Normal 33 10 3 3" xfId="34346" xr:uid="{E93466C2-44A8-47B2-8E2B-927A4D7B38AF}"/>
    <cellStyle name="Normal 33 10 3 4" xfId="34347" xr:uid="{DEB62A1E-7F88-4F2F-BFC6-EF3DE06AEE82}"/>
    <cellStyle name="Normal 33 10 3 5" xfId="34348" xr:uid="{CB858AC2-B680-4A92-A21D-5DF5D3032E48}"/>
    <cellStyle name="Normal 33 10 3 6" xfId="34349" xr:uid="{7DC11959-7BA3-4ACF-B311-FCF91F07D1D6}"/>
    <cellStyle name="Normal 33 10 4" xfId="34350" xr:uid="{9868DDAB-4D25-427E-B659-A3465958F07A}"/>
    <cellStyle name="Normal 33 10 4 2" xfId="34351" xr:uid="{05E37986-A507-4DCD-81CA-747CB6C2E788}"/>
    <cellStyle name="Normal 33 10 4 3" xfId="34352" xr:uid="{FC74B172-0712-4E2F-BB86-73704A27527E}"/>
    <cellStyle name="Normal 33 10 4 4" xfId="34353" xr:uid="{834ABDF6-191C-4742-99D1-6123318D5A19}"/>
    <cellStyle name="Normal 33 10 4 5" xfId="34354" xr:uid="{0624583C-4CA1-4450-B99C-9E68A1B72950}"/>
    <cellStyle name="Normal 33 10 4 6" xfId="34355" xr:uid="{8125E977-7461-4F3B-8294-068113493F2F}"/>
    <cellStyle name="Normal 33 10 5" xfId="34356" xr:uid="{F7D70115-6D58-401F-935E-4F6B0E1A5124}"/>
    <cellStyle name="Normal 33 10 5 2" xfId="34357" xr:uid="{BF548CC6-28BB-403C-8B97-66BE042EF847}"/>
    <cellStyle name="Normal 33 10 5 3" xfId="34358" xr:uid="{49396554-019C-42ED-95E2-2FFDEAD21A8C}"/>
    <cellStyle name="Normal 33 10 5 4" xfId="34359" xr:uid="{4A4BA935-DD85-41ED-A673-FC96843A0CE4}"/>
    <cellStyle name="Normal 33 10 5 5" xfId="34360" xr:uid="{672DCE2C-F10D-4F57-AF5D-D665FB8B307C}"/>
    <cellStyle name="Normal 33 10 5 6" xfId="34361" xr:uid="{78C9567C-1E3B-427B-AF54-1B189DA22CCC}"/>
    <cellStyle name="Normal 33 10 6" xfId="34362" xr:uid="{CA5C5598-392D-4C7E-8E60-E1B21D1E8894}"/>
    <cellStyle name="Normal 33 10 6 2" xfId="34363" xr:uid="{B8015586-636F-454A-B143-685D4882E193}"/>
    <cellStyle name="Normal 33 10 6 3" xfId="34364" xr:uid="{0A4D6E96-1F44-416C-8464-0F4E0A1DC153}"/>
    <cellStyle name="Normal 33 10 6 4" xfId="34365" xr:uid="{FE7CDD9A-9C29-4F21-9213-D89B65266F32}"/>
    <cellStyle name="Normal 33 10 6 5" xfId="34366" xr:uid="{CC7F410D-6D7B-4164-9BE1-4B0B89BE25AD}"/>
    <cellStyle name="Normal 33 10 6 6" xfId="34367" xr:uid="{331ADD93-67E7-4C75-8336-4E9286BDCD86}"/>
    <cellStyle name="Normal 33 10 7" xfId="34368" xr:uid="{2C420BE9-6119-46DF-8ED4-0A36F2F5C231}"/>
    <cellStyle name="Normal 33 10 7 2" xfId="34369" xr:uid="{12580ED1-BB8C-4DA4-9CAF-3988BA99244E}"/>
    <cellStyle name="Normal 33 10 7 3" xfId="34370" xr:uid="{1CFD6C7A-CCE5-4B00-8CA6-55F7BF4FE92C}"/>
    <cellStyle name="Normal 33 10 7 4" xfId="34371" xr:uid="{B282A295-FA7A-4469-8F86-63EA0D3D12B0}"/>
    <cellStyle name="Normal 33 10 7 5" xfId="34372" xr:uid="{1A32C13D-5A35-4C87-A2FB-75DE1EF7195F}"/>
    <cellStyle name="Normal 33 10 7 6" xfId="34373" xr:uid="{F57CEA2F-FF4C-4220-B80C-ED23FE3C18EB}"/>
    <cellStyle name="Normal 33 10 8" xfId="34374" xr:uid="{4B014285-9285-4987-8B6E-D70EECF98C4A}"/>
    <cellStyle name="Normal 33 10 8 2" xfId="34375" xr:uid="{2C4942FC-C05B-4D7C-BF5D-A3F641F375E3}"/>
    <cellStyle name="Normal 33 10 8 3" xfId="34376" xr:uid="{5EF3430A-A580-4AEC-9BF4-5210DBA61139}"/>
    <cellStyle name="Normal 33 10 8 4" xfId="34377" xr:uid="{86E0B177-5E53-4D2A-B6D0-D06C00795714}"/>
    <cellStyle name="Normal 33 10 8 5" xfId="34378" xr:uid="{45A02B80-D08A-4455-A3E7-A99241A643E4}"/>
    <cellStyle name="Normal 33 10 8 6" xfId="34379" xr:uid="{7BC6A1C5-7579-4E76-8CA8-1575F086AA00}"/>
    <cellStyle name="Normal 33 10 9" xfId="34380" xr:uid="{A959E14D-E535-40C5-B04A-6A27A909B0A1}"/>
    <cellStyle name="Normal 33 11" xfId="34381" xr:uid="{DD5FBAC0-BA37-48E5-840E-6627797C752A}"/>
    <cellStyle name="Normal 33 11 10" xfId="34382" xr:uid="{DEB6CC16-F00A-47C7-BB7E-075DDFD0A2DA}"/>
    <cellStyle name="Normal 33 11 11" xfId="34383" xr:uid="{D497109C-DEC8-42CC-BA4E-865FFD7E4DD7}"/>
    <cellStyle name="Normal 33 11 12" xfId="34384" xr:uid="{DA2F6E76-83A9-4B96-9B93-865E5EC853D3}"/>
    <cellStyle name="Normal 33 11 13" xfId="34385" xr:uid="{BC5EE4BF-7F3A-4CCF-A670-5D9C907913B8}"/>
    <cellStyle name="Normal 33 11 2" xfId="34386" xr:uid="{2E73BDED-84BA-4EE4-A900-2BA5BF284B0C}"/>
    <cellStyle name="Normal 33 11 2 2" xfId="34387" xr:uid="{5FB72139-B500-4E75-BA31-9A3B4BC44F85}"/>
    <cellStyle name="Normal 33 11 2 3" xfId="34388" xr:uid="{B18862C5-0315-4EF4-9860-9B0C9485392A}"/>
    <cellStyle name="Normal 33 11 2 4" xfId="34389" xr:uid="{14000A9C-06E0-452D-89B8-C8A48AD29482}"/>
    <cellStyle name="Normal 33 11 2 5" xfId="34390" xr:uid="{5E20821D-F3BC-4500-9D80-B0A9C0D2D8E6}"/>
    <cellStyle name="Normal 33 11 2 6" xfId="34391" xr:uid="{259CB3BF-2FD6-46A0-A4B3-D195395C4309}"/>
    <cellStyle name="Normal 33 11 3" xfId="34392" xr:uid="{84EEE00E-CB61-4B6B-9331-4F00D1B7CD50}"/>
    <cellStyle name="Normal 33 11 3 2" xfId="34393" xr:uid="{F24B92EC-925D-47A3-90C1-1ED1F5ECE69E}"/>
    <cellStyle name="Normal 33 11 3 3" xfId="34394" xr:uid="{01A1E17E-A974-43F4-9CB6-B51FC7EE7C5D}"/>
    <cellStyle name="Normal 33 11 3 4" xfId="34395" xr:uid="{8CB2AD39-DF15-4C78-9A60-8FA39BD36438}"/>
    <cellStyle name="Normal 33 11 3 5" xfId="34396" xr:uid="{445A4955-57DE-48C8-889E-A5FF39D4FA35}"/>
    <cellStyle name="Normal 33 11 3 6" xfId="34397" xr:uid="{F81C44D4-505A-49F7-ADB2-C177301C851D}"/>
    <cellStyle name="Normal 33 11 4" xfId="34398" xr:uid="{CEC03308-7D4A-4D82-ACD6-C3D149F7EE38}"/>
    <cellStyle name="Normal 33 11 4 2" xfId="34399" xr:uid="{3F25F272-A801-490F-8A8F-15E5DA550187}"/>
    <cellStyle name="Normal 33 11 4 3" xfId="34400" xr:uid="{1D5D755A-6BEA-4629-BFDB-2F80CC51C0DF}"/>
    <cellStyle name="Normal 33 11 4 4" xfId="34401" xr:uid="{80F58E82-CB1C-4984-9076-AC7C33E7378C}"/>
    <cellStyle name="Normal 33 11 4 5" xfId="34402" xr:uid="{77C2E35E-473B-4EF0-BA4F-FEA8EA25348E}"/>
    <cellStyle name="Normal 33 11 4 6" xfId="34403" xr:uid="{3E7C9E71-2D99-4A71-9ED0-AB79C772EA96}"/>
    <cellStyle name="Normal 33 11 5" xfId="34404" xr:uid="{19213C99-28B0-467B-BBA9-627B32884FAB}"/>
    <cellStyle name="Normal 33 11 5 2" xfId="34405" xr:uid="{4331E43F-4172-4392-8E6A-D0FFCC73E626}"/>
    <cellStyle name="Normal 33 11 5 3" xfId="34406" xr:uid="{BA2DA151-B445-4088-A1BF-09C68DF8F771}"/>
    <cellStyle name="Normal 33 11 5 4" xfId="34407" xr:uid="{DDE24826-91DD-4EE8-9477-4E6A47276BFA}"/>
    <cellStyle name="Normal 33 11 5 5" xfId="34408" xr:uid="{196D653E-9232-46BE-9286-E19868853939}"/>
    <cellStyle name="Normal 33 11 5 6" xfId="34409" xr:uid="{37649E60-A335-4B25-9D3C-D76940B5EDEF}"/>
    <cellStyle name="Normal 33 11 6" xfId="34410" xr:uid="{F2E3E61A-99FD-4A40-939B-D53B3BDF0A40}"/>
    <cellStyle name="Normal 33 11 6 2" xfId="34411" xr:uid="{96DC6578-A006-420C-8EC3-491C4D6E0EBC}"/>
    <cellStyle name="Normal 33 11 6 3" xfId="34412" xr:uid="{064AADAB-F0C6-434A-9652-02110F81CE8E}"/>
    <cellStyle name="Normal 33 11 6 4" xfId="34413" xr:uid="{1207A8B0-5DE8-40DA-8C26-C52B8EF0746C}"/>
    <cellStyle name="Normal 33 11 6 5" xfId="34414" xr:uid="{BB262BC6-88A9-42F0-9DB2-0B4305415DE8}"/>
    <cellStyle name="Normal 33 11 6 6" xfId="34415" xr:uid="{5A17984F-B899-4734-AB87-9A9FE22AF99A}"/>
    <cellStyle name="Normal 33 11 7" xfId="34416" xr:uid="{1CB38C28-1711-4D7C-BED5-1EE1EF65BC14}"/>
    <cellStyle name="Normal 33 11 7 2" xfId="34417" xr:uid="{450DE1CD-44F6-4F4F-AEF1-662B9A0449F4}"/>
    <cellStyle name="Normal 33 11 7 3" xfId="34418" xr:uid="{3DA83D02-1D35-49D0-A98D-90DA5316EBDC}"/>
    <cellStyle name="Normal 33 11 7 4" xfId="34419" xr:uid="{96BA3318-3985-4A4A-AEA2-6CDDE5221718}"/>
    <cellStyle name="Normal 33 11 7 5" xfId="34420" xr:uid="{C9269A78-4E4D-48B3-9BA0-D8A17286506A}"/>
    <cellStyle name="Normal 33 11 7 6" xfId="34421" xr:uid="{F5B238C2-11D1-4F64-A71C-E34118881CB5}"/>
    <cellStyle name="Normal 33 11 8" xfId="34422" xr:uid="{5BE8C10C-F15F-4DFA-8F53-06225F3F7B28}"/>
    <cellStyle name="Normal 33 11 8 2" xfId="34423" xr:uid="{4E2911FA-6884-429A-A8E4-FC78022594DC}"/>
    <cellStyle name="Normal 33 11 8 3" xfId="34424" xr:uid="{D38B10A9-43A3-4FA6-B236-B86CE0D9FA19}"/>
    <cellStyle name="Normal 33 11 8 4" xfId="34425" xr:uid="{BBC93676-F93B-45BD-912A-08209E75C555}"/>
    <cellStyle name="Normal 33 11 8 5" xfId="34426" xr:uid="{F0227CFB-72F4-4514-A94B-FDDC9A3D1A47}"/>
    <cellStyle name="Normal 33 11 8 6" xfId="34427" xr:uid="{B259FD95-8C95-4764-81D7-C5E0015ADD0A}"/>
    <cellStyle name="Normal 33 11 9" xfId="34428" xr:uid="{949BAE30-0DF2-4CDF-A110-62143CC32115}"/>
    <cellStyle name="Normal 33 12" xfId="34429" xr:uid="{BEB20129-D538-471A-8940-EC758A3CC124}"/>
    <cellStyle name="Normal 33 12 2" xfId="34430" xr:uid="{1FB9C436-2EBE-4E61-852B-591C40EC407E}"/>
    <cellStyle name="Normal 33 12 3" xfId="34431" xr:uid="{9B918310-148F-43C9-84D2-2D6CC4B49FB9}"/>
    <cellStyle name="Normal 33 12 4" xfId="34432" xr:uid="{363B06B3-D4AF-445C-9DB8-1A6E74E951E0}"/>
    <cellStyle name="Normal 33 12 5" xfId="34433" xr:uid="{5FA21B69-E594-499F-83CD-0E05DF532BDE}"/>
    <cellStyle name="Normal 33 12 6" xfId="34434" xr:uid="{7CC24518-6E9C-4063-A8BF-2E29577A9565}"/>
    <cellStyle name="Normal 33 13" xfId="34435" xr:uid="{2A7124DE-8CDA-4A9E-AC3E-E139D5BD7167}"/>
    <cellStyle name="Normal 33 13 2" xfId="34436" xr:uid="{713D6509-3509-4A92-A4FB-01941B301FB9}"/>
    <cellStyle name="Normal 33 13 3" xfId="34437" xr:uid="{A0049E36-66D5-41D0-B008-58CACA24C9CF}"/>
    <cellStyle name="Normal 33 13 4" xfId="34438" xr:uid="{8E901267-5A6C-4441-A31F-79856C9C3ADB}"/>
    <cellStyle name="Normal 33 13 5" xfId="34439" xr:uid="{B152B751-7F28-4CF6-A711-A33C4548E10B}"/>
    <cellStyle name="Normal 33 13 6" xfId="34440" xr:uid="{E68FAA2D-85CF-4F2A-8FCF-58FE73987306}"/>
    <cellStyle name="Normal 33 14" xfId="34441" xr:uid="{6B3F88F7-9C35-4C42-818D-053728790ECA}"/>
    <cellStyle name="Normal 33 14 2" xfId="34442" xr:uid="{64E7EF99-2972-4130-9424-97B4D005F29D}"/>
    <cellStyle name="Normal 33 14 3" xfId="34443" xr:uid="{0942D31D-79CE-480C-AC17-88D83D2F9AEC}"/>
    <cellStyle name="Normal 33 14 4" xfId="34444" xr:uid="{6DBC98F0-0E78-4289-845A-746CE8CA3A0A}"/>
    <cellStyle name="Normal 33 14 5" xfId="34445" xr:uid="{8BA2E3B4-B772-408C-8E82-01BBA1CFB5D6}"/>
    <cellStyle name="Normal 33 14 6" xfId="34446" xr:uid="{D69AEC9E-CCEA-42CA-8438-9527CF7F1459}"/>
    <cellStyle name="Normal 33 15" xfId="34447" xr:uid="{2E019E61-A6CF-4998-8883-1271E6F57CA9}"/>
    <cellStyle name="Normal 33 15 2" xfId="34448" xr:uid="{A3DC2F89-701B-4803-8A43-38745271E611}"/>
    <cellStyle name="Normal 33 15 3" xfId="34449" xr:uid="{D3038D52-8754-432C-86AD-ED7FF9091C0D}"/>
    <cellStyle name="Normal 33 15 4" xfId="34450" xr:uid="{924F12AC-F359-4608-93AB-60C86ED0CDAD}"/>
    <cellStyle name="Normal 33 15 5" xfId="34451" xr:uid="{D4295739-73F3-4279-8924-52634FEF29DE}"/>
    <cellStyle name="Normal 33 15 6" xfId="34452" xr:uid="{7547DBE7-C040-4842-A0C2-8533530041CD}"/>
    <cellStyle name="Normal 33 16" xfId="34453" xr:uid="{E6211689-80E9-4E62-BD05-3264343833EE}"/>
    <cellStyle name="Normal 33 16 2" xfId="34454" xr:uid="{1D2A6C05-5E64-4C49-85D9-6A028A5DC78D}"/>
    <cellStyle name="Normal 33 16 3" xfId="34455" xr:uid="{E8922CA5-E92A-462C-9787-78703F7E5B8E}"/>
    <cellStyle name="Normal 33 16 4" xfId="34456" xr:uid="{1B92F054-F4A9-45FA-9BDA-3F7D56B1259A}"/>
    <cellStyle name="Normal 33 16 5" xfId="34457" xr:uid="{1A797989-EEF9-4F57-8C39-93A50BE63D87}"/>
    <cellStyle name="Normal 33 16 6" xfId="34458" xr:uid="{5F254F70-0907-47C8-AE0D-6119314D2765}"/>
    <cellStyle name="Normal 33 17" xfId="34459" xr:uid="{F05175C2-C39E-4B68-AA54-1B63C7613474}"/>
    <cellStyle name="Normal 33 17 2" xfId="34460" xr:uid="{40CA305D-42DB-4D35-9241-9A8B60CDDD45}"/>
    <cellStyle name="Normal 33 17 3" xfId="34461" xr:uid="{1FE9B493-FEFE-40EF-8CA5-94937CEF2C9E}"/>
    <cellStyle name="Normal 33 17 4" xfId="34462" xr:uid="{6F03C301-40F8-43F4-A60D-133F57AC38E8}"/>
    <cellStyle name="Normal 33 17 5" xfId="34463" xr:uid="{5287D512-441C-41C4-BBE2-EA3D52A6A06A}"/>
    <cellStyle name="Normal 33 17 6" xfId="34464" xr:uid="{90BE6C4F-0750-4E45-8D48-641332D77B36}"/>
    <cellStyle name="Normal 33 18" xfId="34465" xr:uid="{B6290C26-A363-4592-B079-4882118A8FFE}"/>
    <cellStyle name="Normal 33 18 2" xfId="34466" xr:uid="{AC1FB756-EAF4-4A4F-85B5-E3AEF75EB56C}"/>
    <cellStyle name="Normal 33 18 3" xfId="34467" xr:uid="{DC8AB302-490F-4DC2-9B98-84E207269E0D}"/>
    <cellStyle name="Normal 33 18 4" xfId="34468" xr:uid="{18AE2D1A-0D9D-4AAA-B9DB-851EB73156D0}"/>
    <cellStyle name="Normal 33 18 5" xfId="34469" xr:uid="{F78B5A4D-F0B7-4DDC-8DD2-797CAF42871B}"/>
    <cellStyle name="Normal 33 18 6" xfId="34470" xr:uid="{83F2624E-698F-49F8-965B-964A01FEBA92}"/>
    <cellStyle name="Normal 33 19" xfId="34471" xr:uid="{3C5CFB17-37A9-43F6-9473-4C18DE7F3BC1}"/>
    <cellStyle name="Normal 33 2" xfId="34472" xr:uid="{483497FE-A05E-420A-8517-DD43D3A333C9}"/>
    <cellStyle name="Normal 33 2 10" xfId="34473" xr:uid="{54377C8D-C40B-4ED3-89AF-0507D7E7646D}"/>
    <cellStyle name="Normal 33 2 11" xfId="34474" xr:uid="{F2188058-04E6-4A4A-8291-B4A848F79959}"/>
    <cellStyle name="Normal 33 2 12" xfId="34475" xr:uid="{022EAFCB-C8BA-4B92-BA9F-D9A7C3AEA92C}"/>
    <cellStyle name="Normal 33 2 13" xfId="34476" xr:uid="{2CD12628-0E68-4BB4-8854-A30E69C3E7AC}"/>
    <cellStyle name="Normal 33 2 2" xfId="34477" xr:uid="{F6618916-8639-486A-8621-C1EF45AA5CEA}"/>
    <cellStyle name="Normal 33 2 2 2" xfId="34478" xr:uid="{01BD4473-8039-4023-B273-1D63175C33EE}"/>
    <cellStyle name="Normal 33 2 2 3" xfId="34479" xr:uid="{5A0B4892-3AF1-4084-9603-385AC242C131}"/>
    <cellStyle name="Normal 33 2 2 4" xfId="34480" xr:uid="{8D48BB38-2B5F-4238-9589-EECD2353C7CF}"/>
    <cellStyle name="Normal 33 2 2 5" xfId="34481" xr:uid="{2C40CF46-CF66-4C23-A852-658E74E1ED29}"/>
    <cellStyle name="Normal 33 2 2 6" xfId="34482" xr:uid="{4CADB5F1-6C6B-47E8-BF10-BE9C04696E73}"/>
    <cellStyle name="Normal 33 2 3" xfId="34483" xr:uid="{D0FB9FB3-4D58-4715-BAFC-7B21A80A798D}"/>
    <cellStyle name="Normal 33 2 3 2" xfId="34484" xr:uid="{E54386F0-C2FB-4BEC-AF10-AEDAFE84B947}"/>
    <cellStyle name="Normal 33 2 3 3" xfId="34485" xr:uid="{1D7ABFF0-DE2C-442E-BF21-287947D37DA5}"/>
    <cellStyle name="Normal 33 2 3 4" xfId="34486" xr:uid="{8FA67009-5D0D-4A20-A0C8-B903793951FC}"/>
    <cellStyle name="Normal 33 2 3 5" xfId="34487" xr:uid="{F9CFFA9A-5085-4FC2-A93E-B088F7EF1535}"/>
    <cellStyle name="Normal 33 2 3 6" xfId="34488" xr:uid="{517D7362-29CE-4336-811C-4B862DDAC434}"/>
    <cellStyle name="Normal 33 2 4" xfId="34489" xr:uid="{346618C6-22AC-41BC-9314-4385DF061E08}"/>
    <cellStyle name="Normal 33 2 4 2" xfId="34490" xr:uid="{5E79934A-B6C7-4F5F-AC8A-7B4DCEFC4F83}"/>
    <cellStyle name="Normal 33 2 4 3" xfId="34491" xr:uid="{80B7B621-AA31-4C9F-A3F9-FDAA81E97887}"/>
    <cellStyle name="Normal 33 2 4 4" xfId="34492" xr:uid="{AFD44692-093A-4A93-8A83-A3BB8989211D}"/>
    <cellStyle name="Normal 33 2 4 5" xfId="34493" xr:uid="{4A99AFD1-828E-4E7D-B302-FB8C43D27395}"/>
    <cellStyle name="Normal 33 2 4 6" xfId="34494" xr:uid="{F54A14C2-9803-46AB-8273-6DE1BC58F75F}"/>
    <cellStyle name="Normal 33 2 5" xfId="34495" xr:uid="{843134AE-B719-486A-86DD-A0DECD8C3AED}"/>
    <cellStyle name="Normal 33 2 5 2" xfId="34496" xr:uid="{1F13B2D2-0E8A-4131-BA85-952F8EB641A2}"/>
    <cellStyle name="Normal 33 2 5 3" xfId="34497" xr:uid="{757ECDF6-700E-4198-B414-4C3783BC674B}"/>
    <cellStyle name="Normal 33 2 5 4" xfId="34498" xr:uid="{5087322A-9EB8-41BD-B1AF-4893EEF8D3E3}"/>
    <cellStyle name="Normal 33 2 5 5" xfId="34499" xr:uid="{D3E31F7C-7831-403A-83B6-EE67AB1FCA2B}"/>
    <cellStyle name="Normal 33 2 5 6" xfId="34500" xr:uid="{905423C1-052A-4C5E-836A-4CF92E0B8CCF}"/>
    <cellStyle name="Normal 33 2 6" xfId="34501" xr:uid="{F9A61361-89F4-40B7-A369-239DC15AC1AE}"/>
    <cellStyle name="Normal 33 2 6 2" xfId="34502" xr:uid="{E2B5873F-299B-45F3-A5A3-EDBD2EDFB99E}"/>
    <cellStyle name="Normal 33 2 6 3" xfId="34503" xr:uid="{03F0C0EF-3574-4AAC-BD85-6CD110D54380}"/>
    <cellStyle name="Normal 33 2 6 4" xfId="34504" xr:uid="{B841538A-1B60-455C-A96E-C6DFAEC524B8}"/>
    <cellStyle name="Normal 33 2 6 5" xfId="34505" xr:uid="{4A80CEB0-CD23-47B1-9011-E3963D3B0C32}"/>
    <cellStyle name="Normal 33 2 6 6" xfId="34506" xr:uid="{7D98D4F7-227C-4E0B-BD92-36F577ACA264}"/>
    <cellStyle name="Normal 33 2 7" xfId="34507" xr:uid="{0028122F-BD38-4BF2-AF91-796900038A51}"/>
    <cellStyle name="Normal 33 2 7 2" xfId="34508" xr:uid="{6F31C485-31F2-4DC9-BE1E-8FAF7FA9AEA2}"/>
    <cellStyle name="Normal 33 2 7 3" xfId="34509" xr:uid="{BCC79D16-8FF2-4637-A7CE-A2E38349A6E0}"/>
    <cellStyle name="Normal 33 2 7 4" xfId="34510" xr:uid="{A4873D49-B17C-430C-AFD4-4CF7397FDB1E}"/>
    <cellStyle name="Normal 33 2 7 5" xfId="34511" xr:uid="{E1AFCBA4-0203-4F67-80E4-E86FC83E390B}"/>
    <cellStyle name="Normal 33 2 7 6" xfId="34512" xr:uid="{9A9A9868-CE29-464D-BDAB-E1BA3A55F881}"/>
    <cellStyle name="Normal 33 2 8" xfId="34513" xr:uid="{38C283C2-A8F7-462D-970B-5E980BAE4E51}"/>
    <cellStyle name="Normal 33 2 8 2" xfId="34514" xr:uid="{700C6312-FC4F-479E-B793-9C63980ECA89}"/>
    <cellStyle name="Normal 33 2 8 3" xfId="34515" xr:uid="{A98B3A24-4235-40CB-9082-434A4FBCADAE}"/>
    <cellStyle name="Normal 33 2 8 4" xfId="34516" xr:uid="{35D17AA2-A6B7-49E6-A628-3A26C7456EFE}"/>
    <cellStyle name="Normal 33 2 8 5" xfId="34517" xr:uid="{387C67A4-A912-4C91-8A34-B986417D5173}"/>
    <cellStyle name="Normal 33 2 8 6" xfId="34518" xr:uid="{72A4B8AB-99C5-471A-91DA-FAC4A14ED9BF}"/>
    <cellStyle name="Normal 33 2 9" xfId="34519" xr:uid="{070FF8EF-1C61-4B8C-AF93-FDE0A808AAD4}"/>
    <cellStyle name="Normal 33 20" xfId="34520" xr:uid="{B27191E8-2961-493F-BEF7-C79ED7B3306A}"/>
    <cellStyle name="Normal 33 21" xfId="34521" xr:uid="{5D3535FA-0CD1-4BD4-87A2-4FD0501DF618}"/>
    <cellStyle name="Normal 33 22" xfId="34522" xr:uid="{86AA5418-9BFC-4D6F-8A6A-4D631AA4759A}"/>
    <cellStyle name="Normal 33 23" xfId="34523" xr:uid="{AD8004E1-635F-4CF8-96AA-1CDD9B27EA7A}"/>
    <cellStyle name="Normal 33 3" xfId="34524" xr:uid="{1F244D6D-9C69-40EE-8DE7-29E290373DBD}"/>
    <cellStyle name="Normal 33 3 10" xfId="34525" xr:uid="{2E9974DA-5472-4826-BDF9-FF952ACB5BAB}"/>
    <cellStyle name="Normal 33 3 11" xfId="34526" xr:uid="{74B20FA7-CE47-4158-82F7-3D8F15E868F6}"/>
    <cellStyle name="Normal 33 3 12" xfId="34527" xr:uid="{77423DF1-6925-422A-8DE5-456390271016}"/>
    <cellStyle name="Normal 33 3 13" xfId="34528" xr:uid="{19328173-B35C-46FC-A04F-6C56FB2FFCA8}"/>
    <cellStyle name="Normal 33 3 2" xfId="34529" xr:uid="{509310EF-DAFF-4BAD-BC19-C41346790198}"/>
    <cellStyle name="Normal 33 3 2 2" xfId="34530" xr:uid="{870ACD45-AF3D-4DDB-8E61-53C50D239A62}"/>
    <cellStyle name="Normal 33 3 2 3" xfId="34531" xr:uid="{7B0C9521-1E94-4BFD-86E2-B827455862B2}"/>
    <cellStyle name="Normal 33 3 2 4" xfId="34532" xr:uid="{4BF4F7CE-82A3-4C0F-96D2-D9A026703AAD}"/>
    <cellStyle name="Normal 33 3 2 5" xfId="34533" xr:uid="{1B62B0BC-14AF-42F5-B7B0-297DA5FCCFE3}"/>
    <cellStyle name="Normal 33 3 2 6" xfId="34534" xr:uid="{F946DA92-22D9-418B-B0D4-E071D8B9C733}"/>
    <cellStyle name="Normal 33 3 3" xfId="34535" xr:uid="{A2DCB129-C058-4FA4-9BF1-43834B5FAF08}"/>
    <cellStyle name="Normal 33 3 3 2" xfId="34536" xr:uid="{A79C3009-298B-4A64-9B41-8A54DD29A7F5}"/>
    <cellStyle name="Normal 33 3 3 3" xfId="34537" xr:uid="{C3350607-BF4A-4AB3-A73D-100A1CEE3120}"/>
    <cellStyle name="Normal 33 3 3 4" xfId="34538" xr:uid="{AA621990-7948-4609-BF01-0F240A5A8443}"/>
    <cellStyle name="Normal 33 3 3 5" xfId="34539" xr:uid="{823B360D-7AAD-4753-8B44-B8CE3EE1BE4C}"/>
    <cellStyle name="Normal 33 3 3 6" xfId="34540" xr:uid="{EA45C5CB-8049-44A8-9875-0DCC3C228BDF}"/>
    <cellStyle name="Normal 33 3 4" xfId="34541" xr:uid="{2F5BB964-8ED8-4ED5-99B5-DA520EFD31FF}"/>
    <cellStyle name="Normal 33 3 4 2" xfId="34542" xr:uid="{EB583E77-BC11-4B91-ABE2-7A61427FC5B1}"/>
    <cellStyle name="Normal 33 3 4 3" xfId="34543" xr:uid="{236F991A-C0FB-4888-BE1C-F047A251D2D0}"/>
    <cellStyle name="Normal 33 3 4 4" xfId="34544" xr:uid="{111AB3BB-86FD-40FF-BC0B-BFAAECBBBF3F}"/>
    <cellStyle name="Normal 33 3 4 5" xfId="34545" xr:uid="{D8B01722-3592-41F5-821B-2CA740F91F36}"/>
    <cellStyle name="Normal 33 3 4 6" xfId="34546" xr:uid="{4ED54136-298F-4462-9251-BEBD0BBF2ABD}"/>
    <cellStyle name="Normal 33 3 5" xfId="34547" xr:uid="{B5C644CC-EA5E-4467-8C58-05ECC87EE519}"/>
    <cellStyle name="Normal 33 3 5 2" xfId="34548" xr:uid="{EEB26324-5D58-4BED-8246-3016FC6091A6}"/>
    <cellStyle name="Normal 33 3 5 3" xfId="34549" xr:uid="{3C2BD4B9-61EE-4082-8A84-B831908E3323}"/>
    <cellStyle name="Normal 33 3 5 4" xfId="34550" xr:uid="{B6B397B2-CF42-4F45-A101-6254BC9C5722}"/>
    <cellStyle name="Normal 33 3 5 5" xfId="34551" xr:uid="{D70C8116-374C-4377-AED2-7181C9CF1B60}"/>
    <cellStyle name="Normal 33 3 5 6" xfId="34552" xr:uid="{979D7B21-0A28-4FAC-BADB-EB21504C2210}"/>
    <cellStyle name="Normal 33 3 6" xfId="34553" xr:uid="{79B28B63-FCBD-4732-BCAF-659E47105F7C}"/>
    <cellStyle name="Normal 33 3 6 2" xfId="34554" xr:uid="{8B65F946-A8E5-4ED9-BAC1-ED525FDF5E00}"/>
    <cellStyle name="Normal 33 3 6 3" xfId="34555" xr:uid="{0C5D1C60-9494-4969-9A77-C316F0CB84D5}"/>
    <cellStyle name="Normal 33 3 6 4" xfId="34556" xr:uid="{34E55AFE-2E83-4613-B30F-51AF90FBB40D}"/>
    <cellStyle name="Normal 33 3 6 5" xfId="34557" xr:uid="{5977DB2A-D7D5-4D31-9F52-9DACD724E226}"/>
    <cellStyle name="Normal 33 3 6 6" xfId="34558" xr:uid="{ECCEC5A4-8110-4539-9A79-71746E9F53E8}"/>
    <cellStyle name="Normal 33 3 7" xfId="34559" xr:uid="{E5BDEAEE-5FCE-4794-B372-3BD210E4A101}"/>
    <cellStyle name="Normal 33 3 7 2" xfId="34560" xr:uid="{EEACC0E9-28AF-44E7-8A1B-101D12203B18}"/>
    <cellStyle name="Normal 33 3 7 3" xfId="34561" xr:uid="{408212D4-0B35-4B69-B543-1A0129D2DA04}"/>
    <cellStyle name="Normal 33 3 7 4" xfId="34562" xr:uid="{87B2D56E-1F51-42B0-BF2C-4A9049DDFCC9}"/>
    <cellStyle name="Normal 33 3 7 5" xfId="34563" xr:uid="{666D3394-E81E-4886-A126-1774B20205B1}"/>
    <cellStyle name="Normal 33 3 7 6" xfId="34564" xr:uid="{7C34B864-AB35-44D7-8765-FBE724F1DA83}"/>
    <cellStyle name="Normal 33 3 8" xfId="34565" xr:uid="{44ADAFCF-C8B5-40CB-B329-A3524CE13341}"/>
    <cellStyle name="Normal 33 3 8 2" xfId="34566" xr:uid="{B9AE1C7F-7BC0-4827-A81A-28F3D7ABC575}"/>
    <cellStyle name="Normal 33 3 8 3" xfId="34567" xr:uid="{F67973C0-C40E-4D69-8399-A761A2BB93D5}"/>
    <cellStyle name="Normal 33 3 8 4" xfId="34568" xr:uid="{528902B7-2627-440B-9F6F-1C73CE005964}"/>
    <cellStyle name="Normal 33 3 8 5" xfId="34569" xr:uid="{6EB3D6F8-C072-4093-B442-4998F45179AC}"/>
    <cellStyle name="Normal 33 3 8 6" xfId="34570" xr:uid="{217B610E-A1B2-4223-B691-FC4E9E8DE00F}"/>
    <cellStyle name="Normal 33 3 9" xfId="34571" xr:uid="{BFF80817-405F-432A-9C37-D0ABC0D6F345}"/>
    <cellStyle name="Normal 33 4" xfId="34572" xr:uid="{D437C9DB-A99F-4627-A1E2-D59EF21ADF83}"/>
    <cellStyle name="Normal 33 4 10" xfId="34573" xr:uid="{448DC9EA-48DF-4D69-B54B-8BEC79C07D00}"/>
    <cellStyle name="Normal 33 4 11" xfId="34574" xr:uid="{2744AB94-D82E-4EA4-97F2-9F8B81A8A62A}"/>
    <cellStyle name="Normal 33 4 12" xfId="34575" xr:uid="{5DD330A1-770C-46F3-B1EC-E46A38E6F5A8}"/>
    <cellStyle name="Normal 33 4 13" xfId="34576" xr:uid="{70EA6836-A9F8-47AD-B1DC-4B125614AF11}"/>
    <cellStyle name="Normal 33 4 2" xfId="34577" xr:uid="{09C5878E-4C20-48B3-B6B1-1B1A1E2B7F52}"/>
    <cellStyle name="Normal 33 4 2 2" xfId="34578" xr:uid="{AAC0571B-4712-4783-A135-04BA71D5C345}"/>
    <cellStyle name="Normal 33 4 2 3" xfId="34579" xr:uid="{8EF4F627-4DBA-4927-9BCD-106D29B00408}"/>
    <cellStyle name="Normal 33 4 2 4" xfId="34580" xr:uid="{9F3E881E-7698-47A1-9A92-C433CDCDA422}"/>
    <cellStyle name="Normal 33 4 2 5" xfId="34581" xr:uid="{8DB768F0-5F0A-47AE-B6A1-902CB5B53963}"/>
    <cellStyle name="Normal 33 4 2 6" xfId="34582" xr:uid="{AF986FFE-1D5B-4792-ACE8-C6E280932766}"/>
    <cellStyle name="Normal 33 4 3" xfId="34583" xr:uid="{23B4BBB7-9D18-4892-AEEB-0F2F04B48D25}"/>
    <cellStyle name="Normal 33 4 3 2" xfId="34584" xr:uid="{A49A5974-1BB0-4A15-8027-AA9FA6560F14}"/>
    <cellStyle name="Normal 33 4 3 3" xfId="34585" xr:uid="{9CD1BC08-B6CE-4865-89E3-058A44F3212B}"/>
    <cellStyle name="Normal 33 4 3 4" xfId="34586" xr:uid="{8DD71FF3-3DC5-42DE-868F-77D121C3AB4A}"/>
    <cellStyle name="Normal 33 4 3 5" xfId="34587" xr:uid="{EC93DB36-48AA-4459-BA97-91D5A8AE359B}"/>
    <cellStyle name="Normal 33 4 3 6" xfId="34588" xr:uid="{EC6482D8-94CD-4533-B7E9-FE937570CAA8}"/>
    <cellStyle name="Normal 33 4 4" xfId="34589" xr:uid="{D9EB6EFE-E224-4476-80C2-2BA74CFB8638}"/>
    <cellStyle name="Normal 33 4 4 2" xfId="34590" xr:uid="{64402FE7-5854-4BAA-AAF0-5908462BB950}"/>
    <cellStyle name="Normal 33 4 4 3" xfId="34591" xr:uid="{F5F27078-B87F-4A3F-A671-6650C1DAE904}"/>
    <cellStyle name="Normal 33 4 4 4" xfId="34592" xr:uid="{12BD0418-8457-412A-804C-E0A03F5E0653}"/>
    <cellStyle name="Normal 33 4 4 5" xfId="34593" xr:uid="{0A902E02-51F6-4464-A9D7-9E3EFC331347}"/>
    <cellStyle name="Normal 33 4 4 6" xfId="34594" xr:uid="{444A96AB-AB5F-404A-8F55-6727D57ED835}"/>
    <cellStyle name="Normal 33 4 5" xfId="34595" xr:uid="{2265E6F4-8D2C-436A-B702-7684826B276C}"/>
    <cellStyle name="Normal 33 4 5 2" xfId="34596" xr:uid="{A64971E7-6E2A-441A-9009-1A5E04C1F893}"/>
    <cellStyle name="Normal 33 4 5 3" xfId="34597" xr:uid="{BF8CE619-603A-41A3-81D8-3F769E6C27FB}"/>
    <cellStyle name="Normal 33 4 5 4" xfId="34598" xr:uid="{C477A624-2A74-4112-A7FD-83F13E6478BB}"/>
    <cellStyle name="Normal 33 4 5 5" xfId="34599" xr:uid="{070AA48D-26DE-452C-AC47-E0EB6FAECE04}"/>
    <cellStyle name="Normal 33 4 5 6" xfId="34600" xr:uid="{C4911C77-754C-4481-BBE1-696687D4AF43}"/>
    <cellStyle name="Normal 33 4 6" xfId="34601" xr:uid="{2140B069-0FE0-467B-B034-EEF9563D42BB}"/>
    <cellStyle name="Normal 33 4 6 2" xfId="34602" xr:uid="{7496F170-8A21-45FA-A93A-5999D1148304}"/>
    <cellStyle name="Normal 33 4 6 3" xfId="34603" xr:uid="{4AFA4252-54F6-4D6F-8FD3-36305A41CB3E}"/>
    <cellStyle name="Normal 33 4 6 4" xfId="34604" xr:uid="{260B92EA-004D-452E-A803-540F7A12FBD2}"/>
    <cellStyle name="Normal 33 4 6 5" xfId="34605" xr:uid="{0B053464-DAB0-485F-B67C-2DC1F684564C}"/>
    <cellStyle name="Normal 33 4 6 6" xfId="34606" xr:uid="{DC378B2F-A45F-4EFC-B9D3-578E04B13014}"/>
    <cellStyle name="Normal 33 4 7" xfId="34607" xr:uid="{020F2789-A547-42F7-8807-B1EF64C79C91}"/>
    <cellStyle name="Normal 33 4 7 2" xfId="34608" xr:uid="{8CE6CBF7-7C9B-444F-B1F2-6EEEE37AEE63}"/>
    <cellStyle name="Normal 33 4 7 3" xfId="34609" xr:uid="{5112C619-FD1F-404A-9DBA-3138B166E914}"/>
    <cellStyle name="Normal 33 4 7 4" xfId="34610" xr:uid="{5A673F2B-FB01-48E0-BB47-BAE86FF83959}"/>
    <cellStyle name="Normal 33 4 7 5" xfId="34611" xr:uid="{AE9EDC9A-CBD7-4A3B-9CEE-678066BBA189}"/>
    <cellStyle name="Normal 33 4 7 6" xfId="34612" xr:uid="{AF802D18-2473-46AD-ABF6-66B50A35A6FF}"/>
    <cellStyle name="Normal 33 4 8" xfId="34613" xr:uid="{826C95B4-AE03-499E-936A-1C69A6D90B94}"/>
    <cellStyle name="Normal 33 4 8 2" xfId="34614" xr:uid="{360CA0F4-2447-4374-87B8-895DCB8274F9}"/>
    <cellStyle name="Normal 33 4 8 3" xfId="34615" xr:uid="{AC32078A-A336-443C-B916-52D712D8DBED}"/>
    <cellStyle name="Normal 33 4 8 4" xfId="34616" xr:uid="{1C27F04A-5247-446D-B50A-F3B0F6ABEC2A}"/>
    <cellStyle name="Normal 33 4 8 5" xfId="34617" xr:uid="{BFE42D76-6C0A-46E9-A39F-B1A9C580F340}"/>
    <cellStyle name="Normal 33 4 8 6" xfId="34618" xr:uid="{04B04507-852C-42B2-BD64-0042476B8CFC}"/>
    <cellStyle name="Normal 33 4 9" xfId="34619" xr:uid="{F015FB0C-1C16-4412-AEC3-6F6DD7C9EB78}"/>
    <cellStyle name="Normal 33 5" xfId="34620" xr:uid="{D66B424D-0EFA-426E-99EF-D03ADAF6DC3A}"/>
    <cellStyle name="Normal 33 5 10" xfId="34621" xr:uid="{2A0AC899-6030-444C-AA0E-ABA395342796}"/>
    <cellStyle name="Normal 33 5 11" xfId="34622" xr:uid="{852B2F7F-9C00-44A6-8A7E-F75B78E7A69C}"/>
    <cellStyle name="Normal 33 5 12" xfId="34623" xr:uid="{E515082E-84AE-4D55-9A96-E9E32C93E3B4}"/>
    <cellStyle name="Normal 33 5 13" xfId="34624" xr:uid="{713FFA71-AB70-453C-8DAD-350F7A315DEF}"/>
    <cellStyle name="Normal 33 5 2" xfId="34625" xr:uid="{D748882A-DA45-421A-82AA-84568B7A0126}"/>
    <cellStyle name="Normal 33 5 2 2" xfId="34626" xr:uid="{CFE77EE5-5C29-4ADF-8E1C-9C9A8B040F19}"/>
    <cellStyle name="Normal 33 5 2 3" xfId="34627" xr:uid="{653069AD-7059-4A70-92B5-0952E43B3EB1}"/>
    <cellStyle name="Normal 33 5 2 4" xfId="34628" xr:uid="{3B693405-4D2E-4ADF-9090-03E1140CFACC}"/>
    <cellStyle name="Normal 33 5 2 5" xfId="34629" xr:uid="{4AF39ECB-5BB2-48A4-B4FD-E7E5C08C84A1}"/>
    <cellStyle name="Normal 33 5 2 6" xfId="34630" xr:uid="{976AEDCB-DC64-4571-BFEC-3EEB0E4B4663}"/>
    <cellStyle name="Normal 33 5 3" xfId="34631" xr:uid="{8EEA32DB-6AF5-43DD-8F62-83A635307130}"/>
    <cellStyle name="Normal 33 5 3 2" xfId="34632" xr:uid="{64BCB34C-DEC2-4C8D-A591-882949570F47}"/>
    <cellStyle name="Normal 33 5 3 3" xfId="34633" xr:uid="{761E9576-538A-4E6C-A220-AD6103357A8A}"/>
    <cellStyle name="Normal 33 5 3 4" xfId="34634" xr:uid="{3D39E94F-1033-4057-BF55-74FDA9BAE68D}"/>
    <cellStyle name="Normal 33 5 3 5" xfId="34635" xr:uid="{59475B47-D3CF-4DD4-B3A6-1EF5EA327E19}"/>
    <cellStyle name="Normal 33 5 3 6" xfId="34636" xr:uid="{480C4DE9-9F36-4DEE-A82E-B8199F1C2B6F}"/>
    <cellStyle name="Normal 33 5 4" xfId="34637" xr:uid="{ED2CDACD-7C27-49A2-AFD5-D852E84355E1}"/>
    <cellStyle name="Normal 33 5 4 2" xfId="34638" xr:uid="{F95CD3C6-FECA-41EC-9917-0C622584F078}"/>
    <cellStyle name="Normal 33 5 4 3" xfId="34639" xr:uid="{DEA31E6B-4BE5-4581-A6AE-01EEAA015795}"/>
    <cellStyle name="Normal 33 5 4 4" xfId="34640" xr:uid="{BC575EE4-DED3-4EEF-A36A-E1A7DBF8D663}"/>
    <cellStyle name="Normal 33 5 4 5" xfId="34641" xr:uid="{708B7C0D-84B3-4549-B62B-AA9474694ED6}"/>
    <cellStyle name="Normal 33 5 4 6" xfId="34642" xr:uid="{C8411833-3CC1-4169-A16F-0DB102E75721}"/>
    <cellStyle name="Normal 33 5 5" xfId="34643" xr:uid="{DECEAD59-D1A8-4E50-AEE7-956004E123C4}"/>
    <cellStyle name="Normal 33 5 5 2" xfId="34644" xr:uid="{2275B371-1CD7-4CFF-80B0-BFF2A453A3F7}"/>
    <cellStyle name="Normal 33 5 5 3" xfId="34645" xr:uid="{BC612F9F-BCB5-49A2-9E3A-1D3DB710A334}"/>
    <cellStyle name="Normal 33 5 5 4" xfId="34646" xr:uid="{CBCFBE35-419D-4229-99E8-7EA3559A59BE}"/>
    <cellStyle name="Normal 33 5 5 5" xfId="34647" xr:uid="{BB4E3C41-17A1-4BCB-8657-50CE43735A9D}"/>
    <cellStyle name="Normal 33 5 5 6" xfId="34648" xr:uid="{D766F9D5-F91F-4F6A-9FDF-C0DF07CA84F5}"/>
    <cellStyle name="Normal 33 5 6" xfId="34649" xr:uid="{F817F03C-C4CC-4901-BDC1-AFB86255B71D}"/>
    <cellStyle name="Normal 33 5 6 2" xfId="34650" xr:uid="{D67AA6E4-05E4-419F-93F6-01583499B44F}"/>
    <cellStyle name="Normal 33 5 6 3" xfId="34651" xr:uid="{1183A9C0-3F8B-4EF1-BBB2-2F737BBFD063}"/>
    <cellStyle name="Normal 33 5 6 4" xfId="34652" xr:uid="{A001FA21-23A3-422E-962B-11FA5330619B}"/>
    <cellStyle name="Normal 33 5 6 5" xfId="34653" xr:uid="{A010F6E7-8625-4B8E-A2FD-C0FAB592674D}"/>
    <cellStyle name="Normal 33 5 6 6" xfId="34654" xr:uid="{E3274D6C-F11F-435E-A1B8-985225FCA5CF}"/>
    <cellStyle name="Normal 33 5 7" xfId="34655" xr:uid="{487138E0-87E9-4905-81C6-3B1BD0F612F7}"/>
    <cellStyle name="Normal 33 5 7 2" xfId="34656" xr:uid="{4E834BFC-DD33-42AE-8BD7-4D5475C74411}"/>
    <cellStyle name="Normal 33 5 7 3" xfId="34657" xr:uid="{2484E451-56B5-4A73-848C-2D07D21E7FA2}"/>
    <cellStyle name="Normal 33 5 7 4" xfId="34658" xr:uid="{381F3119-555D-46AC-AB66-62F55DF2C03D}"/>
    <cellStyle name="Normal 33 5 7 5" xfId="34659" xr:uid="{BFB5C625-BEA1-4179-94AC-4F83D1CAFA74}"/>
    <cellStyle name="Normal 33 5 7 6" xfId="34660" xr:uid="{0C654B0D-5F25-423A-8756-D0E208CF12DB}"/>
    <cellStyle name="Normal 33 5 8" xfId="34661" xr:uid="{98D311A8-E6A0-4AD3-9F14-A6D0824BC085}"/>
    <cellStyle name="Normal 33 5 8 2" xfId="34662" xr:uid="{AD54E25F-E944-4143-B163-CE7FF77D61DB}"/>
    <cellStyle name="Normal 33 5 8 3" xfId="34663" xr:uid="{B301C2AC-A86A-4401-991B-22F2D13E5413}"/>
    <cellStyle name="Normal 33 5 8 4" xfId="34664" xr:uid="{31E4E5AB-046F-4530-B739-1DA45E464A1D}"/>
    <cellStyle name="Normal 33 5 8 5" xfId="34665" xr:uid="{A7E924EE-1683-4F2C-92D3-C275AE2E60CC}"/>
    <cellStyle name="Normal 33 5 8 6" xfId="34666" xr:uid="{A298EA34-4DC9-43F1-9425-1BE36040E96F}"/>
    <cellStyle name="Normal 33 5 9" xfId="34667" xr:uid="{C9679E0E-0E61-4ABF-87B4-DBD1E8629396}"/>
    <cellStyle name="Normal 33 6" xfId="34668" xr:uid="{ADD11F33-355A-4F29-A337-036ED9B61185}"/>
    <cellStyle name="Normal 33 6 10" xfId="34669" xr:uid="{DCA06E9B-D37F-4B88-9878-5E958BB6B812}"/>
    <cellStyle name="Normal 33 6 11" xfId="34670" xr:uid="{6F7F2CA6-1F26-4958-9123-205A542C6F46}"/>
    <cellStyle name="Normal 33 6 12" xfId="34671" xr:uid="{9BED2A29-90CB-4D6A-A00E-D1BFEB1165A6}"/>
    <cellStyle name="Normal 33 6 13" xfId="34672" xr:uid="{E282C30B-1B51-4FEA-9C90-592906F76041}"/>
    <cellStyle name="Normal 33 6 2" xfId="34673" xr:uid="{E1A4FB98-B676-46CE-9FE2-91484052196D}"/>
    <cellStyle name="Normal 33 6 2 2" xfId="34674" xr:uid="{F2809F6F-3F99-4B8F-84D5-E713B53A5EE0}"/>
    <cellStyle name="Normal 33 6 2 3" xfId="34675" xr:uid="{C4FA656D-0EDC-4B3B-932A-666EA6E46399}"/>
    <cellStyle name="Normal 33 6 2 4" xfId="34676" xr:uid="{3370BECF-AEA0-492A-9989-AC9136E4E0EE}"/>
    <cellStyle name="Normal 33 6 2 5" xfId="34677" xr:uid="{F046B3EC-F1AA-40AD-A457-4214CA3514A9}"/>
    <cellStyle name="Normal 33 6 2 6" xfId="34678" xr:uid="{3432AA18-88ED-46E8-943F-F4916CC791B0}"/>
    <cellStyle name="Normal 33 6 3" xfId="34679" xr:uid="{991204A4-95BF-44A3-BA7A-5DDBF9D82606}"/>
    <cellStyle name="Normal 33 6 3 2" xfId="34680" xr:uid="{9BA1E67E-0F17-4E61-8AE4-2F8A32A9898F}"/>
    <cellStyle name="Normal 33 6 3 3" xfId="34681" xr:uid="{69DDE946-1EB4-4FB3-A4BB-9237ADC6EB0C}"/>
    <cellStyle name="Normal 33 6 3 4" xfId="34682" xr:uid="{9DF2E574-C6AA-4676-B212-8B579C675FF1}"/>
    <cellStyle name="Normal 33 6 3 5" xfId="34683" xr:uid="{AADE5B47-6C3A-4D34-A2B6-8BDFA012BD2B}"/>
    <cellStyle name="Normal 33 6 3 6" xfId="34684" xr:uid="{EEF313C8-DB50-409A-8A4F-119EDEEBD367}"/>
    <cellStyle name="Normal 33 6 4" xfId="34685" xr:uid="{EE17319D-9804-40D5-90B2-CB1D8CC89D08}"/>
    <cellStyle name="Normal 33 6 4 2" xfId="34686" xr:uid="{B3BB995A-6B54-4A9C-BA78-7B03A4640838}"/>
    <cellStyle name="Normal 33 6 4 3" xfId="34687" xr:uid="{CC951DB3-CEFC-4911-9D5A-505E89D38090}"/>
    <cellStyle name="Normal 33 6 4 4" xfId="34688" xr:uid="{003293F5-8234-4DB8-9D6B-724E8A005865}"/>
    <cellStyle name="Normal 33 6 4 5" xfId="34689" xr:uid="{2E37B2A1-455D-49E7-B40F-437EAF665C75}"/>
    <cellStyle name="Normal 33 6 4 6" xfId="34690" xr:uid="{0AFFFB41-FFE6-454B-8C1D-D2D880184915}"/>
    <cellStyle name="Normal 33 6 5" xfId="34691" xr:uid="{8407954C-F0F9-4075-81F6-273CB033A989}"/>
    <cellStyle name="Normal 33 6 5 2" xfId="34692" xr:uid="{B0890F49-24BF-40F8-87E9-050176794EDC}"/>
    <cellStyle name="Normal 33 6 5 3" xfId="34693" xr:uid="{90392842-0E80-4B8B-9350-5A38A7713FB0}"/>
    <cellStyle name="Normal 33 6 5 4" xfId="34694" xr:uid="{7EA42A78-55BD-4F94-A30D-A7CB12339188}"/>
    <cellStyle name="Normal 33 6 5 5" xfId="34695" xr:uid="{D0F91914-4B89-4F86-9F00-F6DCA6C2294D}"/>
    <cellStyle name="Normal 33 6 5 6" xfId="34696" xr:uid="{1767BE6D-3057-458B-A13C-4C40F96F331B}"/>
    <cellStyle name="Normal 33 6 6" xfId="34697" xr:uid="{14A10751-B0D7-42B8-B3FB-36A9D158A25E}"/>
    <cellStyle name="Normal 33 6 6 2" xfId="34698" xr:uid="{29ADBA81-7E24-433A-B2A2-142295B2ECD7}"/>
    <cellStyle name="Normal 33 6 6 3" xfId="34699" xr:uid="{6F19258E-7EA9-4B92-B7F8-8B6F3DD4FA7B}"/>
    <cellStyle name="Normal 33 6 6 4" xfId="34700" xr:uid="{9DEBE702-CFE9-459A-9689-12FCA9AC0635}"/>
    <cellStyle name="Normal 33 6 6 5" xfId="34701" xr:uid="{3D944176-E0B0-4EE4-A6C9-4D4FFB6AA12C}"/>
    <cellStyle name="Normal 33 6 6 6" xfId="34702" xr:uid="{480AD70E-E37E-45EF-8EFB-D584BF6DC8D3}"/>
    <cellStyle name="Normal 33 6 7" xfId="34703" xr:uid="{330F8B6D-0332-4B4C-AD31-B28C4A234BDE}"/>
    <cellStyle name="Normal 33 6 7 2" xfId="34704" xr:uid="{6AA951EA-BA8C-483F-8E35-0CDD87D2D7B6}"/>
    <cellStyle name="Normal 33 6 7 3" xfId="34705" xr:uid="{DEAE45A9-B683-4B96-AB2A-D5479E625E31}"/>
    <cellStyle name="Normal 33 6 7 4" xfId="34706" xr:uid="{C57992A6-37F8-4DCE-9460-4E1AF3741116}"/>
    <cellStyle name="Normal 33 6 7 5" xfId="34707" xr:uid="{BD83E9AF-D13A-45CD-90B3-ED14D4F3CDA6}"/>
    <cellStyle name="Normal 33 6 7 6" xfId="34708" xr:uid="{2C428617-D8A4-4EF1-80F6-8515C8CC48D1}"/>
    <cellStyle name="Normal 33 6 8" xfId="34709" xr:uid="{6667EC2E-5DD2-4842-A689-123F41797E3E}"/>
    <cellStyle name="Normal 33 6 8 2" xfId="34710" xr:uid="{1157F9C8-7159-4C6E-B624-E6477B393211}"/>
    <cellStyle name="Normal 33 6 8 3" xfId="34711" xr:uid="{2D185C74-2DB4-47F5-90E1-195C53504420}"/>
    <cellStyle name="Normal 33 6 8 4" xfId="34712" xr:uid="{278DAA8C-228F-4D95-B328-2BCB0773B4C0}"/>
    <cellStyle name="Normal 33 6 8 5" xfId="34713" xr:uid="{8E53CB43-2261-4D34-BDD8-2DE4B0E7BA65}"/>
    <cellStyle name="Normal 33 6 8 6" xfId="34714" xr:uid="{6E66CD59-70FC-4EE0-9689-F42EED5794CA}"/>
    <cellStyle name="Normal 33 6 9" xfId="34715" xr:uid="{FEB58870-715A-4189-8C41-82C1EEF652F4}"/>
    <cellStyle name="Normal 33 7" xfId="34716" xr:uid="{736EA836-1709-4948-928A-DEB8432D1DF8}"/>
    <cellStyle name="Normal 33 7 10" xfId="34717" xr:uid="{2D252EDB-2FC3-4277-A425-CFB1F653B3ED}"/>
    <cellStyle name="Normal 33 7 11" xfId="34718" xr:uid="{DD4F20D8-EFB3-4B0A-8EED-E354664B81FD}"/>
    <cellStyle name="Normal 33 7 12" xfId="34719" xr:uid="{7D80B770-76A1-449C-8665-AFCD4AB61A3E}"/>
    <cellStyle name="Normal 33 7 13" xfId="34720" xr:uid="{03A6441A-71F8-4D5A-A6F9-DA2B84F53C54}"/>
    <cellStyle name="Normal 33 7 2" xfId="34721" xr:uid="{7D95680E-EC33-4A9C-91F5-56AACE2DB89B}"/>
    <cellStyle name="Normal 33 7 2 2" xfId="34722" xr:uid="{02F943B7-AC2E-4E39-86CF-0186C204A306}"/>
    <cellStyle name="Normal 33 7 2 3" xfId="34723" xr:uid="{DDDF2005-23E2-41E6-A8EF-68CA8B3F4966}"/>
    <cellStyle name="Normal 33 7 2 4" xfId="34724" xr:uid="{32DFD5C9-B86E-4E1B-BDF4-024C48548A24}"/>
    <cellStyle name="Normal 33 7 2 5" xfId="34725" xr:uid="{6BDA9EC3-AFDE-436E-AB03-C91F033AA66A}"/>
    <cellStyle name="Normal 33 7 2 6" xfId="34726" xr:uid="{FBC164E7-72D0-4F2A-9B2B-84D745836F18}"/>
    <cellStyle name="Normal 33 7 3" xfId="34727" xr:uid="{F21280D9-227A-4CC0-B4E9-F920837C59AA}"/>
    <cellStyle name="Normal 33 7 3 2" xfId="34728" xr:uid="{475C9C26-4E09-4464-9E9F-67C5AE4F6B5C}"/>
    <cellStyle name="Normal 33 7 3 3" xfId="34729" xr:uid="{DDD21B7B-3E6F-4F14-8719-5F2FD267F690}"/>
    <cellStyle name="Normal 33 7 3 4" xfId="34730" xr:uid="{DAFCAEBC-7CBA-4EF7-A43E-8DCBB84AB922}"/>
    <cellStyle name="Normal 33 7 3 5" xfId="34731" xr:uid="{4D4612DF-1826-4488-A493-3AB0277A3B16}"/>
    <cellStyle name="Normal 33 7 3 6" xfId="34732" xr:uid="{F29107C6-CFA7-4177-A09F-B13F520D2F50}"/>
    <cellStyle name="Normal 33 7 4" xfId="34733" xr:uid="{43899444-C323-41A5-A0B1-912CC096CE73}"/>
    <cellStyle name="Normal 33 7 4 2" xfId="34734" xr:uid="{980EC4CB-1540-4751-B4E1-3864B6F0F45F}"/>
    <cellStyle name="Normal 33 7 4 3" xfId="34735" xr:uid="{780C2200-5489-4392-B273-1E84F04861C6}"/>
    <cellStyle name="Normal 33 7 4 4" xfId="34736" xr:uid="{16B5BAEC-09DE-483A-BD28-0585EF9A1A6A}"/>
    <cellStyle name="Normal 33 7 4 5" xfId="34737" xr:uid="{FDDDA8EC-E28B-4E36-AB33-1AAE34FFF4EA}"/>
    <cellStyle name="Normal 33 7 4 6" xfId="34738" xr:uid="{095ABC77-00E6-4651-B1DA-080E0ED14498}"/>
    <cellStyle name="Normal 33 7 5" xfId="34739" xr:uid="{3B160513-239D-4287-BA62-388D52727FD0}"/>
    <cellStyle name="Normal 33 7 5 2" xfId="34740" xr:uid="{7F1FE1AD-B617-47A2-A4D7-8DCED0CF9A7B}"/>
    <cellStyle name="Normal 33 7 5 3" xfId="34741" xr:uid="{89D968F3-4122-4BB3-9DED-C6EC266732C1}"/>
    <cellStyle name="Normal 33 7 5 4" xfId="34742" xr:uid="{A59CAA37-9F16-4DF9-9372-ABD08F286DD0}"/>
    <cellStyle name="Normal 33 7 5 5" xfId="34743" xr:uid="{0BE229B1-2431-422A-996E-A8633F529284}"/>
    <cellStyle name="Normal 33 7 5 6" xfId="34744" xr:uid="{A670F106-AB28-4BCB-A624-26EE8DD6624E}"/>
    <cellStyle name="Normal 33 7 6" xfId="34745" xr:uid="{2A57BCB6-6AB5-41F7-A77E-50F8F4195214}"/>
    <cellStyle name="Normal 33 7 6 2" xfId="34746" xr:uid="{71D8955E-D42C-488A-82EC-867946954854}"/>
    <cellStyle name="Normal 33 7 6 3" xfId="34747" xr:uid="{0F147787-9C80-49F1-8983-67D9748459D5}"/>
    <cellStyle name="Normal 33 7 6 4" xfId="34748" xr:uid="{9ABD99FA-7FDE-45F5-AC2A-CEB4477830D5}"/>
    <cellStyle name="Normal 33 7 6 5" xfId="34749" xr:uid="{4A632AAC-20A3-4D77-B907-09CFCD85CF08}"/>
    <cellStyle name="Normal 33 7 6 6" xfId="34750" xr:uid="{A3D5712C-C09E-43A9-B8D7-C499B037B352}"/>
    <cellStyle name="Normal 33 7 7" xfId="34751" xr:uid="{2F2D72A7-3ED5-4E5E-8FC2-14469CD74ADE}"/>
    <cellStyle name="Normal 33 7 7 2" xfId="34752" xr:uid="{0B7F0E7F-2CCB-43EE-ABA4-A5B037C7CB8E}"/>
    <cellStyle name="Normal 33 7 7 3" xfId="34753" xr:uid="{BC90043A-031B-4E71-9D49-0B2AC3C62F70}"/>
    <cellStyle name="Normal 33 7 7 4" xfId="34754" xr:uid="{85D4B23B-737C-45A3-82A8-3C50D956BACE}"/>
    <cellStyle name="Normal 33 7 7 5" xfId="34755" xr:uid="{34C3463F-CE9D-45A0-98C7-F3D05EF4C26F}"/>
    <cellStyle name="Normal 33 7 7 6" xfId="34756" xr:uid="{97F68A4F-2D8E-40E8-8C78-010510BF4225}"/>
    <cellStyle name="Normal 33 7 8" xfId="34757" xr:uid="{6361AE2E-B11F-46BF-AA26-5739CA146315}"/>
    <cellStyle name="Normal 33 7 8 2" xfId="34758" xr:uid="{9BF1534A-B95A-459F-B8D7-FEC352612312}"/>
    <cellStyle name="Normal 33 7 8 3" xfId="34759" xr:uid="{BCA6877C-9256-4FB2-BD59-34A3D03E7E41}"/>
    <cellStyle name="Normal 33 7 8 4" xfId="34760" xr:uid="{DEB27972-A402-4468-BFCB-04199276DB90}"/>
    <cellStyle name="Normal 33 7 8 5" xfId="34761" xr:uid="{ADE2A861-E2FB-433E-8DBD-68397FC122DB}"/>
    <cellStyle name="Normal 33 7 8 6" xfId="34762" xr:uid="{56F56C43-B34C-43A0-BEFF-63BFA9588790}"/>
    <cellStyle name="Normal 33 7 9" xfId="34763" xr:uid="{9D9F9E43-5959-4765-90DB-757171246634}"/>
    <cellStyle name="Normal 33 8" xfId="34764" xr:uid="{D12178D7-83DE-4ADE-BA04-84742A218D92}"/>
    <cellStyle name="Normal 33 8 10" xfId="34765" xr:uid="{B5AFED44-12EC-4CD1-A3F6-A509EEB47CDE}"/>
    <cellStyle name="Normal 33 8 11" xfId="34766" xr:uid="{37FD26F9-0936-4220-A9E6-3D93031A7FA9}"/>
    <cellStyle name="Normal 33 8 12" xfId="34767" xr:uid="{C2D63D9C-40D2-4A0A-81C7-9274DBFA50BF}"/>
    <cellStyle name="Normal 33 8 13" xfId="34768" xr:uid="{FC4A237C-0A19-4E82-8319-F876781F8AF0}"/>
    <cellStyle name="Normal 33 8 2" xfId="34769" xr:uid="{60A13FDB-C20D-4418-AC5F-107088C3CA7D}"/>
    <cellStyle name="Normal 33 8 2 2" xfId="34770" xr:uid="{CC142127-AF8B-44FD-8447-FA5520D19785}"/>
    <cellStyle name="Normal 33 8 2 3" xfId="34771" xr:uid="{DBBBFDEE-9CD9-476D-B382-F9715EA78708}"/>
    <cellStyle name="Normal 33 8 2 4" xfId="34772" xr:uid="{68486018-E040-478E-B8B3-D210573FADDF}"/>
    <cellStyle name="Normal 33 8 2 5" xfId="34773" xr:uid="{F67D4438-AA06-4537-BF31-3A8D6A6C5B36}"/>
    <cellStyle name="Normal 33 8 2 6" xfId="34774" xr:uid="{189C8054-D2AE-4331-AA74-E1898651F350}"/>
    <cellStyle name="Normal 33 8 3" xfId="34775" xr:uid="{393C5C7A-51BC-4F98-9B75-E2728B7676EF}"/>
    <cellStyle name="Normal 33 8 3 2" xfId="34776" xr:uid="{64AFCEAB-3A1A-4508-A1D8-C293FBCC33C0}"/>
    <cellStyle name="Normal 33 8 3 3" xfId="34777" xr:uid="{4BC60CD4-452B-4712-9429-51870730D885}"/>
    <cellStyle name="Normal 33 8 3 4" xfId="34778" xr:uid="{E5504F48-0604-4D86-9D45-FBD45E9E686E}"/>
    <cellStyle name="Normal 33 8 3 5" xfId="34779" xr:uid="{DA3F7A04-CC57-4337-9400-6B8A936F4C7A}"/>
    <cellStyle name="Normal 33 8 3 6" xfId="34780" xr:uid="{D5CDD2B6-842C-455F-B51F-4AAB712A2B98}"/>
    <cellStyle name="Normal 33 8 4" xfId="34781" xr:uid="{08CEC7AD-8F20-467A-9C97-33536ED42152}"/>
    <cellStyle name="Normal 33 8 4 2" xfId="34782" xr:uid="{8E23B589-655A-4476-BE7E-52D070934325}"/>
    <cellStyle name="Normal 33 8 4 3" xfId="34783" xr:uid="{32831201-464C-4439-810D-EE0BF4467DAE}"/>
    <cellStyle name="Normal 33 8 4 4" xfId="34784" xr:uid="{7E4B077D-7A40-4897-AB36-218770FD49D1}"/>
    <cellStyle name="Normal 33 8 4 5" xfId="34785" xr:uid="{7DE07CE4-9888-4DC0-A7AE-7739ABBFF376}"/>
    <cellStyle name="Normal 33 8 4 6" xfId="34786" xr:uid="{371D2255-EEEF-407A-A89C-248EB3B5F8FF}"/>
    <cellStyle name="Normal 33 8 5" xfId="34787" xr:uid="{B16DAF6C-9D8C-4B06-A369-85272FC4FF76}"/>
    <cellStyle name="Normal 33 8 5 2" xfId="34788" xr:uid="{9F0A6B96-A2CD-4D13-A115-B00F097FCF8F}"/>
    <cellStyle name="Normal 33 8 5 3" xfId="34789" xr:uid="{BB848FB8-5755-41ED-8CE6-67FF3257A564}"/>
    <cellStyle name="Normal 33 8 5 4" xfId="34790" xr:uid="{9156B8FF-C986-4FE3-B048-1342BA9AB0CF}"/>
    <cellStyle name="Normal 33 8 5 5" xfId="34791" xr:uid="{21672E04-DD4D-4D9D-8DA6-CADD32ABE9DE}"/>
    <cellStyle name="Normal 33 8 5 6" xfId="34792" xr:uid="{C20E3856-BB03-4481-8573-1678DC882EAE}"/>
    <cellStyle name="Normal 33 8 6" xfId="34793" xr:uid="{BDBDCFFF-34E3-49B1-A95B-E3E45F1B0E46}"/>
    <cellStyle name="Normal 33 8 6 2" xfId="34794" xr:uid="{D9F76E7A-DEB3-400A-8817-994EB9535F57}"/>
    <cellStyle name="Normal 33 8 6 3" xfId="34795" xr:uid="{668C6AAF-1C51-41DE-AC44-50A0E0B81D9A}"/>
    <cellStyle name="Normal 33 8 6 4" xfId="34796" xr:uid="{A4490E81-6F5E-46B8-AEF0-362E95ACC96D}"/>
    <cellStyle name="Normal 33 8 6 5" xfId="34797" xr:uid="{BC6D7FF3-7BD9-43FD-B18C-C02F31B24F09}"/>
    <cellStyle name="Normal 33 8 6 6" xfId="34798" xr:uid="{9AC6AAFD-DE4A-4D8C-B5BE-9926758C8398}"/>
    <cellStyle name="Normal 33 8 7" xfId="34799" xr:uid="{EDCD01F5-1352-4B41-883E-3576B63296E4}"/>
    <cellStyle name="Normal 33 8 7 2" xfId="34800" xr:uid="{2F5C7171-7DAB-4151-8639-E0573699614D}"/>
    <cellStyle name="Normal 33 8 7 3" xfId="34801" xr:uid="{64838568-D66A-47B6-BCF7-EBECE0E82FA2}"/>
    <cellStyle name="Normal 33 8 7 4" xfId="34802" xr:uid="{16F45225-5DBC-4E50-9291-630A44A8059F}"/>
    <cellStyle name="Normal 33 8 7 5" xfId="34803" xr:uid="{A39DD226-77A2-43C4-A648-DF8D96BC1DF8}"/>
    <cellStyle name="Normal 33 8 7 6" xfId="34804" xr:uid="{1744A5F1-76A3-4F37-8EC1-448B35D08C9D}"/>
    <cellStyle name="Normal 33 8 8" xfId="34805" xr:uid="{42233CE9-CB71-4020-BC8D-C2291AE87DEE}"/>
    <cellStyle name="Normal 33 8 8 2" xfId="34806" xr:uid="{FCEE6BDE-7DA9-438A-A7B6-7221215FBCB6}"/>
    <cellStyle name="Normal 33 8 8 3" xfId="34807" xr:uid="{9ADB6023-9BB9-44D4-9EDC-563B45721211}"/>
    <cellStyle name="Normal 33 8 8 4" xfId="34808" xr:uid="{C4CEAC3E-576C-4682-A3B0-5A8131FA2FFE}"/>
    <cellStyle name="Normal 33 8 8 5" xfId="34809" xr:uid="{A0422B60-0BE5-4484-ABD8-95B405E2A75A}"/>
    <cellStyle name="Normal 33 8 8 6" xfId="34810" xr:uid="{EE90DD66-8C18-407D-81F5-10B252D5FD14}"/>
    <cellStyle name="Normal 33 8 9" xfId="34811" xr:uid="{184F817E-1527-4ACE-950C-2E4B33B7E62D}"/>
    <cellStyle name="Normal 33 9" xfId="34812" xr:uid="{120F69CC-FAEF-4318-90BF-4B3FB6C6C1B1}"/>
    <cellStyle name="Normal 33 9 10" xfId="34813" xr:uid="{0CD7B631-48C6-48F4-BDF6-ECB59340D64C}"/>
    <cellStyle name="Normal 33 9 11" xfId="34814" xr:uid="{C31DE739-2FEA-4BD1-82E5-0D101C121FE0}"/>
    <cellStyle name="Normal 33 9 12" xfId="34815" xr:uid="{7F85C9E7-394E-4D34-9581-A6FB89DE17F3}"/>
    <cellStyle name="Normal 33 9 13" xfId="34816" xr:uid="{E6D24F72-4255-4F80-9842-2D6DCF3EC626}"/>
    <cellStyle name="Normal 33 9 2" xfId="34817" xr:uid="{BF538279-983F-48BD-AFEF-FC12005B7F21}"/>
    <cellStyle name="Normal 33 9 2 2" xfId="34818" xr:uid="{CE8AAA7C-E6C1-43B0-89C7-21FC64A58AED}"/>
    <cellStyle name="Normal 33 9 2 3" xfId="34819" xr:uid="{C6870758-F121-48CC-87A6-C39FE1CFCCBE}"/>
    <cellStyle name="Normal 33 9 2 4" xfId="34820" xr:uid="{C1C6E3A7-01AD-483D-8BF9-279F50EE8F53}"/>
    <cellStyle name="Normal 33 9 2 5" xfId="34821" xr:uid="{4D5EF176-0018-42A0-B9D7-F9F2EC3C5B06}"/>
    <cellStyle name="Normal 33 9 2 6" xfId="34822" xr:uid="{51209678-0D83-4832-91FA-AC2E01755B1B}"/>
    <cellStyle name="Normal 33 9 3" xfId="34823" xr:uid="{0EDC793E-C016-4F91-8453-9F57593C0734}"/>
    <cellStyle name="Normal 33 9 3 2" xfId="34824" xr:uid="{6B2AEDEB-1868-47D7-B2B8-E2A2A3598442}"/>
    <cellStyle name="Normal 33 9 3 3" xfId="34825" xr:uid="{CF1811DD-69CE-4E50-937C-CB15FAD3AA7F}"/>
    <cellStyle name="Normal 33 9 3 4" xfId="34826" xr:uid="{6E3A02C6-E53B-41E2-B0F8-0FA6510BFF8B}"/>
    <cellStyle name="Normal 33 9 3 5" xfId="34827" xr:uid="{A95E9F5C-2F36-42BE-A291-06C926F8D21E}"/>
    <cellStyle name="Normal 33 9 3 6" xfId="34828" xr:uid="{88A2FB89-83CB-4E0B-A3AA-DF566656ADE4}"/>
    <cellStyle name="Normal 33 9 4" xfId="34829" xr:uid="{6E3EEC3B-5BFD-4BFA-97AD-7F2616CDD11A}"/>
    <cellStyle name="Normal 33 9 4 2" xfId="34830" xr:uid="{FC2CF9E5-86EE-4926-86E4-35D55B1E49F2}"/>
    <cellStyle name="Normal 33 9 4 3" xfId="34831" xr:uid="{BB0CA345-EF07-4519-9F32-885533A6956E}"/>
    <cellStyle name="Normal 33 9 4 4" xfId="34832" xr:uid="{3658BD13-037F-4716-A76F-DA6547B4EEAC}"/>
    <cellStyle name="Normal 33 9 4 5" xfId="34833" xr:uid="{1DFD5D4D-E73D-4FD1-8F43-25BA77FF44E9}"/>
    <cellStyle name="Normal 33 9 4 6" xfId="34834" xr:uid="{E9F5B150-AFDE-4BC6-A80F-A17EE56ABBCF}"/>
    <cellStyle name="Normal 33 9 5" xfId="34835" xr:uid="{3D97C23C-7F74-463F-A085-44843574A8E1}"/>
    <cellStyle name="Normal 33 9 5 2" xfId="34836" xr:uid="{FCEF1CE3-1DCD-4701-A384-F9A372F65EE0}"/>
    <cellStyle name="Normal 33 9 5 3" xfId="34837" xr:uid="{481E3D4F-E43F-42CC-9BEC-D0296A331065}"/>
    <cellStyle name="Normal 33 9 5 4" xfId="34838" xr:uid="{721C8E24-8EFC-4C6B-B1C6-6DBB7529A307}"/>
    <cellStyle name="Normal 33 9 5 5" xfId="34839" xr:uid="{29C3D6EE-8645-4860-8303-F8BBB97B3798}"/>
    <cellStyle name="Normal 33 9 5 6" xfId="34840" xr:uid="{A5B6F13C-C903-4484-825E-957BBAE1FA2A}"/>
    <cellStyle name="Normal 33 9 6" xfId="34841" xr:uid="{756201CC-2204-432A-B305-18972B120FCA}"/>
    <cellStyle name="Normal 33 9 6 2" xfId="34842" xr:uid="{9726F00F-6E2F-450A-BB73-99668BE10A86}"/>
    <cellStyle name="Normal 33 9 6 3" xfId="34843" xr:uid="{2D9273F9-9C33-43D2-9384-8CA85355E694}"/>
    <cellStyle name="Normal 33 9 6 4" xfId="34844" xr:uid="{46AD845B-631E-4255-9393-8D5BBFA2B7A4}"/>
    <cellStyle name="Normal 33 9 6 5" xfId="34845" xr:uid="{F979573C-9676-4BB0-AD8F-C1E77FDB672A}"/>
    <cellStyle name="Normal 33 9 6 6" xfId="34846" xr:uid="{5BE22A28-3E0D-4F60-937A-3D196C1EE2D0}"/>
    <cellStyle name="Normal 33 9 7" xfId="34847" xr:uid="{BAE54EB5-EBDB-4B0E-8065-A91CB7FD2912}"/>
    <cellStyle name="Normal 33 9 7 2" xfId="34848" xr:uid="{4A276C2C-4187-49FC-A20B-07C31C950DB9}"/>
    <cellStyle name="Normal 33 9 7 3" xfId="34849" xr:uid="{ECEC74B9-6AAB-48A7-8AE0-17BFFD0EE1BD}"/>
    <cellStyle name="Normal 33 9 7 4" xfId="34850" xr:uid="{D1DD432F-36F8-4FE9-81EE-B1B508A33329}"/>
    <cellStyle name="Normal 33 9 7 5" xfId="34851" xr:uid="{94135B55-20FF-47EB-89AE-909C8CFA74F8}"/>
    <cellStyle name="Normal 33 9 7 6" xfId="34852" xr:uid="{14573CE1-30D3-438B-984A-1062BCFBE27B}"/>
    <cellStyle name="Normal 33 9 8" xfId="34853" xr:uid="{FD85AD33-62D1-4D96-B290-A5AF2467750B}"/>
    <cellStyle name="Normal 33 9 8 2" xfId="34854" xr:uid="{DBF553BB-0DE1-471E-8D21-DC67B4949FF5}"/>
    <cellStyle name="Normal 33 9 8 3" xfId="34855" xr:uid="{878A8140-CD5D-4ACF-B285-57D2742612A5}"/>
    <cellStyle name="Normal 33 9 8 4" xfId="34856" xr:uid="{2B0F3EB8-6E40-41AF-8A9D-A0ED9FA7788D}"/>
    <cellStyle name="Normal 33 9 8 5" xfId="34857" xr:uid="{DD8A5020-15AE-4ED9-B1B4-A7FF88882142}"/>
    <cellStyle name="Normal 33 9 8 6" xfId="34858" xr:uid="{4A52DB46-7F95-4000-8251-9C482DA14526}"/>
    <cellStyle name="Normal 33 9 9" xfId="34859" xr:uid="{8A6F5062-6ED6-436E-9167-3458D9E9D595}"/>
    <cellStyle name="Normal 34" xfId="34860" xr:uid="{701FE132-7AD2-4DFD-8BB2-1081944D95E5}"/>
    <cellStyle name="Normal 34 10" xfId="34861" xr:uid="{32053538-B564-49AD-A626-0362970F5AF5}"/>
    <cellStyle name="Normal 34 10 10" xfId="34862" xr:uid="{055DE89F-EEF1-4A52-B9E6-C72B8533C2B3}"/>
    <cellStyle name="Normal 34 10 11" xfId="34863" xr:uid="{762BBD8B-715C-4B94-8886-4D6B6D38812D}"/>
    <cellStyle name="Normal 34 10 12" xfId="34864" xr:uid="{48F50E7D-4E42-46D4-9DB8-0945BA7B785E}"/>
    <cellStyle name="Normal 34 10 13" xfId="34865" xr:uid="{1E319198-9123-4CEF-A759-7078BB8542C3}"/>
    <cellStyle name="Normal 34 10 2" xfId="34866" xr:uid="{64E9177B-B32C-42EF-86BC-4F9B8C91F13F}"/>
    <cellStyle name="Normal 34 10 2 2" xfId="34867" xr:uid="{C5EBD531-827A-49FA-8080-1BDA5D1FC214}"/>
    <cellStyle name="Normal 34 10 2 3" xfId="34868" xr:uid="{1DC9CF32-E3D7-4F1A-8D32-276C202512DF}"/>
    <cellStyle name="Normal 34 10 2 4" xfId="34869" xr:uid="{FE6F10D7-979D-40FF-B8AC-65C5E587EB50}"/>
    <cellStyle name="Normal 34 10 2 5" xfId="34870" xr:uid="{D274D28B-467D-47ED-99A6-0FF3C12076A5}"/>
    <cellStyle name="Normal 34 10 2 6" xfId="34871" xr:uid="{4C946163-D587-4B51-A00B-B68FA57307AF}"/>
    <cellStyle name="Normal 34 10 3" xfId="34872" xr:uid="{1BC3960E-BA3E-4668-AE6D-B3DF574791BB}"/>
    <cellStyle name="Normal 34 10 3 2" xfId="34873" xr:uid="{FE4EB023-C540-4FF9-AF28-6E656FFE8AB1}"/>
    <cellStyle name="Normal 34 10 3 3" xfId="34874" xr:uid="{99B8733F-C2C0-4356-9E32-9E1DED55107B}"/>
    <cellStyle name="Normal 34 10 3 4" xfId="34875" xr:uid="{00203D83-65CA-4280-97B5-30545AF620AC}"/>
    <cellStyle name="Normal 34 10 3 5" xfId="34876" xr:uid="{F313F4E0-35EF-4D74-A1D3-4801022A7097}"/>
    <cellStyle name="Normal 34 10 3 6" xfId="34877" xr:uid="{DFCDC772-6C1B-43EC-8E43-43D3D131BDA2}"/>
    <cellStyle name="Normal 34 10 4" xfId="34878" xr:uid="{EF772A85-E9CF-467A-AF1B-F5EC30B4DCE7}"/>
    <cellStyle name="Normal 34 10 4 2" xfId="34879" xr:uid="{A510A460-AA59-4095-8088-EA57780A9BAC}"/>
    <cellStyle name="Normal 34 10 4 3" xfId="34880" xr:uid="{45582B52-3A35-4709-B76D-DF147E5FA6B4}"/>
    <cellStyle name="Normal 34 10 4 4" xfId="34881" xr:uid="{5C2D9BCB-7FF7-4A36-A668-3DCA436FB876}"/>
    <cellStyle name="Normal 34 10 4 5" xfId="34882" xr:uid="{7F72FEC5-531A-431E-BBB5-878868110741}"/>
    <cellStyle name="Normal 34 10 4 6" xfId="34883" xr:uid="{1DCE2934-BE98-4F98-8911-5B0458F55FDF}"/>
    <cellStyle name="Normal 34 10 5" xfId="34884" xr:uid="{48FFD3D8-BFC3-4FF8-B81E-65FF2662A98A}"/>
    <cellStyle name="Normal 34 10 5 2" xfId="34885" xr:uid="{631A7E9C-9FD6-459D-9AA2-0A38189A3685}"/>
    <cellStyle name="Normal 34 10 5 3" xfId="34886" xr:uid="{FD3FD65A-8597-4F97-8531-08A6887429C6}"/>
    <cellStyle name="Normal 34 10 5 4" xfId="34887" xr:uid="{1E9C322C-5034-4E72-9A7A-F797D9CBFADF}"/>
    <cellStyle name="Normal 34 10 5 5" xfId="34888" xr:uid="{43A354DB-2A5C-4699-83E9-3EFFDB2297FD}"/>
    <cellStyle name="Normal 34 10 5 6" xfId="34889" xr:uid="{50AD2687-1806-45A6-89FF-EC9903C5F6FB}"/>
    <cellStyle name="Normal 34 10 6" xfId="34890" xr:uid="{BE2D9410-256C-4869-98B8-FC83EB459A4D}"/>
    <cellStyle name="Normal 34 10 6 2" xfId="34891" xr:uid="{F3176423-233C-408C-8B4B-961214413FA4}"/>
    <cellStyle name="Normal 34 10 6 3" xfId="34892" xr:uid="{0DFF4E02-D9DC-48E1-840D-5B9F33D74C0E}"/>
    <cellStyle name="Normal 34 10 6 4" xfId="34893" xr:uid="{61CD2534-56B3-4DBE-AE18-5344D24F42DB}"/>
    <cellStyle name="Normal 34 10 6 5" xfId="34894" xr:uid="{93DBA09C-F43E-4BAC-9099-D914F2A09F53}"/>
    <cellStyle name="Normal 34 10 6 6" xfId="34895" xr:uid="{B198C7A0-A2CE-4EE4-9A31-5E6F34D51027}"/>
    <cellStyle name="Normal 34 10 7" xfId="34896" xr:uid="{C9984DAD-C91B-4109-8FC7-3D2772FAEBC8}"/>
    <cellStyle name="Normal 34 10 7 2" xfId="34897" xr:uid="{55591B5A-86B1-4159-B04D-1176AA8A9AC9}"/>
    <cellStyle name="Normal 34 10 7 3" xfId="34898" xr:uid="{5FF2C7E9-CD4D-476E-8F97-C9238680311D}"/>
    <cellStyle name="Normal 34 10 7 4" xfId="34899" xr:uid="{11B084AC-BD86-4F75-A988-A4172A042913}"/>
    <cellStyle name="Normal 34 10 7 5" xfId="34900" xr:uid="{52399B80-3422-4B7F-97ED-10C10FCF8AF9}"/>
    <cellStyle name="Normal 34 10 7 6" xfId="34901" xr:uid="{A9613E88-389F-4FD9-A80E-A29E11110B6E}"/>
    <cellStyle name="Normal 34 10 8" xfId="34902" xr:uid="{64901D9B-F6A1-40A5-AC40-2369D3253141}"/>
    <cellStyle name="Normal 34 10 8 2" xfId="34903" xr:uid="{B3307A3E-9030-402A-8DC7-298AFB9774FA}"/>
    <cellStyle name="Normal 34 10 8 3" xfId="34904" xr:uid="{9E15A9B5-3C1B-4DF5-98FB-7C2B6CAF0958}"/>
    <cellStyle name="Normal 34 10 8 4" xfId="34905" xr:uid="{3E0C341A-761D-4B32-AB6B-18271B0818EF}"/>
    <cellStyle name="Normal 34 10 8 5" xfId="34906" xr:uid="{2FB293AF-2F1A-4361-9645-94680A28AF93}"/>
    <cellStyle name="Normal 34 10 8 6" xfId="34907" xr:uid="{34AA7A95-5719-4EA5-89F7-967E006EF4CA}"/>
    <cellStyle name="Normal 34 10 9" xfId="34908" xr:uid="{D06A2554-328C-45B1-8CB1-285832132AE7}"/>
    <cellStyle name="Normal 34 11" xfId="34909" xr:uid="{FEDC756B-9577-4AAE-AD8C-401CDC849F3D}"/>
    <cellStyle name="Normal 34 11 10" xfId="34910" xr:uid="{276158E5-EEE8-4AD1-B2D6-653C41C3E117}"/>
    <cellStyle name="Normal 34 11 11" xfId="34911" xr:uid="{E8ABAD8D-48BC-44CB-9E35-F8CB4C042ADC}"/>
    <cellStyle name="Normal 34 11 12" xfId="34912" xr:uid="{560EEC21-66AE-41AE-8A61-80EE2FE464AC}"/>
    <cellStyle name="Normal 34 11 13" xfId="34913" xr:uid="{ED2EB4A9-36F9-4816-9638-E3DA369AC576}"/>
    <cellStyle name="Normal 34 11 2" xfId="34914" xr:uid="{27ACBBE3-47FF-4D55-8FF7-5D4F6002C0E9}"/>
    <cellStyle name="Normal 34 11 2 2" xfId="34915" xr:uid="{DAEE4345-61C7-47D0-B0F0-7897123F7B69}"/>
    <cellStyle name="Normal 34 11 2 3" xfId="34916" xr:uid="{09770F7A-F0C7-42CE-ADFD-149C49DAC560}"/>
    <cellStyle name="Normal 34 11 2 4" xfId="34917" xr:uid="{B5685DB1-AD68-4EE6-890E-8F0F614D84E6}"/>
    <cellStyle name="Normal 34 11 2 5" xfId="34918" xr:uid="{D74F7C76-2F42-4A57-ADDB-7984387DB736}"/>
    <cellStyle name="Normal 34 11 2 6" xfId="34919" xr:uid="{4A9962D0-0901-4488-A3FC-7DDCF3681E37}"/>
    <cellStyle name="Normal 34 11 3" xfId="34920" xr:uid="{4340FE80-99F1-449C-9C3B-4DDC4EE3541C}"/>
    <cellStyle name="Normal 34 11 3 2" xfId="34921" xr:uid="{D543E5E5-984D-474D-BDD7-373893FEA10E}"/>
    <cellStyle name="Normal 34 11 3 3" xfId="34922" xr:uid="{CF712525-34D9-4D90-99C5-44E6F3BFFE2D}"/>
    <cellStyle name="Normal 34 11 3 4" xfId="34923" xr:uid="{2FC99501-643D-4C20-B002-9ACA2625A0F0}"/>
    <cellStyle name="Normal 34 11 3 5" xfId="34924" xr:uid="{EB2031A2-90C0-4C19-8722-256F289BFCC7}"/>
    <cellStyle name="Normal 34 11 3 6" xfId="34925" xr:uid="{6E3A239F-E250-4121-B160-B736735EB5D7}"/>
    <cellStyle name="Normal 34 11 4" xfId="34926" xr:uid="{287D551A-5E90-4EF7-85F9-03D2F0D019AA}"/>
    <cellStyle name="Normal 34 11 4 2" xfId="34927" xr:uid="{73AAB155-7226-42E3-A2CB-22D833C27E5C}"/>
    <cellStyle name="Normal 34 11 4 3" xfId="34928" xr:uid="{35825D7F-96F7-4039-8EF3-E1CA5AB68798}"/>
    <cellStyle name="Normal 34 11 4 4" xfId="34929" xr:uid="{98FD1301-EFA0-41BA-8044-4F5751BD176C}"/>
    <cellStyle name="Normal 34 11 4 5" xfId="34930" xr:uid="{7A33EE87-3B91-4CE5-9C4A-458DD8AFDAB1}"/>
    <cellStyle name="Normal 34 11 4 6" xfId="34931" xr:uid="{091D710A-6840-476E-9291-31B2CA52FEA4}"/>
    <cellStyle name="Normal 34 11 5" xfId="34932" xr:uid="{81A3FF07-AE81-493E-A5B6-DF0BDD9B050D}"/>
    <cellStyle name="Normal 34 11 5 2" xfId="34933" xr:uid="{63105F0A-7489-43EB-9753-BE52C43AAAAC}"/>
    <cellStyle name="Normal 34 11 5 3" xfId="34934" xr:uid="{1E04E8DF-FD4D-4DF9-A0CC-4623544F803E}"/>
    <cellStyle name="Normal 34 11 5 4" xfId="34935" xr:uid="{40E68892-C12F-4E57-8E05-873986542705}"/>
    <cellStyle name="Normal 34 11 5 5" xfId="34936" xr:uid="{1F298067-DFBC-4980-8697-7BEE47EBAE17}"/>
    <cellStyle name="Normal 34 11 5 6" xfId="34937" xr:uid="{D3CFD3A7-BED3-4A15-BC6E-FA98B5F05A4E}"/>
    <cellStyle name="Normal 34 11 6" xfId="34938" xr:uid="{BA144582-54B0-4462-B705-E571863F271E}"/>
    <cellStyle name="Normal 34 11 6 2" xfId="34939" xr:uid="{99F2BC06-CB16-443D-8518-3555278718BF}"/>
    <cellStyle name="Normal 34 11 6 3" xfId="34940" xr:uid="{39723DD2-5FD1-4802-90A6-24CF21DE9479}"/>
    <cellStyle name="Normal 34 11 6 4" xfId="34941" xr:uid="{FB1234DA-38F8-4015-B15A-FE01835E1451}"/>
    <cellStyle name="Normal 34 11 6 5" xfId="34942" xr:uid="{BA3F306E-A1AB-4F6E-A3DA-12B23705F2C4}"/>
    <cellStyle name="Normal 34 11 6 6" xfId="34943" xr:uid="{185548CA-9F27-4D5C-B471-D81EAFD29E50}"/>
    <cellStyle name="Normal 34 11 7" xfId="34944" xr:uid="{D618C5BD-8349-46DE-AF1D-0BCCEAF403D4}"/>
    <cellStyle name="Normal 34 11 7 2" xfId="34945" xr:uid="{2AB62A7A-51EF-48D1-A356-87A3D392A2DA}"/>
    <cellStyle name="Normal 34 11 7 3" xfId="34946" xr:uid="{82270DC2-0463-4EF5-8F25-F21D4BC94F34}"/>
    <cellStyle name="Normal 34 11 7 4" xfId="34947" xr:uid="{B26F6CC3-0E0C-4EF6-B340-7F6E73E1DE6A}"/>
    <cellStyle name="Normal 34 11 7 5" xfId="34948" xr:uid="{EBF158EF-70BA-4ABE-9725-ABF7B45AD3AA}"/>
    <cellStyle name="Normal 34 11 7 6" xfId="34949" xr:uid="{917B2255-A9A0-4F3B-8128-4F7747E7B15F}"/>
    <cellStyle name="Normal 34 11 8" xfId="34950" xr:uid="{69CA8C65-C30F-4C96-92A8-89E435639C2C}"/>
    <cellStyle name="Normal 34 11 8 2" xfId="34951" xr:uid="{0B6B46B9-CB3F-42DA-A202-ACD89AAEF1E4}"/>
    <cellStyle name="Normal 34 11 8 3" xfId="34952" xr:uid="{BF961A56-1BD9-4CD6-BE9B-E652A0F2E1CA}"/>
    <cellStyle name="Normal 34 11 8 4" xfId="34953" xr:uid="{956CBC5B-5721-4E06-8FE6-273A419D8436}"/>
    <cellStyle name="Normal 34 11 8 5" xfId="34954" xr:uid="{7D506269-0FBC-4368-A1B1-B86C2EA4925A}"/>
    <cellStyle name="Normal 34 11 8 6" xfId="34955" xr:uid="{51E467D6-36ED-469F-90A5-465D2064D29F}"/>
    <cellStyle name="Normal 34 11 9" xfId="34956" xr:uid="{1A5AA812-CA4C-4744-8BBF-55B661E6B130}"/>
    <cellStyle name="Normal 34 12" xfId="34957" xr:uid="{39FB885F-69DD-48CE-B24C-A7A0DC33F6D3}"/>
    <cellStyle name="Normal 34 12 2" xfId="34958" xr:uid="{FC8E4BDE-BB0D-4D45-8C85-D87EDFAEA3D0}"/>
    <cellStyle name="Normal 34 12 3" xfId="34959" xr:uid="{0D28EA80-0E9F-49BD-B156-6855339A957E}"/>
    <cellStyle name="Normal 34 12 4" xfId="34960" xr:uid="{B7F48986-C153-46A2-A872-77D0BD156DF8}"/>
    <cellStyle name="Normal 34 12 5" xfId="34961" xr:uid="{0DDDB5DB-5B98-4CF5-A319-F35252F0F7D7}"/>
    <cellStyle name="Normal 34 12 6" xfId="34962" xr:uid="{92B51004-985A-4597-AF58-47BCF0F639EA}"/>
    <cellStyle name="Normal 34 13" xfId="34963" xr:uid="{599DBE82-5D64-4D2C-A06B-EE2FA7FD2BD0}"/>
    <cellStyle name="Normal 34 13 2" xfId="34964" xr:uid="{B3078A6A-3470-4C8F-8F02-B9F1E7D85EF8}"/>
    <cellStyle name="Normal 34 13 3" xfId="34965" xr:uid="{7A1AC83E-3B14-49FC-9E0B-C5715321C391}"/>
    <cellStyle name="Normal 34 13 4" xfId="34966" xr:uid="{B9452367-C0F2-4337-ABAC-2640ADF19F94}"/>
    <cellStyle name="Normal 34 13 5" xfId="34967" xr:uid="{E4A6B6B9-3E81-477C-B1E6-F9D568E3433A}"/>
    <cellStyle name="Normal 34 13 6" xfId="34968" xr:uid="{4B92EA39-215C-4D2B-8252-B8A7607608A3}"/>
    <cellStyle name="Normal 34 14" xfId="34969" xr:uid="{1A33A922-F465-4ABE-B88F-61020BFB9A9F}"/>
    <cellStyle name="Normal 34 14 2" xfId="34970" xr:uid="{50CE8A45-F1E1-4919-941D-B07BA2590468}"/>
    <cellStyle name="Normal 34 14 3" xfId="34971" xr:uid="{D26E9FD1-1891-4C1A-B166-5F39A6D72882}"/>
    <cellStyle name="Normal 34 14 4" xfId="34972" xr:uid="{5795C8C7-D5E1-4640-B227-F28EF83D2686}"/>
    <cellStyle name="Normal 34 14 5" xfId="34973" xr:uid="{79BB5304-C64B-4F3D-A17F-E36394DAF378}"/>
    <cellStyle name="Normal 34 14 6" xfId="34974" xr:uid="{AD1E3529-D224-47EE-8AB8-A62E84BB15C4}"/>
    <cellStyle name="Normal 34 15" xfId="34975" xr:uid="{BF0D31B5-0EB7-4B1D-B745-E32A28B182AE}"/>
    <cellStyle name="Normal 34 15 2" xfId="34976" xr:uid="{98C552C4-70AD-455F-89A9-0F4F891D6B90}"/>
    <cellStyle name="Normal 34 15 3" xfId="34977" xr:uid="{D17949E0-C385-45D5-9631-AADDE9BC034C}"/>
    <cellStyle name="Normal 34 15 4" xfId="34978" xr:uid="{49F0A656-C828-486E-872D-DE754ABD3D07}"/>
    <cellStyle name="Normal 34 15 5" xfId="34979" xr:uid="{D1366C06-183C-4821-99B3-3994B8BC5ECE}"/>
    <cellStyle name="Normal 34 15 6" xfId="34980" xr:uid="{9CE33625-7BFA-4207-A26D-A13F97EB44EC}"/>
    <cellStyle name="Normal 34 16" xfId="34981" xr:uid="{29038646-83EB-4D5C-A263-06E113CC6889}"/>
    <cellStyle name="Normal 34 16 2" xfId="34982" xr:uid="{81D77140-63DC-4021-A90F-014ADC9EDC09}"/>
    <cellStyle name="Normal 34 16 3" xfId="34983" xr:uid="{C9B43606-A9BA-4EF3-A902-CBA2E920F0E9}"/>
    <cellStyle name="Normal 34 16 4" xfId="34984" xr:uid="{D49BF629-B099-4D15-8E04-5789BDAC6A50}"/>
    <cellStyle name="Normal 34 16 5" xfId="34985" xr:uid="{27635042-F663-49DD-A6B1-4CF8B2353789}"/>
    <cellStyle name="Normal 34 16 6" xfId="34986" xr:uid="{1D362A73-1388-4776-9BDD-C0F7EA73FFCF}"/>
    <cellStyle name="Normal 34 17" xfId="34987" xr:uid="{94C1D376-B10F-4B23-B765-0A226F90BAC4}"/>
    <cellStyle name="Normal 34 17 2" xfId="34988" xr:uid="{6517C94A-07A3-4F5D-BD0E-F78135FAB629}"/>
    <cellStyle name="Normal 34 17 3" xfId="34989" xr:uid="{1A487B6C-CD36-40C7-ABCC-1907B7563F0E}"/>
    <cellStyle name="Normal 34 17 4" xfId="34990" xr:uid="{020549A1-ED53-4F96-944D-FFA702996CCF}"/>
    <cellStyle name="Normal 34 17 5" xfId="34991" xr:uid="{443BC4CE-C689-4E5A-B73D-FE88A5B2845C}"/>
    <cellStyle name="Normal 34 17 6" xfId="34992" xr:uid="{6F914D19-2FB8-4906-A1BC-A2A136E1A557}"/>
    <cellStyle name="Normal 34 18" xfId="34993" xr:uid="{1151A5C1-48A4-4733-83D5-3F479AEC9228}"/>
    <cellStyle name="Normal 34 18 2" xfId="34994" xr:uid="{4C364756-8665-4A35-A9AE-5A5F31FE9A4A}"/>
    <cellStyle name="Normal 34 18 3" xfId="34995" xr:uid="{2189A9FF-6473-4B4F-9D92-82A0E695465D}"/>
    <cellStyle name="Normal 34 18 4" xfId="34996" xr:uid="{F252B98C-873D-4583-B73B-ED089ABA3528}"/>
    <cellStyle name="Normal 34 18 5" xfId="34997" xr:uid="{9223D3FA-DB3B-4FEE-A406-CE658EA1CDE7}"/>
    <cellStyle name="Normal 34 18 6" xfId="34998" xr:uid="{8DB854E3-52D5-4B3E-9417-42F22F96BF7A}"/>
    <cellStyle name="Normal 34 19" xfId="34999" xr:uid="{15046AE9-4AAC-41EA-9988-EA8D287C0783}"/>
    <cellStyle name="Normal 34 2" xfId="35000" xr:uid="{0B2DA340-3A1D-4B20-A116-F249BC5AD27F}"/>
    <cellStyle name="Normal 34 2 10" xfId="35001" xr:uid="{5B358744-A5AC-43B8-A15A-A6F0BFE3DC04}"/>
    <cellStyle name="Normal 34 2 11" xfId="35002" xr:uid="{67618FFD-EFD9-4CD7-AB7E-312409C81D5C}"/>
    <cellStyle name="Normal 34 2 12" xfId="35003" xr:uid="{A38AB549-F559-46A3-B7D8-862EA5369449}"/>
    <cellStyle name="Normal 34 2 13" xfId="35004" xr:uid="{4BA91F2C-1574-4AE1-84F9-2E032EB9104C}"/>
    <cellStyle name="Normal 34 2 2" xfId="35005" xr:uid="{10C7AF5D-1C66-4F12-9053-86EF409C7759}"/>
    <cellStyle name="Normal 34 2 2 2" xfId="35006" xr:uid="{39590994-1836-42CD-8C77-6112B16B6861}"/>
    <cellStyle name="Normal 34 2 2 3" xfId="35007" xr:uid="{676C1EF1-A0F3-4738-925A-9BFD4BF10D2C}"/>
    <cellStyle name="Normal 34 2 2 4" xfId="35008" xr:uid="{4E2C18EA-CEE9-4A8E-8F15-C11E09FC4F64}"/>
    <cellStyle name="Normal 34 2 2 5" xfId="35009" xr:uid="{D5DCB7BD-BBC5-4AF4-9736-0F67320C63BD}"/>
    <cellStyle name="Normal 34 2 2 6" xfId="35010" xr:uid="{D81C9B23-9E4A-47A6-A91F-4C274D5B99B9}"/>
    <cellStyle name="Normal 34 2 3" xfId="35011" xr:uid="{174728E4-39B3-486D-AC3A-2F61D672C0E5}"/>
    <cellStyle name="Normal 34 2 3 2" xfId="35012" xr:uid="{858A250D-0B16-4DA5-95E4-42FAD4E00F6D}"/>
    <cellStyle name="Normal 34 2 3 3" xfId="35013" xr:uid="{425DDE9C-BAD5-40BD-BCE7-457E130A6747}"/>
    <cellStyle name="Normal 34 2 3 4" xfId="35014" xr:uid="{5DB36D36-0DB0-4B83-B82F-B15AB6848DB8}"/>
    <cellStyle name="Normal 34 2 3 5" xfId="35015" xr:uid="{649F6CC6-85F7-4569-9B7F-0F63AA93ED1C}"/>
    <cellStyle name="Normal 34 2 3 6" xfId="35016" xr:uid="{72429AF8-A7C8-411A-B00F-A7C5AC2F5676}"/>
    <cellStyle name="Normal 34 2 4" xfId="35017" xr:uid="{F32FA8EF-568A-4AB1-AD94-6E6A97099CC5}"/>
    <cellStyle name="Normal 34 2 4 2" xfId="35018" xr:uid="{31AFF17D-258F-4071-8759-B21CCDAE5DD3}"/>
    <cellStyle name="Normal 34 2 4 3" xfId="35019" xr:uid="{83D33CC7-2CB9-45BB-93EB-FDE9BFEBB660}"/>
    <cellStyle name="Normal 34 2 4 4" xfId="35020" xr:uid="{98DF96BE-D745-4261-876A-C00BBD8AA4E7}"/>
    <cellStyle name="Normal 34 2 4 5" xfId="35021" xr:uid="{E13A8F03-605F-4B6B-ADDD-6B160BAA939D}"/>
    <cellStyle name="Normal 34 2 4 6" xfId="35022" xr:uid="{DED61ED8-6097-4985-9821-A20FEB745905}"/>
    <cellStyle name="Normal 34 2 5" xfId="35023" xr:uid="{71A86305-8731-4543-84AF-0F00C5B948E2}"/>
    <cellStyle name="Normal 34 2 5 2" xfId="35024" xr:uid="{9CF6D356-9C85-4EA9-957A-4FB0C4E9B56B}"/>
    <cellStyle name="Normal 34 2 5 3" xfId="35025" xr:uid="{379EE96D-FD55-4547-90EB-DD621B063FAB}"/>
    <cellStyle name="Normal 34 2 5 4" xfId="35026" xr:uid="{2835DC29-F9B1-4171-947F-66C76DDBC134}"/>
    <cellStyle name="Normal 34 2 5 5" xfId="35027" xr:uid="{0BCA3D64-B863-4385-9AA7-CB9D58F6E39C}"/>
    <cellStyle name="Normal 34 2 5 6" xfId="35028" xr:uid="{9B3D5E29-6BD3-442C-AB3A-869DA4AE5782}"/>
    <cellStyle name="Normal 34 2 6" xfId="35029" xr:uid="{2D50E823-5A9E-4F59-9104-9D05C0F9C1FB}"/>
    <cellStyle name="Normal 34 2 6 2" xfId="35030" xr:uid="{8FFE354F-A378-477C-B1C9-8F2144AE5A11}"/>
    <cellStyle name="Normal 34 2 6 3" xfId="35031" xr:uid="{50675842-FB27-467C-8E67-5E1BACFF1EE5}"/>
    <cellStyle name="Normal 34 2 6 4" xfId="35032" xr:uid="{2F641A76-023E-44D2-9162-A33CFDC4D984}"/>
    <cellStyle name="Normal 34 2 6 5" xfId="35033" xr:uid="{9EABC15B-43C3-48FA-A0FB-29424A679AF6}"/>
    <cellStyle name="Normal 34 2 6 6" xfId="35034" xr:uid="{599A252D-8F07-4032-987E-46FD807CE0E8}"/>
    <cellStyle name="Normal 34 2 7" xfId="35035" xr:uid="{0F49AC1B-7495-43CA-99FB-EF268D3F3578}"/>
    <cellStyle name="Normal 34 2 7 2" xfId="35036" xr:uid="{F2A90EE9-C220-46F5-AD1D-23100E1C07C7}"/>
    <cellStyle name="Normal 34 2 7 3" xfId="35037" xr:uid="{80F83618-6F6E-44FD-9D6D-3C5C2C25D8BE}"/>
    <cellStyle name="Normal 34 2 7 4" xfId="35038" xr:uid="{1A633EB0-3513-4BCD-86F5-B1D0D14A5C22}"/>
    <cellStyle name="Normal 34 2 7 5" xfId="35039" xr:uid="{B72F74B5-407F-4B59-8D9C-E1C3E3F4A8E9}"/>
    <cellStyle name="Normal 34 2 7 6" xfId="35040" xr:uid="{F7AAE5B9-7E03-4F27-A50D-CC3481D3448A}"/>
    <cellStyle name="Normal 34 2 8" xfId="35041" xr:uid="{CFAED342-5A22-47BE-B0D1-8BF700970321}"/>
    <cellStyle name="Normal 34 2 8 2" xfId="35042" xr:uid="{5A9E39A2-BEC1-4D3B-880A-F07C26DC2B84}"/>
    <cellStyle name="Normal 34 2 8 3" xfId="35043" xr:uid="{65D21C1C-EBFF-409D-858D-C9C51F0C8C23}"/>
    <cellStyle name="Normal 34 2 8 4" xfId="35044" xr:uid="{F2DC6568-BB08-4843-AC2F-EE745CCF4894}"/>
    <cellStyle name="Normal 34 2 8 5" xfId="35045" xr:uid="{735F7A42-7820-4677-AC1D-B3D08C40C77E}"/>
    <cellStyle name="Normal 34 2 8 6" xfId="35046" xr:uid="{1AD4DE64-B84F-4E27-94B7-00A29EAA04A7}"/>
    <cellStyle name="Normal 34 2 9" xfId="35047" xr:uid="{DE0FA24B-8C5D-4B5F-AF11-73CD1B3EBD2C}"/>
    <cellStyle name="Normal 34 20" xfId="35048" xr:uid="{2790A431-01F6-4889-9713-9FBCAAB87ED4}"/>
    <cellStyle name="Normal 34 21" xfId="35049" xr:uid="{AEF903F9-A1C2-4CD1-9ADE-9B8E98DD5D35}"/>
    <cellStyle name="Normal 34 22" xfId="35050" xr:uid="{85DFC7D8-08D7-4217-8583-B3ADE3CDD60D}"/>
    <cellStyle name="Normal 34 23" xfId="35051" xr:uid="{7657B3F6-84B0-4534-BD98-4BA5824C22B8}"/>
    <cellStyle name="Normal 34 3" xfId="35052" xr:uid="{66D92EF4-E4CC-484C-A348-660354A1BABB}"/>
    <cellStyle name="Normal 34 3 10" xfId="35053" xr:uid="{39D053F0-9F12-4A4B-A3B3-D622B209A1C3}"/>
    <cellStyle name="Normal 34 3 11" xfId="35054" xr:uid="{B562357F-3DFC-4C45-BACC-8EB18996D00E}"/>
    <cellStyle name="Normal 34 3 12" xfId="35055" xr:uid="{461DF4B8-B419-41A8-8875-9EB1BCB2EB90}"/>
    <cellStyle name="Normal 34 3 13" xfId="35056" xr:uid="{D35A14D7-622A-44CA-84DE-87C1405D708C}"/>
    <cellStyle name="Normal 34 3 2" xfId="35057" xr:uid="{5C5367B7-E72B-4900-B2E4-0A215CF29034}"/>
    <cellStyle name="Normal 34 3 2 2" xfId="35058" xr:uid="{FCEAE10F-79DD-41AD-BE83-3FEA29721914}"/>
    <cellStyle name="Normal 34 3 2 3" xfId="35059" xr:uid="{FDAA0F6A-D5FB-4B57-B5B6-9DFCC9F368BA}"/>
    <cellStyle name="Normal 34 3 2 4" xfId="35060" xr:uid="{E9051275-2FFB-49FC-A092-949DB74F907D}"/>
    <cellStyle name="Normal 34 3 2 5" xfId="35061" xr:uid="{403A5C29-8279-4F3C-9399-EEF69B9FD4B4}"/>
    <cellStyle name="Normal 34 3 2 6" xfId="35062" xr:uid="{621B7712-CD2C-49AB-BA2A-8DFC58E19ED6}"/>
    <cellStyle name="Normal 34 3 3" xfId="35063" xr:uid="{BEE01F5B-39EB-49B6-8097-C5BDEC68F779}"/>
    <cellStyle name="Normal 34 3 3 2" xfId="35064" xr:uid="{345FAF5C-625F-4DFA-B642-F089095C6FF2}"/>
    <cellStyle name="Normal 34 3 3 3" xfId="35065" xr:uid="{87AEF706-2D18-4EB3-9B38-A4AF7E424289}"/>
    <cellStyle name="Normal 34 3 3 4" xfId="35066" xr:uid="{A957EEF4-A41D-4F3B-8A00-1D00B293C0DF}"/>
    <cellStyle name="Normal 34 3 3 5" xfId="35067" xr:uid="{C4D88109-FF1A-4C2A-B5AD-3C951CC10511}"/>
    <cellStyle name="Normal 34 3 3 6" xfId="35068" xr:uid="{DBB1DA33-4BBC-4BAE-AB14-A5EC06D6C97F}"/>
    <cellStyle name="Normal 34 3 4" xfId="35069" xr:uid="{F2692AFA-44C7-4A22-9109-E6796EB2A8AD}"/>
    <cellStyle name="Normal 34 3 4 2" xfId="35070" xr:uid="{5643AFEC-8A92-4419-8716-EB0CBA7916D2}"/>
    <cellStyle name="Normal 34 3 4 3" xfId="35071" xr:uid="{BB9B0BA4-8DD1-4BD4-9484-7AB4B176F028}"/>
    <cellStyle name="Normal 34 3 4 4" xfId="35072" xr:uid="{2109DD0F-8C9A-410B-AC2E-071A66B71DA0}"/>
    <cellStyle name="Normal 34 3 4 5" xfId="35073" xr:uid="{66F011CF-FFB0-4287-AD59-533548FC65E9}"/>
    <cellStyle name="Normal 34 3 4 6" xfId="35074" xr:uid="{60CF6ABB-C176-45B8-BEA9-B02EB5F91711}"/>
    <cellStyle name="Normal 34 3 5" xfId="35075" xr:uid="{4706B09A-CE94-44F0-951F-5B69BB18AB4C}"/>
    <cellStyle name="Normal 34 3 5 2" xfId="35076" xr:uid="{79A8407C-2240-49A1-BA26-06ADEAAFD380}"/>
    <cellStyle name="Normal 34 3 5 3" xfId="35077" xr:uid="{8EFD2D5D-846D-437A-8BAD-EBBD5F13F262}"/>
    <cellStyle name="Normal 34 3 5 4" xfId="35078" xr:uid="{7ED6BD02-DBF0-4B70-85CC-C21AC250355F}"/>
    <cellStyle name="Normal 34 3 5 5" xfId="35079" xr:uid="{B760E937-AC42-4890-8279-805F3BE00D56}"/>
    <cellStyle name="Normal 34 3 5 6" xfId="35080" xr:uid="{4C8778BD-45F9-41AE-868A-FA4BE8070FB0}"/>
    <cellStyle name="Normal 34 3 6" xfId="35081" xr:uid="{9FDB3560-EF3C-4D13-84BC-D52695550858}"/>
    <cellStyle name="Normal 34 3 6 2" xfId="35082" xr:uid="{375E53C7-063E-45D1-9AA0-F523D91BDBF1}"/>
    <cellStyle name="Normal 34 3 6 3" xfId="35083" xr:uid="{B1E3780A-3840-46FB-82E6-454B24044701}"/>
    <cellStyle name="Normal 34 3 6 4" xfId="35084" xr:uid="{D7D28B47-81E2-41D6-B1DE-FEDADF880FC9}"/>
    <cellStyle name="Normal 34 3 6 5" xfId="35085" xr:uid="{B2091EBA-6669-4D0A-93A9-D2FACF990606}"/>
    <cellStyle name="Normal 34 3 6 6" xfId="35086" xr:uid="{764E7AD5-238C-41F7-9A78-42D4AB928860}"/>
    <cellStyle name="Normal 34 3 7" xfId="35087" xr:uid="{9B0217EB-BF57-4965-B302-7617BA07F507}"/>
    <cellStyle name="Normal 34 3 7 2" xfId="35088" xr:uid="{61CC8780-E4AD-4222-A475-A9F93FB57CB9}"/>
    <cellStyle name="Normal 34 3 7 3" xfId="35089" xr:uid="{D2D6002C-CC08-413C-868C-47D50F4DD041}"/>
    <cellStyle name="Normal 34 3 7 4" xfId="35090" xr:uid="{C3DBB3AC-629D-4498-990A-1EC9700F4EEE}"/>
    <cellStyle name="Normal 34 3 7 5" xfId="35091" xr:uid="{B912CEAA-74C7-44C7-9C07-0D12C1D195DE}"/>
    <cellStyle name="Normal 34 3 7 6" xfId="35092" xr:uid="{96FFB9D8-D49E-4369-9F63-C76B6DB2D6CF}"/>
    <cellStyle name="Normal 34 3 8" xfId="35093" xr:uid="{612BC629-2B7A-462E-9CB6-05822A1183EB}"/>
    <cellStyle name="Normal 34 3 8 2" xfId="35094" xr:uid="{91CA7FC0-6448-4EB6-B7E3-CD4229D45B17}"/>
    <cellStyle name="Normal 34 3 8 3" xfId="35095" xr:uid="{DE768BAD-D0FE-4C99-85AD-E9BD777B17E8}"/>
    <cellStyle name="Normal 34 3 8 4" xfId="35096" xr:uid="{A6814298-8C34-40BB-AA67-74F717CB1872}"/>
    <cellStyle name="Normal 34 3 8 5" xfId="35097" xr:uid="{A97E21FA-2813-4337-95D7-A07FAAA89D64}"/>
    <cellStyle name="Normal 34 3 8 6" xfId="35098" xr:uid="{766F0FDB-1A9E-4E5A-AC6C-EFD5249A2D2E}"/>
    <cellStyle name="Normal 34 3 9" xfId="35099" xr:uid="{BC9549BB-D5E7-4088-A462-22EA22544F0B}"/>
    <cellStyle name="Normal 34 4" xfId="35100" xr:uid="{A252FC49-02FA-42A5-BF95-B4A7DEC6F94B}"/>
    <cellStyle name="Normal 34 4 10" xfId="35101" xr:uid="{2D2EF006-2F65-4082-93B2-52E03DD9982F}"/>
    <cellStyle name="Normal 34 4 11" xfId="35102" xr:uid="{C157050B-A67A-4D05-9B8E-D0A69BF857C4}"/>
    <cellStyle name="Normal 34 4 12" xfId="35103" xr:uid="{094C5232-B080-450B-9A25-B650CE3135C3}"/>
    <cellStyle name="Normal 34 4 13" xfId="35104" xr:uid="{511972DC-8AE5-4302-97A2-A703B0A57361}"/>
    <cellStyle name="Normal 34 4 2" xfId="35105" xr:uid="{08B5D1B8-AAAC-4466-BA08-0611BC06C552}"/>
    <cellStyle name="Normal 34 4 2 2" xfId="35106" xr:uid="{84F3D682-B854-4204-B1AB-44E0CFA70C9E}"/>
    <cellStyle name="Normal 34 4 2 3" xfId="35107" xr:uid="{06BDF7F4-B705-43F7-8119-9315D8E53A40}"/>
    <cellStyle name="Normal 34 4 2 4" xfId="35108" xr:uid="{23D61E96-C879-4247-80C6-A2CFAB6F80AE}"/>
    <cellStyle name="Normal 34 4 2 5" xfId="35109" xr:uid="{247D960E-174A-44CE-A0A7-9E7386C01EC9}"/>
    <cellStyle name="Normal 34 4 2 6" xfId="35110" xr:uid="{5315C03C-7949-477F-9227-5C400C939DF5}"/>
    <cellStyle name="Normal 34 4 3" xfId="35111" xr:uid="{7F155A5B-3ECF-4175-A759-33CFE8127F80}"/>
    <cellStyle name="Normal 34 4 3 2" xfId="35112" xr:uid="{1C769D87-BB66-467F-82EB-94425D51AD21}"/>
    <cellStyle name="Normal 34 4 3 3" xfId="35113" xr:uid="{C72EC367-3FFD-461C-9AA7-1365352212D3}"/>
    <cellStyle name="Normal 34 4 3 4" xfId="35114" xr:uid="{17303A18-806C-4FBC-BA3D-1309CFB08E2B}"/>
    <cellStyle name="Normal 34 4 3 5" xfId="35115" xr:uid="{2B56D7C8-0731-4778-834C-FD829BB0E629}"/>
    <cellStyle name="Normal 34 4 3 6" xfId="35116" xr:uid="{5291DAA2-FC32-498E-B6B0-EE51D828E8AB}"/>
    <cellStyle name="Normal 34 4 4" xfId="35117" xr:uid="{5F73F685-B813-45F9-81AA-F6BD3DF2E1D2}"/>
    <cellStyle name="Normal 34 4 4 2" xfId="35118" xr:uid="{E3E4D133-52C4-4A5E-9CCA-FF592DC5C2FB}"/>
    <cellStyle name="Normal 34 4 4 3" xfId="35119" xr:uid="{23AD8C76-46EB-4A21-944B-B31012CE7255}"/>
    <cellStyle name="Normal 34 4 4 4" xfId="35120" xr:uid="{3BB75DC1-3791-4F49-8436-08B3F55BE04C}"/>
    <cellStyle name="Normal 34 4 4 5" xfId="35121" xr:uid="{698F4CCB-6F68-4BEB-8B44-A69DA1C0C846}"/>
    <cellStyle name="Normal 34 4 4 6" xfId="35122" xr:uid="{32EB90C3-AFEC-4428-A016-D8781281F13E}"/>
    <cellStyle name="Normal 34 4 5" xfId="35123" xr:uid="{26FA30EA-0D2C-47FA-BDC4-B2D4679C594E}"/>
    <cellStyle name="Normal 34 4 5 2" xfId="35124" xr:uid="{67022DAF-D949-421A-BC78-1A8E47AD60F4}"/>
    <cellStyle name="Normal 34 4 5 3" xfId="35125" xr:uid="{F4CE4973-5728-40E4-869A-9789CE08FF60}"/>
    <cellStyle name="Normal 34 4 5 4" xfId="35126" xr:uid="{3761D693-6A80-4589-B477-9B385EA82966}"/>
    <cellStyle name="Normal 34 4 5 5" xfId="35127" xr:uid="{0576DD8F-0F47-4904-8BA3-0AE110A0A56D}"/>
    <cellStyle name="Normal 34 4 5 6" xfId="35128" xr:uid="{FDFE1803-CA90-4CA5-A8F1-CF6AB779D3A7}"/>
    <cellStyle name="Normal 34 4 6" xfId="35129" xr:uid="{9FD1E4B8-4A3C-48E8-8D7C-A31139D7BD7B}"/>
    <cellStyle name="Normal 34 4 6 2" xfId="35130" xr:uid="{C0FE4BE8-A823-4C4A-A3DC-E62ACC8D2B86}"/>
    <cellStyle name="Normal 34 4 6 3" xfId="35131" xr:uid="{CF7FB65F-F0AB-4A5B-AE92-39D1E0E6EE2A}"/>
    <cellStyle name="Normal 34 4 6 4" xfId="35132" xr:uid="{94A8A937-1534-4CEC-BB96-C8BBA5DFF051}"/>
    <cellStyle name="Normal 34 4 6 5" xfId="35133" xr:uid="{85C4E197-A938-4E3D-925F-EB85FF0BBC03}"/>
    <cellStyle name="Normal 34 4 6 6" xfId="35134" xr:uid="{0554C4F5-9CC3-4B29-928D-938A445248EB}"/>
    <cellStyle name="Normal 34 4 7" xfId="35135" xr:uid="{C4C7FD9D-E49C-41F3-BEF1-4AD30CF5DFB5}"/>
    <cellStyle name="Normal 34 4 7 2" xfId="35136" xr:uid="{F71A64A0-D3E9-41F4-89A0-11983B482690}"/>
    <cellStyle name="Normal 34 4 7 3" xfId="35137" xr:uid="{68862144-CECF-45C6-82A7-EF375446E862}"/>
    <cellStyle name="Normal 34 4 7 4" xfId="35138" xr:uid="{2929CE20-3261-453D-81A8-FAAC4FDF2A1D}"/>
    <cellStyle name="Normal 34 4 7 5" xfId="35139" xr:uid="{B5A5809B-F7AE-451F-95C3-AD0059E531DD}"/>
    <cellStyle name="Normal 34 4 7 6" xfId="35140" xr:uid="{EEF111FF-9161-4348-906D-48CDFF3C4170}"/>
    <cellStyle name="Normal 34 4 8" xfId="35141" xr:uid="{663A100A-089A-4FF9-B34A-49C69CE80E43}"/>
    <cellStyle name="Normal 34 4 8 2" xfId="35142" xr:uid="{6D0432C1-D57A-4653-81B0-1B7B77113185}"/>
    <cellStyle name="Normal 34 4 8 3" xfId="35143" xr:uid="{83CB27E6-A72F-410A-B9E2-F406FE2707F6}"/>
    <cellStyle name="Normal 34 4 8 4" xfId="35144" xr:uid="{43F3DE1A-83BD-4FC5-9EDE-FCF799ACB3ED}"/>
    <cellStyle name="Normal 34 4 8 5" xfId="35145" xr:uid="{F131901F-AC63-4723-A593-5BFFC303596E}"/>
    <cellStyle name="Normal 34 4 8 6" xfId="35146" xr:uid="{E8484C55-DE2E-45B1-AF5B-5AE0752CD650}"/>
    <cellStyle name="Normal 34 4 9" xfId="35147" xr:uid="{706E0D24-EE51-41FB-924B-9C77D8F9C3C5}"/>
    <cellStyle name="Normal 34 5" xfId="35148" xr:uid="{A27EB411-F447-4715-825A-8E68F05EF7BD}"/>
    <cellStyle name="Normal 34 5 10" xfId="35149" xr:uid="{5489FDAD-A6B9-4FBB-A67B-BAAD5BAE0F1E}"/>
    <cellStyle name="Normal 34 5 11" xfId="35150" xr:uid="{67A13F4B-9F0E-4824-A8C8-8981A99D7F2E}"/>
    <cellStyle name="Normal 34 5 12" xfId="35151" xr:uid="{FA28CF5B-81DD-4109-9707-64E1C24BC7FC}"/>
    <cellStyle name="Normal 34 5 13" xfId="35152" xr:uid="{8EB5DE53-D68B-4F80-9E41-54FD0821C880}"/>
    <cellStyle name="Normal 34 5 2" xfId="35153" xr:uid="{62DE9FD8-4B21-4F87-99C9-5FDCAF067462}"/>
    <cellStyle name="Normal 34 5 2 2" xfId="35154" xr:uid="{3768D9A9-D4D8-4A83-A64D-2BDB470A9038}"/>
    <cellStyle name="Normal 34 5 2 3" xfId="35155" xr:uid="{5BC8DE46-B00D-4336-BF44-002D43645540}"/>
    <cellStyle name="Normal 34 5 2 4" xfId="35156" xr:uid="{BF803579-0834-4109-A12D-64F188D5D24E}"/>
    <cellStyle name="Normal 34 5 2 5" xfId="35157" xr:uid="{93E29E29-503B-4B0D-A3C1-99D6EC150FB0}"/>
    <cellStyle name="Normal 34 5 2 6" xfId="35158" xr:uid="{790714A3-62C5-4346-96C8-032405C1C26B}"/>
    <cellStyle name="Normal 34 5 3" xfId="35159" xr:uid="{2DC418F4-DD3F-4C18-8C67-4BB8B5A0C1C3}"/>
    <cellStyle name="Normal 34 5 3 2" xfId="35160" xr:uid="{6F0C1905-2DC2-487D-9562-7D88AC878B4D}"/>
    <cellStyle name="Normal 34 5 3 3" xfId="35161" xr:uid="{68549313-694C-4327-9758-89FFBDA3985B}"/>
    <cellStyle name="Normal 34 5 3 4" xfId="35162" xr:uid="{AB20A9A3-805F-4474-BBC6-07E927626903}"/>
    <cellStyle name="Normal 34 5 3 5" xfId="35163" xr:uid="{4D52B362-48AA-4576-B80E-79E2F8CE200B}"/>
    <cellStyle name="Normal 34 5 3 6" xfId="35164" xr:uid="{EDA78E89-F9F6-4A8C-B473-10F6EF3A3D87}"/>
    <cellStyle name="Normal 34 5 4" xfId="35165" xr:uid="{6D6CFDC3-77BD-4E41-96A5-8DC96A9308C3}"/>
    <cellStyle name="Normal 34 5 4 2" xfId="35166" xr:uid="{1ED2A628-15AC-4A95-A89D-9D2581BBEB9A}"/>
    <cellStyle name="Normal 34 5 4 3" xfId="35167" xr:uid="{0C0547D4-EFE7-448B-8CAF-EEEF7BD26077}"/>
    <cellStyle name="Normal 34 5 4 4" xfId="35168" xr:uid="{D39D08C0-13EC-4480-AC00-6895D7D630A3}"/>
    <cellStyle name="Normal 34 5 4 5" xfId="35169" xr:uid="{54AA51A2-660E-47F4-B6C4-837768B28DDA}"/>
    <cellStyle name="Normal 34 5 4 6" xfId="35170" xr:uid="{AD8A398F-C92D-46FE-9525-ADAC0AB088D4}"/>
    <cellStyle name="Normal 34 5 5" xfId="35171" xr:uid="{DA7EEB95-5BD9-4DFA-B269-466CA5F1CCD1}"/>
    <cellStyle name="Normal 34 5 5 2" xfId="35172" xr:uid="{4A86D133-A701-489F-BCE4-BB5D4491CD57}"/>
    <cellStyle name="Normal 34 5 5 3" xfId="35173" xr:uid="{1A18503A-1A00-47D2-8DED-B0397274BEBF}"/>
    <cellStyle name="Normal 34 5 5 4" xfId="35174" xr:uid="{8BBBB03F-24B5-4CD8-8B7A-6AD295129403}"/>
    <cellStyle name="Normal 34 5 5 5" xfId="35175" xr:uid="{21D98F8B-2143-4BE6-9A8A-2B41E8028C55}"/>
    <cellStyle name="Normal 34 5 5 6" xfId="35176" xr:uid="{E35FBB44-7148-4A21-9BCF-F4D1D6E5B573}"/>
    <cellStyle name="Normal 34 5 6" xfId="35177" xr:uid="{02404716-0CEC-40C1-894C-BA27580F9080}"/>
    <cellStyle name="Normal 34 5 6 2" xfId="35178" xr:uid="{573522D3-44B9-46C2-A307-B62F2F05CC7D}"/>
    <cellStyle name="Normal 34 5 6 3" xfId="35179" xr:uid="{FCC0919D-5910-4D63-B437-08E25E5B0C4C}"/>
    <cellStyle name="Normal 34 5 6 4" xfId="35180" xr:uid="{C402C688-BC75-4B54-8AEC-4F44DF99D988}"/>
    <cellStyle name="Normal 34 5 6 5" xfId="35181" xr:uid="{2DE3C100-D6FE-42A1-9CEE-49C3F8FC2A4F}"/>
    <cellStyle name="Normal 34 5 6 6" xfId="35182" xr:uid="{216C6B21-0BDA-4F52-B6E0-0939CCE54EE4}"/>
    <cellStyle name="Normal 34 5 7" xfId="35183" xr:uid="{B4EB7DA3-D639-42C6-84F9-8975FE52953B}"/>
    <cellStyle name="Normal 34 5 7 2" xfId="35184" xr:uid="{B8A30EA8-1AE9-49E7-BE64-E8C3F8F69B20}"/>
    <cellStyle name="Normal 34 5 7 3" xfId="35185" xr:uid="{406DED87-A0D8-451A-9E86-826CC7A5C57C}"/>
    <cellStyle name="Normal 34 5 7 4" xfId="35186" xr:uid="{86A8DC1C-010D-4520-B17B-D7923B097868}"/>
    <cellStyle name="Normal 34 5 7 5" xfId="35187" xr:uid="{ADDF622F-33D0-434D-89D3-D94D7AD50635}"/>
    <cellStyle name="Normal 34 5 7 6" xfId="35188" xr:uid="{04DC3EF0-6B1E-46AF-85E2-D2643E5E2963}"/>
    <cellStyle name="Normal 34 5 8" xfId="35189" xr:uid="{2FC55400-1A6F-4BF9-B33E-E598657F57A6}"/>
    <cellStyle name="Normal 34 5 8 2" xfId="35190" xr:uid="{C14AAD65-0065-461F-B882-BC72050F3483}"/>
    <cellStyle name="Normal 34 5 8 3" xfId="35191" xr:uid="{8F7881DA-7F2A-4473-85EB-C1C9235B95B3}"/>
    <cellStyle name="Normal 34 5 8 4" xfId="35192" xr:uid="{4D322AF9-2950-4D18-B6FA-513B731492D2}"/>
    <cellStyle name="Normal 34 5 8 5" xfId="35193" xr:uid="{70093020-3AA1-44EA-A58A-BFD1F6C07BA0}"/>
    <cellStyle name="Normal 34 5 8 6" xfId="35194" xr:uid="{06FC898E-7BB2-4A99-83DA-59783C288B84}"/>
    <cellStyle name="Normal 34 5 9" xfId="35195" xr:uid="{10A35C85-26A2-46AD-86A9-2BF47532FF84}"/>
    <cellStyle name="Normal 34 6" xfId="35196" xr:uid="{F883DAB5-DB39-4268-A5BE-ADA02CB4DF7D}"/>
    <cellStyle name="Normal 34 6 10" xfId="35197" xr:uid="{29322ED0-9144-46CF-87AA-4AE3765FDAEE}"/>
    <cellStyle name="Normal 34 6 11" xfId="35198" xr:uid="{7129B98C-3BDE-4AC3-86DE-FF4ECBA4462C}"/>
    <cellStyle name="Normal 34 6 12" xfId="35199" xr:uid="{B3FA6E5A-33D7-40FD-A1BF-653849088C81}"/>
    <cellStyle name="Normal 34 6 13" xfId="35200" xr:uid="{A376387B-F546-492E-9097-FC439E313611}"/>
    <cellStyle name="Normal 34 6 2" xfId="35201" xr:uid="{F7C66921-719F-4985-8EE2-491392CA01FC}"/>
    <cellStyle name="Normal 34 6 2 2" xfId="35202" xr:uid="{9CB4A7E4-CB6C-4473-A5AA-FD7962552B1C}"/>
    <cellStyle name="Normal 34 6 2 3" xfId="35203" xr:uid="{EDBEB552-2689-4265-9113-F125B7D32BEF}"/>
    <cellStyle name="Normal 34 6 2 4" xfId="35204" xr:uid="{BD9C3726-1738-4C4D-8EB8-69F136ABC55F}"/>
    <cellStyle name="Normal 34 6 2 5" xfId="35205" xr:uid="{66902386-E491-47E8-9C32-95D848E78FC4}"/>
    <cellStyle name="Normal 34 6 2 6" xfId="35206" xr:uid="{492332CF-BBF7-4F28-8D70-9EF16635026B}"/>
    <cellStyle name="Normal 34 6 3" xfId="35207" xr:uid="{2FCBDABE-3C62-458A-B210-11B14DE5C5CA}"/>
    <cellStyle name="Normal 34 6 3 2" xfId="35208" xr:uid="{52479F11-906F-4082-BB86-204DD9E45CA1}"/>
    <cellStyle name="Normal 34 6 3 3" xfId="35209" xr:uid="{44F5C1EC-C52B-485A-A9EB-EF5309B168E2}"/>
    <cellStyle name="Normal 34 6 3 4" xfId="35210" xr:uid="{083B255C-0376-4E73-9BAA-F472B36E2FFF}"/>
    <cellStyle name="Normal 34 6 3 5" xfId="35211" xr:uid="{65D56EBB-723A-4AFE-B77C-2107C5FC5687}"/>
    <cellStyle name="Normal 34 6 3 6" xfId="35212" xr:uid="{4189158E-4DAA-44E3-B502-8EB149C11054}"/>
    <cellStyle name="Normal 34 6 4" xfId="35213" xr:uid="{3EF85838-6E6C-4A6D-B4F8-02332827E62D}"/>
    <cellStyle name="Normal 34 6 4 2" xfId="35214" xr:uid="{67450903-35E3-4CDE-9F4A-8FA7857E5C98}"/>
    <cellStyle name="Normal 34 6 4 3" xfId="35215" xr:uid="{CBE0E761-CD67-43B0-B79B-B99B74C49F26}"/>
    <cellStyle name="Normal 34 6 4 4" xfId="35216" xr:uid="{9BA018B1-87F5-4132-8D1F-E037005B4AD8}"/>
    <cellStyle name="Normal 34 6 4 5" xfId="35217" xr:uid="{023038F8-8F45-4414-9E3E-BDB31738D036}"/>
    <cellStyle name="Normal 34 6 4 6" xfId="35218" xr:uid="{B571506F-1722-4014-8B79-7838F92AC1A1}"/>
    <cellStyle name="Normal 34 6 5" xfId="35219" xr:uid="{74D0A35D-395B-4565-864C-975EED84C82E}"/>
    <cellStyle name="Normal 34 6 5 2" xfId="35220" xr:uid="{44F978B4-9E67-431C-98A4-75D74F1B3652}"/>
    <cellStyle name="Normal 34 6 5 3" xfId="35221" xr:uid="{A68A8805-0D9A-476F-B432-B66C48BF018A}"/>
    <cellStyle name="Normal 34 6 5 4" xfId="35222" xr:uid="{3F2546AF-3BB0-4217-9137-0D6F51CC57A0}"/>
    <cellStyle name="Normal 34 6 5 5" xfId="35223" xr:uid="{2F5437F9-E300-40CA-90A6-E91E10F7C56D}"/>
    <cellStyle name="Normal 34 6 5 6" xfId="35224" xr:uid="{D3D3AD49-296F-4BD7-925C-D9B2B5256C8A}"/>
    <cellStyle name="Normal 34 6 6" xfId="35225" xr:uid="{F1BF94E4-B79A-4CF2-83C8-7F2CDCEA09C0}"/>
    <cellStyle name="Normal 34 6 6 2" xfId="35226" xr:uid="{7D6A2659-1C31-4D22-9EA8-9114648F88EA}"/>
    <cellStyle name="Normal 34 6 6 3" xfId="35227" xr:uid="{380744C8-D8DE-4133-B65C-65E6ECBA05B4}"/>
    <cellStyle name="Normal 34 6 6 4" xfId="35228" xr:uid="{B77EBCB2-334E-477F-9118-11A8B3C5B81C}"/>
    <cellStyle name="Normal 34 6 6 5" xfId="35229" xr:uid="{7585620B-5D45-4CBD-BA75-2A82E8995D96}"/>
    <cellStyle name="Normal 34 6 6 6" xfId="35230" xr:uid="{D5E3CFD1-EB52-47E6-BDC8-17FE21436BC9}"/>
    <cellStyle name="Normal 34 6 7" xfId="35231" xr:uid="{7FF972A2-FA52-474C-AD9B-435A40E9E7A8}"/>
    <cellStyle name="Normal 34 6 7 2" xfId="35232" xr:uid="{9B60BA45-3F62-499F-9E9A-A56569251A2D}"/>
    <cellStyle name="Normal 34 6 7 3" xfId="35233" xr:uid="{0C15EAE9-F924-4916-8E42-2043C8103050}"/>
    <cellStyle name="Normal 34 6 7 4" xfId="35234" xr:uid="{3735289D-5F2A-44EB-B8DB-8827A08EECB5}"/>
    <cellStyle name="Normal 34 6 7 5" xfId="35235" xr:uid="{8618BAD2-8599-409C-9B68-4FC540C0C77F}"/>
    <cellStyle name="Normal 34 6 7 6" xfId="35236" xr:uid="{6D9ED5C7-0F71-4D71-8FCE-94D799A2889B}"/>
    <cellStyle name="Normal 34 6 8" xfId="35237" xr:uid="{420B0778-AEA9-4ED7-ADFF-506C4EDA0395}"/>
    <cellStyle name="Normal 34 6 8 2" xfId="35238" xr:uid="{34E79031-4B2C-4077-8805-7CDEAD59A666}"/>
    <cellStyle name="Normal 34 6 8 3" xfId="35239" xr:uid="{9CDD1EE2-53AE-4A43-9645-8ED7D56D83B0}"/>
    <cellStyle name="Normal 34 6 8 4" xfId="35240" xr:uid="{6C754002-5077-488D-99CE-3D2BC45DDB66}"/>
    <cellStyle name="Normal 34 6 8 5" xfId="35241" xr:uid="{D507A113-3451-494E-8082-A63108CBB976}"/>
    <cellStyle name="Normal 34 6 8 6" xfId="35242" xr:uid="{5E81747A-15BD-4AB1-9DD5-E6791C2A085B}"/>
    <cellStyle name="Normal 34 6 9" xfId="35243" xr:uid="{BCF7098E-EFE6-4997-8037-85AECA93579F}"/>
    <cellStyle name="Normal 34 7" xfId="35244" xr:uid="{14389FA1-C396-476B-A24D-D56A6E465253}"/>
    <cellStyle name="Normal 34 7 10" xfId="35245" xr:uid="{31435FF9-D293-4FF7-BB6C-64AC71F5F485}"/>
    <cellStyle name="Normal 34 7 11" xfId="35246" xr:uid="{AF97373C-3CF1-4077-A0CF-4FC4A0B04659}"/>
    <cellStyle name="Normal 34 7 12" xfId="35247" xr:uid="{178B9F0D-33C5-48B8-82DA-4AF58D987655}"/>
    <cellStyle name="Normal 34 7 13" xfId="35248" xr:uid="{9CB7F469-E278-49D8-BF55-01F967DFF541}"/>
    <cellStyle name="Normal 34 7 2" xfId="35249" xr:uid="{1E7AC29D-5863-422F-82CD-1E67750978C0}"/>
    <cellStyle name="Normal 34 7 2 2" xfId="35250" xr:uid="{DFC588FC-7A02-45C3-B0D8-CDCCEA5767EB}"/>
    <cellStyle name="Normal 34 7 2 3" xfId="35251" xr:uid="{0858E99A-20BB-4D9C-8AFB-C6D49648F0E4}"/>
    <cellStyle name="Normal 34 7 2 4" xfId="35252" xr:uid="{E2FC454F-1E09-4671-BB7C-D87A7341706C}"/>
    <cellStyle name="Normal 34 7 2 5" xfId="35253" xr:uid="{B5147F24-EC2C-4EB4-BCFA-1D6695C5BDB9}"/>
    <cellStyle name="Normal 34 7 2 6" xfId="35254" xr:uid="{E82B96DD-3FBA-4B3C-BB3D-68233BAF71F3}"/>
    <cellStyle name="Normal 34 7 3" xfId="35255" xr:uid="{D1AFA2F0-1B95-49BF-A245-E51071A95320}"/>
    <cellStyle name="Normal 34 7 3 2" xfId="35256" xr:uid="{A19347C4-329E-4A2E-8396-01AF84A23DFD}"/>
    <cellStyle name="Normal 34 7 3 3" xfId="35257" xr:uid="{EFE7B24B-ED4B-4C13-BF17-60D9E8221797}"/>
    <cellStyle name="Normal 34 7 3 4" xfId="35258" xr:uid="{8CC75AEB-7053-43FD-90E5-27CDFBADB425}"/>
    <cellStyle name="Normal 34 7 3 5" xfId="35259" xr:uid="{A3B4435F-6142-4594-B300-0917FD9E9475}"/>
    <cellStyle name="Normal 34 7 3 6" xfId="35260" xr:uid="{24F9915D-FA82-46BE-B710-D3050839B34F}"/>
    <cellStyle name="Normal 34 7 4" xfId="35261" xr:uid="{E29B624B-19A5-47CE-A9F1-59AF085BBB21}"/>
    <cellStyle name="Normal 34 7 4 2" xfId="35262" xr:uid="{1BDA9F99-29F7-4AB1-879C-7D163F7CE83C}"/>
    <cellStyle name="Normal 34 7 4 3" xfId="35263" xr:uid="{9E6AB614-5EB8-47BD-8998-DCEB389A0149}"/>
    <cellStyle name="Normal 34 7 4 4" xfId="35264" xr:uid="{2A30B469-F5F7-4A32-8843-13F81779F8D5}"/>
    <cellStyle name="Normal 34 7 4 5" xfId="35265" xr:uid="{B02BD7DD-C272-4734-821B-C86F6886D189}"/>
    <cellStyle name="Normal 34 7 4 6" xfId="35266" xr:uid="{86648EC0-8D0F-4B4D-9A3A-ACFCCCDD54F1}"/>
    <cellStyle name="Normal 34 7 5" xfId="35267" xr:uid="{55039ECA-2999-4379-A643-0B1CAE7FAAEC}"/>
    <cellStyle name="Normal 34 7 5 2" xfId="35268" xr:uid="{C88D4EB4-E289-4345-8ABB-DEDFEB70E2EC}"/>
    <cellStyle name="Normal 34 7 5 3" xfId="35269" xr:uid="{EF7CF3C4-F396-4059-B6C0-D7A1ECE78B7A}"/>
    <cellStyle name="Normal 34 7 5 4" xfId="35270" xr:uid="{6422532B-2D91-4730-9297-E3773937194A}"/>
    <cellStyle name="Normal 34 7 5 5" xfId="35271" xr:uid="{B3C551B7-8763-475F-9474-5380C54ED10F}"/>
    <cellStyle name="Normal 34 7 5 6" xfId="35272" xr:uid="{4568A1C4-F3B2-4E7A-AA6F-DDA0A7CCF051}"/>
    <cellStyle name="Normal 34 7 6" xfId="35273" xr:uid="{5627209E-B244-472F-BAB8-515917BA7118}"/>
    <cellStyle name="Normal 34 7 6 2" xfId="35274" xr:uid="{BF4806A5-09F9-489F-AD23-CF57163F8469}"/>
    <cellStyle name="Normal 34 7 6 3" xfId="35275" xr:uid="{2BC1FC15-F749-4F88-A041-43F5283D7D91}"/>
    <cellStyle name="Normal 34 7 6 4" xfId="35276" xr:uid="{24605A26-6C4C-4A2A-9062-41BE493B2032}"/>
    <cellStyle name="Normal 34 7 6 5" xfId="35277" xr:uid="{0F3FB90B-9E22-4317-BFFD-A0A579376086}"/>
    <cellStyle name="Normal 34 7 6 6" xfId="35278" xr:uid="{E8CE9D25-6E95-4B90-8CE9-BB64BDA7C07B}"/>
    <cellStyle name="Normal 34 7 7" xfId="35279" xr:uid="{C1AD090B-F9FE-4082-B3C8-DD8903ACDD69}"/>
    <cellStyle name="Normal 34 7 7 2" xfId="35280" xr:uid="{431B8194-FB75-4FF6-A380-DB94D1E93640}"/>
    <cellStyle name="Normal 34 7 7 3" xfId="35281" xr:uid="{DB1BC93E-4866-418C-8AA9-1C72B290D3F6}"/>
    <cellStyle name="Normal 34 7 7 4" xfId="35282" xr:uid="{74CD92A4-08C3-40ED-8E48-6AFB01A9B9CE}"/>
    <cellStyle name="Normal 34 7 7 5" xfId="35283" xr:uid="{63CE521D-E958-4D7E-8AAA-6A8465440F30}"/>
    <cellStyle name="Normal 34 7 7 6" xfId="35284" xr:uid="{FCC07A4A-C8FC-4655-85EE-52F4D85113D7}"/>
    <cellStyle name="Normal 34 7 8" xfId="35285" xr:uid="{45706F46-07B7-444D-943C-D8266FBB6B71}"/>
    <cellStyle name="Normal 34 7 8 2" xfId="35286" xr:uid="{80008612-144D-4EE9-A261-21AD308514A9}"/>
    <cellStyle name="Normal 34 7 8 3" xfId="35287" xr:uid="{7CACADEA-E9AE-42EB-BD88-D655BABCD762}"/>
    <cellStyle name="Normal 34 7 8 4" xfId="35288" xr:uid="{07BA40A8-E21B-44BC-AE41-8021CA5698C0}"/>
    <cellStyle name="Normal 34 7 8 5" xfId="35289" xr:uid="{5448FB74-A9FB-4600-84D5-1214C5A6AB48}"/>
    <cellStyle name="Normal 34 7 8 6" xfId="35290" xr:uid="{4B2306BF-62A7-4EBA-AFFA-1B1D339B555D}"/>
    <cellStyle name="Normal 34 7 9" xfId="35291" xr:uid="{00CFCE4E-E955-43C9-89AB-F40D0459BB0F}"/>
    <cellStyle name="Normal 34 8" xfId="35292" xr:uid="{4A683770-1822-4ADF-BAFA-7219AC5412B3}"/>
    <cellStyle name="Normal 34 8 10" xfId="35293" xr:uid="{308BE558-2D23-47B7-8D52-5F1049E30257}"/>
    <cellStyle name="Normal 34 8 11" xfId="35294" xr:uid="{025BCA2E-C1AD-423C-B174-4D1AE461543D}"/>
    <cellStyle name="Normal 34 8 12" xfId="35295" xr:uid="{FC60CBEA-3C93-4AA7-9914-32F7BEC625F0}"/>
    <cellStyle name="Normal 34 8 13" xfId="35296" xr:uid="{C57578A5-E0C6-49EB-BD58-E5505A266554}"/>
    <cellStyle name="Normal 34 8 2" xfId="35297" xr:uid="{9137F1C3-6621-4EC8-A36F-F475E9362B38}"/>
    <cellStyle name="Normal 34 8 2 2" xfId="35298" xr:uid="{B1A67306-293E-4E85-9ED1-647C41FDAB1B}"/>
    <cellStyle name="Normal 34 8 2 3" xfId="35299" xr:uid="{4150B606-8E9F-4EAD-956E-12E3EBB2E026}"/>
    <cellStyle name="Normal 34 8 2 4" xfId="35300" xr:uid="{DE922B3A-4606-44B9-B079-D409A9C71D53}"/>
    <cellStyle name="Normal 34 8 2 5" xfId="35301" xr:uid="{CA2331AB-3330-403B-9F52-BC43901EE7AE}"/>
    <cellStyle name="Normal 34 8 2 6" xfId="35302" xr:uid="{F1B67962-9855-48AE-A959-1FB619506567}"/>
    <cellStyle name="Normal 34 8 3" xfId="35303" xr:uid="{6CD28831-C186-4214-9E77-15D53CCCFE1E}"/>
    <cellStyle name="Normal 34 8 3 2" xfId="35304" xr:uid="{36E7F7F8-E977-49A7-9FC4-CC3B4C1A452A}"/>
    <cellStyle name="Normal 34 8 3 3" xfId="35305" xr:uid="{00960F68-6DE0-43B4-8581-03139058B402}"/>
    <cellStyle name="Normal 34 8 3 4" xfId="35306" xr:uid="{F0BFACBC-67AB-4C99-8213-9AF839B50CB5}"/>
    <cellStyle name="Normal 34 8 3 5" xfId="35307" xr:uid="{3824755F-659F-478E-972B-1AEAE6BAC97E}"/>
    <cellStyle name="Normal 34 8 3 6" xfId="35308" xr:uid="{93EDC6C7-F063-48A3-8E86-AE1A1CDAEC7C}"/>
    <cellStyle name="Normal 34 8 4" xfId="35309" xr:uid="{2DDE1097-3834-4C7A-8DC2-8D13D80C9EF3}"/>
    <cellStyle name="Normal 34 8 4 2" xfId="35310" xr:uid="{EB9C4AA3-401B-41E9-BE11-2CB65A5E57AE}"/>
    <cellStyle name="Normal 34 8 4 3" xfId="35311" xr:uid="{63396631-38B6-478C-B8B4-1C99C2CED937}"/>
    <cellStyle name="Normal 34 8 4 4" xfId="35312" xr:uid="{1FA43C1F-0CEE-41E0-AADD-C3C494A3AD2C}"/>
    <cellStyle name="Normal 34 8 4 5" xfId="35313" xr:uid="{2E2AB447-2FD9-4D49-98BF-EBD76109EC6E}"/>
    <cellStyle name="Normal 34 8 4 6" xfId="35314" xr:uid="{1D53CDF7-C345-4DB1-AC92-FBC12EA502AE}"/>
    <cellStyle name="Normal 34 8 5" xfId="35315" xr:uid="{E110DF17-B4E1-4984-938D-4BEA9FC6BD0B}"/>
    <cellStyle name="Normal 34 8 5 2" xfId="35316" xr:uid="{5B06F0EB-6B30-4590-9FC0-2D48591D7A9F}"/>
    <cellStyle name="Normal 34 8 5 3" xfId="35317" xr:uid="{B04BFB6E-A221-4FA5-94E6-10AB23891C85}"/>
    <cellStyle name="Normal 34 8 5 4" xfId="35318" xr:uid="{86945E7E-B61E-481C-B12F-B359FE74E26D}"/>
    <cellStyle name="Normal 34 8 5 5" xfId="35319" xr:uid="{9D3D5289-675C-409E-891C-106DECA40A8C}"/>
    <cellStyle name="Normal 34 8 5 6" xfId="35320" xr:uid="{3C4C870E-0134-4D32-BC2F-0FB171C17528}"/>
    <cellStyle name="Normal 34 8 6" xfId="35321" xr:uid="{0E193660-2063-431A-96C6-5CFC5B0F8436}"/>
    <cellStyle name="Normal 34 8 6 2" xfId="35322" xr:uid="{3DA8501E-10B9-41D3-960E-EBC9696BB375}"/>
    <cellStyle name="Normal 34 8 6 3" xfId="35323" xr:uid="{970B3990-3603-4C57-A21B-60A0EA1D0F7F}"/>
    <cellStyle name="Normal 34 8 6 4" xfId="35324" xr:uid="{D92335A1-68EF-4DDD-8200-D8A71E911E73}"/>
    <cellStyle name="Normal 34 8 6 5" xfId="35325" xr:uid="{EFEF56FC-C8ED-4054-9B0F-B74248AB459D}"/>
    <cellStyle name="Normal 34 8 6 6" xfId="35326" xr:uid="{65CCA3E5-E6E0-44E8-BCFC-069C89995FF8}"/>
    <cellStyle name="Normal 34 8 7" xfId="35327" xr:uid="{EEEE38B4-4440-4C8C-B61A-58946BD1B442}"/>
    <cellStyle name="Normal 34 8 7 2" xfId="35328" xr:uid="{F450B9D9-4B35-456A-B0EC-074FCEF35AFE}"/>
    <cellStyle name="Normal 34 8 7 3" xfId="35329" xr:uid="{2DB59A49-A63C-4F69-A695-F611F7809FCB}"/>
    <cellStyle name="Normal 34 8 7 4" xfId="35330" xr:uid="{E00D7199-927D-497C-874A-257E8F8ACB19}"/>
    <cellStyle name="Normal 34 8 7 5" xfId="35331" xr:uid="{1F3B2B1F-51A6-4885-87CF-D1FECA249EFE}"/>
    <cellStyle name="Normal 34 8 7 6" xfId="35332" xr:uid="{02A55AE6-7304-4CC8-9DAD-578708318676}"/>
    <cellStyle name="Normal 34 8 8" xfId="35333" xr:uid="{05236D24-179C-4943-9AEE-DC5B78C212A3}"/>
    <cellStyle name="Normal 34 8 8 2" xfId="35334" xr:uid="{3DB4A43B-AE03-41A5-A838-FA6ED7F74EF1}"/>
    <cellStyle name="Normal 34 8 8 3" xfId="35335" xr:uid="{CFA04CCC-6D0A-431A-948A-24A128DCBAC5}"/>
    <cellStyle name="Normal 34 8 8 4" xfId="35336" xr:uid="{E9400C09-7523-46F3-9B5E-DA9D992805EC}"/>
    <cellStyle name="Normal 34 8 8 5" xfId="35337" xr:uid="{2C151DBC-B243-40A8-B259-C8C030A605B1}"/>
    <cellStyle name="Normal 34 8 8 6" xfId="35338" xr:uid="{9D63FAD5-4D87-4D1F-A815-CC4DFD421F58}"/>
    <cellStyle name="Normal 34 8 9" xfId="35339" xr:uid="{182C8FA9-4D2A-4C7F-9A05-5630D489DD6A}"/>
    <cellStyle name="Normal 34 9" xfId="35340" xr:uid="{E1523774-7AA1-441E-9090-C0CA5367338B}"/>
    <cellStyle name="Normal 34 9 10" xfId="35341" xr:uid="{5A0DE475-1A0D-4C38-AE09-453F2984A309}"/>
    <cellStyle name="Normal 34 9 11" xfId="35342" xr:uid="{0C1A4029-08E9-4C00-851A-185592BBF134}"/>
    <cellStyle name="Normal 34 9 12" xfId="35343" xr:uid="{4947D542-6EED-4241-9513-7BA865F9665D}"/>
    <cellStyle name="Normal 34 9 13" xfId="35344" xr:uid="{5A2288F5-A453-4273-A706-A5E025D7A16B}"/>
    <cellStyle name="Normal 34 9 2" xfId="35345" xr:uid="{1B53F8C8-4DB0-4023-86A3-F128AB051C54}"/>
    <cellStyle name="Normal 34 9 2 2" xfId="35346" xr:uid="{29766A38-4FF6-480E-B869-90CCEE01378B}"/>
    <cellStyle name="Normal 34 9 2 3" xfId="35347" xr:uid="{5AE8C820-2108-4A26-9230-C7857B5868AB}"/>
    <cellStyle name="Normal 34 9 2 4" xfId="35348" xr:uid="{9A1EE29E-E825-4DF2-B298-253BDF3D9D4A}"/>
    <cellStyle name="Normal 34 9 2 5" xfId="35349" xr:uid="{97E46208-2007-4108-883D-14BA71D8B0AE}"/>
    <cellStyle name="Normal 34 9 2 6" xfId="35350" xr:uid="{6E45243B-3EEE-4296-A554-8961DD63EF71}"/>
    <cellStyle name="Normal 34 9 3" xfId="35351" xr:uid="{ABC5CCAA-2F69-4C64-8D79-47C3622CE0BF}"/>
    <cellStyle name="Normal 34 9 3 2" xfId="35352" xr:uid="{DFC4C5FB-B127-4DB4-A1CD-1F040C7C4F0C}"/>
    <cellStyle name="Normal 34 9 3 3" xfId="35353" xr:uid="{EC65A364-5F9E-4189-8400-FA3B05C18B06}"/>
    <cellStyle name="Normal 34 9 3 4" xfId="35354" xr:uid="{958B713D-BA6B-4060-9668-2D56A09941E7}"/>
    <cellStyle name="Normal 34 9 3 5" xfId="35355" xr:uid="{7F3090B5-BDA7-4080-9752-F3BFFFB04A82}"/>
    <cellStyle name="Normal 34 9 3 6" xfId="35356" xr:uid="{DC510A66-5F7A-46D7-B709-E2F0770DABDD}"/>
    <cellStyle name="Normal 34 9 4" xfId="35357" xr:uid="{CACE3602-BB12-4C05-8051-761C3385907D}"/>
    <cellStyle name="Normal 34 9 4 2" xfId="35358" xr:uid="{327DC6B1-164E-4A10-9C9C-61CD3616D3CC}"/>
    <cellStyle name="Normal 34 9 4 3" xfId="35359" xr:uid="{B1610041-4BB6-4450-A959-64AFCE3F6A67}"/>
    <cellStyle name="Normal 34 9 4 4" xfId="35360" xr:uid="{E6C50538-B2DB-48F9-AE81-4928E90A7265}"/>
    <cellStyle name="Normal 34 9 4 5" xfId="35361" xr:uid="{01B88AFF-399C-4820-B0AB-205F107C86CF}"/>
    <cellStyle name="Normal 34 9 4 6" xfId="35362" xr:uid="{6AFA46EE-D67C-45CE-8B85-1160221EEC9D}"/>
    <cellStyle name="Normal 34 9 5" xfId="35363" xr:uid="{A52135D6-B58E-4087-9081-A00B535D5BEE}"/>
    <cellStyle name="Normal 34 9 5 2" xfId="35364" xr:uid="{C6DA7F89-463A-479E-9D8F-023E93DBD749}"/>
    <cellStyle name="Normal 34 9 5 3" xfId="35365" xr:uid="{21172CDB-263E-4F96-A87B-62473DE5C4A4}"/>
    <cellStyle name="Normal 34 9 5 4" xfId="35366" xr:uid="{EE70AC87-B5CA-4C4A-B327-C78093286D15}"/>
    <cellStyle name="Normal 34 9 5 5" xfId="35367" xr:uid="{7CD3B103-43AD-4FB0-8C50-A8C8FCA6C30A}"/>
    <cellStyle name="Normal 34 9 5 6" xfId="35368" xr:uid="{04CA2FB2-3B5E-4087-BEEE-EFF3BE093D6A}"/>
    <cellStyle name="Normal 34 9 6" xfId="35369" xr:uid="{6D1C6F42-93E4-434E-A216-81B45F4FF96A}"/>
    <cellStyle name="Normal 34 9 6 2" xfId="35370" xr:uid="{A6D7A4E4-5E8E-4851-BC1A-F2C1FB244563}"/>
    <cellStyle name="Normal 34 9 6 3" xfId="35371" xr:uid="{1E60F747-78BF-457F-9534-63136319E8DA}"/>
    <cellStyle name="Normal 34 9 6 4" xfId="35372" xr:uid="{639AA6C6-6D97-41A2-A961-3B7DE100EDC7}"/>
    <cellStyle name="Normal 34 9 6 5" xfId="35373" xr:uid="{BC27F689-397D-4E90-B648-20532D661D34}"/>
    <cellStyle name="Normal 34 9 6 6" xfId="35374" xr:uid="{F247F06D-D07C-439A-A9E4-E51C72931490}"/>
    <cellStyle name="Normal 34 9 7" xfId="35375" xr:uid="{2CA4C243-F885-41F0-ADD6-97B6B1B7636F}"/>
    <cellStyle name="Normal 34 9 7 2" xfId="35376" xr:uid="{31DD6377-E01C-4F2E-AD4A-626834479A84}"/>
    <cellStyle name="Normal 34 9 7 3" xfId="35377" xr:uid="{3EB082CD-3D1F-4048-829B-EB34C6A65275}"/>
    <cellStyle name="Normal 34 9 7 4" xfId="35378" xr:uid="{DA19FD9F-11BC-4628-A419-100EF2E9BC29}"/>
    <cellStyle name="Normal 34 9 7 5" xfId="35379" xr:uid="{8C2E2DF9-22C7-4938-AF86-3B9A74281F1C}"/>
    <cellStyle name="Normal 34 9 7 6" xfId="35380" xr:uid="{DF3F1A4A-5E24-4CEA-A96C-B53688B54CA3}"/>
    <cellStyle name="Normal 34 9 8" xfId="35381" xr:uid="{02F1BFDE-238C-4330-A7B7-002C3D935B75}"/>
    <cellStyle name="Normal 34 9 8 2" xfId="35382" xr:uid="{6B6A4F4F-5152-4AE3-BEF3-FB1D6C3C6715}"/>
    <cellStyle name="Normal 34 9 8 3" xfId="35383" xr:uid="{CD003D5D-CAE9-4C61-AFD8-7D41265B0B4C}"/>
    <cellStyle name="Normal 34 9 8 4" xfId="35384" xr:uid="{B8E454E9-8EF1-4656-931B-2B7163E26359}"/>
    <cellStyle name="Normal 34 9 8 5" xfId="35385" xr:uid="{2234469D-4B11-4688-B8A5-D9F1ACCBF5BF}"/>
    <cellStyle name="Normal 34 9 8 6" xfId="35386" xr:uid="{5C5D1E26-E3AA-42ED-A134-6813AC9DB1F5}"/>
    <cellStyle name="Normal 34 9 9" xfId="35387" xr:uid="{715353D7-A157-4CF7-A239-D0CE0C14F09B}"/>
    <cellStyle name="Normal 35" xfId="35388" xr:uid="{BC2923C5-DC6E-421D-9623-C146733D0E02}"/>
    <cellStyle name="Normal 35 10" xfId="35389" xr:uid="{FFDAC7BC-A716-47EC-8BEF-A96EF13CB9FB}"/>
    <cellStyle name="Normal 35 11" xfId="35390" xr:uid="{8C719D4C-3CD9-4A62-9B03-F806EC617C6D}"/>
    <cellStyle name="Normal 35 12" xfId="35391" xr:uid="{75E73A24-8D93-4C8C-9CA3-49828AA3BBD6}"/>
    <cellStyle name="Normal 35 13" xfId="35392" xr:uid="{CEAC1C40-3CBE-41EC-A200-BC76A47F738A}"/>
    <cellStyle name="Normal 35 14" xfId="35393" xr:uid="{5BF7FB3F-EA1F-4DC5-BB91-5C5F08DF2DFD}"/>
    <cellStyle name="Normal 35 15" xfId="35394" xr:uid="{B9B098E7-99AA-4DA8-B35F-79933C94005A}"/>
    <cellStyle name="Normal 35 16" xfId="35395" xr:uid="{C70BF14F-34E1-42E5-9EC5-8086C7A838E2}"/>
    <cellStyle name="Normal 35 17" xfId="35396" xr:uid="{E3C6F0F1-9DFE-4C9C-93E9-E756408DDEA2}"/>
    <cellStyle name="Normal 35 18" xfId="35397" xr:uid="{E31EF814-67AD-416B-BEF5-1056811A5A2C}"/>
    <cellStyle name="Normal 35 19" xfId="35398" xr:uid="{09A9E143-9418-428E-BD95-237871762A79}"/>
    <cellStyle name="Normal 35 2" xfId="35399" xr:uid="{7157AFF9-B9DA-4B9E-8723-1314ABD05A47}"/>
    <cellStyle name="Normal 35 20" xfId="35400" xr:uid="{6D285834-2368-467D-BD68-457DF99F405C}"/>
    <cellStyle name="Normal 35 21" xfId="35401" xr:uid="{344C7D68-5571-4D09-8BFC-F640E68AD285}"/>
    <cellStyle name="Normal 35 22" xfId="35402" xr:uid="{2685C652-343D-4253-AD13-D8154B885774}"/>
    <cellStyle name="Normal 35 23" xfId="35403" xr:uid="{675FC453-F78A-4050-A851-5C4F65C09753}"/>
    <cellStyle name="Normal 35 24" xfId="35404" xr:uid="{A09C6AC6-AC1D-4DA8-BD1B-D11D9A4931FD}"/>
    <cellStyle name="Normal 35 25" xfId="35405" xr:uid="{90BB1F75-4A7B-41BC-8F43-E5DD0244E32E}"/>
    <cellStyle name="Normal 35 26" xfId="35406" xr:uid="{1572442A-C6E3-43A6-A975-9AC111B96872}"/>
    <cellStyle name="Normal 35 27" xfId="35407" xr:uid="{744860D3-DDBE-4922-A8E3-2E3D77639619}"/>
    <cellStyle name="Normal 35 28" xfId="35408" xr:uid="{40807D5F-B165-4604-BC1C-1BCE8C4603F2}"/>
    <cellStyle name="Normal 35 29" xfId="35409" xr:uid="{F112A3A7-81D9-4724-BA74-E5C6F87B4BBF}"/>
    <cellStyle name="Normal 35 3" xfId="35410" xr:uid="{D0E597BC-6502-4421-9E07-755CA0A088C0}"/>
    <cellStyle name="Normal 35 30" xfId="35411" xr:uid="{8AEAFDDB-1EA4-468B-84C6-0DE5F8D53440}"/>
    <cellStyle name="Normal 35 31" xfId="35412" xr:uid="{7D92905B-B2AE-4C13-8E8D-A51C1DD5DD87}"/>
    <cellStyle name="Normal 35 32" xfId="35413" xr:uid="{5C11F017-01C0-400F-8789-901F578E0D6B}"/>
    <cellStyle name="Normal 35 33" xfId="35414" xr:uid="{E448E93A-F43A-4143-82EA-5A75C382753F}"/>
    <cellStyle name="Normal 35 34" xfId="35415" xr:uid="{0D7664A1-CD8D-4E95-8695-8491AB28E16E}"/>
    <cellStyle name="Normal 35 35" xfId="35416" xr:uid="{E9C7C344-7988-4F65-BAED-3ED293F1A4C3}"/>
    <cellStyle name="Normal 35 36" xfId="35417" xr:uid="{97B854B3-0490-4A1A-904D-3682E80BF51B}"/>
    <cellStyle name="Normal 35 37" xfId="35418" xr:uid="{9AE27328-91B3-4253-83BC-8440E67D4A63}"/>
    <cellStyle name="Normal 35 38" xfId="35419" xr:uid="{2AB1F6BA-EA31-447F-9D3D-34BF303FF6BE}"/>
    <cellStyle name="Normal 35 39" xfId="35420" xr:uid="{F83D48DC-7221-45AD-9CEE-2C7FE67C3E09}"/>
    <cellStyle name="Normal 35 4" xfId="35421" xr:uid="{D34FFFBD-A285-4604-A8CC-DBB607E9110F}"/>
    <cellStyle name="Normal 35 40" xfId="35422" xr:uid="{55082770-7273-4A19-BB9D-9277F89AAEE7}"/>
    <cellStyle name="Normal 35 41" xfId="35423" xr:uid="{D60AC320-E110-4033-8DC7-E67E0FDA17EE}"/>
    <cellStyle name="Normal 35 42" xfId="35424" xr:uid="{D768A38C-83DF-4BB3-8D59-782BBCDCB16E}"/>
    <cellStyle name="Normal 35 43" xfId="35425" xr:uid="{5BF5216A-97B5-4DB1-BEFC-95B683F00230}"/>
    <cellStyle name="Normal 35 5" xfId="35426" xr:uid="{8145F9F9-13FB-440A-922E-0D4019A45894}"/>
    <cellStyle name="Normal 35 6" xfId="35427" xr:uid="{78B97F6C-F576-43BD-88F6-D33295674A51}"/>
    <cellStyle name="Normal 35 7" xfId="35428" xr:uid="{AEC601C6-AF5E-4901-A046-256CF59E04C4}"/>
    <cellStyle name="Normal 35 8" xfId="35429" xr:uid="{A8AD0F81-B087-430B-BAF2-8A2ED7B9704B}"/>
    <cellStyle name="Normal 35 9" xfId="35430" xr:uid="{BFB954F6-15D0-49B6-9DF1-5653F032D7A8}"/>
    <cellStyle name="Normal 36" xfId="35431" xr:uid="{A3518004-2A7A-4EBC-A673-699724DA5AB5}"/>
    <cellStyle name="Normal 36 2" xfId="35432" xr:uid="{2F5E9804-3D8D-47DE-8265-1A16186D32F7}"/>
    <cellStyle name="Normal 37" xfId="35433" xr:uid="{4EB22463-11EC-4FAE-84C5-D116FA16068C}"/>
    <cellStyle name="Normal 37 2" xfId="35434" xr:uid="{68DF461E-2E91-41AD-8797-F012BC7D0FB1}"/>
    <cellStyle name="Normal 38" xfId="35435" xr:uid="{711F4D93-6AFD-4007-972F-B0A754272F55}"/>
    <cellStyle name="Normal 38 2" xfId="35436" xr:uid="{ADE2A287-5DAC-4A98-B8D8-FE7673D6A245}"/>
    <cellStyle name="Normal 39" xfId="35437" xr:uid="{B7E5F772-4E99-4FD4-B5F1-E9C539B0490C}"/>
    <cellStyle name="Normal 39 10" xfId="35438" xr:uid="{7D10C50F-FD73-4BD3-917A-B9FEDA2E1ECF}"/>
    <cellStyle name="Normal 39 11" xfId="35439" xr:uid="{269A59BD-74CE-479E-9426-6DD3D1DC9A27}"/>
    <cellStyle name="Normal 39 12" xfId="35440" xr:uid="{A9398212-57A0-48BC-B694-646E3C793A21}"/>
    <cellStyle name="Normal 39 13" xfId="35441" xr:uid="{DC41BF60-5EDE-45AD-837F-790E9DE4288B}"/>
    <cellStyle name="Normal 39 2" xfId="35442" xr:uid="{D1356C20-4393-4E78-9DB8-9E9E82ECB83C}"/>
    <cellStyle name="Normal 39 2 2" xfId="35443" xr:uid="{EA4A3A6F-CE20-4403-8392-E637F56955E5}"/>
    <cellStyle name="Normal 39 2 3" xfId="35444" xr:uid="{4DC034F7-AE8A-4477-AC43-C59EDE0A665C}"/>
    <cellStyle name="Normal 39 2 4" xfId="35445" xr:uid="{6D028F88-066F-41BC-9B66-4E43BC8E28F7}"/>
    <cellStyle name="Normal 39 2 5" xfId="35446" xr:uid="{AC868FD0-6DFE-47DB-84F5-6F8A479E4D9F}"/>
    <cellStyle name="Normal 39 2 6" xfId="35447" xr:uid="{04397A7C-E622-46C4-873C-AE1A1554E295}"/>
    <cellStyle name="Normal 39 3" xfId="35448" xr:uid="{8A97FDCC-88E3-44EF-AEC6-7942D34C4937}"/>
    <cellStyle name="Normal 39 3 2" xfId="35449" xr:uid="{1F23978E-6613-4AB4-A3F1-A4EDD52DEFFE}"/>
    <cellStyle name="Normal 39 3 3" xfId="35450" xr:uid="{6920B00C-DB87-4B15-97F9-DC90AC78A7D7}"/>
    <cellStyle name="Normal 39 3 4" xfId="35451" xr:uid="{1E6E987E-7C69-44E6-8843-F600B485B419}"/>
    <cellStyle name="Normal 39 3 5" xfId="35452" xr:uid="{57414F79-D8E4-441B-AB01-CEA0CCD2CB43}"/>
    <cellStyle name="Normal 39 3 6" xfId="35453" xr:uid="{5ED69EDE-1475-419A-86FA-E8165674E62D}"/>
    <cellStyle name="Normal 39 4" xfId="35454" xr:uid="{3C6CA0A8-44CF-464B-9328-B3DFEE440711}"/>
    <cellStyle name="Normal 39 4 2" xfId="35455" xr:uid="{49D2E0BF-6E55-4CA3-AC4E-6413D41B6AC7}"/>
    <cellStyle name="Normal 39 4 3" xfId="35456" xr:uid="{4F7E36D7-4F2D-4C9D-9D2B-470AC7436F8A}"/>
    <cellStyle name="Normal 39 4 4" xfId="35457" xr:uid="{39C60F38-E6D2-4663-AE8A-A017D114D7DA}"/>
    <cellStyle name="Normal 39 4 5" xfId="35458" xr:uid="{3A3E7CDB-1FE7-4C69-A620-ABBB9895E707}"/>
    <cellStyle name="Normal 39 4 6" xfId="35459" xr:uid="{A996C67F-A917-420C-9D77-225641A4CEB2}"/>
    <cellStyle name="Normal 39 5" xfId="35460" xr:uid="{F07FD0CC-ABA9-4CB4-82AB-78360855496C}"/>
    <cellStyle name="Normal 39 5 2" xfId="35461" xr:uid="{A60198E5-07CA-490F-A7D0-9D937299AAB1}"/>
    <cellStyle name="Normal 39 5 3" xfId="35462" xr:uid="{9EEC7078-AB5D-4AF1-92E4-7ED9A61C9833}"/>
    <cellStyle name="Normal 39 5 4" xfId="35463" xr:uid="{BD034184-A60C-48E6-A346-C1EC65925CD7}"/>
    <cellStyle name="Normal 39 5 5" xfId="35464" xr:uid="{17A7B7B6-F241-41AE-88FE-45565311A3F0}"/>
    <cellStyle name="Normal 39 5 6" xfId="35465" xr:uid="{884E8AC3-88F7-4779-AB1C-64AF88D5D417}"/>
    <cellStyle name="Normal 39 6" xfId="35466" xr:uid="{10AEB274-4EB0-48C4-BD18-DF4B4C9E652E}"/>
    <cellStyle name="Normal 39 6 2" xfId="35467" xr:uid="{55244244-AD27-4B58-BB5F-EDA170BE2840}"/>
    <cellStyle name="Normal 39 6 3" xfId="35468" xr:uid="{5B795A9F-67B8-4F7E-B9A4-C2F094F61476}"/>
    <cellStyle name="Normal 39 6 4" xfId="35469" xr:uid="{9E04C50A-5AB0-45B7-9D59-F4A52A5218FF}"/>
    <cellStyle name="Normal 39 6 5" xfId="35470" xr:uid="{E1345041-D6D7-41E8-8E09-98069F27EE23}"/>
    <cellStyle name="Normal 39 6 6" xfId="35471" xr:uid="{84A97C00-55D2-4960-918C-EB652E72D320}"/>
    <cellStyle name="Normal 39 7" xfId="35472" xr:uid="{82B28187-81E7-4555-9CA3-FFFEA0EC69BF}"/>
    <cellStyle name="Normal 39 7 2" xfId="35473" xr:uid="{F7FFD175-A16C-4D21-AC62-B4E3B0642891}"/>
    <cellStyle name="Normal 39 7 3" xfId="35474" xr:uid="{6C2FD348-2C58-41DE-9E22-C7DED206CBC1}"/>
    <cellStyle name="Normal 39 7 4" xfId="35475" xr:uid="{03167821-9763-4256-902D-D991AA69141E}"/>
    <cellStyle name="Normal 39 7 5" xfId="35476" xr:uid="{790EE48F-D809-4FC3-826F-2AA057474D73}"/>
    <cellStyle name="Normal 39 7 6" xfId="35477" xr:uid="{AA5BD3F4-DC48-4610-B224-BF6817C5DD93}"/>
    <cellStyle name="Normal 39 8" xfId="35478" xr:uid="{61BCB3AE-7E21-47E8-B0B6-D0D7F212150F}"/>
    <cellStyle name="Normal 39 8 2" xfId="35479" xr:uid="{4A25C9D7-D04F-4FDD-874E-0DAB72E0ADB2}"/>
    <cellStyle name="Normal 39 8 3" xfId="35480" xr:uid="{2F2EF6B4-6AF4-4A75-A07F-3A1FC2E897E5}"/>
    <cellStyle name="Normal 39 8 4" xfId="35481" xr:uid="{82082944-3ACD-46AB-AF1F-38B9EB03F7E5}"/>
    <cellStyle name="Normal 39 8 5" xfId="35482" xr:uid="{873FA21D-FF97-49A7-B54D-2D4E55908709}"/>
    <cellStyle name="Normal 39 8 6" xfId="35483" xr:uid="{97BAF50F-7725-40C3-AA21-B679AD6A5904}"/>
    <cellStyle name="Normal 39 9" xfId="35484" xr:uid="{25EFD98B-79B6-461B-A10F-925824652CF8}"/>
    <cellStyle name="Normal 4" xfId="8" xr:uid="{00000000-0005-0000-0000-00000C000000}"/>
    <cellStyle name="Normal 4 10" xfId="11" xr:uid="{00000000-0005-0000-0000-00000D000000}"/>
    <cellStyle name="Normal 4 11" xfId="35485" xr:uid="{47E12E2D-D183-417A-A800-C5030D1E9D63}"/>
    <cellStyle name="Normal 4 12" xfId="35486" xr:uid="{82879068-A3E3-42BB-B2D0-DABD504A8D78}"/>
    <cellStyle name="Normal 4 13" xfId="35487" xr:uid="{F70985DD-1A0A-4E38-8514-9B4ADF4F7F6B}"/>
    <cellStyle name="Normal 4 14" xfId="35488" xr:uid="{FDE3242D-B4AD-47D0-9480-841436EE62EA}"/>
    <cellStyle name="Normal 4 15" xfId="35489" xr:uid="{6E008132-5561-4162-BAD9-4BA0A6619D13}"/>
    <cellStyle name="Normal 4 16" xfId="35490" xr:uid="{685DD157-E284-490C-AE5C-552EAB72E0CD}"/>
    <cellStyle name="Normal 4 17" xfId="35491" xr:uid="{075742AB-2FF5-4D1F-A3AA-BF9A2F09E8FB}"/>
    <cellStyle name="Normal 4 18" xfId="35492" xr:uid="{42239099-7EDF-472B-8265-4B0AC76EAA31}"/>
    <cellStyle name="Normal 4 19" xfId="35493" xr:uid="{CBDA8EE0-C57A-433F-818C-71A545EA70DF}"/>
    <cellStyle name="Normal 4 2" xfId="1092" xr:uid="{35BC69EC-B9DB-4C1C-B619-04DC8BB25EDF}"/>
    <cellStyle name="Normal 4 2 2" xfId="35494" xr:uid="{053F69DD-BA9F-4608-B4DD-F14907AB7235}"/>
    <cellStyle name="Normal 4 2 2 2" xfId="35495" xr:uid="{3099B648-0C01-49DA-AB3A-186485DB8ED3}"/>
    <cellStyle name="Normal 4 2 2 2 2" xfId="35496" xr:uid="{F822AC7E-8646-4728-BD61-A30310D1D932}"/>
    <cellStyle name="Normal 4 2 2 3" xfId="35497" xr:uid="{67A91821-E8ED-4082-A4A3-FD63E2ACFB54}"/>
    <cellStyle name="Normal 4 2 3" xfId="35498" xr:uid="{DD6D9722-5034-45B9-BE4B-905A54B2C16C}"/>
    <cellStyle name="Normal 4 20" xfId="35499" xr:uid="{4D225217-04C3-45A9-8D91-CD70ECDCFBFB}"/>
    <cellStyle name="Normal 4 21" xfId="35500" xr:uid="{5AAD3605-B387-4376-9D04-80F35280453A}"/>
    <cellStyle name="Normal 4 22" xfId="35501" xr:uid="{438F406D-A2DD-4893-A27D-754CC1BAB270}"/>
    <cellStyle name="Normal 4 23" xfId="35502" xr:uid="{F03AD68F-0D31-4FE9-8789-B365B9EA7AEB}"/>
    <cellStyle name="Normal 4 24" xfId="35503" xr:uid="{B5C85BA7-317D-42C2-8313-A7C9474E33D6}"/>
    <cellStyle name="Normal 4 25" xfId="35504" xr:uid="{FE7C0EA6-7B05-444D-8481-14AD11158F74}"/>
    <cellStyle name="Normal 4 26" xfId="35505" xr:uid="{8CCB0613-4F45-47C1-BB3B-8BAC17916647}"/>
    <cellStyle name="Normal 4 27" xfId="35506" xr:uid="{938F765E-229C-4CAD-B71F-87103F89FF8B}"/>
    <cellStyle name="Normal 4 28" xfId="35507" xr:uid="{630E2D1E-D9E9-489A-9E9B-761B36BDB5A3}"/>
    <cellStyle name="Normal 4 3" xfId="1093" xr:uid="{B4EDB7C9-4D93-4E25-BE72-346732DF42FF}"/>
    <cellStyle name="Normal 4 3 2" xfId="35508" xr:uid="{E9573AFD-CE8B-49CA-BFD2-012608217AAA}"/>
    <cellStyle name="Normal 4 4" xfId="35509" xr:uid="{F2D0BCF0-4CFE-437C-B62A-71B86A63BEA8}"/>
    <cellStyle name="Normal 4 4 2" xfId="35510" xr:uid="{07CC2825-4C6A-4001-B28E-56CC4445E12F}"/>
    <cellStyle name="Normal 4 5" xfId="35511" xr:uid="{7D3248DA-030A-4C99-BC1E-E005FB4044BF}"/>
    <cellStyle name="Normal 4 5 2" xfId="35512" xr:uid="{67204935-C766-4660-B470-FD6EADD3DD77}"/>
    <cellStyle name="Normal 4 5 3" xfId="35513" xr:uid="{A9F3D8FA-77B4-429B-B893-E387DAAA32BA}"/>
    <cellStyle name="Normal 4 6" xfId="35514" xr:uid="{C9AAE595-CE08-442E-8212-3A8D04AC050D}"/>
    <cellStyle name="Normal 4 6 2" xfId="35515" xr:uid="{6D3AC582-1F65-40D7-AC27-20D90C3C2A05}"/>
    <cellStyle name="Normal 4 7" xfId="35516" xr:uid="{E810F3F9-77F2-4DB3-8F95-6580F1419A8F}"/>
    <cellStyle name="Normal 4 8" xfId="35517" xr:uid="{F1DF6BBE-BFDE-41FB-9CA9-90A053488F8A}"/>
    <cellStyle name="Normal 4 9" xfId="35518" xr:uid="{02EBBC6B-8A91-4382-9CCB-0722A68E9AFC}"/>
    <cellStyle name="Normal 4_Base de correção ER Escelsa" xfId="35519" xr:uid="{4C2E0AE9-6282-463A-9489-EBB33CF93A57}"/>
    <cellStyle name="Normal 40" xfId="1689" xr:uid="{C0FB3514-3B46-45B4-BD64-DEB986EA315E}"/>
    <cellStyle name="Normal 40 2" xfId="35520" xr:uid="{769C668A-BF7A-4414-BB1F-75B1B3E0252E}"/>
    <cellStyle name="Normal 40 3" xfId="43587" xr:uid="{C9418812-A2B1-451C-9E1B-8755CDA531C9}"/>
    <cellStyle name="Normal 41" xfId="35521" xr:uid="{703563AB-D50C-401E-9FB4-3A82E0256DB5}"/>
    <cellStyle name="Normal 41 2" xfId="35522" xr:uid="{390F129E-7361-44C1-BE91-621E5E38B13A}"/>
    <cellStyle name="Normal 41 3" xfId="35523" xr:uid="{368A3EDC-BCB4-4C1A-B4FA-A46575BA3AEF}"/>
    <cellStyle name="Normal 42" xfId="35524" xr:uid="{2C7900DF-4FB9-4D5A-B6B9-8D994966FAC6}"/>
    <cellStyle name="Normal 42 2" xfId="35525" xr:uid="{AD037E9A-A7F6-438A-8820-D36AC9FAC7F2}"/>
    <cellStyle name="Normal 42 3" xfId="35526" xr:uid="{10E1E3B2-F054-4A2F-A6AD-5759516EB35F}"/>
    <cellStyle name="Normal 43" xfId="35527" xr:uid="{EED9FC79-B2AC-4E28-B948-669742B0BBF3}"/>
    <cellStyle name="Normal 43 2" xfId="35528" xr:uid="{5E71B8B6-DDF7-402A-B52A-C8769FC5D08F}"/>
    <cellStyle name="Normal 43 3" xfId="35529" xr:uid="{602EEAE2-406F-4C99-B62F-14B106C78DA0}"/>
    <cellStyle name="Normal 43 4" xfId="35530" xr:uid="{1851629C-F34D-4DFD-BAFC-A1D532B58AC8}"/>
    <cellStyle name="Normal 43 5" xfId="35531" xr:uid="{E4CCE6D1-D83E-4A2B-9695-18132C91577F}"/>
    <cellStyle name="Normal 44" xfId="35532" xr:uid="{1FAFD283-FFA5-4510-A863-AFA0E251E950}"/>
    <cellStyle name="Normal 44 2" xfId="35533" xr:uid="{0625CFA9-A2BF-444F-BFAC-B913F8273F4C}"/>
    <cellStyle name="Normal 44 2 2" xfId="35534" xr:uid="{D2ECE9A4-F568-4C80-989A-761C00B70755}"/>
    <cellStyle name="Normal 44 2 3" xfId="35535" xr:uid="{932BBE19-0E89-4FD5-8981-2A44BF5CEE5C}"/>
    <cellStyle name="Normal 44 2 4" xfId="35536" xr:uid="{018AEFA0-99F6-484A-89BB-C13FE9ED3A05}"/>
    <cellStyle name="Normal 44 2 5" xfId="35537" xr:uid="{D108D262-DEEE-4CFB-A0DA-A4D8E5FE0226}"/>
    <cellStyle name="Normal 44 2 6" xfId="35538" xr:uid="{C3979DCC-7F9F-46D7-8DB1-33CF2B404DDD}"/>
    <cellStyle name="Normal 44 3" xfId="35539" xr:uid="{5FB5D225-4EA1-437E-BC94-1C26B3B8EEDB}"/>
    <cellStyle name="Normal 44 3 2" xfId="35540" xr:uid="{8A521142-34BF-4397-89C2-1325DCD7B417}"/>
    <cellStyle name="Normal 44 3 3" xfId="35541" xr:uid="{727BD187-DF28-4F45-8F4F-2D5AF131403D}"/>
    <cellStyle name="Normal 44 3 4" xfId="35542" xr:uid="{1F6264DA-1E53-416E-BD53-DD4BF3874D31}"/>
    <cellStyle name="Normal 44 3 5" xfId="35543" xr:uid="{BD84647A-900F-49C4-A80F-19E8F537EC82}"/>
    <cellStyle name="Normal 44 3 6" xfId="35544" xr:uid="{0ABA0E4E-8734-4915-B1B8-FE08C831FDCF}"/>
    <cellStyle name="Normal 45" xfId="35545" xr:uid="{6B83D331-E918-4F8A-AF4B-5D2D4DBD961A}"/>
    <cellStyle name="Normal 45 2" xfId="35546" xr:uid="{3D075405-396E-4F73-8A43-1D2431F65BBA}"/>
    <cellStyle name="Normal 45 2 2" xfId="35547" xr:uid="{030F4923-1E1A-4D04-B705-0C4634177E13}"/>
    <cellStyle name="Normal 45 2 2 2" xfId="35548" xr:uid="{47AE0058-CDAB-4E72-B7A5-CD99F24F4FE5}"/>
    <cellStyle name="Normal 45 2 2 3" xfId="35549" xr:uid="{6A53361E-7F81-4E99-BE56-F94151B0ABA1}"/>
    <cellStyle name="Normal 45 2 2 4" xfId="35550" xr:uid="{B19DA7C0-56AE-4181-877B-9B8BD9F51762}"/>
    <cellStyle name="Normal 45 2 2 5" xfId="35551" xr:uid="{24053DC0-C172-40D7-B4D9-2981077E1A91}"/>
    <cellStyle name="Normal 45 2 2 6" xfId="35552" xr:uid="{77EDC36F-237C-4FC0-BB05-90AD61E57154}"/>
    <cellStyle name="Normal 45 2 2 7" xfId="35553" xr:uid="{A950ABDA-21A5-4B31-9102-ADDF2A2B97C1}"/>
    <cellStyle name="Normal 45 3" xfId="35554" xr:uid="{70E6F7DA-BCD7-4250-B00D-68B709251F40}"/>
    <cellStyle name="Normal 45 4" xfId="35555" xr:uid="{9274CD42-845F-462F-8A42-51AAF8B73213}"/>
    <cellStyle name="Normal 45 5" xfId="35556" xr:uid="{09B642B1-AD4D-4308-A5AE-714C65DCC86C}"/>
    <cellStyle name="Normal 45 6" xfId="35557" xr:uid="{0D49826F-B6EC-4387-9F6D-BF31D400DFC9}"/>
    <cellStyle name="Normal 45 7" xfId="35558" xr:uid="{9FA177AA-840C-44DA-B658-3ABF65D83383}"/>
    <cellStyle name="Normal 45 8" xfId="35559" xr:uid="{12CFB4A3-F392-48A2-9A14-ECAFEBDCB2A1}"/>
    <cellStyle name="Normal 46" xfId="35560" xr:uid="{B4815E53-EFA4-45DD-842D-83A3CDBBD3A2}"/>
    <cellStyle name="Normal 46 2" xfId="35561" xr:uid="{069840B3-7F1F-449C-8326-A7E65B8EAACF}"/>
    <cellStyle name="Normal 47" xfId="35562" xr:uid="{3B7363ED-C2E5-4502-8E78-511D23FCD6F7}"/>
    <cellStyle name="Normal 47 2" xfId="35563" xr:uid="{97889404-6792-4BCE-8C2D-598A9719C3B5}"/>
    <cellStyle name="Normal 47 2 2" xfId="43588" xr:uid="{B161855A-907F-472F-9114-E8286E0DF97B}"/>
    <cellStyle name="Normal 47 3" xfId="43589" xr:uid="{EB76AA59-2BE9-4544-8421-60D84AB426A3}"/>
    <cellStyle name="Normal 48" xfId="35564" xr:uid="{ED542F07-8EE1-4391-87DF-E701783F83B5}"/>
    <cellStyle name="Normal 48 2" xfId="35565" xr:uid="{C74A2BBE-A453-4A3A-956E-CEC78D8A805B}"/>
    <cellStyle name="Normal 49" xfId="35566" xr:uid="{59A1B9D2-15A7-4A6A-B0DA-18AD3933F250}"/>
    <cellStyle name="Normal 49 2" xfId="35567" xr:uid="{F520F564-70F9-4695-B2DD-F783A2F02655}"/>
    <cellStyle name="Normal 49 2 2" xfId="43590" xr:uid="{A6E91624-6A60-42E7-8ECB-AEB0A681F2E0}"/>
    <cellStyle name="Normal 49 3" xfId="43591" xr:uid="{A6D085CD-DFD8-4380-9200-1EBE370DAE6B}"/>
    <cellStyle name="Normal 49 3 2" xfId="43592" xr:uid="{C6C4F0F4-3C9C-4182-B945-E6BEFF7211FF}"/>
    <cellStyle name="Normal 49 3 2 2" xfId="43593" xr:uid="{FDC7E9F0-5CAD-4420-A7F5-0F131DFF01C6}"/>
    <cellStyle name="Normal 49 3 3" xfId="43594" xr:uid="{E8399725-8FCF-42CC-9858-60A44189A2BA}"/>
    <cellStyle name="Normal 49 4" xfId="43595" xr:uid="{1CEACF90-2527-42E9-B907-7CE002EA7688}"/>
    <cellStyle name="Normal 5" xfId="930" xr:uid="{92AFC047-44A2-4594-9030-E93CD677EA12}"/>
    <cellStyle name="Normal 5 2" xfId="1094" xr:uid="{7DB632C3-E3B9-4CE1-8570-EDB6C36CF1E5}"/>
    <cellStyle name="Normal 5 3" xfId="1794" xr:uid="{8B047E0E-14B7-4FEA-A908-765011C2B89C}"/>
    <cellStyle name="Normal 5 3 2" xfId="35568" xr:uid="{A394486C-68ED-459B-94D3-B5259761DBBC}"/>
    <cellStyle name="Normal 5 4" xfId="35569" xr:uid="{C5D3618F-383D-4B75-95E3-4A9C2A6F6D6E}"/>
    <cellStyle name="Normal 5 5" xfId="35570" xr:uid="{58AA519E-F11E-4376-B340-0EB6EE494FAB}"/>
    <cellStyle name="Normal 5 6" xfId="35571" xr:uid="{3D41B21E-CB34-4FB4-A9BD-2F468F2EBC33}"/>
    <cellStyle name="Normal 5 7" xfId="35572" xr:uid="{D8C89E36-00A2-48C8-9DBF-A9D23E2D4819}"/>
    <cellStyle name="Normal 50" xfId="35573" xr:uid="{286EBF66-67A9-4431-A836-7C8B2296671D}"/>
    <cellStyle name="Normal 50 2" xfId="35574" xr:uid="{9B29D8A7-2D29-428B-951B-656BBFE49FE6}"/>
    <cellStyle name="Normal 51" xfId="35575" xr:uid="{EAED9A12-9FD7-4337-869B-3BFE3E83BE5A}"/>
    <cellStyle name="Normal 51 2" xfId="35576" xr:uid="{5AB917DA-CCE1-47FE-B50B-F2ED362D2736}"/>
    <cellStyle name="Normal 51 2 2" xfId="43596" xr:uid="{DBF3EA8A-2C5E-4843-844F-8FAB1B394A80}"/>
    <cellStyle name="Normal 51 3" xfId="43597" xr:uid="{A2F6EFAC-FC70-4F76-89C4-CE47D67A8EEB}"/>
    <cellStyle name="Normal 51 3 2" xfId="43598" xr:uid="{EFE211DE-3A38-41BE-A708-1C75C202DE3D}"/>
    <cellStyle name="Normal 51 4" xfId="43599" xr:uid="{16D4BBAE-38EB-40BD-A114-4BAED86C7014}"/>
    <cellStyle name="Normal 52" xfId="35577" xr:uid="{55927EA8-50EC-453F-A416-06DB3EA48C26}"/>
    <cellStyle name="Normal 52 2" xfId="35578" xr:uid="{489DD5D3-2C23-4FC0-ADF9-184E30881D99}"/>
    <cellStyle name="Normal 53" xfId="35579" xr:uid="{2D5BDE15-E2B1-401B-B955-5BBD68BA00C4}"/>
    <cellStyle name="Normal 53 2" xfId="35580" xr:uid="{52079270-E62F-4D0A-AA5B-A98AFF60AC3E}"/>
    <cellStyle name="Normal 53 2 2" xfId="43600" xr:uid="{11EACFDE-E58A-4976-ACF3-9AD814C419E7}"/>
    <cellStyle name="Normal 53 3" xfId="43601" xr:uid="{A20D9194-3C27-4166-B1B0-9912825FF3BA}"/>
    <cellStyle name="Normal 54" xfId="35581" xr:uid="{B7B6E5E6-3134-4AD8-B372-0AB751D35A25}"/>
    <cellStyle name="Normal 54 2" xfId="35582" xr:uid="{19038083-41E5-4EAF-8AE2-8F5E5A49FC18}"/>
    <cellStyle name="Normal 55" xfId="35583" xr:uid="{BE8F8D8B-7F1D-41B7-9A43-CFD9C3202C98}"/>
    <cellStyle name="Normal 55 2" xfId="35584" xr:uid="{716CB5BF-0BC5-494E-8F14-9FB5189D2053}"/>
    <cellStyle name="Normal 56" xfId="35585" xr:uid="{B8FF8E92-D8D2-4910-9B08-70E04E5EB981}"/>
    <cellStyle name="Normal 56 2" xfId="35586" xr:uid="{5FE3EA53-95DB-47E2-BF51-5108F2A6BFBD}"/>
    <cellStyle name="Normal 57" xfId="35587" xr:uid="{805EF66C-CCAD-494C-A3C1-819C2AAF1356}"/>
    <cellStyle name="Normal 57 2" xfId="35588" xr:uid="{A1B63E09-4B29-425F-ACDA-FE2C30A4EB57}"/>
    <cellStyle name="Normal 58" xfId="35589" xr:uid="{64C10F78-B254-45B9-AACD-B1760C34DA9E}"/>
    <cellStyle name="Normal 58 2" xfId="35590" xr:uid="{05E96677-9558-4A24-8009-12A8002157A7}"/>
    <cellStyle name="Normal 59" xfId="35591" xr:uid="{B2D98D5A-B8B5-4CED-A26A-D415D097998C}"/>
    <cellStyle name="Normal 59 2" xfId="35592" xr:uid="{5E15D529-B23A-41C8-9BD4-D0B4A5A14D81}"/>
    <cellStyle name="Normal 6" xfId="1095" xr:uid="{74BCC304-0E91-4460-B4B5-03239443D0EA}"/>
    <cellStyle name="Normal 6 2" xfId="1096" xr:uid="{B9867447-F4C3-4360-8696-59DDFEF3C99B}"/>
    <cellStyle name="Normal 6 3" xfId="35593" xr:uid="{FCA9D23E-1FB6-43B4-893F-5CAB01AA035C}"/>
    <cellStyle name="Normal 6 3 2" xfId="35594" xr:uid="{4064E742-0A41-4C27-8D44-301DE5C35B43}"/>
    <cellStyle name="Normal 6 4" xfId="35595" xr:uid="{0E0BCC54-8F1E-45CE-84A6-26D23D1CF6D4}"/>
    <cellStyle name="Normal 6 5" xfId="35596" xr:uid="{44F5DDD3-8316-452F-BD82-4A64B91A0952}"/>
    <cellStyle name="Normal 6 6" xfId="43602" xr:uid="{A43C0C63-4670-4E63-9A0A-C499BB03F229}"/>
    <cellStyle name="Normal 6 6 2" xfId="43603" xr:uid="{01A51023-962B-4D15-8206-C5407EFC73D2}"/>
    <cellStyle name="Normal 60" xfId="35597" xr:uid="{0B9E3744-399D-45EF-A266-B1DF41608138}"/>
    <cellStyle name="Normal 60 2" xfId="35598" xr:uid="{A1BEBF5F-A372-47CA-8C06-39094FD9E930}"/>
    <cellStyle name="Normal 61" xfId="35599" xr:uid="{871BF67A-E0ED-482B-8A8A-C10DF89E577C}"/>
    <cellStyle name="Normal 61 2" xfId="35600" xr:uid="{FA89D388-A230-4A0A-9E72-277521DE7922}"/>
    <cellStyle name="Normal 61 3" xfId="35601" xr:uid="{C93E106C-E5DF-49FC-8B6B-E0E987DAC593}"/>
    <cellStyle name="Normal 61 4" xfId="35602" xr:uid="{4E0B580B-EB78-4BB5-AF46-41548FADBCCE}"/>
    <cellStyle name="Normal 61 5" xfId="35603" xr:uid="{7E5E38E8-6033-4CC3-9511-6CAC8BF7ABEF}"/>
    <cellStyle name="Normal 61 6" xfId="35604" xr:uid="{D1C080EB-3FCA-41B8-B6C0-CCCAED0628BD}"/>
    <cellStyle name="Normal 61 7" xfId="35605" xr:uid="{6259CCD1-B50D-4AC8-92D7-063C3D4629F3}"/>
    <cellStyle name="Normal 62" xfId="35606" xr:uid="{C32F41C5-CBB9-4B37-AF9C-4B73F48CC66F}"/>
    <cellStyle name="Normal 63" xfId="35607" xr:uid="{9DBD8DA7-C212-4148-A96C-1E961DE6E9EA}"/>
    <cellStyle name="Normal 64" xfId="35608" xr:uid="{0DF1117E-FCB2-4DC0-965C-6674389AB4D1}"/>
    <cellStyle name="Normal 65" xfId="35609" xr:uid="{7ED05C94-6568-44CE-B79D-FBE49B062FAA}"/>
    <cellStyle name="Normal 66" xfId="35610" xr:uid="{AA18B2CA-5999-4851-9E71-C06E6F8B40A7}"/>
    <cellStyle name="Normal 67" xfId="35611" xr:uid="{F16BB3EC-5058-41E0-97B6-3A44A2D8CF87}"/>
    <cellStyle name="Normal 68" xfId="35612" xr:uid="{A133009E-4FE4-4111-9639-B3BFC0CD5040}"/>
    <cellStyle name="Normal 69" xfId="35613" xr:uid="{1A7E6BC9-65B0-4A61-BD23-DDC09107C811}"/>
    <cellStyle name="Normal 7" xfId="1097" xr:uid="{76A423A4-B026-4501-8D97-950573DDE4F6}"/>
    <cellStyle name="Normal 7 10" xfId="35614" xr:uid="{7E9FDD92-8E09-4DB4-90D0-1F6D3DF76AD3}"/>
    <cellStyle name="Normal 7 11" xfId="35615" xr:uid="{4B1040DE-0C8D-4AE9-8638-029849A03D75}"/>
    <cellStyle name="Normal 7 12" xfId="35616" xr:uid="{58AF6057-4649-400C-A36D-FE749992661D}"/>
    <cellStyle name="Normal 7 13" xfId="35617" xr:uid="{E56AE7D9-5D65-45D5-A0C6-ABC21832B335}"/>
    <cellStyle name="Normal 7 14" xfId="35618" xr:uid="{86F2594A-B06E-4006-B5BF-BFD3BD01EEB9}"/>
    <cellStyle name="Normal 7 15" xfId="35619" xr:uid="{529885ED-5DAF-4227-B1DB-FF5A86F5BDC5}"/>
    <cellStyle name="Normal 7 16" xfId="35620" xr:uid="{51D623D0-CD5F-4CE9-A2C3-12FF26C0323C}"/>
    <cellStyle name="Normal 7 17" xfId="35621" xr:uid="{543A603B-0ACD-4306-895A-DFAADFE6234C}"/>
    <cellStyle name="Normal 7 18" xfId="35622" xr:uid="{0E766EB6-6EF3-4835-9FBE-AE2CBBDC764C}"/>
    <cellStyle name="Normal 7 19" xfId="35623" xr:uid="{7A872162-CD0B-4464-BD65-C986E5A2FA61}"/>
    <cellStyle name="Normal 7 2" xfId="1098" xr:uid="{5CD4C5EE-90E8-4B9E-A0DD-1FB350B41849}"/>
    <cellStyle name="Normal 7 2 2" xfId="35624" xr:uid="{B603EDCB-32A4-4333-A5A3-A78EB4C50963}"/>
    <cellStyle name="Normal 7 20" xfId="35625" xr:uid="{E7410004-8E92-4595-BD5E-37C737117611}"/>
    <cellStyle name="Normal 7 21" xfId="35626" xr:uid="{211FF633-ED27-43E9-AF9F-C2034E5CD1DA}"/>
    <cellStyle name="Normal 7 22" xfId="35627" xr:uid="{24208B20-F075-42F4-ABB9-F314E2EAFF40}"/>
    <cellStyle name="Normal 7 23" xfId="35628" xr:uid="{70CE1210-99EE-4957-BDFF-1327D6A3A159}"/>
    <cellStyle name="Normal 7 24" xfId="35629" xr:uid="{B762C52D-7E73-41DC-B768-0ECF384491F8}"/>
    <cellStyle name="Normal 7 25" xfId="35630" xr:uid="{A21BE763-DD72-4103-AB77-D339E50D4674}"/>
    <cellStyle name="Normal 7 26" xfId="35631" xr:uid="{1C4D76BF-BB7A-45AE-866F-49AEC0DFEABF}"/>
    <cellStyle name="Normal 7 27" xfId="35632" xr:uid="{F3F53D59-7103-4709-80E1-93A21BAF109C}"/>
    <cellStyle name="Normal 7 28" xfId="35633" xr:uid="{6B178F5D-E79B-47B0-86EC-CBA97B87F548}"/>
    <cellStyle name="Normal 7 29" xfId="35634" xr:uid="{8ED4B169-EB3C-44C6-BB96-9AA26FE93E75}"/>
    <cellStyle name="Normal 7 3" xfId="35635" xr:uid="{AF02C192-BAC3-47F3-A35E-5C2EE57AA62B}"/>
    <cellStyle name="Normal 7 3 2" xfId="35636" xr:uid="{746FFBBE-2887-48A2-906A-833FDF8E01A0}"/>
    <cellStyle name="Normal 7 30" xfId="35637" xr:uid="{DD89E597-33C8-4032-8F1B-AA4A9BCAC1B8}"/>
    <cellStyle name="Normal 7 31" xfId="35638" xr:uid="{5BE4D143-1854-49CB-B6AB-76450A66D12D}"/>
    <cellStyle name="Normal 7 32" xfId="35639" xr:uid="{AE6E7725-8559-4A9A-BC16-38FB15BC4469}"/>
    <cellStyle name="Normal 7 33" xfId="35640" xr:uid="{9D343EFC-7C82-4F5B-8849-84E5236046F8}"/>
    <cellStyle name="Normal 7 34" xfId="35641" xr:uid="{231EAA3D-82B0-4B4C-A1AA-3FA54CDEB6DF}"/>
    <cellStyle name="Normal 7 35" xfId="35642" xr:uid="{49EE4BE2-2A87-4E6E-A68B-56743B0555C6}"/>
    <cellStyle name="Normal 7 36" xfId="35643" xr:uid="{558AFD9D-E541-490A-B824-21329B10F6E2}"/>
    <cellStyle name="Normal 7 37" xfId="35644" xr:uid="{334A36E3-B09F-40B9-B1B2-C16D1BF3C972}"/>
    <cellStyle name="Normal 7 38" xfId="35645" xr:uid="{45DA8DA7-15FC-41B3-B956-2A193A7F3412}"/>
    <cellStyle name="Normal 7 39" xfId="35646" xr:uid="{A226B834-9DEF-4B20-880F-D8C23A14BD34}"/>
    <cellStyle name="Normal 7 4" xfId="35647" xr:uid="{CEA83340-5E71-4720-AF1D-B4D82117F9F2}"/>
    <cellStyle name="Normal 7 40" xfId="35648" xr:uid="{695096DE-458D-4DF4-993B-6F16A14C34D7}"/>
    <cellStyle name="Normal 7 41" xfId="35649" xr:uid="{B0543FE9-F586-47BB-9982-1537B0535E5D}"/>
    <cellStyle name="Normal 7 42" xfId="35650" xr:uid="{AD51B839-1E76-47E5-AC32-A65DBC9F34ED}"/>
    <cellStyle name="Normal 7 43" xfId="35651" xr:uid="{B3442F2F-18F3-4F7B-A08D-27CA3DB068B3}"/>
    <cellStyle name="Normal 7 44" xfId="35652" xr:uid="{7F61DD78-BF37-4BD8-B871-E4D853A8EF08}"/>
    <cellStyle name="Normal 7 45" xfId="35653" xr:uid="{49A9E700-84BD-4C17-B2B4-5E879C71D182}"/>
    <cellStyle name="Normal 7 46" xfId="35654" xr:uid="{5A207A0D-39FA-4475-920D-E7F50D6C9CA1}"/>
    <cellStyle name="Normal 7 47" xfId="35655" xr:uid="{EA36EA6A-E6E2-4204-AF5C-CD7D5FDF6B07}"/>
    <cellStyle name="Normal 7 48" xfId="35656" xr:uid="{C3FFB91E-5BB3-4179-B20E-33EAB855D34E}"/>
    <cellStyle name="Normal 7 49" xfId="35657" xr:uid="{F7CE5B0D-60EB-4C66-8D8A-63634ADCEB5F}"/>
    <cellStyle name="Normal 7 5" xfId="35658" xr:uid="{5EA95BAD-DBDE-45A0-B11E-7FA0A1297F42}"/>
    <cellStyle name="Normal 7 50" xfId="35659" xr:uid="{4284C48D-4003-44BE-B75E-01AA7D0740F3}"/>
    <cellStyle name="Normal 7 51" xfId="35660" xr:uid="{00CCD310-F007-4B9D-8EB2-9D8196135E61}"/>
    <cellStyle name="Normal 7 52" xfId="35661" xr:uid="{880F31FF-FA4D-40C4-88F6-0E63DFC06340}"/>
    <cellStyle name="Normal 7 53" xfId="35662" xr:uid="{95B27D2A-E497-45CE-9738-0A233D9A6B46}"/>
    <cellStyle name="Normal 7 54" xfId="35663" xr:uid="{E54EFCBB-0A50-4959-A7E4-5F3D34B0FD79}"/>
    <cellStyle name="Normal 7 55" xfId="35664" xr:uid="{712045D4-2859-4417-A777-987D0521632B}"/>
    <cellStyle name="Normal 7 56" xfId="35665" xr:uid="{26183D98-3C42-495B-984E-B3A2A85FD615}"/>
    <cellStyle name="Normal 7 57" xfId="35666" xr:uid="{6FBEF845-9097-4841-B1B2-C8A54AF16111}"/>
    <cellStyle name="Normal 7 6" xfId="35667" xr:uid="{B42E5468-7685-4F66-8E78-E93859C608CC}"/>
    <cellStyle name="Normal 7 7" xfId="35668" xr:uid="{FBDCFAD2-C497-42B7-A482-BCF55D6AB44C}"/>
    <cellStyle name="Normal 7 8" xfId="35669" xr:uid="{343D11D5-1815-4D81-84B7-97E328F85C2E}"/>
    <cellStyle name="Normal 7 9" xfId="35670" xr:uid="{15D2C46A-9344-440D-BAB8-93ABD877BED1}"/>
    <cellStyle name="Normal 70" xfId="35671" xr:uid="{783B2D7B-EF9D-441B-84F1-6B6F2FED9E97}"/>
    <cellStyle name="Normal 71" xfId="35672" xr:uid="{DFD39F54-D306-4ABC-B06C-24679D01D29C}"/>
    <cellStyle name="Normal 72" xfId="35673" xr:uid="{D58CB657-A408-405E-B5F5-EBBC8ADED974}"/>
    <cellStyle name="Normal 73" xfId="35674" xr:uid="{FF69D5EF-CCD0-4DBA-92EC-3BAD407EFA52}"/>
    <cellStyle name="Normal 74" xfId="35675" xr:uid="{6B7E77F9-704D-4C0B-B307-79A6E29498F1}"/>
    <cellStyle name="Normal 75" xfId="35676" xr:uid="{ECA55730-8288-44BC-917C-6F8C0FB2D337}"/>
    <cellStyle name="Normal 76" xfId="35677" xr:uid="{C7ECA446-8BF7-43C8-BEFC-111CBA2A12D1}"/>
    <cellStyle name="Normal 77" xfId="35678" xr:uid="{A2CF5046-19BB-4B9A-B645-86ADB17D6B34}"/>
    <cellStyle name="Normal 78" xfId="35679" xr:uid="{69163EA8-4B5C-4920-AE44-D1A309CB535A}"/>
    <cellStyle name="Normal 79" xfId="35680" xr:uid="{B99978BB-C0EB-496B-9AAA-59EB54B2936A}"/>
    <cellStyle name="Normal 8" xfId="1099" xr:uid="{502FA35C-5640-42CF-BFAC-B2ABF9242FDC}"/>
    <cellStyle name="Normal 8 10" xfId="35681" xr:uid="{28E4DE69-D60E-4875-85A9-ED23B881D394}"/>
    <cellStyle name="Normal 8 10 10" xfId="35682" xr:uid="{6CD42452-3198-4AE2-99F1-4244C53EBD9F}"/>
    <cellStyle name="Normal 8 10 11" xfId="35683" xr:uid="{F21B95FE-111F-472E-902A-59BB04EF378E}"/>
    <cellStyle name="Normal 8 10 12" xfId="35684" xr:uid="{13598E18-4EFC-4781-943F-3CF0ABA7EFC0}"/>
    <cellStyle name="Normal 8 10 13" xfId="35685" xr:uid="{8B3C3AAB-70C9-41A2-827C-E7C778D4411F}"/>
    <cellStyle name="Normal 8 10 2" xfId="35686" xr:uid="{276A4C65-DF0E-418D-A526-C6552A0D850C}"/>
    <cellStyle name="Normal 8 10 2 2" xfId="35687" xr:uid="{B994447A-2DA3-440C-AFE5-6DFD322828C1}"/>
    <cellStyle name="Normal 8 10 2 3" xfId="35688" xr:uid="{F74388DB-7058-4528-9E6A-0EB1CC9302E2}"/>
    <cellStyle name="Normal 8 10 2 4" xfId="35689" xr:uid="{869B5365-1B7A-47AE-8267-D00D664E1EDB}"/>
    <cellStyle name="Normal 8 10 2 5" xfId="35690" xr:uid="{EE424875-BFE4-434F-8BD5-9AD488DB855F}"/>
    <cellStyle name="Normal 8 10 2 6" xfId="35691" xr:uid="{AE9FF2B1-B5E8-425D-AAC1-A56070AC6AC6}"/>
    <cellStyle name="Normal 8 10 3" xfId="35692" xr:uid="{011A8AA8-7F16-42D2-B740-9D8B659D9EB8}"/>
    <cellStyle name="Normal 8 10 3 2" xfId="35693" xr:uid="{14B09CC7-859F-46A3-9C3A-EA7A90CB1A0B}"/>
    <cellStyle name="Normal 8 10 3 3" xfId="35694" xr:uid="{9916155A-C834-403A-AB2F-F225ACCF9C7B}"/>
    <cellStyle name="Normal 8 10 3 4" xfId="35695" xr:uid="{C2142890-F9F9-47D4-84CD-93940BBB7495}"/>
    <cellStyle name="Normal 8 10 3 5" xfId="35696" xr:uid="{0AD9B3D0-5AF4-4872-9518-4125C05F4531}"/>
    <cellStyle name="Normal 8 10 3 6" xfId="35697" xr:uid="{0E31BE13-07C1-4D37-B92D-365B22F5B03A}"/>
    <cellStyle name="Normal 8 10 4" xfId="35698" xr:uid="{BD2502C4-633B-41F6-98FA-02E031B5DF38}"/>
    <cellStyle name="Normal 8 10 4 2" xfId="35699" xr:uid="{E1B1A55B-956D-4E57-B43E-24FD3CEF9BE6}"/>
    <cellStyle name="Normal 8 10 4 3" xfId="35700" xr:uid="{44ACD965-449F-41A4-9E53-FE2A1028457E}"/>
    <cellStyle name="Normal 8 10 4 4" xfId="35701" xr:uid="{9F4A19F5-D835-44A7-888F-B21764EBDF04}"/>
    <cellStyle name="Normal 8 10 4 5" xfId="35702" xr:uid="{8F753157-135F-45A3-BE42-C669249126E0}"/>
    <cellStyle name="Normal 8 10 4 6" xfId="35703" xr:uid="{667FE790-4092-4551-80C8-3DE74F535DB2}"/>
    <cellStyle name="Normal 8 10 5" xfId="35704" xr:uid="{82A311E3-9CB0-404E-BE10-CACCEE083B3E}"/>
    <cellStyle name="Normal 8 10 5 2" xfId="35705" xr:uid="{55198C13-A40E-4A77-B2B1-54664B1BD1C5}"/>
    <cellStyle name="Normal 8 10 5 3" xfId="35706" xr:uid="{09D4B457-E5C3-4930-9529-4066D93D787E}"/>
    <cellStyle name="Normal 8 10 5 4" xfId="35707" xr:uid="{7EF5F13E-12E6-4E27-A69B-A64A157C53D6}"/>
    <cellStyle name="Normal 8 10 5 5" xfId="35708" xr:uid="{87FE106F-237D-46AA-B73A-B5F88C982149}"/>
    <cellStyle name="Normal 8 10 5 6" xfId="35709" xr:uid="{F02F8A04-2E2A-4C6A-901F-6E6A85EEF832}"/>
    <cellStyle name="Normal 8 10 6" xfId="35710" xr:uid="{6366031A-DE59-4DBE-ABBD-D9B6E5BF67C7}"/>
    <cellStyle name="Normal 8 10 6 2" xfId="35711" xr:uid="{3E137769-82C9-4653-9690-037B6DB50A2B}"/>
    <cellStyle name="Normal 8 10 6 3" xfId="35712" xr:uid="{4B6D6750-FA91-4BBE-B4C2-ED4B64B32F3F}"/>
    <cellStyle name="Normal 8 10 6 4" xfId="35713" xr:uid="{8119F4EC-2D8E-43D9-A010-165D5ECE1312}"/>
    <cellStyle name="Normal 8 10 6 5" xfId="35714" xr:uid="{61C43FAA-6356-43DD-87B8-0FAD89FFB07B}"/>
    <cellStyle name="Normal 8 10 6 6" xfId="35715" xr:uid="{D2800E3D-86B4-4B18-A1B7-6842690CED91}"/>
    <cellStyle name="Normal 8 10 7" xfId="35716" xr:uid="{D1F6CB11-D545-4221-8345-76E63AADCBAC}"/>
    <cellStyle name="Normal 8 10 7 2" xfId="35717" xr:uid="{2FF37EF6-D6CD-4E5E-B874-E2A5E85D78C1}"/>
    <cellStyle name="Normal 8 10 7 3" xfId="35718" xr:uid="{06757F7B-6ED1-473A-8590-783267728018}"/>
    <cellStyle name="Normal 8 10 7 4" xfId="35719" xr:uid="{33281004-2379-4DF2-A91D-34109FC939AA}"/>
    <cellStyle name="Normal 8 10 7 5" xfId="35720" xr:uid="{C44A29E1-6AD6-4603-B8CF-A1169B456BA6}"/>
    <cellStyle name="Normal 8 10 7 6" xfId="35721" xr:uid="{78D31F28-5AE0-4103-AB38-9493790801CC}"/>
    <cellStyle name="Normal 8 10 8" xfId="35722" xr:uid="{6089501A-86BA-4CF5-988D-B972588381B4}"/>
    <cellStyle name="Normal 8 10 8 2" xfId="35723" xr:uid="{37920281-929E-40D4-8AC9-BD3D589E6368}"/>
    <cellStyle name="Normal 8 10 8 3" xfId="35724" xr:uid="{E679CFF3-28AA-4BEE-A629-D1516C8A847F}"/>
    <cellStyle name="Normal 8 10 8 4" xfId="35725" xr:uid="{908E1370-223C-4C4B-BFCF-BFFAD013A4C3}"/>
    <cellStyle name="Normal 8 10 8 5" xfId="35726" xr:uid="{210A9ECA-8E46-4EB3-8CA6-C7CE58285C6D}"/>
    <cellStyle name="Normal 8 10 8 6" xfId="35727" xr:uid="{772DC72C-FE9C-4FC3-A829-FBA412F7FCA3}"/>
    <cellStyle name="Normal 8 10 9" xfId="35728" xr:uid="{5BCB1C1C-48BD-478C-979B-831F57BE8D7B}"/>
    <cellStyle name="Normal 8 11" xfId="35729" xr:uid="{0D9B43AD-C0E1-404A-84C5-B65A7F70A8D3}"/>
    <cellStyle name="Normal 8 11 10" xfId="35730" xr:uid="{2F628B3B-2800-49AB-8EB5-2F8C6B9D6CA1}"/>
    <cellStyle name="Normal 8 11 11" xfId="35731" xr:uid="{20815D65-3C7A-457B-9FC3-34AA5392EF04}"/>
    <cellStyle name="Normal 8 11 12" xfId="35732" xr:uid="{1C3C035B-3FB2-4959-A7E8-C2388D12B5EE}"/>
    <cellStyle name="Normal 8 11 13" xfId="35733" xr:uid="{FB8371DC-B987-425A-8921-DCE86364A80E}"/>
    <cellStyle name="Normal 8 11 2" xfId="35734" xr:uid="{FA241471-DE2C-4AB9-8174-AFCBF6338082}"/>
    <cellStyle name="Normal 8 11 2 2" xfId="35735" xr:uid="{D3BF18E7-7CB6-4E4C-8A57-BA0EE40934E2}"/>
    <cellStyle name="Normal 8 11 2 3" xfId="35736" xr:uid="{43DD1DB9-FF7A-47DB-B716-347D006401A4}"/>
    <cellStyle name="Normal 8 11 2 4" xfId="35737" xr:uid="{1A0D579A-A4CD-46BC-BCA5-23F8D3712CA1}"/>
    <cellStyle name="Normal 8 11 2 5" xfId="35738" xr:uid="{3F2CDF77-5C65-4DD9-8280-D55595047D1A}"/>
    <cellStyle name="Normal 8 11 2 6" xfId="35739" xr:uid="{6570D5CD-84D9-494F-AEDE-C00827E567D5}"/>
    <cellStyle name="Normal 8 11 3" xfId="35740" xr:uid="{F0E76BFE-6F83-4C57-BC23-4B34586840F8}"/>
    <cellStyle name="Normal 8 11 3 2" xfId="35741" xr:uid="{16F00B5C-C09C-43DF-8D2D-5C1649C9D663}"/>
    <cellStyle name="Normal 8 11 3 3" xfId="35742" xr:uid="{C62F09F0-800E-42CA-93A2-8D8080A1DDE6}"/>
    <cellStyle name="Normal 8 11 3 4" xfId="35743" xr:uid="{BA67681E-F5C6-418B-880D-4B61AD86F6D4}"/>
    <cellStyle name="Normal 8 11 3 5" xfId="35744" xr:uid="{6FAC54A1-28E9-48D5-8C4A-BF7372B6C1FF}"/>
    <cellStyle name="Normal 8 11 3 6" xfId="35745" xr:uid="{33045397-BE7A-4F35-81F1-1692653F97A1}"/>
    <cellStyle name="Normal 8 11 4" xfId="35746" xr:uid="{39A3301C-F670-4F13-A150-6F3DF48903AB}"/>
    <cellStyle name="Normal 8 11 4 2" xfId="35747" xr:uid="{EBAD7921-7A67-4D91-AD22-2564542A670E}"/>
    <cellStyle name="Normal 8 11 4 3" xfId="35748" xr:uid="{01A51933-BD6B-4265-8A8D-239BD15DBE1A}"/>
    <cellStyle name="Normal 8 11 4 4" xfId="35749" xr:uid="{45AC4485-F335-4B72-94FB-DAD76B523594}"/>
    <cellStyle name="Normal 8 11 4 5" xfId="35750" xr:uid="{A39EB55F-ED7C-462C-9BDF-798DDDF35346}"/>
    <cellStyle name="Normal 8 11 4 6" xfId="35751" xr:uid="{E1CCD6AD-54E9-465F-9349-06906A4CCCFB}"/>
    <cellStyle name="Normal 8 11 5" xfId="35752" xr:uid="{A459565C-198A-4A7F-A4EC-65BB0BBB7BE6}"/>
    <cellStyle name="Normal 8 11 5 2" xfId="35753" xr:uid="{57DC28C2-0BA5-4AF2-B0B3-7ECD5291183E}"/>
    <cellStyle name="Normal 8 11 5 3" xfId="35754" xr:uid="{C625C1DC-3851-4E0B-A167-97FD344B35A2}"/>
    <cellStyle name="Normal 8 11 5 4" xfId="35755" xr:uid="{0A7B1FA5-70C6-426B-9FF1-96CB200A9EED}"/>
    <cellStyle name="Normal 8 11 5 5" xfId="35756" xr:uid="{2C7DD435-C68C-4DCA-AB41-CC807C995233}"/>
    <cellStyle name="Normal 8 11 5 6" xfId="35757" xr:uid="{3F9D97E5-7C32-4036-BFAB-A5F04B428ECB}"/>
    <cellStyle name="Normal 8 11 6" xfId="35758" xr:uid="{652F527C-6948-4CBC-961F-B3A59D4258E0}"/>
    <cellStyle name="Normal 8 11 6 2" xfId="35759" xr:uid="{97E0350E-DF7B-4778-AADF-A69E629A8E96}"/>
    <cellStyle name="Normal 8 11 6 3" xfId="35760" xr:uid="{FD5BDF2B-5CFC-4B5E-8736-B1691BF1732E}"/>
    <cellStyle name="Normal 8 11 6 4" xfId="35761" xr:uid="{591C8A24-74BB-41B3-ACFB-B6AB78B5E5E2}"/>
    <cellStyle name="Normal 8 11 6 5" xfId="35762" xr:uid="{C3A8A072-0B8F-40D5-8297-B9870EEAF62A}"/>
    <cellStyle name="Normal 8 11 6 6" xfId="35763" xr:uid="{B655305C-2D3F-4B49-B63E-D0A064B54E18}"/>
    <cellStyle name="Normal 8 11 7" xfId="35764" xr:uid="{C052090B-1FEE-4D61-9216-86CB59C36567}"/>
    <cellStyle name="Normal 8 11 7 2" xfId="35765" xr:uid="{1E19AF0B-48E4-40D6-93A1-222D39F2D491}"/>
    <cellStyle name="Normal 8 11 7 3" xfId="35766" xr:uid="{C05BE7F3-8EEF-4CE7-BA2E-457A52E58ED2}"/>
    <cellStyle name="Normal 8 11 7 4" xfId="35767" xr:uid="{FBD69D45-FCD1-48EB-B5EC-0AE7E2ABE66C}"/>
    <cellStyle name="Normal 8 11 7 5" xfId="35768" xr:uid="{18DAFC6E-C08A-4833-94E7-9B32A63DB4EC}"/>
    <cellStyle name="Normal 8 11 7 6" xfId="35769" xr:uid="{42BEAB68-0001-4D64-B82B-D4A486DAF91D}"/>
    <cellStyle name="Normal 8 11 8" xfId="35770" xr:uid="{8D4BE7D1-DDBF-4DD3-A074-9CB6D946DF40}"/>
    <cellStyle name="Normal 8 11 8 2" xfId="35771" xr:uid="{0D294BBA-808C-443C-8339-51416F5AD1DD}"/>
    <cellStyle name="Normal 8 11 8 3" xfId="35772" xr:uid="{0E9BA67A-D724-4507-BEF1-9BBEB390E1B3}"/>
    <cellStyle name="Normal 8 11 8 4" xfId="35773" xr:uid="{D4E9BB43-3CAD-4ACC-BDC8-CC266CE88EDA}"/>
    <cellStyle name="Normal 8 11 8 5" xfId="35774" xr:uid="{38B93AEF-BEEA-41BB-8C4D-BCC743059C9B}"/>
    <cellStyle name="Normal 8 11 8 6" xfId="35775" xr:uid="{211BA098-5C51-4B96-B99E-2DB43233911D}"/>
    <cellStyle name="Normal 8 11 9" xfId="35776" xr:uid="{EED8F812-FE07-4714-9852-9E6E80C2CDFA}"/>
    <cellStyle name="Normal 8 12" xfId="35777" xr:uid="{D94D3A5A-FBC4-48E7-BACB-6AA954091C4F}"/>
    <cellStyle name="Normal 8 12 10" xfId="35778" xr:uid="{7FF78917-D687-40C9-A970-1E1B04429CB8}"/>
    <cellStyle name="Normal 8 12 11" xfId="35779" xr:uid="{5C653A10-10B6-44D1-980D-DF409B32B41C}"/>
    <cellStyle name="Normal 8 12 12" xfId="35780" xr:uid="{ED171B58-8B48-483A-AA1E-C8362193E39B}"/>
    <cellStyle name="Normal 8 12 13" xfId="35781" xr:uid="{F9C5B214-4617-42A9-B5C8-EA6AD1E8CBA7}"/>
    <cellStyle name="Normal 8 12 2" xfId="35782" xr:uid="{11CDF064-AE33-45C1-AD41-B6ADDA45D3CF}"/>
    <cellStyle name="Normal 8 12 2 2" xfId="35783" xr:uid="{9801FEFB-D259-45E4-B3CB-60A5BD269993}"/>
    <cellStyle name="Normal 8 12 2 3" xfId="35784" xr:uid="{C37D0E39-DD22-401B-A078-ABE0E51A1FF9}"/>
    <cellStyle name="Normal 8 12 2 4" xfId="35785" xr:uid="{F98AC427-A9AD-43A4-AD95-24348A4A82E2}"/>
    <cellStyle name="Normal 8 12 2 5" xfId="35786" xr:uid="{FD0DA92C-7246-4245-962B-484B74C72F23}"/>
    <cellStyle name="Normal 8 12 2 6" xfId="35787" xr:uid="{8E47EB1B-975D-40F4-BB41-D3821EDF72E5}"/>
    <cellStyle name="Normal 8 12 3" xfId="35788" xr:uid="{138D214C-F6C3-41B2-95A2-23D7381F3A4E}"/>
    <cellStyle name="Normal 8 12 3 2" xfId="35789" xr:uid="{CDD1B22E-213C-4615-B7BF-A4E981B884C5}"/>
    <cellStyle name="Normal 8 12 3 3" xfId="35790" xr:uid="{BF20495A-598B-434D-AE46-7EB5E356BD16}"/>
    <cellStyle name="Normal 8 12 3 4" xfId="35791" xr:uid="{F3AB9308-F181-4261-A8BF-9ADDEFA6192C}"/>
    <cellStyle name="Normal 8 12 3 5" xfId="35792" xr:uid="{821F2F6E-01D7-42B4-81C7-DCF5FBAE7FB9}"/>
    <cellStyle name="Normal 8 12 3 6" xfId="35793" xr:uid="{7538CD96-2C6F-46A8-8105-BB6375A1B2D4}"/>
    <cellStyle name="Normal 8 12 4" xfId="35794" xr:uid="{68624244-1A71-4E6F-895A-06846E674F9D}"/>
    <cellStyle name="Normal 8 12 4 2" xfId="35795" xr:uid="{523658F2-15B4-459C-A12D-BBD1914E8FB6}"/>
    <cellStyle name="Normal 8 12 4 3" xfId="35796" xr:uid="{F19D47D8-1845-4AAB-8491-F2B852369D08}"/>
    <cellStyle name="Normal 8 12 4 4" xfId="35797" xr:uid="{AFA1E998-0D05-4D77-929E-20B22DEBD5C7}"/>
    <cellStyle name="Normal 8 12 4 5" xfId="35798" xr:uid="{F62B440B-5686-459B-B602-B16144B0C409}"/>
    <cellStyle name="Normal 8 12 4 6" xfId="35799" xr:uid="{1801C37B-8073-4688-803D-6B96BAF88E66}"/>
    <cellStyle name="Normal 8 12 5" xfId="35800" xr:uid="{50851D3D-D4F9-41BE-B89D-908A5E394EE3}"/>
    <cellStyle name="Normal 8 12 5 2" xfId="35801" xr:uid="{95B7CE29-9C4A-426B-BA48-BB288BD7D6AE}"/>
    <cellStyle name="Normal 8 12 5 3" xfId="35802" xr:uid="{FBE7019F-BA37-4642-9BFD-FC981E4FCF5C}"/>
    <cellStyle name="Normal 8 12 5 4" xfId="35803" xr:uid="{0FB3E08B-911F-4516-8DEF-866F7E01668D}"/>
    <cellStyle name="Normal 8 12 5 5" xfId="35804" xr:uid="{C3ADF20B-E45D-49FF-A93D-1C2DF41C3281}"/>
    <cellStyle name="Normal 8 12 5 6" xfId="35805" xr:uid="{0B357AAD-E936-4130-93F3-9F7FC3053599}"/>
    <cellStyle name="Normal 8 12 6" xfId="35806" xr:uid="{9093A031-204B-4BDF-88A6-0E54FD1BF3A5}"/>
    <cellStyle name="Normal 8 12 6 2" xfId="35807" xr:uid="{938F6C41-964E-4F78-987A-4F7F81907979}"/>
    <cellStyle name="Normal 8 12 6 3" xfId="35808" xr:uid="{CF00FC1B-192E-4D17-B132-3C7B77300379}"/>
    <cellStyle name="Normal 8 12 6 4" xfId="35809" xr:uid="{ED263AC6-443C-442D-B47A-68F0E0F56DDE}"/>
    <cellStyle name="Normal 8 12 6 5" xfId="35810" xr:uid="{48D196B0-3177-4D7B-BBEF-7D2543430F93}"/>
    <cellStyle name="Normal 8 12 6 6" xfId="35811" xr:uid="{DEF603AD-070A-4864-AA55-171B52CDA9E1}"/>
    <cellStyle name="Normal 8 12 7" xfId="35812" xr:uid="{4B24A573-729A-4A3F-803B-F270DB9A7C2C}"/>
    <cellStyle name="Normal 8 12 7 2" xfId="35813" xr:uid="{8FDB2179-E0C5-47F1-BEDB-8B2BD7A2C528}"/>
    <cellStyle name="Normal 8 12 7 3" xfId="35814" xr:uid="{F8603DCA-BABA-4F27-BE11-EA7A44DD3E23}"/>
    <cellStyle name="Normal 8 12 7 4" xfId="35815" xr:uid="{8E8A4D33-8C18-41FE-AE15-FAE6B914515A}"/>
    <cellStyle name="Normal 8 12 7 5" xfId="35816" xr:uid="{828D526F-222C-4D03-957C-9AC59C1A7F05}"/>
    <cellStyle name="Normal 8 12 7 6" xfId="35817" xr:uid="{CE80F0D1-CE8C-42EC-BD86-8952F2504A10}"/>
    <cellStyle name="Normal 8 12 8" xfId="35818" xr:uid="{C63032AF-06C3-4DD1-8068-D262F9E25B4A}"/>
    <cellStyle name="Normal 8 12 8 2" xfId="35819" xr:uid="{C0D71E9C-BD9F-462E-8EBA-45B405480FFB}"/>
    <cellStyle name="Normal 8 12 8 3" xfId="35820" xr:uid="{1041C481-5C2F-4285-B052-2E69B0311D56}"/>
    <cellStyle name="Normal 8 12 8 4" xfId="35821" xr:uid="{253DDD78-6037-4697-AD62-4AC87049DE63}"/>
    <cellStyle name="Normal 8 12 8 5" xfId="35822" xr:uid="{0A3245F2-1F2E-4964-9C4E-F67A5AE66F6F}"/>
    <cellStyle name="Normal 8 12 8 6" xfId="35823" xr:uid="{CC5ED620-24A0-4BDA-B9A2-9C452BE71482}"/>
    <cellStyle name="Normal 8 12 9" xfId="35824" xr:uid="{343E6F86-CD30-4453-9788-8E4FDD0E6E2F}"/>
    <cellStyle name="Normal 8 13" xfId="35825" xr:uid="{EE7E3F05-D2F4-4F96-82AD-8C5D2EEDC6DC}"/>
    <cellStyle name="Normal 8 13 10" xfId="35826" xr:uid="{25148073-571F-469E-9405-3B797C68F434}"/>
    <cellStyle name="Normal 8 13 11" xfId="35827" xr:uid="{63BD9E3C-5528-43B5-9DCA-210E78D960CD}"/>
    <cellStyle name="Normal 8 13 12" xfId="35828" xr:uid="{834F696E-AF01-4B4F-A6FE-7E40F988D4DF}"/>
    <cellStyle name="Normal 8 13 13" xfId="35829" xr:uid="{E9548EF2-FC78-4A3B-866A-914E23841A3C}"/>
    <cellStyle name="Normal 8 13 2" xfId="35830" xr:uid="{359D69CA-27F6-4D64-BF0B-3D09E85B47B0}"/>
    <cellStyle name="Normal 8 13 2 2" xfId="35831" xr:uid="{56669FC1-A4E0-410B-AFA8-3988209D568A}"/>
    <cellStyle name="Normal 8 13 2 3" xfId="35832" xr:uid="{2F84CFA0-0EC5-4C1B-887E-7741C9880F97}"/>
    <cellStyle name="Normal 8 13 2 4" xfId="35833" xr:uid="{026B6B32-C97C-40F5-9D4D-94E44A3C8AD3}"/>
    <cellStyle name="Normal 8 13 2 5" xfId="35834" xr:uid="{C41CF9A8-8E24-4EA4-A946-9D7DBBF055CF}"/>
    <cellStyle name="Normal 8 13 2 6" xfId="35835" xr:uid="{2BB2226D-D608-4814-AF4C-BBE9021DBB71}"/>
    <cellStyle name="Normal 8 13 3" xfId="35836" xr:uid="{39DCEC3A-18C0-4C41-824F-269774B2E565}"/>
    <cellStyle name="Normal 8 13 3 2" xfId="35837" xr:uid="{6B29054C-BF07-4AD6-84DD-5DBEA7DE261E}"/>
    <cellStyle name="Normal 8 13 3 3" xfId="35838" xr:uid="{9259817D-DF82-4C4C-B0A2-CF4AA90AAD9A}"/>
    <cellStyle name="Normal 8 13 3 4" xfId="35839" xr:uid="{E79A71F5-52E0-4030-A55A-8755EDEBA1B0}"/>
    <cellStyle name="Normal 8 13 3 5" xfId="35840" xr:uid="{FAB1D551-86D7-47AC-BD6C-873688A8CF65}"/>
    <cellStyle name="Normal 8 13 3 6" xfId="35841" xr:uid="{F9D81F9E-C214-4AC0-BB02-F82F86BEAF6F}"/>
    <cellStyle name="Normal 8 13 4" xfId="35842" xr:uid="{4A5EEA9C-9D2D-4BF1-A2AE-443E1E278BCE}"/>
    <cellStyle name="Normal 8 13 4 2" xfId="35843" xr:uid="{F49D9E98-7FEB-4579-BE63-1CD56D60719B}"/>
    <cellStyle name="Normal 8 13 4 3" xfId="35844" xr:uid="{A589F471-DF23-48E3-847B-07ADB78CED08}"/>
    <cellStyle name="Normal 8 13 4 4" xfId="35845" xr:uid="{D9FCC215-BC01-4777-A3AB-674C0D332C56}"/>
    <cellStyle name="Normal 8 13 4 5" xfId="35846" xr:uid="{511439D5-3969-4170-A3EF-070C64C858AE}"/>
    <cellStyle name="Normal 8 13 4 6" xfId="35847" xr:uid="{FB103357-34E9-4D96-8E40-2DE7BEC023C2}"/>
    <cellStyle name="Normal 8 13 5" xfId="35848" xr:uid="{D1188138-5E5C-4AFD-930D-3F7AD177D545}"/>
    <cellStyle name="Normal 8 13 5 2" xfId="35849" xr:uid="{11AC8129-871E-48E4-A870-677EB19A371D}"/>
    <cellStyle name="Normal 8 13 5 3" xfId="35850" xr:uid="{3328A8B4-97EE-42A7-8DD5-B25D9784E14D}"/>
    <cellStyle name="Normal 8 13 5 4" xfId="35851" xr:uid="{25650AD6-297D-4E6E-B8F0-1DC6EF9EF01C}"/>
    <cellStyle name="Normal 8 13 5 5" xfId="35852" xr:uid="{60DE1EB4-C35E-4399-9D21-3ECA4432293A}"/>
    <cellStyle name="Normal 8 13 5 6" xfId="35853" xr:uid="{F0575387-AF93-4B91-892C-B7B7A60DBEA8}"/>
    <cellStyle name="Normal 8 13 6" xfId="35854" xr:uid="{D2935E90-335F-45E7-ABB2-363634DD9D02}"/>
    <cellStyle name="Normal 8 13 6 2" xfId="35855" xr:uid="{2A0A4426-616C-49AE-B59F-A4667B935E97}"/>
    <cellStyle name="Normal 8 13 6 3" xfId="35856" xr:uid="{61088E9D-19A6-4F67-AAFD-F79FC6DC4A9F}"/>
    <cellStyle name="Normal 8 13 6 4" xfId="35857" xr:uid="{C2F54FEE-6A42-4B9C-BD32-B741AB0BCA35}"/>
    <cellStyle name="Normal 8 13 6 5" xfId="35858" xr:uid="{7FA5F72A-150A-449D-B99C-3AE3EE3FF8EF}"/>
    <cellStyle name="Normal 8 13 6 6" xfId="35859" xr:uid="{0C252906-D544-4B39-9223-068BE622C089}"/>
    <cellStyle name="Normal 8 13 7" xfId="35860" xr:uid="{79264D87-19E0-46FC-90D1-FD7DB22FAB8C}"/>
    <cellStyle name="Normal 8 13 7 2" xfId="35861" xr:uid="{CF2149FB-2C09-4B0F-AF46-07E49AD480BD}"/>
    <cellStyle name="Normal 8 13 7 3" xfId="35862" xr:uid="{A8419FE5-833F-4970-B537-F00351459461}"/>
    <cellStyle name="Normal 8 13 7 4" xfId="35863" xr:uid="{9983B20E-A698-4298-B825-D5A27E1658DC}"/>
    <cellStyle name="Normal 8 13 7 5" xfId="35864" xr:uid="{5EE1EF27-5CD7-4C48-9DB8-0DFA43664475}"/>
    <cellStyle name="Normal 8 13 7 6" xfId="35865" xr:uid="{F2FEDCD7-C094-42CC-AC88-8E54DC7F478B}"/>
    <cellStyle name="Normal 8 13 8" xfId="35866" xr:uid="{4E0A5B66-A268-4F79-AE0E-ABD349022D19}"/>
    <cellStyle name="Normal 8 13 8 2" xfId="35867" xr:uid="{2CA2999C-1E84-4BDA-BFFF-31D472AEE0C7}"/>
    <cellStyle name="Normal 8 13 8 3" xfId="35868" xr:uid="{040EA7C3-54FA-413D-A0F1-23B2F0931161}"/>
    <cellStyle name="Normal 8 13 8 4" xfId="35869" xr:uid="{B002D738-45C8-42FC-8BC7-427D0BC8E22E}"/>
    <cellStyle name="Normal 8 13 8 5" xfId="35870" xr:uid="{B3314129-026D-4FAE-A347-A91D2389C197}"/>
    <cellStyle name="Normal 8 13 8 6" xfId="35871" xr:uid="{A419E9A5-94A7-4202-94B0-6DA33D0EA13A}"/>
    <cellStyle name="Normal 8 13 9" xfId="35872" xr:uid="{19AE33A3-35F0-4041-AD77-8A9AFB1345BB}"/>
    <cellStyle name="Normal 8 14" xfId="35873" xr:uid="{512EF7F7-EC54-4697-A00A-DC4CEEF4A1E8}"/>
    <cellStyle name="Normal 8 14 10" xfId="35874" xr:uid="{80A3DC5E-F754-4686-8AEB-85EBD81AD5D5}"/>
    <cellStyle name="Normal 8 14 11" xfId="35875" xr:uid="{0FE314C7-D189-4C37-B6AB-B8D940D6CCA1}"/>
    <cellStyle name="Normal 8 14 12" xfId="35876" xr:uid="{323F983B-C45A-4882-A238-D46E5B4EFFC8}"/>
    <cellStyle name="Normal 8 14 13" xfId="35877" xr:uid="{A33A47A6-7845-47DC-BDB9-A19A51832D93}"/>
    <cellStyle name="Normal 8 14 2" xfId="35878" xr:uid="{BC5D0D18-AEC5-4219-8695-1E7C3FBC686D}"/>
    <cellStyle name="Normal 8 14 2 2" xfId="35879" xr:uid="{D4A5F1EF-EFBD-48F5-9DA8-83FB8A4DAF38}"/>
    <cellStyle name="Normal 8 14 2 3" xfId="35880" xr:uid="{DF7A3260-2C4E-4B07-870B-36D9BF615999}"/>
    <cellStyle name="Normal 8 14 2 4" xfId="35881" xr:uid="{D18632F6-9995-4578-A5A4-7989885E71E3}"/>
    <cellStyle name="Normal 8 14 2 5" xfId="35882" xr:uid="{DD1297F5-7C5C-4881-8E6B-5E5A8C864DDE}"/>
    <cellStyle name="Normal 8 14 2 6" xfId="35883" xr:uid="{5D1D9C0A-B97E-4C17-A21E-4136CDF8B7D9}"/>
    <cellStyle name="Normal 8 14 3" xfId="35884" xr:uid="{CE3FC258-6F11-4EF3-87C7-A49B83E0E812}"/>
    <cellStyle name="Normal 8 14 3 2" xfId="35885" xr:uid="{11D4D21E-26AC-466F-9077-535ADE52343F}"/>
    <cellStyle name="Normal 8 14 3 3" xfId="35886" xr:uid="{602478C2-C6B7-4D08-A161-55FE1582671F}"/>
    <cellStyle name="Normal 8 14 3 4" xfId="35887" xr:uid="{D86677F1-4755-4D91-AE4C-36B27DAB38AD}"/>
    <cellStyle name="Normal 8 14 3 5" xfId="35888" xr:uid="{68461A72-565B-4533-B733-4584B66801B3}"/>
    <cellStyle name="Normal 8 14 3 6" xfId="35889" xr:uid="{C0D04E08-E72A-4372-8DF1-93E706D6A482}"/>
    <cellStyle name="Normal 8 14 4" xfId="35890" xr:uid="{E4ED397A-A946-4CC8-B505-4E770A411FB8}"/>
    <cellStyle name="Normal 8 14 4 2" xfId="35891" xr:uid="{C292FE65-6AAD-4127-8506-30906F28E5CD}"/>
    <cellStyle name="Normal 8 14 4 3" xfId="35892" xr:uid="{28E217C0-B7F7-40DA-8F34-A63C38C1C50B}"/>
    <cellStyle name="Normal 8 14 4 4" xfId="35893" xr:uid="{B4B7C28C-4175-4183-BB25-5B0F30968DEF}"/>
    <cellStyle name="Normal 8 14 4 5" xfId="35894" xr:uid="{E785E638-9745-4528-8547-C518400C0CB7}"/>
    <cellStyle name="Normal 8 14 4 6" xfId="35895" xr:uid="{E9E1BE77-2FCA-43F9-A8E6-B3552F3AC2F4}"/>
    <cellStyle name="Normal 8 14 5" xfId="35896" xr:uid="{3C2EED75-87C8-4D8E-93CE-6731E9D8B038}"/>
    <cellStyle name="Normal 8 14 5 2" xfId="35897" xr:uid="{2F9BF27B-62FC-489A-A54E-662CD5A651CA}"/>
    <cellStyle name="Normal 8 14 5 3" xfId="35898" xr:uid="{11E43BCA-93B2-45A3-8630-772CBB265CB8}"/>
    <cellStyle name="Normal 8 14 5 4" xfId="35899" xr:uid="{9E14F0BA-8DC2-4695-87ED-93B4A485F44F}"/>
    <cellStyle name="Normal 8 14 5 5" xfId="35900" xr:uid="{C1AD92C5-C119-4DAB-89E3-1CD3E066A13E}"/>
    <cellStyle name="Normal 8 14 5 6" xfId="35901" xr:uid="{72F5783F-85C3-446A-9B5B-2F62E21323F9}"/>
    <cellStyle name="Normal 8 14 6" xfId="35902" xr:uid="{8F6D8849-DDB5-40D6-9CC2-F93AEE89096D}"/>
    <cellStyle name="Normal 8 14 6 2" xfId="35903" xr:uid="{9EC590F4-79E1-42EA-8258-8A7DE52051DB}"/>
    <cellStyle name="Normal 8 14 6 3" xfId="35904" xr:uid="{F441326C-4631-4E8B-86C4-925DA767DFE5}"/>
    <cellStyle name="Normal 8 14 6 4" xfId="35905" xr:uid="{BD3A385C-D03D-4EAE-BA67-01AB2E48E7E4}"/>
    <cellStyle name="Normal 8 14 6 5" xfId="35906" xr:uid="{466C7B4C-F193-4C19-9437-138ABF4308BE}"/>
    <cellStyle name="Normal 8 14 6 6" xfId="35907" xr:uid="{3A90927B-1748-4ADC-8B10-D5E7D67286EF}"/>
    <cellStyle name="Normal 8 14 7" xfId="35908" xr:uid="{38989BF9-B69B-4258-A0F4-F59E43B4E1D1}"/>
    <cellStyle name="Normal 8 14 7 2" xfId="35909" xr:uid="{0AA8EF0E-902A-4A22-B4F9-93456E33FF15}"/>
    <cellStyle name="Normal 8 14 7 3" xfId="35910" xr:uid="{728875C0-4366-4E7F-A10D-DA25DE845E51}"/>
    <cellStyle name="Normal 8 14 7 4" xfId="35911" xr:uid="{0AB8B0D7-5214-43F6-9F38-69C268FFBD0D}"/>
    <cellStyle name="Normal 8 14 7 5" xfId="35912" xr:uid="{133B97E7-AA28-4F3E-9CE7-2BFA93E8ED3D}"/>
    <cellStyle name="Normal 8 14 7 6" xfId="35913" xr:uid="{7D35291A-BAA8-4189-A952-6BC6B0A97BE3}"/>
    <cellStyle name="Normal 8 14 8" xfId="35914" xr:uid="{CC173A8F-F485-4C53-B807-E9D1A862D293}"/>
    <cellStyle name="Normal 8 14 8 2" xfId="35915" xr:uid="{ED595D31-0380-49E4-A5F6-ACCD5B74E35F}"/>
    <cellStyle name="Normal 8 14 8 3" xfId="35916" xr:uid="{FC89F67A-2F3B-47C4-8430-E6095B7FE1A2}"/>
    <cellStyle name="Normal 8 14 8 4" xfId="35917" xr:uid="{060977B6-3799-4066-81EC-6B042BE3DA30}"/>
    <cellStyle name="Normal 8 14 8 5" xfId="35918" xr:uid="{D8D58761-4288-4D31-BC66-B9BAD9670E9B}"/>
    <cellStyle name="Normal 8 14 8 6" xfId="35919" xr:uid="{87891750-796A-4F2C-B1FC-25EA7EA50588}"/>
    <cellStyle name="Normal 8 14 9" xfId="35920" xr:uid="{FB0CC97B-2D4A-45DB-8E7B-969907A2E75D}"/>
    <cellStyle name="Normal 8 15" xfId="35921" xr:uid="{972F416D-ACFB-410F-BB29-B0A92828857D}"/>
    <cellStyle name="Normal 8 15 10" xfId="35922" xr:uid="{56DBE464-68E2-4895-817A-D0AFEF879F7A}"/>
    <cellStyle name="Normal 8 15 11" xfId="35923" xr:uid="{60E01BB1-F22E-4FC9-AEF5-8C44C134B96D}"/>
    <cellStyle name="Normal 8 15 12" xfId="35924" xr:uid="{E453A54A-3752-4F68-8283-EFCE7872FE0E}"/>
    <cellStyle name="Normal 8 15 13" xfId="35925" xr:uid="{F656706B-C599-4007-8AD8-DEE937B3E7F2}"/>
    <cellStyle name="Normal 8 15 2" xfId="35926" xr:uid="{3FE3BED9-0124-4BFD-99C6-C0D1F912029B}"/>
    <cellStyle name="Normal 8 15 2 2" xfId="35927" xr:uid="{CE504A0F-F5A1-41FC-97EF-7981D1A92379}"/>
    <cellStyle name="Normal 8 15 2 3" xfId="35928" xr:uid="{D496800E-5FEC-4D91-9089-C9499F7F58CB}"/>
    <cellStyle name="Normal 8 15 2 4" xfId="35929" xr:uid="{D109929B-9B05-4795-A276-D931DD9F4206}"/>
    <cellStyle name="Normal 8 15 2 5" xfId="35930" xr:uid="{BA825111-2E79-49D4-9BAC-2161BCB40088}"/>
    <cellStyle name="Normal 8 15 2 6" xfId="35931" xr:uid="{025C0A0F-6598-4C81-8CCF-29C1DE2A4BF1}"/>
    <cellStyle name="Normal 8 15 3" xfId="35932" xr:uid="{8770E60A-1B24-4D82-82C8-1260B9427BDE}"/>
    <cellStyle name="Normal 8 15 3 2" xfId="35933" xr:uid="{296E438D-B05A-4611-B114-867BAE2F7104}"/>
    <cellStyle name="Normal 8 15 3 3" xfId="35934" xr:uid="{2B8A1CEF-0A36-42DE-AA21-6D9796CF6553}"/>
    <cellStyle name="Normal 8 15 3 4" xfId="35935" xr:uid="{03BD8663-8540-49B0-A103-187158450CA7}"/>
    <cellStyle name="Normal 8 15 3 5" xfId="35936" xr:uid="{BB22E735-4B26-48E2-B505-60018676561F}"/>
    <cellStyle name="Normal 8 15 3 6" xfId="35937" xr:uid="{7E594782-965E-4AC1-8DE4-6079E9F2EF14}"/>
    <cellStyle name="Normal 8 15 4" xfId="35938" xr:uid="{1D273D1A-4A33-4B98-B8A3-E92F2FF17B82}"/>
    <cellStyle name="Normal 8 15 4 2" xfId="35939" xr:uid="{56488A59-A4C6-47D5-9BD7-FF050FD79DE2}"/>
    <cellStyle name="Normal 8 15 4 3" xfId="35940" xr:uid="{43637654-A8CA-46B6-B0FA-FDD30A2E9B06}"/>
    <cellStyle name="Normal 8 15 4 4" xfId="35941" xr:uid="{68283C3D-FAEB-492D-9BCB-53068B1EC520}"/>
    <cellStyle name="Normal 8 15 4 5" xfId="35942" xr:uid="{EC27DF09-8573-48EA-8C85-ED5A6F93FC76}"/>
    <cellStyle name="Normal 8 15 4 6" xfId="35943" xr:uid="{B8EE04A3-E0D3-44AB-A32E-14ECCA58B4EC}"/>
    <cellStyle name="Normal 8 15 5" xfId="35944" xr:uid="{3DDEE1C0-3551-4412-8B2F-84ADA9AF05E0}"/>
    <cellStyle name="Normal 8 15 5 2" xfId="35945" xr:uid="{1776F32E-9461-4ECF-9BBF-9769C8CCC8F3}"/>
    <cellStyle name="Normal 8 15 5 3" xfId="35946" xr:uid="{EF9A85DB-6D03-405E-8F8A-3BD4F079831A}"/>
    <cellStyle name="Normal 8 15 5 4" xfId="35947" xr:uid="{62D8AF38-9BA5-462F-BC0D-5348B4B9C425}"/>
    <cellStyle name="Normal 8 15 5 5" xfId="35948" xr:uid="{7BCA3B69-B2BF-4753-B99B-CBC7993E6A38}"/>
    <cellStyle name="Normal 8 15 5 6" xfId="35949" xr:uid="{925F5F34-6673-4AB8-B7FD-B1BC13DA00DC}"/>
    <cellStyle name="Normal 8 15 6" xfId="35950" xr:uid="{683FAD33-36EE-437C-9489-AE18936380F5}"/>
    <cellStyle name="Normal 8 15 6 2" xfId="35951" xr:uid="{18D0F4DB-195C-47BD-839D-329086C9CC52}"/>
    <cellStyle name="Normal 8 15 6 3" xfId="35952" xr:uid="{8F8A4F72-A88E-48DA-80DC-F716934C1BA1}"/>
    <cellStyle name="Normal 8 15 6 4" xfId="35953" xr:uid="{F0F1B36D-A5EC-4DCB-9A0B-2CFE5538518D}"/>
    <cellStyle name="Normal 8 15 6 5" xfId="35954" xr:uid="{9CAAEFE1-350B-4334-8D3C-2F86D15ACAB4}"/>
    <cellStyle name="Normal 8 15 6 6" xfId="35955" xr:uid="{51419D83-AE0A-47EE-8368-8B7F5ED33E99}"/>
    <cellStyle name="Normal 8 15 7" xfId="35956" xr:uid="{91A2B3E4-EF36-4CE5-BC5F-B79E9C18F9FC}"/>
    <cellStyle name="Normal 8 15 7 2" xfId="35957" xr:uid="{334C1B2D-4747-4F56-B3C6-4AC10E56293A}"/>
    <cellStyle name="Normal 8 15 7 3" xfId="35958" xr:uid="{815871F9-9C84-4AB0-B8BB-AC73A83ED9E8}"/>
    <cellStyle name="Normal 8 15 7 4" xfId="35959" xr:uid="{F0ED9014-DEF7-4BB0-BF1B-FB5CD68A03A0}"/>
    <cellStyle name="Normal 8 15 7 5" xfId="35960" xr:uid="{BECA025A-DA77-4037-B8C3-352D9528FDFB}"/>
    <cellStyle name="Normal 8 15 7 6" xfId="35961" xr:uid="{76CF2D99-17D8-459F-9C8B-85DA6FFC196D}"/>
    <cellStyle name="Normal 8 15 8" xfId="35962" xr:uid="{2F7F66BC-9B46-4E19-9AA9-FD87BCC8CDF4}"/>
    <cellStyle name="Normal 8 15 8 2" xfId="35963" xr:uid="{B59CC5B0-5B7C-45EC-8525-E09B303A0DC0}"/>
    <cellStyle name="Normal 8 15 8 3" xfId="35964" xr:uid="{22057790-4C51-45C0-92B8-B921A82FEFBA}"/>
    <cellStyle name="Normal 8 15 8 4" xfId="35965" xr:uid="{8BB9F32D-F8A7-40DE-986C-6A48D20D102F}"/>
    <cellStyle name="Normal 8 15 8 5" xfId="35966" xr:uid="{8E8FC6D5-AF86-48C8-B11F-82262A770E68}"/>
    <cellStyle name="Normal 8 15 8 6" xfId="35967" xr:uid="{1161C06A-B777-4A67-92B9-345482F8F7A2}"/>
    <cellStyle name="Normal 8 15 9" xfId="35968" xr:uid="{9349B1C3-654E-49D1-A9D9-5A608F698C85}"/>
    <cellStyle name="Normal 8 16" xfId="35969" xr:uid="{60570C53-F718-4021-B573-BEE8010457BB}"/>
    <cellStyle name="Normal 8 16 10" xfId="35970" xr:uid="{7D77B869-3857-4BA2-9F13-BECEF40975B3}"/>
    <cellStyle name="Normal 8 16 11" xfId="35971" xr:uid="{83F2CCD2-69B1-4092-BA87-4A5E8224CF05}"/>
    <cellStyle name="Normal 8 16 12" xfId="35972" xr:uid="{42C6CABC-52C8-456E-BD65-0D3FE4A2167C}"/>
    <cellStyle name="Normal 8 16 13" xfId="35973" xr:uid="{9437AE81-A98D-4A0C-B688-68BACE1DE444}"/>
    <cellStyle name="Normal 8 16 2" xfId="35974" xr:uid="{76B23FF3-B3C8-4846-A72C-2A0AE9031472}"/>
    <cellStyle name="Normal 8 16 2 2" xfId="35975" xr:uid="{9545953E-39B9-4C39-BFD5-57E5A5D3B719}"/>
    <cellStyle name="Normal 8 16 2 3" xfId="35976" xr:uid="{46666DB3-1F65-4338-ADE3-81E73EE059E8}"/>
    <cellStyle name="Normal 8 16 2 4" xfId="35977" xr:uid="{3CC902F1-C605-4C66-954E-1DBD951C9488}"/>
    <cellStyle name="Normal 8 16 2 5" xfId="35978" xr:uid="{1A6314AB-D699-4A7A-BCBE-64D386C7F44D}"/>
    <cellStyle name="Normal 8 16 2 6" xfId="35979" xr:uid="{915B4E16-F74D-4BF6-AF2A-478B623004CB}"/>
    <cellStyle name="Normal 8 16 3" xfId="35980" xr:uid="{7CB11300-F883-4E12-88BE-6022AFC0DFC7}"/>
    <cellStyle name="Normal 8 16 3 2" xfId="35981" xr:uid="{D490D4CA-387D-4A29-91EE-6980D2A8217B}"/>
    <cellStyle name="Normal 8 16 3 3" xfId="35982" xr:uid="{7E09AAAD-541F-4C8D-B16C-AD460F18553B}"/>
    <cellStyle name="Normal 8 16 3 4" xfId="35983" xr:uid="{8824F9F7-4FE9-45F8-8BFB-E66DA9C4A59E}"/>
    <cellStyle name="Normal 8 16 3 5" xfId="35984" xr:uid="{146E94A0-115C-4806-8DA0-4F40837815A5}"/>
    <cellStyle name="Normal 8 16 3 6" xfId="35985" xr:uid="{CFE82BB6-EE1B-4977-8080-9C0DA7F95249}"/>
    <cellStyle name="Normal 8 16 4" xfId="35986" xr:uid="{04B85C8F-516B-4B93-A462-2FB0349B3132}"/>
    <cellStyle name="Normal 8 16 4 2" xfId="35987" xr:uid="{8A51FDB2-A347-46DA-838A-B70D3AB8DFD0}"/>
    <cellStyle name="Normal 8 16 4 3" xfId="35988" xr:uid="{D3E43136-3282-45B2-B616-CEF83A8F0475}"/>
    <cellStyle name="Normal 8 16 4 4" xfId="35989" xr:uid="{D045704E-0571-44CF-9EE5-BA49AA628999}"/>
    <cellStyle name="Normal 8 16 4 5" xfId="35990" xr:uid="{5B99EFE7-4A87-450A-AF35-99D0A3FDE908}"/>
    <cellStyle name="Normal 8 16 4 6" xfId="35991" xr:uid="{4F28EC9C-EA15-4198-8310-30B5E21AA4AB}"/>
    <cellStyle name="Normal 8 16 5" xfId="35992" xr:uid="{74DD8DF6-EB69-47D9-9024-8565DF2D290F}"/>
    <cellStyle name="Normal 8 16 5 2" xfId="35993" xr:uid="{340FD944-4F1C-4178-AF3D-A0092B205372}"/>
    <cellStyle name="Normal 8 16 5 3" xfId="35994" xr:uid="{0A9A2951-DCB3-40CC-BD2A-CE336FA31188}"/>
    <cellStyle name="Normal 8 16 5 4" xfId="35995" xr:uid="{3C7C3B8E-4A22-4616-A2F6-31496EEFBC6F}"/>
    <cellStyle name="Normal 8 16 5 5" xfId="35996" xr:uid="{DFF2C342-0A9A-4482-B286-6583F0C15DBB}"/>
    <cellStyle name="Normal 8 16 5 6" xfId="35997" xr:uid="{92FE6B12-87CD-4592-9A8C-344FA69FE0EF}"/>
    <cellStyle name="Normal 8 16 6" xfId="35998" xr:uid="{29B76A03-5BF8-4ECD-91E6-2F80CE6F7560}"/>
    <cellStyle name="Normal 8 16 6 2" xfId="35999" xr:uid="{2057677D-1DBB-41B3-AEA2-78E638F233F2}"/>
    <cellStyle name="Normal 8 16 6 3" xfId="36000" xr:uid="{EC261DE7-63CF-4FEE-8AF2-F268B9508EF0}"/>
    <cellStyle name="Normal 8 16 6 4" xfId="36001" xr:uid="{4F4DC963-B161-4EC5-B0D5-3CF50F573DA0}"/>
    <cellStyle name="Normal 8 16 6 5" xfId="36002" xr:uid="{B88F8E07-B099-4A79-A051-8E191D4C3389}"/>
    <cellStyle name="Normal 8 16 6 6" xfId="36003" xr:uid="{2E7CF592-0FAE-4079-B219-0C3AB2215C7D}"/>
    <cellStyle name="Normal 8 16 7" xfId="36004" xr:uid="{4DB06926-F5FB-4E30-BBC8-AB6DE694C52B}"/>
    <cellStyle name="Normal 8 16 7 2" xfId="36005" xr:uid="{B96CC6D2-1C77-4885-8F9D-C059302D49E6}"/>
    <cellStyle name="Normal 8 16 7 3" xfId="36006" xr:uid="{CEE1CD83-D35F-45EB-90C4-009507040AB4}"/>
    <cellStyle name="Normal 8 16 7 4" xfId="36007" xr:uid="{E21A40B1-A66E-417A-92BB-DB521AB95A33}"/>
    <cellStyle name="Normal 8 16 7 5" xfId="36008" xr:uid="{D36B1593-D38C-499D-9579-BF94DFABC954}"/>
    <cellStyle name="Normal 8 16 7 6" xfId="36009" xr:uid="{D4AA2676-F3CC-4A57-8118-87558406AFAC}"/>
    <cellStyle name="Normal 8 16 8" xfId="36010" xr:uid="{B347AD12-320B-4FAE-AF5A-0F7D3766715A}"/>
    <cellStyle name="Normal 8 16 8 2" xfId="36011" xr:uid="{B396EB76-F361-4549-835A-6F520DDC73F2}"/>
    <cellStyle name="Normal 8 16 8 3" xfId="36012" xr:uid="{7E34C875-A21D-4679-BF83-DDE6539E2F5F}"/>
    <cellStyle name="Normal 8 16 8 4" xfId="36013" xr:uid="{D50E74AC-901E-42ED-BA14-E5CDAB374C23}"/>
    <cellStyle name="Normal 8 16 8 5" xfId="36014" xr:uid="{CEDD9907-059A-465B-B459-01A37F455CAD}"/>
    <cellStyle name="Normal 8 16 8 6" xfId="36015" xr:uid="{8F551621-012C-4669-829E-D2ED0B07C5E4}"/>
    <cellStyle name="Normal 8 16 9" xfId="36016" xr:uid="{15A1FB63-BC80-4C73-9D9F-1DBD463236CE}"/>
    <cellStyle name="Normal 8 17" xfId="36017" xr:uid="{F906D8B5-1B84-4DED-99F5-B8AC49331000}"/>
    <cellStyle name="Normal 8 17 10" xfId="36018" xr:uid="{F9CFE722-CBC7-4726-A6CE-B48A49F7D546}"/>
    <cellStyle name="Normal 8 17 11" xfId="36019" xr:uid="{B35B1209-9480-43EB-B8FC-E538F54FD0A3}"/>
    <cellStyle name="Normal 8 17 12" xfId="36020" xr:uid="{03F07B66-05CC-4C3D-9783-FC56E218C6B2}"/>
    <cellStyle name="Normal 8 17 13" xfId="36021" xr:uid="{BECE8DA7-DC89-41A4-9B90-9F620CA04165}"/>
    <cellStyle name="Normal 8 17 2" xfId="36022" xr:uid="{B2DB48E9-E5C8-4E1A-9463-DABD43E5B67E}"/>
    <cellStyle name="Normal 8 17 2 2" xfId="36023" xr:uid="{9B4E81E0-B556-4280-B0BF-E37ABC71CD24}"/>
    <cellStyle name="Normal 8 17 2 3" xfId="36024" xr:uid="{B8609E75-B41E-400B-862F-C6A93A6796A1}"/>
    <cellStyle name="Normal 8 17 2 4" xfId="36025" xr:uid="{F2116D65-DBCB-48A5-B02F-DC4E5694C782}"/>
    <cellStyle name="Normal 8 17 2 5" xfId="36026" xr:uid="{390E6FEA-F0D0-41EF-88C1-FF467560B1D7}"/>
    <cellStyle name="Normal 8 17 2 6" xfId="36027" xr:uid="{81BC3517-B0AB-48AF-9C4D-033CBF8C12C5}"/>
    <cellStyle name="Normal 8 17 3" xfId="36028" xr:uid="{6CE62EEB-BE89-4374-AA5B-58DA359714EF}"/>
    <cellStyle name="Normal 8 17 3 2" xfId="36029" xr:uid="{14C993FD-5F3F-48E8-9DA4-6395C9B896CE}"/>
    <cellStyle name="Normal 8 17 3 3" xfId="36030" xr:uid="{19337257-D5D0-4C40-987C-B3AA7818CF0C}"/>
    <cellStyle name="Normal 8 17 3 4" xfId="36031" xr:uid="{3B453C3C-ECFA-4F12-8D30-FA0E12DDD461}"/>
    <cellStyle name="Normal 8 17 3 5" xfId="36032" xr:uid="{03F107F3-7CED-4119-94A7-46286564F61B}"/>
    <cellStyle name="Normal 8 17 3 6" xfId="36033" xr:uid="{A6A23A0E-F65B-45BF-BA1E-4494AB671C25}"/>
    <cellStyle name="Normal 8 17 4" xfId="36034" xr:uid="{39559F49-4A1A-40A6-8685-0F59CD36000C}"/>
    <cellStyle name="Normal 8 17 4 2" xfId="36035" xr:uid="{94043C4C-9ECB-48F8-8C5E-4F5721DDB990}"/>
    <cellStyle name="Normal 8 17 4 3" xfId="36036" xr:uid="{27DE1E83-4E6C-4560-9756-2B4D8D92D5AC}"/>
    <cellStyle name="Normal 8 17 4 4" xfId="36037" xr:uid="{FAD596ED-0417-4E45-9267-6917E646A7A8}"/>
    <cellStyle name="Normal 8 17 4 5" xfId="36038" xr:uid="{28B24A9F-5B91-42C2-BF5A-2068A1265F66}"/>
    <cellStyle name="Normal 8 17 4 6" xfId="36039" xr:uid="{48A9D4C5-08FE-4C2F-B5A7-437BCF5FFBC1}"/>
    <cellStyle name="Normal 8 17 5" xfId="36040" xr:uid="{01DA083A-E518-4726-A4D0-0BCBE939CD0B}"/>
    <cellStyle name="Normal 8 17 5 2" xfId="36041" xr:uid="{6E2C1DBA-7D0D-4FCC-8557-F3F14A401E8C}"/>
    <cellStyle name="Normal 8 17 5 3" xfId="36042" xr:uid="{79E403F0-94E5-4B5F-AA6A-9C0B07937F26}"/>
    <cellStyle name="Normal 8 17 5 4" xfId="36043" xr:uid="{536D5898-12FE-43BC-840E-722F1AC46118}"/>
    <cellStyle name="Normal 8 17 5 5" xfId="36044" xr:uid="{0864C9A0-14AA-4D4A-87EC-44061BCD11D8}"/>
    <cellStyle name="Normal 8 17 5 6" xfId="36045" xr:uid="{472E303A-5707-441D-B6D6-5C7B8D11B06E}"/>
    <cellStyle name="Normal 8 17 6" xfId="36046" xr:uid="{E89E87E6-2467-4A6F-98FA-995076C42CE1}"/>
    <cellStyle name="Normal 8 17 6 2" xfId="36047" xr:uid="{35EBDCDE-A179-49E5-BD78-2C1E0ABBCECB}"/>
    <cellStyle name="Normal 8 17 6 3" xfId="36048" xr:uid="{735EDB82-FDEE-4E84-AF36-8493E001BAC3}"/>
    <cellStyle name="Normal 8 17 6 4" xfId="36049" xr:uid="{859D6AAB-3E4D-4E97-9315-4AE9C7FEB695}"/>
    <cellStyle name="Normal 8 17 6 5" xfId="36050" xr:uid="{E1B16D91-F2B2-499D-950F-5ED1B14DD929}"/>
    <cellStyle name="Normal 8 17 6 6" xfId="36051" xr:uid="{F460856E-19CD-450C-A935-D794FE4AC22E}"/>
    <cellStyle name="Normal 8 17 7" xfId="36052" xr:uid="{D022A772-79C2-4BF9-ADF0-FBC4BF58E35A}"/>
    <cellStyle name="Normal 8 17 7 2" xfId="36053" xr:uid="{61A4CF5E-1579-44CC-A478-2CDAAC791DE0}"/>
    <cellStyle name="Normal 8 17 7 3" xfId="36054" xr:uid="{F61796C1-8792-4B6E-A530-F6E8522B7618}"/>
    <cellStyle name="Normal 8 17 7 4" xfId="36055" xr:uid="{93B1116E-A904-4577-9403-1664A37653E9}"/>
    <cellStyle name="Normal 8 17 7 5" xfId="36056" xr:uid="{6E5E4C15-F04D-4468-91C3-DB798C09723A}"/>
    <cellStyle name="Normal 8 17 7 6" xfId="36057" xr:uid="{9DEEA047-2E59-4A31-86A7-6E6D4BDF11E4}"/>
    <cellStyle name="Normal 8 17 8" xfId="36058" xr:uid="{D3DA12D3-2B4C-4BC7-9C04-B05A1C7BA661}"/>
    <cellStyle name="Normal 8 17 8 2" xfId="36059" xr:uid="{CA086058-2CC9-419E-ABE0-17A3E0C1C07C}"/>
    <cellStyle name="Normal 8 17 8 3" xfId="36060" xr:uid="{F5B73D75-491B-4530-ABEC-EB656D75FF9F}"/>
    <cellStyle name="Normal 8 17 8 4" xfId="36061" xr:uid="{332FB74A-5CF0-479D-A145-BB86C302EA3B}"/>
    <cellStyle name="Normal 8 17 8 5" xfId="36062" xr:uid="{B53A78C7-AC8A-4CBF-97FA-4428B275399D}"/>
    <cellStyle name="Normal 8 17 8 6" xfId="36063" xr:uid="{C196BCD3-6D80-4E36-B83D-4F25EA671B46}"/>
    <cellStyle name="Normal 8 17 9" xfId="36064" xr:uid="{8C6F274D-002A-4EC9-8298-3374CFF84F96}"/>
    <cellStyle name="Normal 8 18" xfId="36065" xr:uid="{9070C23C-247F-4519-9946-29233FE929AE}"/>
    <cellStyle name="Normal 8 18 10" xfId="36066" xr:uid="{D1B88841-C6DA-407F-8C60-DDEC07C4B891}"/>
    <cellStyle name="Normal 8 18 11" xfId="36067" xr:uid="{08C29734-ACB3-40C3-97CB-F2663CF04AD6}"/>
    <cellStyle name="Normal 8 18 12" xfId="36068" xr:uid="{17126C9D-1EC9-4E43-B365-30AD31E46C77}"/>
    <cellStyle name="Normal 8 18 13" xfId="36069" xr:uid="{A9750BAF-CBE2-459D-8369-07755AF16A11}"/>
    <cellStyle name="Normal 8 18 2" xfId="36070" xr:uid="{22B0D1FB-23BF-4413-9335-6410B425A125}"/>
    <cellStyle name="Normal 8 18 2 2" xfId="36071" xr:uid="{3034AA3E-5A19-4388-899A-BC415104A74B}"/>
    <cellStyle name="Normal 8 18 2 3" xfId="36072" xr:uid="{1AC042E1-3118-4A02-88CE-F555B5DB7EAF}"/>
    <cellStyle name="Normal 8 18 2 4" xfId="36073" xr:uid="{13FE2373-DC29-49EE-837D-4DC421433CA5}"/>
    <cellStyle name="Normal 8 18 2 5" xfId="36074" xr:uid="{6176D5E4-2CD5-4E24-A244-C94306819937}"/>
    <cellStyle name="Normal 8 18 2 6" xfId="36075" xr:uid="{67CC8EBE-5D50-4E92-9C52-37F8954EF589}"/>
    <cellStyle name="Normal 8 18 3" xfId="36076" xr:uid="{75690037-2668-4995-AECD-282B5391E22C}"/>
    <cellStyle name="Normal 8 18 3 2" xfId="36077" xr:uid="{BFD3DDF7-1E9F-432A-8BA9-71712F36DB48}"/>
    <cellStyle name="Normal 8 18 3 3" xfId="36078" xr:uid="{022F77DF-F39D-47C5-9D6D-3DA31167D924}"/>
    <cellStyle name="Normal 8 18 3 4" xfId="36079" xr:uid="{A6842197-4297-41A9-8D0E-1304D269CE94}"/>
    <cellStyle name="Normal 8 18 3 5" xfId="36080" xr:uid="{F58DC90B-4F3C-4C95-8757-EC03F2E7317D}"/>
    <cellStyle name="Normal 8 18 3 6" xfId="36081" xr:uid="{B9FCF6E5-0EE2-4366-83A8-1D7F46C3E748}"/>
    <cellStyle name="Normal 8 18 4" xfId="36082" xr:uid="{07D6707B-0049-45F0-8DE3-94BBBD0F0592}"/>
    <cellStyle name="Normal 8 18 4 2" xfId="36083" xr:uid="{76D6826F-4169-4AAA-8846-A6952CF5BCA8}"/>
    <cellStyle name="Normal 8 18 4 3" xfId="36084" xr:uid="{4BC0EE3D-0385-4974-9860-306ACF974D9A}"/>
    <cellStyle name="Normal 8 18 4 4" xfId="36085" xr:uid="{208916DB-6F2A-43E7-BD21-FFE2D5B0FCF2}"/>
    <cellStyle name="Normal 8 18 4 5" xfId="36086" xr:uid="{66DF1264-A616-454B-852A-C2B0C5F4CE3E}"/>
    <cellStyle name="Normal 8 18 4 6" xfId="36087" xr:uid="{5E1AA04A-F737-4795-B61D-5060D260102B}"/>
    <cellStyle name="Normal 8 18 5" xfId="36088" xr:uid="{92961421-4E61-4DB9-B2B2-14066BE16A91}"/>
    <cellStyle name="Normal 8 18 5 2" xfId="36089" xr:uid="{19E6AE7F-C1B4-4BC3-B153-67DD2B20FA59}"/>
    <cellStyle name="Normal 8 18 5 3" xfId="36090" xr:uid="{AE61EE48-69F6-411B-A72B-83B93237C912}"/>
    <cellStyle name="Normal 8 18 5 4" xfId="36091" xr:uid="{683AA21F-1EAC-45FB-9CE0-64008D505CD5}"/>
    <cellStyle name="Normal 8 18 5 5" xfId="36092" xr:uid="{FEAEE279-4A3D-49C6-8B5E-2560EA54B7AB}"/>
    <cellStyle name="Normal 8 18 5 6" xfId="36093" xr:uid="{6C8DEBE5-4388-485B-AA9C-9A23C6AB6CD1}"/>
    <cellStyle name="Normal 8 18 6" xfId="36094" xr:uid="{7E5218C5-C6E8-4889-BBD7-11C9C942A34E}"/>
    <cellStyle name="Normal 8 18 6 2" xfId="36095" xr:uid="{7C68E3A1-4F87-45D4-9A74-58A79AADE492}"/>
    <cellStyle name="Normal 8 18 6 3" xfId="36096" xr:uid="{0551DED9-16ED-4F7E-B532-6D3F94FAAFB1}"/>
    <cellStyle name="Normal 8 18 6 4" xfId="36097" xr:uid="{DDA62E0C-C2BA-4D98-836F-7D7027E2E866}"/>
    <cellStyle name="Normal 8 18 6 5" xfId="36098" xr:uid="{C1270123-13E0-424A-896A-AEAC075CDFF0}"/>
    <cellStyle name="Normal 8 18 6 6" xfId="36099" xr:uid="{53A0E905-0313-4DFA-AC6C-DB74C4C8B5B4}"/>
    <cellStyle name="Normal 8 18 7" xfId="36100" xr:uid="{7243EA65-D395-4127-A05C-6D23F9406D69}"/>
    <cellStyle name="Normal 8 18 7 2" xfId="36101" xr:uid="{908F994B-912C-4139-A757-E33D632B0914}"/>
    <cellStyle name="Normal 8 18 7 3" xfId="36102" xr:uid="{747AE6B8-63BD-4357-9414-7D2FBBA99FCF}"/>
    <cellStyle name="Normal 8 18 7 4" xfId="36103" xr:uid="{AF5DC546-1633-4CF7-922D-E1B09379DFD6}"/>
    <cellStyle name="Normal 8 18 7 5" xfId="36104" xr:uid="{E839CCCD-CEA9-4099-8695-B41E5A60F382}"/>
    <cellStyle name="Normal 8 18 7 6" xfId="36105" xr:uid="{9EA96525-AE40-4C62-999D-1C9D5A5F6435}"/>
    <cellStyle name="Normal 8 18 8" xfId="36106" xr:uid="{D3BAD14D-1721-48FA-91FC-8C8EDF548CDF}"/>
    <cellStyle name="Normal 8 18 8 2" xfId="36107" xr:uid="{A46AD783-77DA-43DB-8E08-C2BC39445195}"/>
    <cellStyle name="Normal 8 18 8 3" xfId="36108" xr:uid="{69A567F9-C75E-4774-9F5E-3674117DC70E}"/>
    <cellStyle name="Normal 8 18 8 4" xfId="36109" xr:uid="{DF6BD05B-43A3-4692-A7E8-9938A48DAA49}"/>
    <cellStyle name="Normal 8 18 8 5" xfId="36110" xr:uid="{F1D0006E-27CB-405A-A66D-716DD70A9DFF}"/>
    <cellStyle name="Normal 8 18 8 6" xfId="36111" xr:uid="{40BE0B39-AF63-4E47-A70A-4AEE1255998F}"/>
    <cellStyle name="Normal 8 18 9" xfId="36112" xr:uid="{6636ED14-C624-427F-A3C8-5C1B708C1A93}"/>
    <cellStyle name="Normal 8 19" xfId="36113" xr:uid="{F118593F-DB34-4FF0-A390-F1EDFB043FD6}"/>
    <cellStyle name="Normal 8 19 10" xfId="36114" xr:uid="{031AD5CA-0E01-422F-A90A-BC268E25FB61}"/>
    <cellStyle name="Normal 8 19 11" xfId="36115" xr:uid="{86255502-207B-450C-B7AE-C85735E24A56}"/>
    <cellStyle name="Normal 8 19 12" xfId="36116" xr:uid="{AF90FD68-5A06-42E4-99FB-F3C366CEDDE3}"/>
    <cellStyle name="Normal 8 19 13" xfId="36117" xr:uid="{D16BEEC1-98D4-4355-8B0D-DB9C4DF9DA79}"/>
    <cellStyle name="Normal 8 19 2" xfId="36118" xr:uid="{FDC7272C-86D7-4BEC-8509-814721771069}"/>
    <cellStyle name="Normal 8 19 2 2" xfId="36119" xr:uid="{32EE6EA7-EB2C-4488-946E-370D2DF270DB}"/>
    <cellStyle name="Normal 8 19 2 3" xfId="36120" xr:uid="{76B0DA3E-70CA-4C96-ACBB-4E313DF378FC}"/>
    <cellStyle name="Normal 8 19 2 4" xfId="36121" xr:uid="{44FDF99A-B4CF-429D-BE10-6B6840C6469B}"/>
    <cellStyle name="Normal 8 19 2 5" xfId="36122" xr:uid="{B4F70509-66F9-4637-B193-C4AB5173D8B8}"/>
    <cellStyle name="Normal 8 19 2 6" xfId="36123" xr:uid="{A53320B4-7EB5-4881-BB42-DF5EDF4CAD99}"/>
    <cellStyle name="Normal 8 19 3" xfId="36124" xr:uid="{98DDA899-7B3F-44A5-A654-A912CFD0CCBA}"/>
    <cellStyle name="Normal 8 19 3 2" xfId="36125" xr:uid="{8578175B-3B83-435E-91CB-2D6F02297976}"/>
    <cellStyle name="Normal 8 19 3 3" xfId="36126" xr:uid="{25BDD6D0-936D-411E-8626-4709FBECED13}"/>
    <cellStyle name="Normal 8 19 3 4" xfId="36127" xr:uid="{D5252509-F7BC-499C-BB5E-A4CA042623B1}"/>
    <cellStyle name="Normal 8 19 3 5" xfId="36128" xr:uid="{CCA0CB36-C9CD-4944-A6BE-538987C2117F}"/>
    <cellStyle name="Normal 8 19 3 6" xfId="36129" xr:uid="{D3DB9CA2-1C80-4189-9D97-3EC94F8BE011}"/>
    <cellStyle name="Normal 8 19 4" xfId="36130" xr:uid="{9FC72D06-AC7B-486B-97FF-5A5EA3D336DA}"/>
    <cellStyle name="Normal 8 19 4 2" xfId="36131" xr:uid="{B01B193D-88D4-40B4-B9DB-F4EE13CCDE78}"/>
    <cellStyle name="Normal 8 19 4 3" xfId="36132" xr:uid="{15B78B5E-375F-42E9-BABF-F6883B5A8B6A}"/>
    <cellStyle name="Normal 8 19 4 4" xfId="36133" xr:uid="{6CA06C44-3603-4952-B6E3-33D67D77E2F2}"/>
    <cellStyle name="Normal 8 19 4 5" xfId="36134" xr:uid="{A67BE360-8CD9-432F-A5A2-248640D0FF20}"/>
    <cellStyle name="Normal 8 19 4 6" xfId="36135" xr:uid="{017F7CDE-E0A5-414C-96F0-9F9E3AF9748B}"/>
    <cellStyle name="Normal 8 19 5" xfId="36136" xr:uid="{9540199F-80AA-44C7-8A7B-93410E824382}"/>
    <cellStyle name="Normal 8 19 5 2" xfId="36137" xr:uid="{54698DE8-4346-422E-BB00-DF19E0F7533A}"/>
    <cellStyle name="Normal 8 19 5 3" xfId="36138" xr:uid="{52660FF4-EC80-4391-BFAE-0CC9B8A128A7}"/>
    <cellStyle name="Normal 8 19 5 4" xfId="36139" xr:uid="{7DD87CD8-D7BF-4BD9-87AE-13990DD01E4F}"/>
    <cellStyle name="Normal 8 19 5 5" xfId="36140" xr:uid="{9D833790-053A-415D-9D98-211872D46B62}"/>
    <cellStyle name="Normal 8 19 5 6" xfId="36141" xr:uid="{E3285460-E61B-48FF-ADAF-6461E7FCFFDD}"/>
    <cellStyle name="Normal 8 19 6" xfId="36142" xr:uid="{3EFE2E35-D138-4B92-86D6-566C46BDEB05}"/>
    <cellStyle name="Normal 8 19 6 2" xfId="36143" xr:uid="{148305FF-1B5C-43E4-82E1-318E690B152C}"/>
    <cellStyle name="Normal 8 19 6 3" xfId="36144" xr:uid="{559948BB-B503-49A9-87AB-1CA8320819FE}"/>
    <cellStyle name="Normal 8 19 6 4" xfId="36145" xr:uid="{33BD5485-9BFA-4C03-B1AC-0F782FC6EE14}"/>
    <cellStyle name="Normal 8 19 6 5" xfId="36146" xr:uid="{85D473FA-8510-4437-9106-4E532BA8A9FA}"/>
    <cellStyle name="Normal 8 19 6 6" xfId="36147" xr:uid="{0513F56A-2502-49C9-9ABF-C3C1B82A3176}"/>
    <cellStyle name="Normal 8 19 7" xfId="36148" xr:uid="{AE8037FE-C0DE-49F7-A81E-8E2B4E47E58D}"/>
    <cellStyle name="Normal 8 19 7 2" xfId="36149" xr:uid="{56D6BD0C-5468-491C-8E16-C2E21CF22360}"/>
    <cellStyle name="Normal 8 19 7 3" xfId="36150" xr:uid="{B368A746-1D1A-4E71-900B-245BEE68EF00}"/>
    <cellStyle name="Normal 8 19 7 4" xfId="36151" xr:uid="{CC98D0FC-3084-439A-8097-A157A202CE65}"/>
    <cellStyle name="Normal 8 19 7 5" xfId="36152" xr:uid="{5D4246DA-1567-4798-91DF-7FC673093534}"/>
    <cellStyle name="Normal 8 19 7 6" xfId="36153" xr:uid="{4186BE38-531E-4778-9627-A197127AE09F}"/>
    <cellStyle name="Normal 8 19 8" xfId="36154" xr:uid="{8B6F5F31-B738-4775-B5F5-F1E41628D3E9}"/>
    <cellStyle name="Normal 8 19 8 2" xfId="36155" xr:uid="{53D279B2-11CC-4E00-ABDB-A47C7347C03F}"/>
    <cellStyle name="Normal 8 19 8 3" xfId="36156" xr:uid="{331A4780-88CC-4401-B58D-45579833E2D2}"/>
    <cellStyle name="Normal 8 19 8 4" xfId="36157" xr:uid="{CF2D0DE2-9318-4ABC-8E68-4DB7A5145A69}"/>
    <cellStyle name="Normal 8 19 8 5" xfId="36158" xr:uid="{6839C9F4-C06A-405B-A94E-155A948DFD66}"/>
    <cellStyle name="Normal 8 19 8 6" xfId="36159" xr:uid="{40F69FA7-B84A-44CA-AA8E-B25A24453377}"/>
    <cellStyle name="Normal 8 19 9" xfId="36160" xr:uid="{363BF60C-6771-456F-B60C-2B0702C0593F}"/>
    <cellStyle name="Normal 8 2" xfId="1100" xr:uid="{DF747B68-E89F-4BF0-AFC1-8A517A46D4E5}"/>
    <cellStyle name="Normal 8 2 10" xfId="36161" xr:uid="{40E09C43-F11E-48F2-BFC8-8DB2E84773E8}"/>
    <cellStyle name="Normal 8 2 11" xfId="36162" xr:uid="{2FACBD5E-F8B2-4D97-A95A-8617AACB998A}"/>
    <cellStyle name="Normal 8 2 12" xfId="36163" xr:uid="{1EDD63F8-E4AF-4D1F-BF8A-B4A1BBA3A6A4}"/>
    <cellStyle name="Normal 8 2 13" xfId="36164" xr:uid="{ED5D74DC-65D0-43CD-BB64-B3BC88D0086C}"/>
    <cellStyle name="Normal 8 2 14" xfId="36165" xr:uid="{FD538301-DBCF-421F-B7A7-FB1D08261797}"/>
    <cellStyle name="Normal 8 2 2" xfId="36166" xr:uid="{BD0089E1-CE34-4D1D-92C6-1D15E01A5606}"/>
    <cellStyle name="Normal 8 2 2 2" xfId="36167" xr:uid="{D7093ACC-9326-41D2-B711-4EC147B374B4}"/>
    <cellStyle name="Normal 8 2 2 3" xfId="36168" xr:uid="{3D7388F5-704C-4B1B-AD7B-A73F1F01ADC4}"/>
    <cellStyle name="Normal 8 2 2 4" xfId="36169" xr:uid="{FD3A4291-2226-41E8-8179-23CFFF482DD7}"/>
    <cellStyle name="Normal 8 2 2 5" xfId="36170" xr:uid="{317CA4B6-38CE-42F4-AAF2-66EEE6E71C06}"/>
    <cellStyle name="Normal 8 2 2 6" xfId="36171" xr:uid="{085E6F62-BD5B-4057-B37C-4FEF14300B5C}"/>
    <cellStyle name="Normal 8 2 3" xfId="36172" xr:uid="{9A47355C-A9C9-4A82-8CE6-D2F3F96E9254}"/>
    <cellStyle name="Normal 8 2 3 2" xfId="36173" xr:uid="{631DEAA4-C47F-4138-9F6B-B2F86F8E0CC0}"/>
    <cellStyle name="Normal 8 2 3 3" xfId="36174" xr:uid="{21F02813-B4BC-44C4-8756-BCAD1E57D980}"/>
    <cellStyle name="Normal 8 2 3 4" xfId="36175" xr:uid="{5A71188F-AA08-4218-9F0C-A951EA3983C9}"/>
    <cellStyle name="Normal 8 2 3 5" xfId="36176" xr:uid="{8E1C6F96-17C6-4DC1-9E5E-4E934A506A3C}"/>
    <cellStyle name="Normal 8 2 3 6" xfId="36177" xr:uid="{44B1E78E-3161-4F62-92EA-7F422399A279}"/>
    <cellStyle name="Normal 8 2 4" xfId="36178" xr:uid="{46911B85-7A85-4272-96C1-60D56761E64A}"/>
    <cellStyle name="Normal 8 2 4 2" xfId="36179" xr:uid="{032D186E-25D3-4EE1-924E-B5D3392BA0E6}"/>
    <cellStyle name="Normal 8 2 4 3" xfId="36180" xr:uid="{02592DC3-0047-4FD1-AB40-89D91D2C26BF}"/>
    <cellStyle name="Normal 8 2 4 4" xfId="36181" xr:uid="{A679B8FC-5338-4545-BD57-44C58F7AC322}"/>
    <cellStyle name="Normal 8 2 4 5" xfId="36182" xr:uid="{23380E39-CF1E-41F3-968F-FC6B1CC42569}"/>
    <cellStyle name="Normal 8 2 4 6" xfId="36183" xr:uid="{F67A20BD-28BB-4EB2-857C-3B023EB5A8C3}"/>
    <cellStyle name="Normal 8 2 5" xfId="36184" xr:uid="{BF67962E-46A2-4221-A77E-B33679751334}"/>
    <cellStyle name="Normal 8 2 5 2" xfId="36185" xr:uid="{82FCC8F9-9A5A-452E-A9FC-BB94666A80BB}"/>
    <cellStyle name="Normal 8 2 5 3" xfId="36186" xr:uid="{359C3DD4-5E3A-4903-8D68-BC8BE6F19C95}"/>
    <cellStyle name="Normal 8 2 5 4" xfId="36187" xr:uid="{F1B66058-FFD5-4832-BDE0-050DAE243522}"/>
    <cellStyle name="Normal 8 2 5 5" xfId="36188" xr:uid="{9916CE61-6D7D-474C-98E3-3FF068712AF7}"/>
    <cellStyle name="Normal 8 2 5 6" xfId="36189" xr:uid="{4F98C21F-A89F-4CDB-A3E4-4C2A5EB8C048}"/>
    <cellStyle name="Normal 8 2 6" xfId="36190" xr:uid="{9F83558E-BB16-41FB-B26C-F710D9653BA0}"/>
    <cellStyle name="Normal 8 2 6 2" xfId="36191" xr:uid="{DC2DDB79-D2A3-44AB-B517-84C2DB865C03}"/>
    <cellStyle name="Normal 8 2 6 3" xfId="36192" xr:uid="{7F6C955D-3927-4374-8C17-FC25FD5F89BB}"/>
    <cellStyle name="Normal 8 2 6 4" xfId="36193" xr:uid="{AF1DC8FD-71F8-4726-947E-162884997CF0}"/>
    <cellStyle name="Normal 8 2 6 5" xfId="36194" xr:uid="{938B096B-A601-4497-8814-6C5BF5BACA54}"/>
    <cellStyle name="Normal 8 2 6 6" xfId="36195" xr:uid="{5FAE5709-1F16-4929-8E77-DA0F5B28F1D7}"/>
    <cellStyle name="Normal 8 2 7" xfId="36196" xr:uid="{2AAF224F-803E-4BA6-BF68-4CA786CBF569}"/>
    <cellStyle name="Normal 8 2 7 2" xfId="36197" xr:uid="{4D541C05-4966-415D-AC1F-8C2041D09AB4}"/>
    <cellStyle name="Normal 8 2 7 3" xfId="36198" xr:uid="{1D198504-4D6E-418D-AD59-95F4F189B4DC}"/>
    <cellStyle name="Normal 8 2 7 4" xfId="36199" xr:uid="{19E0AD3A-EDB4-4410-893C-EA2ACF221418}"/>
    <cellStyle name="Normal 8 2 7 5" xfId="36200" xr:uid="{F0F57D06-30BB-4683-8694-68255A03F940}"/>
    <cellStyle name="Normal 8 2 7 6" xfId="36201" xr:uid="{7B95C6A9-B22B-4428-98AD-0A003E7AC361}"/>
    <cellStyle name="Normal 8 2 8" xfId="36202" xr:uid="{4019EBD2-F955-47B6-B2DF-C1D45421E3F6}"/>
    <cellStyle name="Normal 8 2 8 2" xfId="36203" xr:uid="{75BDA863-9B4D-49FA-9DEE-D0D04EF19A72}"/>
    <cellStyle name="Normal 8 2 8 3" xfId="36204" xr:uid="{FFB9793B-A973-4105-A6F4-D5F595D6345B}"/>
    <cellStyle name="Normal 8 2 8 4" xfId="36205" xr:uid="{CC78B164-2147-4150-87E9-D32D2D853C4B}"/>
    <cellStyle name="Normal 8 2 8 5" xfId="36206" xr:uid="{12EE227D-5464-455C-81DF-A11548F6D270}"/>
    <cellStyle name="Normal 8 2 8 6" xfId="36207" xr:uid="{CAF106F9-B9E9-40F1-B609-19BFF9E02A3E}"/>
    <cellStyle name="Normal 8 2 9" xfId="36208" xr:uid="{5ADFD761-4D47-4DCF-A356-D2EC062BD961}"/>
    <cellStyle name="Normal 8 20" xfId="36209" xr:uid="{27F691DF-A079-43BB-82D7-FE5A1AA57760}"/>
    <cellStyle name="Normal 8 20 10" xfId="36210" xr:uid="{8F422971-B346-4A30-A5B9-8B205CEAE415}"/>
    <cellStyle name="Normal 8 20 11" xfId="36211" xr:uid="{90BDF1A0-A692-4F3C-AC07-482DB3134777}"/>
    <cellStyle name="Normal 8 20 12" xfId="36212" xr:uid="{E29AEAE0-7755-4FE4-A20D-0E8C1ED06E70}"/>
    <cellStyle name="Normal 8 20 13" xfId="36213" xr:uid="{D6845AD9-415F-41FF-B053-1810DAF4E3F6}"/>
    <cellStyle name="Normal 8 20 2" xfId="36214" xr:uid="{E6197357-F6E7-4EB4-993B-32D7C4627B64}"/>
    <cellStyle name="Normal 8 20 2 2" xfId="36215" xr:uid="{CCFDF471-7F5C-434D-BAD5-C7894FFCDFF1}"/>
    <cellStyle name="Normal 8 20 2 3" xfId="36216" xr:uid="{D34F8FF0-3ABD-4224-A93E-6162C069DB3F}"/>
    <cellStyle name="Normal 8 20 2 4" xfId="36217" xr:uid="{B9242674-6A24-45C6-B2EF-BC911F2F25EC}"/>
    <cellStyle name="Normal 8 20 2 5" xfId="36218" xr:uid="{1C7F93AB-85F0-4092-98A0-19DE1630E0A8}"/>
    <cellStyle name="Normal 8 20 2 6" xfId="36219" xr:uid="{F5B4BACC-34C1-4848-A5AA-E7BB43466151}"/>
    <cellStyle name="Normal 8 20 3" xfId="36220" xr:uid="{15C6A4D7-730D-4A5D-A744-AD5421D877FF}"/>
    <cellStyle name="Normal 8 20 3 2" xfId="36221" xr:uid="{4FFE05D6-B2AD-445F-A16B-6C797A18B1F1}"/>
    <cellStyle name="Normal 8 20 3 3" xfId="36222" xr:uid="{4311FB0E-30B7-4265-8F29-DA3EEACB92EB}"/>
    <cellStyle name="Normal 8 20 3 4" xfId="36223" xr:uid="{6A297F44-65A0-48AF-9520-481ECE988C1F}"/>
    <cellStyle name="Normal 8 20 3 5" xfId="36224" xr:uid="{0DF6C307-3872-4AA8-9426-0D9DB80B0FD1}"/>
    <cellStyle name="Normal 8 20 3 6" xfId="36225" xr:uid="{3F2731E7-A48B-45DC-B3BB-B7E97E064BBC}"/>
    <cellStyle name="Normal 8 20 4" xfId="36226" xr:uid="{A9B6FD60-3E80-4B62-B176-29588517DC21}"/>
    <cellStyle name="Normal 8 20 4 2" xfId="36227" xr:uid="{484EAF53-B023-43CE-93DC-B6B6F392F66C}"/>
    <cellStyle name="Normal 8 20 4 3" xfId="36228" xr:uid="{E6ABD830-4888-4CEF-AF51-C6234388B99C}"/>
    <cellStyle name="Normal 8 20 4 4" xfId="36229" xr:uid="{D69FEA2E-FA27-424E-8BBB-1457B8F37575}"/>
    <cellStyle name="Normal 8 20 4 5" xfId="36230" xr:uid="{70280A50-4511-48B9-B17A-A0217C9116EF}"/>
    <cellStyle name="Normal 8 20 4 6" xfId="36231" xr:uid="{F7B119EF-833A-44E7-AD72-3A731C125D44}"/>
    <cellStyle name="Normal 8 20 5" xfId="36232" xr:uid="{D2B51E44-343D-4608-9838-6889760794CC}"/>
    <cellStyle name="Normal 8 20 5 2" xfId="36233" xr:uid="{AF97A65B-1B4D-4702-9618-AD4300746941}"/>
    <cellStyle name="Normal 8 20 5 3" xfId="36234" xr:uid="{21F6CC0C-B0F8-43E0-85C5-16A7D5EF4DCF}"/>
    <cellStyle name="Normal 8 20 5 4" xfId="36235" xr:uid="{5295E066-F1AA-47DA-AE1B-0E1B66D8B21E}"/>
    <cellStyle name="Normal 8 20 5 5" xfId="36236" xr:uid="{205B3D05-65F1-44E3-8699-86B1146C5246}"/>
    <cellStyle name="Normal 8 20 5 6" xfId="36237" xr:uid="{8ABF8A06-6C8D-465B-959F-D0D577F5743B}"/>
    <cellStyle name="Normal 8 20 6" xfId="36238" xr:uid="{F058DDE4-38F6-4EC5-864D-03AAA31F3D08}"/>
    <cellStyle name="Normal 8 20 6 2" xfId="36239" xr:uid="{88F4EAAA-8C5E-4464-837B-569B9D2014CF}"/>
    <cellStyle name="Normal 8 20 6 3" xfId="36240" xr:uid="{7F350363-83FF-449E-B805-97680B68875F}"/>
    <cellStyle name="Normal 8 20 6 4" xfId="36241" xr:uid="{F5D6775F-7F55-446F-8C86-513F5E76B0B0}"/>
    <cellStyle name="Normal 8 20 6 5" xfId="36242" xr:uid="{4868BE4D-D596-42B3-82C4-3680DFE369D4}"/>
    <cellStyle name="Normal 8 20 6 6" xfId="36243" xr:uid="{F1ABD7F0-CF2D-45B0-B62C-8E1336FDF499}"/>
    <cellStyle name="Normal 8 20 7" xfId="36244" xr:uid="{434CB5DC-FAE7-42B6-85FC-0A4C25466439}"/>
    <cellStyle name="Normal 8 20 7 2" xfId="36245" xr:uid="{D406C4BD-8286-4815-805B-E699DA73C28D}"/>
    <cellStyle name="Normal 8 20 7 3" xfId="36246" xr:uid="{4F00DBF9-5EB6-4713-AEE8-EF40C34FF400}"/>
    <cellStyle name="Normal 8 20 7 4" xfId="36247" xr:uid="{17A3A7E8-14C4-49DF-8B86-D06E6D26DC33}"/>
    <cellStyle name="Normal 8 20 7 5" xfId="36248" xr:uid="{D173E579-AA79-491D-A6C8-904733CA62BC}"/>
    <cellStyle name="Normal 8 20 7 6" xfId="36249" xr:uid="{5D84029B-55C9-4D3F-9253-9B53E15542E5}"/>
    <cellStyle name="Normal 8 20 8" xfId="36250" xr:uid="{78120E47-28AB-442F-B6E9-E686C11F3746}"/>
    <cellStyle name="Normal 8 20 8 2" xfId="36251" xr:uid="{5C7C17A8-D433-429B-83CD-CDED115A537D}"/>
    <cellStyle name="Normal 8 20 8 3" xfId="36252" xr:uid="{C29A2A07-C463-425F-B55E-2344AAD32ECA}"/>
    <cellStyle name="Normal 8 20 8 4" xfId="36253" xr:uid="{F05A0489-3128-427D-832D-354901084D41}"/>
    <cellStyle name="Normal 8 20 8 5" xfId="36254" xr:uid="{E87D90E5-6733-40A2-AD59-1BC57EBBDD41}"/>
    <cellStyle name="Normal 8 20 8 6" xfId="36255" xr:uid="{A89D5B2D-DB73-48E2-A085-E9EE13B7E7D7}"/>
    <cellStyle name="Normal 8 20 9" xfId="36256" xr:uid="{BAA00C25-A42B-4352-9009-B7B60295E88C}"/>
    <cellStyle name="Normal 8 21" xfId="36257" xr:uid="{64D4051E-570E-49F4-BCFF-5500C64FA7A8}"/>
    <cellStyle name="Normal 8 21 10" xfId="36258" xr:uid="{D092EC54-FC4B-451B-AC38-A5964F4B963B}"/>
    <cellStyle name="Normal 8 21 11" xfId="36259" xr:uid="{13D7C2CD-E37C-4F0E-9068-F5B85F35045E}"/>
    <cellStyle name="Normal 8 21 12" xfId="36260" xr:uid="{9F5370DD-0EB7-4504-9622-907257139618}"/>
    <cellStyle name="Normal 8 21 13" xfId="36261" xr:uid="{867FEC96-5D80-433A-9BAC-E60367F61555}"/>
    <cellStyle name="Normal 8 21 2" xfId="36262" xr:uid="{172ACD08-05B3-42F0-9103-F1F8FD91E3FF}"/>
    <cellStyle name="Normal 8 21 2 2" xfId="36263" xr:uid="{9D9608E7-54DA-4DA8-A076-A5F61B7B9181}"/>
    <cellStyle name="Normal 8 21 2 3" xfId="36264" xr:uid="{13A22600-9E43-477D-ABD7-9664123CF71D}"/>
    <cellStyle name="Normal 8 21 2 4" xfId="36265" xr:uid="{EB4A3162-B53A-4C28-B486-F816FC502037}"/>
    <cellStyle name="Normal 8 21 2 5" xfId="36266" xr:uid="{D9EB34BD-BF9D-4C63-9CA7-B160CE705DE8}"/>
    <cellStyle name="Normal 8 21 2 6" xfId="36267" xr:uid="{F9309EFE-3A80-4344-8F9E-2F3EA020CB04}"/>
    <cellStyle name="Normal 8 21 3" xfId="36268" xr:uid="{8809BEA1-5C48-4AEF-8E1F-7B0240C73FB2}"/>
    <cellStyle name="Normal 8 21 3 2" xfId="36269" xr:uid="{0D275616-8403-4994-B05F-53710BF31050}"/>
    <cellStyle name="Normal 8 21 3 3" xfId="36270" xr:uid="{D98A6242-4E6A-43C6-9D53-1E7B1ED29612}"/>
    <cellStyle name="Normal 8 21 3 4" xfId="36271" xr:uid="{437892E2-DA30-4B8D-868D-8676324A05AC}"/>
    <cellStyle name="Normal 8 21 3 5" xfId="36272" xr:uid="{AA80FFEB-B5A1-44A6-9F85-F3469E0A9F83}"/>
    <cellStyle name="Normal 8 21 3 6" xfId="36273" xr:uid="{FCFCB4BC-88F4-4E82-ACB4-A489C9CD4959}"/>
    <cellStyle name="Normal 8 21 4" xfId="36274" xr:uid="{BE5A4371-D7BF-45CC-9EFD-19E1890AB4C9}"/>
    <cellStyle name="Normal 8 21 4 2" xfId="36275" xr:uid="{8392D8B1-5F5A-4519-8790-F7D27B6FDB22}"/>
    <cellStyle name="Normal 8 21 4 3" xfId="36276" xr:uid="{C00EBF64-A8E8-46CA-9DBB-AA4979CFF6E2}"/>
    <cellStyle name="Normal 8 21 4 4" xfId="36277" xr:uid="{7587F8F4-DEAB-44FF-8534-290A84977042}"/>
    <cellStyle name="Normal 8 21 4 5" xfId="36278" xr:uid="{C170E487-62B7-41FD-9DA6-4BFD0AE0F4BA}"/>
    <cellStyle name="Normal 8 21 4 6" xfId="36279" xr:uid="{6988F478-8D4A-482D-A2AF-D1EF4A6A40CE}"/>
    <cellStyle name="Normal 8 21 5" xfId="36280" xr:uid="{ED2AF3A1-CEE6-458E-8295-0F5D5C63FF90}"/>
    <cellStyle name="Normal 8 21 5 2" xfId="36281" xr:uid="{C94E8527-53C6-4B58-BAE1-26D80BE31824}"/>
    <cellStyle name="Normal 8 21 5 3" xfId="36282" xr:uid="{CE0707BC-5270-43D1-9ED8-3227F27C56E4}"/>
    <cellStyle name="Normal 8 21 5 4" xfId="36283" xr:uid="{A90AC4D4-A4D0-41D8-91EE-64EE794AF6EF}"/>
    <cellStyle name="Normal 8 21 5 5" xfId="36284" xr:uid="{E97A72EB-D45D-48F3-937B-1756646CF7B5}"/>
    <cellStyle name="Normal 8 21 5 6" xfId="36285" xr:uid="{FF93F646-74C6-4A4B-BA2F-4C466713829D}"/>
    <cellStyle name="Normal 8 21 6" xfId="36286" xr:uid="{0B4955A3-09D6-43BD-8B4C-E2EBDDE78B5A}"/>
    <cellStyle name="Normal 8 21 6 2" xfId="36287" xr:uid="{73641CB0-1D90-4720-A944-19909097BC65}"/>
    <cellStyle name="Normal 8 21 6 3" xfId="36288" xr:uid="{3D2DAD44-B814-4D9C-81B3-C34C58058EC2}"/>
    <cellStyle name="Normal 8 21 6 4" xfId="36289" xr:uid="{E9DA3CD0-CCF3-4F33-820B-B9EC8DB6D86E}"/>
    <cellStyle name="Normal 8 21 6 5" xfId="36290" xr:uid="{F71DE337-4B41-430B-949D-93EF121CA9DF}"/>
    <cellStyle name="Normal 8 21 6 6" xfId="36291" xr:uid="{BDC4CEDB-1ED0-4C2F-9FFE-BAC2A4E184E8}"/>
    <cellStyle name="Normal 8 21 7" xfId="36292" xr:uid="{FB94C606-1889-4D95-9F23-120DD0C54B84}"/>
    <cellStyle name="Normal 8 21 7 2" xfId="36293" xr:uid="{0A38ED48-7DE1-43DF-A2E1-1EB5F7F6CB2B}"/>
    <cellStyle name="Normal 8 21 7 3" xfId="36294" xr:uid="{EB6CFD2D-730D-490E-ABEC-D7E8F75A0878}"/>
    <cellStyle name="Normal 8 21 7 4" xfId="36295" xr:uid="{51153594-8905-44C7-ADD2-DA956EBC4829}"/>
    <cellStyle name="Normal 8 21 7 5" xfId="36296" xr:uid="{6E7CD161-D847-447B-B5E5-880EBEBDF26A}"/>
    <cellStyle name="Normal 8 21 7 6" xfId="36297" xr:uid="{F680FACD-90E5-4219-A3C0-1FAEEFD4508E}"/>
    <cellStyle name="Normal 8 21 8" xfId="36298" xr:uid="{36B812FA-A345-46D8-BAE0-7FBAEB9B0541}"/>
    <cellStyle name="Normal 8 21 8 2" xfId="36299" xr:uid="{90AA8BED-D399-4C3A-AFCB-54EF53FAA695}"/>
    <cellStyle name="Normal 8 21 8 3" xfId="36300" xr:uid="{3A644220-ED59-4B00-8BA3-BC89C689AA81}"/>
    <cellStyle name="Normal 8 21 8 4" xfId="36301" xr:uid="{69AB0BBC-1C0E-497F-8BAD-43EFC3735451}"/>
    <cellStyle name="Normal 8 21 8 5" xfId="36302" xr:uid="{97ED50C1-4A45-4CCD-9065-E99A1903587D}"/>
    <cellStyle name="Normal 8 21 8 6" xfId="36303" xr:uid="{F1A9B696-9BB5-4352-9795-6EDB352AC425}"/>
    <cellStyle name="Normal 8 21 9" xfId="36304" xr:uid="{7EAA1A71-7ECD-4484-B901-0FCF9E65DD98}"/>
    <cellStyle name="Normal 8 22" xfId="36305" xr:uid="{B36D369F-03CF-4719-97C1-EEEA76DD4799}"/>
    <cellStyle name="Normal 8 22 10" xfId="36306" xr:uid="{D4A9B80E-9F70-4C2E-BECE-3C2B65ACBCA1}"/>
    <cellStyle name="Normal 8 22 11" xfId="36307" xr:uid="{401A24F1-DF84-4A2A-80E0-300CDC6F7B76}"/>
    <cellStyle name="Normal 8 22 12" xfId="36308" xr:uid="{4EEFEF7D-7E14-40C9-ACD5-2F7C35A958ED}"/>
    <cellStyle name="Normal 8 22 13" xfId="36309" xr:uid="{1B9B73F6-905E-4F8B-8A21-2FAD32906C09}"/>
    <cellStyle name="Normal 8 22 2" xfId="36310" xr:uid="{FAA7EFEF-2A8A-4EE7-A056-2D96D7DA3E9C}"/>
    <cellStyle name="Normal 8 22 2 2" xfId="36311" xr:uid="{DCBC16EB-5AEC-4BD2-997D-696C3116B3F8}"/>
    <cellStyle name="Normal 8 22 2 3" xfId="36312" xr:uid="{8E9B96A8-6EC2-4A58-8C31-BED604656A15}"/>
    <cellStyle name="Normal 8 22 2 4" xfId="36313" xr:uid="{AE7F01FD-62B7-40D5-BE0F-CE58081AB18E}"/>
    <cellStyle name="Normal 8 22 2 5" xfId="36314" xr:uid="{6B868818-645D-4531-B59E-D92D0DD872CA}"/>
    <cellStyle name="Normal 8 22 2 6" xfId="36315" xr:uid="{D6D81725-9F9F-4A0F-BB6A-787EC049E8D0}"/>
    <cellStyle name="Normal 8 22 3" xfId="36316" xr:uid="{688BDCBD-6283-4AD1-B031-BCDDA8BBA30C}"/>
    <cellStyle name="Normal 8 22 3 2" xfId="36317" xr:uid="{A51EF74B-9028-4269-A64E-D8CC88316A75}"/>
    <cellStyle name="Normal 8 22 3 3" xfId="36318" xr:uid="{8CFDC402-49D8-4666-B882-55BAFE111751}"/>
    <cellStyle name="Normal 8 22 3 4" xfId="36319" xr:uid="{D28FFFD1-14D8-4D55-A8B0-EEBE29579727}"/>
    <cellStyle name="Normal 8 22 3 5" xfId="36320" xr:uid="{E9C37243-C649-416D-B392-AA6DED1505A4}"/>
    <cellStyle name="Normal 8 22 3 6" xfId="36321" xr:uid="{BC553795-9578-455A-B501-4158A2F3C482}"/>
    <cellStyle name="Normal 8 22 4" xfId="36322" xr:uid="{2C11071B-24B6-4D13-A1A6-71F4F15B0AA2}"/>
    <cellStyle name="Normal 8 22 4 2" xfId="36323" xr:uid="{7426E715-910E-4C22-BBD1-5DF5B5CB91C1}"/>
    <cellStyle name="Normal 8 22 4 3" xfId="36324" xr:uid="{BA7F5C98-2529-48A0-A857-2E60F52F6D49}"/>
    <cellStyle name="Normal 8 22 4 4" xfId="36325" xr:uid="{23249A26-A38E-42A7-8A69-8BEADB86733D}"/>
    <cellStyle name="Normal 8 22 4 5" xfId="36326" xr:uid="{11DDA3E8-DA4A-4911-9AE1-D8487A5662E3}"/>
    <cellStyle name="Normal 8 22 4 6" xfId="36327" xr:uid="{4FF53B84-63D9-4A4F-AD7A-B81D2924A4BB}"/>
    <cellStyle name="Normal 8 22 5" xfId="36328" xr:uid="{0E355DBA-49A1-4B7B-B7C2-1C843AA13F1A}"/>
    <cellStyle name="Normal 8 22 5 2" xfId="36329" xr:uid="{0A603158-003B-42B1-8C7D-1820C6536624}"/>
    <cellStyle name="Normal 8 22 5 3" xfId="36330" xr:uid="{E1D489AD-F3F3-4D1B-8B42-3B88BE23F537}"/>
    <cellStyle name="Normal 8 22 5 4" xfId="36331" xr:uid="{CC41C94A-80E8-4F0A-9FFD-89035A46E1FD}"/>
    <cellStyle name="Normal 8 22 5 5" xfId="36332" xr:uid="{86909547-0041-470C-BEB8-F5EC44D28007}"/>
    <cellStyle name="Normal 8 22 5 6" xfId="36333" xr:uid="{2211B2EA-D5A6-48E6-B768-79641C4F4C8B}"/>
    <cellStyle name="Normal 8 22 6" xfId="36334" xr:uid="{C105CD33-2385-462D-BC27-1A1DF317480D}"/>
    <cellStyle name="Normal 8 22 6 2" xfId="36335" xr:uid="{8E3F1E1A-4BA6-42DF-9127-B43D800309DF}"/>
    <cellStyle name="Normal 8 22 6 3" xfId="36336" xr:uid="{55383102-1D37-4354-ADA1-3981B7EF5BE2}"/>
    <cellStyle name="Normal 8 22 6 4" xfId="36337" xr:uid="{3A4A321E-FE85-48BB-A4AD-6182D5AF5D30}"/>
    <cellStyle name="Normal 8 22 6 5" xfId="36338" xr:uid="{AC0B4960-3907-40A8-A814-658840A67539}"/>
    <cellStyle name="Normal 8 22 6 6" xfId="36339" xr:uid="{88540966-B309-4439-9261-B4322417EF58}"/>
    <cellStyle name="Normal 8 22 7" xfId="36340" xr:uid="{D5724CEF-ADF5-48E1-94DE-D0F1BDEC4C28}"/>
    <cellStyle name="Normal 8 22 7 2" xfId="36341" xr:uid="{DB5C118A-691F-44B6-BF8C-EAD3E5844A82}"/>
    <cellStyle name="Normal 8 22 7 3" xfId="36342" xr:uid="{B110763D-4C4F-4789-9000-F8218B85DD24}"/>
    <cellStyle name="Normal 8 22 7 4" xfId="36343" xr:uid="{E15AEB9C-918D-48D5-AEE3-A53509D73E89}"/>
    <cellStyle name="Normal 8 22 7 5" xfId="36344" xr:uid="{A05AD4D9-D79D-4553-862F-2A7C87361B30}"/>
    <cellStyle name="Normal 8 22 7 6" xfId="36345" xr:uid="{A003107E-710C-48E9-8374-10C8C3213550}"/>
    <cellStyle name="Normal 8 22 8" xfId="36346" xr:uid="{34EC1D41-F829-421B-863E-5659B7544762}"/>
    <cellStyle name="Normal 8 22 8 2" xfId="36347" xr:uid="{72E4EBE6-B088-4A3E-BE5C-2598E0FF5F38}"/>
    <cellStyle name="Normal 8 22 8 3" xfId="36348" xr:uid="{8BD9CD83-8FFE-4997-A248-34D3918236EC}"/>
    <cellStyle name="Normal 8 22 8 4" xfId="36349" xr:uid="{2FA3E83C-6420-4CC2-BB18-4AC47DC4DA5F}"/>
    <cellStyle name="Normal 8 22 8 5" xfId="36350" xr:uid="{CF57A0C0-B0DC-4A58-A5F2-F5043C2AFBF5}"/>
    <cellStyle name="Normal 8 22 8 6" xfId="36351" xr:uid="{A06AE0B2-3A5B-48DC-9DDE-718023EDC655}"/>
    <cellStyle name="Normal 8 22 9" xfId="36352" xr:uid="{CBDE0CE8-676D-4DF8-812B-A732F12DBEE6}"/>
    <cellStyle name="Normal 8 23" xfId="36353" xr:uid="{4F40BFAD-E4CC-4A84-B53F-AC187D848A8B}"/>
    <cellStyle name="Normal 8 23 10" xfId="36354" xr:uid="{514DB7D3-1CBB-4FF9-9C41-65FA1324E7B1}"/>
    <cellStyle name="Normal 8 23 11" xfId="36355" xr:uid="{A2B3BF1C-0419-41AB-9293-C8709D137612}"/>
    <cellStyle name="Normal 8 23 12" xfId="36356" xr:uid="{E19938CA-CA61-4DEC-A71B-4903240A262A}"/>
    <cellStyle name="Normal 8 23 13" xfId="36357" xr:uid="{8E8D4AD0-E3D6-4DB8-BCF8-1E7A677C87FC}"/>
    <cellStyle name="Normal 8 23 2" xfId="36358" xr:uid="{F43F7155-3D88-43ED-81CE-18F1FDB63F66}"/>
    <cellStyle name="Normal 8 23 2 2" xfId="36359" xr:uid="{1701B86E-22FA-47F0-A82C-A796C3DD71C8}"/>
    <cellStyle name="Normal 8 23 2 3" xfId="36360" xr:uid="{2D8362D9-D475-45EE-929C-A7E2B6BEEEFC}"/>
    <cellStyle name="Normal 8 23 2 4" xfId="36361" xr:uid="{53B5C4B4-AE09-4AA8-8CB3-98F806EF2A57}"/>
    <cellStyle name="Normal 8 23 2 5" xfId="36362" xr:uid="{1FF4DE2C-2E91-4869-9298-F0EE6545C1BB}"/>
    <cellStyle name="Normal 8 23 2 6" xfId="36363" xr:uid="{58C7F5BE-C940-482B-966A-DF13140D27D3}"/>
    <cellStyle name="Normal 8 23 3" xfId="36364" xr:uid="{554C7C8B-7E84-4B27-843D-0BB28B4B3E45}"/>
    <cellStyle name="Normal 8 23 3 2" xfId="36365" xr:uid="{6CC85BEB-2DB7-45A0-B2BC-5207137DD699}"/>
    <cellStyle name="Normal 8 23 3 3" xfId="36366" xr:uid="{F1900C66-1253-4A53-81B4-69AD5535B667}"/>
    <cellStyle name="Normal 8 23 3 4" xfId="36367" xr:uid="{A87A18DE-36DB-4FE1-A05B-1E4B466E9A29}"/>
    <cellStyle name="Normal 8 23 3 5" xfId="36368" xr:uid="{6C9952DA-AE28-4E38-BB39-A9A5E33629AC}"/>
    <cellStyle name="Normal 8 23 3 6" xfId="36369" xr:uid="{5F841CA9-06B3-4E80-A355-CB71FBA58726}"/>
    <cellStyle name="Normal 8 23 4" xfId="36370" xr:uid="{1AADDD16-216A-4F46-BE3F-81A638CD7359}"/>
    <cellStyle name="Normal 8 23 4 2" xfId="36371" xr:uid="{57DBB3F5-C793-4A7D-8D83-AF59BA12899F}"/>
    <cellStyle name="Normal 8 23 4 3" xfId="36372" xr:uid="{24A8A3EA-E194-4C19-AA05-5CA71EA21078}"/>
    <cellStyle name="Normal 8 23 4 4" xfId="36373" xr:uid="{CC2638CC-7F26-4A93-A4F1-F6C134DD2FC9}"/>
    <cellStyle name="Normal 8 23 4 5" xfId="36374" xr:uid="{30A70725-3847-4006-A5E1-23B85A5827CF}"/>
    <cellStyle name="Normal 8 23 4 6" xfId="36375" xr:uid="{F1595805-7778-439C-8FFB-01AEF109AEED}"/>
    <cellStyle name="Normal 8 23 5" xfId="36376" xr:uid="{8085AF4A-9A21-40BA-8270-24B359EDA46E}"/>
    <cellStyle name="Normal 8 23 5 2" xfId="36377" xr:uid="{790AC63D-B838-4751-AB29-1EF0BE6E84C6}"/>
    <cellStyle name="Normal 8 23 5 3" xfId="36378" xr:uid="{200614EC-8A77-4017-A4DF-17B3DCE9613B}"/>
    <cellStyle name="Normal 8 23 5 4" xfId="36379" xr:uid="{1DC2976A-7C72-4C93-84AB-8D6B64F90EBB}"/>
    <cellStyle name="Normal 8 23 5 5" xfId="36380" xr:uid="{C8556B78-7BF6-450F-9C41-0144DAB652E4}"/>
    <cellStyle name="Normal 8 23 5 6" xfId="36381" xr:uid="{0B5ACB0C-30E9-4068-94D2-6E22D4E544D4}"/>
    <cellStyle name="Normal 8 23 6" xfId="36382" xr:uid="{BB9B9103-0319-4BAE-A3CB-A50C2E5C8CB2}"/>
    <cellStyle name="Normal 8 23 6 2" xfId="36383" xr:uid="{31D0B9FC-E6E2-4C9D-A3C8-087B05ADC100}"/>
    <cellStyle name="Normal 8 23 6 3" xfId="36384" xr:uid="{8A03BDF6-75AF-48DE-8802-D71190490F84}"/>
    <cellStyle name="Normal 8 23 6 4" xfId="36385" xr:uid="{ADB36B9A-FB21-4D75-B812-82E79BC94BB4}"/>
    <cellStyle name="Normal 8 23 6 5" xfId="36386" xr:uid="{94CA3263-3904-4DA4-8C4B-FB602E282FFE}"/>
    <cellStyle name="Normal 8 23 6 6" xfId="36387" xr:uid="{4C294BF9-5A32-4C14-B445-02A3273A5CCE}"/>
    <cellStyle name="Normal 8 23 7" xfId="36388" xr:uid="{4DFEB7A0-42A2-4DD6-9BD4-C0BC6ED6E1AA}"/>
    <cellStyle name="Normal 8 23 7 2" xfId="36389" xr:uid="{83EF8EC3-FCC8-45BF-8E50-A3867B67451E}"/>
    <cellStyle name="Normal 8 23 7 3" xfId="36390" xr:uid="{3D6DE4C2-8BDB-4785-9380-620BBD291EFF}"/>
    <cellStyle name="Normal 8 23 7 4" xfId="36391" xr:uid="{08A08946-24FE-45D8-B6CD-EB228B91665F}"/>
    <cellStyle name="Normal 8 23 7 5" xfId="36392" xr:uid="{E8E0559B-9069-4573-B72B-2C6CD8E3B77F}"/>
    <cellStyle name="Normal 8 23 7 6" xfId="36393" xr:uid="{1EB41BD3-22AC-449A-B6AC-6E6DA85C2FCA}"/>
    <cellStyle name="Normal 8 23 8" xfId="36394" xr:uid="{08B25843-4A06-4DE4-9FA5-71DC39AD42C6}"/>
    <cellStyle name="Normal 8 23 8 2" xfId="36395" xr:uid="{7C3227D8-C51E-4B17-A3C7-B63E83796F69}"/>
    <cellStyle name="Normal 8 23 8 3" xfId="36396" xr:uid="{B8EF5659-712F-44AC-B2F4-33D91442D58B}"/>
    <cellStyle name="Normal 8 23 8 4" xfId="36397" xr:uid="{7C1D6AA9-0D08-4FA7-89B4-4485F7DF938D}"/>
    <cellStyle name="Normal 8 23 8 5" xfId="36398" xr:uid="{0DDD8931-CD85-473D-8582-4CAAF5E8622D}"/>
    <cellStyle name="Normal 8 23 8 6" xfId="36399" xr:uid="{2DB7E82D-53BE-4B5A-9A7D-502C71A61047}"/>
    <cellStyle name="Normal 8 23 9" xfId="36400" xr:uid="{F7F2967C-09D8-4DBE-BAB9-664FD366F459}"/>
    <cellStyle name="Normal 8 24" xfId="36401" xr:uid="{1F8CC257-1A08-4686-982D-2727DDD9B073}"/>
    <cellStyle name="Normal 8 24 10" xfId="36402" xr:uid="{7A2F1717-1330-4866-9A3F-A70BDE323C3E}"/>
    <cellStyle name="Normal 8 24 11" xfId="36403" xr:uid="{BD6D527E-22B3-4900-8AE3-925B0A49D874}"/>
    <cellStyle name="Normal 8 24 12" xfId="36404" xr:uid="{B7A28D3A-9B01-4E00-9E99-0EF3AA162663}"/>
    <cellStyle name="Normal 8 24 13" xfId="36405" xr:uid="{49CED870-2A7E-4977-B7F4-E14D5394B81E}"/>
    <cellStyle name="Normal 8 24 2" xfId="36406" xr:uid="{DD3DB100-9C9D-410A-AC03-AA84DFED110A}"/>
    <cellStyle name="Normal 8 24 2 2" xfId="36407" xr:uid="{ADD1881F-FBBB-44C1-9DE9-00F4378A45CD}"/>
    <cellStyle name="Normal 8 24 2 3" xfId="36408" xr:uid="{0238DF68-9E74-49A7-95F7-BD7C1C923323}"/>
    <cellStyle name="Normal 8 24 2 4" xfId="36409" xr:uid="{32B1A24A-A8DA-454C-B6C8-F512CA04ADA4}"/>
    <cellStyle name="Normal 8 24 2 5" xfId="36410" xr:uid="{875FB393-D8C9-4206-99D1-62497BE9B678}"/>
    <cellStyle name="Normal 8 24 2 6" xfId="36411" xr:uid="{C783984B-41CB-4D70-A731-EAA03A4EE6AD}"/>
    <cellStyle name="Normal 8 24 3" xfId="36412" xr:uid="{AB74F1CF-4E45-413D-8FBA-D97B60F92505}"/>
    <cellStyle name="Normal 8 24 3 2" xfId="36413" xr:uid="{D24C8287-E0EB-465B-88FC-ABB2FA0A159B}"/>
    <cellStyle name="Normal 8 24 3 3" xfId="36414" xr:uid="{C758F478-1956-4FE1-AE0C-884BB9A6A5EE}"/>
    <cellStyle name="Normal 8 24 3 4" xfId="36415" xr:uid="{71CE509E-A8ED-42BF-9945-2D5D91565FEA}"/>
    <cellStyle name="Normal 8 24 3 5" xfId="36416" xr:uid="{44078A62-E82B-48E3-80C3-7E82B238D0A8}"/>
    <cellStyle name="Normal 8 24 3 6" xfId="36417" xr:uid="{ADA7C210-B50C-4E35-9481-0D13906B8317}"/>
    <cellStyle name="Normal 8 24 4" xfId="36418" xr:uid="{219D8611-F0F5-4E6B-BEC9-D996585053EE}"/>
    <cellStyle name="Normal 8 24 4 2" xfId="36419" xr:uid="{20ED27C6-96E8-40AA-B6B6-E8EE16FE2DE0}"/>
    <cellStyle name="Normal 8 24 4 3" xfId="36420" xr:uid="{2C8DD6C6-06B7-4672-AA04-6A46FD691FAB}"/>
    <cellStyle name="Normal 8 24 4 4" xfId="36421" xr:uid="{6BBD734E-2AE8-47B3-B75E-2954D78973E2}"/>
    <cellStyle name="Normal 8 24 4 5" xfId="36422" xr:uid="{98676A6B-4D52-4417-836B-36F2F16F4075}"/>
    <cellStyle name="Normal 8 24 4 6" xfId="36423" xr:uid="{96745A32-6271-409C-BB53-36AE8D49C0D2}"/>
    <cellStyle name="Normal 8 24 5" xfId="36424" xr:uid="{75A36145-0D1B-44D1-80A9-08804578A154}"/>
    <cellStyle name="Normal 8 24 5 2" xfId="36425" xr:uid="{DDEB0045-AEC2-4D96-8981-132C4F9C1D97}"/>
    <cellStyle name="Normal 8 24 5 3" xfId="36426" xr:uid="{478BFD34-B55C-4426-9976-E34B4E5AA7F1}"/>
    <cellStyle name="Normal 8 24 5 4" xfId="36427" xr:uid="{9DA0BBF5-99CD-47B8-817B-D8C35B7BF708}"/>
    <cellStyle name="Normal 8 24 5 5" xfId="36428" xr:uid="{0A6CDB8F-58F3-43D1-B6EC-996613468A84}"/>
    <cellStyle name="Normal 8 24 5 6" xfId="36429" xr:uid="{3C7E6D49-783D-4E4D-97A8-F415AE1FF558}"/>
    <cellStyle name="Normal 8 24 6" xfId="36430" xr:uid="{770A0888-3EC8-4C8F-952B-EDDDB8723BC9}"/>
    <cellStyle name="Normal 8 24 6 2" xfId="36431" xr:uid="{9680D52D-FA01-4082-ACFF-4560ADFDB2C3}"/>
    <cellStyle name="Normal 8 24 6 3" xfId="36432" xr:uid="{CEA080CB-2A0A-4E5C-A6EC-2B4FE256AE0A}"/>
    <cellStyle name="Normal 8 24 6 4" xfId="36433" xr:uid="{FE53232E-E5D5-46A3-9A73-5AECA7EE658E}"/>
    <cellStyle name="Normal 8 24 6 5" xfId="36434" xr:uid="{9DB1CF2D-CE69-4AD6-AF32-6E608D635090}"/>
    <cellStyle name="Normal 8 24 6 6" xfId="36435" xr:uid="{A7B44716-01BD-40AC-90EC-B33F0A0BB3C4}"/>
    <cellStyle name="Normal 8 24 7" xfId="36436" xr:uid="{8F25530D-378F-4673-B9C6-ECB1F638A1BB}"/>
    <cellStyle name="Normal 8 24 7 2" xfId="36437" xr:uid="{6E5288A0-0254-437B-B99F-F9703AB67C5D}"/>
    <cellStyle name="Normal 8 24 7 3" xfId="36438" xr:uid="{D6A6AD3D-5E07-4DAA-B173-9CA85AF40E65}"/>
    <cellStyle name="Normal 8 24 7 4" xfId="36439" xr:uid="{3199AA2B-8633-4E71-9BE5-2BAFC02C4F8B}"/>
    <cellStyle name="Normal 8 24 7 5" xfId="36440" xr:uid="{8D2CE702-3B02-425A-ACC8-16860FF624D8}"/>
    <cellStyle name="Normal 8 24 7 6" xfId="36441" xr:uid="{E8A7C682-6DC4-49EB-80CF-6E82CA06EBA7}"/>
    <cellStyle name="Normal 8 24 8" xfId="36442" xr:uid="{89F35A02-4A39-45DB-9304-3E60F09A89BB}"/>
    <cellStyle name="Normal 8 24 8 2" xfId="36443" xr:uid="{6FC03003-787B-453D-B238-D1A8ED35CE43}"/>
    <cellStyle name="Normal 8 24 8 3" xfId="36444" xr:uid="{AC58D9CD-97CA-4912-887A-3EFDC5803530}"/>
    <cellStyle name="Normal 8 24 8 4" xfId="36445" xr:uid="{1C8255BE-9174-426E-945B-6766294B49EF}"/>
    <cellStyle name="Normal 8 24 8 5" xfId="36446" xr:uid="{C05C8E41-B730-4DC3-8FAB-30783D682D3B}"/>
    <cellStyle name="Normal 8 24 8 6" xfId="36447" xr:uid="{B43DA79D-5022-4BB6-A0CF-CD9DAE1BED13}"/>
    <cellStyle name="Normal 8 24 9" xfId="36448" xr:uid="{43431546-E9E2-4AB5-8C48-DC6BC6391C9F}"/>
    <cellStyle name="Normal 8 25" xfId="36449" xr:uid="{A41F7E5F-D5A6-4800-8D21-A95A728C4BE4}"/>
    <cellStyle name="Normal 8 25 10" xfId="36450" xr:uid="{0AC1D507-B1DF-4BA9-9C8B-08C4ADC67B7C}"/>
    <cellStyle name="Normal 8 25 11" xfId="36451" xr:uid="{D4FDE6FC-39C4-494F-A5AB-3BCD67980623}"/>
    <cellStyle name="Normal 8 25 12" xfId="36452" xr:uid="{0A2D5910-654F-4F72-AD20-1E98BB94511E}"/>
    <cellStyle name="Normal 8 25 13" xfId="36453" xr:uid="{C4058D49-FA4A-455B-9C97-2C800DC61D63}"/>
    <cellStyle name="Normal 8 25 2" xfId="36454" xr:uid="{35007443-89B7-4B8F-A037-F41A07E75BDB}"/>
    <cellStyle name="Normal 8 25 2 2" xfId="36455" xr:uid="{3C658818-B4D8-47DD-BF11-9E66DF7E78AD}"/>
    <cellStyle name="Normal 8 25 2 3" xfId="36456" xr:uid="{5DA2A58B-AE4D-485E-9AE2-F9ED497EC9D1}"/>
    <cellStyle name="Normal 8 25 2 4" xfId="36457" xr:uid="{0F0EDB86-89C9-4135-BD3F-49905053DE30}"/>
    <cellStyle name="Normal 8 25 2 5" xfId="36458" xr:uid="{F4A4D0A2-8FCF-4FB9-A7A2-C4AF0CA1DAF7}"/>
    <cellStyle name="Normal 8 25 2 6" xfId="36459" xr:uid="{89DE5356-6E77-49B1-97D2-BE50487E8A54}"/>
    <cellStyle name="Normal 8 25 3" xfId="36460" xr:uid="{520B9C70-B2D9-410E-960D-71C5DDFFF29A}"/>
    <cellStyle name="Normal 8 25 3 2" xfId="36461" xr:uid="{45CD1C82-A262-41B2-AA24-F9A336D953E6}"/>
    <cellStyle name="Normal 8 25 3 3" xfId="36462" xr:uid="{58F0E910-C4A7-410C-9A07-5F5FF0BF3FCE}"/>
    <cellStyle name="Normal 8 25 3 4" xfId="36463" xr:uid="{C9C8184D-CA1A-4D81-BC34-293AC461FAA8}"/>
    <cellStyle name="Normal 8 25 3 5" xfId="36464" xr:uid="{39776517-4FCB-4A23-9DE0-864871029B64}"/>
    <cellStyle name="Normal 8 25 3 6" xfId="36465" xr:uid="{A61C882F-12C7-4145-B080-D843A4191211}"/>
    <cellStyle name="Normal 8 25 4" xfId="36466" xr:uid="{F812B0A5-93FC-47AF-BFDB-20B955754710}"/>
    <cellStyle name="Normal 8 25 4 2" xfId="36467" xr:uid="{D3D2FA43-519E-455D-8E96-DC902D39ED7F}"/>
    <cellStyle name="Normal 8 25 4 3" xfId="36468" xr:uid="{9FD4342C-A529-4636-83DF-A8A26B781148}"/>
    <cellStyle name="Normal 8 25 4 4" xfId="36469" xr:uid="{4000AF7C-8A61-4C7C-BC69-A1D1E8BFDAEA}"/>
    <cellStyle name="Normal 8 25 4 5" xfId="36470" xr:uid="{3247C89D-B646-45E5-8624-582A27F5F184}"/>
    <cellStyle name="Normal 8 25 4 6" xfId="36471" xr:uid="{3CC4884C-9EA1-4375-9BCF-C9A4647F18EB}"/>
    <cellStyle name="Normal 8 25 5" xfId="36472" xr:uid="{D6460A41-CA73-409C-BB1E-C6F67251B8BF}"/>
    <cellStyle name="Normal 8 25 5 2" xfId="36473" xr:uid="{CDE669D3-DF62-4E7B-8217-B34E8720152D}"/>
    <cellStyle name="Normal 8 25 5 3" xfId="36474" xr:uid="{BBA7BE52-4616-4ECD-8F5D-C63788AA7035}"/>
    <cellStyle name="Normal 8 25 5 4" xfId="36475" xr:uid="{E90FB6C0-4533-466B-80BE-2798F7185BF3}"/>
    <cellStyle name="Normal 8 25 5 5" xfId="36476" xr:uid="{69761BF2-0AE5-4AF9-A2E7-F07A6ABDEDD7}"/>
    <cellStyle name="Normal 8 25 5 6" xfId="36477" xr:uid="{E08318AE-DC4C-41E6-933D-FFC6E0628D3F}"/>
    <cellStyle name="Normal 8 25 6" xfId="36478" xr:uid="{9D56C9BF-3773-428C-AB4F-2AF07B96AB75}"/>
    <cellStyle name="Normal 8 25 6 2" xfId="36479" xr:uid="{75B9CD9C-B483-461F-80C7-3040B796BDE5}"/>
    <cellStyle name="Normal 8 25 6 3" xfId="36480" xr:uid="{7EC97EF7-668B-4DD6-95AF-55530FC88858}"/>
    <cellStyle name="Normal 8 25 6 4" xfId="36481" xr:uid="{6237A4F9-326E-4338-8CD8-EB18E13590B3}"/>
    <cellStyle name="Normal 8 25 6 5" xfId="36482" xr:uid="{EE339D75-E44A-465F-86EC-E64A8760BC49}"/>
    <cellStyle name="Normal 8 25 6 6" xfId="36483" xr:uid="{66A2B45C-4C25-45AD-A80E-8913C66B454D}"/>
    <cellStyle name="Normal 8 25 7" xfId="36484" xr:uid="{50320012-8AB8-4F62-B762-FB7D33FA810E}"/>
    <cellStyle name="Normal 8 25 7 2" xfId="36485" xr:uid="{B46B7C66-6302-44E3-8823-20F0D944C96D}"/>
    <cellStyle name="Normal 8 25 7 3" xfId="36486" xr:uid="{BC2E8FE2-5A8C-4FE6-9B14-25297EA0E021}"/>
    <cellStyle name="Normal 8 25 7 4" xfId="36487" xr:uid="{70B96EBA-F0B4-4662-8A3A-113AA2EC73E6}"/>
    <cellStyle name="Normal 8 25 7 5" xfId="36488" xr:uid="{9B3E9106-384F-4230-BE47-88FB2A7427DB}"/>
    <cellStyle name="Normal 8 25 7 6" xfId="36489" xr:uid="{6533B67A-B5A1-4F6B-84B3-0B8DB949995B}"/>
    <cellStyle name="Normal 8 25 8" xfId="36490" xr:uid="{9C959662-9A6F-43D1-ADB3-485217D503D2}"/>
    <cellStyle name="Normal 8 25 8 2" xfId="36491" xr:uid="{61526AEB-7C47-4D99-A836-BD2A08F6A751}"/>
    <cellStyle name="Normal 8 25 8 3" xfId="36492" xr:uid="{CFFD98D3-C8CE-4A57-BB3F-D5BBCBE8028B}"/>
    <cellStyle name="Normal 8 25 8 4" xfId="36493" xr:uid="{6E68AE60-1330-4F83-894B-199E3CC74BEA}"/>
    <cellStyle name="Normal 8 25 8 5" xfId="36494" xr:uid="{A6A28B72-8792-4255-BAE5-A193C59CE6A3}"/>
    <cellStyle name="Normal 8 25 8 6" xfId="36495" xr:uid="{DC8F1716-F3BD-420C-9A1B-9EA009ACF0D4}"/>
    <cellStyle name="Normal 8 25 9" xfId="36496" xr:uid="{53D8A413-5C35-41E2-982A-25F59DD13A3B}"/>
    <cellStyle name="Normal 8 26" xfId="36497" xr:uid="{D7A49318-D4E4-4057-BF95-EFA7888AF5AB}"/>
    <cellStyle name="Normal 8 26 10" xfId="36498" xr:uid="{6E646370-F757-4212-9756-6F79D28EC714}"/>
    <cellStyle name="Normal 8 26 11" xfId="36499" xr:uid="{40CA7E3A-7114-4BE0-97F7-C68B5786E528}"/>
    <cellStyle name="Normal 8 26 12" xfId="36500" xr:uid="{C98ED02A-2837-48A3-BDFB-863D903512E8}"/>
    <cellStyle name="Normal 8 26 13" xfId="36501" xr:uid="{777EB6F5-E13C-4670-9398-DF42BAB405B1}"/>
    <cellStyle name="Normal 8 26 2" xfId="36502" xr:uid="{409B63D8-5183-4921-9F20-725EBAA87DBB}"/>
    <cellStyle name="Normal 8 26 2 2" xfId="36503" xr:uid="{E6F802F6-D804-4F68-BA26-BDC6A8A18A95}"/>
    <cellStyle name="Normal 8 26 2 3" xfId="36504" xr:uid="{9321B298-EE08-432A-832F-653D88EF8109}"/>
    <cellStyle name="Normal 8 26 2 4" xfId="36505" xr:uid="{C86EA039-542C-4DB4-A50E-768B9008B243}"/>
    <cellStyle name="Normal 8 26 2 5" xfId="36506" xr:uid="{DF441EEE-DEA4-42CF-9F51-8607B94CF2A4}"/>
    <cellStyle name="Normal 8 26 2 6" xfId="36507" xr:uid="{CF046CC3-D600-4021-99E7-99ADAADC691B}"/>
    <cellStyle name="Normal 8 26 3" xfId="36508" xr:uid="{C06ADD69-B176-4DB7-B7B8-A3AEB6FC7E75}"/>
    <cellStyle name="Normal 8 26 3 2" xfId="36509" xr:uid="{AFC8FEAB-BB1B-481B-B089-FC9586A1CB62}"/>
    <cellStyle name="Normal 8 26 3 3" xfId="36510" xr:uid="{3EF5FFFE-E8D3-4D6D-8B28-B572BDD2CD44}"/>
    <cellStyle name="Normal 8 26 3 4" xfId="36511" xr:uid="{C320F5D5-8912-4FDB-BD20-BEA2E6638AAB}"/>
    <cellStyle name="Normal 8 26 3 5" xfId="36512" xr:uid="{FB13F4A9-9EDD-4F5F-86A0-85A25D837E0F}"/>
    <cellStyle name="Normal 8 26 3 6" xfId="36513" xr:uid="{68F992B8-5DA6-40EA-9A25-74479ADC0030}"/>
    <cellStyle name="Normal 8 26 4" xfId="36514" xr:uid="{635D557F-038F-4161-88FC-666958557DE5}"/>
    <cellStyle name="Normal 8 26 4 2" xfId="36515" xr:uid="{3155A2E2-34B6-472B-9606-500FA86BB01C}"/>
    <cellStyle name="Normal 8 26 4 3" xfId="36516" xr:uid="{C67E4A52-3BFD-43B9-AAA6-AED763ECC799}"/>
    <cellStyle name="Normal 8 26 4 4" xfId="36517" xr:uid="{D206A000-E075-4137-94B0-296969000F2A}"/>
    <cellStyle name="Normal 8 26 4 5" xfId="36518" xr:uid="{47CDCE20-2F60-4C86-8862-970B23507F73}"/>
    <cellStyle name="Normal 8 26 4 6" xfId="36519" xr:uid="{DE6457BB-DCF1-4130-A68C-F285B7184035}"/>
    <cellStyle name="Normal 8 26 5" xfId="36520" xr:uid="{F9AFFC87-DED6-442B-AF70-2792D57244E7}"/>
    <cellStyle name="Normal 8 26 5 2" xfId="36521" xr:uid="{BE60A6D3-AE4C-481D-B0E1-F3CBE563FE08}"/>
    <cellStyle name="Normal 8 26 5 3" xfId="36522" xr:uid="{9DED5481-93E3-4267-8590-83D18842C59B}"/>
    <cellStyle name="Normal 8 26 5 4" xfId="36523" xr:uid="{B23EE12D-56A1-427F-89BE-30F141930D44}"/>
    <cellStyle name="Normal 8 26 5 5" xfId="36524" xr:uid="{D92CC6B1-4ECB-431A-B10B-A4796185AACC}"/>
    <cellStyle name="Normal 8 26 5 6" xfId="36525" xr:uid="{ED655447-73DA-4BA7-BE04-7C4901BBD92B}"/>
    <cellStyle name="Normal 8 26 6" xfId="36526" xr:uid="{63051A4E-9FAF-430D-87D0-C4F5502D13EB}"/>
    <cellStyle name="Normal 8 26 6 2" xfId="36527" xr:uid="{4B3714BA-0D19-4721-BCEE-3DD6FA88D114}"/>
    <cellStyle name="Normal 8 26 6 3" xfId="36528" xr:uid="{CA9AF801-C144-4428-8EBC-6A2FA9531B33}"/>
    <cellStyle name="Normal 8 26 6 4" xfId="36529" xr:uid="{A7FF8012-2F47-4BCD-B78A-4F7C1E10E36D}"/>
    <cellStyle name="Normal 8 26 6 5" xfId="36530" xr:uid="{A0F307D8-47C2-49D9-9547-4059B37A8143}"/>
    <cellStyle name="Normal 8 26 6 6" xfId="36531" xr:uid="{F905B1C8-3327-4454-81E1-14311AD98C3E}"/>
    <cellStyle name="Normal 8 26 7" xfId="36532" xr:uid="{40C82388-4C3C-4820-B1EC-A57F85BFE821}"/>
    <cellStyle name="Normal 8 26 7 2" xfId="36533" xr:uid="{AAA988FB-8121-4B6C-BFD7-47248024FD91}"/>
    <cellStyle name="Normal 8 26 7 3" xfId="36534" xr:uid="{33433CA2-88AF-4F72-908B-37595677D0D9}"/>
    <cellStyle name="Normal 8 26 7 4" xfId="36535" xr:uid="{B96C3C92-0AF1-415A-A320-B96DA461FEB9}"/>
    <cellStyle name="Normal 8 26 7 5" xfId="36536" xr:uid="{69BB0B20-15B0-4756-ABB9-9EE845BB8914}"/>
    <cellStyle name="Normal 8 26 7 6" xfId="36537" xr:uid="{BA4EC4C5-DC10-4734-8DC1-2537DC3AEDA2}"/>
    <cellStyle name="Normal 8 26 8" xfId="36538" xr:uid="{6A1B4FE3-7780-48F6-88AE-4C17760C1AF0}"/>
    <cellStyle name="Normal 8 26 8 2" xfId="36539" xr:uid="{98232B08-39B3-43D2-9404-AF5815B5749F}"/>
    <cellStyle name="Normal 8 26 8 3" xfId="36540" xr:uid="{47CE7E2A-11AA-4E0C-B008-BDA773BB4C87}"/>
    <cellStyle name="Normal 8 26 8 4" xfId="36541" xr:uid="{DB8F0886-4EE9-4326-A049-ECAC000AA910}"/>
    <cellStyle name="Normal 8 26 8 5" xfId="36542" xr:uid="{7E19FED8-9EF4-4AFA-9C78-8509C97C8934}"/>
    <cellStyle name="Normal 8 26 8 6" xfId="36543" xr:uid="{DFEE0BFC-83FA-4723-A1BA-4F3134776669}"/>
    <cellStyle name="Normal 8 26 9" xfId="36544" xr:uid="{50043FEC-2721-4D51-AD23-96C7E9C6F719}"/>
    <cellStyle name="Normal 8 27" xfId="36545" xr:uid="{7DFB83DB-9BFA-4A6A-92D5-4483B304327E}"/>
    <cellStyle name="Normal 8 27 10" xfId="36546" xr:uid="{A995C1F0-BA1D-4AE7-BB3E-59A88187F2CA}"/>
    <cellStyle name="Normal 8 27 11" xfId="36547" xr:uid="{E7F84AAE-4455-4239-A3C0-C3826FF4B3D0}"/>
    <cellStyle name="Normal 8 27 12" xfId="36548" xr:uid="{9C28F6FE-FA9E-40AA-9DCA-AD6526FE3221}"/>
    <cellStyle name="Normal 8 27 13" xfId="36549" xr:uid="{7559F879-7345-4918-AAA5-69B07840C949}"/>
    <cellStyle name="Normal 8 27 2" xfId="36550" xr:uid="{0DDC4D96-44CC-457F-AE82-1E9CB95EA4D7}"/>
    <cellStyle name="Normal 8 27 2 2" xfId="36551" xr:uid="{003ADE27-93B7-4EA3-A34C-A502A659BE2F}"/>
    <cellStyle name="Normal 8 27 2 3" xfId="36552" xr:uid="{6A29B870-870E-4C32-BDB3-17EB43A6ACBE}"/>
    <cellStyle name="Normal 8 27 2 4" xfId="36553" xr:uid="{0D0CB8E6-162F-43B0-8936-6DDD1F8384E1}"/>
    <cellStyle name="Normal 8 27 2 5" xfId="36554" xr:uid="{9F1A0796-DE1C-423A-AB09-66E8183FCC90}"/>
    <cellStyle name="Normal 8 27 2 6" xfId="36555" xr:uid="{D35E2D3B-1D96-43EA-B649-5C3892E143CD}"/>
    <cellStyle name="Normal 8 27 3" xfId="36556" xr:uid="{BEABBAE3-7512-4E2D-8C06-EC78D0C4E63A}"/>
    <cellStyle name="Normal 8 27 3 2" xfId="36557" xr:uid="{1135AD39-E4F4-4E87-90EB-6EE60F05A31F}"/>
    <cellStyle name="Normal 8 27 3 3" xfId="36558" xr:uid="{E909EC07-7236-4F2A-84DE-9FEC49277891}"/>
    <cellStyle name="Normal 8 27 3 4" xfId="36559" xr:uid="{3C15B28D-CB89-4589-ADE7-282A5E466002}"/>
    <cellStyle name="Normal 8 27 3 5" xfId="36560" xr:uid="{60429DE4-DD7D-415A-9259-4264E66049EC}"/>
    <cellStyle name="Normal 8 27 3 6" xfId="36561" xr:uid="{6C9E24CF-A422-42C0-A2E4-A047607F91D2}"/>
    <cellStyle name="Normal 8 27 4" xfId="36562" xr:uid="{BB4752D8-92B9-4CFD-A24D-1DACF917445F}"/>
    <cellStyle name="Normal 8 27 4 2" xfId="36563" xr:uid="{EA24AEB4-AFBE-4FD6-AD65-FBE5556AD5E7}"/>
    <cellStyle name="Normal 8 27 4 3" xfId="36564" xr:uid="{86FF312D-027C-45C0-AD00-607AD85C04CB}"/>
    <cellStyle name="Normal 8 27 4 4" xfId="36565" xr:uid="{6F10FB06-969F-4043-93E8-B09844BF68C7}"/>
    <cellStyle name="Normal 8 27 4 5" xfId="36566" xr:uid="{E234B6F7-6C42-47BE-B0D6-3F9DBDD39746}"/>
    <cellStyle name="Normal 8 27 4 6" xfId="36567" xr:uid="{4C992509-B3B8-4206-A2E1-04D366C48E5C}"/>
    <cellStyle name="Normal 8 27 5" xfId="36568" xr:uid="{3417821B-FB2C-4715-B8F0-98293069E891}"/>
    <cellStyle name="Normal 8 27 5 2" xfId="36569" xr:uid="{523C4ED3-86A5-4030-A44A-E46BFB03CA35}"/>
    <cellStyle name="Normal 8 27 5 3" xfId="36570" xr:uid="{646043EA-CF96-4E4C-94D2-8AE276A58604}"/>
    <cellStyle name="Normal 8 27 5 4" xfId="36571" xr:uid="{4C485E26-01FC-4B2A-BD5D-2F9881AD0A65}"/>
    <cellStyle name="Normal 8 27 5 5" xfId="36572" xr:uid="{0ACCE96F-6022-4C31-B507-088D90B88704}"/>
    <cellStyle name="Normal 8 27 5 6" xfId="36573" xr:uid="{DE046269-1361-415F-B26D-B0CF6C00197C}"/>
    <cellStyle name="Normal 8 27 6" xfId="36574" xr:uid="{FFC8AE09-A875-4BD2-8D2B-B2996C054AE2}"/>
    <cellStyle name="Normal 8 27 6 2" xfId="36575" xr:uid="{B41EDBF1-D680-4453-B60D-1EC161984F24}"/>
    <cellStyle name="Normal 8 27 6 3" xfId="36576" xr:uid="{DD770CC1-8787-4EE0-821D-5A8A11F50363}"/>
    <cellStyle name="Normal 8 27 6 4" xfId="36577" xr:uid="{A1987FF3-E75C-4FDB-8BD7-BB77AB9BBF84}"/>
    <cellStyle name="Normal 8 27 6 5" xfId="36578" xr:uid="{6A46EE68-A459-4F6A-B4FE-DC6EEB9F4A7A}"/>
    <cellStyle name="Normal 8 27 6 6" xfId="36579" xr:uid="{E84FC1D4-996A-4960-9E38-15D449B48CF2}"/>
    <cellStyle name="Normal 8 27 7" xfId="36580" xr:uid="{63DDB9F4-8066-4904-B4DA-FE12770AB450}"/>
    <cellStyle name="Normal 8 27 7 2" xfId="36581" xr:uid="{EC2C0761-0173-4CE6-A89E-944AB29D62B4}"/>
    <cellStyle name="Normal 8 27 7 3" xfId="36582" xr:uid="{02FC3648-06F2-4B22-ABD2-9A4A5BD5640B}"/>
    <cellStyle name="Normal 8 27 7 4" xfId="36583" xr:uid="{4F722578-AE77-40C6-89FD-746B26DF3FE8}"/>
    <cellStyle name="Normal 8 27 7 5" xfId="36584" xr:uid="{9E242F0B-3A00-4020-96FF-4C04E89025DE}"/>
    <cellStyle name="Normal 8 27 7 6" xfId="36585" xr:uid="{0589E781-003B-42F7-B647-FCD1C1E1B4D0}"/>
    <cellStyle name="Normal 8 27 8" xfId="36586" xr:uid="{F8A0997C-33D9-478E-9016-D548DFDC2D1E}"/>
    <cellStyle name="Normal 8 27 8 2" xfId="36587" xr:uid="{6C85ACBA-F2DA-4160-8278-DAA00AB05AC0}"/>
    <cellStyle name="Normal 8 27 8 3" xfId="36588" xr:uid="{687AB701-6FE8-402D-B72E-E16F190EFCE0}"/>
    <cellStyle name="Normal 8 27 8 4" xfId="36589" xr:uid="{5DDD0E95-39F6-41AC-918F-73DBC1E571DD}"/>
    <cellStyle name="Normal 8 27 8 5" xfId="36590" xr:uid="{9714C540-DC92-4B45-9CA7-546CA7A1E630}"/>
    <cellStyle name="Normal 8 27 8 6" xfId="36591" xr:uid="{93F76EFE-35A5-49A2-BBC1-15011C40FE3F}"/>
    <cellStyle name="Normal 8 27 9" xfId="36592" xr:uid="{458E3A4C-078C-47A3-BB7B-F737694D133F}"/>
    <cellStyle name="Normal 8 28" xfId="36593" xr:uid="{3DB51763-CCF7-4D7D-B36F-9B9EE93C0035}"/>
    <cellStyle name="Normal 8 28 10" xfId="36594" xr:uid="{D69005D8-209A-4F62-9B2B-B7AB1458A555}"/>
    <cellStyle name="Normal 8 28 11" xfId="36595" xr:uid="{B3EB40D0-4F6C-4ADB-8834-C3A033AC7A1D}"/>
    <cellStyle name="Normal 8 28 12" xfId="36596" xr:uid="{C20B537A-75BF-4A9E-B553-4DC812B6CB8C}"/>
    <cellStyle name="Normal 8 28 13" xfId="36597" xr:uid="{833E925B-9885-4B86-8C13-A4D625993F4C}"/>
    <cellStyle name="Normal 8 28 2" xfId="36598" xr:uid="{BD1EC1B5-96EC-4E38-BF19-AFC13E9259F1}"/>
    <cellStyle name="Normal 8 28 2 2" xfId="36599" xr:uid="{AE751BFD-9B70-4B31-AEAF-B01ED0908D57}"/>
    <cellStyle name="Normal 8 28 2 3" xfId="36600" xr:uid="{C29E376D-AE37-4D5C-BA73-63C0704AC052}"/>
    <cellStyle name="Normal 8 28 2 4" xfId="36601" xr:uid="{7AF24208-198A-4E2C-8F6E-399164281356}"/>
    <cellStyle name="Normal 8 28 2 5" xfId="36602" xr:uid="{76F5841E-26B6-47FD-A7B4-6D1930903FB4}"/>
    <cellStyle name="Normal 8 28 2 6" xfId="36603" xr:uid="{472B88FC-921C-4562-8C88-BA1E8AE11D22}"/>
    <cellStyle name="Normal 8 28 3" xfId="36604" xr:uid="{8EB27015-6BAE-4E54-B6ED-134A6A8D011F}"/>
    <cellStyle name="Normal 8 28 3 2" xfId="36605" xr:uid="{B63F339D-B8BD-4150-BA0C-91428E6969CC}"/>
    <cellStyle name="Normal 8 28 3 3" xfId="36606" xr:uid="{76FAB68F-02EE-4635-9FDE-616911B701C5}"/>
    <cellStyle name="Normal 8 28 3 4" xfId="36607" xr:uid="{B9DCF277-21ED-45A6-AA35-659E97D7A34A}"/>
    <cellStyle name="Normal 8 28 3 5" xfId="36608" xr:uid="{09F73CC9-0571-4A6F-8F3C-E4DF63C73A9B}"/>
    <cellStyle name="Normal 8 28 3 6" xfId="36609" xr:uid="{31271185-47BE-4510-90F7-C154F522A09F}"/>
    <cellStyle name="Normal 8 28 4" xfId="36610" xr:uid="{53B6ABA1-8E93-4E89-969F-17772E760B6E}"/>
    <cellStyle name="Normal 8 28 4 2" xfId="36611" xr:uid="{A9ADDC09-70F1-4A19-906B-2BD31BFB2605}"/>
    <cellStyle name="Normal 8 28 4 3" xfId="36612" xr:uid="{6FAB0916-4300-40BA-AA81-DEB1167B2670}"/>
    <cellStyle name="Normal 8 28 4 4" xfId="36613" xr:uid="{AACEEDD5-7014-4733-86D8-68CBB9608346}"/>
    <cellStyle name="Normal 8 28 4 5" xfId="36614" xr:uid="{88C361D5-9E42-43A4-A19C-2A814EEB2AF6}"/>
    <cellStyle name="Normal 8 28 4 6" xfId="36615" xr:uid="{9EB0CC7D-9F31-4753-B759-8BE194829507}"/>
    <cellStyle name="Normal 8 28 5" xfId="36616" xr:uid="{5B8779E3-8FF7-4F27-AE73-C0F9E733A9F8}"/>
    <cellStyle name="Normal 8 28 5 2" xfId="36617" xr:uid="{DBDB960E-175D-4529-BEB3-9CFD492A3078}"/>
    <cellStyle name="Normal 8 28 5 3" xfId="36618" xr:uid="{7E495E82-9CC0-4C56-ACB4-00B79C500F25}"/>
    <cellStyle name="Normal 8 28 5 4" xfId="36619" xr:uid="{AB77CBCA-2159-4C2C-B3FA-CD2D9D448983}"/>
    <cellStyle name="Normal 8 28 5 5" xfId="36620" xr:uid="{B1CEA0B7-AD2D-482A-B226-86CE857C4970}"/>
    <cellStyle name="Normal 8 28 5 6" xfId="36621" xr:uid="{27417BC2-FA0A-42C7-B241-23F5DB2E4F1B}"/>
    <cellStyle name="Normal 8 28 6" xfId="36622" xr:uid="{3D7F8FCA-AA94-4C04-9471-93E300D04888}"/>
    <cellStyle name="Normal 8 28 6 2" xfId="36623" xr:uid="{E5D9DBF7-34DF-4FC0-8768-2F115191CC38}"/>
    <cellStyle name="Normal 8 28 6 3" xfId="36624" xr:uid="{199AA22F-4879-4365-B68B-ABBFC56FE5DF}"/>
    <cellStyle name="Normal 8 28 6 4" xfId="36625" xr:uid="{39BA8249-DB39-4A95-AB11-C0A60659F2BF}"/>
    <cellStyle name="Normal 8 28 6 5" xfId="36626" xr:uid="{83A912E3-70BC-4CBD-A44A-E075334DA70B}"/>
    <cellStyle name="Normal 8 28 6 6" xfId="36627" xr:uid="{E7035350-EBEB-44FD-B095-BD7E33A31BB1}"/>
    <cellStyle name="Normal 8 28 7" xfId="36628" xr:uid="{30A26626-47D6-4EE8-869D-559B671200E2}"/>
    <cellStyle name="Normal 8 28 7 2" xfId="36629" xr:uid="{3A15E5C6-A7C6-475B-84B2-4D65C29B9135}"/>
    <cellStyle name="Normal 8 28 7 3" xfId="36630" xr:uid="{8E093502-855C-4FC7-BB76-F45672F5F84E}"/>
    <cellStyle name="Normal 8 28 7 4" xfId="36631" xr:uid="{E4CE09FB-079F-4134-8489-C8339D31ECC1}"/>
    <cellStyle name="Normal 8 28 7 5" xfId="36632" xr:uid="{566114C8-4A46-4F76-B2D4-9F9AD37D2BB4}"/>
    <cellStyle name="Normal 8 28 7 6" xfId="36633" xr:uid="{EB05B2F1-9605-4DEF-AF42-39A689492705}"/>
    <cellStyle name="Normal 8 28 8" xfId="36634" xr:uid="{42ECF487-87A4-4ED2-B8E7-0E5E3264B0E6}"/>
    <cellStyle name="Normal 8 28 8 2" xfId="36635" xr:uid="{CB0473D2-3306-4EEC-9589-8F9F86FE5A97}"/>
    <cellStyle name="Normal 8 28 8 3" xfId="36636" xr:uid="{8CC2D445-77A5-4076-A190-71AFA8AE4E5F}"/>
    <cellStyle name="Normal 8 28 8 4" xfId="36637" xr:uid="{FF04CAEA-5B89-40F0-A85B-71185A3C6274}"/>
    <cellStyle name="Normal 8 28 8 5" xfId="36638" xr:uid="{669E426C-B7CD-4DCC-978F-07D645DDCFDB}"/>
    <cellStyle name="Normal 8 28 8 6" xfId="36639" xr:uid="{78E6FCD5-FFE9-442D-9380-63A88844EC84}"/>
    <cellStyle name="Normal 8 28 9" xfId="36640" xr:uid="{6EAD0DF4-071D-463A-9B58-85E6246B594E}"/>
    <cellStyle name="Normal 8 29" xfId="36641" xr:uid="{4109D11C-DF83-4234-8787-CBC099C3F6A3}"/>
    <cellStyle name="Normal 8 29 10" xfId="36642" xr:uid="{8712BA11-08AA-41CE-A1B3-C98F9AED2080}"/>
    <cellStyle name="Normal 8 29 11" xfId="36643" xr:uid="{E5779415-DF2C-481A-B99B-9EEFCC728574}"/>
    <cellStyle name="Normal 8 29 12" xfId="36644" xr:uid="{7ADA6BDA-E20D-4125-A504-8C6E84556E96}"/>
    <cellStyle name="Normal 8 29 13" xfId="36645" xr:uid="{002008EF-425B-4F29-AFD5-A4224145FF63}"/>
    <cellStyle name="Normal 8 29 2" xfId="36646" xr:uid="{C69746BF-7696-422A-A468-5C79926E567C}"/>
    <cellStyle name="Normal 8 29 2 2" xfId="36647" xr:uid="{5E0C7196-D85E-41CE-8599-D25801A60F8B}"/>
    <cellStyle name="Normal 8 29 2 3" xfId="36648" xr:uid="{6C5C9D08-195A-4031-B6B9-6EDCDA0E9207}"/>
    <cellStyle name="Normal 8 29 2 4" xfId="36649" xr:uid="{56B6F8D1-94E5-4FC3-95B0-2C8BECD0D450}"/>
    <cellStyle name="Normal 8 29 2 5" xfId="36650" xr:uid="{A4E08CD2-3FE6-41FD-94D0-5F37D3436245}"/>
    <cellStyle name="Normal 8 29 2 6" xfId="36651" xr:uid="{97276922-F52E-4FFE-92ED-77090E1DBB7E}"/>
    <cellStyle name="Normal 8 29 3" xfId="36652" xr:uid="{64DAB4B4-96D0-4108-9404-6F0F590CEB6A}"/>
    <cellStyle name="Normal 8 29 3 2" xfId="36653" xr:uid="{15C4DF49-288C-4423-9258-7E664A4AEA99}"/>
    <cellStyle name="Normal 8 29 3 3" xfId="36654" xr:uid="{84088A20-24F6-4D8B-903B-C17CB5960E3E}"/>
    <cellStyle name="Normal 8 29 3 4" xfId="36655" xr:uid="{C46124C3-BCDA-46F2-8C7B-6166F95A1C20}"/>
    <cellStyle name="Normal 8 29 3 5" xfId="36656" xr:uid="{05D43E05-DCC0-488D-94E2-86D1244719FA}"/>
    <cellStyle name="Normal 8 29 3 6" xfId="36657" xr:uid="{5E07F391-DF2B-40F6-8553-7711DD08ADE7}"/>
    <cellStyle name="Normal 8 29 4" xfId="36658" xr:uid="{008242B2-8C92-4B2C-946A-10054BE8D74D}"/>
    <cellStyle name="Normal 8 29 4 2" xfId="36659" xr:uid="{94EB2A3F-7C69-42B0-9E69-D16CC2A604C0}"/>
    <cellStyle name="Normal 8 29 4 3" xfId="36660" xr:uid="{C3A1D2B5-A02E-40F9-AFB3-C49ADCB1C27C}"/>
    <cellStyle name="Normal 8 29 4 4" xfId="36661" xr:uid="{1BEEC49B-46AD-48CD-A50C-AA3598FF7868}"/>
    <cellStyle name="Normal 8 29 4 5" xfId="36662" xr:uid="{D9A0E495-63C1-4A66-8AD9-6814CDF29CEC}"/>
    <cellStyle name="Normal 8 29 4 6" xfId="36663" xr:uid="{F99276BF-09BE-481B-A79A-854A8B4F34B9}"/>
    <cellStyle name="Normal 8 29 5" xfId="36664" xr:uid="{5D3A9BF7-57B5-4DEE-8713-3ADA8A709478}"/>
    <cellStyle name="Normal 8 29 5 2" xfId="36665" xr:uid="{0D128755-8E78-40A9-B3A5-6853D1E5D85F}"/>
    <cellStyle name="Normal 8 29 5 3" xfId="36666" xr:uid="{09C45FED-A3D5-4139-89BA-C000284B9E45}"/>
    <cellStyle name="Normal 8 29 5 4" xfId="36667" xr:uid="{E24D6F58-475C-4838-B5BE-490769EFD343}"/>
    <cellStyle name="Normal 8 29 5 5" xfId="36668" xr:uid="{9BDF71B1-13C8-46C4-BECB-4461BC7305F2}"/>
    <cellStyle name="Normal 8 29 5 6" xfId="36669" xr:uid="{9366A846-5167-48BD-A346-C55A546C9E5D}"/>
    <cellStyle name="Normal 8 29 6" xfId="36670" xr:uid="{44D95451-F17D-46B5-988C-5DBB23094690}"/>
    <cellStyle name="Normal 8 29 6 2" xfId="36671" xr:uid="{BC4DE10B-5229-446E-9A44-D7A9D3407F0B}"/>
    <cellStyle name="Normal 8 29 6 3" xfId="36672" xr:uid="{B51577BE-6453-4536-B60C-224598D6AE71}"/>
    <cellStyle name="Normal 8 29 6 4" xfId="36673" xr:uid="{CA6DEF9C-1A86-4F50-9B75-5934E1BF3C10}"/>
    <cellStyle name="Normal 8 29 6 5" xfId="36674" xr:uid="{13B788F0-C545-4F0F-B0D5-626CEE89F142}"/>
    <cellStyle name="Normal 8 29 6 6" xfId="36675" xr:uid="{8D1B9D68-17BE-45CA-BD96-387E61CCF268}"/>
    <cellStyle name="Normal 8 29 7" xfId="36676" xr:uid="{2FE57948-941B-42D4-86DB-D7FF1FFCAF84}"/>
    <cellStyle name="Normal 8 29 7 2" xfId="36677" xr:uid="{23CC1AF5-C9A0-4650-B0BB-DB35DF8986CA}"/>
    <cellStyle name="Normal 8 29 7 3" xfId="36678" xr:uid="{F6F65D1F-4612-4BB8-8FB8-872A4C72B113}"/>
    <cellStyle name="Normal 8 29 7 4" xfId="36679" xr:uid="{2DD37FD7-66C8-4207-A1DD-F3BCBA031255}"/>
    <cellStyle name="Normal 8 29 7 5" xfId="36680" xr:uid="{B043D0A5-FE7E-407D-A5AA-BEBC35188282}"/>
    <cellStyle name="Normal 8 29 7 6" xfId="36681" xr:uid="{F756D406-93DB-4E62-BFDC-F5F7E798046E}"/>
    <cellStyle name="Normal 8 29 8" xfId="36682" xr:uid="{CD2808C0-8E8F-460B-8106-59DA4186EF26}"/>
    <cellStyle name="Normal 8 29 8 2" xfId="36683" xr:uid="{8152B0DD-2A0F-43C4-B813-535680C30BF1}"/>
    <cellStyle name="Normal 8 29 8 3" xfId="36684" xr:uid="{1BD20E25-3581-4E02-9255-27212D4ABAA9}"/>
    <cellStyle name="Normal 8 29 8 4" xfId="36685" xr:uid="{03E7A69C-EBF4-4431-8F99-E233E393DF4C}"/>
    <cellStyle name="Normal 8 29 8 5" xfId="36686" xr:uid="{0F6944AF-D063-4139-8DBB-F5878AAD97BC}"/>
    <cellStyle name="Normal 8 29 8 6" xfId="36687" xr:uid="{327918C8-FEF1-48F9-8F69-2036BEBFC7F8}"/>
    <cellStyle name="Normal 8 29 9" xfId="36688" xr:uid="{B8FCF42E-0DEC-465E-8351-2E8296630816}"/>
    <cellStyle name="Normal 8 3" xfId="1101" xr:uid="{4ADD7B95-2AEE-47BF-A1A3-8B561D4BC039}"/>
    <cellStyle name="Normal 8 3 10" xfId="36689" xr:uid="{AB3305C4-6EF9-4170-B97E-07B545A365F6}"/>
    <cellStyle name="Normal 8 3 11" xfId="36690" xr:uid="{E2557B53-0534-488F-A21A-734FF134F91E}"/>
    <cellStyle name="Normal 8 3 12" xfId="36691" xr:uid="{C55589DC-D694-4F57-9DF2-E896D6BD5159}"/>
    <cellStyle name="Normal 8 3 13" xfId="36692" xr:uid="{2C8645A7-A9DA-4969-9540-730B054952DF}"/>
    <cellStyle name="Normal 8 3 14" xfId="36693" xr:uid="{C90B509C-A96E-459F-819B-0EF34A4F8528}"/>
    <cellStyle name="Normal 8 3 2" xfId="36694" xr:uid="{584F0274-4001-4E58-87D1-B7D1030BE0A1}"/>
    <cellStyle name="Normal 8 3 2 2" xfId="36695" xr:uid="{BD654D3A-1297-46E0-81FC-E23F4C9D352E}"/>
    <cellStyle name="Normal 8 3 2 3" xfId="36696" xr:uid="{A06EEE6F-ECEC-446C-BB0E-BA1D97DC8DE8}"/>
    <cellStyle name="Normal 8 3 2 4" xfId="36697" xr:uid="{2CA5D638-DFCE-483B-A053-D2B522EEE1C5}"/>
    <cellStyle name="Normal 8 3 2 5" xfId="36698" xr:uid="{EF9071DB-EB3D-4DC0-A640-416C205434BF}"/>
    <cellStyle name="Normal 8 3 2 6" xfId="36699" xr:uid="{4EF4C4E2-52B9-459A-97B9-9C3678C0AE7C}"/>
    <cellStyle name="Normal 8 3 3" xfId="36700" xr:uid="{BBAFA5C1-8E32-48EC-BAF8-960D0239D07B}"/>
    <cellStyle name="Normal 8 3 3 2" xfId="36701" xr:uid="{1A69158C-6C05-431B-A919-87BB55C99400}"/>
    <cellStyle name="Normal 8 3 3 3" xfId="36702" xr:uid="{058BA8DB-EA57-4314-81EE-6EF170E25088}"/>
    <cellStyle name="Normal 8 3 3 4" xfId="36703" xr:uid="{4DFF34AA-991B-4BDA-8A00-84F4E0E9B57E}"/>
    <cellStyle name="Normal 8 3 3 5" xfId="36704" xr:uid="{4D50B0F1-C80C-46EB-BC5F-5B8CEAA77293}"/>
    <cellStyle name="Normal 8 3 3 6" xfId="36705" xr:uid="{C22D0764-5152-45E7-9BE3-FBFA9727B5D4}"/>
    <cellStyle name="Normal 8 3 4" xfId="36706" xr:uid="{5C84D6A6-1FA9-4123-A363-AFC029B9CDE6}"/>
    <cellStyle name="Normal 8 3 4 2" xfId="36707" xr:uid="{39EFC4BD-8EC2-4C9B-BAE9-CF59A3AB7414}"/>
    <cellStyle name="Normal 8 3 4 3" xfId="36708" xr:uid="{95DE0431-64CA-49D8-880C-966B25BA5AFB}"/>
    <cellStyle name="Normal 8 3 4 4" xfId="36709" xr:uid="{63EE0914-0FC0-434B-8BD5-3A00DC56E394}"/>
    <cellStyle name="Normal 8 3 4 5" xfId="36710" xr:uid="{4EA8A691-97BE-4A82-9EF1-2D3DB785A4A4}"/>
    <cellStyle name="Normal 8 3 4 6" xfId="36711" xr:uid="{8D73FA4A-9D02-44B7-AF66-DACC05692CCB}"/>
    <cellStyle name="Normal 8 3 5" xfId="36712" xr:uid="{AD3F202B-380D-473E-826B-53F171AF2887}"/>
    <cellStyle name="Normal 8 3 5 2" xfId="36713" xr:uid="{7010FF49-5DF9-4868-B0B9-05F67617C155}"/>
    <cellStyle name="Normal 8 3 5 3" xfId="36714" xr:uid="{862C4BE6-60DF-4313-8BBB-37096207312B}"/>
    <cellStyle name="Normal 8 3 5 4" xfId="36715" xr:uid="{2E09068C-894F-4587-A1BB-BF9C466AB21D}"/>
    <cellStyle name="Normal 8 3 5 5" xfId="36716" xr:uid="{0CC56E73-45A0-4EA9-8BBA-0BC94B8980FC}"/>
    <cellStyle name="Normal 8 3 5 6" xfId="36717" xr:uid="{52EFCBDB-9FDA-4F48-8EA4-945DFA913C0F}"/>
    <cellStyle name="Normal 8 3 6" xfId="36718" xr:uid="{056D6E21-86DF-4D78-BD1A-74C3E990D42E}"/>
    <cellStyle name="Normal 8 3 6 2" xfId="36719" xr:uid="{ED03EC47-E9FE-43EC-85E7-4F909EE84A66}"/>
    <cellStyle name="Normal 8 3 6 3" xfId="36720" xr:uid="{43F46D3F-9162-4595-97FC-F1DCAB4C8066}"/>
    <cellStyle name="Normal 8 3 6 4" xfId="36721" xr:uid="{D157E4CD-E2D4-45EC-90E5-9A79779DE7E8}"/>
    <cellStyle name="Normal 8 3 6 5" xfId="36722" xr:uid="{7CBE8161-E351-48F3-808A-A345DB68715D}"/>
    <cellStyle name="Normal 8 3 6 6" xfId="36723" xr:uid="{CB30C272-03E8-44E7-8890-C3B9E981A5BF}"/>
    <cellStyle name="Normal 8 3 7" xfId="36724" xr:uid="{02B51C04-3912-424C-A607-49ADC8C098C4}"/>
    <cellStyle name="Normal 8 3 7 2" xfId="36725" xr:uid="{64342857-5BAE-4113-8712-7A32370AF1DD}"/>
    <cellStyle name="Normal 8 3 7 3" xfId="36726" xr:uid="{3EB12EC5-F86C-49C0-AFAB-1F10C7330C2E}"/>
    <cellStyle name="Normal 8 3 7 4" xfId="36727" xr:uid="{142BE2D1-DE5B-4FB2-BBA0-9C78CD2136D1}"/>
    <cellStyle name="Normal 8 3 7 5" xfId="36728" xr:uid="{7D6E159A-68A0-4CEB-A39F-F574A518E802}"/>
    <cellStyle name="Normal 8 3 7 6" xfId="36729" xr:uid="{F089B0A5-2FAD-4DD1-B594-F0D82E65CA8F}"/>
    <cellStyle name="Normal 8 3 8" xfId="36730" xr:uid="{16F90196-71F4-496A-9BBD-4CDFEB849B87}"/>
    <cellStyle name="Normal 8 3 8 2" xfId="36731" xr:uid="{A43AC067-644E-4651-9FAE-BAC9C143E8DF}"/>
    <cellStyle name="Normal 8 3 8 3" xfId="36732" xr:uid="{D2278C30-BCE2-4B23-A114-986BACC80B77}"/>
    <cellStyle name="Normal 8 3 8 4" xfId="36733" xr:uid="{126C05FA-E559-4BA6-B33A-35585BCBABAC}"/>
    <cellStyle name="Normal 8 3 8 5" xfId="36734" xr:uid="{224C682E-AD78-4115-A943-60FF48D1F5E4}"/>
    <cellStyle name="Normal 8 3 8 6" xfId="36735" xr:uid="{C58AE94E-357D-4BD3-9A9F-1AFF2618D584}"/>
    <cellStyle name="Normal 8 3 9" xfId="36736" xr:uid="{BD00526B-25B3-438E-8C7A-B5753089C7DA}"/>
    <cellStyle name="Normal 8 30" xfId="36737" xr:uid="{E79247C9-EB06-4B8F-A48C-BD15516DD633}"/>
    <cellStyle name="Normal 8 30 10" xfId="36738" xr:uid="{9574AEC5-58FA-43C3-B2C7-6C3874E3881A}"/>
    <cellStyle name="Normal 8 30 11" xfId="36739" xr:uid="{852EB493-E8DE-47EF-AB4A-371269D18300}"/>
    <cellStyle name="Normal 8 30 12" xfId="36740" xr:uid="{7A6BA08E-240B-4E05-8CD1-9901F014BC96}"/>
    <cellStyle name="Normal 8 30 13" xfId="36741" xr:uid="{247645D9-960E-4791-B380-9E53377827C6}"/>
    <cellStyle name="Normal 8 30 2" xfId="36742" xr:uid="{A83AE583-E286-4C16-87ED-E108BDDC1717}"/>
    <cellStyle name="Normal 8 30 2 2" xfId="36743" xr:uid="{E300F7D6-4564-4EF9-B0B7-85C73CA74050}"/>
    <cellStyle name="Normal 8 30 2 3" xfId="36744" xr:uid="{0E78FF02-8BE1-4FD8-9B5D-696C3EAB0316}"/>
    <cellStyle name="Normal 8 30 2 4" xfId="36745" xr:uid="{43A1170C-10D9-4746-A9BC-254BA26AF3C2}"/>
    <cellStyle name="Normal 8 30 2 5" xfId="36746" xr:uid="{BEEF53E6-7CE5-4AF9-8E39-280AD7C96FA1}"/>
    <cellStyle name="Normal 8 30 2 6" xfId="36747" xr:uid="{E10F0013-4D51-4AEB-BCA6-D5F033CC385A}"/>
    <cellStyle name="Normal 8 30 3" xfId="36748" xr:uid="{2C11CFD2-B7CD-4A93-BA5E-9E636BA7BC8A}"/>
    <cellStyle name="Normal 8 30 3 2" xfId="36749" xr:uid="{BCBC4638-5D11-4995-8770-3D4FFC1C81BB}"/>
    <cellStyle name="Normal 8 30 3 3" xfId="36750" xr:uid="{F030C541-3AF5-4702-B8DE-EBBF02243168}"/>
    <cellStyle name="Normal 8 30 3 4" xfId="36751" xr:uid="{D5497998-82EF-4D26-9560-CE0927EC54B5}"/>
    <cellStyle name="Normal 8 30 3 5" xfId="36752" xr:uid="{49C596C8-1C2C-4500-ADD6-B6CBAE7FA980}"/>
    <cellStyle name="Normal 8 30 3 6" xfId="36753" xr:uid="{925F8715-70E5-4C6E-9506-4200F090CDCB}"/>
    <cellStyle name="Normal 8 30 4" xfId="36754" xr:uid="{BB6BD2AC-6D24-4A1E-A40E-6ED854A36572}"/>
    <cellStyle name="Normal 8 30 4 2" xfId="36755" xr:uid="{4FFE470C-D355-485C-814A-96FBAEAA30CF}"/>
    <cellStyle name="Normal 8 30 4 3" xfId="36756" xr:uid="{0E21F828-515B-4DF1-AA69-B326DD607038}"/>
    <cellStyle name="Normal 8 30 4 4" xfId="36757" xr:uid="{89ABB8CD-65F2-4DB5-9ECD-5CCAF6D2C1B3}"/>
    <cellStyle name="Normal 8 30 4 5" xfId="36758" xr:uid="{AC908A58-9420-46F0-A3F7-4A722AD01C83}"/>
    <cellStyle name="Normal 8 30 4 6" xfId="36759" xr:uid="{19F9220A-68CC-42DA-83B6-34BAA7DEC676}"/>
    <cellStyle name="Normal 8 30 5" xfId="36760" xr:uid="{6DDE1E46-3CD6-42B1-AF95-AC356EA123C3}"/>
    <cellStyle name="Normal 8 30 5 2" xfId="36761" xr:uid="{9DD0E2DC-1B84-4A46-8396-EAE28FD6ABF9}"/>
    <cellStyle name="Normal 8 30 5 3" xfId="36762" xr:uid="{74884F40-B524-431F-8AB2-8142775C2A7B}"/>
    <cellStyle name="Normal 8 30 5 4" xfId="36763" xr:uid="{DB89309E-0C5D-42A8-AFBD-E455970EE5D8}"/>
    <cellStyle name="Normal 8 30 5 5" xfId="36764" xr:uid="{F412F99C-EC71-4AD9-99DC-60E750B0324B}"/>
    <cellStyle name="Normal 8 30 5 6" xfId="36765" xr:uid="{B60A19E7-60B8-4350-9763-10B6EC40CB78}"/>
    <cellStyle name="Normal 8 30 6" xfId="36766" xr:uid="{68A88BF3-1D9D-4C79-8ADF-FA6BBBCF2E94}"/>
    <cellStyle name="Normal 8 30 6 2" xfId="36767" xr:uid="{986A69AD-D7A3-4EEC-93BA-B8624FDE0AC0}"/>
    <cellStyle name="Normal 8 30 6 3" xfId="36768" xr:uid="{B8D99AF2-E2E9-4F1D-ACA3-3AA4A8CC805A}"/>
    <cellStyle name="Normal 8 30 6 4" xfId="36769" xr:uid="{3BAEC1A6-8D4F-4DD5-9272-1429EC11A31E}"/>
    <cellStyle name="Normal 8 30 6 5" xfId="36770" xr:uid="{6E15F100-FAF2-400C-8636-4D30847E7DF8}"/>
    <cellStyle name="Normal 8 30 6 6" xfId="36771" xr:uid="{58D98C72-A23B-41B2-B8D1-81E3CC960873}"/>
    <cellStyle name="Normal 8 30 7" xfId="36772" xr:uid="{57346F8A-20B8-47F8-8D9E-A1EF59EC9D7E}"/>
    <cellStyle name="Normal 8 30 7 2" xfId="36773" xr:uid="{761A5098-1615-4C6B-94B0-36AADFDAB2CB}"/>
    <cellStyle name="Normal 8 30 7 3" xfId="36774" xr:uid="{B21E7849-9D3D-485C-997A-CE3B6DA8FB7E}"/>
    <cellStyle name="Normal 8 30 7 4" xfId="36775" xr:uid="{EB80A310-AB56-48CC-AEC4-3307CEA5322F}"/>
    <cellStyle name="Normal 8 30 7 5" xfId="36776" xr:uid="{A346D03B-4730-4334-A9AF-0E7D727209DA}"/>
    <cellStyle name="Normal 8 30 7 6" xfId="36777" xr:uid="{4D45EA92-AA2D-4844-AD2C-88D0B975C15E}"/>
    <cellStyle name="Normal 8 30 8" xfId="36778" xr:uid="{7EB4E5A1-388D-44FE-BEB2-7095D37FF559}"/>
    <cellStyle name="Normal 8 30 8 2" xfId="36779" xr:uid="{FF1B4D46-072B-4E2B-B6D1-3220E4E5B05E}"/>
    <cellStyle name="Normal 8 30 8 3" xfId="36780" xr:uid="{6C3A6651-DF99-4FC3-8D7C-F124F4868D3A}"/>
    <cellStyle name="Normal 8 30 8 4" xfId="36781" xr:uid="{A45143B2-2299-4FEF-A388-7854A0393281}"/>
    <cellStyle name="Normal 8 30 8 5" xfId="36782" xr:uid="{4C24BBDD-1EE7-4800-9EEE-CF2461A89BCD}"/>
    <cellStyle name="Normal 8 30 8 6" xfId="36783" xr:uid="{DFF7A1F2-99CD-412D-B3EA-A98BC40DE296}"/>
    <cellStyle name="Normal 8 30 9" xfId="36784" xr:uid="{DB655B91-5AE5-4E97-B120-DDC81474D4D4}"/>
    <cellStyle name="Normal 8 31" xfId="36785" xr:uid="{D8D045A2-1BE5-407B-B36E-2BEC2A5FAA61}"/>
    <cellStyle name="Normal 8 31 10" xfId="36786" xr:uid="{F212C3BA-B53E-47D4-811D-1ACF9326D2EF}"/>
    <cellStyle name="Normal 8 31 11" xfId="36787" xr:uid="{DE5BD453-F042-4E72-ABE3-BB09A6ECAA44}"/>
    <cellStyle name="Normal 8 31 12" xfId="36788" xr:uid="{25BC2F10-DAA5-4EAD-BDA3-CC87B39C103E}"/>
    <cellStyle name="Normal 8 31 13" xfId="36789" xr:uid="{1A37FF71-0E1F-4B94-868E-6624B6FCAA57}"/>
    <cellStyle name="Normal 8 31 2" xfId="36790" xr:uid="{B146490A-BA79-4A0D-B338-54490D728CDE}"/>
    <cellStyle name="Normal 8 31 2 2" xfId="36791" xr:uid="{AC582B7A-87D8-4E6B-8278-66D671727407}"/>
    <cellStyle name="Normal 8 31 2 3" xfId="36792" xr:uid="{6EE4BB5E-B45A-4989-B5EB-86AD39EBC943}"/>
    <cellStyle name="Normal 8 31 2 4" xfId="36793" xr:uid="{4BF9D6A6-D4F4-4DD6-B4D5-0403EED4D4CA}"/>
    <cellStyle name="Normal 8 31 2 5" xfId="36794" xr:uid="{487CB7A7-49B2-433F-937F-98CDC0EF51C0}"/>
    <cellStyle name="Normal 8 31 2 6" xfId="36795" xr:uid="{3488928F-7E91-41CC-9A93-7B316B965D7A}"/>
    <cellStyle name="Normal 8 31 3" xfId="36796" xr:uid="{F43FF42B-A037-41E0-A880-5665BB08DE3C}"/>
    <cellStyle name="Normal 8 31 3 2" xfId="36797" xr:uid="{C8489B4B-A4E6-4050-A3DE-ED45DF8FD136}"/>
    <cellStyle name="Normal 8 31 3 3" xfId="36798" xr:uid="{3AF16FD5-48C0-41D9-8FA0-52F65CF22D84}"/>
    <cellStyle name="Normal 8 31 3 4" xfId="36799" xr:uid="{2D330334-9F2A-4907-9B51-03D617380F5A}"/>
    <cellStyle name="Normal 8 31 3 5" xfId="36800" xr:uid="{A46E6044-3978-4B76-9600-BA3C3CA1603A}"/>
    <cellStyle name="Normal 8 31 3 6" xfId="36801" xr:uid="{D3F0E848-EBA9-4054-BF27-5BECE3903E6B}"/>
    <cellStyle name="Normal 8 31 4" xfId="36802" xr:uid="{CC738691-0EE3-45BD-8E59-6A6E8F6E7E6D}"/>
    <cellStyle name="Normal 8 31 4 2" xfId="36803" xr:uid="{59CEAFD2-90A8-41C7-A2C7-904B95B44528}"/>
    <cellStyle name="Normal 8 31 4 3" xfId="36804" xr:uid="{67E9BF08-B53D-458F-9261-EB81F0F36561}"/>
    <cellStyle name="Normal 8 31 4 4" xfId="36805" xr:uid="{5CE4A4D1-D3CE-4D2F-884B-3D40F1F7DB4E}"/>
    <cellStyle name="Normal 8 31 4 5" xfId="36806" xr:uid="{A97F9AC1-0BD2-4687-8FAA-0F899DC6FFCA}"/>
    <cellStyle name="Normal 8 31 4 6" xfId="36807" xr:uid="{215C93F7-1CA0-4581-B159-D2D9ABFEF7F3}"/>
    <cellStyle name="Normal 8 31 5" xfId="36808" xr:uid="{3A1A5CE1-5858-45BC-9AEF-1104334687C8}"/>
    <cellStyle name="Normal 8 31 5 2" xfId="36809" xr:uid="{AC2BC34E-1EC0-4C08-8651-A27440A34C6A}"/>
    <cellStyle name="Normal 8 31 5 3" xfId="36810" xr:uid="{001AD16F-7EC0-4484-8F42-83D272807C0A}"/>
    <cellStyle name="Normal 8 31 5 4" xfId="36811" xr:uid="{EABD175B-C562-4350-8D2D-36D6FAE32AF3}"/>
    <cellStyle name="Normal 8 31 5 5" xfId="36812" xr:uid="{B16C5CCC-3CDF-41E1-B451-BBB99103A6A4}"/>
    <cellStyle name="Normal 8 31 5 6" xfId="36813" xr:uid="{2F083883-7784-4D69-8936-499118C09359}"/>
    <cellStyle name="Normal 8 31 6" xfId="36814" xr:uid="{27D16C61-36A4-423E-82D8-F23FB946D81E}"/>
    <cellStyle name="Normal 8 31 6 2" xfId="36815" xr:uid="{47DD9549-259E-47F8-822D-CDD0152B7642}"/>
    <cellStyle name="Normal 8 31 6 3" xfId="36816" xr:uid="{742511D4-4170-4FDA-B30F-0D415CCF2236}"/>
    <cellStyle name="Normal 8 31 6 4" xfId="36817" xr:uid="{25838CA8-CCCD-49A3-A928-0060D9040306}"/>
    <cellStyle name="Normal 8 31 6 5" xfId="36818" xr:uid="{F5B2CCF0-6747-4C49-8FD6-D8C2D0141233}"/>
    <cellStyle name="Normal 8 31 6 6" xfId="36819" xr:uid="{E4D7AF8D-81FD-4F1E-A30E-29CD46837A29}"/>
    <cellStyle name="Normal 8 31 7" xfId="36820" xr:uid="{A04BE7FD-B7E3-4760-AFF2-2DB2BB93F632}"/>
    <cellStyle name="Normal 8 31 7 2" xfId="36821" xr:uid="{6372D917-51C9-4E94-991C-5185C26F1B71}"/>
    <cellStyle name="Normal 8 31 7 3" xfId="36822" xr:uid="{78DE3ADB-1E50-47B5-B5BB-D4854BE8E6ED}"/>
    <cellStyle name="Normal 8 31 7 4" xfId="36823" xr:uid="{998357AF-856B-4D24-B20A-567959FDC33D}"/>
    <cellStyle name="Normal 8 31 7 5" xfId="36824" xr:uid="{00DF65BA-110E-43AF-A51C-24709A33006D}"/>
    <cellStyle name="Normal 8 31 7 6" xfId="36825" xr:uid="{8E46639B-BEE7-4C65-9A90-58FC9E32B069}"/>
    <cellStyle name="Normal 8 31 8" xfId="36826" xr:uid="{4AE1B537-6F5B-4C91-A450-0F6575E244A6}"/>
    <cellStyle name="Normal 8 31 8 2" xfId="36827" xr:uid="{8D1656BF-F233-49E9-8A5E-0C02ECDC768C}"/>
    <cellStyle name="Normal 8 31 8 3" xfId="36828" xr:uid="{B0F36A98-8975-4C70-A494-8C05364BAEA7}"/>
    <cellStyle name="Normal 8 31 8 4" xfId="36829" xr:uid="{449A519C-A4B2-44B0-A647-2DF27866E0FF}"/>
    <cellStyle name="Normal 8 31 8 5" xfId="36830" xr:uid="{A8D77A67-98B4-480E-BBE3-85CD80D9A260}"/>
    <cellStyle name="Normal 8 31 8 6" xfId="36831" xr:uid="{C839ED5A-B2D3-4CE6-9442-68EE5874D79F}"/>
    <cellStyle name="Normal 8 31 9" xfId="36832" xr:uid="{5F7C38DB-69B4-403F-A7C4-83DC0A9807C3}"/>
    <cellStyle name="Normal 8 32" xfId="36833" xr:uid="{6D372667-6699-4AD3-97C7-23CE0FBAEAEA}"/>
    <cellStyle name="Normal 8 32 10" xfId="36834" xr:uid="{78708EDA-D2D5-4E8D-AB43-952E89C0CFF7}"/>
    <cellStyle name="Normal 8 32 11" xfId="36835" xr:uid="{9771D876-191B-41B5-A024-22F42EE8D118}"/>
    <cellStyle name="Normal 8 32 12" xfId="36836" xr:uid="{2784063E-186B-48D0-8D1D-7BB246EF01D0}"/>
    <cellStyle name="Normal 8 32 13" xfId="36837" xr:uid="{8DDC660D-6B34-4D4B-AAAE-90FB4A4F28CE}"/>
    <cellStyle name="Normal 8 32 2" xfId="36838" xr:uid="{E597A140-4970-41A5-9854-1CDBE970C376}"/>
    <cellStyle name="Normal 8 32 2 2" xfId="36839" xr:uid="{CA1FA156-42FD-4BA4-AC2D-B0684ECDDF08}"/>
    <cellStyle name="Normal 8 32 2 3" xfId="36840" xr:uid="{0108243E-7B1C-4E8F-8F7A-E0617A2EB7DC}"/>
    <cellStyle name="Normal 8 32 2 4" xfId="36841" xr:uid="{ADA8735D-92AF-4F37-9851-A35645164081}"/>
    <cellStyle name="Normal 8 32 2 5" xfId="36842" xr:uid="{85A67395-CA7B-4069-A1D7-D30E5C5AD6EA}"/>
    <cellStyle name="Normal 8 32 2 6" xfId="36843" xr:uid="{34A678F3-7A5A-4A3E-8DBA-7F3880951DF5}"/>
    <cellStyle name="Normal 8 32 3" xfId="36844" xr:uid="{A2A90C9A-B36E-4C1D-9663-487192C891D8}"/>
    <cellStyle name="Normal 8 32 3 2" xfId="36845" xr:uid="{48B10467-10B1-4A14-893A-5C5E7E582074}"/>
    <cellStyle name="Normal 8 32 3 3" xfId="36846" xr:uid="{44091C78-6A25-498A-8EB9-426FFC6CA1D1}"/>
    <cellStyle name="Normal 8 32 3 4" xfId="36847" xr:uid="{0A6CA256-297F-4853-B0EB-8BD19B7BC773}"/>
    <cellStyle name="Normal 8 32 3 5" xfId="36848" xr:uid="{B9177A64-52E5-447A-B0E7-71A1FC092DE0}"/>
    <cellStyle name="Normal 8 32 3 6" xfId="36849" xr:uid="{17FEC28F-2A00-4806-B9E0-A7627124A8D7}"/>
    <cellStyle name="Normal 8 32 4" xfId="36850" xr:uid="{F85F8F96-277C-402E-A914-B83C9D22CF2F}"/>
    <cellStyle name="Normal 8 32 4 2" xfId="36851" xr:uid="{BEAB676C-B354-435D-A10C-086B863C3737}"/>
    <cellStyle name="Normal 8 32 4 3" xfId="36852" xr:uid="{53D582E5-D258-421D-8721-46FBA7BB2158}"/>
    <cellStyle name="Normal 8 32 4 4" xfId="36853" xr:uid="{0C4C8503-6E93-45E0-AE05-70685D2CA6C1}"/>
    <cellStyle name="Normal 8 32 4 5" xfId="36854" xr:uid="{49D545BC-E47F-4C71-BBC4-5F08C18F8D30}"/>
    <cellStyle name="Normal 8 32 4 6" xfId="36855" xr:uid="{2285684B-F394-41F5-832D-89532B100A9C}"/>
    <cellStyle name="Normal 8 32 5" xfId="36856" xr:uid="{8A8F7679-A027-46AA-A158-61238396870E}"/>
    <cellStyle name="Normal 8 32 5 2" xfId="36857" xr:uid="{8A4465FE-084C-4790-B576-D19D85F41F59}"/>
    <cellStyle name="Normal 8 32 5 3" xfId="36858" xr:uid="{075E3C3E-17DE-4D9C-A00A-5914A8442013}"/>
    <cellStyle name="Normal 8 32 5 4" xfId="36859" xr:uid="{D416E49C-0D16-4FEC-B70B-516041E036BA}"/>
    <cellStyle name="Normal 8 32 5 5" xfId="36860" xr:uid="{5ED5E85C-E7B7-45E7-98CD-D6AC3A64CD08}"/>
    <cellStyle name="Normal 8 32 5 6" xfId="36861" xr:uid="{EDDFD367-1B69-41B6-A556-88CDBEB46F75}"/>
    <cellStyle name="Normal 8 32 6" xfId="36862" xr:uid="{4B153D95-8F3B-4391-B57C-27ECA0BC90C8}"/>
    <cellStyle name="Normal 8 32 6 2" xfId="36863" xr:uid="{368374AD-772F-4344-98CB-D3AD12145B5F}"/>
    <cellStyle name="Normal 8 32 6 3" xfId="36864" xr:uid="{9BE0F38D-E6DB-49F5-8DA9-44D7C11F800B}"/>
    <cellStyle name="Normal 8 32 6 4" xfId="36865" xr:uid="{8FD34914-F733-4D25-8AF8-9A4648903A51}"/>
    <cellStyle name="Normal 8 32 6 5" xfId="36866" xr:uid="{CEB09384-E958-4395-9F74-5260B11817A0}"/>
    <cellStyle name="Normal 8 32 6 6" xfId="36867" xr:uid="{8FC0C8EE-F1C4-4FD0-9607-D73CABA8928F}"/>
    <cellStyle name="Normal 8 32 7" xfId="36868" xr:uid="{67496058-03BC-4C30-BE95-42448BBE5716}"/>
    <cellStyle name="Normal 8 32 7 2" xfId="36869" xr:uid="{55317B90-4E67-4E2A-AD1D-C451D3D0D818}"/>
    <cellStyle name="Normal 8 32 7 3" xfId="36870" xr:uid="{1F297FEA-82C1-4243-9D86-7B088879CEBD}"/>
    <cellStyle name="Normal 8 32 7 4" xfId="36871" xr:uid="{20D9E283-E7B4-435C-A7E1-270187359838}"/>
    <cellStyle name="Normal 8 32 7 5" xfId="36872" xr:uid="{3F798AD1-343C-4CAB-A8AD-C7C38784A74B}"/>
    <cellStyle name="Normal 8 32 7 6" xfId="36873" xr:uid="{AB9FAD41-ED38-4725-9B4E-04A8CC18B20B}"/>
    <cellStyle name="Normal 8 32 8" xfId="36874" xr:uid="{FFD167B2-95F6-4A5B-B216-E2D3BAC35963}"/>
    <cellStyle name="Normal 8 32 8 2" xfId="36875" xr:uid="{721EC9E7-13A9-44BD-A718-537A0E4F4174}"/>
    <cellStyle name="Normal 8 32 8 3" xfId="36876" xr:uid="{4E6184A1-01F8-404F-8DD5-4F9D24C1CDCF}"/>
    <cellStyle name="Normal 8 32 8 4" xfId="36877" xr:uid="{8AB7E5AA-F4B3-4867-AA42-82CAB48B739C}"/>
    <cellStyle name="Normal 8 32 8 5" xfId="36878" xr:uid="{447D50EC-4568-494D-9A17-0379FBE6078B}"/>
    <cellStyle name="Normal 8 32 8 6" xfId="36879" xr:uid="{AC5DC1CD-B490-4879-A5F3-A05104203DAF}"/>
    <cellStyle name="Normal 8 32 9" xfId="36880" xr:uid="{7B29DE9F-1205-4A5D-B1FA-8487F3304F6A}"/>
    <cellStyle name="Normal 8 33" xfId="36881" xr:uid="{1E20D7E6-7BA3-4479-B41B-840CDC4677AD}"/>
    <cellStyle name="Normal 8 33 10" xfId="36882" xr:uid="{FE859974-588A-4520-BF79-01D57F9ADD98}"/>
    <cellStyle name="Normal 8 33 11" xfId="36883" xr:uid="{CFCDA17D-39F5-4576-A18A-D6C1A568EDE1}"/>
    <cellStyle name="Normal 8 33 12" xfId="36884" xr:uid="{813F5961-950F-42D8-9560-A8CB6A2557CE}"/>
    <cellStyle name="Normal 8 33 13" xfId="36885" xr:uid="{1812DF53-6DF0-43EA-AFB7-70D1B66BED43}"/>
    <cellStyle name="Normal 8 33 2" xfId="36886" xr:uid="{8D1B9158-87A3-4B2F-B769-42B456809CA6}"/>
    <cellStyle name="Normal 8 33 2 2" xfId="36887" xr:uid="{138D0A14-B65F-4A6D-B572-C6C3E73D19CA}"/>
    <cellStyle name="Normal 8 33 2 3" xfId="36888" xr:uid="{5AC50B81-E489-4405-81AC-FE244D278C19}"/>
    <cellStyle name="Normal 8 33 2 4" xfId="36889" xr:uid="{DFE07C9E-1423-49D6-A466-9DE2C42130F8}"/>
    <cellStyle name="Normal 8 33 2 5" xfId="36890" xr:uid="{C9043D9C-BC10-465B-901F-BA526F0FBC89}"/>
    <cellStyle name="Normal 8 33 2 6" xfId="36891" xr:uid="{B51CA7AF-F880-4E5A-A8BA-2863A12FF830}"/>
    <cellStyle name="Normal 8 33 3" xfId="36892" xr:uid="{4B26FC33-636A-452B-BDA4-1861140C6416}"/>
    <cellStyle name="Normal 8 33 3 2" xfId="36893" xr:uid="{4AB76F8B-329F-4687-884C-170D41AA04D1}"/>
    <cellStyle name="Normal 8 33 3 3" xfId="36894" xr:uid="{697EFE33-7BAD-4466-B9AD-61D4D7F608B1}"/>
    <cellStyle name="Normal 8 33 3 4" xfId="36895" xr:uid="{B0959EAC-6FE4-49B9-B9AC-4192BA52BFAA}"/>
    <cellStyle name="Normal 8 33 3 5" xfId="36896" xr:uid="{8B424B30-31A7-4D2D-BFDE-4E938BB43AC6}"/>
    <cellStyle name="Normal 8 33 3 6" xfId="36897" xr:uid="{C6B01A03-0425-40B7-8871-20E77690EA25}"/>
    <cellStyle name="Normal 8 33 4" xfId="36898" xr:uid="{7DB3CCF7-9DD5-40D7-9F2B-544A1C3A6620}"/>
    <cellStyle name="Normal 8 33 4 2" xfId="36899" xr:uid="{4C9CD542-C6C8-425C-8CAA-D6E400366E5C}"/>
    <cellStyle name="Normal 8 33 4 3" xfId="36900" xr:uid="{FE139F4B-E8DF-4509-B2CE-30E4CAF0F88E}"/>
    <cellStyle name="Normal 8 33 4 4" xfId="36901" xr:uid="{023B8FC7-21BB-491F-9551-D6BA6B85DE49}"/>
    <cellStyle name="Normal 8 33 4 5" xfId="36902" xr:uid="{803D0B4F-8491-49E9-8DC8-88C99806BA0E}"/>
    <cellStyle name="Normal 8 33 4 6" xfId="36903" xr:uid="{70377E7D-F07A-4EA2-AE1D-53261A2DC139}"/>
    <cellStyle name="Normal 8 33 5" xfId="36904" xr:uid="{963E7DDA-5F04-4661-9171-4CC37EA41204}"/>
    <cellStyle name="Normal 8 33 5 2" xfId="36905" xr:uid="{65DCC2CF-D3C1-462B-AA32-467ABF2B5AFB}"/>
    <cellStyle name="Normal 8 33 5 3" xfId="36906" xr:uid="{CA11C4B6-7D64-44D7-910E-12C126AEA843}"/>
    <cellStyle name="Normal 8 33 5 4" xfId="36907" xr:uid="{55D260CD-8E7B-4C11-971E-C036B4CC400C}"/>
    <cellStyle name="Normal 8 33 5 5" xfId="36908" xr:uid="{801E6C38-36C8-4115-995B-7DCE95B8F62E}"/>
    <cellStyle name="Normal 8 33 5 6" xfId="36909" xr:uid="{EB2A02FE-2EED-4349-86FF-4C8A0C68C7D2}"/>
    <cellStyle name="Normal 8 33 6" xfId="36910" xr:uid="{58A437DF-3172-4047-A7DA-AED8B16C09AB}"/>
    <cellStyle name="Normal 8 33 6 2" xfId="36911" xr:uid="{4090C9AC-8311-496C-ACEC-8B5FFED26014}"/>
    <cellStyle name="Normal 8 33 6 3" xfId="36912" xr:uid="{742B21D8-B47D-4DD9-A139-FB4563D217EF}"/>
    <cellStyle name="Normal 8 33 6 4" xfId="36913" xr:uid="{1BE1ED37-EF77-416F-B3FD-308E953382CD}"/>
    <cellStyle name="Normal 8 33 6 5" xfId="36914" xr:uid="{82861337-FDE7-453B-868B-A5E26C875D93}"/>
    <cellStyle name="Normal 8 33 6 6" xfId="36915" xr:uid="{5274F2F5-E47A-4EBE-B086-DC08334E0E4F}"/>
    <cellStyle name="Normal 8 33 7" xfId="36916" xr:uid="{FD57A45A-AF3B-45B4-BA15-207DEE4DEE20}"/>
    <cellStyle name="Normal 8 33 7 2" xfId="36917" xr:uid="{2745E160-2959-45E6-821A-0BC7CCFE72DC}"/>
    <cellStyle name="Normal 8 33 7 3" xfId="36918" xr:uid="{6E800CBE-59CD-4C83-B64E-BBD66CDDF9B9}"/>
    <cellStyle name="Normal 8 33 7 4" xfId="36919" xr:uid="{14C253D4-0BA5-48C6-8702-03613ED7F7F2}"/>
    <cellStyle name="Normal 8 33 7 5" xfId="36920" xr:uid="{7452C1C0-24E3-4629-A96C-844196BB812F}"/>
    <cellStyle name="Normal 8 33 7 6" xfId="36921" xr:uid="{6582A505-6809-49FA-B9F1-9E8C430588B0}"/>
    <cellStyle name="Normal 8 33 8" xfId="36922" xr:uid="{132B8457-E801-4288-98F5-BF3DB147231F}"/>
    <cellStyle name="Normal 8 33 8 2" xfId="36923" xr:uid="{2D2ED135-8CFC-48AA-8424-71AA067A2BF5}"/>
    <cellStyle name="Normal 8 33 8 3" xfId="36924" xr:uid="{D9AF6127-365E-456C-A42F-069828C9978B}"/>
    <cellStyle name="Normal 8 33 8 4" xfId="36925" xr:uid="{55DB87C6-45CA-45B4-B2B8-113B3A6CCC2B}"/>
    <cellStyle name="Normal 8 33 8 5" xfId="36926" xr:uid="{9C069302-3B74-49F3-8624-E6DFB777EAD0}"/>
    <cellStyle name="Normal 8 33 8 6" xfId="36927" xr:uid="{93776716-D40D-40ED-9B86-4153E3B81CAA}"/>
    <cellStyle name="Normal 8 33 9" xfId="36928" xr:uid="{A45FD5F9-1C08-4BBD-A55D-011EC33CAF52}"/>
    <cellStyle name="Normal 8 34" xfId="36929" xr:uid="{28078BCD-DF1B-41B2-B1E1-6C2C28657D04}"/>
    <cellStyle name="Normal 8 34 2" xfId="36930" xr:uid="{FD9E631F-913B-4795-AE2E-1029DA498AAB}"/>
    <cellStyle name="Normal 8 34 3" xfId="36931" xr:uid="{6D6FB40D-1304-4F37-90EE-4C0B1DD13CAE}"/>
    <cellStyle name="Normal 8 34 4" xfId="36932" xr:uid="{00AA715D-6C95-4C6B-9989-12574DEBF043}"/>
    <cellStyle name="Normal 8 34 5" xfId="36933" xr:uid="{B907255B-673D-4D6F-AA88-89C46A4BDD52}"/>
    <cellStyle name="Normal 8 34 6" xfId="36934" xr:uid="{45A40615-08E3-4673-9603-096550080495}"/>
    <cellStyle name="Normal 8 35" xfId="36935" xr:uid="{58010D50-E85B-478C-ACFA-AAEC870A703F}"/>
    <cellStyle name="Normal 8 35 2" xfId="36936" xr:uid="{ABBBCEF5-014C-4F8B-84B3-247C01464E5F}"/>
    <cellStyle name="Normal 8 35 3" xfId="36937" xr:uid="{977A3C96-3850-408F-BEC4-27553CE7DF63}"/>
    <cellStyle name="Normal 8 35 4" xfId="36938" xr:uid="{2AAF8BCD-B3CF-4262-9544-6373AD40FF02}"/>
    <cellStyle name="Normal 8 35 5" xfId="36939" xr:uid="{040AE0DA-E75D-4500-8393-DF9AB5A0F181}"/>
    <cellStyle name="Normal 8 35 6" xfId="36940" xr:uid="{C7908C66-1C77-4D90-B883-B17063CD673E}"/>
    <cellStyle name="Normal 8 36" xfId="36941" xr:uid="{9FF3A63F-403D-4B67-814C-FF180823E28F}"/>
    <cellStyle name="Normal 8 36 2" xfId="36942" xr:uid="{C65633B8-583C-4A68-AE0F-047C5585D9F0}"/>
    <cellStyle name="Normal 8 36 3" xfId="36943" xr:uid="{62223F3A-5E70-454F-AECB-EFF9062BC044}"/>
    <cellStyle name="Normal 8 36 4" xfId="36944" xr:uid="{9099E697-A72B-4F29-B15B-CEABEFB4E521}"/>
    <cellStyle name="Normal 8 36 5" xfId="36945" xr:uid="{992D9B78-4F2A-4936-8922-FE12086775E8}"/>
    <cellStyle name="Normal 8 36 6" xfId="36946" xr:uid="{E137FCCA-6BDB-4FB8-9B37-48C015801A29}"/>
    <cellStyle name="Normal 8 37" xfId="36947" xr:uid="{3CC5D35D-306C-4B1C-8698-88C0C14C002F}"/>
    <cellStyle name="Normal 8 37 2" xfId="36948" xr:uid="{B0BEAC12-EB93-4EC1-8C52-02ECF833FFB3}"/>
    <cellStyle name="Normal 8 37 3" xfId="36949" xr:uid="{88D77099-89A0-43EE-8D95-4C143C05F39E}"/>
    <cellStyle name="Normal 8 37 4" xfId="36950" xr:uid="{DCE83C02-7B4A-4B21-AABF-4184FE781CA2}"/>
    <cellStyle name="Normal 8 37 5" xfId="36951" xr:uid="{879BAFE3-DB6D-423E-903A-65BE256AEB17}"/>
    <cellStyle name="Normal 8 37 6" xfId="36952" xr:uid="{EC9D64E5-2912-4E53-A52E-A2B9D3E9C7C4}"/>
    <cellStyle name="Normal 8 38" xfId="36953" xr:uid="{060D3F2C-BBCC-4319-B756-F100565AE030}"/>
    <cellStyle name="Normal 8 38 2" xfId="36954" xr:uid="{637ED280-A3A9-45E8-B626-2ECE3FE31F48}"/>
    <cellStyle name="Normal 8 38 3" xfId="36955" xr:uid="{16E001EF-6EC6-4AE8-83D3-20801DA945D1}"/>
    <cellStyle name="Normal 8 38 4" xfId="36956" xr:uid="{F70764A1-74AE-4C60-875C-C15B5B51DBF3}"/>
    <cellStyle name="Normal 8 38 5" xfId="36957" xr:uid="{F5D5B4E2-9FF4-43C8-A95C-A5931557ED11}"/>
    <cellStyle name="Normal 8 38 6" xfId="36958" xr:uid="{D07E13D7-EDF0-4E47-A00A-AA9BBEE5975F}"/>
    <cellStyle name="Normal 8 39" xfId="36959" xr:uid="{745296B1-62E7-4B90-A9BF-99B98B6D2568}"/>
    <cellStyle name="Normal 8 39 2" xfId="36960" xr:uid="{29D37D42-1966-401E-9AA2-403C68F1CB17}"/>
    <cellStyle name="Normal 8 39 3" xfId="36961" xr:uid="{5AFABAB7-995A-42FA-904F-719BC6A3200F}"/>
    <cellStyle name="Normal 8 39 4" xfId="36962" xr:uid="{E832D959-D43D-444B-B89F-C50C2413E6BA}"/>
    <cellStyle name="Normal 8 39 5" xfId="36963" xr:uid="{67507417-B139-4BBF-B1BC-12B6BAC6763A}"/>
    <cellStyle name="Normal 8 39 6" xfId="36964" xr:uid="{98DDDB4E-64E6-4029-88BE-41DBAE0D2AE1}"/>
    <cellStyle name="Normal 8 4" xfId="36965" xr:uid="{05D1CD29-42DE-409B-A638-DF49F8102EC5}"/>
    <cellStyle name="Normal 8 4 10" xfId="36966" xr:uid="{210C58B8-CA3E-463D-BF67-313514B5F006}"/>
    <cellStyle name="Normal 8 4 11" xfId="36967" xr:uid="{FDDAF355-CB6E-45E9-9FE9-0CA42307304B}"/>
    <cellStyle name="Normal 8 4 12" xfId="36968" xr:uid="{0B032D80-7D00-480A-90D9-C592025C1D6D}"/>
    <cellStyle name="Normal 8 4 13" xfId="36969" xr:uid="{C508130C-38BC-476D-8EC4-50411E6A0315}"/>
    <cellStyle name="Normal 8 4 2" xfId="36970" xr:uid="{1666FA61-C522-47E0-88D0-11FECFCDC535}"/>
    <cellStyle name="Normal 8 4 2 2" xfId="36971" xr:uid="{02511EA9-A451-49AA-ADD9-605E6B0081B0}"/>
    <cellStyle name="Normal 8 4 2 3" xfId="36972" xr:uid="{536ECB7C-DB54-4D94-A58F-737C1C77F732}"/>
    <cellStyle name="Normal 8 4 2 4" xfId="36973" xr:uid="{EA1F679E-5042-45BE-9BDB-805FD40ADC3B}"/>
    <cellStyle name="Normal 8 4 2 5" xfId="36974" xr:uid="{13768444-2F2E-4E61-B71E-3950915EEBF1}"/>
    <cellStyle name="Normal 8 4 2 6" xfId="36975" xr:uid="{26DF1C59-95F7-4701-ADAF-BF6B08C469F6}"/>
    <cellStyle name="Normal 8 4 3" xfId="36976" xr:uid="{36B46F24-9292-44B1-9CDE-44933DD5DF3C}"/>
    <cellStyle name="Normal 8 4 3 2" xfId="36977" xr:uid="{D4B2165D-2740-4A86-A047-C97CA13BFD97}"/>
    <cellStyle name="Normal 8 4 3 3" xfId="36978" xr:uid="{8D015212-30B5-49BC-9DB4-7E7DCB5420EB}"/>
    <cellStyle name="Normal 8 4 3 4" xfId="36979" xr:uid="{4C6C731D-DFD6-4ED0-BAAC-90065305ECAC}"/>
    <cellStyle name="Normal 8 4 3 5" xfId="36980" xr:uid="{30F9C855-7C62-427B-927E-6C00C693E2C1}"/>
    <cellStyle name="Normal 8 4 3 6" xfId="36981" xr:uid="{49CB8FC8-4A39-46BE-BD39-E9E67B88E82D}"/>
    <cellStyle name="Normal 8 4 4" xfId="36982" xr:uid="{F63A26E8-0145-4F9D-AEC6-ABE44E4D9CFA}"/>
    <cellStyle name="Normal 8 4 4 2" xfId="36983" xr:uid="{C7D1C5D3-D24F-4784-A392-FDF63C5B12AB}"/>
    <cellStyle name="Normal 8 4 4 3" xfId="36984" xr:uid="{907A3ECD-8821-4497-8646-681F396E99BC}"/>
    <cellStyle name="Normal 8 4 4 4" xfId="36985" xr:uid="{38BED2F1-8989-4F25-B499-66F24144B09D}"/>
    <cellStyle name="Normal 8 4 4 5" xfId="36986" xr:uid="{E2184DC6-077B-413A-AF7E-AE3B76AE0509}"/>
    <cellStyle name="Normal 8 4 4 6" xfId="36987" xr:uid="{0A425F15-1495-4808-93F5-12C9B93C44FC}"/>
    <cellStyle name="Normal 8 4 5" xfId="36988" xr:uid="{27C17C7C-F67D-4D6C-A94C-E669BB6EACFE}"/>
    <cellStyle name="Normal 8 4 5 2" xfId="36989" xr:uid="{A79D063D-B481-4AE1-B6A3-CF400E449526}"/>
    <cellStyle name="Normal 8 4 5 3" xfId="36990" xr:uid="{1559A11A-29E0-4B91-818C-4D290D117A75}"/>
    <cellStyle name="Normal 8 4 5 4" xfId="36991" xr:uid="{5B9E0C11-A8EA-46D3-BA81-CDE0DB51BF14}"/>
    <cellStyle name="Normal 8 4 5 5" xfId="36992" xr:uid="{2D93779F-F357-4C2B-A135-0DDC84BEE4AE}"/>
    <cellStyle name="Normal 8 4 5 6" xfId="36993" xr:uid="{86C9A9BF-DF02-4DA7-9292-16E6ECD94753}"/>
    <cellStyle name="Normal 8 4 6" xfId="36994" xr:uid="{0E791054-92ED-482F-AB1F-4FDC86308710}"/>
    <cellStyle name="Normal 8 4 6 2" xfId="36995" xr:uid="{610130E2-C276-412E-A026-0A8DA8666F14}"/>
    <cellStyle name="Normal 8 4 6 3" xfId="36996" xr:uid="{364A90EB-57C7-47D2-82F0-8EB54FF4DC80}"/>
    <cellStyle name="Normal 8 4 6 4" xfId="36997" xr:uid="{D32ED555-6B63-4258-85CA-7E026A2E8E4D}"/>
    <cellStyle name="Normal 8 4 6 5" xfId="36998" xr:uid="{0FE26899-B9B5-453B-B8CA-91A9FE88D1E2}"/>
    <cellStyle name="Normal 8 4 6 6" xfId="36999" xr:uid="{ABFD9034-676D-44E3-B9FB-B4A34E268C28}"/>
    <cellStyle name="Normal 8 4 7" xfId="37000" xr:uid="{1D55DDC3-EC2A-4DF0-A799-0FD9DD8A408B}"/>
    <cellStyle name="Normal 8 4 7 2" xfId="37001" xr:uid="{F00653DA-D64B-4ABB-9475-0E8EE53AC883}"/>
    <cellStyle name="Normal 8 4 7 3" xfId="37002" xr:uid="{7B99FC2D-65D9-44C8-8378-44CE49FABBF6}"/>
    <cellStyle name="Normal 8 4 7 4" xfId="37003" xr:uid="{637CE55D-5EA3-4036-B70A-DB27566052AD}"/>
    <cellStyle name="Normal 8 4 7 5" xfId="37004" xr:uid="{DD203059-D807-498F-AA2C-875E7F00541A}"/>
    <cellStyle name="Normal 8 4 7 6" xfId="37005" xr:uid="{B770FFD3-8D54-4EEC-A3A7-BE5E360708C7}"/>
    <cellStyle name="Normal 8 4 8" xfId="37006" xr:uid="{3945A997-4B84-4709-82CF-C0D1F379A684}"/>
    <cellStyle name="Normal 8 4 8 2" xfId="37007" xr:uid="{756F9256-E4EC-4A04-8581-590A1C6EEB0A}"/>
    <cellStyle name="Normal 8 4 8 3" xfId="37008" xr:uid="{69F5697F-84C7-4CB9-9869-E160767510F1}"/>
    <cellStyle name="Normal 8 4 8 4" xfId="37009" xr:uid="{092B59C5-7247-43DD-9915-C837363F8063}"/>
    <cellStyle name="Normal 8 4 8 5" xfId="37010" xr:uid="{4EE5DB01-2AB1-4647-9681-871336B982FB}"/>
    <cellStyle name="Normal 8 4 8 6" xfId="37011" xr:uid="{C39B890C-8880-4013-9DA4-C560B1781071}"/>
    <cellStyle name="Normal 8 4 9" xfId="37012" xr:uid="{B6F79A04-BBD9-48E0-A949-7E24966A7FDB}"/>
    <cellStyle name="Normal 8 40" xfId="37013" xr:uid="{CD84D0F1-E130-4ABB-BA1C-0B38D521EF3F}"/>
    <cellStyle name="Normal 8 40 2" xfId="37014" xr:uid="{06C794B8-2DC3-4A95-81F6-4579CD03173F}"/>
    <cellStyle name="Normal 8 40 3" xfId="37015" xr:uid="{FA1D13C1-0751-4927-9538-F3CBA4EDAC04}"/>
    <cellStyle name="Normal 8 40 4" xfId="37016" xr:uid="{AB3E95C4-1B5D-41B8-AE28-DD2F76F2D438}"/>
    <cellStyle name="Normal 8 40 5" xfId="37017" xr:uid="{404D4B25-FCA1-4E06-9ECE-9DD84673DE80}"/>
    <cellStyle name="Normal 8 40 6" xfId="37018" xr:uid="{88177882-8BD8-4122-AA7E-11EB31A206F6}"/>
    <cellStyle name="Normal 8 41" xfId="37019" xr:uid="{3718F8C6-2E41-4A4F-BEF8-F669FDAEB1CD}"/>
    <cellStyle name="Normal 8 42" xfId="37020" xr:uid="{E0C681A4-AD4D-4998-9214-262831C572F9}"/>
    <cellStyle name="Normal 8 43" xfId="37021" xr:uid="{AAC16F55-48D3-4717-B2C8-B7C8789B222C}"/>
    <cellStyle name="Normal 8 44" xfId="37022" xr:uid="{1D2C4777-8F79-4BD9-931C-8DCE5FE0D732}"/>
    <cellStyle name="Normal 8 45" xfId="37023" xr:uid="{C417F146-22EB-4F27-8A5E-EE303DA5AC71}"/>
    <cellStyle name="Normal 8 46" xfId="37024" xr:uid="{9AABA621-BE78-49FF-9D69-355364CC866B}"/>
    <cellStyle name="Normal 8 5" xfId="37025" xr:uid="{902EC01F-2639-4413-B01B-3205C745E7FF}"/>
    <cellStyle name="Normal 8 5 10" xfId="37026" xr:uid="{6B6E0BEC-AD88-49D6-9D47-1CE8D77B44FF}"/>
    <cellStyle name="Normal 8 5 11" xfId="37027" xr:uid="{2BEE59C3-D0E0-4D50-9547-47C70C20EDE0}"/>
    <cellStyle name="Normal 8 5 12" xfId="37028" xr:uid="{0F815ED5-3EF5-452A-AE92-09507406ECAD}"/>
    <cellStyle name="Normal 8 5 13" xfId="37029" xr:uid="{29E23800-815E-4D19-8094-CFD5D9F189E5}"/>
    <cellStyle name="Normal 8 5 2" xfId="37030" xr:uid="{DA60A4C6-522C-40BE-A807-E8ADE83A0C8E}"/>
    <cellStyle name="Normal 8 5 2 2" xfId="37031" xr:uid="{08E6AE4D-B02D-454F-A672-95399AB56C7E}"/>
    <cellStyle name="Normal 8 5 2 3" xfId="37032" xr:uid="{9E1676D5-897C-4F1A-A6E5-2C5582B3B544}"/>
    <cellStyle name="Normal 8 5 2 4" xfId="37033" xr:uid="{19F5B98A-CEDD-469E-B725-C02AF4504AF6}"/>
    <cellStyle name="Normal 8 5 2 5" xfId="37034" xr:uid="{E47EEC97-0B7A-4724-B724-C359B35B530F}"/>
    <cellStyle name="Normal 8 5 2 6" xfId="37035" xr:uid="{A40C9DD1-A391-4E3C-91C7-82D6646516EC}"/>
    <cellStyle name="Normal 8 5 3" xfId="37036" xr:uid="{BEF749B8-E138-45C6-B378-DCDCB8F0D532}"/>
    <cellStyle name="Normal 8 5 3 2" xfId="37037" xr:uid="{D427951E-FA7F-4EF7-8E7B-41CC084252CE}"/>
    <cellStyle name="Normal 8 5 3 3" xfId="37038" xr:uid="{7D38AE3A-E52E-4C0C-B775-52B7F622EEFB}"/>
    <cellStyle name="Normal 8 5 3 4" xfId="37039" xr:uid="{B2C9823A-CB7A-4A75-9FEB-B99FF601B780}"/>
    <cellStyle name="Normal 8 5 3 5" xfId="37040" xr:uid="{D6F9F9BA-BFAA-4B73-A4EC-E6CD961CCCB7}"/>
    <cellStyle name="Normal 8 5 3 6" xfId="37041" xr:uid="{8C75AD79-E966-4213-863B-CBB5218D799C}"/>
    <cellStyle name="Normal 8 5 4" xfId="37042" xr:uid="{18089793-B9D8-4226-85A4-A3AEC6FCE873}"/>
    <cellStyle name="Normal 8 5 4 2" xfId="37043" xr:uid="{D035F152-73CC-4BE7-8FC2-EBA232B216F9}"/>
    <cellStyle name="Normal 8 5 4 3" xfId="37044" xr:uid="{0F026324-415B-455D-8F0B-3744560A7393}"/>
    <cellStyle name="Normal 8 5 4 4" xfId="37045" xr:uid="{8CCC52EB-2B42-4840-9DEF-119664C3F8CB}"/>
    <cellStyle name="Normal 8 5 4 5" xfId="37046" xr:uid="{F2F15E33-C690-464D-B3B3-E4E25F8B791E}"/>
    <cellStyle name="Normal 8 5 4 6" xfId="37047" xr:uid="{3160E935-A245-4AF1-8378-06537B8592E0}"/>
    <cellStyle name="Normal 8 5 5" xfId="37048" xr:uid="{F77AF0A3-F8A0-45DD-9A38-8A430BFA628D}"/>
    <cellStyle name="Normal 8 5 5 2" xfId="37049" xr:uid="{A977B77E-A754-4856-BB0C-3F9F6C8A27F9}"/>
    <cellStyle name="Normal 8 5 5 3" xfId="37050" xr:uid="{EA108FC8-197B-4B19-8045-F1A2C1C9B844}"/>
    <cellStyle name="Normal 8 5 5 4" xfId="37051" xr:uid="{7491727C-BD3E-4DF7-8A45-8E5E2A71F546}"/>
    <cellStyle name="Normal 8 5 5 5" xfId="37052" xr:uid="{C59ED3AB-DBCF-485B-A2B8-85B676D635BD}"/>
    <cellStyle name="Normal 8 5 5 6" xfId="37053" xr:uid="{542A95C4-E464-49F0-8CF5-CA0618D377C2}"/>
    <cellStyle name="Normal 8 5 6" xfId="37054" xr:uid="{78D4B4E1-6C65-4A91-94F8-162E40AF2302}"/>
    <cellStyle name="Normal 8 5 6 2" xfId="37055" xr:uid="{70B54A4D-E0E1-46A5-937D-D12583ADF7AD}"/>
    <cellStyle name="Normal 8 5 6 3" xfId="37056" xr:uid="{9266E2CE-7B47-4B26-9E2D-5733C5FC3E24}"/>
    <cellStyle name="Normal 8 5 6 4" xfId="37057" xr:uid="{414FF743-4699-4982-AE96-5D291BFA8950}"/>
    <cellStyle name="Normal 8 5 6 5" xfId="37058" xr:uid="{B4104E6E-6D13-4A23-A235-C3A00EE37A98}"/>
    <cellStyle name="Normal 8 5 6 6" xfId="37059" xr:uid="{245388F2-BCA5-4720-BFD8-D4CD1C2EACF9}"/>
    <cellStyle name="Normal 8 5 7" xfId="37060" xr:uid="{B5CADE98-16A6-4C6B-BDA3-60E1C818DEBB}"/>
    <cellStyle name="Normal 8 5 7 2" xfId="37061" xr:uid="{E3C0B359-388D-479C-9173-0BDE5CFA8FCE}"/>
    <cellStyle name="Normal 8 5 7 3" xfId="37062" xr:uid="{F676603A-C3D9-444C-8CEA-4C2FEB1C2090}"/>
    <cellStyle name="Normal 8 5 7 4" xfId="37063" xr:uid="{B0C90B8C-69A6-4FDB-A2E3-03BC2AA3DFFB}"/>
    <cellStyle name="Normal 8 5 7 5" xfId="37064" xr:uid="{52B888DA-16FC-466B-A3E1-1902081B1C26}"/>
    <cellStyle name="Normal 8 5 7 6" xfId="37065" xr:uid="{46FD55AD-2102-4B29-A399-4938FC9E0EC5}"/>
    <cellStyle name="Normal 8 5 8" xfId="37066" xr:uid="{7916B270-1AF5-45EB-9F16-E3A1B3CFE155}"/>
    <cellStyle name="Normal 8 5 8 2" xfId="37067" xr:uid="{9C24F431-FB8A-4CB9-BE9F-5B0CA3886643}"/>
    <cellStyle name="Normal 8 5 8 3" xfId="37068" xr:uid="{727BB2CE-67F8-4318-8FC1-B33D7C0F62BE}"/>
    <cellStyle name="Normal 8 5 8 4" xfId="37069" xr:uid="{B841632F-03BE-4AB4-86C8-332513C0D361}"/>
    <cellStyle name="Normal 8 5 8 5" xfId="37070" xr:uid="{833FE472-2853-4C9B-A9F8-1D1101D72089}"/>
    <cellStyle name="Normal 8 5 8 6" xfId="37071" xr:uid="{BD10E151-BAE9-46C6-A3FF-09BCE2FE1F05}"/>
    <cellStyle name="Normal 8 5 9" xfId="37072" xr:uid="{4EAE55E6-729A-48E4-8CCB-C364598A6487}"/>
    <cellStyle name="Normal 8 6" xfId="37073" xr:uid="{248F72EB-4B0D-4364-B94F-D27FEEF31E20}"/>
    <cellStyle name="Normal 8 6 10" xfId="37074" xr:uid="{307BC77D-1AF3-49D4-88F5-2C014CA81E1B}"/>
    <cellStyle name="Normal 8 6 11" xfId="37075" xr:uid="{3C2D913C-99E1-4FC2-8CDB-E5E18AA7FC34}"/>
    <cellStyle name="Normal 8 6 12" xfId="37076" xr:uid="{28692CFF-4DF9-423E-A726-C2EB93DBBE79}"/>
    <cellStyle name="Normal 8 6 13" xfId="37077" xr:uid="{4A07C250-F698-434B-AAFD-9F38E33B29A5}"/>
    <cellStyle name="Normal 8 6 2" xfId="37078" xr:uid="{7E483D5A-2941-457C-AD99-3EF554EA9165}"/>
    <cellStyle name="Normal 8 6 2 2" xfId="37079" xr:uid="{38BD4F50-388E-4B87-843A-BDB4EE3C7A94}"/>
    <cellStyle name="Normal 8 6 2 3" xfId="37080" xr:uid="{1B81D24A-26C3-481B-A979-B4B31D2491BA}"/>
    <cellStyle name="Normal 8 6 2 4" xfId="37081" xr:uid="{6398797F-D6BF-481E-96D0-C34F9B86AD09}"/>
    <cellStyle name="Normal 8 6 2 5" xfId="37082" xr:uid="{BA012901-4AE5-48D0-9B54-6E4D1F65D9A5}"/>
    <cellStyle name="Normal 8 6 2 6" xfId="37083" xr:uid="{A9639EDE-307C-416C-B796-2E8417BE0E9C}"/>
    <cellStyle name="Normal 8 6 3" xfId="37084" xr:uid="{3C221B83-7BD6-4089-AE4E-4BC21ED623DD}"/>
    <cellStyle name="Normal 8 6 3 2" xfId="37085" xr:uid="{8E0F45BD-3796-458C-9B2F-80502E0FD39A}"/>
    <cellStyle name="Normal 8 6 3 3" xfId="37086" xr:uid="{013467DF-152E-42EC-BD24-5B6578C4C64C}"/>
    <cellStyle name="Normal 8 6 3 4" xfId="37087" xr:uid="{5FD4A63B-CB58-4CAC-8DE6-E1645A7E9B08}"/>
    <cellStyle name="Normal 8 6 3 5" xfId="37088" xr:uid="{1B2B7D97-6A3B-496B-AA9F-A5F4FE90B0D5}"/>
    <cellStyle name="Normal 8 6 3 6" xfId="37089" xr:uid="{AA858B93-2EE0-4E28-BE0D-832D7366E6C8}"/>
    <cellStyle name="Normal 8 6 4" xfId="37090" xr:uid="{36D0D202-21EF-4AE3-B455-3096C4D3B250}"/>
    <cellStyle name="Normal 8 6 4 2" xfId="37091" xr:uid="{8BE19336-BE58-4CF6-A14A-4FE350418E6C}"/>
    <cellStyle name="Normal 8 6 4 3" xfId="37092" xr:uid="{AB96CED9-BA6D-4937-ABA5-50B02F4EA2ED}"/>
    <cellStyle name="Normal 8 6 4 4" xfId="37093" xr:uid="{91CB5378-A0F7-46D7-88D9-B1DE65774C9B}"/>
    <cellStyle name="Normal 8 6 4 5" xfId="37094" xr:uid="{B6F3C625-D495-4F37-ADFC-819D45360615}"/>
    <cellStyle name="Normal 8 6 4 6" xfId="37095" xr:uid="{1DD6337B-3ADC-4134-9874-C411B33EEB0D}"/>
    <cellStyle name="Normal 8 6 5" xfId="37096" xr:uid="{40514F37-A2DF-4403-853E-9226E8CA612D}"/>
    <cellStyle name="Normal 8 6 5 2" xfId="37097" xr:uid="{97E66897-1D19-41C1-B401-934B4DAB74AE}"/>
    <cellStyle name="Normal 8 6 5 3" xfId="37098" xr:uid="{A902E49E-1280-438D-B099-6DFDD30EA782}"/>
    <cellStyle name="Normal 8 6 5 4" xfId="37099" xr:uid="{3A05F5A5-E6E1-463F-82A8-7871A241AAB1}"/>
    <cellStyle name="Normal 8 6 5 5" xfId="37100" xr:uid="{15E04745-1631-46E7-8A07-DEE0854C7BA6}"/>
    <cellStyle name="Normal 8 6 5 6" xfId="37101" xr:uid="{3329EFB9-A28C-44DA-83FF-A0DDCCE9172E}"/>
    <cellStyle name="Normal 8 6 6" xfId="37102" xr:uid="{FDD134C0-62BB-4E09-9EA9-533A06C1293C}"/>
    <cellStyle name="Normal 8 6 6 2" xfId="37103" xr:uid="{CBF9FEF6-2650-4643-ACEA-7A8367B14412}"/>
    <cellStyle name="Normal 8 6 6 3" xfId="37104" xr:uid="{009147E3-5991-4406-9144-D6D01FDFF79D}"/>
    <cellStyle name="Normal 8 6 6 4" xfId="37105" xr:uid="{D26DFD24-0039-4099-9C33-3741B1B96117}"/>
    <cellStyle name="Normal 8 6 6 5" xfId="37106" xr:uid="{B3CF636F-BF6B-48EB-9EA0-B987439191E1}"/>
    <cellStyle name="Normal 8 6 6 6" xfId="37107" xr:uid="{734ECF72-6EE6-47D2-B524-6BCD0126A642}"/>
    <cellStyle name="Normal 8 6 7" xfId="37108" xr:uid="{3316E8BF-570F-4734-9496-DCF95E12DA37}"/>
    <cellStyle name="Normal 8 6 7 2" xfId="37109" xr:uid="{7915ACD4-65DB-48E0-8BBA-A5DDB03AF8CA}"/>
    <cellStyle name="Normal 8 6 7 3" xfId="37110" xr:uid="{6219A59A-9A80-4946-8B5F-2FC4BED8BAD4}"/>
    <cellStyle name="Normal 8 6 7 4" xfId="37111" xr:uid="{9B5CCFE8-2734-4FE9-A38A-929DDA96C946}"/>
    <cellStyle name="Normal 8 6 7 5" xfId="37112" xr:uid="{97DD7181-3323-401A-9704-873A05B5B317}"/>
    <cellStyle name="Normal 8 6 7 6" xfId="37113" xr:uid="{B556395F-3338-4980-82C7-7496EC4517B3}"/>
    <cellStyle name="Normal 8 6 8" xfId="37114" xr:uid="{E5B8DC0C-9389-46FE-8A88-1D7AAA88CCD1}"/>
    <cellStyle name="Normal 8 6 8 2" xfId="37115" xr:uid="{F30D38F0-B398-4A69-845A-54FDD33073D6}"/>
    <cellStyle name="Normal 8 6 8 3" xfId="37116" xr:uid="{1285BEF6-2B08-4353-A975-F0FE0C9FC289}"/>
    <cellStyle name="Normal 8 6 8 4" xfId="37117" xr:uid="{AF23F699-75D2-43F5-8B95-7A81A76D4EB1}"/>
    <cellStyle name="Normal 8 6 8 5" xfId="37118" xr:uid="{777AC650-AE3E-4F32-91DF-47AE6E5738AF}"/>
    <cellStyle name="Normal 8 6 8 6" xfId="37119" xr:uid="{A5F8D6D3-B475-42C5-AC4A-A8741D5D23B0}"/>
    <cellStyle name="Normal 8 6 9" xfId="37120" xr:uid="{F92514D6-7ED6-47F6-AC9A-5FAA9FFA0A10}"/>
    <cellStyle name="Normal 8 7" xfId="37121" xr:uid="{1AEE2255-86CA-49D7-8831-15E2874EFE09}"/>
    <cellStyle name="Normal 8 7 10" xfId="37122" xr:uid="{CDAB61C6-0A69-44AD-995B-F237C43D5189}"/>
    <cellStyle name="Normal 8 7 11" xfId="37123" xr:uid="{FA766B7B-63F2-43C5-A188-4B73A11A5D3F}"/>
    <cellStyle name="Normal 8 7 12" xfId="37124" xr:uid="{8DD093AB-0EE2-4CE1-9FA9-815BDA29CAE0}"/>
    <cellStyle name="Normal 8 7 13" xfId="37125" xr:uid="{086B5531-6AF9-4BED-B139-24A7409845B3}"/>
    <cellStyle name="Normal 8 7 2" xfId="37126" xr:uid="{A99D1181-34F4-4CE8-8088-F683188C8530}"/>
    <cellStyle name="Normal 8 7 2 2" xfId="37127" xr:uid="{AD7FDC93-12DD-4181-94BF-C3D88CD54CE6}"/>
    <cellStyle name="Normal 8 7 2 3" xfId="37128" xr:uid="{3FCC3004-9F48-4125-99DF-7C7837C203D4}"/>
    <cellStyle name="Normal 8 7 2 4" xfId="37129" xr:uid="{D3315568-51C5-4B93-AF8D-B097E038A951}"/>
    <cellStyle name="Normal 8 7 2 5" xfId="37130" xr:uid="{D2ABA968-539A-4390-93F9-920FA77152AC}"/>
    <cellStyle name="Normal 8 7 2 6" xfId="37131" xr:uid="{7D15F7A1-F42E-431E-8DDA-AB4938A2CDE1}"/>
    <cellStyle name="Normal 8 7 3" xfId="37132" xr:uid="{E8568916-652C-4C88-912E-14D8A2B186FA}"/>
    <cellStyle name="Normal 8 7 3 2" xfId="37133" xr:uid="{883AD280-4283-4C52-8052-90E284501FAE}"/>
    <cellStyle name="Normal 8 7 3 3" xfId="37134" xr:uid="{BA3C459B-3143-4853-8AC8-EAB9D897C87B}"/>
    <cellStyle name="Normal 8 7 3 4" xfId="37135" xr:uid="{D95C5C19-C621-48DF-AED3-74F41B223BE5}"/>
    <cellStyle name="Normal 8 7 3 5" xfId="37136" xr:uid="{B2625291-D51F-45ED-A01D-A2B96B671DCD}"/>
    <cellStyle name="Normal 8 7 3 6" xfId="37137" xr:uid="{5CF72212-4560-4263-B750-E15B4B322635}"/>
    <cellStyle name="Normal 8 7 4" xfId="37138" xr:uid="{606C1B30-11C2-4D6F-B606-E79AC4D6A36B}"/>
    <cellStyle name="Normal 8 7 4 2" xfId="37139" xr:uid="{D6B96CFE-276D-48E0-B453-7BAAB208183C}"/>
    <cellStyle name="Normal 8 7 4 3" xfId="37140" xr:uid="{D537BED6-D099-42F4-A451-FF5DF08F8DA6}"/>
    <cellStyle name="Normal 8 7 4 4" xfId="37141" xr:uid="{C174E9FA-1D49-4CC2-891B-9D154C3ECDEE}"/>
    <cellStyle name="Normal 8 7 4 5" xfId="37142" xr:uid="{4A91B0CF-DC0E-486D-AD8D-554F0C9DD410}"/>
    <cellStyle name="Normal 8 7 4 6" xfId="37143" xr:uid="{C6092057-2FD0-4D69-8249-340F6E0B0E73}"/>
    <cellStyle name="Normal 8 7 5" xfId="37144" xr:uid="{ED9670A1-7750-4FC4-96CE-BB43D145B2BD}"/>
    <cellStyle name="Normal 8 7 5 2" xfId="37145" xr:uid="{FECF0CED-513A-4FFB-85A1-62B312712B1E}"/>
    <cellStyle name="Normal 8 7 5 3" xfId="37146" xr:uid="{F49CCA8C-0064-4440-B766-97F996230A78}"/>
    <cellStyle name="Normal 8 7 5 4" xfId="37147" xr:uid="{A4A0E7FB-FF51-4D17-827C-C29215B2C28D}"/>
    <cellStyle name="Normal 8 7 5 5" xfId="37148" xr:uid="{6D7826E2-C7F6-420A-8807-39A1F4CA348D}"/>
    <cellStyle name="Normal 8 7 5 6" xfId="37149" xr:uid="{D2E17187-0E2B-48AC-8857-2ABA1584D8F7}"/>
    <cellStyle name="Normal 8 7 6" xfId="37150" xr:uid="{118E35F3-F346-43D2-B306-53A89CAF5BC5}"/>
    <cellStyle name="Normal 8 7 6 2" xfId="37151" xr:uid="{DFD8FFFD-20C2-4C3F-ACD5-63B79A7D038C}"/>
    <cellStyle name="Normal 8 7 6 3" xfId="37152" xr:uid="{30DC8A62-0332-48A4-ACD2-8E9877A68F18}"/>
    <cellStyle name="Normal 8 7 6 4" xfId="37153" xr:uid="{51262DB1-6690-4084-B66C-317E9DB80425}"/>
    <cellStyle name="Normal 8 7 6 5" xfId="37154" xr:uid="{6EF8D501-2A00-443D-B3B6-22D978471B7D}"/>
    <cellStyle name="Normal 8 7 6 6" xfId="37155" xr:uid="{B98C5DDF-CCA2-41B0-9D4D-0EC431458C47}"/>
    <cellStyle name="Normal 8 7 7" xfId="37156" xr:uid="{7B8DCCE7-176E-4A4C-9A18-831735DC0495}"/>
    <cellStyle name="Normal 8 7 7 2" xfId="37157" xr:uid="{6156C55B-8785-49E1-9230-6BA10B72AF0C}"/>
    <cellStyle name="Normal 8 7 7 3" xfId="37158" xr:uid="{38335593-5873-45BB-8460-606EC4E7E71B}"/>
    <cellStyle name="Normal 8 7 7 4" xfId="37159" xr:uid="{458E2967-7D44-43AE-A90A-7F24A6EF62FF}"/>
    <cellStyle name="Normal 8 7 7 5" xfId="37160" xr:uid="{129F109F-034F-4E90-A769-7F897E7D9872}"/>
    <cellStyle name="Normal 8 7 7 6" xfId="37161" xr:uid="{1CD71B5D-37F3-4893-80EC-E344B5D16603}"/>
    <cellStyle name="Normal 8 7 8" xfId="37162" xr:uid="{26911F6E-FC37-4B18-8533-E5DD5C86F331}"/>
    <cellStyle name="Normal 8 7 8 2" xfId="37163" xr:uid="{4DBFCFF7-7D56-4979-9FEF-FE048A39195A}"/>
    <cellStyle name="Normal 8 7 8 3" xfId="37164" xr:uid="{B1C5BE2F-E4D9-4F16-A803-B857C0A14C0B}"/>
    <cellStyle name="Normal 8 7 8 4" xfId="37165" xr:uid="{669CE654-35C4-416B-A9F9-2C2D41602E20}"/>
    <cellStyle name="Normal 8 7 8 5" xfId="37166" xr:uid="{D521410B-5232-48E7-936B-48D95B687DA6}"/>
    <cellStyle name="Normal 8 7 8 6" xfId="37167" xr:uid="{C397F7B9-4135-4AC6-9D22-C7FE81555753}"/>
    <cellStyle name="Normal 8 7 9" xfId="37168" xr:uid="{08C22E07-B9C3-48F5-897C-98D90FE0841D}"/>
    <cellStyle name="Normal 8 8" xfId="37169" xr:uid="{2FEC134F-7C19-4D15-82F7-0CDF211D465A}"/>
    <cellStyle name="Normal 8 8 10" xfId="37170" xr:uid="{53219E4A-98BD-4640-860A-BF2B5D17D103}"/>
    <cellStyle name="Normal 8 8 11" xfId="37171" xr:uid="{FB0C166D-0F53-4A0B-A1C7-496CA79541D2}"/>
    <cellStyle name="Normal 8 8 12" xfId="37172" xr:uid="{1DA7210B-FF61-44CD-9FC7-A5DE87D028EE}"/>
    <cellStyle name="Normal 8 8 13" xfId="37173" xr:uid="{6F619A3A-A2DE-4D13-9BAA-447D49BFF2B3}"/>
    <cellStyle name="Normal 8 8 2" xfId="37174" xr:uid="{B227AC72-87F9-4456-8DAD-EDF8EC8E2EE3}"/>
    <cellStyle name="Normal 8 8 2 2" xfId="37175" xr:uid="{B2D30451-2CCA-42A1-AB8C-832235ABA29B}"/>
    <cellStyle name="Normal 8 8 2 3" xfId="37176" xr:uid="{FAF2617D-0ABD-452E-9B3E-7722905BE605}"/>
    <cellStyle name="Normal 8 8 2 4" xfId="37177" xr:uid="{FEB46967-738C-4C7F-B97E-AD737920B765}"/>
    <cellStyle name="Normal 8 8 2 5" xfId="37178" xr:uid="{869A248A-D63C-4634-81D4-E3940FFB7506}"/>
    <cellStyle name="Normal 8 8 2 6" xfId="37179" xr:uid="{73B94F74-8C6D-4E5F-B05A-090A988E18E4}"/>
    <cellStyle name="Normal 8 8 3" xfId="37180" xr:uid="{33ACF5DE-A89A-49B6-BEE7-CE45F50B4AA3}"/>
    <cellStyle name="Normal 8 8 3 2" xfId="37181" xr:uid="{EDA25EEB-83CD-4AC6-9C02-62F986F1A1B4}"/>
    <cellStyle name="Normal 8 8 3 3" xfId="37182" xr:uid="{01E63EB3-5F89-4883-84DF-077E0D653EA5}"/>
    <cellStyle name="Normal 8 8 3 4" xfId="37183" xr:uid="{B3E88669-6E6B-4780-A7EC-9D84DE16183E}"/>
    <cellStyle name="Normal 8 8 3 5" xfId="37184" xr:uid="{FA801624-6650-44D4-A667-16F11B8584DD}"/>
    <cellStyle name="Normal 8 8 3 6" xfId="37185" xr:uid="{3C56CED0-E572-4BB9-894E-D904A3D7EDB4}"/>
    <cellStyle name="Normal 8 8 4" xfId="37186" xr:uid="{7CD78178-CC70-49DB-9C93-3102452E139D}"/>
    <cellStyle name="Normal 8 8 4 2" xfId="37187" xr:uid="{170F6FE8-2A25-43A9-B4B3-C13C330ED33F}"/>
    <cellStyle name="Normal 8 8 4 3" xfId="37188" xr:uid="{59BCD89F-985F-4AF7-9C37-802937D50A2E}"/>
    <cellStyle name="Normal 8 8 4 4" xfId="37189" xr:uid="{3D45F498-AE83-423B-955F-7B41B97270CD}"/>
    <cellStyle name="Normal 8 8 4 5" xfId="37190" xr:uid="{C3A608CB-0A4F-4994-8211-EF6D6271194B}"/>
    <cellStyle name="Normal 8 8 4 6" xfId="37191" xr:uid="{59431B41-2758-42E3-97AD-E10BC2B9ECFD}"/>
    <cellStyle name="Normal 8 8 5" xfId="37192" xr:uid="{56C65893-DCA0-4A8A-9D17-8010E0B11368}"/>
    <cellStyle name="Normal 8 8 5 2" xfId="37193" xr:uid="{E7F7EDC5-0940-4DB6-8403-05BB836C09CF}"/>
    <cellStyle name="Normal 8 8 5 3" xfId="37194" xr:uid="{3BA29615-3557-4C10-9DB7-9C6CEE57FE5B}"/>
    <cellStyle name="Normal 8 8 5 4" xfId="37195" xr:uid="{6673CD72-42E4-42AB-A82B-BA551D880D3C}"/>
    <cellStyle name="Normal 8 8 5 5" xfId="37196" xr:uid="{5C923973-187D-4048-B0B3-4C887A6200CE}"/>
    <cellStyle name="Normal 8 8 5 6" xfId="37197" xr:uid="{4D4EF951-A0BD-4642-852F-1A4BF5A646B9}"/>
    <cellStyle name="Normal 8 8 6" xfId="37198" xr:uid="{70211CF9-504B-4CD7-9248-A6AFEE8EBFAF}"/>
    <cellStyle name="Normal 8 8 6 2" xfId="37199" xr:uid="{1EBF4099-90F5-4085-8B47-CFE17C238EE6}"/>
    <cellStyle name="Normal 8 8 6 3" xfId="37200" xr:uid="{ECC67E6E-88FB-4DE0-AC54-6046E0A00717}"/>
    <cellStyle name="Normal 8 8 6 4" xfId="37201" xr:uid="{5D5F4137-2B94-4A3D-8F73-D2B9370CE5CB}"/>
    <cellStyle name="Normal 8 8 6 5" xfId="37202" xr:uid="{85B82831-EDA9-43FD-B788-6F4D6E0FA302}"/>
    <cellStyle name="Normal 8 8 6 6" xfId="37203" xr:uid="{29536C2E-0D42-4FFD-9888-6803320D5C56}"/>
    <cellStyle name="Normal 8 8 7" xfId="37204" xr:uid="{16B16D99-0DA3-4F99-B2B8-EDDED6415A34}"/>
    <cellStyle name="Normal 8 8 7 2" xfId="37205" xr:uid="{A268A80A-FCF4-4348-A5E3-4EA1C891A738}"/>
    <cellStyle name="Normal 8 8 7 3" xfId="37206" xr:uid="{452577F9-C8FB-4CEE-A6F3-4F63AE21717D}"/>
    <cellStyle name="Normal 8 8 7 4" xfId="37207" xr:uid="{B6CDEC56-2F77-4749-833C-1EA9AF3DE450}"/>
    <cellStyle name="Normal 8 8 7 5" xfId="37208" xr:uid="{0A5F53BE-9191-47F8-9115-8C2DC7B33C25}"/>
    <cellStyle name="Normal 8 8 7 6" xfId="37209" xr:uid="{0460CE4E-1EC8-4A95-90A9-717F0BC4C598}"/>
    <cellStyle name="Normal 8 8 8" xfId="37210" xr:uid="{8442C50A-9CF2-44D9-9BB9-7C039A2759DD}"/>
    <cellStyle name="Normal 8 8 8 2" xfId="37211" xr:uid="{602D634A-A8C6-4EFE-B720-1569F761A68A}"/>
    <cellStyle name="Normal 8 8 8 3" xfId="37212" xr:uid="{E4859B50-2749-4BB3-9B52-A632724A7895}"/>
    <cellStyle name="Normal 8 8 8 4" xfId="37213" xr:uid="{81C38238-1114-4FCB-AE21-025876AFF21E}"/>
    <cellStyle name="Normal 8 8 8 5" xfId="37214" xr:uid="{3482799C-DA41-4CC6-9A11-0E8E0C60577C}"/>
    <cellStyle name="Normal 8 8 8 6" xfId="37215" xr:uid="{92000767-9D3B-48B8-9C86-7611451E542F}"/>
    <cellStyle name="Normal 8 8 9" xfId="37216" xr:uid="{E4F84BE1-60CB-4218-93E6-9A54E87420EE}"/>
    <cellStyle name="Normal 8 9" xfId="37217" xr:uid="{7F9D895E-D936-4AC5-9B22-8B738BDF9E26}"/>
    <cellStyle name="Normal 8 9 10" xfId="37218" xr:uid="{938E0738-C723-45EE-989D-BFAA7F9080D3}"/>
    <cellStyle name="Normal 8 9 11" xfId="37219" xr:uid="{E74DDD8B-0D3D-478E-8D03-8AE9A5942006}"/>
    <cellStyle name="Normal 8 9 12" xfId="37220" xr:uid="{0905D353-965C-47ED-91FF-E2323D95D8E7}"/>
    <cellStyle name="Normal 8 9 13" xfId="37221" xr:uid="{3DF67351-1728-4876-AA8A-76E1B9CF887E}"/>
    <cellStyle name="Normal 8 9 2" xfId="37222" xr:uid="{06AAE2D8-CC1B-49CB-82DB-AE48C0FB9F0A}"/>
    <cellStyle name="Normal 8 9 2 2" xfId="37223" xr:uid="{0C0FAFF7-B45C-497E-986E-2ED69DFEF739}"/>
    <cellStyle name="Normal 8 9 2 3" xfId="37224" xr:uid="{4A1A5E00-1886-4FF9-A955-E7DBCB5EFD63}"/>
    <cellStyle name="Normal 8 9 2 4" xfId="37225" xr:uid="{DF18F6D1-7E70-49E2-B1B6-2BF3388CEA56}"/>
    <cellStyle name="Normal 8 9 2 5" xfId="37226" xr:uid="{BD68F2DD-8F25-4CB8-BBFB-797908B37077}"/>
    <cellStyle name="Normal 8 9 2 6" xfId="37227" xr:uid="{96FD0827-98A2-49E5-BADA-A4F5CA7354CD}"/>
    <cellStyle name="Normal 8 9 3" xfId="37228" xr:uid="{B51C4DDB-3035-4033-BAA9-3885116C1EBE}"/>
    <cellStyle name="Normal 8 9 3 2" xfId="37229" xr:uid="{544D6558-170E-4281-A3FF-03917BFC5EF7}"/>
    <cellStyle name="Normal 8 9 3 3" xfId="37230" xr:uid="{C3C38CBD-C5D6-4ADA-A00D-589AC8EA52F0}"/>
    <cellStyle name="Normal 8 9 3 4" xfId="37231" xr:uid="{898C8198-DCB4-4840-8272-6C4B18B10444}"/>
    <cellStyle name="Normal 8 9 3 5" xfId="37232" xr:uid="{93006F13-1565-475E-BA23-BBA97393380A}"/>
    <cellStyle name="Normal 8 9 3 6" xfId="37233" xr:uid="{F18F8450-A7D2-41F8-A4D5-A4EE91659374}"/>
    <cellStyle name="Normal 8 9 4" xfId="37234" xr:uid="{921D7942-AF11-4B29-8C46-78E68A7EB1C6}"/>
    <cellStyle name="Normal 8 9 4 2" xfId="37235" xr:uid="{2A5EFD58-19CB-440A-B1F0-80C3968DD580}"/>
    <cellStyle name="Normal 8 9 4 3" xfId="37236" xr:uid="{F0440D12-0070-4BA6-8518-81981AC2C148}"/>
    <cellStyle name="Normal 8 9 4 4" xfId="37237" xr:uid="{D651F1E9-39CE-49F1-B68A-90F5AD19DB1A}"/>
    <cellStyle name="Normal 8 9 4 5" xfId="37238" xr:uid="{723E15B8-A484-4875-90A1-6BA83944CD13}"/>
    <cellStyle name="Normal 8 9 4 6" xfId="37239" xr:uid="{D1686DC7-BF7F-4321-9E34-2C049BED19E6}"/>
    <cellStyle name="Normal 8 9 5" xfId="37240" xr:uid="{78ECE6EF-7600-4B22-A1A9-A042380AA4D8}"/>
    <cellStyle name="Normal 8 9 5 2" xfId="37241" xr:uid="{981B7FDA-A3C7-4785-A70B-69CD89DA7799}"/>
    <cellStyle name="Normal 8 9 5 3" xfId="37242" xr:uid="{47CE4BAF-EBC2-4F8F-97F5-40FE7D509C11}"/>
    <cellStyle name="Normal 8 9 5 4" xfId="37243" xr:uid="{56E12656-EB49-49E3-86AF-B63448097521}"/>
    <cellStyle name="Normal 8 9 5 5" xfId="37244" xr:uid="{E7C684B3-9804-44CF-961C-28F7E51EB2EC}"/>
    <cellStyle name="Normal 8 9 5 6" xfId="37245" xr:uid="{30641912-288B-4268-AA29-AD0201144A87}"/>
    <cellStyle name="Normal 8 9 6" xfId="37246" xr:uid="{DAF8BE1B-550A-4C88-B813-D06D6966A943}"/>
    <cellStyle name="Normal 8 9 6 2" xfId="37247" xr:uid="{AED9E016-F4C5-4B37-9FC9-82A5AECCEC6E}"/>
    <cellStyle name="Normal 8 9 6 3" xfId="37248" xr:uid="{367ED320-D22F-49C6-A36C-CB2D47BEE12C}"/>
    <cellStyle name="Normal 8 9 6 4" xfId="37249" xr:uid="{F7D5DEF1-C53D-4527-B2E3-BD8D62B2C5FC}"/>
    <cellStyle name="Normal 8 9 6 5" xfId="37250" xr:uid="{02601CE2-7993-407F-87F9-1CD0000964FE}"/>
    <cellStyle name="Normal 8 9 6 6" xfId="37251" xr:uid="{6AFC3717-BB94-4FF2-A1B8-B8D35D734C10}"/>
    <cellStyle name="Normal 8 9 7" xfId="37252" xr:uid="{67380080-2BE1-4BF6-8AD2-AEACC96FA4D4}"/>
    <cellStyle name="Normal 8 9 7 2" xfId="37253" xr:uid="{5811668F-9FF0-43E8-A547-8527C74F3E22}"/>
    <cellStyle name="Normal 8 9 7 3" xfId="37254" xr:uid="{370B5665-6D52-4E8F-9335-97B5F0495C44}"/>
    <cellStyle name="Normal 8 9 7 4" xfId="37255" xr:uid="{23D1D153-77B9-4422-BB6D-003CB9259AAB}"/>
    <cellStyle name="Normal 8 9 7 5" xfId="37256" xr:uid="{D84B90B0-D150-4B5D-9E12-DCA8E37662B9}"/>
    <cellStyle name="Normal 8 9 7 6" xfId="37257" xr:uid="{A1C4DB9C-4AC8-46C8-8AFE-687C79556A8C}"/>
    <cellStyle name="Normal 8 9 8" xfId="37258" xr:uid="{B1BAEBB2-9FBC-45E4-872D-3A9EE638BFC2}"/>
    <cellStyle name="Normal 8 9 8 2" xfId="37259" xr:uid="{4CBD79AB-C2B0-4196-BDE3-FA904BE3BAA0}"/>
    <cellStyle name="Normal 8 9 8 3" xfId="37260" xr:uid="{4F482FE3-DE6A-484D-A7A9-507B6CE74A40}"/>
    <cellStyle name="Normal 8 9 8 4" xfId="37261" xr:uid="{558358A7-3A5C-4DF8-B5E2-8CD156E0719A}"/>
    <cellStyle name="Normal 8 9 8 5" xfId="37262" xr:uid="{96C5BB31-2E85-486A-9E00-7210D552CA64}"/>
    <cellStyle name="Normal 8 9 8 6" xfId="37263" xr:uid="{E26C539F-DB0B-48B2-9D6F-55740187C17C}"/>
    <cellStyle name="Normal 8 9 9" xfId="37264" xr:uid="{06372278-C3B1-40CB-8DB4-16A31B2F5409}"/>
    <cellStyle name="Normal 8_Resumo Final - Cemig" xfId="1102" xr:uid="{E6A3BD15-FF5D-4221-B899-D0317F0AC5A3}"/>
    <cellStyle name="Normal 80" xfId="37265" xr:uid="{2383E9B5-230E-4DBD-B812-4542E2E636D9}"/>
    <cellStyle name="Normal 81" xfId="37266" xr:uid="{5F2D9B1F-8CB8-4B84-9C38-8F960AE16A9C}"/>
    <cellStyle name="Normal 82" xfId="37267" xr:uid="{DBEDD1E8-B967-41C3-B57C-CD39E81DDB86}"/>
    <cellStyle name="Normal 83" xfId="37268" xr:uid="{AC2D8F24-5D16-4A3F-A202-3EAA804B2F5D}"/>
    <cellStyle name="Normal 84" xfId="37269" xr:uid="{1418D035-016F-4358-941D-D35C2A4F8759}"/>
    <cellStyle name="Normal 85" xfId="37270" xr:uid="{376E10B4-D10C-4B97-97B7-71A4B526CD06}"/>
    <cellStyle name="Normal 86" xfId="37271" xr:uid="{26458D2F-03E7-44FE-84BB-0E2A501ECE97}"/>
    <cellStyle name="Normal 87" xfId="37272" xr:uid="{94FCD529-4E24-43B6-9C27-C68A9890B1A7}"/>
    <cellStyle name="Normal 88" xfId="37273" xr:uid="{07E7A1C1-7B8A-421A-8253-7BF13D5DBDDF}"/>
    <cellStyle name="Normal 89" xfId="37274" xr:uid="{58CA4D85-0543-40AE-BA5D-8FBDABB7EAE6}"/>
    <cellStyle name="Normal 9" xfId="859" xr:uid="{7438A9AA-BA6C-4E6D-A74C-09AF53111463}"/>
    <cellStyle name="Normal 9 10" xfId="37275" xr:uid="{13CDF853-B85A-41BF-AC2F-D5C6647D4AA1}"/>
    <cellStyle name="Normal 9 10 10" xfId="37276" xr:uid="{E8E132CE-1F16-49B9-AF7B-B607FDA1FBD2}"/>
    <cellStyle name="Normal 9 10 11" xfId="37277" xr:uid="{3FEA7580-44AB-4815-87A2-D1E6AAF79D18}"/>
    <cellStyle name="Normal 9 10 12" xfId="37278" xr:uid="{3FB71BA9-7ABE-4BF4-B2F5-CC9BB20DB620}"/>
    <cellStyle name="Normal 9 10 13" xfId="37279" xr:uid="{F8913724-45B3-4600-9BF0-B7137B0CD443}"/>
    <cellStyle name="Normal 9 10 2" xfId="37280" xr:uid="{F70D8C29-CFE9-41DE-9A36-158737F22869}"/>
    <cellStyle name="Normal 9 10 2 2" xfId="37281" xr:uid="{B5B4B584-0ECA-4234-AA58-8EBCDB6E5699}"/>
    <cellStyle name="Normal 9 10 2 3" xfId="37282" xr:uid="{51CE543C-FD71-4900-8F7D-CB93CFC6284C}"/>
    <cellStyle name="Normal 9 10 2 4" xfId="37283" xr:uid="{5A4B7AA8-D019-4D75-8DE7-1118F507AADB}"/>
    <cellStyle name="Normal 9 10 2 5" xfId="37284" xr:uid="{095FE69F-FA45-4E5A-91F9-7B03CFB4420D}"/>
    <cellStyle name="Normal 9 10 2 6" xfId="37285" xr:uid="{12D34DEF-516A-45E9-8707-A812644ED433}"/>
    <cellStyle name="Normal 9 10 3" xfId="37286" xr:uid="{3F4B9AAA-19E6-49D1-86CF-A7E22188D5D1}"/>
    <cellStyle name="Normal 9 10 3 2" xfId="37287" xr:uid="{DB81830B-AC76-4BEB-92EE-4EE84395E663}"/>
    <cellStyle name="Normal 9 10 3 3" xfId="37288" xr:uid="{9F8C459E-05A7-4EF1-8EC7-59D775359C80}"/>
    <cellStyle name="Normal 9 10 3 4" xfId="37289" xr:uid="{C036D97B-A1F3-43D3-9A15-A006D1921563}"/>
    <cellStyle name="Normal 9 10 3 5" xfId="37290" xr:uid="{19A7EF3A-3D51-4E41-BB6A-242E8E4FD127}"/>
    <cellStyle name="Normal 9 10 3 6" xfId="37291" xr:uid="{0C73CD48-216E-4A66-ADC9-DC3A156C25E1}"/>
    <cellStyle name="Normal 9 10 4" xfId="37292" xr:uid="{40F7ECD5-44E3-4180-87B7-1ED062256D01}"/>
    <cellStyle name="Normal 9 10 4 2" xfId="37293" xr:uid="{2514AAC3-EF81-469E-A60B-4AF84F3548AF}"/>
    <cellStyle name="Normal 9 10 4 3" xfId="37294" xr:uid="{48E03ABC-88CE-459A-A074-991803924993}"/>
    <cellStyle name="Normal 9 10 4 4" xfId="37295" xr:uid="{84F3371A-07BD-42BE-ACB3-DFED2FF74674}"/>
    <cellStyle name="Normal 9 10 4 5" xfId="37296" xr:uid="{9720C15C-0C72-444E-A7DE-F529548D949C}"/>
    <cellStyle name="Normal 9 10 4 6" xfId="37297" xr:uid="{078B5A82-F1D4-4119-B684-CD21809115C7}"/>
    <cellStyle name="Normal 9 10 5" xfId="37298" xr:uid="{67E41ABB-F516-4817-AC1D-09DB4B491ACC}"/>
    <cellStyle name="Normal 9 10 5 2" xfId="37299" xr:uid="{544AD36B-A0FA-4BB5-8E55-6696688A801A}"/>
    <cellStyle name="Normal 9 10 5 3" xfId="37300" xr:uid="{D8CBA68B-0FC4-44E1-A120-865E60BB6B35}"/>
    <cellStyle name="Normal 9 10 5 4" xfId="37301" xr:uid="{003C1639-75DA-4FB5-B256-9D32ECF09233}"/>
    <cellStyle name="Normal 9 10 5 5" xfId="37302" xr:uid="{D428A07C-EF56-4557-913B-6F7EEB1FD3C5}"/>
    <cellStyle name="Normal 9 10 5 6" xfId="37303" xr:uid="{2085C86C-47F9-4B13-A598-93A1A118EA33}"/>
    <cellStyle name="Normal 9 10 6" xfId="37304" xr:uid="{F6D3BBE5-5DAE-4723-994B-A7EEA86358F0}"/>
    <cellStyle name="Normal 9 10 6 2" xfId="37305" xr:uid="{C5E765C0-7588-459E-AED3-9C5273F01DED}"/>
    <cellStyle name="Normal 9 10 6 3" xfId="37306" xr:uid="{950894E6-1C69-4E08-B0CC-9657D2221381}"/>
    <cellStyle name="Normal 9 10 6 4" xfId="37307" xr:uid="{C2893A38-F130-4F20-A1C3-D5D0C8958CB8}"/>
    <cellStyle name="Normal 9 10 6 5" xfId="37308" xr:uid="{E1FE50DD-6ACC-4CBD-BD0A-374792174BD1}"/>
    <cellStyle name="Normal 9 10 6 6" xfId="37309" xr:uid="{12D0DCBB-5877-46ED-8777-A7E9989CA3B0}"/>
    <cellStyle name="Normal 9 10 7" xfId="37310" xr:uid="{C63351CE-21EB-4BE3-8C5F-C25B2C54E159}"/>
    <cellStyle name="Normal 9 10 7 2" xfId="37311" xr:uid="{F7E47CB8-74EC-4C08-9B6F-0244E74CA6AA}"/>
    <cellStyle name="Normal 9 10 7 3" xfId="37312" xr:uid="{465B74F2-340E-43A7-856D-147B9A120FD3}"/>
    <cellStyle name="Normal 9 10 7 4" xfId="37313" xr:uid="{C95006EC-654F-4955-8D9F-3B447ABCE440}"/>
    <cellStyle name="Normal 9 10 7 5" xfId="37314" xr:uid="{FD524932-D334-4945-BADA-127476D12D13}"/>
    <cellStyle name="Normal 9 10 7 6" xfId="37315" xr:uid="{337CD34C-E395-440B-A546-A7029057A583}"/>
    <cellStyle name="Normal 9 10 8" xfId="37316" xr:uid="{9A3297B1-99C7-4E6A-AFE7-2266C65E0524}"/>
    <cellStyle name="Normal 9 10 8 2" xfId="37317" xr:uid="{15DF9A47-531E-4C94-9A81-89E4174FDCDF}"/>
    <cellStyle name="Normal 9 10 8 3" xfId="37318" xr:uid="{8BF1C8C5-F7F1-4DAE-AE48-790F6F89EFD5}"/>
    <cellStyle name="Normal 9 10 8 4" xfId="37319" xr:uid="{A4C98A8A-7AC6-4E0F-8A20-AD19632ECDE6}"/>
    <cellStyle name="Normal 9 10 8 5" xfId="37320" xr:uid="{12783777-5A7C-44FB-8D94-DE8726FD66F1}"/>
    <cellStyle name="Normal 9 10 8 6" xfId="37321" xr:uid="{1F3E86FF-2C1B-42C9-8E25-01E5A84DD648}"/>
    <cellStyle name="Normal 9 10 9" xfId="37322" xr:uid="{4E89B7F9-3457-4440-AF5F-6BEA85841B82}"/>
    <cellStyle name="Normal 9 11" xfId="37323" xr:uid="{944FA748-3D77-416F-A31B-B152564463DC}"/>
    <cellStyle name="Normal 9 11 10" xfId="37324" xr:uid="{21013DD2-1D18-45D7-ABED-1D5C4BFC80D5}"/>
    <cellStyle name="Normal 9 11 11" xfId="37325" xr:uid="{17A21B88-D2F7-4313-8C9F-839AEAA38C0B}"/>
    <cellStyle name="Normal 9 11 12" xfId="37326" xr:uid="{FEDF3F91-1555-46E4-AE5E-F7A67C5C586E}"/>
    <cellStyle name="Normal 9 11 13" xfId="37327" xr:uid="{1953A13F-036B-4719-9AFA-8A7E6E1CEC0E}"/>
    <cellStyle name="Normal 9 11 2" xfId="37328" xr:uid="{DC7113C3-7A4B-4A77-8714-DE4ACD5413FC}"/>
    <cellStyle name="Normal 9 11 2 2" xfId="37329" xr:uid="{DA25047F-0F80-40BE-BEC6-9D1EF0C18B5C}"/>
    <cellStyle name="Normal 9 11 2 3" xfId="37330" xr:uid="{9A0BFB40-D273-4E0C-B06C-46D128ABFF18}"/>
    <cellStyle name="Normal 9 11 2 4" xfId="37331" xr:uid="{FBBBAB01-98A9-4813-9DF0-F3183A2BB014}"/>
    <cellStyle name="Normal 9 11 2 5" xfId="37332" xr:uid="{CB0E50B5-0BFE-47E3-974E-B36CE9284DA9}"/>
    <cellStyle name="Normal 9 11 2 6" xfId="37333" xr:uid="{39D2EF4D-C88F-4B47-8325-D184CEEF819D}"/>
    <cellStyle name="Normal 9 11 3" xfId="37334" xr:uid="{3124C098-7D25-476D-B4E5-4BD7B6884740}"/>
    <cellStyle name="Normal 9 11 3 2" xfId="37335" xr:uid="{E9858DC5-3F20-4EC2-90C1-E3B4775CF01E}"/>
    <cellStyle name="Normal 9 11 3 3" xfId="37336" xr:uid="{3C4BF348-AE83-418D-83A1-A3FB0E69F0AF}"/>
    <cellStyle name="Normal 9 11 3 4" xfId="37337" xr:uid="{6D6A8790-0339-474D-9B33-F37FD8FB5A3B}"/>
    <cellStyle name="Normal 9 11 3 5" xfId="37338" xr:uid="{C20EE766-7B42-4216-8AAD-E4E016F011D7}"/>
    <cellStyle name="Normal 9 11 3 6" xfId="37339" xr:uid="{A86BDAEB-8798-4650-9F81-871BB02C6A85}"/>
    <cellStyle name="Normal 9 11 4" xfId="37340" xr:uid="{70F76E55-8345-41EC-AC72-0C3B476C7328}"/>
    <cellStyle name="Normal 9 11 4 2" xfId="37341" xr:uid="{8AF9FE56-2B30-4F20-85A2-F3FFB49730F6}"/>
    <cellStyle name="Normal 9 11 4 3" xfId="37342" xr:uid="{0427D647-1C54-4FC2-A4F7-4F76B93B4D59}"/>
    <cellStyle name="Normal 9 11 4 4" xfId="37343" xr:uid="{BF675FDE-3DAA-4CBF-9037-E1746F3B16D8}"/>
    <cellStyle name="Normal 9 11 4 5" xfId="37344" xr:uid="{0A030D46-614A-4B67-B146-1B2636944486}"/>
    <cellStyle name="Normal 9 11 4 6" xfId="37345" xr:uid="{49F4E7A0-E177-4CD9-8EDC-DEC16312C597}"/>
    <cellStyle name="Normal 9 11 5" xfId="37346" xr:uid="{036CD17B-BC56-4D36-A235-C84FF7457126}"/>
    <cellStyle name="Normal 9 11 5 2" xfId="37347" xr:uid="{533D17D2-656A-4BDF-BD71-B4D0AE5F4ECD}"/>
    <cellStyle name="Normal 9 11 5 3" xfId="37348" xr:uid="{658DED0F-D087-43DB-B469-D9FB75A0F7D3}"/>
    <cellStyle name="Normal 9 11 5 4" xfId="37349" xr:uid="{CA5963C9-B432-4439-BB82-B01BF7632055}"/>
    <cellStyle name="Normal 9 11 5 5" xfId="37350" xr:uid="{2266762D-7370-409D-8AF0-764232117F2D}"/>
    <cellStyle name="Normal 9 11 5 6" xfId="37351" xr:uid="{1D7CA737-524C-4663-94B4-AB38A7FDDACC}"/>
    <cellStyle name="Normal 9 11 6" xfId="37352" xr:uid="{6BF82D3D-7DE9-4F4C-905D-3A46077A3530}"/>
    <cellStyle name="Normal 9 11 6 2" xfId="37353" xr:uid="{F74007F6-4EBC-42F2-8573-7AEBEF3C3732}"/>
    <cellStyle name="Normal 9 11 6 3" xfId="37354" xr:uid="{D8C090F8-64EC-45B5-8CA0-0D3B414E4C2F}"/>
    <cellStyle name="Normal 9 11 6 4" xfId="37355" xr:uid="{9828A102-1642-4B39-9F42-9AD39DA8C581}"/>
    <cellStyle name="Normal 9 11 6 5" xfId="37356" xr:uid="{215A1AF6-1BC8-4658-97C6-78B16B9A5A1B}"/>
    <cellStyle name="Normal 9 11 6 6" xfId="37357" xr:uid="{9EA8BE53-0499-433E-8D75-0087EFDC2BE8}"/>
    <cellStyle name="Normal 9 11 7" xfId="37358" xr:uid="{0C3099A7-15D2-4B72-BB5F-07A5571BAE87}"/>
    <cellStyle name="Normal 9 11 7 2" xfId="37359" xr:uid="{2B9AAE35-3EA1-41C5-968B-54F81A490B2C}"/>
    <cellStyle name="Normal 9 11 7 3" xfId="37360" xr:uid="{E43CD41D-0910-4FCF-B469-6CC43559A433}"/>
    <cellStyle name="Normal 9 11 7 4" xfId="37361" xr:uid="{4E1F70A5-E423-4346-BA4F-B966FFC859A1}"/>
    <cellStyle name="Normal 9 11 7 5" xfId="37362" xr:uid="{1C34486E-45B0-42B5-9E68-DF4A427DD637}"/>
    <cellStyle name="Normal 9 11 7 6" xfId="37363" xr:uid="{C5B77FF8-8D00-4847-8A0D-1708D42AD68E}"/>
    <cellStyle name="Normal 9 11 8" xfId="37364" xr:uid="{79093A91-909C-45B1-876A-C20F877447C7}"/>
    <cellStyle name="Normal 9 11 8 2" xfId="37365" xr:uid="{DAE97E85-FFC1-41EC-B12A-1BF45A85C1C6}"/>
    <cellStyle name="Normal 9 11 8 3" xfId="37366" xr:uid="{31914F73-B362-42BD-AA0B-A809918A4E07}"/>
    <cellStyle name="Normal 9 11 8 4" xfId="37367" xr:uid="{F86ED7D2-BC9C-441D-9D63-35C28012467B}"/>
    <cellStyle name="Normal 9 11 8 5" xfId="37368" xr:uid="{5D92D5EC-E39A-4653-BD63-AE142F4DD0BB}"/>
    <cellStyle name="Normal 9 11 8 6" xfId="37369" xr:uid="{6AA0CB7F-B4F8-452D-9D18-938C6CCDBC91}"/>
    <cellStyle name="Normal 9 11 9" xfId="37370" xr:uid="{8907B245-96DB-43E9-AEE1-F32F22AF3C1D}"/>
    <cellStyle name="Normal 9 12" xfId="37371" xr:uid="{A27AF00F-2019-4207-9F18-A1F52FBD7F64}"/>
    <cellStyle name="Normal 9 12 10" xfId="37372" xr:uid="{A2C96ABA-8C20-4D4A-B1A1-C5A67DA92086}"/>
    <cellStyle name="Normal 9 12 11" xfId="37373" xr:uid="{2B3F6CBB-6EFA-4417-8CC0-B9D8EFFDE258}"/>
    <cellStyle name="Normal 9 12 12" xfId="37374" xr:uid="{E3935324-85DC-4610-97DF-1CE673E5ADED}"/>
    <cellStyle name="Normal 9 12 13" xfId="37375" xr:uid="{D88CC3CB-8797-4E8B-AECC-95375EA0B785}"/>
    <cellStyle name="Normal 9 12 2" xfId="37376" xr:uid="{6D1333D9-20D1-4E7C-AFD7-AEA90692CEEB}"/>
    <cellStyle name="Normal 9 12 2 2" xfId="37377" xr:uid="{6CDCC3BA-9F1B-4812-9082-ECA2C632A359}"/>
    <cellStyle name="Normal 9 12 2 3" xfId="37378" xr:uid="{8F1F4291-F114-4F21-8997-63CA28D0AF62}"/>
    <cellStyle name="Normal 9 12 2 4" xfId="37379" xr:uid="{209D4A19-3572-4D47-B00B-62937FE72FC7}"/>
    <cellStyle name="Normal 9 12 2 5" xfId="37380" xr:uid="{5F7B9B07-BD12-4160-BE42-52A845EC4EB6}"/>
    <cellStyle name="Normal 9 12 2 6" xfId="37381" xr:uid="{C71085B0-5A17-4A43-96F4-0B4826C58BC0}"/>
    <cellStyle name="Normal 9 12 3" xfId="37382" xr:uid="{B294EE4E-240D-4395-BF4D-233AB8959AC5}"/>
    <cellStyle name="Normal 9 12 3 2" xfId="37383" xr:uid="{9B751477-208C-41AF-A01F-DF23E802EF43}"/>
    <cellStyle name="Normal 9 12 3 3" xfId="37384" xr:uid="{AE05354F-C380-4720-B667-B065EC0F8386}"/>
    <cellStyle name="Normal 9 12 3 4" xfId="37385" xr:uid="{D82275EC-58B2-44E0-94BA-C81276FA5A42}"/>
    <cellStyle name="Normal 9 12 3 5" xfId="37386" xr:uid="{8E351863-2AC1-4314-BEA9-A3E872A7A85C}"/>
    <cellStyle name="Normal 9 12 3 6" xfId="37387" xr:uid="{A3378C92-4A9D-4FA2-8E0B-4BD2569B3DDE}"/>
    <cellStyle name="Normal 9 12 4" xfId="37388" xr:uid="{7129301C-4953-4455-9C40-512B59BD270B}"/>
    <cellStyle name="Normal 9 12 4 2" xfId="37389" xr:uid="{D6DF3558-60AE-490A-8869-CF1FF02A601E}"/>
    <cellStyle name="Normal 9 12 4 3" xfId="37390" xr:uid="{DEC548E8-3523-4887-9E0D-EB6B3579A34B}"/>
    <cellStyle name="Normal 9 12 4 4" xfId="37391" xr:uid="{52D62C65-D5A9-493F-82AD-F9EBFE2D0BB7}"/>
    <cellStyle name="Normal 9 12 4 5" xfId="37392" xr:uid="{2A73C7CF-9F45-44C4-9DFE-1F4B0041DE3F}"/>
    <cellStyle name="Normal 9 12 4 6" xfId="37393" xr:uid="{AC697417-8D74-4FCD-BBB1-92CF13610FC7}"/>
    <cellStyle name="Normal 9 12 5" xfId="37394" xr:uid="{E5D5CFA6-5267-42C6-B1F7-3CD5DCD40249}"/>
    <cellStyle name="Normal 9 12 5 2" xfId="37395" xr:uid="{C0203706-4CE2-4FE5-9B03-2C4D60CBCAF6}"/>
    <cellStyle name="Normal 9 12 5 3" xfId="37396" xr:uid="{83EC819E-252D-453C-9493-AD28EF0675C7}"/>
    <cellStyle name="Normal 9 12 5 4" xfId="37397" xr:uid="{9AC5B7AF-D52F-4A34-BF77-3751F30C97BF}"/>
    <cellStyle name="Normal 9 12 5 5" xfId="37398" xr:uid="{1DA8ACAA-DD98-4522-B5A1-7EECD6C6B606}"/>
    <cellStyle name="Normal 9 12 5 6" xfId="37399" xr:uid="{A76929D8-F722-41D4-A2BB-CB27B702643F}"/>
    <cellStyle name="Normal 9 12 6" xfId="37400" xr:uid="{7B0C1FBF-E95D-4421-910F-8E68A915CDAE}"/>
    <cellStyle name="Normal 9 12 6 2" xfId="37401" xr:uid="{8FC0834D-94E9-460A-8FE5-5CC61017522E}"/>
    <cellStyle name="Normal 9 12 6 3" xfId="37402" xr:uid="{794F1806-6E05-4D67-A914-B2C14BD23F72}"/>
    <cellStyle name="Normal 9 12 6 4" xfId="37403" xr:uid="{2C72F017-8AD9-4C09-9389-D22AF252D85F}"/>
    <cellStyle name="Normal 9 12 6 5" xfId="37404" xr:uid="{C73DDE56-9FC0-4CA7-AEE5-844CA68C1B7A}"/>
    <cellStyle name="Normal 9 12 6 6" xfId="37405" xr:uid="{01329370-0CFC-4470-9C1D-49B78C568DCE}"/>
    <cellStyle name="Normal 9 12 7" xfId="37406" xr:uid="{712FA3CD-40B4-4393-B72F-1EBDA8C7DF8E}"/>
    <cellStyle name="Normal 9 12 7 2" xfId="37407" xr:uid="{45301BD3-D2F5-4671-B32D-D45EF1DF29EB}"/>
    <cellStyle name="Normal 9 12 7 3" xfId="37408" xr:uid="{01CE77E3-235B-46CF-B9B5-B5C43B1EE248}"/>
    <cellStyle name="Normal 9 12 7 4" xfId="37409" xr:uid="{DA76E953-C20B-40B8-874D-CDEC454EA0D0}"/>
    <cellStyle name="Normal 9 12 7 5" xfId="37410" xr:uid="{9E9CEA32-3E1E-4907-8C1B-3DF76A4CF0AE}"/>
    <cellStyle name="Normal 9 12 7 6" xfId="37411" xr:uid="{BB3BA9CD-8D1B-4946-8B6C-627C1EE974E6}"/>
    <cellStyle name="Normal 9 12 8" xfId="37412" xr:uid="{B99F7035-4637-4DC0-A135-B2769FBDC468}"/>
    <cellStyle name="Normal 9 12 8 2" xfId="37413" xr:uid="{3F4526E6-213F-420E-A709-AD55449F5E61}"/>
    <cellStyle name="Normal 9 12 8 3" xfId="37414" xr:uid="{70E53D4D-B4F2-4CBC-9EC3-EEE23E8DCB03}"/>
    <cellStyle name="Normal 9 12 8 4" xfId="37415" xr:uid="{3A3BED1C-4F82-49AA-B141-9FB37F33CC1F}"/>
    <cellStyle name="Normal 9 12 8 5" xfId="37416" xr:uid="{DA8CE819-328D-4DB9-B1B8-4909BDBA298E}"/>
    <cellStyle name="Normal 9 12 8 6" xfId="37417" xr:uid="{FE4FA3EB-4DC4-478C-A6A8-01E0BBCBA665}"/>
    <cellStyle name="Normal 9 12 9" xfId="37418" xr:uid="{3EDCF9CA-7166-40A7-9DDD-B85B3FBC1480}"/>
    <cellStyle name="Normal 9 13" xfId="37419" xr:uid="{96D73E89-3A5D-4D23-98CF-611FD66CDB50}"/>
    <cellStyle name="Normal 9 13 10" xfId="37420" xr:uid="{CE1C0B83-2660-4547-9081-A2B452DF84ED}"/>
    <cellStyle name="Normal 9 13 11" xfId="37421" xr:uid="{40B4453E-FDBF-4F96-AFEA-A197D27B19AE}"/>
    <cellStyle name="Normal 9 13 12" xfId="37422" xr:uid="{44F6E18A-53AC-4AC3-9E6A-5F26F6E1EEC7}"/>
    <cellStyle name="Normal 9 13 13" xfId="37423" xr:uid="{FDB79776-78C0-44A5-92D6-809FED2AB749}"/>
    <cellStyle name="Normal 9 13 2" xfId="37424" xr:uid="{E9AF3CBD-99F6-4E69-9080-F28C26B8DC87}"/>
    <cellStyle name="Normal 9 13 2 2" xfId="37425" xr:uid="{D5A234BB-0817-4970-97EF-12A13DCBE80E}"/>
    <cellStyle name="Normal 9 13 2 3" xfId="37426" xr:uid="{8F658ED5-2736-469C-923D-2DE936FA0A06}"/>
    <cellStyle name="Normal 9 13 2 4" xfId="37427" xr:uid="{84E573DA-AC81-4561-9B18-A1BDA11B7AF7}"/>
    <cellStyle name="Normal 9 13 2 5" xfId="37428" xr:uid="{C0CA0D44-DDA3-4D1F-8B6A-445E98CD94F7}"/>
    <cellStyle name="Normal 9 13 2 6" xfId="37429" xr:uid="{A4D51E0B-835B-4FD9-B825-F483D9F805B3}"/>
    <cellStyle name="Normal 9 13 3" xfId="37430" xr:uid="{2DC83D95-CF32-403D-B2EA-85D8FFA36BE4}"/>
    <cellStyle name="Normal 9 13 3 2" xfId="37431" xr:uid="{DDE96787-7BBF-42BD-9F4D-FE47228FF2D9}"/>
    <cellStyle name="Normal 9 13 3 3" xfId="37432" xr:uid="{55A2439F-51C3-4E7E-A24A-529F64E614DF}"/>
    <cellStyle name="Normal 9 13 3 4" xfId="37433" xr:uid="{F940E92C-C0A2-4D18-92CA-6D068B79603B}"/>
    <cellStyle name="Normal 9 13 3 5" xfId="37434" xr:uid="{E39AC0F7-C738-4E79-821B-8F0E51C2D55F}"/>
    <cellStyle name="Normal 9 13 3 6" xfId="37435" xr:uid="{4A8B0CE6-3799-4584-A598-5CC7134B1885}"/>
    <cellStyle name="Normal 9 13 4" xfId="37436" xr:uid="{90708E18-1FCE-4E26-A846-59E047E80F5D}"/>
    <cellStyle name="Normal 9 13 4 2" xfId="37437" xr:uid="{84D45962-FBFE-4C23-8A69-4A97CD82DABD}"/>
    <cellStyle name="Normal 9 13 4 3" xfId="37438" xr:uid="{26E5FA79-0C3D-4792-9307-8D506EA33352}"/>
    <cellStyle name="Normal 9 13 4 4" xfId="37439" xr:uid="{BE1B9506-FD04-4803-A341-82E762AB8983}"/>
    <cellStyle name="Normal 9 13 4 5" xfId="37440" xr:uid="{6371FAF4-B23E-45DF-8F63-06967B0B5148}"/>
    <cellStyle name="Normal 9 13 4 6" xfId="37441" xr:uid="{0EA826CE-6221-4927-B208-66935AAE9F9F}"/>
    <cellStyle name="Normal 9 13 5" xfId="37442" xr:uid="{A6C2B0E0-68A8-4ECC-B3E7-A6D6C16BC34C}"/>
    <cellStyle name="Normal 9 13 5 2" xfId="37443" xr:uid="{ECA2C504-B538-4120-B766-EE1B4E1F0EC1}"/>
    <cellStyle name="Normal 9 13 5 3" xfId="37444" xr:uid="{5D8874A2-1031-419C-814C-ED1588DBA44F}"/>
    <cellStyle name="Normal 9 13 5 4" xfId="37445" xr:uid="{D34CBA1A-6232-4331-B879-94F571C2D276}"/>
    <cellStyle name="Normal 9 13 5 5" xfId="37446" xr:uid="{AA62798B-5393-4D79-A5AB-4B49188EC736}"/>
    <cellStyle name="Normal 9 13 5 6" xfId="37447" xr:uid="{9BF1DD66-F950-4403-A0A6-1E5DDA2285CA}"/>
    <cellStyle name="Normal 9 13 6" xfId="37448" xr:uid="{05F90E06-A838-473A-AB93-D3B469DF97E8}"/>
    <cellStyle name="Normal 9 13 6 2" xfId="37449" xr:uid="{938987AE-19BD-4C13-BA49-10AD2C10D807}"/>
    <cellStyle name="Normal 9 13 6 3" xfId="37450" xr:uid="{20A56DFE-08DD-4720-BF16-4C038522953B}"/>
    <cellStyle name="Normal 9 13 6 4" xfId="37451" xr:uid="{6960DC54-076A-47C8-AF1E-0F5761546EAA}"/>
    <cellStyle name="Normal 9 13 6 5" xfId="37452" xr:uid="{EE157D36-57E3-4B01-98FE-56D4A742727D}"/>
    <cellStyle name="Normal 9 13 6 6" xfId="37453" xr:uid="{D6EA684A-44AB-4CAA-8C14-0047D4574874}"/>
    <cellStyle name="Normal 9 13 7" xfId="37454" xr:uid="{9002B153-C71B-438E-A7D7-F083EEF705D6}"/>
    <cellStyle name="Normal 9 13 7 2" xfId="37455" xr:uid="{0B3BC848-2662-473B-8423-DB84FF45EE8C}"/>
    <cellStyle name="Normal 9 13 7 3" xfId="37456" xr:uid="{C511D41E-8032-4CEC-9BAE-724EBB92E360}"/>
    <cellStyle name="Normal 9 13 7 4" xfId="37457" xr:uid="{4D1CE797-C136-45BE-B873-011BB9DAAAC8}"/>
    <cellStyle name="Normal 9 13 7 5" xfId="37458" xr:uid="{0541428D-A05A-4CA9-8961-F9E595E71B34}"/>
    <cellStyle name="Normal 9 13 7 6" xfId="37459" xr:uid="{29009243-6308-4DCB-8B10-3EBE769ADE56}"/>
    <cellStyle name="Normal 9 13 8" xfId="37460" xr:uid="{FD147C1F-4A16-4065-91AC-FD904FEB836A}"/>
    <cellStyle name="Normal 9 13 8 2" xfId="37461" xr:uid="{9DBED25A-DB76-4BC5-A13C-F68455DA6AA7}"/>
    <cellStyle name="Normal 9 13 8 3" xfId="37462" xr:uid="{E937E777-9136-4B4B-B2F2-155410E4C3DB}"/>
    <cellStyle name="Normal 9 13 8 4" xfId="37463" xr:uid="{FDA12719-3757-441F-A76D-09ED214D1C6F}"/>
    <cellStyle name="Normal 9 13 8 5" xfId="37464" xr:uid="{6B98F2BE-9916-4309-AEC7-ED64DD7C402D}"/>
    <cellStyle name="Normal 9 13 8 6" xfId="37465" xr:uid="{E142E114-D494-4007-8877-144CD182F117}"/>
    <cellStyle name="Normal 9 13 9" xfId="37466" xr:uid="{BA1EF1FD-2CC9-4DEC-81FF-0872B6160C68}"/>
    <cellStyle name="Normal 9 14" xfId="37467" xr:uid="{203B1AD7-A767-40C7-9A6F-97E6F0AE4696}"/>
    <cellStyle name="Normal 9 14 10" xfId="37468" xr:uid="{58D874A5-6F4E-4490-837A-14ED165A1150}"/>
    <cellStyle name="Normal 9 14 11" xfId="37469" xr:uid="{61E468E2-B663-4416-ADCD-04EF21F0C9E0}"/>
    <cellStyle name="Normal 9 14 12" xfId="37470" xr:uid="{A31586BF-0F82-4D31-98E4-2AEB2115E52D}"/>
    <cellStyle name="Normal 9 14 13" xfId="37471" xr:uid="{B8E44F1E-00B4-4E09-99F6-5053002601CB}"/>
    <cellStyle name="Normal 9 14 2" xfId="37472" xr:uid="{1E89173C-1115-482A-985A-7517ED26D06A}"/>
    <cellStyle name="Normal 9 14 2 2" xfId="37473" xr:uid="{2D64BB99-95BE-461E-8BB9-8DE532D4F6F7}"/>
    <cellStyle name="Normal 9 14 2 3" xfId="37474" xr:uid="{A88CD913-0CE2-4039-A35A-48C45DFB5CB6}"/>
    <cellStyle name="Normal 9 14 2 4" xfId="37475" xr:uid="{08AE3323-2BA1-429C-ABDB-97B83A25F046}"/>
    <cellStyle name="Normal 9 14 2 5" xfId="37476" xr:uid="{7F9269AE-D757-45F3-84AE-1A1327EEFB90}"/>
    <cellStyle name="Normal 9 14 2 6" xfId="37477" xr:uid="{35FCCBA9-722D-411D-9545-9FE4C33868FE}"/>
    <cellStyle name="Normal 9 14 3" xfId="37478" xr:uid="{67C9DC6D-66F5-4291-A5FC-E02822477E0F}"/>
    <cellStyle name="Normal 9 14 3 2" xfId="37479" xr:uid="{531B28FA-9BF4-4595-9B81-F91B4D1E1E83}"/>
    <cellStyle name="Normal 9 14 3 3" xfId="37480" xr:uid="{7273A233-5826-4798-8D23-CC05BD3ADF15}"/>
    <cellStyle name="Normal 9 14 3 4" xfId="37481" xr:uid="{093BABA4-082C-48D8-8FAF-B8AB7A72BE86}"/>
    <cellStyle name="Normal 9 14 3 5" xfId="37482" xr:uid="{D95CD937-AAC7-46CC-99A2-81B032BEF5F3}"/>
    <cellStyle name="Normal 9 14 3 6" xfId="37483" xr:uid="{75E96115-71B5-4E68-800E-408A108AAA10}"/>
    <cellStyle name="Normal 9 14 4" xfId="37484" xr:uid="{D544679B-3575-49A4-B47B-4DE6353CEA79}"/>
    <cellStyle name="Normal 9 14 4 2" xfId="37485" xr:uid="{6CA67562-6FB3-468F-A422-C01ACD14353F}"/>
    <cellStyle name="Normal 9 14 4 3" xfId="37486" xr:uid="{8428D99C-63C6-40D5-A0AC-D66E501F6666}"/>
    <cellStyle name="Normal 9 14 4 4" xfId="37487" xr:uid="{67E44B7F-4D80-4FDE-ADF0-B6F0F665F624}"/>
    <cellStyle name="Normal 9 14 4 5" xfId="37488" xr:uid="{C166B62D-6BD6-488C-9891-606C7FAEE1BD}"/>
    <cellStyle name="Normal 9 14 4 6" xfId="37489" xr:uid="{1AF49079-AD39-4B81-B78C-7DFE0E7B6ECD}"/>
    <cellStyle name="Normal 9 14 5" xfId="37490" xr:uid="{71452BCD-1E2B-41AB-8B50-F5BB065CB435}"/>
    <cellStyle name="Normal 9 14 5 2" xfId="37491" xr:uid="{D6474C0B-616D-49F2-94B6-65D2F6B35524}"/>
    <cellStyle name="Normal 9 14 5 3" xfId="37492" xr:uid="{6515A36B-5B69-4F7C-9B48-3F5B45570CFB}"/>
    <cellStyle name="Normal 9 14 5 4" xfId="37493" xr:uid="{A6D2BE07-E4E5-4EED-9CED-8191183EB251}"/>
    <cellStyle name="Normal 9 14 5 5" xfId="37494" xr:uid="{06A18451-85BC-4166-BD9F-1CD7FF2981C9}"/>
    <cellStyle name="Normal 9 14 5 6" xfId="37495" xr:uid="{4DF4BA41-0B0A-486E-B2EE-32A6FE3B2DDD}"/>
    <cellStyle name="Normal 9 14 6" xfId="37496" xr:uid="{70ED401C-2351-47E2-933A-E96F7F546948}"/>
    <cellStyle name="Normal 9 14 6 2" xfId="37497" xr:uid="{3597C827-DF0C-4FF1-B141-17AA32FAEC4C}"/>
    <cellStyle name="Normal 9 14 6 3" xfId="37498" xr:uid="{809005FB-D402-4FDA-A0D4-26117C814CC6}"/>
    <cellStyle name="Normal 9 14 6 4" xfId="37499" xr:uid="{90D2F568-BF36-4DAA-BE64-9CBB3394625B}"/>
    <cellStyle name="Normal 9 14 6 5" xfId="37500" xr:uid="{9ADC485D-9723-47FD-9CC3-B974BA229F9C}"/>
    <cellStyle name="Normal 9 14 6 6" xfId="37501" xr:uid="{A04EE6B0-F8C5-4025-85B0-DEC245A2FB9E}"/>
    <cellStyle name="Normal 9 14 7" xfId="37502" xr:uid="{2E79001F-F51B-4827-9C5B-BC7563A35903}"/>
    <cellStyle name="Normal 9 14 7 2" xfId="37503" xr:uid="{B6EE24FF-5A13-4BCD-92AF-430355DB759F}"/>
    <cellStyle name="Normal 9 14 7 3" xfId="37504" xr:uid="{E73FBABD-F6D9-4CC6-A565-731CFA99B3EE}"/>
    <cellStyle name="Normal 9 14 7 4" xfId="37505" xr:uid="{7BDC973D-31E3-4988-962F-ED1FC998C56E}"/>
    <cellStyle name="Normal 9 14 7 5" xfId="37506" xr:uid="{9B695F02-0A00-4EB2-AE3A-CE04864E25DB}"/>
    <cellStyle name="Normal 9 14 7 6" xfId="37507" xr:uid="{9D921B42-8339-4AC9-8922-9ED42E5B012B}"/>
    <cellStyle name="Normal 9 14 8" xfId="37508" xr:uid="{C5B6AE97-BDD5-41C4-8A5E-B67600FA1295}"/>
    <cellStyle name="Normal 9 14 8 2" xfId="37509" xr:uid="{649DEA27-D566-4CD8-8A19-3EE2A9975446}"/>
    <cellStyle name="Normal 9 14 8 3" xfId="37510" xr:uid="{A3661692-F998-4FF3-B989-A110873FA182}"/>
    <cellStyle name="Normal 9 14 8 4" xfId="37511" xr:uid="{A0AFB7DB-3FE5-4AC0-9076-6D70FA2BC107}"/>
    <cellStyle name="Normal 9 14 8 5" xfId="37512" xr:uid="{DE472728-23EF-4C90-BAF0-9F2B6C7D16E2}"/>
    <cellStyle name="Normal 9 14 8 6" xfId="37513" xr:uid="{D41122DB-3223-40D4-B375-4236691EAB10}"/>
    <cellStyle name="Normal 9 14 9" xfId="37514" xr:uid="{68E8E017-AF57-44D2-A9C2-2A3A085BF5F5}"/>
    <cellStyle name="Normal 9 15" xfId="37515" xr:uid="{2A929920-2172-4B92-A210-EAF53BD05BF8}"/>
    <cellStyle name="Normal 9 15 10" xfId="37516" xr:uid="{5EA3303C-A288-45C1-9B62-47BB40768FDE}"/>
    <cellStyle name="Normal 9 15 11" xfId="37517" xr:uid="{512CDF6A-DB83-4D16-935D-CBFD46318561}"/>
    <cellStyle name="Normal 9 15 12" xfId="37518" xr:uid="{314EFEAE-4766-4529-85CE-4AD5DBAF4BBD}"/>
    <cellStyle name="Normal 9 15 13" xfId="37519" xr:uid="{42D8FA1E-E9FB-4777-BDC0-94DDB2FFF420}"/>
    <cellStyle name="Normal 9 15 2" xfId="37520" xr:uid="{D3403E8C-2EA3-479E-BF61-4B0FDD01DD51}"/>
    <cellStyle name="Normal 9 15 2 2" xfId="37521" xr:uid="{D650255F-CEE2-4B5E-AA56-52405F40835F}"/>
    <cellStyle name="Normal 9 15 2 3" xfId="37522" xr:uid="{88143067-36CE-4D72-9B96-5FE04B4979FE}"/>
    <cellStyle name="Normal 9 15 2 4" xfId="37523" xr:uid="{B7B6F126-15AC-4A01-BCEA-EAEB15B469BD}"/>
    <cellStyle name="Normal 9 15 2 5" xfId="37524" xr:uid="{87EBFDE9-51FF-4488-9885-927070B57478}"/>
    <cellStyle name="Normal 9 15 2 6" xfId="37525" xr:uid="{90D92A45-DB40-4EA8-8218-75C8D92CE61C}"/>
    <cellStyle name="Normal 9 15 3" xfId="37526" xr:uid="{A85340C4-06ED-43E9-AA03-6B76FF37C474}"/>
    <cellStyle name="Normal 9 15 3 2" xfId="37527" xr:uid="{5C5C2F1A-10EE-44B8-9E1C-44D804191250}"/>
    <cellStyle name="Normal 9 15 3 3" xfId="37528" xr:uid="{E7B9E184-3FB9-419B-A244-F25625F29375}"/>
    <cellStyle name="Normal 9 15 3 4" xfId="37529" xr:uid="{7C9B8F59-690A-4DC6-A257-C2CC8C31F57E}"/>
    <cellStyle name="Normal 9 15 3 5" xfId="37530" xr:uid="{F0A2FC5A-FF6D-4FEF-B048-56C91BF81DC1}"/>
    <cellStyle name="Normal 9 15 3 6" xfId="37531" xr:uid="{9207C15E-9ECB-4D81-999D-E5927AD87EB8}"/>
    <cellStyle name="Normal 9 15 4" xfId="37532" xr:uid="{8A3C382C-B74B-40FE-91A7-EEC47DEF3B05}"/>
    <cellStyle name="Normal 9 15 4 2" xfId="37533" xr:uid="{EF1D66B4-B003-4CD6-86E7-E7D10D3A364F}"/>
    <cellStyle name="Normal 9 15 4 3" xfId="37534" xr:uid="{CC4A9132-8F67-430E-959F-191D80ECCBE8}"/>
    <cellStyle name="Normal 9 15 4 4" xfId="37535" xr:uid="{927ECBB4-0ACC-4E6C-A8F4-DDF0EC71F816}"/>
    <cellStyle name="Normal 9 15 4 5" xfId="37536" xr:uid="{27577973-E3AA-4527-8C92-6DFB539519D1}"/>
    <cellStyle name="Normal 9 15 4 6" xfId="37537" xr:uid="{58A44706-0576-4753-9DE3-471D1DB10F02}"/>
    <cellStyle name="Normal 9 15 5" xfId="37538" xr:uid="{5427B3A1-3B12-4EF0-8874-1A605B934BE6}"/>
    <cellStyle name="Normal 9 15 5 2" xfId="37539" xr:uid="{538ECF2C-44B8-42C8-ADC3-9C538FFBD5E6}"/>
    <cellStyle name="Normal 9 15 5 3" xfId="37540" xr:uid="{577D5CE3-881F-42D8-83B5-23C243CB4AF2}"/>
    <cellStyle name="Normal 9 15 5 4" xfId="37541" xr:uid="{EF01B8C6-4608-4675-9ED2-CB6F8AB713B0}"/>
    <cellStyle name="Normal 9 15 5 5" xfId="37542" xr:uid="{A4B61F5A-FF1E-44F5-B6B0-5EE7D9DCE40B}"/>
    <cellStyle name="Normal 9 15 5 6" xfId="37543" xr:uid="{0CB0A049-B77C-455D-817C-3947DC6A1A67}"/>
    <cellStyle name="Normal 9 15 6" xfId="37544" xr:uid="{60C64600-D67E-4705-B61E-97EE15CA9D9A}"/>
    <cellStyle name="Normal 9 15 6 2" xfId="37545" xr:uid="{43F13141-6792-449C-85AC-82EFA0269FAC}"/>
    <cellStyle name="Normal 9 15 6 3" xfId="37546" xr:uid="{ED2592E6-E76E-4CCC-8BDF-1B90652583CC}"/>
    <cellStyle name="Normal 9 15 6 4" xfId="37547" xr:uid="{D2A03960-48DB-4176-BF82-79D4F4C5BB26}"/>
    <cellStyle name="Normal 9 15 6 5" xfId="37548" xr:uid="{1C84C5E2-1326-4A28-A345-391214ED429B}"/>
    <cellStyle name="Normal 9 15 6 6" xfId="37549" xr:uid="{BACE9EE1-2EB3-4BF1-9543-9AFC77FF2617}"/>
    <cellStyle name="Normal 9 15 7" xfId="37550" xr:uid="{CEB4A448-9734-440F-967B-2D9312300D99}"/>
    <cellStyle name="Normal 9 15 7 2" xfId="37551" xr:uid="{A1075BA3-1409-46CE-AA20-A8D2658EF703}"/>
    <cellStyle name="Normal 9 15 7 3" xfId="37552" xr:uid="{BC43D785-F906-47C3-8A7E-CBF1CB4E13A7}"/>
    <cellStyle name="Normal 9 15 7 4" xfId="37553" xr:uid="{6EF8702A-B806-44C4-86B0-2D48E040817C}"/>
    <cellStyle name="Normal 9 15 7 5" xfId="37554" xr:uid="{FF996CC3-F2F6-4341-A27A-798199F9C170}"/>
    <cellStyle name="Normal 9 15 7 6" xfId="37555" xr:uid="{A0BCEED9-571E-48C2-9A9D-FCACBCA26042}"/>
    <cellStyle name="Normal 9 15 8" xfId="37556" xr:uid="{682D2E3C-1121-4852-B13C-23A6D3219A6D}"/>
    <cellStyle name="Normal 9 15 8 2" xfId="37557" xr:uid="{9D390032-C51D-475B-A14E-07CFBFD68AED}"/>
    <cellStyle name="Normal 9 15 8 3" xfId="37558" xr:uid="{9AFCA22C-37A9-49F8-BC4A-EFED92643AB9}"/>
    <cellStyle name="Normal 9 15 8 4" xfId="37559" xr:uid="{AD791DE3-6F71-4E2D-B8E6-395A7F6C8669}"/>
    <cellStyle name="Normal 9 15 8 5" xfId="37560" xr:uid="{A813821A-0547-449F-A854-BE1B5879C71D}"/>
    <cellStyle name="Normal 9 15 8 6" xfId="37561" xr:uid="{E6070F79-304E-467C-89CA-2ADE31FB687E}"/>
    <cellStyle name="Normal 9 15 9" xfId="37562" xr:uid="{B1F6B1C1-9428-4BBF-8126-D4C3F053DD95}"/>
    <cellStyle name="Normal 9 16" xfId="37563" xr:uid="{AEC83ADD-FA06-4E36-A2BD-E6877A9DFB3E}"/>
    <cellStyle name="Normal 9 16 10" xfId="37564" xr:uid="{8DC033BB-834B-42DF-B142-022E23356E94}"/>
    <cellStyle name="Normal 9 16 11" xfId="37565" xr:uid="{8C25D4AF-6A1D-4273-BBF8-F5DB0A5593B1}"/>
    <cellStyle name="Normal 9 16 12" xfId="37566" xr:uid="{F11BAB61-D861-4FD8-AE14-36A94A95E020}"/>
    <cellStyle name="Normal 9 16 13" xfId="37567" xr:uid="{A2949C95-F36E-4F1B-9942-191B4EDD8100}"/>
    <cellStyle name="Normal 9 16 2" xfId="37568" xr:uid="{7A1ABD01-47E7-4C48-91F5-84F2179C4363}"/>
    <cellStyle name="Normal 9 16 2 2" xfId="37569" xr:uid="{C69087B6-D29F-4A70-834E-7CF4E4253CDF}"/>
    <cellStyle name="Normal 9 16 2 3" xfId="37570" xr:uid="{10057CFE-7D4B-4EDE-A05A-1990F4670DE4}"/>
    <cellStyle name="Normal 9 16 2 4" xfId="37571" xr:uid="{3A84A805-8274-4B4D-B9A5-10FA2E10FA03}"/>
    <cellStyle name="Normal 9 16 2 5" xfId="37572" xr:uid="{008A37A7-DBEE-437C-9B5A-73D8C464A9F6}"/>
    <cellStyle name="Normal 9 16 2 6" xfId="37573" xr:uid="{F632E7FE-3162-4660-AA1A-D8AFB0A09C14}"/>
    <cellStyle name="Normal 9 16 3" xfId="37574" xr:uid="{9B32EA5E-4332-4A64-AFFA-9B9401721ACF}"/>
    <cellStyle name="Normal 9 16 3 2" xfId="37575" xr:uid="{6518AF89-DC20-4B73-BC19-05FF6711E16C}"/>
    <cellStyle name="Normal 9 16 3 3" xfId="37576" xr:uid="{339654F0-04EF-4178-8878-2FF725DE5A59}"/>
    <cellStyle name="Normal 9 16 3 4" xfId="37577" xr:uid="{09B46A3F-AAF2-42C4-8378-9B66014DD041}"/>
    <cellStyle name="Normal 9 16 3 5" xfId="37578" xr:uid="{A9C89347-2F68-4D7C-9968-642075106045}"/>
    <cellStyle name="Normal 9 16 3 6" xfId="37579" xr:uid="{5EFC0AEE-C1CA-4936-AF1D-D7903D749800}"/>
    <cellStyle name="Normal 9 16 4" xfId="37580" xr:uid="{F70C1538-52A7-4A8D-8A18-DB186B19E56E}"/>
    <cellStyle name="Normal 9 16 4 2" xfId="37581" xr:uid="{B6C62771-3D40-45FE-BE54-6B2312A2F74F}"/>
    <cellStyle name="Normal 9 16 4 3" xfId="37582" xr:uid="{803A13DB-0415-4C95-B21B-5444E51C3B20}"/>
    <cellStyle name="Normal 9 16 4 4" xfId="37583" xr:uid="{DB7C2828-1852-4CC8-AA49-FEC83C822F9E}"/>
    <cellStyle name="Normal 9 16 4 5" xfId="37584" xr:uid="{8F42761C-8945-4FBE-969C-CA59683B3190}"/>
    <cellStyle name="Normal 9 16 4 6" xfId="37585" xr:uid="{CFC71FD7-8EAA-4296-9707-6B4C0E462124}"/>
    <cellStyle name="Normal 9 16 5" xfId="37586" xr:uid="{19F08F31-C86B-4AF6-9E89-B7027C9F2A15}"/>
    <cellStyle name="Normal 9 16 5 2" xfId="37587" xr:uid="{1E7F3739-B93E-4CA2-969B-780A34E7E4AE}"/>
    <cellStyle name="Normal 9 16 5 3" xfId="37588" xr:uid="{AF955A3C-AFE4-4653-B1DB-843BFACD1DD2}"/>
    <cellStyle name="Normal 9 16 5 4" xfId="37589" xr:uid="{A67964DC-3605-4C99-B65A-2509C046955A}"/>
    <cellStyle name="Normal 9 16 5 5" xfId="37590" xr:uid="{42260243-00A6-448D-902F-96A4ED3787A1}"/>
    <cellStyle name="Normal 9 16 5 6" xfId="37591" xr:uid="{CCF9B597-9075-4C75-8C44-944E8ECA3269}"/>
    <cellStyle name="Normal 9 16 6" xfId="37592" xr:uid="{DC948622-0DE3-4639-B7BD-444D1B5DD400}"/>
    <cellStyle name="Normal 9 16 6 2" xfId="37593" xr:uid="{D225CF06-A7F3-41DA-BC23-3B98205E9C74}"/>
    <cellStyle name="Normal 9 16 6 3" xfId="37594" xr:uid="{6BA0CA23-6683-403D-B0C4-DD0829A5F2B1}"/>
    <cellStyle name="Normal 9 16 6 4" xfId="37595" xr:uid="{39A5BD2E-B683-4563-A556-9A5AC41A331F}"/>
    <cellStyle name="Normal 9 16 6 5" xfId="37596" xr:uid="{8B688486-01AD-4B76-8B1B-183E75AE85C8}"/>
    <cellStyle name="Normal 9 16 6 6" xfId="37597" xr:uid="{E5B44C72-596E-4959-B832-BDBBDD94E5C3}"/>
    <cellStyle name="Normal 9 16 7" xfId="37598" xr:uid="{D1119521-D2FF-4769-96D6-5F2BFB425D3D}"/>
    <cellStyle name="Normal 9 16 7 2" xfId="37599" xr:uid="{BE3C763E-5CE8-48B9-9D05-48F0B32C6116}"/>
    <cellStyle name="Normal 9 16 7 3" xfId="37600" xr:uid="{B329C4E9-B545-4E98-BB53-FA05562B008E}"/>
    <cellStyle name="Normal 9 16 7 4" xfId="37601" xr:uid="{698047AF-2B80-4B1B-A07B-CF20D9D8A466}"/>
    <cellStyle name="Normal 9 16 7 5" xfId="37602" xr:uid="{A561D7E5-92E1-4FE9-AAF8-859314F1862F}"/>
    <cellStyle name="Normal 9 16 7 6" xfId="37603" xr:uid="{B1E0053A-BB4D-40BB-9DCD-ED6D0F91A745}"/>
    <cellStyle name="Normal 9 16 8" xfId="37604" xr:uid="{FD3E88D3-6C33-4677-8E3D-67E9E76F0A06}"/>
    <cellStyle name="Normal 9 16 8 2" xfId="37605" xr:uid="{951B8C0E-70BC-450B-9BD0-99BF9A2080A5}"/>
    <cellStyle name="Normal 9 16 8 3" xfId="37606" xr:uid="{EBA3AD8B-4509-408B-93E3-08BD617F1E2C}"/>
    <cellStyle name="Normal 9 16 8 4" xfId="37607" xr:uid="{48CA601C-B309-4613-AD91-39E13A1ACEE6}"/>
    <cellStyle name="Normal 9 16 8 5" xfId="37608" xr:uid="{B5140112-EA60-48D8-A04C-CD7060E590F2}"/>
    <cellStyle name="Normal 9 16 8 6" xfId="37609" xr:uid="{23DA14A4-CAD8-4905-B5B5-8E6FA305971F}"/>
    <cellStyle name="Normal 9 16 9" xfId="37610" xr:uid="{04E95E2D-3B5B-42F1-987B-C3C3D2B13D3C}"/>
    <cellStyle name="Normal 9 17" xfId="37611" xr:uid="{19C25D39-F7AE-4104-BE5B-CBF6AA4AEBC7}"/>
    <cellStyle name="Normal 9 17 10" xfId="37612" xr:uid="{DC284E49-6987-4F53-A463-2B53E579A417}"/>
    <cellStyle name="Normal 9 17 11" xfId="37613" xr:uid="{F8F1FCF3-3F23-402C-B79F-A558505A3140}"/>
    <cellStyle name="Normal 9 17 12" xfId="37614" xr:uid="{01FCD442-5A5B-4575-B107-6F98B6B0DDCC}"/>
    <cellStyle name="Normal 9 17 13" xfId="37615" xr:uid="{12AEAE35-C6FF-4D60-956A-35D010792B00}"/>
    <cellStyle name="Normal 9 17 2" xfId="37616" xr:uid="{3B9ED204-81D7-46C2-88DC-9C428DDF6C6E}"/>
    <cellStyle name="Normal 9 17 2 2" xfId="37617" xr:uid="{FEC2F4A0-CD40-4485-B420-8FB03C9F562D}"/>
    <cellStyle name="Normal 9 17 2 3" xfId="37618" xr:uid="{FB4781AC-EDA8-45FF-9350-D23C88831143}"/>
    <cellStyle name="Normal 9 17 2 4" xfId="37619" xr:uid="{99DFAD94-645A-40AB-8BF1-2747CB117CC6}"/>
    <cellStyle name="Normal 9 17 2 5" xfId="37620" xr:uid="{43A28544-E68A-48E1-A1D3-0B6BD08CC98F}"/>
    <cellStyle name="Normal 9 17 2 6" xfId="37621" xr:uid="{5A3D7B1D-0936-479B-BBAE-80C04497534A}"/>
    <cellStyle name="Normal 9 17 3" xfId="37622" xr:uid="{4D7E54B3-2041-4E79-AC78-827F4DB4B77A}"/>
    <cellStyle name="Normal 9 17 3 2" xfId="37623" xr:uid="{88EAE630-D78B-40A3-B56E-0E52BA53B91B}"/>
    <cellStyle name="Normal 9 17 3 3" xfId="37624" xr:uid="{21011D7B-55DE-40EA-BB63-E3E29EF7DB99}"/>
    <cellStyle name="Normal 9 17 3 4" xfId="37625" xr:uid="{8EC21D84-2716-4E06-B6DE-BDADFCA67BA8}"/>
    <cellStyle name="Normal 9 17 3 5" xfId="37626" xr:uid="{7DB02757-2FA8-452E-824A-7DEBF4142900}"/>
    <cellStyle name="Normal 9 17 3 6" xfId="37627" xr:uid="{3EA1322F-0700-4600-855D-0F8B408FD4FA}"/>
    <cellStyle name="Normal 9 17 4" xfId="37628" xr:uid="{AE542F86-2964-4055-8158-2848CEF79656}"/>
    <cellStyle name="Normal 9 17 4 2" xfId="37629" xr:uid="{823511BD-4B3C-4DEC-ABD3-A0ED1016B943}"/>
    <cellStyle name="Normal 9 17 4 3" xfId="37630" xr:uid="{F5F32391-7168-47AD-ACEE-C34AEFB8BAAF}"/>
    <cellStyle name="Normal 9 17 4 4" xfId="37631" xr:uid="{16E9CDF0-70FD-4FEE-B1B0-A3E116930BB2}"/>
    <cellStyle name="Normal 9 17 4 5" xfId="37632" xr:uid="{5CA0749B-307F-4498-8A20-6A0D8000672B}"/>
    <cellStyle name="Normal 9 17 4 6" xfId="37633" xr:uid="{F150886B-36CA-419C-A033-1305940D43A8}"/>
    <cellStyle name="Normal 9 17 5" xfId="37634" xr:uid="{98933E46-2020-4B69-AD4B-0A67EED659DF}"/>
    <cellStyle name="Normal 9 17 5 2" xfId="37635" xr:uid="{D60DEA00-7940-4E69-B16D-7F9286CF7A3B}"/>
    <cellStyle name="Normal 9 17 5 3" xfId="37636" xr:uid="{0AACC623-8641-4F7D-9B12-A5A7E0FA5448}"/>
    <cellStyle name="Normal 9 17 5 4" xfId="37637" xr:uid="{BE2BE2CF-47F2-4AFE-BF62-6B464C9E94D8}"/>
    <cellStyle name="Normal 9 17 5 5" xfId="37638" xr:uid="{126C884A-83E8-4D06-8329-425E9C6351C5}"/>
    <cellStyle name="Normal 9 17 5 6" xfId="37639" xr:uid="{67E28897-3013-4366-BD4A-C71FA507A457}"/>
    <cellStyle name="Normal 9 17 6" xfId="37640" xr:uid="{E3031F45-4CA2-4F5D-A616-618929E4687B}"/>
    <cellStyle name="Normal 9 17 6 2" xfId="37641" xr:uid="{B0F4D3D6-A840-4AB6-8D3D-26D644C6AAB2}"/>
    <cellStyle name="Normal 9 17 6 3" xfId="37642" xr:uid="{D92CC89D-038F-4902-AF45-801B78754399}"/>
    <cellStyle name="Normal 9 17 6 4" xfId="37643" xr:uid="{090DA61B-5798-4A68-8F29-15E2067FD558}"/>
    <cellStyle name="Normal 9 17 6 5" xfId="37644" xr:uid="{422B6114-5444-4632-A507-8A1D8A2309AC}"/>
    <cellStyle name="Normal 9 17 6 6" xfId="37645" xr:uid="{D04F44AC-E9E1-41CC-8CE1-001DDA74D2E7}"/>
    <cellStyle name="Normal 9 17 7" xfId="37646" xr:uid="{7579CE59-F2B9-45C2-B371-1869694A68DA}"/>
    <cellStyle name="Normal 9 17 7 2" xfId="37647" xr:uid="{FC24A6B9-9039-40D4-8E46-5EE41CE4F79E}"/>
    <cellStyle name="Normal 9 17 7 3" xfId="37648" xr:uid="{7A9307BB-7F71-47EE-8702-475BAEF6C796}"/>
    <cellStyle name="Normal 9 17 7 4" xfId="37649" xr:uid="{1BCE4ED3-48B9-46F2-A93E-84349FEB57B8}"/>
    <cellStyle name="Normal 9 17 7 5" xfId="37650" xr:uid="{E14C4D12-379F-4464-87BC-E5C03CB08465}"/>
    <cellStyle name="Normal 9 17 7 6" xfId="37651" xr:uid="{E8861C10-4118-4453-BD2A-4EED915FD32F}"/>
    <cellStyle name="Normal 9 17 8" xfId="37652" xr:uid="{99265050-5C15-4CCC-8B1A-A689ACB81B0C}"/>
    <cellStyle name="Normal 9 17 8 2" xfId="37653" xr:uid="{70748975-70FB-4D8A-BD9A-79884A752C5F}"/>
    <cellStyle name="Normal 9 17 8 3" xfId="37654" xr:uid="{B55C0BF7-6422-4081-BC14-2959C53E172B}"/>
    <cellStyle name="Normal 9 17 8 4" xfId="37655" xr:uid="{6FC9235B-046B-42FD-8288-C88D9C36DDBB}"/>
    <cellStyle name="Normal 9 17 8 5" xfId="37656" xr:uid="{75F4F154-C142-43D5-9A7D-95FD3D7BEDF2}"/>
    <cellStyle name="Normal 9 17 8 6" xfId="37657" xr:uid="{09C0D3E3-813A-4EDC-A7AA-D66145452B63}"/>
    <cellStyle name="Normal 9 17 9" xfId="37658" xr:uid="{476E1372-2894-4393-AD0F-B698A669E721}"/>
    <cellStyle name="Normal 9 18" xfId="37659" xr:uid="{64D0ED60-DE37-4B71-A540-EBCF5DE5D5DB}"/>
    <cellStyle name="Normal 9 18 10" xfId="37660" xr:uid="{8CC13DC1-3635-459A-9154-BE1126409FA2}"/>
    <cellStyle name="Normal 9 18 11" xfId="37661" xr:uid="{8F814DAC-33E8-489B-A5BB-CD080D98AC9D}"/>
    <cellStyle name="Normal 9 18 12" xfId="37662" xr:uid="{97B227C2-20B1-41C0-A22E-50ACE3EFD2D5}"/>
    <cellStyle name="Normal 9 18 13" xfId="37663" xr:uid="{B5537273-A1E5-49B6-BA3F-8AD047817467}"/>
    <cellStyle name="Normal 9 18 2" xfId="37664" xr:uid="{BC0F24DD-8371-4FC6-9785-E872ECD53CCE}"/>
    <cellStyle name="Normal 9 18 2 2" xfId="37665" xr:uid="{0910375F-E296-435D-9E5E-65629A70E395}"/>
    <cellStyle name="Normal 9 18 2 3" xfId="37666" xr:uid="{BD216711-656F-4E09-8EAE-342671BED255}"/>
    <cellStyle name="Normal 9 18 2 4" xfId="37667" xr:uid="{88A3CDDE-02F7-41AD-9DDF-020817AE3C25}"/>
    <cellStyle name="Normal 9 18 2 5" xfId="37668" xr:uid="{60A6A0E7-5C82-479B-BE18-2D99A2D392DC}"/>
    <cellStyle name="Normal 9 18 2 6" xfId="37669" xr:uid="{3D7C3F78-2F7B-4A5D-BA53-2184952250F7}"/>
    <cellStyle name="Normal 9 18 3" xfId="37670" xr:uid="{19F95568-5BD2-4567-A664-37E4DA48E690}"/>
    <cellStyle name="Normal 9 18 3 2" xfId="37671" xr:uid="{834F217F-543B-4915-8ED8-8541B6A05E0A}"/>
    <cellStyle name="Normal 9 18 3 3" xfId="37672" xr:uid="{E97514C7-F5DC-45D7-B71C-A01D1A80AB67}"/>
    <cellStyle name="Normal 9 18 3 4" xfId="37673" xr:uid="{17B21A9A-CF30-4748-9FCD-862064A592FA}"/>
    <cellStyle name="Normal 9 18 3 5" xfId="37674" xr:uid="{5A8EECB6-1BFA-4746-AF4C-69ABA38EED00}"/>
    <cellStyle name="Normal 9 18 3 6" xfId="37675" xr:uid="{F161AE44-A955-42D3-B0BE-A97618E52A85}"/>
    <cellStyle name="Normal 9 18 4" xfId="37676" xr:uid="{BF22BBA6-783E-4E10-AB6F-5BB1696694CA}"/>
    <cellStyle name="Normal 9 18 4 2" xfId="37677" xr:uid="{A865E51A-BA3F-46E9-8674-7A22C9862104}"/>
    <cellStyle name="Normal 9 18 4 3" xfId="37678" xr:uid="{848D89D1-22CF-4BAC-9378-45F0110E1E48}"/>
    <cellStyle name="Normal 9 18 4 4" xfId="37679" xr:uid="{A741A67B-92E7-4938-9B9C-27D893F0C8EF}"/>
    <cellStyle name="Normal 9 18 4 5" xfId="37680" xr:uid="{41A0D6AD-530B-4408-8691-54F011FDBE22}"/>
    <cellStyle name="Normal 9 18 4 6" xfId="37681" xr:uid="{82EDF777-E0D6-42B2-8DC4-340026562FCD}"/>
    <cellStyle name="Normal 9 18 5" xfId="37682" xr:uid="{DE0945F5-426B-40B9-8FDF-EFBBA650D915}"/>
    <cellStyle name="Normal 9 18 5 2" xfId="37683" xr:uid="{76CEB706-24D9-482F-AAD5-AA2F872C31AD}"/>
    <cellStyle name="Normal 9 18 5 3" xfId="37684" xr:uid="{445ECA19-57CB-49D8-AD45-6AE6BB7FE6B5}"/>
    <cellStyle name="Normal 9 18 5 4" xfId="37685" xr:uid="{B885352B-5FBF-4FD3-841C-9532133DEDE9}"/>
    <cellStyle name="Normal 9 18 5 5" xfId="37686" xr:uid="{55B23026-EE4B-45E9-892A-43500F08B2DC}"/>
    <cellStyle name="Normal 9 18 5 6" xfId="37687" xr:uid="{2A19EA68-AC02-42C9-AA35-EDB014362C29}"/>
    <cellStyle name="Normal 9 18 6" xfId="37688" xr:uid="{CCB17486-F5A5-485E-884F-DB9093B7F09E}"/>
    <cellStyle name="Normal 9 18 6 2" xfId="37689" xr:uid="{EC9A7449-5416-4D95-B935-FDA8B705828D}"/>
    <cellStyle name="Normal 9 18 6 3" xfId="37690" xr:uid="{477BCEB8-2191-4926-967D-C188125A272D}"/>
    <cellStyle name="Normal 9 18 6 4" xfId="37691" xr:uid="{02434E3B-000D-47A6-910B-BF8AEABA52F4}"/>
    <cellStyle name="Normal 9 18 6 5" xfId="37692" xr:uid="{AFB9B1DC-76EE-419E-9720-4C8EC974A7F3}"/>
    <cellStyle name="Normal 9 18 6 6" xfId="37693" xr:uid="{3E235591-6310-47DE-8D99-D1F5F5D0C23D}"/>
    <cellStyle name="Normal 9 18 7" xfId="37694" xr:uid="{9659DEBD-9702-4E58-9C82-08A3D2362BF6}"/>
    <cellStyle name="Normal 9 18 7 2" xfId="37695" xr:uid="{CD0B0C07-CE2E-4901-895D-3CF2FFA09DBF}"/>
    <cellStyle name="Normal 9 18 7 3" xfId="37696" xr:uid="{B1A75908-EE99-4A08-AD47-6D6B056785A3}"/>
    <cellStyle name="Normal 9 18 7 4" xfId="37697" xr:uid="{EF4EE972-2518-4D86-8388-398A64BB7C60}"/>
    <cellStyle name="Normal 9 18 7 5" xfId="37698" xr:uid="{A469508D-6433-4BF4-91F4-71C1B5B56135}"/>
    <cellStyle name="Normal 9 18 7 6" xfId="37699" xr:uid="{C2E75C00-6FC1-4B2F-9E5A-ABC55113E069}"/>
    <cellStyle name="Normal 9 18 8" xfId="37700" xr:uid="{EAFC1CD7-3446-4B7D-9E09-12AC68C78FB0}"/>
    <cellStyle name="Normal 9 18 8 2" xfId="37701" xr:uid="{FD321754-C2F8-4ECF-AA14-8026EF13CDD5}"/>
    <cellStyle name="Normal 9 18 8 3" xfId="37702" xr:uid="{D63E834E-ADD5-4997-902B-CFD106FE3DB8}"/>
    <cellStyle name="Normal 9 18 8 4" xfId="37703" xr:uid="{C04B3BFF-439C-4A6F-A30B-CDC6EF12F1CE}"/>
    <cellStyle name="Normal 9 18 8 5" xfId="37704" xr:uid="{A4B47EBC-E0DA-4CB4-807A-93ED3FDF0CBF}"/>
    <cellStyle name="Normal 9 18 8 6" xfId="37705" xr:uid="{626FE760-68D5-4F21-AC1B-459B68C459B6}"/>
    <cellStyle name="Normal 9 18 9" xfId="37706" xr:uid="{7A451E26-2C15-4FBE-9D3B-23187CD64DBD}"/>
    <cellStyle name="Normal 9 19" xfId="37707" xr:uid="{CD29CC05-22A4-4CBE-ABC7-146898EC81F2}"/>
    <cellStyle name="Normal 9 19 10" xfId="37708" xr:uid="{B8E569A2-94D0-422B-B6F5-DFAFDDEA6A8A}"/>
    <cellStyle name="Normal 9 19 11" xfId="37709" xr:uid="{14024313-6AEB-4631-8671-7040A663E230}"/>
    <cellStyle name="Normal 9 19 12" xfId="37710" xr:uid="{16345FA9-30EA-4EE2-96AD-86A976FBF047}"/>
    <cellStyle name="Normal 9 19 13" xfId="37711" xr:uid="{2EB80DC5-19F4-42A2-B07A-C2B37E79B30D}"/>
    <cellStyle name="Normal 9 19 2" xfId="37712" xr:uid="{5CB909A5-2739-4DC6-A32A-885601074D01}"/>
    <cellStyle name="Normal 9 19 2 2" xfId="37713" xr:uid="{7DDF85A4-6774-41DB-BF6C-3215CF11EC82}"/>
    <cellStyle name="Normal 9 19 2 3" xfId="37714" xr:uid="{DABAB1C0-DF03-4D97-9811-A2DE2687E371}"/>
    <cellStyle name="Normal 9 19 2 4" xfId="37715" xr:uid="{64600FF2-F994-45E9-8CC1-B26A54D3085A}"/>
    <cellStyle name="Normal 9 19 2 5" xfId="37716" xr:uid="{5227FD9F-61B9-446C-85CF-173CE58D05A7}"/>
    <cellStyle name="Normal 9 19 2 6" xfId="37717" xr:uid="{15EDAAF4-1811-4C43-AAF1-1FFD404C73B9}"/>
    <cellStyle name="Normal 9 19 3" xfId="37718" xr:uid="{F4280041-E0DE-497B-873D-33EAFD371C24}"/>
    <cellStyle name="Normal 9 19 3 2" xfId="37719" xr:uid="{F25374BB-FC26-4FEE-8ADA-D6991F9A0E4C}"/>
    <cellStyle name="Normal 9 19 3 3" xfId="37720" xr:uid="{C8218A65-5094-466A-9C11-555127C8537A}"/>
    <cellStyle name="Normal 9 19 3 4" xfId="37721" xr:uid="{4ABFCA0B-F4C7-4C83-8644-8A9E1EA62CE1}"/>
    <cellStyle name="Normal 9 19 3 5" xfId="37722" xr:uid="{85278007-971D-422B-8A20-FFA45B38FB10}"/>
    <cellStyle name="Normal 9 19 3 6" xfId="37723" xr:uid="{8D1360F2-7774-4255-AD27-504DED6F221B}"/>
    <cellStyle name="Normal 9 19 4" xfId="37724" xr:uid="{4B101FB4-9156-4652-AF77-24914106ED27}"/>
    <cellStyle name="Normal 9 19 4 2" xfId="37725" xr:uid="{86DDCADE-A191-48CE-90CA-900B1BC313B3}"/>
    <cellStyle name="Normal 9 19 4 3" xfId="37726" xr:uid="{8BF561F0-344E-49FF-905A-E79B5ADA8B78}"/>
    <cellStyle name="Normal 9 19 4 4" xfId="37727" xr:uid="{111B665A-535E-4F98-A92B-FF7FD31F5389}"/>
    <cellStyle name="Normal 9 19 4 5" xfId="37728" xr:uid="{039A8EAB-A944-4715-AF5F-AB0257F75A41}"/>
    <cellStyle name="Normal 9 19 4 6" xfId="37729" xr:uid="{CD50B069-1290-4475-9954-D4EF32CB9A5A}"/>
    <cellStyle name="Normal 9 19 5" xfId="37730" xr:uid="{CF3742A6-7148-4E4A-AB9A-613BD6D2ED28}"/>
    <cellStyle name="Normal 9 19 5 2" xfId="37731" xr:uid="{F74B4D8A-152C-454D-BE78-7C34F7D4039C}"/>
    <cellStyle name="Normal 9 19 5 3" xfId="37732" xr:uid="{1A224EB2-1A8E-4312-B530-CE2CE6A37D95}"/>
    <cellStyle name="Normal 9 19 5 4" xfId="37733" xr:uid="{748693FD-6044-4393-9EFC-C2C50F4A4385}"/>
    <cellStyle name="Normal 9 19 5 5" xfId="37734" xr:uid="{6760262D-6454-4BA2-A4F3-293113DABDCF}"/>
    <cellStyle name="Normal 9 19 5 6" xfId="37735" xr:uid="{6D11E36C-2B1F-423E-84F5-1339011E36AB}"/>
    <cellStyle name="Normal 9 19 6" xfId="37736" xr:uid="{96AF6C4E-C3B7-4811-B344-46CF618FD588}"/>
    <cellStyle name="Normal 9 19 6 2" xfId="37737" xr:uid="{CAB8F707-E793-4F7A-8F8D-BB911175018D}"/>
    <cellStyle name="Normal 9 19 6 3" xfId="37738" xr:uid="{93550C96-B9FE-4686-89EF-CAC72C20BE13}"/>
    <cellStyle name="Normal 9 19 6 4" xfId="37739" xr:uid="{5067AC73-83CC-4BA2-ABE2-84C40D2B4A46}"/>
    <cellStyle name="Normal 9 19 6 5" xfId="37740" xr:uid="{5DB99F86-A3FE-4623-8D47-4481002703CE}"/>
    <cellStyle name="Normal 9 19 6 6" xfId="37741" xr:uid="{B951D142-22CB-4067-B7AF-BCEF226B5E62}"/>
    <cellStyle name="Normal 9 19 7" xfId="37742" xr:uid="{6A4CDCB2-DB16-4F29-8C4F-CF0500C4D478}"/>
    <cellStyle name="Normal 9 19 7 2" xfId="37743" xr:uid="{AADFB74E-3914-433F-AA06-D11FB9C70835}"/>
    <cellStyle name="Normal 9 19 7 3" xfId="37744" xr:uid="{C38C4BFD-88DA-479A-976C-E1ACF7C7D717}"/>
    <cellStyle name="Normal 9 19 7 4" xfId="37745" xr:uid="{508E5BFC-20F9-4D3A-A135-8D44D803B4B1}"/>
    <cellStyle name="Normal 9 19 7 5" xfId="37746" xr:uid="{8C08D699-5587-46D0-8951-A79C6325FC68}"/>
    <cellStyle name="Normal 9 19 7 6" xfId="37747" xr:uid="{105014B3-C06E-41B6-983F-B40084A20D73}"/>
    <cellStyle name="Normal 9 19 8" xfId="37748" xr:uid="{C24A1CEB-C05F-4405-B203-1B9F1AFA17A5}"/>
    <cellStyle name="Normal 9 19 8 2" xfId="37749" xr:uid="{397FC1FA-C241-4D30-9D9D-7EE09E0DCF2E}"/>
    <cellStyle name="Normal 9 19 8 3" xfId="37750" xr:uid="{2D7A49F5-C711-4A1A-B79B-6AED660FFBE7}"/>
    <cellStyle name="Normal 9 19 8 4" xfId="37751" xr:uid="{FBD5FA5C-86C9-4126-8620-4BE001BDA791}"/>
    <cellStyle name="Normal 9 19 8 5" xfId="37752" xr:uid="{3EB6635B-1C1C-49E2-BBAF-BA0531FBC90C}"/>
    <cellStyle name="Normal 9 19 8 6" xfId="37753" xr:uid="{13FC637D-9ADA-4CF3-9671-1CE15B43DCCC}"/>
    <cellStyle name="Normal 9 19 9" xfId="37754" xr:uid="{F3236F4B-8F5B-44D7-A705-6208642ED3AE}"/>
    <cellStyle name="Normal 9 2" xfId="37755" xr:uid="{3B77CC7A-EAB2-45DB-B96E-11BFE47EED47}"/>
    <cellStyle name="Normal 9 2 10" xfId="37756" xr:uid="{1EFDC171-5C20-40A9-A759-70C471B1BDFA}"/>
    <cellStyle name="Normal 9 2 11" xfId="37757" xr:uid="{6E97DF6A-FA91-4A9A-AF38-30CB67255C3C}"/>
    <cellStyle name="Normal 9 2 12" xfId="37758" xr:uid="{A07E37D4-3A67-430C-AD9E-DD5BC9B6EA7A}"/>
    <cellStyle name="Normal 9 2 13" xfId="37759" xr:uid="{6C62B5E9-5FBE-470A-81C0-C83DC28031EF}"/>
    <cellStyle name="Normal 9 2 14" xfId="37760" xr:uid="{5E5A11A5-FA9F-4D88-9779-EA312154F9DA}"/>
    <cellStyle name="Normal 9 2 2" xfId="37761" xr:uid="{FF6660C7-4595-4007-961C-160ED3EB45B5}"/>
    <cellStyle name="Normal 9 2 2 2" xfId="37762" xr:uid="{7FB284BC-BB96-4FCC-855C-A08C9F85C2F3}"/>
    <cellStyle name="Normal 9 2 2 3" xfId="37763" xr:uid="{A63ABABF-6920-4CDB-B111-2433243D0259}"/>
    <cellStyle name="Normal 9 2 2 4" xfId="37764" xr:uid="{415346DB-DBFE-4911-8499-5CB3605FD388}"/>
    <cellStyle name="Normal 9 2 2 5" xfId="37765" xr:uid="{F74A0A95-41D8-4694-95CC-17848DCE0C94}"/>
    <cellStyle name="Normal 9 2 2 6" xfId="37766" xr:uid="{1414AE64-B49A-47CE-9BD5-3555DF10A60D}"/>
    <cellStyle name="Normal 9 2 3" xfId="37767" xr:uid="{7D902206-F937-4BDD-B70A-64B192B1D882}"/>
    <cellStyle name="Normal 9 2 3 2" xfId="37768" xr:uid="{BCE84F83-87FB-416B-B01E-31693C991998}"/>
    <cellStyle name="Normal 9 2 3 3" xfId="37769" xr:uid="{195F6907-8058-4758-A3E7-E5FBA9823F45}"/>
    <cellStyle name="Normal 9 2 3 4" xfId="37770" xr:uid="{6DC50E54-0FC7-425C-B88C-37C206523933}"/>
    <cellStyle name="Normal 9 2 3 5" xfId="37771" xr:uid="{58883C99-6961-4692-B127-5067E5CF6AA7}"/>
    <cellStyle name="Normal 9 2 3 6" xfId="37772" xr:uid="{5C9F783F-B156-4790-85EB-9ACDC32876E7}"/>
    <cellStyle name="Normal 9 2 4" xfId="37773" xr:uid="{F238603D-1B92-4811-9CE2-CF3BBCEA2ED6}"/>
    <cellStyle name="Normal 9 2 4 2" xfId="37774" xr:uid="{68DC385C-8E84-45B4-ACB0-ED39E067F538}"/>
    <cellStyle name="Normal 9 2 4 3" xfId="37775" xr:uid="{511B112B-69BE-4488-9002-80D3E26A598D}"/>
    <cellStyle name="Normal 9 2 4 4" xfId="37776" xr:uid="{AF511DC9-F27D-459D-8D46-5260324B21A0}"/>
    <cellStyle name="Normal 9 2 4 5" xfId="37777" xr:uid="{496C1686-DCE7-489C-B1F9-7AACD3B7367E}"/>
    <cellStyle name="Normal 9 2 4 6" xfId="37778" xr:uid="{6EFB32ED-8A8A-4868-A94C-5C97A4E6482B}"/>
    <cellStyle name="Normal 9 2 5" xfId="37779" xr:uid="{623BBFFA-CB71-4FD6-AF89-9839DF7BB0C5}"/>
    <cellStyle name="Normal 9 2 5 2" xfId="37780" xr:uid="{1A0173E3-81DF-462A-88EB-50BD8FF82F4E}"/>
    <cellStyle name="Normal 9 2 5 3" xfId="37781" xr:uid="{4FFEF8E6-1749-40E3-9B79-F7AFB3BDC1D6}"/>
    <cellStyle name="Normal 9 2 5 4" xfId="37782" xr:uid="{A3D361AA-B38A-42F9-BBA8-FF5A8BB59EC2}"/>
    <cellStyle name="Normal 9 2 5 5" xfId="37783" xr:uid="{462B9874-9116-4739-9DC6-27811ACD72D8}"/>
    <cellStyle name="Normal 9 2 5 6" xfId="37784" xr:uid="{1B1E1CB9-0A4F-4837-B64A-D72F9136BE9C}"/>
    <cellStyle name="Normal 9 2 6" xfId="37785" xr:uid="{3A35C958-9EE1-49FE-92D2-4F32D1EEF170}"/>
    <cellStyle name="Normal 9 2 6 2" xfId="37786" xr:uid="{48425599-B873-4EB9-8AA7-6648CF33A37F}"/>
    <cellStyle name="Normal 9 2 6 3" xfId="37787" xr:uid="{408C2771-B467-42C7-9EC2-C7EB0E8CE9A0}"/>
    <cellStyle name="Normal 9 2 6 4" xfId="37788" xr:uid="{6DA9BFBD-46AB-48AA-AD8E-19F73A9B4CFD}"/>
    <cellStyle name="Normal 9 2 6 5" xfId="37789" xr:uid="{696B26C9-EF84-4EEE-82B1-731257F12F57}"/>
    <cellStyle name="Normal 9 2 6 6" xfId="37790" xr:uid="{81EC8E86-A321-41E8-BA16-6F04557CC25C}"/>
    <cellStyle name="Normal 9 2 7" xfId="37791" xr:uid="{8CAF75ED-B01E-4A5D-AE6B-F06C4A0891A7}"/>
    <cellStyle name="Normal 9 2 7 2" xfId="37792" xr:uid="{FE0FA640-8E24-4774-B330-5A10003D20A2}"/>
    <cellStyle name="Normal 9 2 7 3" xfId="37793" xr:uid="{5496ECBE-AAF3-40B0-B47C-FF675375569C}"/>
    <cellStyle name="Normal 9 2 7 4" xfId="37794" xr:uid="{C59B1103-4029-4155-BA70-A7CE3A9DDBEC}"/>
    <cellStyle name="Normal 9 2 7 5" xfId="37795" xr:uid="{682A7D7C-C44F-442F-9DEF-C92DC1AB4DBA}"/>
    <cellStyle name="Normal 9 2 7 6" xfId="37796" xr:uid="{B18001B2-5886-4A1C-880D-F9C9449B6B6A}"/>
    <cellStyle name="Normal 9 2 8" xfId="37797" xr:uid="{91978956-ADD5-48A4-9536-964E26B92BBF}"/>
    <cellStyle name="Normal 9 2 8 2" xfId="37798" xr:uid="{6F1BC249-59C3-45DA-B07D-A2C505DCD108}"/>
    <cellStyle name="Normal 9 2 8 3" xfId="37799" xr:uid="{6266973A-F83E-4CA8-B28B-D78B4B1D12FD}"/>
    <cellStyle name="Normal 9 2 8 4" xfId="37800" xr:uid="{11E8CF19-58BE-498F-9774-BB4E394C6436}"/>
    <cellStyle name="Normal 9 2 8 5" xfId="37801" xr:uid="{E0859C09-7DFB-4A00-BEDD-FAF8225DDBE8}"/>
    <cellStyle name="Normal 9 2 8 6" xfId="37802" xr:uid="{5E16C914-2BFF-4478-855B-21E71404E220}"/>
    <cellStyle name="Normal 9 2 9" xfId="37803" xr:uid="{37BE5518-E5C7-4044-968F-790062A2E93E}"/>
    <cellStyle name="Normal 9 20" xfId="37804" xr:uid="{63FC9432-40AA-4F2D-9B1E-35C8FFCF04D5}"/>
    <cellStyle name="Normal 9 20 10" xfId="37805" xr:uid="{40192F80-3B81-469F-9F8E-DA8F3D368A9E}"/>
    <cellStyle name="Normal 9 20 11" xfId="37806" xr:uid="{F2F745DB-F478-42FF-8A05-8417C3ADAD5D}"/>
    <cellStyle name="Normal 9 20 12" xfId="37807" xr:uid="{8F2E2A16-5AA6-4467-BB62-79061E3D6E66}"/>
    <cellStyle name="Normal 9 20 13" xfId="37808" xr:uid="{66F60CDF-7702-419D-B817-1E6A87249A79}"/>
    <cellStyle name="Normal 9 20 2" xfId="37809" xr:uid="{A3CD4775-18E0-4C0A-8E53-5C932CFA4BBE}"/>
    <cellStyle name="Normal 9 20 2 2" xfId="37810" xr:uid="{DF5C0A70-DC46-46D3-8A41-7F6F3BCA989D}"/>
    <cellStyle name="Normal 9 20 2 3" xfId="37811" xr:uid="{B8F378CB-DF01-401B-BF1F-A220C050AAC3}"/>
    <cellStyle name="Normal 9 20 2 4" xfId="37812" xr:uid="{566ABC3E-7899-40AD-8132-63FD67D05BC0}"/>
    <cellStyle name="Normal 9 20 2 5" xfId="37813" xr:uid="{7F7865DD-86A7-4163-8F64-72F4E6D56F79}"/>
    <cellStyle name="Normal 9 20 2 6" xfId="37814" xr:uid="{A48E9720-1225-4A56-8787-18B49D816252}"/>
    <cellStyle name="Normal 9 20 3" xfId="37815" xr:uid="{FB2A292D-58F9-4D7B-B40D-7FD76FB2CDEE}"/>
    <cellStyle name="Normal 9 20 3 2" xfId="37816" xr:uid="{44E75087-DC8E-4082-9518-308343100A8F}"/>
    <cellStyle name="Normal 9 20 3 3" xfId="37817" xr:uid="{3487C1D6-E2C5-4FEA-9071-63DC6E247E24}"/>
    <cellStyle name="Normal 9 20 3 4" xfId="37818" xr:uid="{38D21B18-9E30-4525-997D-E746030A6B12}"/>
    <cellStyle name="Normal 9 20 3 5" xfId="37819" xr:uid="{C004831F-BF23-427E-8E06-C832AB5EF8A2}"/>
    <cellStyle name="Normal 9 20 3 6" xfId="37820" xr:uid="{245FDCF8-59B0-4A66-BC66-A1EFA954C932}"/>
    <cellStyle name="Normal 9 20 4" xfId="37821" xr:uid="{8C74EEB1-BE46-4DAE-A9A6-52FB773F0051}"/>
    <cellStyle name="Normal 9 20 4 2" xfId="37822" xr:uid="{0BD8B719-5446-4064-A199-3665A0BADCE0}"/>
    <cellStyle name="Normal 9 20 4 3" xfId="37823" xr:uid="{642FDFA5-2636-4415-9BC6-1AF69AB193C7}"/>
    <cellStyle name="Normal 9 20 4 4" xfId="37824" xr:uid="{9400C6BB-9E10-46CE-9108-984449A8C0C2}"/>
    <cellStyle name="Normal 9 20 4 5" xfId="37825" xr:uid="{62CD1F0C-3D37-4987-B8D2-820BE5B43468}"/>
    <cellStyle name="Normal 9 20 4 6" xfId="37826" xr:uid="{4C1FE745-DA9E-4FB6-BA51-B1D8FFB78C4D}"/>
    <cellStyle name="Normal 9 20 5" xfId="37827" xr:uid="{3A18807A-D64E-4691-8FD0-502FA31EBE5F}"/>
    <cellStyle name="Normal 9 20 5 2" xfId="37828" xr:uid="{F41268DB-41E7-4F8E-904C-BEEA34191D08}"/>
    <cellStyle name="Normal 9 20 5 3" xfId="37829" xr:uid="{AB018BF2-AA14-4F91-B2E7-AA4B1B0E74E4}"/>
    <cellStyle name="Normal 9 20 5 4" xfId="37830" xr:uid="{FF6F2F02-FA7D-4F04-B62D-7E039846B182}"/>
    <cellStyle name="Normal 9 20 5 5" xfId="37831" xr:uid="{C77D86CF-F924-4D2F-8AA6-3A4057916744}"/>
    <cellStyle name="Normal 9 20 5 6" xfId="37832" xr:uid="{BC68F43F-2857-41AF-BFA2-11C0B6126B6C}"/>
    <cellStyle name="Normal 9 20 6" xfId="37833" xr:uid="{0FAFED64-DBFD-4D9A-A9E9-B20757F0BAFA}"/>
    <cellStyle name="Normal 9 20 6 2" xfId="37834" xr:uid="{A8ED1374-656A-4BFF-A494-61E2C0D1731E}"/>
    <cellStyle name="Normal 9 20 6 3" xfId="37835" xr:uid="{89829DC2-2B45-45E9-90D4-FEAC602C745B}"/>
    <cellStyle name="Normal 9 20 6 4" xfId="37836" xr:uid="{42C4E8B4-C509-4C8E-9FB1-5723E0DEC637}"/>
    <cellStyle name="Normal 9 20 6 5" xfId="37837" xr:uid="{7F0D146D-7DC6-47D5-B8CB-ED75690B5BB1}"/>
    <cellStyle name="Normal 9 20 6 6" xfId="37838" xr:uid="{5D071F38-754C-4B4B-B616-BB847A69FBA0}"/>
    <cellStyle name="Normal 9 20 7" xfId="37839" xr:uid="{46FCE4EC-E091-4E87-9E14-93999DC10290}"/>
    <cellStyle name="Normal 9 20 7 2" xfId="37840" xr:uid="{70933707-1B18-4706-B1C5-229B3710406A}"/>
    <cellStyle name="Normal 9 20 7 3" xfId="37841" xr:uid="{4C806CBF-A526-4C59-A1A7-8FA3727FF570}"/>
    <cellStyle name="Normal 9 20 7 4" xfId="37842" xr:uid="{9F660D7F-6FF6-481B-87E2-FEBF1575B84B}"/>
    <cellStyle name="Normal 9 20 7 5" xfId="37843" xr:uid="{5C11E7AA-4F1E-4A91-8D51-FB16F9DA8370}"/>
    <cellStyle name="Normal 9 20 7 6" xfId="37844" xr:uid="{1717B43B-DBA7-4BBA-AB33-033314BAE8A8}"/>
    <cellStyle name="Normal 9 20 8" xfId="37845" xr:uid="{82784245-54E0-4BBE-A981-F7453C0B6AB8}"/>
    <cellStyle name="Normal 9 20 8 2" xfId="37846" xr:uid="{2733475E-DB72-4356-A1E3-BE266DF4C447}"/>
    <cellStyle name="Normal 9 20 8 3" xfId="37847" xr:uid="{3C54066B-7069-499F-AA8C-F2DA5AD55783}"/>
    <cellStyle name="Normal 9 20 8 4" xfId="37848" xr:uid="{CFCB1CF5-786D-47ED-8E6D-577F924AFDBD}"/>
    <cellStyle name="Normal 9 20 8 5" xfId="37849" xr:uid="{B7882D82-DDC5-4670-826A-94328A80B252}"/>
    <cellStyle name="Normal 9 20 8 6" xfId="37850" xr:uid="{1E33A8F4-A627-4B0E-B15E-F207D5A1EE55}"/>
    <cellStyle name="Normal 9 20 9" xfId="37851" xr:uid="{BFA27CFF-FA93-41CD-A82A-1065BEA83679}"/>
    <cellStyle name="Normal 9 21" xfId="37852" xr:uid="{B15C1A86-4F2A-48FF-99DC-C86ECC24C48F}"/>
    <cellStyle name="Normal 9 21 10" xfId="37853" xr:uid="{1D6CE56F-05EE-4A0E-AC98-E81E37B9B544}"/>
    <cellStyle name="Normal 9 21 11" xfId="37854" xr:uid="{DCDEFFC3-5169-402B-9133-5E722E58407B}"/>
    <cellStyle name="Normal 9 21 12" xfId="37855" xr:uid="{E2B04989-1592-4606-9E38-B06CB1A18AF9}"/>
    <cellStyle name="Normal 9 21 13" xfId="37856" xr:uid="{94E7D4A5-4733-4DBE-89CA-9F9B1B3BCCF3}"/>
    <cellStyle name="Normal 9 21 2" xfId="37857" xr:uid="{1A4C5C1F-FB64-473F-82E0-7BCEE6485483}"/>
    <cellStyle name="Normal 9 21 2 2" xfId="37858" xr:uid="{13575A3D-0F3E-48F8-BA1D-4F958D7DD943}"/>
    <cellStyle name="Normal 9 21 2 3" xfId="37859" xr:uid="{D39DAB86-2D5B-436C-A2E7-5F43B333DFD5}"/>
    <cellStyle name="Normal 9 21 2 4" xfId="37860" xr:uid="{FFEF3ACC-B7C2-453E-A993-4680932B1AAA}"/>
    <cellStyle name="Normal 9 21 2 5" xfId="37861" xr:uid="{B2F08FD0-C8CB-4F92-AA27-D36C49647041}"/>
    <cellStyle name="Normal 9 21 2 6" xfId="37862" xr:uid="{97BE5BC5-685F-42C1-8F70-0A55276FD90B}"/>
    <cellStyle name="Normal 9 21 3" xfId="37863" xr:uid="{49ED9D1C-446B-4194-A54B-BF51C12EF8C8}"/>
    <cellStyle name="Normal 9 21 3 2" xfId="37864" xr:uid="{96BB5182-7F5B-44F8-BFE9-5EC8658164FC}"/>
    <cellStyle name="Normal 9 21 3 3" xfId="37865" xr:uid="{D0DE57B8-6634-4CAF-BC22-67A5DC26C913}"/>
    <cellStyle name="Normal 9 21 3 4" xfId="37866" xr:uid="{A4FE5103-C7F9-4996-A990-B6601347F4BE}"/>
    <cellStyle name="Normal 9 21 3 5" xfId="37867" xr:uid="{73D319B5-3CD0-4EF6-B686-20D10A3B8366}"/>
    <cellStyle name="Normal 9 21 3 6" xfId="37868" xr:uid="{9991B976-D887-474F-8ED4-9FE580E1E4B1}"/>
    <cellStyle name="Normal 9 21 4" xfId="37869" xr:uid="{6AE7CDC1-8CD9-47DE-9A99-FF11D1602D2B}"/>
    <cellStyle name="Normal 9 21 4 2" xfId="37870" xr:uid="{B13715F0-87FB-48B4-A55D-628C916EB119}"/>
    <cellStyle name="Normal 9 21 4 3" xfId="37871" xr:uid="{CCEA8B75-EAE4-4786-B60E-83889B091D6E}"/>
    <cellStyle name="Normal 9 21 4 4" xfId="37872" xr:uid="{52B8A2B4-98F0-415C-9858-256F0515C388}"/>
    <cellStyle name="Normal 9 21 4 5" xfId="37873" xr:uid="{4EF41ADE-45CE-4332-8FCB-5FE4082B177C}"/>
    <cellStyle name="Normal 9 21 4 6" xfId="37874" xr:uid="{DCD49C71-8DEE-46D4-B4BF-0C7EC3BA1A17}"/>
    <cellStyle name="Normal 9 21 5" xfId="37875" xr:uid="{20364F3C-5E76-4E9E-90D6-2458FF82F738}"/>
    <cellStyle name="Normal 9 21 5 2" xfId="37876" xr:uid="{FBA31521-6419-438D-BD7F-0A1FF551034F}"/>
    <cellStyle name="Normal 9 21 5 3" xfId="37877" xr:uid="{5A4A7FE2-109F-4DFD-9714-30BBD26DF889}"/>
    <cellStyle name="Normal 9 21 5 4" xfId="37878" xr:uid="{5FCEA87D-1913-4928-9E6C-84CE21C60653}"/>
    <cellStyle name="Normal 9 21 5 5" xfId="37879" xr:uid="{B20646F5-F0C1-4B5F-9955-88265680A75F}"/>
    <cellStyle name="Normal 9 21 5 6" xfId="37880" xr:uid="{B106AD25-25CA-48F1-812D-CBD9A340C74B}"/>
    <cellStyle name="Normal 9 21 6" xfId="37881" xr:uid="{6D74AA9A-A408-4531-BBD7-BDCFD50D5759}"/>
    <cellStyle name="Normal 9 21 6 2" xfId="37882" xr:uid="{EB51479B-B71B-4A06-A211-1158BF850403}"/>
    <cellStyle name="Normal 9 21 6 3" xfId="37883" xr:uid="{D9EB198B-7BCA-4698-98E7-0CB62F23D284}"/>
    <cellStyle name="Normal 9 21 6 4" xfId="37884" xr:uid="{49D4F82F-FCD5-4405-8953-A85D477DF794}"/>
    <cellStyle name="Normal 9 21 6 5" xfId="37885" xr:uid="{B4F855BD-9DF6-48C2-87CD-559CD0DA2E0E}"/>
    <cellStyle name="Normal 9 21 6 6" xfId="37886" xr:uid="{31BC4C91-BC37-4F1C-9522-3F2436F847C4}"/>
    <cellStyle name="Normal 9 21 7" xfId="37887" xr:uid="{9E424E2D-26EE-4ABB-8575-640EB311E3BC}"/>
    <cellStyle name="Normal 9 21 7 2" xfId="37888" xr:uid="{AE1B4D26-F7DF-4124-A61A-2120FEFAF318}"/>
    <cellStyle name="Normal 9 21 7 3" xfId="37889" xr:uid="{D307B8A6-F944-4D40-A964-0334C4B31C5A}"/>
    <cellStyle name="Normal 9 21 7 4" xfId="37890" xr:uid="{5B7731D1-E0FA-43E5-8E98-42EB6C68CCDD}"/>
    <cellStyle name="Normal 9 21 7 5" xfId="37891" xr:uid="{AECF51C1-5E15-43C9-B858-6E09A8D4E766}"/>
    <cellStyle name="Normal 9 21 7 6" xfId="37892" xr:uid="{B99D87D0-1DF5-474E-8EE9-A9F9923ABA38}"/>
    <cellStyle name="Normal 9 21 8" xfId="37893" xr:uid="{472850E0-0206-471A-813E-3514349D5069}"/>
    <cellStyle name="Normal 9 21 8 2" xfId="37894" xr:uid="{C473A2A4-33F9-4397-80E2-4BD5042F8B25}"/>
    <cellStyle name="Normal 9 21 8 3" xfId="37895" xr:uid="{2D1CD146-79EC-4531-BDDC-5025025FE0A7}"/>
    <cellStyle name="Normal 9 21 8 4" xfId="37896" xr:uid="{EE14D1F6-5C3D-4BAF-9262-1B1580B53116}"/>
    <cellStyle name="Normal 9 21 8 5" xfId="37897" xr:uid="{9CE0520E-778B-4132-9997-2167A2107997}"/>
    <cellStyle name="Normal 9 21 8 6" xfId="37898" xr:uid="{97EECFFC-C477-4977-BDA9-995EE9BE98A2}"/>
    <cellStyle name="Normal 9 21 9" xfId="37899" xr:uid="{FC5286A6-09C7-4A27-9D36-ADEA0478AFC1}"/>
    <cellStyle name="Normal 9 22" xfId="37900" xr:uid="{AFB50D81-4549-4C93-908F-C35E95ED625B}"/>
    <cellStyle name="Normal 9 22 10" xfId="37901" xr:uid="{B819B3F1-AD35-4F61-A5C3-28A7FF9BC513}"/>
    <cellStyle name="Normal 9 22 11" xfId="37902" xr:uid="{2E2BEF03-942F-457C-BBC4-84123C5C091B}"/>
    <cellStyle name="Normal 9 22 12" xfId="37903" xr:uid="{D7BA138B-940A-41B2-A470-AC94CF859F7F}"/>
    <cellStyle name="Normal 9 22 13" xfId="37904" xr:uid="{D6DE135F-ABBD-4404-ACA7-7CB92BB9063C}"/>
    <cellStyle name="Normal 9 22 2" xfId="37905" xr:uid="{715D796F-3ABC-4FBB-BF90-C154A73E04D4}"/>
    <cellStyle name="Normal 9 22 2 2" xfId="37906" xr:uid="{67BF789E-5448-41AF-AE5A-3413E19F3753}"/>
    <cellStyle name="Normal 9 22 2 3" xfId="37907" xr:uid="{805991CF-B4D7-409D-B6C5-905099730D9E}"/>
    <cellStyle name="Normal 9 22 2 4" xfId="37908" xr:uid="{7D3861AB-F7F5-4C05-8789-47CEBE0F658A}"/>
    <cellStyle name="Normal 9 22 2 5" xfId="37909" xr:uid="{FD8EC561-D37A-4756-92AA-DAB47A01E7E6}"/>
    <cellStyle name="Normal 9 22 2 6" xfId="37910" xr:uid="{93FA4574-6E67-4F12-B580-B0B354B50F85}"/>
    <cellStyle name="Normal 9 22 3" xfId="37911" xr:uid="{BD92E2C4-3BC2-40DA-8012-5DECC5C7E086}"/>
    <cellStyle name="Normal 9 22 3 2" xfId="37912" xr:uid="{AB4B0C49-710B-4861-AAFE-BD8457AFB5DF}"/>
    <cellStyle name="Normal 9 22 3 3" xfId="37913" xr:uid="{A726A607-69DE-4536-ACF1-5B50CC5CD2C1}"/>
    <cellStyle name="Normal 9 22 3 4" xfId="37914" xr:uid="{08594F40-2ECD-4FEF-AA70-EBA236B3914A}"/>
    <cellStyle name="Normal 9 22 3 5" xfId="37915" xr:uid="{A45DBBB2-CEDA-4EF3-848F-72A6E1365AAC}"/>
    <cellStyle name="Normal 9 22 3 6" xfId="37916" xr:uid="{6212AD8A-CC03-4416-BDB7-17A9996E5367}"/>
    <cellStyle name="Normal 9 22 4" xfId="37917" xr:uid="{A0B898DA-DE34-409A-B1A5-239CD00575B6}"/>
    <cellStyle name="Normal 9 22 4 2" xfId="37918" xr:uid="{12B84727-9CD2-4365-9594-4339341084DF}"/>
    <cellStyle name="Normal 9 22 4 3" xfId="37919" xr:uid="{04E9F014-6B65-4CB0-B451-F33466151634}"/>
    <cellStyle name="Normal 9 22 4 4" xfId="37920" xr:uid="{FEC20C27-A265-453C-99E8-FBADC27CC068}"/>
    <cellStyle name="Normal 9 22 4 5" xfId="37921" xr:uid="{0FDFE27B-FAB9-4C59-B373-446DB0193BB1}"/>
    <cellStyle name="Normal 9 22 4 6" xfId="37922" xr:uid="{17952F19-2C18-40F1-A621-2CABB195297F}"/>
    <cellStyle name="Normal 9 22 5" xfId="37923" xr:uid="{BD0B4C69-CFB1-48DE-8F9B-0095554B62A2}"/>
    <cellStyle name="Normal 9 22 5 2" xfId="37924" xr:uid="{CBB4A3D3-9CE3-4D1E-AA02-28880F93D5FF}"/>
    <cellStyle name="Normal 9 22 5 3" xfId="37925" xr:uid="{D2568829-29D5-4DAD-8CF3-6796D23040BB}"/>
    <cellStyle name="Normal 9 22 5 4" xfId="37926" xr:uid="{C7B0F701-BC16-4A3A-AB98-7BB1707A11CF}"/>
    <cellStyle name="Normal 9 22 5 5" xfId="37927" xr:uid="{ADDA3BA6-71B0-4BFB-83C4-16DF1FBDA63A}"/>
    <cellStyle name="Normal 9 22 5 6" xfId="37928" xr:uid="{1F2EEC7A-DB1E-49E3-B61F-382B52FBEACF}"/>
    <cellStyle name="Normal 9 22 6" xfId="37929" xr:uid="{F26497AB-1F2E-435D-82D8-8E929BD33D58}"/>
    <cellStyle name="Normal 9 22 6 2" xfId="37930" xr:uid="{D993533C-4D5B-469F-A6B0-C4CA3B51131A}"/>
    <cellStyle name="Normal 9 22 6 3" xfId="37931" xr:uid="{3D7731DA-C156-47D5-9904-D5363CCC6916}"/>
    <cellStyle name="Normal 9 22 6 4" xfId="37932" xr:uid="{BDDAD343-E96C-4534-9FE3-566A74350376}"/>
    <cellStyle name="Normal 9 22 6 5" xfId="37933" xr:uid="{F2CD5EA6-E09E-4D9E-8867-6F7E915FB961}"/>
    <cellStyle name="Normal 9 22 6 6" xfId="37934" xr:uid="{BD9843A9-956E-46F5-8D3F-F22B74386BA4}"/>
    <cellStyle name="Normal 9 22 7" xfId="37935" xr:uid="{E51A6F15-24EC-475B-9561-3B6DCBC9AEF5}"/>
    <cellStyle name="Normal 9 22 7 2" xfId="37936" xr:uid="{A930D11C-5D68-4257-8455-65E86B7BFF76}"/>
    <cellStyle name="Normal 9 22 7 3" xfId="37937" xr:uid="{AE6CD812-F855-4C18-8187-A12DDBA0F0B1}"/>
    <cellStyle name="Normal 9 22 7 4" xfId="37938" xr:uid="{5CE921B5-25C1-45F1-93B1-678CF8E1C632}"/>
    <cellStyle name="Normal 9 22 7 5" xfId="37939" xr:uid="{20182872-B116-4906-AD73-A1D5C8379F28}"/>
    <cellStyle name="Normal 9 22 7 6" xfId="37940" xr:uid="{AF89AD13-9E05-452E-976E-850C31F8A821}"/>
    <cellStyle name="Normal 9 22 8" xfId="37941" xr:uid="{A47AA8F0-4502-4C73-8446-9996F8110C37}"/>
    <cellStyle name="Normal 9 22 8 2" xfId="37942" xr:uid="{DA3947C2-FAD4-4E8E-99B5-30C96C518A43}"/>
    <cellStyle name="Normal 9 22 8 3" xfId="37943" xr:uid="{35152D45-AFBA-422D-B38A-7D5EF86C53A0}"/>
    <cellStyle name="Normal 9 22 8 4" xfId="37944" xr:uid="{E7AC90E1-0C8A-4E74-AE97-40FCECA6C9FF}"/>
    <cellStyle name="Normal 9 22 8 5" xfId="37945" xr:uid="{D1B549FF-6E82-4DA3-AEB4-365C97981841}"/>
    <cellStyle name="Normal 9 22 8 6" xfId="37946" xr:uid="{BADA935B-FB5A-42D4-9283-DC92DD84C532}"/>
    <cellStyle name="Normal 9 22 9" xfId="37947" xr:uid="{F4E1C5E6-CD7B-4248-AEC8-334BE4F398E5}"/>
    <cellStyle name="Normal 9 23" xfId="37948" xr:uid="{4FA005EF-3B7B-470A-9189-4CBE7DB5EC51}"/>
    <cellStyle name="Normal 9 23 10" xfId="37949" xr:uid="{71B113B4-1E64-4811-97FF-E69CE1E52E51}"/>
    <cellStyle name="Normal 9 23 11" xfId="37950" xr:uid="{7663F1C4-8AF2-4DB6-97AD-3D3DB28BD416}"/>
    <cellStyle name="Normal 9 23 12" xfId="37951" xr:uid="{AC9AE3A5-D524-4B7D-83B3-F4C0C45B22B5}"/>
    <cellStyle name="Normal 9 23 13" xfId="37952" xr:uid="{D8F05B7E-E109-4DA2-9B32-D593FAC0A44B}"/>
    <cellStyle name="Normal 9 23 2" xfId="37953" xr:uid="{59FD7F72-296E-431B-B264-4854B1F506B5}"/>
    <cellStyle name="Normal 9 23 2 2" xfId="37954" xr:uid="{FEB3E443-8A12-4647-AB38-5A848B38B221}"/>
    <cellStyle name="Normal 9 23 2 3" xfId="37955" xr:uid="{09EEF72D-53E5-40D0-BCED-04884AB233E0}"/>
    <cellStyle name="Normal 9 23 2 4" xfId="37956" xr:uid="{3D04BB09-32CF-4727-B63A-FDBC4E15EC3E}"/>
    <cellStyle name="Normal 9 23 2 5" xfId="37957" xr:uid="{32859EF3-CDC9-46F9-91D8-02EBB4137CAC}"/>
    <cellStyle name="Normal 9 23 2 6" xfId="37958" xr:uid="{DBF44C01-CDB3-4262-BB2C-BF5B3BFAED2F}"/>
    <cellStyle name="Normal 9 23 3" xfId="37959" xr:uid="{DDD59970-B0E1-4BD4-9E08-92C16CF2FB0F}"/>
    <cellStyle name="Normal 9 23 3 2" xfId="37960" xr:uid="{ED007E15-1070-46C6-9C01-3DF64B3459DA}"/>
    <cellStyle name="Normal 9 23 3 3" xfId="37961" xr:uid="{88E40916-4C89-4CDF-812A-CEB2252B10E3}"/>
    <cellStyle name="Normal 9 23 3 4" xfId="37962" xr:uid="{803E5257-8C33-4D7B-A12C-2BEC61F401E5}"/>
    <cellStyle name="Normal 9 23 3 5" xfId="37963" xr:uid="{CD2B9171-E8E9-4EFE-AE11-68FADD6545B2}"/>
    <cellStyle name="Normal 9 23 3 6" xfId="37964" xr:uid="{63934DB9-8129-41A3-B0F4-CACD13F4F78A}"/>
    <cellStyle name="Normal 9 23 4" xfId="37965" xr:uid="{4AA09BB5-CBA1-4F66-ABB1-31694820E68C}"/>
    <cellStyle name="Normal 9 23 4 2" xfId="37966" xr:uid="{CFFD5A70-332E-45D5-8CD3-E9F9E8AB263B}"/>
    <cellStyle name="Normal 9 23 4 3" xfId="37967" xr:uid="{0D64DDB3-6252-400D-9142-E961FBEF4EA0}"/>
    <cellStyle name="Normal 9 23 4 4" xfId="37968" xr:uid="{26A6125D-6639-4CB8-9026-B566F3DF23B2}"/>
    <cellStyle name="Normal 9 23 4 5" xfId="37969" xr:uid="{FB887D52-A2A6-4858-ACC2-B90CFEF10E02}"/>
    <cellStyle name="Normal 9 23 4 6" xfId="37970" xr:uid="{B3C6F3AE-D496-4093-B31A-E732CCF36558}"/>
    <cellStyle name="Normal 9 23 5" xfId="37971" xr:uid="{6A612190-5B4E-4ADD-88D3-62984497A676}"/>
    <cellStyle name="Normal 9 23 5 2" xfId="37972" xr:uid="{720028D2-FA5D-4ED6-97DB-5D611A4D1FF8}"/>
    <cellStyle name="Normal 9 23 5 3" xfId="37973" xr:uid="{418DE03E-1A03-4528-9346-07FA7F34DE1D}"/>
    <cellStyle name="Normal 9 23 5 4" xfId="37974" xr:uid="{FBE7280C-001C-487A-A040-4686E33A17CF}"/>
    <cellStyle name="Normal 9 23 5 5" xfId="37975" xr:uid="{9E8138D1-5916-4385-96AD-B5AF671B7552}"/>
    <cellStyle name="Normal 9 23 5 6" xfId="37976" xr:uid="{58C404AF-B49A-4EB5-AEBC-059531C0FB0E}"/>
    <cellStyle name="Normal 9 23 6" xfId="37977" xr:uid="{5B840A88-51C7-4BAA-8D64-9025BD253F42}"/>
    <cellStyle name="Normal 9 23 6 2" xfId="37978" xr:uid="{146C6D79-926D-4442-B3C5-249F1B03C986}"/>
    <cellStyle name="Normal 9 23 6 3" xfId="37979" xr:uid="{814E709B-E99C-47A5-BE2C-48A888C3E0C0}"/>
    <cellStyle name="Normal 9 23 6 4" xfId="37980" xr:uid="{C910072E-73EA-4A0B-8740-9F60155A7B2A}"/>
    <cellStyle name="Normal 9 23 6 5" xfId="37981" xr:uid="{B882F849-368E-4F49-B2D1-49349B2A7BD1}"/>
    <cellStyle name="Normal 9 23 6 6" xfId="37982" xr:uid="{587BCA8D-6F2A-450F-94FD-9ECA4DD10FED}"/>
    <cellStyle name="Normal 9 23 7" xfId="37983" xr:uid="{6A468EA5-C305-4155-A0AD-76BD1DAE9EC3}"/>
    <cellStyle name="Normal 9 23 7 2" xfId="37984" xr:uid="{E724FE52-B74B-43CE-8601-8DD2B8B170C7}"/>
    <cellStyle name="Normal 9 23 7 3" xfId="37985" xr:uid="{0830B765-EF18-40E5-B24C-044163E3EAF5}"/>
    <cellStyle name="Normal 9 23 7 4" xfId="37986" xr:uid="{D2D84995-5751-4207-9372-EEA7E1C59D60}"/>
    <cellStyle name="Normal 9 23 7 5" xfId="37987" xr:uid="{67ABD6AC-2DCE-4D26-9A41-5E6F9744E24F}"/>
    <cellStyle name="Normal 9 23 7 6" xfId="37988" xr:uid="{6B3AEE40-54CC-4D72-92BF-0C115A609534}"/>
    <cellStyle name="Normal 9 23 8" xfId="37989" xr:uid="{85C9BB41-88FB-41C8-95A6-776B2C467024}"/>
    <cellStyle name="Normal 9 23 8 2" xfId="37990" xr:uid="{5E83ED3D-1D8A-499F-88F0-0051B58D7312}"/>
    <cellStyle name="Normal 9 23 8 3" xfId="37991" xr:uid="{4546A87E-7783-4E7E-855E-A11A3502BADA}"/>
    <cellStyle name="Normal 9 23 8 4" xfId="37992" xr:uid="{4B09452E-41DF-4639-9845-5ED4292AA35F}"/>
    <cellStyle name="Normal 9 23 8 5" xfId="37993" xr:uid="{F3AC88B5-9D4A-4A6E-BE75-6B2338A2689F}"/>
    <cellStyle name="Normal 9 23 8 6" xfId="37994" xr:uid="{D918A965-6F2E-4F53-8BD1-C37582FDA7C1}"/>
    <cellStyle name="Normal 9 23 9" xfId="37995" xr:uid="{D6E07F49-A6D6-4DBB-9926-1EC23333BA90}"/>
    <cellStyle name="Normal 9 24" xfId="37996" xr:uid="{23785D12-F08B-4961-8361-2F4B93DC222A}"/>
    <cellStyle name="Normal 9 24 10" xfId="37997" xr:uid="{9BDDCF50-B338-4539-BF74-677D3F7B6E57}"/>
    <cellStyle name="Normal 9 24 11" xfId="37998" xr:uid="{3628239B-1822-45C9-94C7-FB514FE9D10A}"/>
    <cellStyle name="Normal 9 24 12" xfId="37999" xr:uid="{E14EDC9D-D8AF-4D1E-B478-11A0B4CE00E6}"/>
    <cellStyle name="Normal 9 24 13" xfId="38000" xr:uid="{506A0A3F-72FA-462F-A0A3-7BD297C453A9}"/>
    <cellStyle name="Normal 9 24 2" xfId="38001" xr:uid="{F6F04E1A-ED97-4816-895F-0CD5AC656D81}"/>
    <cellStyle name="Normal 9 24 2 2" xfId="38002" xr:uid="{585DFC63-05C2-49AF-8179-949B594387AF}"/>
    <cellStyle name="Normal 9 24 2 3" xfId="38003" xr:uid="{FA933E76-8ABC-49B1-B61C-BD96810D623D}"/>
    <cellStyle name="Normal 9 24 2 4" xfId="38004" xr:uid="{8BA4BC07-A1D3-423E-A1D0-101046C75603}"/>
    <cellStyle name="Normal 9 24 2 5" xfId="38005" xr:uid="{87C3FC87-3EDE-4278-ABF1-DEE5BE4378E1}"/>
    <cellStyle name="Normal 9 24 2 6" xfId="38006" xr:uid="{A0A3EB3A-DAFE-47AC-9FE6-052258574C22}"/>
    <cellStyle name="Normal 9 24 3" xfId="38007" xr:uid="{6E68ABA3-C3B9-4342-BEC7-6576EBA7EA2C}"/>
    <cellStyle name="Normal 9 24 3 2" xfId="38008" xr:uid="{D6380515-4017-4F9F-97D6-829B4C54535A}"/>
    <cellStyle name="Normal 9 24 3 3" xfId="38009" xr:uid="{788CBCAE-FF11-4503-945D-1E36AB035359}"/>
    <cellStyle name="Normal 9 24 3 4" xfId="38010" xr:uid="{868E3531-1A38-4660-AD44-F9B9781BBB8E}"/>
    <cellStyle name="Normal 9 24 3 5" xfId="38011" xr:uid="{85BF5A4C-357F-4C98-8271-13178829FD81}"/>
    <cellStyle name="Normal 9 24 3 6" xfId="38012" xr:uid="{1C377797-2A3F-4AAC-888C-425497D9B227}"/>
    <cellStyle name="Normal 9 24 4" xfId="38013" xr:uid="{A70E74CD-9105-4D40-91A6-F327FFC4031D}"/>
    <cellStyle name="Normal 9 24 4 2" xfId="38014" xr:uid="{17969E02-6B11-4EA1-824F-C8AA212699DE}"/>
    <cellStyle name="Normal 9 24 4 3" xfId="38015" xr:uid="{184DF6C4-2510-4A36-9AA5-A610BCD653D7}"/>
    <cellStyle name="Normal 9 24 4 4" xfId="38016" xr:uid="{C3338516-5934-4022-A65E-A77E8CAF3779}"/>
    <cellStyle name="Normal 9 24 4 5" xfId="38017" xr:uid="{8D5AB820-DB82-4B3E-8D65-4D3AB4699976}"/>
    <cellStyle name="Normal 9 24 4 6" xfId="38018" xr:uid="{0E60B3B9-0DB5-4E02-A4F0-3C2434CF11A9}"/>
    <cellStyle name="Normal 9 24 5" xfId="38019" xr:uid="{E592F57A-8D9C-4B3E-9A39-C958DBE59856}"/>
    <cellStyle name="Normal 9 24 5 2" xfId="38020" xr:uid="{129765E3-4F32-4C4E-879B-B7D397CD2715}"/>
    <cellStyle name="Normal 9 24 5 3" xfId="38021" xr:uid="{D7DEF1BB-DE8B-4F69-BEA2-385222DB3E61}"/>
    <cellStyle name="Normal 9 24 5 4" xfId="38022" xr:uid="{1A89CC77-DE75-4811-A574-9B7CEC049F78}"/>
    <cellStyle name="Normal 9 24 5 5" xfId="38023" xr:uid="{DA910039-A672-4EB5-95F7-9DD99FAEA220}"/>
    <cellStyle name="Normal 9 24 5 6" xfId="38024" xr:uid="{8A1AC901-D718-4F0C-88F9-883965DF71E8}"/>
    <cellStyle name="Normal 9 24 6" xfId="38025" xr:uid="{9D3E09C8-8C4A-4011-8422-758C9AD6D9AC}"/>
    <cellStyle name="Normal 9 24 6 2" xfId="38026" xr:uid="{9DABB52A-18A7-4CBE-95EF-E82C5FF58883}"/>
    <cellStyle name="Normal 9 24 6 3" xfId="38027" xr:uid="{62491B1E-41EE-498F-9F5C-C08748F9C38D}"/>
    <cellStyle name="Normal 9 24 6 4" xfId="38028" xr:uid="{73E8CAFD-ADC4-4D32-9205-32D61B3CE2B8}"/>
    <cellStyle name="Normal 9 24 6 5" xfId="38029" xr:uid="{B1C8B678-DC7E-4266-A862-F4D4C0F77094}"/>
    <cellStyle name="Normal 9 24 6 6" xfId="38030" xr:uid="{91BB4EC6-06A8-460F-949A-ECA64FC105A2}"/>
    <cellStyle name="Normal 9 24 7" xfId="38031" xr:uid="{D820556E-3821-4BBE-8AB6-DE6AB7A34012}"/>
    <cellStyle name="Normal 9 24 7 2" xfId="38032" xr:uid="{B959E635-6243-45A2-8CF5-A37FB14AE05A}"/>
    <cellStyle name="Normal 9 24 7 3" xfId="38033" xr:uid="{8239D346-F7FC-4211-9A2F-24179EBB09AE}"/>
    <cellStyle name="Normal 9 24 7 4" xfId="38034" xr:uid="{BD900B2A-1A52-4423-A9A7-8FA3F3F6D151}"/>
    <cellStyle name="Normal 9 24 7 5" xfId="38035" xr:uid="{6D7EB587-AD5F-4FB5-B6D3-A40E8677009C}"/>
    <cellStyle name="Normal 9 24 7 6" xfId="38036" xr:uid="{2A66981A-55D5-4222-AF4A-326886563DF2}"/>
    <cellStyle name="Normal 9 24 8" xfId="38037" xr:uid="{864B7B99-FA46-41BB-84BC-8BD58D2B0431}"/>
    <cellStyle name="Normal 9 24 8 2" xfId="38038" xr:uid="{0FF3082D-5A0A-4EE9-AF74-B94F9EAA797C}"/>
    <cellStyle name="Normal 9 24 8 3" xfId="38039" xr:uid="{21EBFD19-7A26-439C-A1E3-B756BD902079}"/>
    <cellStyle name="Normal 9 24 8 4" xfId="38040" xr:uid="{63F6B3A0-289A-49CE-A691-06653A37B507}"/>
    <cellStyle name="Normal 9 24 8 5" xfId="38041" xr:uid="{CFDCCBB5-DB49-4BF4-850F-0BA877FC6DD0}"/>
    <cellStyle name="Normal 9 24 8 6" xfId="38042" xr:uid="{B0B0984E-5749-472A-82FB-7ABA316422E7}"/>
    <cellStyle name="Normal 9 24 9" xfId="38043" xr:uid="{7FA1B999-AC70-44A6-A1A2-6414015DFA2B}"/>
    <cellStyle name="Normal 9 25" xfId="38044" xr:uid="{86921E94-A1A3-4C80-B523-09C3CFBB272E}"/>
    <cellStyle name="Normal 9 25 10" xfId="38045" xr:uid="{136E34B1-44D1-4AAE-AFBB-671936D8DCFC}"/>
    <cellStyle name="Normal 9 25 11" xfId="38046" xr:uid="{F436E767-10DF-48B3-8C10-EF2E5666FF09}"/>
    <cellStyle name="Normal 9 25 12" xfId="38047" xr:uid="{03B28702-5989-4B2D-A124-5689FF772793}"/>
    <cellStyle name="Normal 9 25 13" xfId="38048" xr:uid="{FF34CBEB-A60E-448D-B4F5-C24311200620}"/>
    <cellStyle name="Normal 9 25 2" xfId="38049" xr:uid="{93672101-5638-4F40-BA42-3077272D9F76}"/>
    <cellStyle name="Normal 9 25 2 2" xfId="38050" xr:uid="{64CE59F5-C918-451E-AF45-904F71DB609F}"/>
    <cellStyle name="Normal 9 25 2 3" xfId="38051" xr:uid="{67D0A9C5-4EE1-4C55-88F6-0756E40A9F77}"/>
    <cellStyle name="Normal 9 25 2 4" xfId="38052" xr:uid="{FABFBB38-541B-40B6-A7C9-97DB59762CAA}"/>
    <cellStyle name="Normal 9 25 2 5" xfId="38053" xr:uid="{75A3C20E-9519-434A-B663-AC5EFDAFF2DE}"/>
    <cellStyle name="Normal 9 25 2 6" xfId="38054" xr:uid="{1EC5BE0D-EF90-4EA2-AFD0-E8194796FCD2}"/>
    <cellStyle name="Normal 9 25 3" xfId="38055" xr:uid="{06BC8B33-DED9-4137-AF9B-444D0C649D85}"/>
    <cellStyle name="Normal 9 25 3 2" xfId="38056" xr:uid="{4D495A57-9136-49B9-9C82-40ADDC274530}"/>
    <cellStyle name="Normal 9 25 3 3" xfId="38057" xr:uid="{6F580346-12F1-426F-839B-E8AD05ABCFD9}"/>
    <cellStyle name="Normal 9 25 3 4" xfId="38058" xr:uid="{8CF02BD2-B6E9-47C2-B066-27C77FCF0BDB}"/>
    <cellStyle name="Normal 9 25 3 5" xfId="38059" xr:uid="{B6AF2993-D0E0-4D88-BFB1-D5644C1E61AC}"/>
    <cellStyle name="Normal 9 25 3 6" xfId="38060" xr:uid="{191952E9-D420-4822-84F7-78CE55CC9D03}"/>
    <cellStyle name="Normal 9 25 4" xfId="38061" xr:uid="{A82C8C71-08F0-4DB5-B1E8-88DEE04F1613}"/>
    <cellStyle name="Normal 9 25 4 2" xfId="38062" xr:uid="{E34617F6-80F3-4ED5-B85E-0D97FC178E01}"/>
    <cellStyle name="Normal 9 25 4 3" xfId="38063" xr:uid="{1B1856C8-A3FA-4ABE-B103-5A4F95A3CE90}"/>
    <cellStyle name="Normal 9 25 4 4" xfId="38064" xr:uid="{08BC4CF7-94E0-444E-95BE-7FDA0597CFFF}"/>
    <cellStyle name="Normal 9 25 4 5" xfId="38065" xr:uid="{753A7C92-1D55-4CD8-8853-F432C543B033}"/>
    <cellStyle name="Normal 9 25 4 6" xfId="38066" xr:uid="{1444048A-8F8E-4730-9166-FF38E08C84BE}"/>
    <cellStyle name="Normal 9 25 5" xfId="38067" xr:uid="{03CD943D-56B0-413B-8D15-CC3B5A9F8E76}"/>
    <cellStyle name="Normal 9 25 5 2" xfId="38068" xr:uid="{24776A7A-0884-4217-A176-BAF24747329C}"/>
    <cellStyle name="Normal 9 25 5 3" xfId="38069" xr:uid="{0C29ECF8-5766-41ED-B0F6-1879B228CB16}"/>
    <cellStyle name="Normal 9 25 5 4" xfId="38070" xr:uid="{7E4FBB41-F8DD-4770-93B0-C15609076FDB}"/>
    <cellStyle name="Normal 9 25 5 5" xfId="38071" xr:uid="{A06004E0-6426-4872-9DBF-E78DEC3E8688}"/>
    <cellStyle name="Normal 9 25 5 6" xfId="38072" xr:uid="{D7F8C6C3-39C3-465C-A463-70BDF5927841}"/>
    <cellStyle name="Normal 9 25 6" xfId="38073" xr:uid="{29DC5BCF-E630-4E34-A70D-8D41B5DE60D8}"/>
    <cellStyle name="Normal 9 25 6 2" xfId="38074" xr:uid="{3C5FE940-2C0D-4CC7-9FC4-D5CAC07D56EE}"/>
    <cellStyle name="Normal 9 25 6 3" xfId="38075" xr:uid="{D8A88F21-7147-4AAA-BA9D-B948E32B7452}"/>
    <cellStyle name="Normal 9 25 6 4" xfId="38076" xr:uid="{1EEAD128-F5D9-4919-9858-416872536A6A}"/>
    <cellStyle name="Normal 9 25 6 5" xfId="38077" xr:uid="{820C6E00-175D-48BF-9A76-B1059930E56B}"/>
    <cellStyle name="Normal 9 25 6 6" xfId="38078" xr:uid="{C2E39474-FF1F-467C-B4C6-4382FAC9A0BB}"/>
    <cellStyle name="Normal 9 25 7" xfId="38079" xr:uid="{6DD769F7-18C9-49FC-B45B-C5CFE72584D3}"/>
    <cellStyle name="Normal 9 25 7 2" xfId="38080" xr:uid="{01398E5D-14B0-448E-8419-6D63A1AAB1DF}"/>
    <cellStyle name="Normal 9 25 7 3" xfId="38081" xr:uid="{D7D8E959-FE90-4C5E-BD8F-52FFCF6AE21C}"/>
    <cellStyle name="Normal 9 25 7 4" xfId="38082" xr:uid="{D725641C-3ED3-404B-A8D8-0E6D1A02455B}"/>
    <cellStyle name="Normal 9 25 7 5" xfId="38083" xr:uid="{85D99211-4FA6-4925-BB8C-61804A01B367}"/>
    <cellStyle name="Normal 9 25 7 6" xfId="38084" xr:uid="{71BD7257-7A76-4D5F-81E7-8D46110B4442}"/>
    <cellStyle name="Normal 9 25 8" xfId="38085" xr:uid="{66B5928C-8EBA-474B-8EE0-33B4F4B7C694}"/>
    <cellStyle name="Normal 9 25 8 2" xfId="38086" xr:uid="{90E38592-9115-4C9B-8B5A-D6327DCD04C3}"/>
    <cellStyle name="Normal 9 25 8 3" xfId="38087" xr:uid="{9B02FF23-DD95-41C9-942F-34C4C924F27B}"/>
    <cellStyle name="Normal 9 25 8 4" xfId="38088" xr:uid="{EE16A8FE-4A49-4A9A-AA5B-1471C7D45847}"/>
    <cellStyle name="Normal 9 25 8 5" xfId="38089" xr:uid="{06A2190E-ABF6-4208-8A0E-ED1EE5E13F08}"/>
    <cellStyle name="Normal 9 25 8 6" xfId="38090" xr:uid="{960B28E0-D0A9-45B2-A2BE-7C7E7C525B4A}"/>
    <cellStyle name="Normal 9 25 9" xfId="38091" xr:uid="{6A3C5A2B-3D47-4FBD-AE37-7E6D1F4C8373}"/>
    <cellStyle name="Normal 9 26" xfId="38092" xr:uid="{666E5ADA-8E4F-4477-AF66-9E66A6E40C0B}"/>
    <cellStyle name="Normal 9 26 10" xfId="38093" xr:uid="{4FF2F306-4C6E-4C33-BEB0-7F8A0E525FAA}"/>
    <cellStyle name="Normal 9 26 11" xfId="38094" xr:uid="{CC495356-216C-480E-A147-FDA80B340A6C}"/>
    <cellStyle name="Normal 9 26 12" xfId="38095" xr:uid="{37A34D04-2568-4651-B8B5-88EF9C302005}"/>
    <cellStyle name="Normal 9 26 13" xfId="38096" xr:uid="{EC464D9B-0762-41C5-A3FE-971A389C5ED4}"/>
    <cellStyle name="Normal 9 26 2" xfId="38097" xr:uid="{D5C047B7-38B7-4B9E-96F0-B1BF4368F70D}"/>
    <cellStyle name="Normal 9 26 2 2" xfId="38098" xr:uid="{AD25E7C8-0F7B-4D84-AC8C-ECA80F23B6EF}"/>
    <cellStyle name="Normal 9 26 2 3" xfId="38099" xr:uid="{F759746E-7FD2-4025-BC8A-240ABF90108A}"/>
    <cellStyle name="Normal 9 26 2 4" xfId="38100" xr:uid="{EEA741D2-77FE-451E-84D1-03363A9D017A}"/>
    <cellStyle name="Normal 9 26 2 5" xfId="38101" xr:uid="{E9CE8CF4-E578-4EBD-87E3-24688F9CB328}"/>
    <cellStyle name="Normal 9 26 2 6" xfId="38102" xr:uid="{CC38C60C-A75B-40F8-B7B3-FC2207E5D124}"/>
    <cellStyle name="Normal 9 26 3" xfId="38103" xr:uid="{893EF9AF-0893-45B4-B1D1-FEB636511A85}"/>
    <cellStyle name="Normal 9 26 3 2" xfId="38104" xr:uid="{77A9FC69-468A-445F-8040-9D9435882162}"/>
    <cellStyle name="Normal 9 26 3 3" xfId="38105" xr:uid="{5599DF71-FA7C-4989-A749-78FE650E74DF}"/>
    <cellStyle name="Normal 9 26 3 4" xfId="38106" xr:uid="{F103E1A4-6533-4AC2-8E5B-83E7BA896EB9}"/>
    <cellStyle name="Normal 9 26 3 5" xfId="38107" xr:uid="{1A4FEAEB-3D8D-44A6-B8CB-0A28D0C05E0E}"/>
    <cellStyle name="Normal 9 26 3 6" xfId="38108" xr:uid="{4DFA4729-7F4B-48DF-B41C-8094AC9274C2}"/>
    <cellStyle name="Normal 9 26 4" xfId="38109" xr:uid="{54CF1AE2-177C-4C2A-BA47-1BA8216429CF}"/>
    <cellStyle name="Normal 9 26 4 2" xfId="38110" xr:uid="{6EBE733C-62EB-45A5-803F-35F9C1CA9A37}"/>
    <cellStyle name="Normal 9 26 4 3" xfId="38111" xr:uid="{6B321C02-36C2-4CE2-AC04-9E5A37ADCBB8}"/>
    <cellStyle name="Normal 9 26 4 4" xfId="38112" xr:uid="{F22E690F-A283-4B5E-AEDA-81E25B2004D2}"/>
    <cellStyle name="Normal 9 26 4 5" xfId="38113" xr:uid="{E75EE2DD-86CC-4885-93F0-D30178670DB8}"/>
    <cellStyle name="Normal 9 26 4 6" xfId="38114" xr:uid="{FC3824DC-2F87-4E53-B633-71CC37923BB8}"/>
    <cellStyle name="Normal 9 26 5" xfId="38115" xr:uid="{265EE195-F60F-4FA7-8955-58161E2E6CB9}"/>
    <cellStyle name="Normal 9 26 5 2" xfId="38116" xr:uid="{C4D99B07-FF8B-41D2-B7E4-74DB6D371590}"/>
    <cellStyle name="Normal 9 26 5 3" xfId="38117" xr:uid="{59222A24-2659-4F75-9E15-4C39F511F8D1}"/>
    <cellStyle name="Normal 9 26 5 4" xfId="38118" xr:uid="{F076C109-C890-4D47-BC3A-0C4AA93B4E61}"/>
    <cellStyle name="Normal 9 26 5 5" xfId="38119" xr:uid="{63B996F6-0F16-474D-AAFC-0B7970517BF9}"/>
    <cellStyle name="Normal 9 26 5 6" xfId="38120" xr:uid="{CC57E2C1-46A9-4683-8ED7-EEA20E703037}"/>
    <cellStyle name="Normal 9 26 6" xfId="38121" xr:uid="{496CFE17-005E-408A-8160-8FEE4F4D79C7}"/>
    <cellStyle name="Normal 9 26 6 2" xfId="38122" xr:uid="{A5862976-EC41-476B-B0CF-F5ACE7645A1B}"/>
    <cellStyle name="Normal 9 26 6 3" xfId="38123" xr:uid="{A839F98C-40E3-4A93-BF05-4AD8CFDDCDFE}"/>
    <cellStyle name="Normal 9 26 6 4" xfId="38124" xr:uid="{83EAD8D7-07FF-47E9-A509-C8BE7912F764}"/>
    <cellStyle name="Normal 9 26 6 5" xfId="38125" xr:uid="{B465736A-ABE6-46A4-A2C2-5BFD64AE1FBF}"/>
    <cellStyle name="Normal 9 26 6 6" xfId="38126" xr:uid="{005F3AF8-5ECC-411D-9454-174C08853221}"/>
    <cellStyle name="Normal 9 26 7" xfId="38127" xr:uid="{8407305B-E275-4EC3-95EA-ED0309CAC623}"/>
    <cellStyle name="Normal 9 26 7 2" xfId="38128" xr:uid="{CA6DC3F0-0463-43CC-845A-2850C6776FE4}"/>
    <cellStyle name="Normal 9 26 7 3" xfId="38129" xr:uid="{BAC1FD03-0216-4D5D-8FC3-A9575F33C118}"/>
    <cellStyle name="Normal 9 26 7 4" xfId="38130" xr:uid="{2D95B913-C72E-42B6-97F4-B8D85EE878A5}"/>
    <cellStyle name="Normal 9 26 7 5" xfId="38131" xr:uid="{CF9D0AFC-E5FA-4563-9E09-0CF3996465FB}"/>
    <cellStyle name="Normal 9 26 7 6" xfId="38132" xr:uid="{814588BA-8C6E-4823-B3FD-581F3F7D9BD5}"/>
    <cellStyle name="Normal 9 26 8" xfId="38133" xr:uid="{F46CCCBF-CFA4-4272-8E9C-8615288DC667}"/>
    <cellStyle name="Normal 9 26 8 2" xfId="38134" xr:uid="{BA3352AF-5E33-496D-B125-B88168E1D2BB}"/>
    <cellStyle name="Normal 9 26 8 3" xfId="38135" xr:uid="{C045165F-F4C4-4969-8404-F53126901477}"/>
    <cellStyle name="Normal 9 26 8 4" xfId="38136" xr:uid="{17438E36-8428-4C4E-9290-63734AA8F6E0}"/>
    <cellStyle name="Normal 9 26 8 5" xfId="38137" xr:uid="{CC222C8F-CC2C-4DDB-83B0-9FE7E8E085B7}"/>
    <cellStyle name="Normal 9 26 8 6" xfId="38138" xr:uid="{D33794CF-FC93-4A5D-A334-E7E67583C477}"/>
    <cellStyle name="Normal 9 26 9" xfId="38139" xr:uid="{4C5B9430-F892-4443-8598-3D4C22277CCF}"/>
    <cellStyle name="Normal 9 27" xfId="38140" xr:uid="{B0D44FFF-79C5-48D4-A2D6-728C33A566AD}"/>
    <cellStyle name="Normal 9 27 10" xfId="38141" xr:uid="{3CD8DA63-6C18-46E1-AF8C-DBA79CB5B927}"/>
    <cellStyle name="Normal 9 27 11" xfId="38142" xr:uid="{2392906E-F695-438B-BB05-F03FCE1BD382}"/>
    <cellStyle name="Normal 9 27 12" xfId="38143" xr:uid="{4875AFCF-131A-4961-8B9A-0C80AF85CEFA}"/>
    <cellStyle name="Normal 9 27 13" xfId="38144" xr:uid="{3AD466B8-35D2-4E90-8D40-6E99EACBD884}"/>
    <cellStyle name="Normal 9 27 2" xfId="38145" xr:uid="{468F7D27-880C-4B03-A1B3-AEE4A58F706F}"/>
    <cellStyle name="Normal 9 27 2 2" xfId="38146" xr:uid="{E2470AEB-05E8-4539-B32A-D212D07E5A5D}"/>
    <cellStyle name="Normal 9 27 2 3" xfId="38147" xr:uid="{462CF204-EDB4-4E65-A77C-D5612D867B49}"/>
    <cellStyle name="Normal 9 27 2 4" xfId="38148" xr:uid="{6FA383F8-79FE-486C-A51E-4ECDBECE39E8}"/>
    <cellStyle name="Normal 9 27 2 5" xfId="38149" xr:uid="{C0FFC80A-B319-459C-A424-2C9C20E5F443}"/>
    <cellStyle name="Normal 9 27 2 6" xfId="38150" xr:uid="{DD7ED136-65B1-4DA4-ACE3-C93EA1BCAA09}"/>
    <cellStyle name="Normal 9 27 3" xfId="38151" xr:uid="{CD019246-ECC3-4F05-A83E-2446B1C2D545}"/>
    <cellStyle name="Normal 9 27 3 2" xfId="38152" xr:uid="{68969796-72A3-4D30-9207-F62DEA9E765F}"/>
    <cellStyle name="Normal 9 27 3 3" xfId="38153" xr:uid="{5682F64F-2371-45C8-81F3-607067D4ED25}"/>
    <cellStyle name="Normal 9 27 3 4" xfId="38154" xr:uid="{123591B8-F52B-4696-B02D-EB76ADE8837F}"/>
    <cellStyle name="Normal 9 27 3 5" xfId="38155" xr:uid="{D2814202-79C1-4DB5-BC4B-00728EC9C915}"/>
    <cellStyle name="Normal 9 27 3 6" xfId="38156" xr:uid="{B9840A9D-8947-4C09-9A3C-F36AE67B89C7}"/>
    <cellStyle name="Normal 9 27 4" xfId="38157" xr:uid="{1FF0432A-06DB-4967-BF01-1F213B30D5BC}"/>
    <cellStyle name="Normal 9 27 4 2" xfId="38158" xr:uid="{F71C93C0-A6B1-4A48-A925-07154A68A36E}"/>
    <cellStyle name="Normal 9 27 4 3" xfId="38159" xr:uid="{65151A7B-9609-4BE3-86B3-74E99C5F0633}"/>
    <cellStyle name="Normal 9 27 4 4" xfId="38160" xr:uid="{6103AE2D-7AE5-4299-845E-0A824F3AC92C}"/>
    <cellStyle name="Normal 9 27 4 5" xfId="38161" xr:uid="{AC581EDA-2D73-4E8C-899C-5F903ECE33AA}"/>
    <cellStyle name="Normal 9 27 4 6" xfId="38162" xr:uid="{A396A466-D9E1-4FF8-9B17-F7409F92634E}"/>
    <cellStyle name="Normal 9 27 5" xfId="38163" xr:uid="{C2BD73E9-7A74-44CB-8FBA-ADF393D13880}"/>
    <cellStyle name="Normal 9 27 5 2" xfId="38164" xr:uid="{1A148030-479E-43CC-ADD5-75D2189DC673}"/>
    <cellStyle name="Normal 9 27 5 3" xfId="38165" xr:uid="{2D1F2F12-402D-4C1D-A1EE-B3D2BD62A48E}"/>
    <cellStyle name="Normal 9 27 5 4" xfId="38166" xr:uid="{ABFB36C8-20C1-42C6-B138-E1265C154E7C}"/>
    <cellStyle name="Normal 9 27 5 5" xfId="38167" xr:uid="{2E9E8C9F-066A-40CA-BF5E-EEDDFDE3FD9A}"/>
    <cellStyle name="Normal 9 27 5 6" xfId="38168" xr:uid="{34E678CE-4504-4C79-B038-2C87FD9A10F5}"/>
    <cellStyle name="Normal 9 27 6" xfId="38169" xr:uid="{5C525D56-D26D-4B8D-A444-5501CDA0B9C3}"/>
    <cellStyle name="Normal 9 27 6 2" xfId="38170" xr:uid="{93FADC8C-220B-4A9A-9905-FD63C95ED510}"/>
    <cellStyle name="Normal 9 27 6 3" xfId="38171" xr:uid="{CDCF170C-8071-4596-9093-12E35602C9EA}"/>
    <cellStyle name="Normal 9 27 6 4" xfId="38172" xr:uid="{9415F648-F744-4AD5-88D8-69F2731DD85F}"/>
    <cellStyle name="Normal 9 27 6 5" xfId="38173" xr:uid="{7A5425AA-2B6C-4F5B-861D-B262E5FF62CD}"/>
    <cellStyle name="Normal 9 27 6 6" xfId="38174" xr:uid="{90D40858-DD78-4047-BBBB-EF9834F5F773}"/>
    <cellStyle name="Normal 9 27 7" xfId="38175" xr:uid="{D0824BE4-4FC7-4DA7-A6E6-90FE8A0DC8F8}"/>
    <cellStyle name="Normal 9 27 7 2" xfId="38176" xr:uid="{0B6420CB-052E-4D7C-81A2-931A483F8F27}"/>
    <cellStyle name="Normal 9 27 7 3" xfId="38177" xr:uid="{D4A02D23-51A8-439E-A963-1242103ED314}"/>
    <cellStyle name="Normal 9 27 7 4" xfId="38178" xr:uid="{60B268C7-503F-496E-BCFD-0355499B19D4}"/>
    <cellStyle name="Normal 9 27 7 5" xfId="38179" xr:uid="{B48ED247-F09B-4F7B-9C43-233933815C07}"/>
    <cellStyle name="Normal 9 27 7 6" xfId="38180" xr:uid="{60084E00-DF7E-4332-AAC8-2BDE82F25AC1}"/>
    <cellStyle name="Normal 9 27 8" xfId="38181" xr:uid="{30D6A283-EA3F-44B8-B67D-1CA7CFA9B139}"/>
    <cellStyle name="Normal 9 27 8 2" xfId="38182" xr:uid="{98DD60A9-F9EF-4523-BDAB-A609AD905F4A}"/>
    <cellStyle name="Normal 9 27 8 3" xfId="38183" xr:uid="{E4F44DAC-BE0F-4C83-B05C-CEC0D3687CF6}"/>
    <cellStyle name="Normal 9 27 8 4" xfId="38184" xr:uid="{CE951AD6-7BEA-45E3-8BE1-5319B7AB6DDA}"/>
    <cellStyle name="Normal 9 27 8 5" xfId="38185" xr:uid="{3F2B905B-94AE-4D7C-A3CF-7223C72A2279}"/>
    <cellStyle name="Normal 9 27 8 6" xfId="38186" xr:uid="{88591A36-9C62-4A43-8FA9-83A627589A56}"/>
    <cellStyle name="Normal 9 27 9" xfId="38187" xr:uid="{CC24E707-8664-4289-8017-90DD3BB5C134}"/>
    <cellStyle name="Normal 9 28" xfId="38188" xr:uid="{439F4E4B-403E-4DE3-8877-2EDA8985506D}"/>
    <cellStyle name="Normal 9 28 10" xfId="38189" xr:uid="{0B61F618-200C-43FA-B11D-F3CF3FBDAD42}"/>
    <cellStyle name="Normal 9 28 11" xfId="38190" xr:uid="{7B9CEC5F-B210-4D21-83BA-096DD18A7260}"/>
    <cellStyle name="Normal 9 28 12" xfId="38191" xr:uid="{22ED766C-372D-4B8C-BA89-9BE80B366BDF}"/>
    <cellStyle name="Normal 9 28 13" xfId="38192" xr:uid="{CD3E16E5-81C1-4882-A15A-2D11531DD78A}"/>
    <cellStyle name="Normal 9 28 2" xfId="38193" xr:uid="{F869D49B-33DB-465B-A570-59BDD622371C}"/>
    <cellStyle name="Normal 9 28 2 2" xfId="38194" xr:uid="{2A8F5CAE-E594-42F4-9D93-38229D10A013}"/>
    <cellStyle name="Normal 9 28 2 3" xfId="38195" xr:uid="{75E73151-0F25-447B-AF8C-F13C74343ED6}"/>
    <cellStyle name="Normal 9 28 2 4" xfId="38196" xr:uid="{5E13B521-40C4-426F-AF38-0671AC8FB625}"/>
    <cellStyle name="Normal 9 28 2 5" xfId="38197" xr:uid="{7244CDAF-35A5-48E2-98F6-7F906329CFF4}"/>
    <cellStyle name="Normal 9 28 2 6" xfId="38198" xr:uid="{8C352CC9-5822-49D2-AF5F-9D9DDF4212E2}"/>
    <cellStyle name="Normal 9 28 3" xfId="38199" xr:uid="{331AD4C2-D1C4-4982-A15D-A5E1584792EA}"/>
    <cellStyle name="Normal 9 28 3 2" xfId="38200" xr:uid="{3F475616-6B8D-482A-9248-B984A16FBD42}"/>
    <cellStyle name="Normal 9 28 3 3" xfId="38201" xr:uid="{B1E0505A-54D2-4FE0-84FC-8FFEC5762A58}"/>
    <cellStyle name="Normal 9 28 3 4" xfId="38202" xr:uid="{1C705423-AE1D-4896-BAC9-6587B68C6A87}"/>
    <cellStyle name="Normal 9 28 3 5" xfId="38203" xr:uid="{29AB1FBB-6123-406B-9224-BDC64361D8F2}"/>
    <cellStyle name="Normal 9 28 3 6" xfId="38204" xr:uid="{F6D45199-ABAE-4E2A-86A1-C00826877F28}"/>
    <cellStyle name="Normal 9 28 4" xfId="38205" xr:uid="{A60A04F6-78F4-4E7A-BEC8-AD0EAE4CA35D}"/>
    <cellStyle name="Normal 9 28 4 2" xfId="38206" xr:uid="{C7F8D44D-15E1-4C1C-AF0A-9FC800A8C810}"/>
    <cellStyle name="Normal 9 28 4 3" xfId="38207" xr:uid="{4FFCC8DB-54D3-464D-8D8E-DC92058F39C7}"/>
    <cellStyle name="Normal 9 28 4 4" xfId="38208" xr:uid="{478CC75F-5C3F-4487-A99B-48751FDED49C}"/>
    <cellStyle name="Normal 9 28 4 5" xfId="38209" xr:uid="{EBB42DB3-8412-4F38-9A22-7CF1C7AD9B22}"/>
    <cellStyle name="Normal 9 28 4 6" xfId="38210" xr:uid="{9A8E4040-059D-4EE1-95A7-D3B2DC832680}"/>
    <cellStyle name="Normal 9 28 5" xfId="38211" xr:uid="{8A9B222C-9008-4E60-9A07-0FAA74AD00A9}"/>
    <cellStyle name="Normal 9 28 5 2" xfId="38212" xr:uid="{D9ED1740-9D82-4ACA-970D-767F5202DB45}"/>
    <cellStyle name="Normal 9 28 5 3" xfId="38213" xr:uid="{22C10DE5-E496-412A-9C7A-6F2AB3B9D58D}"/>
    <cellStyle name="Normal 9 28 5 4" xfId="38214" xr:uid="{43AE8E26-D771-41C6-92E8-7FF15DD2EED6}"/>
    <cellStyle name="Normal 9 28 5 5" xfId="38215" xr:uid="{F5AA3F31-82AF-4F49-B8A4-91A91FD8C8DD}"/>
    <cellStyle name="Normal 9 28 5 6" xfId="38216" xr:uid="{F3BEF081-2276-4866-A998-CAC8D267703A}"/>
    <cellStyle name="Normal 9 28 6" xfId="38217" xr:uid="{B90D776F-4185-4F4B-9B5F-B115B5022292}"/>
    <cellStyle name="Normal 9 28 6 2" xfId="38218" xr:uid="{F83A6E81-A66D-4595-8824-F841A402DC57}"/>
    <cellStyle name="Normal 9 28 6 3" xfId="38219" xr:uid="{467F1219-072E-4021-B5C5-99A6DB5C70FB}"/>
    <cellStyle name="Normal 9 28 6 4" xfId="38220" xr:uid="{4148802A-1C4D-45C6-A29B-5CFE7562F353}"/>
    <cellStyle name="Normal 9 28 6 5" xfId="38221" xr:uid="{075A01C1-9E12-447D-B6B0-4A9F75CFDA49}"/>
    <cellStyle name="Normal 9 28 6 6" xfId="38222" xr:uid="{A76FB953-5CF8-4FB7-B813-B918DEA3ABD4}"/>
    <cellStyle name="Normal 9 28 7" xfId="38223" xr:uid="{088B5C46-8D4D-4BF5-8ABE-EE406B1A91A9}"/>
    <cellStyle name="Normal 9 28 7 2" xfId="38224" xr:uid="{317073DC-0B6C-4B61-9D3E-81F837E04632}"/>
    <cellStyle name="Normal 9 28 7 3" xfId="38225" xr:uid="{9ABE8BC5-6EB7-4A79-B6B9-950B2229D49E}"/>
    <cellStyle name="Normal 9 28 7 4" xfId="38226" xr:uid="{CE68C524-647D-426A-A46F-F5107519FF6B}"/>
    <cellStyle name="Normal 9 28 7 5" xfId="38227" xr:uid="{C95510FD-7981-4D56-93F6-740DB8E14DAD}"/>
    <cellStyle name="Normal 9 28 7 6" xfId="38228" xr:uid="{6974D339-46CC-46A0-A4F2-ADD913AEC666}"/>
    <cellStyle name="Normal 9 28 8" xfId="38229" xr:uid="{DB771BB1-23AE-44AD-B135-97B1FDD6BC3C}"/>
    <cellStyle name="Normal 9 28 8 2" xfId="38230" xr:uid="{2CA1C322-2FDB-4A36-B74E-7C1B6C478796}"/>
    <cellStyle name="Normal 9 28 8 3" xfId="38231" xr:uid="{723FA7F1-9A5D-410A-BF40-9238CB51AC1D}"/>
    <cellStyle name="Normal 9 28 8 4" xfId="38232" xr:uid="{8717BD2F-DA15-4DFF-83D9-F523BE7A017C}"/>
    <cellStyle name="Normal 9 28 8 5" xfId="38233" xr:uid="{3029C9E5-A00C-4E5F-84E3-9ECDDD36C6F7}"/>
    <cellStyle name="Normal 9 28 8 6" xfId="38234" xr:uid="{310D1DD0-D09E-4D44-ADB3-192047169290}"/>
    <cellStyle name="Normal 9 28 9" xfId="38235" xr:uid="{5416B644-0615-47E1-B13E-935529F3BA78}"/>
    <cellStyle name="Normal 9 29" xfId="38236" xr:uid="{43256683-9EF8-4FAF-8448-6752FCC877A0}"/>
    <cellStyle name="Normal 9 29 10" xfId="38237" xr:uid="{9DA4E97D-6172-4E5E-BF49-E39B2966FFC7}"/>
    <cellStyle name="Normal 9 29 11" xfId="38238" xr:uid="{CFE7832A-9AB3-47A8-A74C-FCAF5417AB3C}"/>
    <cellStyle name="Normal 9 29 12" xfId="38239" xr:uid="{E4BE47B0-CE05-43E0-9FF1-6EA0F596E629}"/>
    <cellStyle name="Normal 9 29 13" xfId="38240" xr:uid="{A4D72A09-E407-4DC6-BB51-79C73D1F62D2}"/>
    <cellStyle name="Normal 9 29 2" xfId="38241" xr:uid="{CE417438-FECE-46EC-B153-07AA6FF67CB3}"/>
    <cellStyle name="Normal 9 29 2 2" xfId="38242" xr:uid="{63A1BCE6-BFD1-470A-8E89-93C9E8967952}"/>
    <cellStyle name="Normal 9 29 2 3" xfId="38243" xr:uid="{E97C1C48-8BAF-492D-BE83-CA8954DB0742}"/>
    <cellStyle name="Normal 9 29 2 4" xfId="38244" xr:uid="{D0194717-B088-42BF-B8A5-FD7794B9314B}"/>
    <cellStyle name="Normal 9 29 2 5" xfId="38245" xr:uid="{F9F6775A-C902-493D-8481-445D10D69DDA}"/>
    <cellStyle name="Normal 9 29 2 6" xfId="38246" xr:uid="{63E19BE4-6DA8-410B-AF1D-C7A3AA61FEE7}"/>
    <cellStyle name="Normal 9 29 3" xfId="38247" xr:uid="{E25B84F2-8FE6-465D-9179-89A743520468}"/>
    <cellStyle name="Normal 9 29 3 2" xfId="38248" xr:uid="{49A9AFD7-6686-4F0F-8D0B-D991CF9B76AC}"/>
    <cellStyle name="Normal 9 29 3 3" xfId="38249" xr:uid="{28A4542F-7170-4E56-9EF6-1B919E8DEB85}"/>
    <cellStyle name="Normal 9 29 3 4" xfId="38250" xr:uid="{D9061AFE-8389-4C87-BA02-BAB95CB772B7}"/>
    <cellStyle name="Normal 9 29 3 5" xfId="38251" xr:uid="{163C59D7-9D55-4BCD-A78F-8D6012E356C5}"/>
    <cellStyle name="Normal 9 29 3 6" xfId="38252" xr:uid="{DD678D3D-07D9-43B0-AA4D-82C333E9BF80}"/>
    <cellStyle name="Normal 9 29 4" xfId="38253" xr:uid="{9DED5C4F-AD35-4039-9A84-D0DB34266A2E}"/>
    <cellStyle name="Normal 9 29 4 2" xfId="38254" xr:uid="{7F903300-A761-4283-9F5D-E33BD338FA7C}"/>
    <cellStyle name="Normal 9 29 4 3" xfId="38255" xr:uid="{D8B3BFAA-7CE5-4F21-88D0-E24BFF49D69C}"/>
    <cellStyle name="Normal 9 29 4 4" xfId="38256" xr:uid="{845F33CA-0A4B-4966-A8AF-B78D904C0310}"/>
    <cellStyle name="Normal 9 29 4 5" xfId="38257" xr:uid="{05CD03A8-350E-42D2-92DB-CE0F4132F57F}"/>
    <cellStyle name="Normal 9 29 4 6" xfId="38258" xr:uid="{58798111-46C7-42CA-82EF-2CD0830F54E5}"/>
    <cellStyle name="Normal 9 29 5" xfId="38259" xr:uid="{EFE2AC20-D456-43B8-BCE7-F34B2B799F43}"/>
    <cellStyle name="Normal 9 29 5 2" xfId="38260" xr:uid="{2677572F-7402-4B42-8DDC-3DC0C673399A}"/>
    <cellStyle name="Normal 9 29 5 3" xfId="38261" xr:uid="{170A2B92-D9B5-4591-BFA0-3811BE99292F}"/>
    <cellStyle name="Normal 9 29 5 4" xfId="38262" xr:uid="{2B819CF2-A011-473A-B222-C4FD7A35DA2B}"/>
    <cellStyle name="Normal 9 29 5 5" xfId="38263" xr:uid="{9295B55A-2773-42F4-B894-4BB1C39EBA37}"/>
    <cellStyle name="Normal 9 29 5 6" xfId="38264" xr:uid="{03C65D9D-2820-4C69-A9E9-58FCE23A5AFC}"/>
    <cellStyle name="Normal 9 29 6" xfId="38265" xr:uid="{6F9133E0-60DC-4144-AB0F-B3B17EF92299}"/>
    <cellStyle name="Normal 9 29 6 2" xfId="38266" xr:uid="{8F8887A8-D983-4166-8ABD-3C3886CC3074}"/>
    <cellStyle name="Normal 9 29 6 3" xfId="38267" xr:uid="{5AA0D99F-A018-4280-A89E-AD21187C46EC}"/>
    <cellStyle name="Normal 9 29 6 4" xfId="38268" xr:uid="{BBFADB35-18B6-4E48-A107-0EE54E1885A7}"/>
    <cellStyle name="Normal 9 29 6 5" xfId="38269" xr:uid="{FB4543CF-1DA2-4E9F-B1DD-0B46788638FF}"/>
    <cellStyle name="Normal 9 29 6 6" xfId="38270" xr:uid="{4F6BCAC4-46D8-461D-85BC-67E3FFBAAAA3}"/>
    <cellStyle name="Normal 9 29 7" xfId="38271" xr:uid="{C23EC701-90FF-42DC-A945-69C50A74D5CA}"/>
    <cellStyle name="Normal 9 29 7 2" xfId="38272" xr:uid="{CBA85C9F-69A8-436B-B2E4-FDFEF94E97B8}"/>
    <cellStyle name="Normal 9 29 7 3" xfId="38273" xr:uid="{73D24608-1205-4EE7-8339-4936DD867C20}"/>
    <cellStyle name="Normal 9 29 7 4" xfId="38274" xr:uid="{497A755A-2F2E-49BB-9ED7-E8DC7487DC5A}"/>
    <cellStyle name="Normal 9 29 7 5" xfId="38275" xr:uid="{C63B1AA5-9752-4A1F-B48E-9A3D389E5C33}"/>
    <cellStyle name="Normal 9 29 7 6" xfId="38276" xr:uid="{870F67F9-62E0-4877-8EEE-4B85C2834503}"/>
    <cellStyle name="Normal 9 29 8" xfId="38277" xr:uid="{05B5B6AD-24EE-438D-B421-5DE53FE4643B}"/>
    <cellStyle name="Normal 9 29 8 2" xfId="38278" xr:uid="{98307DD3-E4FA-44F7-8D08-F05FC62AEB2F}"/>
    <cellStyle name="Normal 9 29 8 3" xfId="38279" xr:uid="{E8C54AFB-835E-4428-9913-5ECEC8B6E007}"/>
    <cellStyle name="Normal 9 29 8 4" xfId="38280" xr:uid="{799ED1F5-EF79-49B1-BA1B-33AC10EDA3E7}"/>
    <cellStyle name="Normal 9 29 8 5" xfId="38281" xr:uid="{48FBEB7B-1D41-4FAD-A5AD-7F9B89C31689}"/>
    <cellStyle name="Normal 9 29 8 6" xfId="38282" xr:uid="{DA4A74F9-BC36-45C9-93C8-FBBEC5F28D99}"/>
    <cellStyle name="Normal 9 29 9" xfId="38283" xr:uid="{626AAD57-C5B4-4F34-8348-A052D47E229D}"/>
    <cellStyle name="Normal 9 3" xfId="38284" xr:uid="{A96F67F1-A485-45EF-858A-34A4B9B3CBFC}"/>
    <cellStyle name="Normal 9 3 10" xfId="38285" xr:uid="{B181BB38-8672-472C-BB6D-760329C14355}"/>
    <cellStyle name="Normal 9 3 11" xfId="38286" xr:uid="{2CC7941F-56F9-4877-8040-D974594A18AD}"/>
    <cellStyle name="Normal 9 3 12" xfId="38287" xr:uid="{E11EF7D1-4C7C-4149-A063-2F4B8AF911E8}"/>
    <cellStyle name="Normal 9 3 13" xfId="38288" xr:uid="{FDEC810F-ACBF-4F15-8CD7-FA45A93E9FC3}"/>
    <cellStyle name="Normal 9 3 14" xfId="38289" xr:uid="{37B3B40E-22DE-4516-9736-55438E1A876D}"/>
    <cellStyle name="Normal 9 3 2" xfId="38290" xr:uid="{897F7D89-4746-4C8D-A3C7-558BF226303F}"/>
    <cellStyle name="Normal 9 3 2 2" xfId="38291" xr:uid="{75BDD54C-8196-418C-BE7F-E6D0CEF49E63}"/>
    <cellStyle name="Normal 9 3 2 3" xfId="38292" xr:uid="{AFF5C95A-3290-4360-AE31-457D78C27DCA}"/>
    <cellStyle name="Normal 9 3 2 4" xfId="38293" xr:uid="{08C22967-C671-4588-A068-4CA7C1D8177C}"/>
    <cellStyle name="Normal 9 3 2 5" xfId="38294" xr:uid="{AC0EDC0E-9C5F-405B-B1AA-49CBBDBB6B11}"/>
    <cellStyle name="Normal 9 3 2 6" xfId="38295" xr:uid="{117C37CC-11C0-4F29-8AC8-B99C53EA3CE4}"/>
    <cellStyle name="Normal 9 3 3" xfId="38296" xr:uid="{1DA9B1A2-11B1-472E-8507-B2255DCCCEC1}"/>
    <cellStyle name="Normal 9 3 3 2" xfId="38297" xr:uid="{09EEC020-E830-4E5B-B715-34F22BC59DC3}"/>
    <cellStyle name="Normal 9 3 3 3" xfId="38298" xr:uid="{73566CFD-6C21-4FD6-AE62-CB738FB31FF8}"/>
    <cellStyle name="Normal 9 3 3 4" xfId="38299" xr:uid="{A921AA80-100F-490F-A1C5-F2382A26BBCE}"/>
    <cellStyle name="Normal 9 3 3 5" xfId="38300" xr:uid="{C0CF6966-8567-4F7A-A2E8-2B58459C82B4}"/>
    <cellStyle name="Normal 9 3 3 6" xfId="38301" xr:uid="{D934EAC5-1953-4C73-981A-2916A983711B}"/>
    <cellStyle name="Normal 9 3 4" xfId="38302" xr:uid="{8FA1E988-B279-4D64-8162-A2763863DA05}"/>
    <cellStyle name="Normal 9 3 4 2" xfId="38303" xr:uid="{58BD5A03-1BF1-470A-A1AC-C2796BCE0C44}"/>
    <cellStyle name="Normal 9 3 4 3" xfId="38304" xr:uid="{61A9000A-4DB4-4BFD-AAE4-44C787581A27}"/>
    <cellStyle name="Normal 9 3 4 4" xfId="38305" xr:uid="{01C1DABF-FAEA-445B-9BED-6862621E1569}"/>
    <cellStyle name="Normal 9 3 4 5" xfId="38306" xr:uid="{F9B4C131-EE3B-4F54-A7C9-B153110017DB}"/>
    <cellStyle name="Normal 9 3 4 6" xfId="38307" xr:uid="{B1919E19-37C1-410C-B797-3D14C39C4571}"/>
    <cellStyle name="Normal 9 3 5" xfId="38308" xr:uid="{8DDEE771-2FFA-4774-966D-01F678E28833}"/>
    <cellStyle name="Normal 9 3 5 2" xfId="38309" xr:uid="{390D5FBF-3FBA-48D6-BAB9-2DAAE706EB9A}"/>
    <cellStyle name="Normal 9 3 5 3" xfId="38310" xr:uid="{5AF676D3-A6D9-4627-B88E-BBFAD1231F3A}"/>
    <cellStyle name="Normal 9 3 5 4" xfId="38311" xr:uid="{8E14F597-B12B-4299-BC88-40BEEB5787C9}"/>
    <cellStyle name="Normal 9 3 5 5" xfId="38312" xr:uid="{71AE6261-1047-4010-BDD4-DE3824B771D5}"/>
    <cellStyle name="Normal 9 3 5 6" xfId="38313" xr:uid="{4D70D500-8F79-4958-BB49-765DAF44690F}"/>
    <cellStyle name="Normal 9 3 6" xfId="38314" xr:uid="{97534B77-CB55-4E46-B359-01CA326C1A50}"/>
    <cellStyle name="Normal 9 3 6 2" xfId="38315" xr:uid="{615EA251-E3BF-4276-A7AC-4CCA3B23D0C6}"/>
    <cellStyle name="Normal 9 3 6 3" xfId="38316" xr:uid="{4ECEA8FE-043F-414D-BEC2-BDB4F2AADF97}"/>
    <cellStyle name="Normal 9 3 6 4" xfId="38317" xr:uid="{2F3A4113-E3B9-42B4-939F-1AE668008A55}"/>
    <cellStyle name="Normal 9 3 6 5" xfId="38318" xr:uid="{D67CFA6A-C7E0-4C11-A56A-4A98A1CF9853}"/>
    <cellStyle name="Normal 9 3 6 6" xfId="38319" xr:uid="{1C5D5611-BC89-40B7-AEDD-B19CD73A1F7C}"/>
    <cellStyle name="Normal 9 3 7" xfId="38320" xr:uid="{9F54D4CE-58B4-4349-A97A-434B2292553B}"/>
    <cellStyle name="Normal 9 3 7 2" xfId="38321" xr:uid="{1D0514D7-E781-4EA1-A46A-7149421A26BA}"/>
    <cellStyle name="Normal 9 3 7 3" xfId="38322" xr:uid="{F5CCC640-CE7E-40D3-8B03-3CF84A296A62}"/>
    <cellStyle name="Normal 9 3 7 4" xfId="38323" xr:uid="{B22AA066-B2A2-420E-A24D-E4DCCD542EC1}"/>
    <cellStyle name="Normal 9 3 7 5" xfId="38324" xr:uid="{EEC6611F-27B9-4B14-9040-509401C349BA}"/>
    <cellStyle name="Normal 9 3 7 6" xfId="38325" xr:uid="{E9BD16F2-DDF5-4C2B-B565-812776C577AD}"/>
    <cellStyle name="Normal 9 3 8" xfId="38326" xr:uid="{98E4C888-CC5D-40C8-B47E-179B1CF2E744}"/>
    <cellStyle name="Normal 9 3 8 2" xfId="38327" xr:uid="{3A4664F3-D5E8-4F20-A7B4-D5E29C9D1493}"/>
    <cellStyle name="Normal 9 3 8 3" xfId="38328" xr:uid="{4B5BFB7A-1F40-41D0-BFAD-ADDD1D581460}"/>
    <cellStyle name="Normal 9 3 8 4" xfId="38329" xr:uid="{0CA53943-873B-45B4-BBEC-BBD60DD0F5A9}"/>
    <cellStyle name="Normal 9 3 8 5" xfId="38330" xr:uid="{FC52A7DC-1491-42DA-8FFE-1562A89A902E}"/>
    <cellStyle name="Normal 9 3 8 6" xfId="38331" xr:uid="{CBE03A37-554E-4C58-B1A8-2FCF0391FD31}"/>
    <cellStyle name="Normal 9 3 9" xfId="38332" xr:uid="{33C05671-9F8C-4189-85E2-DC3CA701698A}"/>
    <cellStyle name="Normal 9 30" xfId="38333" xr:uid="{C012567D-9A39-4667-B11F-38D36D1C16BE}"/>
    <cellStyle name="Normal 9 30 10" xfId="38334" xr:uid="{A549E459-D453-41D6-A595-6B422FDE96E0}"/>
    <cellStyle name="Normal 9 30 11" xfId="38335" xr:uid="{51606C4B-5A2C-4461-9A0E-A916BAC72214}"/>
    <cellStyle name="Normal 9 30 12" xfId="38336" xr:uid="{99D8D2D3-8344-48D1-9D13-373FEC0467C2}"/>
    <cellStyle name="Normal 9 30 13" xfId="38337" xr:uid="{E7542115-C86D-4B9C-94C4-F43A73A31962}"/>
    <cellStyle name="Normal 9 30 2" xfId="38338" xr:uid="{64310A03-30AC-40A2-A888-3BB893739399}"/>
    <cellStyle name="Normal 9 30 2 2" xfId="38339" xr:uid="{E182827E-E2A8-4885-9A18-1EC67CC91AE6}"/>
    <cellStyle name="Normal 9 30 2 3" xfId="38340" xr:uid="{FEE53093-E392-49B3-9C63-5D52D0963E4C}"/>
    <cellStyle name="Normal 9 30 2 4" xfId="38341" xr:uid="{37B1C268-F7A9-4B7C-A1EC-08C29187441D}"/>
    <cellStyle name="Normal 9 30 2 5" xfId="38342" xr:uid="{F0534D98-EFBA-43E1-8D31-DDA73480C230}"/>
    <cellStyle name="Normal 9 30 2 6" xfId="38343" xr:uid="{DED9A26A-3F24-481A-8792-B09457F22547}"/>
    <cellStyle name="Normal 9 30 3" xfId="38344" xr:uid="{6CF918E4-1762-4544-8A50-A955ECB903B4}"/>
    <cellStyle name="Normal 9 30 3 2" xfId="38345" xr:uid="{45B1A2C1-358D-4E7C-B708-3FADD095BADD}"/>
    <cellStyle name="Normal 9 30 3 3" xfId="38346" xr:uid="{6C7A6190-2173-4AC5-90D0-645C15969B37}"/>
    <cellStyle name="Normal 9 30 3 4" xfId="38347" xr:uid="{A2D0BF11-D4A2-43C0-8457-D22AF8BC6DB2}"/>
    <cellStyle name="Normal 9 30 3 5" xfId="38348" xr:uid="{D060C502-847B-4DD4-95DD-114EFF005EEE}"/>
    <cellStyle name="Normal 9 30 3 6" xfId="38349" xr:uid="{3E0F47A8-2C74-4C9E-AB7F-C2F3A4D70D18}"/>
    <cellStyle name="Normal 9 30 4" xfId="38350" xr:uid="{5640670D-67B7-4A5D-B656-8EAA2CFD9B84}"/>
    <cellStyle name="Normal 9 30 4 2" xfId="38351" xr:uid="{DD1E2A11-DB0B-496A-8A0C-77113EEA24AC}"/>
    <cellStyle name="Normal 9 30 4 3" xfId="38352" xr:uid="{71051DAD-33DD-4A3A-8621-700AEBF3FB14}"/>
    <cellStyle name="Normal 9 30 4 4" xfId="38353" xr:uid="{B9CCF39B-A431-4FCE-9FFF-BBE0034DAB85}"/>
    <cellStyle name="Normal 9 30 4 5" xfId="38354" xr:uid="{F41D32CD-CD50-4457-A6FB-F0506E18B7C9}"/>
    <cellStyle name="Normal 9 30 4 6" xfId="38355" xr:uid="{22CDFDFA-DDCF-4DAD-A9C1-3A987857E01A}"/>
    <cellStyle name="Normal 9 30 5" xfId="38356" xr:uid="{5B38F7B4-7359-4B80-94BA-EA37B6840C85}"/>
    <cellStyle name="Normal 9 30 5 2" xfId="38357" xr:uid="{31C78B48-DCC6-43B6-85C3-AAE483982A11}"/>
    <cellStyle name="Normal 9 30 5 3" xfId="38358" xr:uid="{4E2D4BA6-88F2-41C0-800E-E146B80BE87E}"/>
    <cellStyle name="Normal 9 30 5 4" xfId="38359" xr:uid="{E0F1E5FB-9613-4456-AED9-4DEA77849114}"/>
    <cellStyle name="Normal 9 30 5 5" xfId="38360" xr:uid="{FA9EEF33-1A24-419B-9467-16A46C100283}"/>
    <cellStyle name="Normal 9 30 5 6" xfId="38361" xr:uid="{D9B5AF61-49D2-4040-9783-FA90DBC17960}"/>
    <cellStyle name="Normal 9 30 6" xfId="38362" xr:uid="{C8BCE9A0-6905-4338-9603-2EE62C2C2B86}"/>
    <cellStyle name="Normal 9 30 6 2" xfId="38363" xr:uid="{2F8049A7-44B9-485E-B8C4-29800743A70D}"/>
    <cellStyle name="Normal 9 30 6 3" xfId="38364" xr:uid="{42AA9599-5F6A-41C9-A934-7D0FE9C97937}"/>
    <cellStyle name="Normal 9 30 6 4" xfId="38365" xr:uid="{6F269CB4-BFF2-464E-B42F-7D7BBE7EBBB5}"/>
    <cellStyle name="Normal 9 30 6 5" xfId="38366" xr:uid="{51EDC92A-DA09-4998-B207-C7A8D33319C9}"/>
    <cellStyle name="Normal 9 30 6 6" xfId="38367" xr:uid="{F68E3B2B-EAFF-4C6F-8177-8CA7FF07478D}"/>
    <cellStyle name="Normal 9 30 7" xfId="38368" xr:uid="{93B1D282-8DC3-4E0A-AB39-A7E6B5FEC67C}"/>
    <cellStyle name="Normal 9 30 7 2" xfId="38369" xr:uid="{D4D3C187-9B21-472D-8A6B-C6860D229208}"/>
    <cellStyle name="Normal 9 30 7 3" xfId="38370" xr:uid="{0F1E0D31-1462-40C3-AAE0-55965F781936}"/>
    <cellStyle name="Normal 9 30 7 4" xfId="38371" xr:uid="{03601750-BE36-4CBE-9317-A913B223EA2F}"/>
    <cellStyle name="Normal 9 30 7 5" xfId="38372" xr:uid="{E8935B18-B018-4E3C-B450-9B24E58F52FE}"/>
    <cellStyle name="Normal 9 30 7 6" xfId="38373" xr:uid="{78674F9C-2DD2-48A4-B761-C31FFD6464F7}"/>
    <cellStyle name="Normal 9 30 8" xfId="38374" xr:uid="{D5668F51-A4DD-44DD-B676-76B2F4199DFF}"/>
    <cellStyle name="Normal 9 30 8 2" xfId="38375" xr:uid="{FB9970F2-C2FB-47A1-8D29-DDDE8E3B7BDD}"/>
    <cellStyle name="Normal 9 30 8 3" xfId="38376" xr:uid="{76C4B34D-2D93-4662-9B51-91BBD860A738}"/>
    <cellStyle name="Normal 9 30 8 4" xfId="38377" xr:uid="{1CCB6D95-C8F1-4C94-A94D-282D3F842997}"/>
    <cellStyle name="Normal 9 30 8 5" xfId="38378" xr:uid="{8F3BEAB9-BB3C-4C0D-B987-119C568F85B3}"/>
    <cellStyle name="Normal 9 30 8 6" xfId="38379" xr:uid="{079EBF0F-1D99-4E92-9911-45D4FC901382}"/>
    <cellStyle name="Normal 9 30 9" xfId="38380" xr:uid="{08BD5AC5-3D88-4AEA-9B0E-0123EF020833}"/>
    <cellStyle name="Normal 9 31" xfId="38381" xr:uid="{C09E1D42-11BE-4A5F-AA06-4BADDDE29EEE}"/>
    <cellStyle name="Normal 9 31 10" xfId="38382" xr:uid="{CCC3A53D-E0C6-4DFC-AE86-B4973F7858CE}"/>
    <cellStyle name="Normal 9 31 11" xfId="38383" xr:uid="{06AC43E2-B19A-48FE-BA0F-9B57E591EEE4}"/>
    <cellStyle name="Normal 9 31 12" xfId="38384" xr:uid="{81D01A79-14D0-4318-A92D-B47FA93A5EE2}"/>
    <cellStyle name="Normal 9 31 13" xfId="38385" xr:uid="{64DACA2A-CBB3-48D5-A236-4364317733DE}"/>
    <cellStyle name="Normal 9 31 2" xfId="38386" xr:uid="{191C0A24-F88D-4ED6-A327-86612E2D658E}"/>
    <cellStyle name="Normal 9 31 2 2" xfId="38387" xr:uid="{21DB8B4E-F891-4915-AE3E-523792BDFF05}"/>
    <cellStyle name="Normal 9 31 2 3" xfId="38388" xr:uid="{76356C98-B670-4368-8FE0-7816475687E8}"/>
    <cellStyle name="Normal 9 31 2 4" xfId="38389" xr:uid="{044C8220-4D3F-462B-8166-68E807D751C1}"/>
    <cellStyle name="Normal 9 31 2 5" xfId="38390" xr:uid="{0A663437-ADE3-48D1-AF2C-D85E6055A814}"/>
    <cellStyle name="Normal 9 31 2 6" xfId="38391" xr:uid="{16BD573E-652E-4887-A7E1-CBBF6B759EB1}"/>
    <cellStyle name="Normal 9 31 3" xfId="38392" xr:uid="{6BC95EA6-A7AC-4195-A40A-8B5693D44938}"/>
    <cellStyle name="Normal 9 31 3 2" xfId="38393" xr:uid="{CD0CB610-6D0B-44E6-93C0-F5588D0E93D1}"/>
    <cellStyle name="Normal 9 31 3 3" xfId="38394" xr:uid="{8EA1E453-0114-4668-AFCF-184DC1410181}"/>
    <cellStyle name="Normal 9 31 3 4" xfId="38395" xr:uid="{D452F26B-AD40-47CF-AD17-8FB051A91C0A}"/>
    <cellStyle name="Normal 9 31 3 5" xfId="38396" xr:uid="{8AA4F79F-8A09-47F4-9D09-E0BF394AC7BF}"/>
    <cellStyle name="Normal 9 31 3 6" xfId="38397" xr:uid="{75865F16-12A1-4E9A-8FF3-3570782C311F}"/>
    <cellStyle name="Normal 9 31 4" xfId="38398" xr:uid="{A504C741-4962-45BB-9D2B-4DB76C288225}"/>
    <cellStyle name="Normal 9 31 4 2" xfId="38399" xr:uid="{4C304918-FFB1-4814-BC85-563A2BB4B5E6}"/>
    <cellStyle name="Normal 9 31 4 3" xfId="38400" xr:uid="{40FC5C05-8B81-4577-8309-4510AB6EAB77}"/>
    <cellStyle name="Normal 9 31 4 4" xfId="38401" xr:uid="{B85420E9-AF66-49F7-9783-9B310FAEAA4C}"/>
    <cellStyle name="Normal 9 31 4 5" xfId="38402" xr:uid="{5CA02B49-5904-4FBC-95B4-AE4EEE749996}"/>
    <cellStyle name="Normal 9 31 4 6" xfId="38403" xr:uid="{E30C497D-366A-4EC0-856B-34E6E07CBEFE}"/>
    <cellStyle name="Normal 9 31 5" xfId="38404" xr:uid="{8CC81684-AA5B-4BF8-A767-CEF7FE11AB61}"/>
    <cellStyle name="Normal 9 31 5 2" xfId="38405" xr:uid="{0AD91132-FA29-4895-8DEF-B783A964C37B}"/>
    <cellStyle name="Normal 9 31 5 3" xfId="38406" xr:uid="{2823C7A5-FBAE-4561-A14D-6D720BE01DA8}"/>
    <cellStyle name="Normal 9 31 5 4" xfId="38407" xr:uid="{85A64AE3-B664-478D-81E8-0F0A788F4739}"/>
    <cellStyle name="Normal 9 31 5 5" xfId="38408" xr:uid="{B3699BE6-7FE0-4F1F-9AA9-6FE5C2A21874}"/>
    <cellStyle name="Normal 9 31 5 6" xfId="38409" xr:uid="{736C6FE7-997C-45E0-B0A9-B94ABED3BC23}"/>
    <cellStyle name="Normal 9 31 6" xfId="38410" xr:uid="{C2374EEA-204B-4C50-A699-501758EFED9E}"/>
    <cellStyle name="Normal 9 31 6 2" xfId="38411" xr:uid="{3B014389-FC14-41C9-B240-F949276FE810}"/>
    <cellStyle name="Normal 9 31 6 3" xfId="38412" xr:uid="{5E37DB18-C5A1-4CED-BB52-82911D740B78}"/>
    <cellStyle name="Normal 9 31 6 4" xfId="38413" xr:uid="{35020AF9-3AB0-40B5-BC6E-27B02C0D299C}"/>
    <cellStyle name="Normal 9 31 6 5" xfId="38414" xr:uid="{50F8F0AA-C38C-4C3F-841A-5D17B7AB040C}"/>
    <cellStyle name="Normal 9 31 6 6" xfId="38415" xr:uid="{5D10938C-C31C-4251-A81E-3565272D4AAD}"/>
    <cellStyle name="Normal 9 31 7" xfId="38416" xr:uid="{E45BEC41-1027-467B-8F74-C0D8954A20FC}"/>
    <cellStyle name="Normal 9 31 7 2" xfId="38417" xr:uid="{53CED825-8043-4439-A5A8-5CEA4BFD5C2A}"/>
    <cellStyle name="Normal 9 31 7 3" xfId="38418" xr:uid="{A9258504-4D2F-44F3-90E0-9329CDE9CDB0}"/>
    <cellStyle name="Normal 9 31 7 4" xfId="38419" xr:uid="{8EE062D8-4C53-454F-9DFE-6E22F4CD353E}"/>
    <cellStyle name="Normal 9 31 7 5" xfId="38420" xr:uid="{A241207F-B819-4DDE-86EA-530463833EDF}"/>
    <cellStyle name="Normal 9 31 7 6" xfId="38421" xr:uid="{2306DF9E-B3D2-4835-AB76-20B1A34C4E7E}"/>
    <cellStyle name="Normal 9 31 8" xfId="38422" xr:uid="{C46905D0-4F01-4A0F-AB0C-72E9519DBE34}"/>
    <cellStyle name="Normal 9 31 8 2" xfId="38423" xr:uid="{B6B1B936-9D54-4065-93DC-16F594C8013F}"/>
    <cellStyle name="Normal 9 31 8 3" xfId="38424" xr:uid="{A9E87904-BAE6-408B-A2F3-85581AF1A707}"/>
    <cellStyle name="Normal 9 31 8 4" xfId="38425" xr:uid="{B36E977D-47CC-4350-A8E3-0656B3E83FF8}"/>
    <cellStyle name="Normal 9 31 8 5" xfId="38426" xr:uid="{D7FF84F5-9601-48CA-A53F-8E87E00C77F3}"/>
    <cellStyle name="Normal 9 31 8 6" xfId="38427" xr:uid="{16B5D73F-520D-405C-A81E-165F03F3CF10}"/>
    <cellStyle name="Normal 9 31 9" xfId="38428" xr:uid="{44D55B34-B613-4B32-94D4-33D8C3FAD4CF}"/>
    <cellStyle name="Normal 9 32" xfId="38429" xr:uid="{484F1E56-E61F-44A7-8CA0-5AE600949340}"/>
    <cellStyle name="Normal 9 32 10" xfId="38430" xr:uid="{C18E5E7A-E14F-4211-B86E-097C05F5EA70}"/>
    <cellStyle name="Normal 9 32 11" xfId="38431" xr:uid="{51E1D128-18A1-4CEC-B683-6892B14F25F8}"/>
    <cellStyle name="Normal 9 32 12" xfId="38432" xr:uid="{6141CB20-FC3B-45B1-B7C5-13885354225F}"/>
    <cellStyle name="Normal 9 32 13" xfId="38433" xr:uid="{52117170-9045-48C9-9046-309DA68D3DD7}"/>
    <cellStyle name="Normal 9 32 2" xfId="38434" xr:uid="{BFBF028B-8CEA-489C-8BA6-3610DF6F0927}"/>
    <cellStyle name="Normal 9 32 2 2" xfId="38435" xr:uid="{F43B2F80-9F8D-481E-B08F-255775002D79}"/>
    <cellStyle name="Normal 9 32 2 3" xfId="38436" xr:uid="{B014C317-68DE-4CF8-93D4-47A7454D5152}"/>
    <cellStyle name="Normal 9 32 2 4" xfId="38437" xr:uid="{AC6C6EC5-3997-43C5-9851-2AD98E16C6DA}"/>
    <cellStyle name="Normal 9 32 2 5" xfId="38438" xr:uid="{A05CBC28-2CD8-4196-B671-EAEDD2D2867C}"/>
    <cellStyle name="Normal 9 32 2 6" xfId="38439" xr:uid="{700F8D30-D129-4A09-974E-03ACCA6D1A34}"/>
    <cellStyle name="Normal 9 32 3" xfId="38440" xr:uid="{6540E906-7D9E-4A3B-B2EC-9F758C42A74C}"/>
    <cellStyle name="Normal 9 32 3 2" xfId="38441" xr:uid="{534D757D-00D9-4D41-9EB8-3B5376FD1F2B}"/>
    <cellStyle name="Normal 9 32 3 3" xfId="38442" xr:uid="{BFCD92E1-9ADF-46D7-967F-454E4ABA42CA}"/>
    <cellStyle name="Normal 9 32 3 4" xfId="38443" xr:uid="{C41DE0A1-AFB0-421D-A4EB-33396CB99D5D}"/>
    <cellStyle name="Normal 9 32 3 5" xfId="38444" xr:uid="{7800542B-546E-4614-B2D0-E48AE305419B}"/>
    <cellStyle name="Normal 9 32 3 6" xfId="38445" xr:uid="{64C7C7FD-9D7E-44A6-A5BF-F584346ACEA3}"/>
    <cellStyle name="Normal 9 32 4" xfId="38446" xr:uid="{9F845EBA-03B5-4764-80ED-AF469C0E8340}"/>
    <cellStyle name="Normal 9 32 4 2" xfId="38447" xr:uid="{2AED5081-50A6-4AC6-AA45-D31A3240EC98}"/>
    <cellStyle name="Normal 9 32 4 3" xfId="38448" xr:uid="{498196A4-2520-4826-96F8-B63AEFAAA588}"/>
    <cellStyle name="Normal 9 32 4 4" xfId="38449" xr:uid="{83AF60A4-0832-476F-B36B-88D3CA7C30A4}"/>
    <cellStyle name="Normal 9 32 4 5" xfId="38450" xr:uid="{0396C307-9B9E-4B2C-BF89-01A87F2DFBCC}"/>
    <cellStyle name="Normal 9 32 4 6" xfId="38451" xr:uid="{1B25B504-23D5-4B57-B573-C7BADB189B37}"/>
    <cellStyle name="Normal 9 32 5" xfId="38452" xr:uid="{FDC20876-A4BF-4FB8-ABEF-96AA42ECAEC7}"/>
    <cellStyle name="Normal 9 32 5 2" xfId="38453" xr:uid="{37715D99-08BA-491A-8F83-C4170E20DCCE}"/>
    <cellStyle name="Normal 9 32 5 3" xfId="38454" xr:uid="{BC78C219-1C31-46BB-BEE2-7AEF1421A8DD}"/>
    <cellStyle name="Normal 9 32 5 4" xfId="38455" xr:uid="{0D48AB1F-9B72-4A56-A663-CCF36B8D3923}"/>
    <cellStyle name="Normal 9 32 5 5" xfId="38456" xr:uid="{6A1CB7D9-3AEA-4C41-B5F4-6DDCEE7AC1CE}"/>
    <cellStyle name="Normal 9 32 5 6" xfId="38457" xr:uid="{050BFF4C-7AE8-4B8D-BEF2-F3D598789918}"/>
    <cellStyle name="Normal 9 32 6" xfId="38458" xr:uid="{0D6EAD6D-BAF8-404E-99FD-EF01A33A991A}"/>
    <cellStyle name="Normal 9 32 6 2" xfId="38459" xr:uid="{EB3C62D2-FA8B-4616-ADDE-8874558AE747}"/>
    <cellStyle name="Normal 9 32 6 3" xfId="38460" xr:uid="{8D6F219F-7FC7-4105-941E-9390B947F6EA}"/>
    <cellStyle name="Normal 9 32 6 4" xfId="38461" xr:uid="{64E0292E-BDC9-4B0E-BB94-18BC01A48C14}"/>
    <cellStyle name="Normal 9 32 6 5" xfId="38462" xr:uid="{6E39057C-3F9F-4EDF-B7EF-E461B178C5E5}"/>
    <cellStyle name="Normal 9 32 6 6" xfId="38463" xr:uid="{40C72F6D-1764-45B7-BBAC-CDA02BC1315C}"/>
    <cellStyle name="Normal 9 32 7" xfId="38464" xr:uid="{C1467F10-E34E-45BD-9212-6571F8EC3CA9}"/>
    <cellStyle name="Normal 9 32 7 2" xfId="38465" xr:uid="{71FACCFC-E070-4017-A321-C33C9C47F4FB}"/>
    <cellStyle name="Normal 9 32 7 3" xfId="38466" xr:uid="{798BC2A6-CB8E-43A9-B105-5243098AE54E}"/>
    <cellStyle name="Normal 9 32 7 4" xfId="38467" xr:uid="{13BD0D31-D263-42C2-9958-1DE0B788DCBD}"/>
    <cellStyle name="Normal 9 32 7 5" xfId="38468" xr:uid="{63CDF4B0-FB32-4B6F-ABFB-9F37C2C8983C}"/>
    <cellStyle name="Normal 9 32 7 6" xfId="38469" xr:uid="{5A0C4497-7CC5-4009-A5EC-88A278E3026E}"/>
    <cellStyle name="Normal 9 32 8" xfId="38470" xr:uid="{0A0AB481-6172-4C9D-A480-40FBB65ACB42}"/>
    <cellStyle name="Normal 9 32 8 2" xfId="38471" xr:uid="{F1D0F6B9-BFF1-4EAE-BB6C-CBF8B19E9F53}"/>
    <cellStyle name="Normal 9 32 8 3" xfId="38472" xr:uid="{D7279A2F-04F5-4577-8F81-2479B18FC135}"/>
    <cellStyle name="Normal 9 32 8 4" xfId="38473" xr:uid="{A9489440-ADDC-4F99-9432-13F2537263DD}"/>
    <cellStyle name="Normal 9 32 8 5" xfId="38474" xr:uid="{B7F5384F-038E-4B7F-A11A-CAD948AE00F2}"/>
    <cellStyle name="Normal 9 32 8 6" xfId="38475" xr:uid="{850CA6AE-3271-46B5-9A02-02A0E0DB73C6}"/>
    <cellStyle name="Normal 9 32 9" xfId="38476" xr:uid="{1D9E9174-84DB-4279-AD31-2F6AE35A1391}"/>
    <cellStyle name="Normal 9 33" xfId="38477" xr:uid="{BFF7A385-AEAF-4D37-B24C-C536F9E8C6BB}"/>
    <cellStyle name="Normal 9 33 10" xfId="38478" xr:uid="{1C344CB8-F880-460F-AD29-150CDA5974EE}"/>
    <cellStyle name="Normal 9 33 11" xfId="38479" xr:uid="{118091DA-0814-45D0-8320-D41997F7A48E}"/>
    <cellStyle name="Normal 9 33 12" xfId="38480" xr:uid="{079CBEEF-6673-449A-A9A7-9161C8D8C8EB}"/>
    <cellStyle name="Normal 9 33 13" xfId="38481" xr:uid="{FC5FC191-27B1-44F5-A07E-5E9CC9274064}"/>
    <cellStyle name="Normal 9 33 2" xfId="38482" xr:uid="{469C9F61-4B46-41FE-A18F-62ECF0D1782E}"/>
    <cellStyle name="Normal 9 33 2 2" xfId="38483" xr:uid="{2AC2832A-A9BF-4FB7-A707-2C71A98BDAB6}"/>
    <cellStyle name="Normal 9 33 2 3" xfId="38484" xr:uid="{CCA4AEB6-DB23-4457-91C5-EF026F7C9FB5}"/>
    <cellStyle name="Normal 9 33 2 4" xfId="38485" xr:uid="{A9486F6D-EF46-49E9-AFA3-E627278D705D}"/>
    <cellStyle name="Normal 9 33 2 5" xfId="38486" xr:uid="{675B86D9-129C-4F9D-BF82-1E2CBBA8F69A}"/>
    <cellStyle name="Normal 9 33 2 6" xfId="38487" xr:uid="{88A53696-A4B1-4E03-947C-3D35BFCC8C21}"/>
    <cellStyle name="Normal 9 33 3" xfId="38488" xr:uid="{FD66D758-381A-4CD1-AAF3-6A39EB8F7C17}"/>
    <cellStyle name="Normal 9 33 3 2" xfId="38489" xr:uid="{4E6227F2-4FB7-4B77-B8A8-0DC329A6F854}"/>
    <cellStyle name="Normal 9 33 3 3" xfId="38490" xr:uid="{5DF82D41-5136-412B-B766-4FDEACB521B5}"/>
    <cellStyle name="Normal 9 33 3 4" xfId="38491" xr:uid="{6C46DB1A-8C87-499E-B5B6-96A06D447A82}"/>
    <cellStyle name="Normal 9 33 3 5" xfId="38492" xr:uid="{BABE9199-CB20-4337-AA5D-FC076BC11917}"/>
    <cellStyle name="Normal 9 33 3 6" xfId="38493" xr:uid="{2E30A878-FFFE-47D3-9AD2-9C27B32357B1}"/>
    <cellStyle name="Normal 9 33 4" xfId="38494" xr:uid="{C7D6F112-319A-4110-AA91-52F2FE7615C0}"/>
    <cellStyle name="Normal 9 33 4 2" xfId="38495" xr:uid="{41FC628A-2A77-4E48-BA48-52EEC3A50826}"/>
    <cellStyle name="Normal 9 33 4 3" xfId="38496" xr:uid="{62C1A646-975A-4F74-81B5-E4C6B1063A00}"/>
    <cellStyle name="Normal 9 33 4 4" xfId="38497" xr:uid="{9D7D521C-DDBB-4B37-AF7C-6745575E1F30}"/>
    <cellStyle name="Normal 9 33 4 5" xfId="38498" xr:uid="{45196035-012A-45E6-84A3-1DFDF8818E5F}"/>
    <cellStyle name="Normal 9 33 4 6" xfId="38499" xr:uid="{01C327B9-6276-48F4-A550-BEF665F34BDE}"/>
    <cellStyle name="Normal 9 33 5" xfId="38500" xr:uid="{489D3DC3-D932-413D-9C12-454BFD12EC89}"/>
    <cellStyle name="Normal 9 33 5 2" xfId="38501" xr:uid="{6D6053B0-91A0-4C17-B6CB-4EB4F9702AA9}"/>
    <cellStyle name="Normal 9 33 5 3" xfId="38502" xr:uid="{033C1DA6-1225-4B76-A0E3-6ACC42D36CFE}"/>
    <cellStyle name="Normal 9 33 5 4" xfId="38503" xr:uid="{7A94C0CB-D0E7-4A60-80CA-DE95DB4C7E86}"/>
    <cellStyle name="Normal 9 33 5 5" xfId="38504" xr:uid="{3CFBEA74-7FAD-4A3E-80A8-240DB2019298}"/>
    <cellStyle name="Normal 9 33 5 6" xfId="38505" xr:uid="{73B5D9C5-508F-43F8-AA5A-66408C604403}"/>
    <cellStyle name="Normal 9 33 6" xfId="38506" xr:uid="{51BDAA0B-AB98-4722-ACB4-890F5F17D0AC}"/>
    <cellStyle name="Normal 9 33 6 2" xfId="38507" xr:uid="{EE489290-8299-49A7-BF18-025C84C52860}"/>
    <cellStyle name="Normal 9 33 6 3" xfId="38508" xr:uid="{70EB62A9-52B7-4D18-B7AB-D00FAF468438}"/>
    <cellStyle name="Normal 9 33 6 4" xfId="38509" xr:uid="{6FEEAE91-7B3F-43AB-9DF9-B4BD41AB7C23}"/>
    <cellStyle name="Normal 9 33 6 5" xfId="38510" xr:uid="{2BB2B28F-2AFE-45D8-A1E4-58C7411547B3}"/>
    <cellStyle name="Normal 9 33 6 6" xfId="38511" xr:uid="{C37F961A-83B7-417D-8A42-03ACA82FC600}"/>
    <cellStyle name="Normal 9 33 7" xfId="38512" xr:uid="{17D3ABDA-8569-4F66-A837-0A9548575D4B}"/>
    <cellStyle name="Normal 9 33 7 2" xfId="38513" xr:uid="{C19E1462-E31A-4299-9184-33C614E5EBF7}"/>
    <cellStyle name="Normal 9 33 7 3" xfId="38514" xr:uid="{DA2D34A8-693F-4EAB-9655-E8AA8A9F6107}"/>
    <cellStyle name="Normal 9 33 7 4" xfId="38515" xr:uid="{E8BB97EB-71D7-43A8-9141-A2DF93564C8D}"/>
    <cellStyle name="Normal 9 33 7 5" xfId="38516" xr:uid="{2456971F-ACE3-484E-BD78-B2577630AF0A}"/>
    <cellStyle name="Normal 9 33 7 6" xfId="38517" xr:uid="{BE74DD54-BEEB-457F-B384-ED322523B4CD}"/>
    <cellStyle name="Normal 9 33 8" xfId="38518" xr:uid="{8FF1C8D3-D53D-4AC7-89BA-6257D7FA1B54}"/>
    <cellStyle name="Normal 9 33 8 2" xfId="38519" xr:uid="{E307509B-9D08-478F-B455-5E01DF31E44F}"/>
    <cellStyle name="Normal 9 33 8 3" xfId="38520" xr:uid="{860213E0-D79C-485B-9E2A-AEE47B17377B}"/>
    <cellStyle name="Normal 9 33 8 4" xfId="38521" xr:uid="{6D175471-FA1D-47E4-BB07-5DA99A12BA95}"/>
    <cellStyle name="Normal 9 33 8 5" xfId="38522" xr:uid="{CE4F05B0-FB4C-4637-A70A-3D580C038702}"/>
    <cellStyle name="Normal 9 33 8 6" xfId="38523" xr:uid="{65640984-7009-4A05-A369-9E4E1B8E4FBC}"/>
    <cellStyle name="Normal 9 33 9" xfId="38524" xr:uid="{53865F4E-42DD-49F5-B783-D5807E290C7B}"/>
    <cellStyle name="Normal 9 34" xfId="38525" xr:uid="{0BC358D0-446D-4362-8916-5AADC2C92479}"/>
    <cellStyle name="Normal 9 34 2" xfId="38526" xr:uid="{14154D61-C963-4053-90A8-7749F286A4E6}"/>
    <cellStyle name="Normal 9 34 3" xfId="38527" xr:uid="{E15F8F49-F999-4E21-BF2B-0178FF10CEE1}"/>
    <cellStyle name="Normal 9 34 4" xfId="38528" xr:uid="{0B46FA20-986D-4D5A-90EA-2C9A1080F443}"/>
    <cellStyle name="Normal 9 34 5" xfId="38529" xr:uid="{3E81E517-A011-4279-A983-8EEF636CF88D}"/>
    <cellStyle name="Normal 9 34 6" xfId="38530" xr:uid="{EFF22856-1A05-493E-9B58-3B0344259581}"/>
    <cellStyle name="Normal 9 35" xfId="38531" xr:uid="{C52D7A7B-9F77-47FC-8E1A-8008818DB81B}"/>
    <cellStyle name="Normal 9 35 2" xfId="38532" xr:uid="{216AEF3E-B5B6-4AFD-8F78-AC2EDD0705A2}"/>
    <cellStyle name="Normal 9 35 3" xfId="38533" xr:uid="{6041B0E3-7EB8-4BBC-A1D1-88FB98059180}"/>
    <cellStyle name="Normal 9 35 4" xfId="38534" xr:uid="{0DA86A09-29BD-4BEF-841C-B8D05B2C8E0C}"/>
    <cellStyle name="Normal 9 35 5" xfId="38535" xr:uid="{41489419-DD63-49BF-AD69-329BB331606A}"/>
    <cellStyle name="Normal 9 35 6" xfId="38536" xr:uid="{700A5FB5-4EFB-4768-BC91-F77477ABCA65}"/>
    <cellStyle name="Normal 9 36" xfId="38537" xr:uid="{AE6CB866-8997-48FA-B15B-19605C27D779}"/>
    <cellStyle name="Normal 9 36 2" xfId="38538" xr:uid="{710DE048-E8FB-4A36-949E-B5EB4E293DAD}"/>
    <cellStyle name="Normal 9 36 3" xfId="38539" xr:uid="{2066E10A-F66B-49F9-BFE8-3605A4882022}"/>
    <cellStyle name="Normal 9 36 4" xfId="38540" xr:uid="{C56B8926-96BB-41CF-A69C-C616F2D4A2A1}"/>
    <cellStyle name="Normal 9 36 5" xfId="38541" xr:uid="{0089306B-7133-40FC-90B6-15C6F6824305}"/>
    <cellStyle name="Normal 9 36 6" xfId="38542" xr:uid="{73B97633-03C5-4D31-A269-FEAD73CA1F57}"/>
    <cellStyle name="Normal 9 37" xfId="38543" xr:uid="{87B3558F-5F83-49AB-9003-DE9591F4541A}"/>
    <cellStyle name="Normal 9 37 2" xfId="38544" xr:uid="{7D86E92E-ADBE-4FBF-8B5E-65C311E42B05}"/>
    <cellStyle name="Normal 9 37 3" xfId="38545" xr:uid="{B2DACAEB-E845-4815-A666-CE9DF15BBD8D}"/>
    <cellStyle name="Normal 9 37 4" xfId="38546" xr:uid="{1345CE06-5EFB-4B8F-9DE4-6D42FD26F8FA}"/>
    <cellStyle name="Normal 9 37 5" xfId="38547" xr:uid="{2147C498-7A82-4FCA-95D5-404C3CE33BAD}"/>
    <cellStyle name="Normal 9 37 6" xfId="38548" xr:uid="{AD60EBE1-DC2E-4BF6-A689-D0F8624F94E2}"/>
    <cellStyle name="Normal 9 38" xfId="38549" xr:uid="{DAA2F284-F2A0-45C9-8904-08530EA625F4}"/>
    <cellStyle name="Normal 9 38 2" xfId="38550" xr:uid="{DAB74EA7-080D-4CCD-96CD-00398039F43C}"/>
    <cellStyle name="Normal 9 38 3" xfId="38551" xr:uid="{C6C95D1C-1868-4C7D-9E36-07D77A0DF339}"/>
    <cellStyle name="Normal 9 38 4" xfId="38552" xr:uid="{BD45E4FD-5B19-4619-B1E8-EB555465E686}"/>
    <cellStyle name="Normal 9 38 5" xfId="38553" xr:uid="{C0E7685E-7AAC-4E3E-B45D-89C5D1A0982B}"/>
    <cellStyle name="Normal 9 38 6" xfId="38554" xr:uid="{F9317B67-23F9-4750-85AC-E0E5AE787863}"/>
    <cellStyle name="Normal 9 39" xfId="38555" xr:uid="{5911B38D-9A89-4BB2-A8D2-9480FE91F971}"/>
    <cellStyle name="Normal 9 39 2" xfId="38556" xr:uid="{6F7D722C-478C-4B66-A58F-7172A84083F4}"/>
    <cellStyle name="Normal 9 39 3" xfId="38557" xr:uid="{198B5306-9F6D-4708-A8F0-5C146D6A81D5}"/>
    <cellStyle name="Normal 9 39 4" xfId="38558" xr:uid="{3ED7CF8E-0C49-4075-9D08-EF2E9D87DDCB}"/>
    <cellStyle name="Normal 9 39 5" xfId="38559" xr:uid="{0936740D-4339-4B44-8A6B-46E40ABF77DB}"/>
    <cellStyle name="Normal 9 39 6" xfId="38560" xr:uid="{20641974-DAC5-40B0-B964-6F6E51A79338}"/>
    <cellStyle name="Normal 9 4" xfId="38561" xr:uid="{4D244F88-53B7-4788-9B7A-23849D19BB6A}"/>
    <cellStyle name="Normal 9 4 10" xfId="38562" xr:uid="{689535D9-0E7D-4910-808E-CA189EA7947E}"/>
    <cellStyle name="Normal 9 4 11" xfId="38563" xr:uid="{BCDE5B05-19E3-4BF4-8EDC-AB485C96D9B4}"/>
    <cellStyle name="Normal 9 4 12" xfId="38564" xr:uid="{17FB639D-43F0-40C0-B680-F2C2BB1A01EE}"/>
    <cellStyle name="Normal 9 4 13" xfId="38565" xr:uid="{AA4EE8EE-D2FE-4A53-8A28-DF91E3549D3A}"/>
    <cellStyle name="Normal 9 4 2" xfId="38566" xr:uid="{B8C01A65-EA24-42F2-8DF1-7AEDDB036FD6}"/>
    <cellStyle name="Normal 9 4 2 2" xfId="38567" xr:uid="{4744B103-1E4C-474C-BE8F-77CF58337627}"/>
    <cellStyle name="Normal 9 4 2 3" xfId="38568" xr:uid="{626E446B-DFD0-44C1-B35A-ACA94243C5E3}"/>
    <cellStyle name="Normal 9 4 2 4" xfId="38569" xr:uid="{154F1379-362F-4396-A813-7AA7F892586E}"/>
    <cellStyle name="Normal 9 4 2 5" xfId="38570" xr:uid="{532C9CC2-9761-4B0D-B312-D2C4EE7FB0ED}"/>
    <cellStyle name="Normal 9 4 2 6" xfId="38571" xr:uid="{7AA442B3-B0F2-4909-ADD2-14D163D16F4D}"/>
    <cellStyle name="Normal 9 4 3" xfId="38572" xr:uid="{B4D5B1DB-80C3-4B93-86EF-608F9C65DB26}"/>
    <cellStyle name="Normal 9 4 3 2" xfId="38573" xr:uid="{D490A6B0-C86F-43D2-8D98-1F7A7BA80CD9}"/>
    <cellStyle name="Normal 9 4 3 3" xfId="38574" xr:uid="{45C4F717-0C65-4EDE-8D61-64C6296F3D70}"/>
    <cellStyle name="Normal 9 4 3 4" xfId="38575" xr:uid="{EE946F95-C256-4C8F-8816-701598A118DC}"/>
    <cellStyle name="Normal 9 4 3 5" xfId="38576" xr:uid="{5DC2DD45-F550-44EF-A4B2-FB248524A346}"/>
    <cellStyle name="Normal 9 4 3 6" xfId="38577" xr:uid="{DCB0C3F3-B419-483A-B555-9A5619F70FA3}"/>
    <cellStyle name="Normal 9 4 4" xfId="38578" xr:uid="{D84A111C-319B-4997-80C4-A67A7EC86587}"/>
    <cellStyle name="Normal 9 4 4 2" xfId="38579" xr:uid="{46FCB9BC-EB61-4A62-8C29-1E39C50E9E3D}"/>
    <cellStyle name="Normal 9 4 4 3" xfId="38580" xr:uid="{1BCF335E-F743-4421-8EC8-2C667B0E071C}"/>
    <cellStyle name="Normal 9 4 4 4" xfId="38581" xr:uid="{FFDC84EF-203F-4AFC-961C-AEEF6B2039B6}"/>
    <cellStyle name="Normal 9 4 4 5" xfId="38582" xr:uid="{41CB0365-4A68-4ED8-BB2E-5C9F9B39001D}"/>
    <cellStyle name="Normal 9 4 4 6" xfId="38583" xr:uid="{96BF778C-DD96-4810-B3AA-1F1F6A6169B3}"/>
    <cellStyle name="Normal 9 4 5" xfId="38584" xr:uid="{F783F290-EE85-4027-AC92-8E5C6E785433}"/>
    <cellStyle name="Normal 9 4 5 2" xfId="38585" xr:uid="{19CB177E-9369-4890-97D5-AF94DE497471}"/>
    <cellStyle name="Normal 9 4 5 3" xfId="38586" xr:uid="{D20CF805-FCC9-4BA0-BCA9-201D92F295EC}"/>
    <cellStyle name="Normal 9 4 5 4" xfId="38587" xr:uid="{F5C39910-D8CD-4576-9550-CD441E2EBA41}"/>
    <cellStyle name="Normal 9 4 5 5" xfId="38588" xr:uid="{38AA5216-F5C9-4DCB-9896-5CBB89FC2461}"/>
    <cellStyle name="Normal 9 4 5 6" xfId="38589" xr:uid="{D2DB7C4F-D47D-4CE0-AE3C-6A21EAC0AB03}"/>
    <cellStyle name="Normal 9 4 6" xfId="38590" xr:uid="{4D0C3D7D-92FC-44CB-98E8-9C3F4AF37ED8}"/>
    <cellStyle name="Normal 9 4 6 2" xfId="38591" xr:uid="{9F3F5A8F-A094-478A-BA62-AE53266583DB}"/>
    <cellStyle name="Normal 9 4 6 3" xfId="38592" xr:uid="{BD35396B-7D1F-4D40-81FB-1AB424245AB5}"/>
    <cellStyle name="Normal 9 4 6 4" xfId="38593" xr:uid="{D72EDD62-E3B1-4C82-B882-5782C79D2829}"/>
    <cellStyle name="Normal 9 4 6 5" xfId="38594" xr:uid="{C5D090CC-FBC7-4B38-A6CA-1E53C19B678B}"/>
    <cellStyle name="Normal 9 4 6 6" xfId="38595" xr:uid="{93EB8EDE-CFF3-4E9C-B47C-ACFE8E42EAEE}"/>
    <cellStyle name="Normal 9 4 7" xfId="38596" xr:uid="{1256135B-65AA-4FAB-BD98-E66C29F48AB9}"/>
    <cellStyle name="Normal 9 4 7 2" xfId="38597" xr:uid="{B2A1E6CF-7814-40BD-9B6F-2C7255A6F999}"/>
    <cellStyle name="Normal 9 4 7 3" xfId="38598" xr:uid="{7B542FA6-E234-4075-B8B4-BE847457C9AD}"/>
    <cellStyle name="Normal 9 4 7 4" xfId="38599" xr:uid="{C1998205-4836-4F1A-AFC5-5C40857EB928}"/>
    <cellStyle name="Normal 9 4 7 5" xfId="38600" xr:uid="{073B1B01-D36A-4A4E-B12A-8ED7597FB42D}"/>
    <cellStyle name="Normal 9 4 7 6" xfId="38601" xr:uid="{83400EDA-44E9-4E74-A357-45B64237C949}"/>
    <cellStyle name="Normal 9 4 8" xfId="38602" xr:uid="{5E5D2B9E-A446-44BC-8EAE-97B27FF7448B}"/>
    <cellStyle name="Normal 9 4 8 2" xfId="38603" xr:uid="{9238B252-3E93-4536-BD97-9131656053FE}"/>
    <cellStyle name="Normal 9 4 8 3" xfId="38604" xr:uid="{808C24B8-4FE1-4272-BCB5-9BB265E6E031}"/>
    <cellStyle name="Normal 9 4 8 4" xfId="38605" xr:uid="{9276BB51-D924-46BD-BD55-997E8AB8F28F}"/>
    <cellStyle name="Normal 9 4 8 5" xfId="38606" xr:uid="{80F96950-9F9F-4D45-B8FB-C17D6E2FCC44}"/>
    <cellStyle name="Normal 9 4 8 6" xfId="38607" xr:uid="{2401F875-7814-4E08-9DED-15EFE3AE9D7E}"/>
    <cellStyle name="Normal 9 4 9" xfId="38608" xr:uid="{C92A8C0A-F95F-4AEB-A93A-AF6EDB78F696}"/>
    <cellStyle name="Normal 9 40" xfId="38609" xr:uid="{048ADEBB-C641-4D09-A5DD-132843F99564}"/>
    <cellStyle name="Normal 9 40 2" xfId="38610" xr:uid="{019F70A9-5985-42EC-9FE4-CAA0E650AA3F}"/>
    <cellStyle name="Normal 9 40 3" xfId="38611" xr:uid="{F5549F57-4163-4DEF-A46E-D7B0C4ABD4A7}"/>
    <cellStyle name="Normal 9 40 4" xfId="38612" xr:uid="{0682B597-56AA-4CD3-B48C-7E8B811F311E}"/>
    <cellStyle name="Normal 9 40 5" xfId="38613" xr:uid="{31D20A65-07A4-4272-99FE-B63533B13DF7}"/>
    <cellStyle name="Normal 9 40 6" xfId="38614" xr:uid="{25F2C1D5-18B5-4E13-8F0A-7664D2AEED27}"/>
    <cellStyle name="Normal 9 41" xfId="38615" xr:uid="{83C5A277-4F6D-4074-A2BD-DB05311958DE}"/>
    <cellStyle name="Normal 9 42" xfId="38616" xr:uid="{81A971A0-DDDC-4D8E-90DE-DC59252D8ED0}"/>
    <cellStyle name="Normal 9 43" xfId="38617" xr:uid="{3F8B0249-8157-4944-88D2-FBAAB2026448}"/>
    <cellStyle name="Normal 9 44" xfId="38618" xr:uid="{ED7408D8-951B-4D4B-97D2-B3D79E52222F}"/>
    <cellStyle name="Normal 9 45" xfId="38619" xr:uid="{B7578F7C-B2E6-4360-BBF8-D8D55D5D3C6A}"/>
    <cellStyle name="Normal 9 46" xfId="38620" xr:uid="{EC0DCC91-E0A6-4373-904E-64CF6521239D}"/>
    <cellStyle name="Normal 9 5" xfId="38621" xr:uid="{62302D67-9A59-425B-9D8A-4293D0796D21}"/>
    <cellStyle name="Normal 9 5 10" xfId="38622" xr:uid="{012217CA-4CE6-4FF0-A1B7-BDE5D3614A96}"/>
    <cellStyle name="Normal 9 5 11" xfId="38623" xr:uid="{5C4C5678-0240-4F11-9C9E-74A5392EE37C}"/>
    <cellStyle name="Normal 9 5 12" xfId="38624" xr:uid="{2CD3C380-E21D-4C50-B76A-53063EC74DA3}"/>
    <cellStyle name="Normal 9 5 13" xfId="38625" xr:uid="{DCB6EAB2-A1A8-42AE-AC31-B8407F7A4324}"/>
    <cellStyle name="Normal 9 5 2" xfId="38626" xr:uid="{C479FDDE-BCEE-4337-87C9-8993AF5F4312}"/>
    <cellStyle name="Normal 9 5 2 2" xfId="38627" xr:uid="{F5FC1EA0-9360-46AD-94DE-AFCA463EB83D}"/>
    <cellStyle name="Normal 9 5 2 3" xfId="38628" xr:uid="{DC545DA8-E53F-4403-ACB4-E610B1F5C42D}"/>
    <cellStyle name="Normal 9 5 2 4" xfId="38629" xr:uid="{7C687F40-D1B5-43D0-BFE7-DBA7F2B165A4}"/>
    <cellStyle name="Normal 9 5 2 5" xfId="38630" xr:uid="{2796B0BA-D76E-400B-ACCA-49DB6265CACE}"/>
    <cellStyle name="Normal 9 5 2 6" xfId="38631" xr:uid="{15F6BD84-D0AA-421C-97C8-CB5438C04514}"/>
    <cellStyle name="Normal 9 5 3" xfId="38632" xr:uid="{D57A675F-2D4C-4A9D-A2A8-8E5F56077DE7}"/>
    <cellStyle name="Normal 9 5 3 2" xfId="38633" xr:uid="{FC827A70-5568-4918-AE7A-9097DF718347}"/>
    <cellStyle name="Normal 9 5 3 3" xfId="38634" xr:uid="{BFE12389-24E4-4339-A019-8A9769346686}"/>
    <cellStyle name="Normal 9 5 3 4" xfId="38635" xr:uid="{45E5BA7F-2190-4142-9DF6-6223FA3DD4FA}"/>
    <cellStyle name="Normal 9 5 3 5" xfId="38636" xr:uid="{696B2985-DD45-4D9C-9CCC-E06F6B9F49E8}"/>
    <cellStyle name="Normal 9 5 3 6" xfId="38637" xr:uid="{1C424ABB-0430-489A-9052-0A8D73FE84E8}"/>
    <cellStyle name="Normal 9 5 4" xfId="38638" xr:uid="{730477E0-D0BD-4927-8A93-A07EDDC298C6}"/>
    <cellStyle name="Normal 9 5 4 2" xfId="38639" xr:uid="{850DC935-1AD9-4771-84EA-45B4E3AA5205}"/>
    <cellStyle name="Normal 9 5 4 3" xfId="38640" xr:uid="{26FB2FE3-D22C-4091-BCDC-1EFFE0702EAE}"/>
    <cellStyle name="Normal 9 5 4 4" xfId="38641" xr:uid="{486E6E46-73BE-4210-BB77-4AF62C58D39E}"/>
    <cellStyle name="Normal 9 5 4 5" xfId="38642" xr:uid="{D3E2B2AC-15B0-4C91-AEF0-395AD25F4EE2}"/>
    <cellStyle name="Normal 9 5 4 6" xfId="38643" xr:uid="{40CF91EE-8EFC-45F0-9078-AB454D443A2E}"/>
    <cellStyle name="Normal 9 5 5" xfId="38644" xr:uid="{9AA565EB-8509-459F-B1D3-770AB0E4B468}"/>
    <cellStyle name="Normal 9 5 5 2" xfId="38645" xr:uid="{99C6A5F7-197A-43BB-8C12-E849DA4833D3}"/>
    <cellStyle name="Normal 9 5 5 3" xfId="38646" xr:uid="{11AE01FB-A9B8-4173-847F-F99CDB4C9906}"/>
    <cellStyle name="Normal 9 5 5 4" xfId="38647" xr:uid="{D927EDF3-4B75-40EA-8A5E-48D32AD432AB}"/>
    <cellStyle name="Normal 9 5 5 5" xfId="38648" xr:uid="{F8775AC6-F982-4D18-AC28-A00098927731}"/>
    <cellStyle name="Normal 9 5 5 6" xfId="38649" xr:uid="{D677E745-D90A-4BF1-8B95-A48EB85458DF}"/>
    <cellStyle name="Normal 9 5 6" xfId="38650" xr:uid="{998D2D24-E212-42E0-B27D-00E1C6340A1C}"/>
    <cellStyle name="Normal 9 5 6 2" xfId="38651" xr:uid="{E89BF954-BAB8-43C3-BCA0-B65A9F38EBBA}"/>
    <cellStyle name="Normal 9 5 6 3" xfId="38652" xr:uid="{0BA7EC74-C5C0-4670-A95A-4A8104B3928D}"/>
    <cellStyle name="Normal 9 5 6 4" xfId="38653" xr:uid="{8EFEAC82-51F8-4EC2-B5A5-832389045334}"/>
    <cellStyle name="Normal 9 5 6 5" xfId="38654" xr:uid="{B6D7F945-03F2-4E03-B1DB-B466C358CE1E}"/>
    <cellStyle name="Normal 9 5 6 6" xfId="38655" xr:uid="{5842AA9F-62C2-4876-BEB8-8DC5DF08E5CF}"/>
    <cellStyle name="Normal 9 5 7" xfId="38656" xr:uid="{51A6F87A-CDF7-4E0A-8993-0A96B32ED25C}"/>
    <cellStyle name="Normal 9 5 7 2" xfId="38657" xr:uid="{AB85076A-66E7-452C-8496-F9679D284B1C}"/>
    <cellStyle name="Normal 9 5 7 3" xfId="38658" xr:uid="{AA1CD568-06E1-4693-B146-57085BB21A3D}"/>
    <cellStyle name="Normal 9 5 7 4" xfId="38659" xr:uid="{1B79397F-69BC-46A1-A248-806BBE6D992A}"/>
    <cellStyle name="Normal 9 5 7 5" xfId="38660" xr:uid="{893109D1-2092-4653-BC8B-78DB9C08DBC5}"/>
    <cellStyle name="Normal 9 5 7 6" xfId="38661" xr:uid="{FF283EC5-4B7B-46E1-B205-5C0445B1031D}"/>
    <cellStyle name="Normal 9 5 8" xfId="38662" xr:uid="{CB2FEF06-61A5-46F9-94FB-2FFFB8880732}"/>
    <cellStyle name="Normal 9 5 8 2" xfId="38663" xr:uid="{F7C0D4DA-DE71-48DA-9331-1519A6B1A622}"/>
    <cellStyle name="Normal 9 5 8 3" xfId="38664" xr:uid="{DB69107D-85C5-47D3-8C9F-259BBF414C22}"/>
    <cellStyle name="Normal 9 5 8 4" xfId="38665" xr:uid="{26728256-F66C-4474-9389-296299983B5F}"/>
    <cellStyle name="Normal 9 5 8 5" xfId="38666" xr:uid="{3815ABE7-88C6-494E-A434-A205EF5103FF}"/>
    <cellStyle name="Normal 9 5 8 6" xfId="38667" xr:uid="{3B0E5EE0-F5E1-40C0-8BA0-D0CE90AA1480}"/>
    <cellStyle name="Normal 9 5 9" xfId="38668" xr:uid="{CAA508B1-A542-4500-A5CC-2119B8D62C50}"/>
    <cellStyle name="Normal 9 6" xfId="38669" xr:uid="{D72AA62C-9ECD-4129-8FE8-333015D4D3E4}"/>
    <cellStyle name="Normal 9 6 10" xfId="38670" xr:uid="{0421699A-3459-4A82-8CB1-52CB30F4E870}"/>
    <cellStyle name="Normal 9 6 11" xfId="38671" xr:uid="{16D24B9A-9BBD-4A0A-B7E7-E031C7C11F70}"/>
    <cellStyle name="Normal 9 6 12" xfId="38672" xr:uid="{D42DBD16-F1CE-41BC-A592-24839CEF0DE6}"/>
    <cellStyle name="Normal 9 6 13" xfId="38673" xr:uid="{6A0D31A0-B40A-44D5-9CB6-4F5A861D68E7}"/>
    <cellStyle name="Normal 9 6 2" xfId="38674" xr:uid="{1B686E6E-9AE8-420E-960F-79A2DF497219}"/>
    <cellStyle name="Normal 9 6 2 2" xfId="38675" xr:uid="{D4D54AC5-7440-4106-A70A-0FFBB0608414}"/>
    <cellStyle name="Normal 9 6 2 3" xfId="38676" xr:uid="{835552E0-9819-416F-B02D-2D6644582828}"/>
    <cellStyle name="Normal 9 6 2 4" xfId="38677" xr:uid="{8BCC1A13-9731-42FB-A7D0-C49663A2E46A}"/>
    <cellStyle name="Normal 9 6 2 5" xfId="38678" xr:uid="{CE5B44C5-B1E0-4770-B4CD-E433F4800EDD}"/>
    <cellStyle name="Normal 9 6 2 6" xfId="38679" xr:uid="{145E5133-75F7-4604-9221-1857178D7088}"/>
    <cellStyle name="Normal 9 6 3" xfId="38680" xr:uid="{44D313AA-823E-46F2-8E48-60F1DA974F46}"/>
    <cellStyle name="Normal 9 6 3 2" xfId="38681" xr:uid="{F255BFFF-E0D2-4355-B25B-003B861DBD30}"/>
    <cellStyle name="Normal 9 6 3 3" xfId="38682" xr:uid="{B51D7E1F-C823-4E5A-BD68-0B4B096E3318}"/>
    <cellStyle name="Normal 9 6 3 4" xfId="38683" xr:uid="{6AD9A176-5DB2-4C50-894C-59CAECB62707}"/>
    <cellStyle name="Normal 9 6 3 5" xfId="38684" xr:uid="{93D05AE0-F385-40DF-A553-3D92DA5F1A50}"/>
    <cellStyle name="Normal 9 6 3 6" xfId="38685" xr:uid="{94F2372E-BDD6-4FBA-BE8B-7142D8CAD6FE}"/>
    <cellStyle name="Normal 9 6 4" xfId="38686" xr:uid="{622C5E16-C15E-460A-8A14-94B6C476E068}"/>
    <cellStyle name="Normal 9 6 4 2" xfId="38687" xr:uid="{B2823334-268A-4995-B945-02E583252D16}"/>
    <cellStyle name="Normal 9 6 4 3" xfId="38688" xr:uid="{6E37DFE1-21A2-4C1E-A8B7-744C1634A545}"/>
    <cellStyle name="Normal 9 6 4 4" xfId="38689" xr:uid="{24ACF8FB-1364-4727-960E-DF1C27AB90D9}"/>
    <cellStyle name="Normal 9 6 4 5" xfId="38690" xr:uid="{00D828CC-40A0-470E-8EE2-1453D8356506}"/>
    <cellStyle name="Normal 9 6 4 6" xfId="38691" xr:uid="{27BE79E1-D4AB-409D-BEA1-F312E6E0E3F0}"/>
    <cellStyle name="Normal 9 6 5" xfId="38692" xr:uid="{2D5BA44E-EC93-40D5-B3B8-1B4402183C7F}"/>
    <cellStyle name="Normal 9 6 5 2" xfId="38693" xr:uid="{6E41CFC0-49F4-4974-9661-10C6C98F601C}"/>
    <cellStyle name="Normal 9 6 5 3" xfId="38694" xr:uid="{8BDE9634-9E56-441E-9120-14FA218D8B18}"/>
    <cellStyle name="Normal 9 6 5 4" xfId="38695" xr:uid="{3EC91716-5016-4C59-BF09-A725FFD176E6}"/>
    <cellStyle name="Normal 9 6 5 5" xfId="38696" xr:uid="{2E83ED32-1EDF-41D3-AB14-21E8979F986C}"/>
    <cellStyle name="Normal 9 6 5 6" xfId="38697" xr:uid="{ECF19BE9-0F7C-4175-964C-850E2528FDCB}"/>
    <cellStyle name="Normal 9 6 6" xfId="38698" xr:uid="{8080AD64-0B37-4C78-BDD5-1FADA023C351}"/>
    <cellStyle name="Normal 9 6 6 2" xfId="38699" xr:uid="{0EE07494-356A-4B1A-83C4-4C5EED12A711}"/>
    <cellStyle name="Normal 9 6 6 3" xfId="38700" xr:uid="{D63EF016-8DA5-4A34-9FFF-C28028F89FCD}"/>
    <cellStyle name="Normal 9 6 6 4" xfId="38701" xr:uid="{2295C97A-298D-4447-9817-CEDD695E29D6}"/>
    <cellStyle name="Normal 9 6 6 5" xfId="38702" xr:uid="{0891C883-ED92-41F7-8AFA-1617D3AEF47B}"/>
    <cellStyle name="Normal 9 6 6 6" xfId="38703" xr:uid="{373A1A25-A8C6-44FB-A6AA-6A1CC59EA4B1}"/>
    <cellStyle name="Normal 9 6 7" xfId="38704" xr:uid="{FBBC0707-2D22-470F-879F-240309010532}"/>
    <cellStyle name="Normal 9 6 7 2" xfId="38705" xr:uid="{071C57A7-1BB5-4D88-A75A-D1B5B5CCE676}"/>
    <cellStyle name="Normal 9 6 7 3" xfId="38706" xr:uid="{F51D7540-8716-483F-A1AB-DE21746320F8}"/>
    <cellStyle name="Normal 9 6 7 4" xfId="38707" xr:uid="{DC60DDC6-764C-4B16-A6FC-6B55A3403C7F}"/>
    <cellStyle name="Normal 9 6 7 5" xfId="38708" xr:uid="{98C2C499-BC14-4554-953E-D2AE66ADF49E}"/>
    <cellStyle name="Normal 9 6 7 6" xfId="38709" xr:uid="{D571D404-B793-4153-AD8D-9D3994B92D6B}"/>
    <cellStyle name="Normal 9 6 8" xfId="38710" xr:uid="{AA12D60B-479A-4FAE-B638-6319903E924D}"/>
    <cellStyle name="Normal 9 6 8 2" xfId="38711" xr:uid="{1CC9075E-D8F3-460A-9C44-72C5CB3B73E0}"/>
    <cellStyle name="Normal 9 6 8 3" xfId="38712" xr:uid="{FDFAB9EF-6A8B-4FBE-BAEA-AE582948AD1E}"/>
    <cellStyle name="Normal 9 6 8 4" xfId="38713" xr:uid="{BF28A661-209F-4B39-BA36-17125CF70A49}"/>
    <cellStyle name="Normal 9 6 8 5" xfId="38714" xr:uid="{8AA08D18-A274-4F8A-8E14-AD8544618995}"/>
    <cellStyle name="Normal 9 6 8 6" xfId="38715" xr:uid="{0F476A7A-8787-433B-9B10-6B5BE325195F}"/>
    <cellStyle name="Normal 9 6 9" xfId="38716" xr:uid="{759A9A82-611F-46CC-AC71-C7D23822D4E8}"/>
    <cellStyle name="Normal 9 7" xfId="38717" xr:uid="{F8104CEB-D88C-4711-98A3-73460EDE6B7A}"/>
    <cellStyle name="Normal 9 7 10" xfId="38718" xr:uid="{D30BB00F-8F38-415A-9216-94BB211685E3}"/>
    <cellStyle name="Normal 9 7 11" xfId="38719" xr:uid="{FF35A1AE-2A89-4910-9389-3E61C8899817}"/>
    <cellStyle name="Normal 9 7 12" xfId="38720" xr:uid="{FDD5D9C0-6AF4-4310-80D3-16EB0E09CF54}"/>
    <cellStyle name="Normal 9 7 13" xfId="38721" xr:uid="{8292F210-6444-414D-AD6D-6FF675B0E6A4}"/>
    <cellStyle name="Normal 9 7 2" xfId="38722" xr:uid="{A406A021-8738-4BE0-BAA7-B23AA649457D}"/>
    <cellStyle name="Normal 9 7 2 2" xfId="38723" xr:uid="{01D4CBB8-2294-40DE-8D6D-A13D2F602D72}"/>
    <cellStyle name="Normal 9 7 2 3" xfId="38724" xr:uid="{B295A83B-95D9-4D3F-9F4F-F4D0526E4364}"/>
    <cellStyle name="Normal 9 7 2 4" xfId="38725" xr:uid="{E087C2F2-E11F-4F2C-A136-BCDBC79DC94F}"/>
    <cellStyle name="Normal 9 7 2 5" xfId="38726" xr:uid="{FFFA378F-8BEA-44D1-9A10-60DA8BA1F3FE}"/>
    <cellStyle name="Normal 9 7 2 6" xfId="38727" xr:uid="{4B4A9129-B134-48F3-A377-0119F262E2CD}"/>
    <cellStyle name="Normal 9 7 3" xfId="38728" xr:uid="{2A63B037-8468-4524-9F01-26AC0BABF376}"/>
    <cellStyle name="Normal 9 7 3 2" xfId="38729" xr:uid="{58C2E5E8-7CFB-424D-B4D6-4E53FA48C618}"/>
    <cellStyle name="Normal 9 7 3 3" xfId="38730" xr:uid="{1C9F6CEC-CC3E-4E4B-B72D-029BD46249FE}"/>
    <cellStyle name="Normal 9 7 3 4" xfId="38731" xr:uid="{DB7C0AC6-51C0-41AC-A661-486F963ADD06}"/>
    <cellStyle name="Normal 9 7 3 5" xfId="38732" xr:uid="{3EE26BE3-F97E-4931-A5AE-F7134ECA2961}"/>
    <cellStyle name="Normal 9 7 3 6" xfId="38733" xr:uid="{65DDF40E-ED4B-421D-94B9-3C3627662235}"/>
    <cellStyle name="Normal 9 7 4" xfId="38734" xr:uid="{D9B35760-CDB5-4DFB-97E7-C70AD507F294}"/>
    <cellStyle name="Normal 9 7 4 2" xfId="38735" xr:uid="{9A1960BE-FA1D-4891-A5BA-E90172E68828}"/>
    <cellStyle name="Normal 9 7 4 3" xfId="38736" xr:uid="{5765D281-70F0-4BD3-9D3C-6720C96E329E}"/>
    <cellStyle name="Normal 9 7 4 4" xfId="38737" xr:uid="{5240DC91-8B42-4DDE-A1C1-0A7DDE9A831D}"/>
    <cellStyle name="Normal 9 7 4 5" xfId="38738" xr:uid="{415A388F-206F-42F5-8BDC-F5C2D318D2F9}"/>
    <cellStyle name="Normal 9 7 4 6" xfId="38739" xr:uid="{25B875A6-FD33-4D20-90B6-80DD4453E282}"/>
    <cellStyle name="Normal 9 7 5" xfId="38740" xr:uid="{8B6BB935-7A4D-428B-A190-5A88D8560606}"/>
    <cellStyle name="Normal 9 7 5 2" xfId="38741" xr:uid="{37C457DB-BCF4-4567-B6A3-A3078BC1D8C4}"/>
    <cellStyle name="Normal 9 7 5 3" xfId="38742" xr:uid="{86D96D68-E9B9-4EB7-864C-549F71E37AB1}"/>
    <cellStyle name="Normal 9 7 5 4" xfId="38743" xr:uid="{A7331365-C569-44C0-80C1-F5CC1A753853}"/>
    <cellStyle name="Normal 9 7 5 5" xfId="38744" xr:uid="{27B4A7DA-EF66-48B7-A171-DED2C389453D}"/>
    <cellStyle name="Normal 9 7 5 6" xfId="38745" xr:uid="{003FA3D2-3600-4F93-B732-8758C4672F8D}"/>
    <cellStyle name="Normal 9 7 6" xfId="38746" xr:uid="{2851F64C-4F03-4C4D-9F9B-305CB0DB82B4}"/>
    <cellStyle name="Normal 9 7 6 2" xfId="38747" xr:uid="{75A28E71-A2F7-4269-9D62-7B5A8C6B0D9E}"/>
    <cellStyle name="Normal 9 7 6 3" xfId="38748" xr:uid="{D0AE9FCF-8366-4798-BAAF-4996803F8EFC}"/>
    <cellStyle name="Normal 9 7 6 4" xfId="38749" xr:uid="{42BA7E8F-2E62-4041-9DA5-BEACB5F101CB}"/>
    <cellStyle name="Normal 9 7 6 5" xfId="38750" xr:uid="{162F37FB-4E09-4B5A-B37F-77E14731CABE}"/>
    <cellStyle name="Normal 9 7 6 6" xfId="38751" xr:uid="{D140257C-A717-4A51-8D41-6F72BFF48356}"/>
    <cellStyle name="Normal 9 7 7" xfId="38752" xr:uid="{5F317B04-0127-4B61-B4B7-184FD19D6E5E}"/>
    <cellStyle name="Normal 9 7 7 2" xfId="38753" xr:uid="{A1109E5F-E2A2-46CF-B1F6-EB434A5A030C}"/>
    <cellStyle name="Normal 9 7 7 3" xfId="38754" xr:uid="{950D8AB4-762A-4ECF-A2F9-BBECEA06987C}"/>
    <cellStyle name="Normal 9 7 7 4" xfId="38755" xr:uid="{4B6A3553-4E0F-4914-A719-AAB16A1611B6}"/>
    <cellStyle name="Normal 9 7 7 5" xfId="38756" xr:uid="{DCCDD62D-2E27-48D9-99DE-E2F52F822D2B}"/>
    <cellStyle name="Normal 9 7 7 6" xfId="38757" xr:uid="{13FEDB09-5D29-46CE-AAC2-953E1B46A8F0}"/>
    <cellStyle name="Normal 9 7 8" xfId="38758" xr:uid="{FCB9B558-1EE8-4D59-A9D3-19F451FF2964}"/>
    <cellStyle name="Normal 9 7 8 2" xfId="38759" xr:uid="{32F7A2D6-A13C-438A-B820-41F56BC50BD7}"/>
    <cellStyle name="Normal 9 7 8 3" xfId="38760" xr:uid="{13F0D378-724D-405D-990A-D62A31CA8D31}"/>
    <cellStyle name="Normal 9 7 8 4" xfId="38761" xr:uid="{4CD501F2-AD6A-4CCA-914A-E74733C8659B}"/>
    <cellStyle name="Normal 9 7 8 5" xfId="38762" xr:uid="{55398226-056E-4DB7-97A6-5D98FE14E068}"/>
    <cellStyle name="Normal 9 7 8 6" xfId="38763" xr:uid="{A81388CF-387C-4E29-B95F-6D8B54F20964}"/>
    <cellStyle name="Normal 9 7 9" xfId="38764" xr:uid="{0F76C180-729F-4BC4-8FE1-21792B9B3284}"/>
    <cellStyle name="Normal 9 8" xfId="38765" xr:uid="{3E7512FB-86E4-4D42-B55A-FAF6A24D45EE}"/>
    <cellStyle name="Normal 9 8 10" xfId="38766" xr:uid="{617607C4-8B9D-4727-8B9A-CFDA87F72CC4}"/>
    <cellStyle name="Normal 9 8 11" xfId="38767" xr:uid="{A6601EFD-4979-4FF7-A4B3-66F668304AD5}"/>
    <cellStyle name="Normal 9 8 12" xfId="38768" xr:uid="{273E7B51-EAC9-4471-9FA5-255945A5E080}"/>
    <cellStyle name="Normal 9 8 13" xfId="38769" xr:uid="{D3B8CFAC-0ADE-4CFF-ADCD-90895A6F85F0}"/>
    <cellStyle name="Normal 9 8 2" xfId="38770" xr:uid="{77F65283-0F55-4883-B794-145B91CEECB9}"/>
    <cellStyle name="Normal 9 8 2 2" xfId="38771" xr:uid="{CE84F64A-0579-4E8C-A60D-8B63D5BA5EE6}"/>
    <cellStyle name="Normal 9 8 2 3" xfId="38772" xr:uid="{BF2869F6-B766-40E1-8F37-92AA8B097C3C}"/>
    <cellStyle name="Normal 9 8 2 4" xfId="38773" xr:uid="{CB497E10-0D7C-4D0D-B3BF-8C9B2E77A9C2}"/>
    <cellStyle name="Normal 9 8 2 5" xfId="38774" xr:uid="{B1D4E72D-3411-4262-893B-8FEB4AE88FB3}"/>
    <cellStyle name="Normal 9 8 2 6" xfId="38775" xr:uid="{A9103A16-9314-44D9-BE59-69EB9479B077}"/>
    <cellStyle name="Normal 9 8 3" xfId="38776" xr:uid="{0956B259-DE16-4C23-A190-BB987B62AC67}"/>
    <cellStyle name="Normal 9 8 3 2" xfId="38777" xr:uid="{5584C3A4-7BD6-4CD5-8A65-12E3B8BE13F7}"/>
    <cellStyle name="Normal 9 8 3 3" xfId="38778" xr:uid="{2631ADCB-2B7C-469C-A84C-89CF1B813FF6}"/>
    <cellStyle name="Normal 9 8 3 4" xfId="38779" xr:uid="{82641B46-6B96-4A60-A11D-E1F12706A956}"/>
    <cellStyle name="Normal 9 8 3 5" xfId="38780" xr:uid="{7584DF80-7E9C-4B7C-9BE3-4A051CD22D17}"/>
    <cellStyle name="Normal 9 8 3 6" xfId="38781" xr:uid="{9C355E26-AA6D-411C-BC41-14A32CB361FC}"/>
    <cellStyle name="Normal 9 8 4" xfId="38782" xr:uid="{90F2A3F6-647F-4D14-8164-31535BAAB4C0}"/>
    <cellStyle name="Normal 9 8 4 2" xfId="38783" xr:uid="{A8614655-7872-46C6-8D65-F4995DFE14AF}"/>
    <cellStyle name="Normal 9 8 4 3" xfId="38784" xr:uid="{5327951D-D6D4-4F16-9B35-D06F7643D8B6}"/>
    <cellStyle name="Normal 9 8 4 4" xfId="38785" xr:uid="{89F1541E-59C1-43BF-BBAF-526E0DBC51AC}"/>
    <cellStyle name="Normal 9 8 4 5" xfId="38786" xr:uid="{A2B5812A-3367-4414-8B5E-FD0946494A09}"/>
    <cellStyle name="Normal 9 8 4 6" xfId="38787" xr:uid="{D739E4D9-FCD6-431C-8BEC-D2A07C6B1E69}"/>
    <cellStyle name="Normal 9 8 5" xfId="38788" xr:uid="{C67521E4-ED6D-4C7A-9C6E-FC9A3DA1BC69}"/>
    <cellStyle name="Normal 9 8 5 2" xfId="38789" xr:uid="{B317C4AB-5AC8-40BD-B9AF-626828A3D6B2}"/>
    <cellStyle name="Normal 9 8 5 3" xfId="38790" xr:uid="{6DFAA300-A00A-40FE-8F67-671CFC60CCFE}"/>
    <cellStyle name="Normal 9 8 5 4" xfId="38791" xr:uid="{1F4CFC80-16BA-40C2-9DD3-AA108735A5F7}"/>
    <cellStyle name="Normal 9 8 5 5" xfId="38792" xr:uid="{12C1E50E-E146-4F11-A11B-EF5D93246E2F}"/>
    <cellStyle name="Normal 9 8 5 6" xfId="38793" xr:uid="{D5FF2C86-69B3-4151-8983-73D5CC34D90E}"/>
    <cellStyle name="Normal 9 8 6" xfId="38794" xr:uid="{361ACBEF-33C1-415F-AAFE-A815B32B8FDB}"/>
    <cellStyle name="Normal 9 8 6 2" xfId="38795" xr:uid="{E41574A5-583C-4773-B4DE-51778D831769}"/>
    <cellStyle name="Normal 9 8 6 3" xfId="38796" xr:uid="{89FAD874-1B8C-4A4A-B7AB-80C041B8EF4F}"/>
    <cellStyle name="Normal 9 8 6 4" xfId="38797" xr:uid="{63CBA763-67F1-463A-8C33-4BC9E4272C33}"/>
    <cellStyle name="Normal 9 8 6 5" xfId="38798" xr:uid="{2BC380E0-60C6-4CFD-9260-94D61F1D7230}"/>
    <cellStyle name="Normal 9 8 6 6" xfId="38799" xr:uid="{864DED4F-3ACB-409A-8177-66C330338AAE}"/>
    <cellStyle name="Normal 9 8 7" xfId="38800" xr:uid="{6D2A5060-CF80-4C51-9DFF-2607035A1E73}"/>
    <cellStyle name="Normal 9 8 7 2" xfId="38801" xr:uid="{28A7691A-685A-4602-B7A2-F4772F9F283C}"/>
    <cellStyle name="Normal 9 8 7 3" xfId="38802" xr:uid="{6E26AF08-7F58-4BB3-B187-6A3E35A410D4}"/>
    <cellStyle name="Normal 9 8 7 4" xfId="38803" xr:uid="{FF03A12D-2073-43D1-B6FC-8A58CDE163C1}"/>
    <cellStyle name="Normal 9 8 7 5" xfId="38804" xr:uid="{4D0202AA-753A-4356-9487-89736D018DC2}"/>
    <cellStyle name="Normal 9 8 7 6" xfId="38805" xr:uid="{4758D1BC-FB13-4976-A31E-A36E3F70ED80}"/>
    <cellStyle name="Normal 9 8 8" xfId="38806" xr:uid="{C60D6BD1-E035-43C2-B460-9DC868728053}"/>
    <cellStyle name="Normal 9 8 8 2" xfId="38807" xr:uid="{B1F8B7B8-91CC-495B-9D3D-930BD54B4D28}"/>
    <cellStyle name="Normal 9 8 8 3" xfId="38808" xr:uid="{7A1757A6-A9DF-4AC8-AEB4-92A14E2101D3}"/>
    <cellStyle name="Normal 9 8 8 4" xfId="38809" xr:uid="{D39235F2-0AD4-41E4-9715-D365D603044A}"/>
    <cellStyle name="Normal 9 8 8 5" xfId="38810" xr:uid="{D79C7181-DF15-4A2D-B9D7-4DEBCF486D18}"/>
    <cellStyle name="Normal 9 8 8 6" xfId="38811" xr:uid="{F2AAA97B-4347-4BF2-B00E-2894CDE199A6}"/>
    <cellStyle name="Normal 9 8 9" xfId="38812" xr:uid="{6C553BF8-B84F-4B26-A934-C06DFCEFEE6A}"/>
    <cellStyle name="Normal 9 9" xfId="38813" xr:uid="{2F0CEA11-388D-414A-AF47-9560146E80CB}"/>
    <cellStyle name="Normal 9 9 10" xfId="38814" xr:uid="{01C196E0-928D-4918-B7D0-48D911B68FB8}"/>
    <cellStyle name="Normal 9 9 11" xfId="38815" xr:uid="{4A639B48-6575-45F1-A0BB-13C9375E8779}"/>
    <cellStyle name="Normal 9 9 12" xfId="38816" xr:uid="{310672E0-0918-4566-96F4-B8EA5A04E146}"/>
    <cellStyle name="Normal 9 9 13" xfId="38817" xr:uid="{D5B7E3F2-704D-41FD-9856-7AB941A8D25D}"/>
    <cellStyle name="Normal 9 9 2" xfId="38818" xr:uid="{8BEADD7E-C696-4F59-AAA3-8897D7A56F59}"/>
    <cellStyle name="Normal 9 9 2 2" xfId="38819" xr:uid="{E987F561-5405-446A-8E9E-35FA4A18511D}"/>
    <cellStyle name="Normal 9 9 2 3" xfId="38820" xr:uid="{3EAFA15B-A895-4909-B1B8-310F8E009861}"/>
    <cellStyle name="Normal 9 9 2 4" xfId="38821" xr:uid="{4BFF07D1-0AF2-490A-9107-38CE4C1CC8D8}"/>
    <cellStyle name="Normal 9 9 2 5" xfId="38822" xr:uid="{E1B35183-B88B-4D05-9AC6-C8314178D5AD}"/>
    <cellStyle name="Normal 9 9 2 6" xfId="38823" xr:uid="{412245D0-A55E-4176-9443-823A51172F27}"/>
    <cellStyle name="Normal 9 9 3" xfId="38824" xr:uid="{4DF1AA03-E01D-4E7D-A9D5-249F0B3B2E60}"/>
    <cellStyle name="Normal 9 9 3 2" xfId="38825" xr:uid="{59D96612-DDB7-4267-B559-736207317462}"/>
    <cellStyle name="Normal 9 9 3 3" xfId="38826" xr:uid="{96F76B25-EF35-410E-A21A-5736A04C2408}"/>
    <cellStyle name="Normal 9 9 3 4" xfId="38827" xr:uid="{5D53274A-C0BF-4324-88D6-B8572AA9C1B6}"/>
    <cellStyle name="Normal 9 9 3 5" xfId="38828" xr:uid="{0D123FD3-811E-4667-B493-38ABA60E47A5}"/>
    <cellStyle name="Normal 9 9 3 6" xfId="38829" xr:uid="{0B95FC25-722E-4FF7-885C-A7EE432643BC}"/>
    <cellStyle name="Normal 9 9 4" xfId="38830" xr:uid="{62CF6A33-A62B-4B5B-894E-29A1D2FBA436}"/>
    <cellStyle name="Normal 9 9 4 2" xfId="38831" xr:uid="{27B20A90-5145-429D-91C2-0E8E16FC3FF8}"/>
    <cellStyle name="Normal 9 9 4 3" xfId="38832" xr:uid="{D1524613-00C3-4145-AD97-1FFEE0D0DE8D}"/>
    <cellStyle name="Normal 9 9 4 4" xfId="38833" xr:uid="{55E5928B-252A-416E-ABC3-2DE9FDEE617A}"/>
    <cellStyle name="Normal 9 9 4 5" xfId="38834" xr:uid="{864BBF76-9166-4622-A494-E89808419FFB}"/>
    <cellStyle name="Normal 9 9 4 6" xfId="38835" xr:uid="{A78163CB-FD94-4625-A2E3-99AE1A67D437}"/>
    <cellStyle name="Normal 9 9 5" xfId="38836" xr:uid="{46077CB6-8EEA-44D8-8B01-5FFD95770888}"/>
    <cellStyle name="Normal 9 9 5 2" xfId="38837" xr:uid="{4554B27F-01DE-493F-A4F7-9E3E33842A3A}"/>
    <cellStyle name="Normal 9 9 5 3" xfId="38838" xr:uid="{39CFF032-3CB3-4477-A5B7-1317FB0166D4}"/>
    <cellStyle name="Normal 9 9 5 4" xfId="38839" xr:uid="{750467D9-AD24-4A84-8A85-3A14BAC6B4F6}"/>
    <cellStyle name="Normal 9 9 5 5" xfId="38840" xr:uid="{33ACE014-57F6-4683-9367-31A42359BD9C}"/>
    <cellStyle name="Normal 9 9 5 6" xfId="38841" xr:uid="{DF64BEE4-F809-4838-8B73-038F20517E37}"/>
    <cellStyle name="Normal 9 9 6" xfId="38842" xr:uid="{BE4442D3-BB60-4C46-AB0D-DB4D9DFC9AAE}"/>
    <cellStyle name="Normal 9 9 6 2" xfId="38843" xr:uid="{C7B3D96B-E6CF-42A5-8FE9-26A1C3BB0344}"/>
    <cellStyle name="Normal 9 9 6 3" xfId="38844" xr:uid="{0DAD7916-1F18-441C-ACCD-38C152CD3B4C}"/>
    <cellStyle name="Normal 9 9 6 4" xfId="38845" xr:uid="{625B1F93-C376-4A9B-8555-20DB761C1E09}"/>
    <cellStyle name="Normal 9 9 6 5" xfId="38846" xr:uid="{E31A721E-6694-462C-BAFA-60FF01707185}"/>
    <cellStyle name="Normal 9 9 6 6" xfId="38847" xr:uid="{4D51124F-C651-430E-8D50-D684DAC5D186}"/>
    <cellStyle name="Normal 9 9 7" xfId="38848" xr:uid="{F53DE711-C80A-46BB-ABA1-6D954F247FC8}"/>
    <cellStyle name="Normal 9 9 7 2" xfId="38849" xr:uid="{428F5380-9A72-45F7-AEA8-B8E9186142AB}"/>
    <cellStyle name="Normal 9 9 7 3" xfId="38850" xr:uid="{B324CCA1-9C3B-486A-BAA0-1D0C2D172F8E}"/>
    <cellStyle name="Normal 9 9 7 4" xfId="38851" xr:uid="{DF7192B4-0AC8-4E5C-B75D-278943F0482A}"/>
    <cellStyle name="Normal 9 9 7 5" xfId="38852" xr:uid="{5B5D8001-729D-48FA-9BBF-EBAC0442B1BC}"/>
    <cellStyle name="Normal 9 9 7 6" xfId="38853" xr:uid="{951ABBB6-39B0-4DE0-A1CE-0A1221ACF73B}"/>
    <cellStyle name="Normal 9 9 8" xfId="38854" xr:uid="{80C5A961-C764-49B2-8C47-C847282BF3F5}"/>
    <cellStyle name="Normal 9 9 8 2" xfId="38855" xr:uid="{4CC4664B-3070-4CA6-92E6-99712DB8A51E}"/>
    <cellStyle name="Normal 9 9 8 3" xfId="38856" xr:uid="{43F3B37A-AF38-4D48-B85D-ED125ED0AF0D}"/>
    <cellStyle name="Normal 9 9 8 4" xfId="38857" xr:uid="{334292DD-9DE7-4881-8FC5-8452BF4AE6FF}"/>
    <cellStyle name="Normal 9 9 8 5" xfId="38858" xr:uid="{A81BFA52-8B44-46C4-B978-B797980926F5}"/>
    <cellStyle name="Normal 9 9 8 6" xfId="38859" xr:uid="{102920A0-16ED-486C-AE66-6A1EF981A37E}"/>
    <cellStyle name="Normal 9 9 9" xfId="38860" xr:uid="{957577DB-8EBF-4F7E-A7D5-C0D30DA801D6}"/>
    <cellStyle name="Normal 9_casulo 5" xfId="860" xr:uid="{DA91506F-679D-4C23-A62D-04B28B69B3FE}"/>
    <cellStyle name="Normal 90" xfId="38861" xr:uid="{7C2AA0E2-EA90-48EC-B624-62390B202B1B}"/>
    <cellStyle name="Normal 91" xfId="38862" xr:uid="{CCDB103C-608C-44E6-BCB0-370F8AE2C49D}"/>
    <cellStyle name="Normal 92" xfId="38863" xr:uid="{63E3C540-A74D-48EA-92E8-2742670745ED}"/>
    <cellStyle name="Normal 93" xfId="38864" xr:uid="{9A93A1A1-0C6E-4175-8EBE-EE38E4F4F33A}"/>
    <cellStyle name="Normal 94" xfId="38865" xr:uid="{71533CAA-8590-4EBF-922A-859A07488DF4}"/>
    <cellStyle name="Normal 95" xfId="38866" xr:uid="{0DD15494-B1CF-4458-88A6-8BBA910C4E87}"/>
    <cellStyle name="Normal 96" xfId="38867" xr:uid="{49757EBA-6117-4768-919C-329C29FB13A9}"/>
    <cellStyle name="Normal 97" xfId="38868" xr:uid="{6B5C9E92-40DF-4E5C-AA95-BA961CEBB455}"/>
    <cellStyle name="Normal 98" xfId="38869" xr:uid="{02D4D68D-5638-408C-95F3-ABD76D967892}"/>
    <cellStyle name="Normal 99" xfId="38870" xr:uid="{6BA1FA9C-25FF-4406-B1DC-3818DFD31AE5}"/>
    <cellStyle name="Normal Bold" xfId="1690" xr:uid="{1EA3ED2F-7594-4E38-A2C5-DD558609B50C}"/>
    <cellStyle name="Normal_4T10_Gráficos e Tabelas_CEMAR_Após_baixas_A&amp;P_Regulatórios_v2" xfId="18" xr:uid="{00000000-0005-0000-0000-00000E000000}"/>
    <cellStyle name="Normal_AC 05.3 - Def Sign Acc's 2004 2" xfId="28" xr:uid="{00000000-0005-0000-0000-00000F000000}"/>
    <cellStyle name="Normal1" xfId="38871" xr:uid="{C692D827-5EC2-4746-B5ED-575647FF88D6}"/>
    <cellStyle name="Normale_ cellular Costs" xfId="38872" xr:uid="{84CAE53B-A2BB-4D6B-B01D-59F4F7F73DB0}"/>
    <cellStyle name="normální_Business Plan MCE" xfId="38873" xr:uid="{70F6440E-10C8-477F-89C1-8D08AEC380C4}"/>
    <cellStyle name="normбlnм_laroux" xfId="38874" xr:uid="{8CCFB66B-2BE9-4067-BB63-4FD03B350FAA}"/>
    <cellStyle name="Nota 10" xfId="38875" xr:uid="{D3AC0623-0958-4917-9BFA-056C9CB7FAA9}"/>
    <cellStyle name="Nota 11" xfId="861" xr:uid="{F8E547D0-257C-44DB-9569-4D2F0358C14D}"/>
    <cellStyle name="Nota 2" xfId="1103" xr:uid="{B3DE2D62-5ECB-4BED-9C25-F02CFBDB9C36}"/>
    <cellStyle name="Nota 2 10" xfId="43604" xr:uid="{8493E05B-220F-47BF-B812-A99EF7815380}"/>
    <cellStyle name="Nota 2 11" xfId="43605" xr:uid="{451864E0-BBB0-48FD-A107-D3F3CE10DF8F}"/>
    <cellStyle name="Nota 2 12" xfId="43606" xr:uid="{C4909A92-5792-40B7-9386-939AB26597C8}"/>
    <cellStyle name="Nota 2 13" xfId="43607" xr:uid="{11B68D41-3C26-4A60-9144-4E768AE100E2}"/>
    <cellStyle name="Nota 2 14" xfId="43608" xr:uid="{52997DA1-D52C-4CF8-96DA-47AF28E3A0F2}"/>
    <cellStyle name="Nota 2 15" xfId="43609" xr:uid="{25ECA398-A648-4CD9-AD0B-E91AEE193FF8}"/>
    <cellStyle name="Nota 2 16" xfId="43610" xr:uid="{DAC4B7A5-8F8A-438C-8339-4BD9DEAB4FEF}"/>
    <cellStyle name="Nota 2 17" xfId="43611" xr:uid="{19036C94-E624-4688-BD01-00829A556803}"/>
    <cellStyle name="Nota 2 18" xfId="43612" xr:uid="{8B747FC0-F57A-4D2F-B263-DBF439F850F6}"/>
    <cellStyle name="Nota 2 19" xfId="43613" xr:uid="{4307B900-28C9-429E-84B9-98717543CA1A}"/>
    <cellStyle name="Nota 2 2" xfId="38876" xr:uid="{22581BBE-4246-4150-B95A-4BF314C45771}"/>
    <cellStyle name="Nota 2 20" xfId="43614" xr:uid="{0DAC0689-CC0B-425C-8EAD-264B734EB5B6}"/>
    <cellStyle name="Nota 2 21" xfId="43615" xr:uid="{18A66E82-C83B-46E0-958E-38AC42353E74}"/>
    <cellStyle name="Nota 2 22" xfId="43616" xr:uid="{40798671-97E5-4106-A824-AEA1667A1DA2}"/>
    <cellStyle name="Nota 2 23" xfId="43617" xr:uid="{5276CA53-1179-4DDA-B141-D51E43F77BBF}"/>
    <cellStyle name="Nota 2 24" xfId="43618" xr:uid="{7C9F2CBB-1D87-4F34-AB73-3541DBF89E10}"/>
    <cellStyle name="Nota 2 25" xfId="43619" xr:uid="{7C5EA414-C418-419C-A30F-E5E8E3572002}"/>
    <cellStyle name="Nota 2 26" xfId="43620" xr:uid="{3832F035-D853-491A-B432-64F3362CE672}"/>
    <cellStyle name="Nota 2 27" xfId="43621" xr:uid="{B27D4A45-E00B-4BFE-9DAD-D5B78F4BC8B7}"/>
    <cellStyle name="Nota 2 28" xfId="43622" xr:uid="{F98E352C-075E-433E-B896-7311E108EF19}"/>
    <cellStyle name="Nota 2 29" xfId="43623" xr:uid="{E9C4AF59-BDC3-4CEA-BAF3-8C70E667F3D4}"/>
    <cellStyle name="Nota 2 3" xfId="38877" xr:uid="{2D056BAB-629C-41EE-A24D-49BC1587123F}"/>
    <cellStyle name="Nota 2 4" xfId="38878" xr:uid="{BF14294A-6227-4CF2-BDF7-BCD82D563948}"/>
    <cellStyle name="Nota 2 5" xfId="43624" xr:uid="{4E4D96A7-630E-4EF2-9C12-F61169D4480F}"/>
    <cellStyle name="Nota 2 6" xfId="43625" xr:uid="{A767C88E-4CCF-4BAD-BCD6-E5CDE658FC5C}"/>
    <cellStyle name="Nota 2 7" xfId="43626" xr:uid="{924682E7-0A26-479F-8927-4C5F7DCD2A1A}"/>
    <cellStyle name="Nota 2 8" xfId="43627" xr:uid="{CD61BC2D-F23F-496F-A072-501C6F3FBEDD}"/>
    <cellStyle name="Nota 2 9" xfId="43628" xr:uid="{6EEFD0EA-BB9B-4BFD-8A7B-52DA00AB792C}"/>
    <cellStyle name="Nota 3" xfId="1795" xr:uid="{4BF6F034-A324-4FE1-B09F-AEF0FC8FA7E0}"/>
    <cellStyle name="Nota 3 10" xfId="43629" xr:uid="{3B432E91-08D3-422C-8FEB-DDEAABA93DAC}"/>
    <cellStyle name="Nota 3 11" xfId="43630" xr:uid="{0EEDFADC-128E-4223-9885-6C3AF62C7E99}"/>
    <cellStyle name="Nota 3 12" xfId="43631" xr:uid="{E2EDDA5F-FB74-453B-AC01-32E5C7098F33}"/>
    <cellStyle name="Nota 3 13" xfId="43632" xr:uid="{630D50A9-9160-4B18-8D5C-E14C625DB06A}"/>
    <cellStyle name="Nota 3 14" xfId="43633" xr:uid="{89696F7E-A11F-40C2-ADBD-6F5913BF79F7}"/>
    <cellStyle name="Nota 3 15" xfId="43634" xr:uid="{D568B86F-EB4F-4FF8-B721-19F6EBCDF6F3}"/>
    <cellStyle name="Nota 3 16" xfId="43635" xr:uid="{4EC0FF87-F4B7-4584-9360-893E862CD84B}"/>
    <cellStyle name="Nota 3 17" xfId="43636" xr:uid="{E6DE5E55-36A0-4263-B8CE-7443D3C6B94C}"/>
    <cellStyle name="Nota 3 18" xfId="43637" xr:uid="{D54DB91C-B413-475C-9FF7-598A9CEBC073}"/>
    <cellStyle name="Nota 3 19" xfId="43638" xr:uid="{7E70A095-95F9-4626-AA63-301598A02961}"/>
    <cellStyle name="Nota 3 2" xfId="38879" xr:uid="{766826FC-B43D-4B00-958D-4926BC6A9352}"/>
    <cellStyle name="Nota 3 20" xfId="43639" xr:uid="{D31EB1DA-6923-453C-8248-06F02CA51A0B}"/>
    <cellStyle name="Nota 3 21" xfId="43640" xr:uid="{DBC64131-DF14-4321-9746-89BEC57C6DF8}"/>
    <cellStyle name="Nota 3 22" xfId="43641" xr:uid="{D2337E15-DF81-4976-B297-E29336EAE0C6}"/>
    <cellStyle name="Nota 3 23" xfId="43642" xr:uid="{8C770AD0-9180-47BA-B34F-42F87085E133}"/>
    <cellStyle name="Nota 3 24" xfId="43643" xr:uid="{39492B1A-61E1-4D8C-8A12-0CD66554D2E7}"/>
    <cellStyle name="Nota 3 25" xfId="43644" xr:uid="{C1FDE794-4BB7-4B82-9B0E-CDE0CB03502A}"/>
    <cellStyle name="Nota 3 26" xfId="43645" xr:uid="{834B6271-ED33-491D-8517-2EBC2CDB5B73}"/>
    <cellStyle name="Nota 3 27" xfId="43646" xr:uid="{C7A04974-F624-4F1E-8FA6-6DA7984D97F5}"/>
    <cellStyle name="Nota 3 28" xfId="43647" xr:uid="{28B64748-387E-420E-964E-F11C6D8F38C7}"/>
    <cellStyle name="Nota 3 3" xfId="43648" xr:uid="{A68B7D4A-9C78-48FF-863E-B6ACB51F30BE}"/>
    <cellStyle name="Nota 3 4" xfId="43649" xr:uid="{407E4FFD-4A7B-41E2-9A5D-7E55216FCA3D}"/>
    <cellStyle name="Nota 3 5" xfId="43650" xr:uid="{AF48DCF4-F8F2-48CF-B4CD-53E73C579428}"/>
    <cellStyle name="Nota 3 6" xfId="43651" xr:uid="{82D3EA76-7C5E-4C14-8368-76B8A048CEEE}"/>
    <cellStyle name="Nota 3 7" xfId="43652" xr:uid="{BC2E98DE-CFD7-4D82-A6B6-6A9AA22786AB}"/>
    <cellStyle name="Nota 3 8" xfId="43653" xr:uid="{570184C8-B6A2-44D6-8354-7B383BDE0A4C}"/>
    <cellStyle name="Nota 3 9" xfId="43654" xr:uid="{7DB9561B-41C7-49CB-A4D5-573A28E25630}"/>
    <cellStyle name="Nota 4" xfId="38880" xr:uid="{4E255CD3-DBF5-4183-A64B-1EC502C7635B}"/>
    <cellStyle name="Nota 4 10" xfId="43655" xr:uid="{192F1339-F3D4-407A-9FB6-FC70D2F68F27}"/>
    <cellStyle name="Nota 4 11" xfId="43656" xr:uid="{03DCF2EB-9C51-4846-A3C4-12AD3284876A}"/>
    <cellStyle name="Nota 4 12" xfId="43657" xr:uid="{4FCAB32B-385D-4CE5-9593-B78445270493}"/>
    <cellStyle name="Nota 4 13" xfId="43658" xr:uid="{8DCABCD9-F1FE-4D6D-8DDB-69A3EB4E91E8}"/>
    <cellStyle name="Nota 4 14" xfId="43659" xr:uid="{16C9920F-69B1-4F99-B2BB-E24315F3EBD0}"/>
    <cellStyle name="Nota 4 15" xfId="43660" xr:uid="{6F47BA7B-8B52-45B4-9F2A-6E0C70801E21}"/>
    <cellStyle name="Nota 4 16" xfId="43661" xr:uid="{68A4B734-6BFE-4F6A-BD1C-DD49D8DDD651}"/>
    <cellStyle name="Nota 4 17" xfId="43662" xr:uid="{001CB2CF-BF41-4871-B91B-49F82E9FB8F6}"/>
    <cellStyle name="Nota 4 18" xfId="43663" xr:uid="{2B00B587-9379-43AB-AFC3-7ED6645CE2FE}"/>
    <cellStyle name="Nota 4 19" xfId="43664" xr:uid="{58C74FC5-5A75-4FEB-99BE-B0C0B435377B}"/>
    <cellStyle name="Nota 4 2" xfId="38881" xr:uid="{4AC67C48-3FA8-49A0-A0A8-159EDCBD6445}"/>
    <cellStyle name="Nota 4 20" xfId="43665" xr:uid="{5D003EA4-FD28-4566-98B5-911479459BD8}"/>
    <cellStyle name="Nota 4 21" xfId="43666" xr:uid="{291206F9-DDF0-4819-BD49-72AAC233FFEE}"/>
    <cellStyle name="Nota 4 22" xfId="43667" xr:uid="{FCA48536-C7E4-442E-88A9-E3969A27BFFE}"/>
    <cellStyle name="Nota 4 23" xfId="43668" xr:uid="{933ECDF5-44F9-461B-9AEA-EC3942D56C2C}"/>
    <cellStyle name="Nota 4 24" xfId="43669" xr:uid="{6F18FE90-05BA-40B4-B0F2-F419752F773A}"/>
    <cellStyle name="Nota 4 25" xfId="43670" xr:uid="{CACF617D-3B77-4A12-ADCC-33E4A7F6B8B8}"/>
    <cellStyle name="Nota 4 26" xfId="43671" xr:uid="{6CE5EA54-7CEB-4CE4-8D27-8359FD7EF8A7}"/>
    <cellStyle name="Nota 4 27" xfId="43672" xr:uid="{1822A2D7-D2A1-481E-9068-AFD22511032B}"/>
    <cellStyle name="Nota 4 28" xfId="43673" xr:uid="{8ECA9309-2487-401D-AA14-70FA0101D55A}"/>
    <cellStyle name="Nota 4 3" xfId="43674" xr:uid="{EE5EBED2-5730-4CC8-959E-A4F0BEEC68D3}"/>
    <cellStyle name="Nota 4 4" xfId="43675" xr:uid="{33448B77-054F-48BD-919E-50BFC93311A7}"/>
    <cellStyle name="Nota 4 5" xfId="43676" xr:uid="{93A035F9-8B38-40FD-9DC8-67CB4B991E62}"/>
    <cellStyle name="Nota 4 6" xfId="43677" xr:uid="{0AFEDD3A-DB13-43EC-8AE6-0728DF80D808}"/>
    <cellStyle name="Nota 4 7" xfId="43678" xr:uid="{D30A0521-3CC0-42C9-BF83-B322BEC9D56B}"/>
    <cellStyle name="Nota 4 8" xfId="43679" xr:uid="{FF6E5F53-8145-4314-B0AE-34DB4ACFE6CE}"/>
    <cellStyle name="Nota 4 9" xfId="43680" xr:uid="{2CF2AC40-8AF3-4123-AF74-2486014734C9}"/>
    <cellStyle name="Nota 5" xfId="38882" xr:uid="{899D97C1-26FE-4E28-A3E4-11D269045F36}"/>
    <cellStyle name="Nota 5 10" xfId="43681" xr:uid="{2CF95C0F-7273-443A-AC80-304A175EBBAE}"/>
    <cellStyle name="Nota 5 11" xfId="43682" xr:uid="{62FCF8FB-5F88-41A0-8F9A-7935C66177CF}"/>
    <cellStyle name="Nota 5 12" xfId="43683" xr:uid="{680ED6F9-1E69-48AB-9815-13962FEB8747}"/>
    <cellStyle name="Nota 5 13" xfId="43684" xr:uid="{F01CEBE5-AB80-4862-B97C-7A05366E5EB8}"/>
    <cellStyle name="Nota 5 14" xfId="43685" xr:uid="{B815C010-C931-453B-85FA-67CC24EE9BC5}"/>
    <cellStyle name="Nota 5 15" xfId="43686" xr:uid="{3B07440D-1535-4D9F-B5B6-4E6BF62BC0D4}"/>
    <cellStyle name="Nota 5 16" xfId="43687" xr:uid="{72C2570D-2602-402B-ABAA-013CD2507B1B}"/>
    <cellStyle name="Nota 5 17" xfId="43688" xr:uid="{2D45D348-CBB6-4774-A1E2-4054CDDC8D38}"/>
    <cellStyle name="Nota 5 18" xfId="43689" xr:uid="{F7A4DF6D-D9C3-42F8-AE73-31BF2E064AA0}"/>
    <cellStyle name="Nota 5 19" xfId="43690" xr:uid="{ED2D0928-D648-42F2-B444-67FC9AF0D3F2}"/>
    <cellStyle name="Nota 5 2" xfId="43691" xr:uid="{5F648410-DA51-4936-B8D4-A77065AC27B9}"/>
    <cellStyle name="Nota 5 20" xfId="43692" xr:uid="{FF5094E4-62BC-4F34-8DB4-063BAF0551B6}"/>
    <cellStyle name="Nota 5 21" xfId="43693" xr:uid="{F012FB2E-4513-419C-9142-33F9788C0702}"/>
    <cellStyle name="Nota 5 22" xfId="43694" xr:uid="{BC5649AE-D9DB-4D26-A544-3CE0508CABF8}"/>
    <cellStyle name="Nota 5 23" xfId="43695" xr:uid="{F99E63F8-01AE-4C61-96BE-B4CA09BBA670}"/>
    <cellStyle name="Nota 5 24" xfId="43696" xr:uid="{447860B1-2B1F-4262-9278-5E6FEAE3E73B}"/>
    <cellStyle name="Nota 5 25" xfId="43697" xr:uid="{FCB1F6DC-704E-4BB1-B83F-F28D79BB930E}"/>
    <cellStyle name="Nota 5 26" xfId="43698" xr:uid="{864B348C-DA73-424E-8D21-351BF8C44CDA}"/>
    <cellStyle name="Nota 5 27" xfId="43699" xr:uid="{C04A65FD-D0A5-4C71-8DFB-EAA3AE9A181A}"/>
    <cellStyle name="Nota 5 28" xfId="43700" xr:uid="{550A3BCE-11E1-44C3-B1D8-99A14B56F994}"/>
    <cellStyle name="Nota 5 3" xfId="43701" xr:uid="{920E0EBE-F20D-4FDA-8AF3-EFAE1A6FA9B7}"/>
    <cellStyle name="Nota 5 4" xfId="43702" xr:uid="{934FDC1F-5F3A-436A-92AD-439640D4F6FA}"/>
    <cellStyle name="Nota 5 5" xfId="43703" xr:uid="{DA20C544-D0CA-4A27-90D8-4FFD56E277E2}"/>
    <cellStyle name="Nota 5 6" xfId="43704" xr:uid="{6AC1645B-C964-4837-9A8F-88DBC05EC16F}"/>
    <cellStyle name="Nota 5 7" xfId="43705" xr:uid="{DB014EEF-AD27-4F4D-9C8B-2F1BCC71E376}"/>
    <cellStyle name="Nota 5 8" xfId="43706" xr:uid="{D434777F-5B53-44F8-8DB3-C259448EBC88}"/>
    <cellStyle name="Nota 5 9" xfId="43707" xr:uid="{F306D1BF-2699-45AE-8FC7-A52553D013EA}"/>
    <cellStyle name="Nota 6" xfId="38883" xr:uid="{4A66271E-E879-42B3-A692-4023AD96CDCF}"/>
    <cellStyle name="Nota 6 10" xfId="43708" xr:uid="{1CA504E7-1EAC-4EAA-915D-BC49CB544AE9}"/>
    <cellStyle name="Nota 6 11" xfId="43709" xr:uid="{06A7DBE0-3009-4D6A-A577-A9A0F4B90594}"/>
    <cellStyle name="Nota 6 12" xfId="43710" xr:uid="{3B409B28-A9F5-4C8D-AD34-BB69486D74C6}"/>
    <cellStyle name="Nota 6 13" xfId="43711" xr:uid="{6E97EBF2-B049-4009-893B-3C06072EDA14}"/>
    <cellStyle name="Nota 6 14" xfId="43712" xr:uid="{515AE4E3-6DC5-4E86-9DBE-05FB32C7F92B}"/>
    <cellStyle name="Nota 6 15" xfId="43713" xr:uid="{58FB683C-1FB5-49AF-B8F2-E4048BD09496}"/>
    <cellStyle name="Nota 6 16" xfId="43714" xr:uid="{3B4A8D23-FEC9-42B1-AB1D-941DF72AED87}"/>
    <cellStyle name="Nota 6 17" xfId="43715" xr:uid="{7E8B4A27-BD5E-48A3-A4D4-866D412ACF4A}"/>
    <cellStyle name="Nota 6 18" xfId="43716" xr:uid="{818DDAD0-4A2E-453F-B087-122FED71047D}"/>
    <cellStyle name="Nota 6 19" xfId="43717" xr:uid="{813AD9F4-F5E1-4DEC-8E9F-41F662650930}"/>
    <cellStyle name="Nota 6 2" xfId="43718" xr:uid="{B880A5FD-D045-482C-893D-88EED68E0466}"/>
    <cellStyle name="Nota 6 20" xfId="43719" xr:uid="{089DD8D3-8686-4D55-9EAD-43200C9EF437}"/>
    <cellStyle name="Nota 6 21" xfId="43720" xr:uid="{BAC3C933-47B6-4064-8095-A96712B7E520}"/>
    <cellStyle name="Nota 6 22" xfId="43721" xr:uid="{F1868F67-1385-4327-9A80-AD789C57D08A}"/>
    <cellStyle name="Nota 6 23" xfId="43722" xr:uid="{45B2512B-2473-4EF4-9657-83E5D9A911C7}"/>
    <cellStyle name="Nota 6 24" xfId="43723" xr:uid="{ED33507A-9C81-49BA-A44A-16E5E693DAC5}"/>
    <cellStyle name="Nota 6 25" xfId="43724" xr:uid="{797E0A88-8887-4131-90EE-35C4204ABFC8}"/>
    <cellStyle name="Nota 6 26" xfId="43725" xr:uid="{368473AC-AB04-49DC-9C37-CA856546AAC4}"/>
    <cellStyle name="Nota 6 27" xfId="43726" xr:uid="{822FAEA5-88E5-40EC-9EA8-992331623EE1}"/>
    <cellStyle name="Nota 6 28" xfId="43727" xr:uid="{F5F2DA2F-3C49-4BEA-8384-59C8B436D0C6}"/>
    <cellStyle name="Nota 6 3" xfId="43728" xr:uid="{9B26AC24-BF18-4E27-A5DE-642BED31C407}"/>
    <cellStyle name="Nota 6 4" xfId="43729" xr:uid="{2111C40C-E99B-41E9-86FC-42BD529CF15D}"/>
    <cellStyle name="Nota 6 5" xfId="43730" xr:uid="{A1AB292D-DA03-4604-A6E0-AF120094972C}"/>
    <cellStyle name="Nota 6 6" xfId="43731" xr:uid="{7BFECB98-47C4-4BD3-9B36-1AFBCF36F755}"/>
    <cellStyle name="Nota 6 7" xfId="43732" xr:uid="{691704A5-499F-4001-8E8B-1416D9C87D84}"/>
    <cellStyle name="Nota 6 8" xfId="43733" xr:uid="{1EA01809-C91F-4BB8-A13E-14C4E29FA4C2}"/>
    <cellStyle name="Nota 6 9" xfId="43734" xr:uid="{20DF93EC-B485-42E3-8519-4EF444319F9E}"/>
    <cellStyle name="Nota 7" xfId="38884" xr:uid="{551D7939-A6C3-40C8-8F32-E8E0E8F05941}"/>
    <cellStyle name="Nota 7 10" xfId="43735" xr:uid="{9DDBA7C7-7AC5-4061-BEF7-3FEA9708F86E}"/>
    <cellStyle name="Nota 7 11" xfId="43736" xr:uid="{1356F033-84A3-4647-9E21-620EB22674FA}"/>
    <cellStyle name="Nota 7 12" xfId="43737" xr:uid="{E23AAC7C-4E6B-4F8E-B2CB-FF37873638DD}"/>
    <cellStyle name="Nota 7 13" xfId="43738" xr:uid="{75C31390-D28D-4CBC-B6C5-A3E263811933}"/>
    <cellStyle name="Nota 7 14" xfId="43739" xr:uid="{F6D69A74-D534-4E6F-A5FB-C44AFDAF4E18}"/>
    <cellStyle name="Nota 7 15" xfId="43740" xr:uid="{90F30306-4FF7-450F-AB67-70570658CDFD}"/>
    <cellStyle name="Nota 7 16" xfId="43741" xr:uid="{DC8B1AB5-2418-4E2D-A83A-E20A77264431}"/>
    <cellStyle name="Nota 7 17" xfId="43742" xr:uid="{975B01A5-44D8-4B32-B3CA-810DC1AD1C3C}"/>
    <cellStyle name="Nota 7 18" xfId="43743" xr:uid="{49F2D6FA-8798-41B6-9CE2-F4F032E214C5}"/>
    <cellStyle name="Nota 7 19" xfId="43744" xr:uid="{D33B9934-753E-41F3-ACBD-CF7B9E85B901}"/>
    <cellStyle name="Nota 7 2" xfId="43745" xr:uid="{15778554-F04A-4A42-AEB2-790FB11208A7}"/>
    <cellStyle name="Nota 7 20" xfId="43746" xr:uid="{CE15CB3A-9E69-4C5C-B537-CC250DFEC67C}"/>
    <cellStyle name="Nota 7 21" xfId="43747" xr:uid="{2C389221-8A4C-4D78-BFC2-B1A3703DCEC0}"/>
    <cellStyle name="Nota 7 22" xfId="43748" xr:uid="{F6E99E1C-C281-409A-BE9C-AEDBA2B38016}"/>
    <cellStyle name="Nota 7 23" xfId="43749" xr:uid="{9FF83488-AFC4-4C5F-97EC-3BFB82B5E605}"/>
    <cellStyle name="Nota 7 24" xfId="43750" xr:uid="{79B5B223-48A8-4E2B-8114-F5D28DA26324}"/>
    <cellStyle name="Nota 7 25" xfId="43751" xr:uid="{29057BF0-91B8-47AB-AF8B-31D8B10403FE}"/>
    <cellStyle name="Nota 7 26" xfId="43752" xr:uid="{3D996899-7844-41EE-A5A9-D7325510044A}"/>
    <cellStyle name="Nota 7 27" xfId="43753" xr:uid="{635AC83F-5A26-4605-AD8A-E8F1567AA0D4}"/>
    <cellStyle name="Nota 7 28" xfId="43754" xr:uid="{EA360268-9FCB-4CC6-8B79-4B167FDC8BE8}"/>
    <cellStyle name="Nota 7 3" xfId="43755" xr:uid="{12F052B1-5615-46C5-B3B3-259F8CE7B35D}"/>
    <cellStyle name="Nota 7 4" xfId="43756" xr:uid="{422F4E0A-AABA-4504-A8CE-0E4F5381E7D5}"/>
    <cellStyle name="Nota 7 5" xfId="43757" xr:uid="{69723F58-7E4A-4328-BDAA-03E4F3A01515}"/>
    <cellStyle name="Nota 7 6" xfId="43758" xr:uid="{08D088C2-D9B4-4433-957E-4CF0279A2569}"/>
    <cellStyle name="Nota 7 7" xfId="43759" xr:uid="{1CC44C81-F6D5-489C-95EA-604436226F1A}"/>
    <cellStyle name="Nota 7 8" xfId="43760" xr:uid="{A5AA5DF7-22BE-4296-90D2-80BFE006C05C}"/>
    <cellStyle name="Nota 7 9" xfId="43761" xr:uid="{2DFE53A4-E925-4FDF-9A7E-87C5C196E1DD}"/>
    <cellStyle name="Nota 8" xfId="38885" xr:uid="{59922636-3376-47BF-8981-426AD122CD56}"/>
    <cellStyle name="Nota 9" xfId="38886" xr:uid="{8E9F5CDE-CA0D-472B-AC76-D30790113430}"/>
    <cellStyle name="Notas" xfId="1104" xr:uid="{C166BE7C-822F-47B4-BD1A-391A28DC1FA6}"/>
    <cellStyle name="Notas 10" xfId="38887" xr:uid="{0F0E2B1C-4E87-445D-9AE7-E6C1C6C6B020}"/>
    <cellStyle name="Notas 11" xfId="38888" xr:uid="{16F90E3D-2E4C-4A2F-8BDE-8A69C4BEB3B5}"/>
    <cellStyle name="Notas 12" xfId="38889" xr:uid="{E663A398-FE7C-4863-ABE9-4DE592BC5BB6}"/>
    <cellStyle name="Notas 13" xfId="38890" xr:uid="{528DF149-7BC0-4455-A789-BB7672D62BC4}"/>
    <cellStyle name="Notas 14" xfId="38891" xr:uid="{97794B42-54C0-4025-9E50-7687E5834C89}"/>
    <cellStyle name="Notas 15" xfId="38892" xr:uid="{1533C270-E698-4260-9DBA-F2744A738F21}"/>
    <cellStyle name="Notas 16" xfId="38893" xr:uid="{1114AC6F-2E1C-4C6F-8B1D-B086564859AB}"/>
    <cellStyle name="Notas 17" xfId="38894" xr:uid="{E79A55BC-1D58-4450-9289-0D9FC8F8254D}"/>
    <cellStyle name="Notas 18" xfId="38895" xr:uid="{FB0462A2-A113-4ABC-944E-BC85AF47D8B6}"/>
    <cellStyle name="Notas 19" xfId="38896" xr:uid="{05919014-FDED-45BC-AB93-EC0FA36E2D93}"/>
    <cellStyle name="Notas 2" xfId="1105" xr:uid="{9BC942E7-E958-47C0-9AF6-2F716BA6F299}"/>
    <cellStyle name="Notas 2 2" xfId="38897" xr:uid="{A5D5E60C-54D6-4821-A587-1754EE42ECAA}"/>
    <cellStyle name="Notas 20" xfId="38898" xr:uid="{AA86CE44-D10A-4CA9-9525-04B771DA372D}"/>
    <cellStyle name="Notas 21" xfId="38899" xr:uid="{A3F55EA6-89B1-4F7D-BCB9-B680C96C6CCB}"/>
    <cellStyle name="Notas 22" xfId="38900" xr:uid="{D42E6014-F442-447C-BEA6-364FD22330BC}"/>
    <cellStyle name="Notas 23" xfId="38901" xr:uid="{68F96840-B4D3-473D-8F16-97C770AD196A}"/>
    <cellStyle name="Notas 24" xfId="38902" xr:uid="{241CF9D7-C4CD-4C88-8ABE-B6FAE7B6B872}"/>
    <cellStyle name="Notas 25" xfId="38903" xr:uid="{1A34950B-A75E-4A69-AD3C-4CAF699796A8}"/>
    <cellStyle name="Notas 3" xfId="1106" xr:uid="{819CF322-117F-4D7D-916F-61D832E38F65}"/>
    <cellStyle name="Notas 3 2" xfId="38904" xr:uid="{31619CCF-9EB9-4CF2-90C3-25709352373D}"/>
    <cellStyle name="Notas 4" xfId="1107" xr:uid="{04EFF26E-E9F5-40F6-9DF6-6B49ECF9EDEB}"/>
    <cellStyle name="Notas 5" xfId="38905" xr:uid="{D75CED47-763C-41BC-9D52-C084FE1D708F}"/>
    <cellStyle name="Notas 6" xfId="38906" xr:uid="{55AF5E7D-7005-4D35-87FA-0E17B62C6D8F}"/>
    <cellStyle name="Notas 7" xfId="38907" xr:uid="{515B6C3D-2CE2-4FF1-97BF-6087D589C66B}"/>
    <cellStyle name="Notas 8" xfId="38908" xr:uid="{ECA0F3D9-9E4E-491F-BAEA-67881CD42F81}"/>
    <cellStyle name="Notas 9" xfId="38909" xr:uid="{5238E07F-F015-445A-BB5B-01B42310D0AE}"/>
    <cellStyle name="Note" xfId="862" xr:uid="{29555F00-E370-4320-A38D-3F4D7C25B8D4}"/>
    <cellStyle name="Note 2" xfId="1108" xr:uid="{FE7A3B20-70E2-4390-9043-522A70BC0BBF}"/>
    <cellStyle name="Note 3" xfId="1109" xr:uid="{3418F4AD-B5F6-4421-A711-0AF4FC72B692}"/>
    <cellStyle name="Note 4" xfId="1110" xr:uid="{E0813F63-29B9-44DF-A898-40A33826CAC5}"/>
    <cellStyle name="O" xfId="38910" xr:uid="{644D484D-FF61-491B-B99D-D3CA4E932868}"/>
    <cellStyle name="Œ…‹æØ‚è [0.00]_laroux" xfId="38911" xr:uid="{88BD29FA-30C1-4EA2-956F-0C384172B049}"/>
    <cellStyle name="Œ…‹æØ‚è_laroux" xfId="38912" xr:uid="{B2906CF6-9D95-4D17-A448-C88CF14E5546}"/>
    <cellStyle name="Output" xfId="863" xr:uid="{EBC94FEB-DC0C-4949-9AE4-9681CDA0A97B}"/>
    <cellStyle name="Output 2" xfId="38913" xr:uid="{E687AC90-BE07-4E4E-9B4C-53790AB70B49}"/>
    <cellStyle name="Output 3" xfId="38914" xr:uid="{428D1802-13AC-4739-9A5E-4F532A6C7487}"/>
    <cellStyle name="Output 4" xfId="38915" xr:uid="{C2D3B1BF-F595-4906-BCA3-07FA0D0A0FDF}"/>
    <cellStyle name="Output Line Items" xfId="38916" xr:uid="{B6A67776-296B-4261-8842-EC6A0771007E}"/>
    <cellStyle name="Page Number" xfId="38917" xr:uid="{08B45365-0C98-48C4-97DC-97FDC02CE6BE}"/>
    <cellStyle name="paint" xfId="864" xr:uid="{BC954A6A-2AAA-4725-BD2E-66ECED6842A2}"/>
    <cellStyle name="pb_page_heading_LS" xfId="38918" xr:uid="{290A4A26-DCD8-4FC1-90B9-5F5C2CC14E9C}"/>
    <cellStyle name="Percen - Estilo1" xfId="38919" xr:uid="{C28BD9B2-D04F-4726-BED7-15C5E4DDD96D}"/>
    <cellStyle name="Percen - Estilo2" xfId="38920" xr:uid="{AEE40B77-7DCB-4970-AD44-6F45288E439F}"/>
    <cellStyle name="Percent ()" xfId="865" xr:uid="{8064C01C-C05D-4910-93DE-290A5C30C441}"/>
    <cellStyle name="Percent () 2" xfId="1111" xr:uid="{98DD9316-AA49-4D57-975D-0F6E162791BE}"/>
    <cellStyle name="Percent () 3" xfId="38921" xr:uid="{C682E1A5-1A4B-46BC-B538-28D88BE8196E}"/>
    <cellStyle name="Percent () 3 2" xfId="38922" xr:uid="{9DC064B2-CB6F-4E19-A682-99C2A9662677}"/>
    <cellStyle name="Percent (0%)" xfId="38923" xr:uid="{06840E85-F290-428E-9A93-CA7BE4D6A772}"/>
    <cellStyle name="Percent (0)" xfId="866" xr:uid="{1F0D026D-2A2C-4C43-A22F-1CF629E2949D}"/>
    <cellStyle name="Percent (0) 2" xfId="38924" xr:uid="{3387CE28-24DE-4FFE-9FC9-11B9806000E1}"/>
    <cellStyle name="Percent (0) 3" xfId="38925" xr:uid="{BB187688-AD21-461D-A296-FE4D423BC055}"/>
    <cellStyle name="Percent (0) 3 2" xfId="38926" xr:uid="{EC87A9EA-EA92-44AE-92AD-F13B5E0FF10B}"/>
    <cellStyle name="Percent (0.0%)" xfId="38927" xr:uid="{0F9F95AC-A506-4F86-9ABE-03907D32905C}"/>
    <cellStyle name="Percent (0.00%)" xfId="38928" xr:uid="{A7C76430-EA46-4174-A0F7-B08D00AC3836}"/>
    <cellStyle name="Percent (1)" xfId="867" xr:uid="{1F59F3F1-8B00-44E5-8A8E-D9C786B0099C}"/>
    <cellStyle name="Percent (1) 2" xfId="38929" xr:uid="{1FA833F5-6F91-4650-8DC6-F2AA8502B237}"/>
    <cellStyle name="Percent (1) 3" xfId="38930" xr:uid="{5E22527D-E265-462E-AD6C-70F150206C73}"/>
    <cellStyle name="Percent (1) 3 2" xfId="38931" xr:uid="{A3E7D751-21E8-4832-B2C5-8CB4F2E894CC}"/>
    <cellStyle name="Percent [0]" xfId="868" xr:uid="{2DFF2857-AA89-485A-85A1-4A6D53973396}"/>
    <cellStyle name="Percent [0] 2" xfId="38932" xr:uid="{35862F07-4760-4F91-BB03-1C8FE8CA80A9}"/>
    <cellStyle name="Percent [0] 3" xfId="38933" xr:uid="{66D8477D-7620-45EF-B9C2-2080C945DDDC}"/>
    <cellStyle name="Percent [0] 3 2" xfId="38934" xr:uid="{35BD67CE-449C-4F82-A109-15327EFC3AAB}"/>
    <cellStyle name="Percent [00]" xfId="869" xr:uid="{2F3C4108-EE53-4D51-90F0-19CC70FCE2E3}"/>
    <cellStyle name="Percent [00] 2" xfId="1112" xr:uid="{0B08D5CF-423D-4972-A6C9-462E6D2CB590}"/>
    <cellStyle name="Percent [00] 3" xfId="38935" xr:uid="{D774D26F-925B-4E1F-A70B-FFF8FBF9CBD9}"/>
    <cellStyle name="Percent [2]" xfId="870" xr:uid="{59482EA1-725C-4464-A868-58544299B8FA}"/>
    <cellStyle name="Percent [2] 2" xfId="1113" xr:uid="{225F93ED-EFDA-48A4-B718-493834416DA8}"/>
    <cellStyle name="Percent [2] 2 2" xfId="38936" xr:uid="{C6790C53-BC92-42A6-8233-24FB602D5D0D}"/>
    <cellStyle name="Percent [2] 3" xfId="1114" xr:uid="{597917E0-2DC1-418B-9867-C84D6EB49AB2}"/>
    <cellStyle name="Percent [2] 4" xfId="1115" xr:uid="{1C60E26F-E709-4290-9E4F-01B162B1B7CE}"/>
    <cellStyle name="Percent [2] 4 2" xfId="38937" xr:uid="{8C94882A-862B-428A-9C49-3B77D8A9620F}"/>
    <cellStyle name="Percent 1" xfId="871" xr:uid="{76AB611F-FBAA-4077-BC42-6EE5FB226E5A}"/>
    <cellStyle name="Percent 1 2" xfId="38938" xr:uid="{D82A7912-47B7-4BC3-9AE1-65ED88D23568}"/>
    <cellStyle name="Percent 1 3" xfId="38939" xr:uid="{9F881FDC-62F0-4F0B-843B-A55F19F2B8E1}"/>
    <cellStyle name="Percent 1 3 2" xfId="38940" xr:uid="{9C58C65C-3EF0-450C-8649-7677B97999FE}"/>
    <cellStyle name="Percent 2" xfId="872" xr:uid="{A3287722-6FB0-4C59-8FE7-36F03A27114B}"/>
    <cellStyle name="Percent 2 2" xfId="1116" xr:uid="{C7C42EC1-FDED-4A0A-85E6-F2BF77A118C0}"/>
    <cellStyle name="Percent 2 3" xfId="38941" xr:uid="{3842807D-263B-4DD2-AD7B-D5BE78E0B9BE}"/>
    <cellStyle name="Percent 2 3 2" xfId="38942" xr:uid="{D80F2603-F8DF-4956-AFAC-17F11C9932AA}"/>
    <cellStyle name="Percent 3" xfId="1117" xr:uid="{0FFE8533-CA21-40D7-92BC-FB57ADAE75A2}"/>
    <cellStyle name="Percent 3 2" xfId="38943" xr:uid="{5FB069D2-F5C8-4BFE-ABBE-3D4FAE52CFCA}"/>
    <cellStyle name="Percent 3 2 2" xfId="38944" xr:uid="{44E44C0A-3EEF-42A3-8090-D52A0E3BC2D7}"/>
    <cellStyle name="Percent 4" xfId="38945" xr:uid="{BCA9A9DD-BBF2-467A-B523-61F0BBC95AB3}"/>
    <cellStyle name="Percent 5" xfId="38946" xr:uid="{6BC652CB-44DE-465E-9E89-AB8E2173DAA5}"/>
    <cellStyle name="Percent Black [0]" xfId="38947" xr:uid="{86B1DCB6-5B74-41EB-9C6A-D8BAE1B99817}"/>
    <cellStyle name="Percent Black [1]" xfId="38948" xr:uid="{B3666FF0-418D-4237-BACD-DB5936267977}"/>
    <cellStyle name="Percent Black [2]" xfId="38949" xr:uid="{4DDFE6D9-29E1-4B08-8E56-DAAFC871C817}"/>
    <cellStyle name="Percent Blue [0]" xfId="38950" xr:uid="{29CA743E-6804-470A-B88C-391EA1B2F808}"/>
    <cellStyle name="Percent Blue [1]" xfId="38951" xr:uid="{0118CFF0-9F39-43FF-87A8-D1B5165F6DDA}"/>
    <cellStyle name="Percent Blue [2]" xfId="38952" xr:uid="{73B3DDF2-0FF8-4C40-9EF8-30656FAC2585}"/>
    <cellStyle name="Percent_06_200403" xfId="38953" xr:uid="{4A86EF53-58F0-452E-AE45-F2BE2F59A978}"/>
    <cellStyle name="Percentual" xfId="38954" xr:uid="{0BDC6DB4-1468-42E8-BF13-E5022C656ED6}"/>
    <cellStyle name="Ponto" xfId="38955" xr:uid="{BB5CAB51-198A-42B8-8380-D6714A78E308}"/>
    <cellStyle name="Porcentagem" xfId="16" builtinId="5"/>
    <cellStyle name="Porcentagem 10" xfId="1118" xr:uid="{AA4C036F-B91D-4F0E-AE89-5597E7849524}"/>
    <cellStyle name="Porcentagem 10 2" xfId="43762" xr:uid="{4AA6FC04-1D4A-49B5-88E2-4675B4DC9E1C}"/>
    <cellStyle name="Porcentagem 10 2 2" xfId="43763" xr:uid="{E27B2362-28C1-4886-B859-2CC0CCAE7829}"/>
    <cellStyle name="Porcentagem 10 3" xfId="43764" xr:uid="{3E5359B9-B853-4CF6-B596-833FEB7E2C2F}"/>
    <cellStyle name="Porcentagem 11" xfId="1119" xr:uid="{BC40B6F4-8FD7-41E5-881F-EF00464ADC1A}"/>
    <cellStyle name="Porcentagem 11 2" xfId="43765" xr:uid="{E21DCA1C-B1B2-4767-A90B-B80A53F375D4}"/>
    <cellStyle name="Porcentagem 12" xfId="1120" xr:uid="{2A789950-BC53-4A0E-AEA9-79652C0AE676}"/>
    <cellStyle name="Porcentagem 13" xfId="1121" xr:uid="{E1A37069-65DB-4E30-8E3B-5E2BD19A16A3}"/>
    <cellStyle name="Porcentagem 14" xfId="1122" xr:uid="{9DAB8216-F8C3-4DF2-9C96-54DBB84CC8D0}"/>
    <cellStyle name="Porcentagem 15" xfId="1123" xr:uid="{B99ED6EA-F5CF-4255-8E63-352DBBE86A62}"/>
    <cellStyle name="Porcentagem 16" xfId="42565" xr:uid="{15DAA86D-ADA7-4D10-A06A-AB5313516CB1}"/>
    <cellStyle name="Porcentagem 17" xfId="43766" xr:uid="{C6D228E8-90B8-4BF0-AA4A-F4B0F3167A77}"/>
    <cellStyle name="Porcentagem 18" xfId="43955" xr:uid="{5A134D20-B424-4DEF-8593-9543A1E1AF33}"/>
    <cellStyle name="Porcentagem 18 2" xfId="43967" xr:uid="{CF7C8C54-872B-4FCD-A209-B6138174844B}"/>
    <cellStyle name="Porcentagem 19" xfId="43981" xr:uid="{5F473DA8-E438-4143-85A8-8E5D7B01253F}"/>
    <cellStyle name="Porcentagem 19 2" xfId="43975" xr:uid="{397B2B8E-8DF0-431D-AF47-C1147A2BCE03}"/>
    <cellStyle name="Porcentagem 2" xfId="3" xr:uid="{00000000-0005-0000-0000-000011000000}"/>
    <cellStyle name="Porcentagem 2 10" xfId="38956" xr:uid="{1C877785-F101-406E-B281-BB246DE1D83B}"/>
    <cellStyle name="Porcentagem 2 11" xfId="38957" xr:uid="{EF4EB06A-0B5D-4017-B47E-DC421B6E33A5}"/>
    <cellStyle name="Porcentagem 2 12" xfId="38958" xr:uid="{17810C5E-E96F-407B-82B8-FAC108D24060}"/>
    <cellStyle name="Porcentagem 2 13" xfId="38959" xr:uid="{3C12A272-C931-4CBE-8586-D682C766647C}"/>
    <cellStyle name="Porcentagem 2 14" xfId="38960" xr:uid="{D066EAC4-EEAB-47FA-A4C7-5CF63ED61DC7}"/>
    <cellStyle name="Porcentagem 2 15" xfId="38961" xr:uid="{AB61EB70-7F24-419B-9B62-5D00F3DE8141}"/>
    <cellStyle name="Porcentagem 2 16" xfId="38962" xr:uid="{5CC0EC53-AADB-4A1D-B6B1-D9B0F246CCD3}"/>
    <cellStyle name="Porcentagem 2 17" xfId="38963" xr:uid="{69ADB655-9D6C-4F64-B62E-AFC5B9F8318D}"/>
    <cellStyle name="Porcentagem 2 18" xfId="38964" xr:uid="{F35233C1-1468-49A8-BEBD-F64E3C88F68F}"/>
    <cellStyle name="Porcentagem 2 19" xfId="38965" xr:uid="{26473C63-5494-4A89-96BF-51D7368964D6}"/>
    <cellStyle name="Porcentagem 2 2" xfId="14" xr:uid="{00000000-0005-0000-0000-000012000000}"/>
    <cellStyle name="Porcentagem 2 2 2" xfId="1124" xr:uid="{2D12708D-2330-4499-8D67-047A2306C38C}"/>
    <cellStyle name="Porcentagem 2 2 2 2" xfId="38966" xr:uid="{B251B8E8-6C65-4680-9AE0-D297B67EC85B}"/>
    <cellStyle name="Porcentagem 2 2 3" xfId="38967" xr:uid="{F1F7A8D1-88A4-4C2D-B870-5B1EB78433D2}"/>
    <cellStyle name="Porcentagem 2 2 4" xfId="43960" xr:uid="{3C2DD94B-8B89-4A80-821A-C2C9E40D2670}"/>
    <cellStyle name="Porcentagem 2 20" xfId="38968" xr:uid="{102F537A-4D96-47D4-910F-5927EC57C2BE}"/>
    <cellStyle name="Porcentagem 2 21" xfId="38969" xr:uid="{24D415AA-0C9D-4381-8485-2A2715C782CE}"/>
    <cellStyle name="Porcentagem 2 22" xfId="38970" xr:uid="{CF31A43D-0D87-4994-A225-B05657DB6F36}"/>
    <cellStyle name="Porcentagem 2 23" xfId="38971" xr:uid="{B4F50832-E375-49E4-B1C8-4203756A953B}"/>
    <cellStyle name="Porcentagem 2 24" xfId="38972" xr:uid="{3CCE6A08-6B0E-4F20-969D-29A0CEFC181C}"/>
    <cellStyle name="Porcentagem 2 25" xfId="38973" xr:uid="{93AEDE08-1435-417A-BF49-9F9DC7C505E6}"/>
    <cellStyle name="Porcentagem 2 26" xfId="38974" xr:uid="{72E39107-EABF-467E-9A40-56CCA2011E82}"/>
    <cellStyle name="Porcentagem 2 27" xfId="38975" xr:uid="{A1C5C700-0AD2-4FD3-9A68-BD9525B65B0E}"/>
    <cellStyle name="Porcentagem 2 28" xfId="38976" xr:uid="{CD696D5E-024C-40FC-8CEE-0E8C481FD767}"/>
    <cellStyle name="Porcentagem 2 29" xfId="38977" xr:uid="{EAF241DC-52CD-42CF-87FD-6F600FFEC786}"/>
    <cellStyle name="Porcentagem 2 3" xfId="1125" xr:uid="{F6616877-CBF9-4CE7-BDDF-3BCC99BB961A}"/>
    <cellStyle name="Porcentagem 2 3 2" xfId="38978" xr:uid="{95024E3C-73CB-46AA-8685-76BAAA7A75B4}"/>
    <cellStyle name="Porcentagem 2 3 3" xfId="38979" xr:uid="{FD76A43D-07D9-4836-A3A9-CAC52241A542}"/>
    <cellStyle name="Porcentagem 2 30" xfId="38980" xr:uid="{7C611025-BB22-4D89-B6CB-0CAEBCDA08C5}"/>
    <cellStyle name="Porcentagem 2 31" xfId="38981" xr:uid="{16B74338-01EA-4812-A6BE-FA487E395C43}"/>
    <cellStyle name="Porcentagem 2 32" xfId="38982" xr:uid="{77F7C6EF-3A06-4D5E-A35F-93908C3EF00B}"/>
    <cellStyle name="Porcentagem 2 33" xfId="38983" xr:uid="{21B4CAC4-01DF-4DC0-8DD2-80475802C2D8}"/>
    <cellStyle name="Porcentagem 2 34" xfId="38984" xr:uid="{A3D5E770-D622-4BCD-BF57-197D0D8C94C6}"/>
    <cellStyle name="Porcentagem 2 35" xfId="38985" xr:uid="{56E27E0F-F00A-4EEF-8638-6ED285664678}"/>
    <cellStyle name="Porcentagem 2 36" xfId="38986" xr:uid="{640F1583-D207-4F1B-897D-7304AD137AE6}"/>
    <cellStyle name="Porcentagem 2 37" xfId="38987" xr:uid="{4B921DF5-C4A8-4432-902F-FA74BE014F68}"/>
    <cellStyle name="Porcentagem 2 38" xfId="38988" xr:uid="{06D46C94-2D63-4AA6-A132-685774182C6A}"/>
    <cellStyle name="Porcentagem 2 39" xfId="38989" xr:uid="{BB969463-E907-4936-ADDF-8FB08B989374}"/>
    <cellStyle name="Porcentagem 2 4" xfId="1126" xr:uid="{33B69453-5E39-4CAF-83CF-4C75A9B9D1BB}"/>
    <cellStyle name="Porcentagem 2 40" xfId="38990" xr:uid="{0F001447-BD59-4452-A5AC-C17B0396A9B1}"/>
    <cellStyle name="Porcentagem 2 41" xfId="38991" xr:uid="{CE9BA8ED-20A9-4971-8A89-26AEBE9A8B78}"/>
    <cellStyle name="Porcentagem 2 42" xfId="38992" xr:uid="{4889B1E0-4741-45E0-BF18-D77F46FCACAB}"/>
    <cellStyle name="Porcentagem 2 43" xfId="38993" xr:uid="{1A81E28D-3003-4C49-8D96-AE2039C1E7D8}"/>
    <cellStyle name="Porcentagem 2 44" xfId="38994" xr:uid="{E12A0A84-5E60-4352-94AB-9BEC54D8E8F0}"/>
    <cellStyle name="Porcentagem 2 45" xfId="38995" xr:uid="{E009316B-B147-4529-9C49-B30FD7AF2936}"/>
    <cellStyle name="Porcentagem 2 46" xfId="38996" xr:uid="{E93720D5-51B2-4DE5-8536-D688402ADF1B}"/>
    <cellStyle name="Porcentagem 2 5" xfId="1127" xr:uid="{D5BF346F-86E4-4A52-B450-D5873034E223}"/>
    <cellStyle name="Porcentagem 2 6" xfId="9" xr:uid="{00000000-0005-0000-0000-000013000000}"/>
    <cellStyle name="Porcentagem 2 6 2" xfId="38997" xr:uid="{E3B11EB9-2395-43FF-AE6E-93E1A10C9513}"/>
    <cellStyle name="Porcentagem 2 7" xfId="38998" xr:uid="{87D0708A-20A7-40D4-BD3B-1C2A86B0D213}"/>
    <cellStyle name="Porcentagem 2 8" xfId="38999" xr:uid="{C49F5133-ACC1-46C2-982B-B6636576775E}"/>
    <cellStyle name="Porcentagem 2 9" xfId="39000" xr:uid="{D630EA7C-C6E9-4FB9-8CE4-624ED4FB47FA}"/>
    <cellStyle name="Porcentagem 20" xfId="873" xr:uid="{403DA67A-F526-4129-9B3F-EA09FA895D86}"/>
    <cellStyle name="Porcentagem 3" xfId="929" xr:uid="{999AD90D-7270-4FAC-B8DF-9FB7B3E69DB6}"/>
    <cellStyle name="Porcentagem 3 10" xfId="43767" xr:uid="{C26019DB-B4B3-4396-969A-229070CA965E}"/>
    <cellStyle name="Porcentagem 3 11" xfId="43768" xr:uid="{03ADA717-5315-4BC5-BB18-64D4316ED61A}"/>
    <cellStyle name="Porcentagem 3 12" xfId="43769" xr:uid="{58FAF118-0FA2-4D1C-AA8A-B6D07C162173}"/>
    <cellStyle name="Porcentagem 3 13" xfId="43770" xr:uid="{C751D322-7C4E-411A-9C0C-C7C34C708D9F}"/>
    <cellStyle name="Porcentagem 3 14" xfId="43771" xr:uid="{41A0E034-9C9C-4AEC-A1A3-1C9BA6BA82BE}"/>
    <cellStyle name="Porcentagem 3 15" xfId="43772" xr:uid="{50FE2B64-A53D-40B2-BA2D-55A6AD27BA8E}"/>
    <cellStyle name="Porcentagem 3 16" xfId="43773" xr:uid="{41E6D8C9-92AA-4FB8-B5A8-97D066A4BB56}"/>
    <cellStyle name="Porcentagem 3 17" xfId="43774" xr:uid="{C5D2B1D9-2E3C-42FD-9A68-F4AE7D0C861B}"/>
    <cellStyle name="Porcentagem 3 18" xfId="43775" xr:uid="{C524C8B3-59DF-4731-970D-195445BF28AA}"/>
    <cellStyle name="Porcentagem 3 19" xfId="43776" xr:uid="{ECCD680E-42C1-4973-8AAB-99AE2B328051}"/>
    <cellStyle name="Porcentagem 3 2" xfId="1128" xr:uid="{FEE4A236-7A0C-4530-8339-03C9EA53F979}"/>
    <cellStyle name="Porcentagem 3 2 2" xfId="39001" xr:uid="{3246E2C3-A4BA-4504-9A65-93C68322080A}"/>
    <cellStyle name="Porcentagem 3 2 2 2" xfId="39002" xr:uid="{2431C8B7-6F97-4EBA-8BA3-F7DC7F6F2A3D}"/>
    <cellStyle name="Porcentagem 3 2 2 3" xfId="39003" xr:uid="{D69B436E-6CCF-40B6-824F-DD44744D7C8F}"/>
    <cellStyle name="Porcentagem 3 2 3" xfId="39004" xr:uid="{3A1323F4-032B-4095-87D3-33B89F13E65E}"/>
    <cellStyle name="Porcentagem 3 2 4" xfId="43777" xr:uid="{0881D645-206E-4861-9C36-1347B8CBFA6F}"/>
    <cellStyle name="Porcentagem 3 20" xfId="43778" xr:uid="{681A86A5-00D9-4570-A04E-63FA9B4020B7}"/>
    <cellStyle name="Porcentagem 3 21" xfId="43779" xr:uid="{42C38BAB-DE95-4B3A-9C8F-3802ED62456D}"/>
    <cellStyle name="Porcentagem 3 22" xfId="43780" xr:uid="{490FA860-E6E7-4198-8544-CE7141266A89}"/>
    <cellStyle name="Porcentagem 3 23" xfId="43781" xr:uid="{EC1CCA10-9DC8-4009-B2DA-9EE1FBB958AD}"/>
    <cellStyle name="Porcentagem 3 24" xfId="43782" xr:uid="{1F111ECF-B911-4365-ADD5-09140F9BD243}"/>
    <cellStyle name="Porcentagem 3 25" xfId="43783" xr:uid="{AA631590-8943-4A66-8BAA-CBF02C318CC7}"/>
    <cellStyle name="Porcentagem 3 26" xfId="43784" xr:uid="{C6D05A38-D8E0-4E88-A397-9FFFCD994711}"/>
    <cellStyle name="Porcentagem 3 27" xfId="43785" xr:uid="{11F44A3C-4795-4EB2-A584-9E8E57B79051}"/>
    <cellStyle name="Porcentagem 3 28" xfId="43786" xr:uid="{40F86D60-F62D-4DB3-877F-C8A2864D3E55}"/>
    <cellStyle name="Porcentagem 3 29" xfId="43787" xr:uid="{952FBC65-02CA-4F9E-8999-EB9244A3D6AB}"/>
    <cellStyle name="Porcentagem 3 3" xfId="1129" xr:uid="{55EC0E65-9A6F-49BE-9A58-78D944C25430}"/>
    <cellStyle name="Porcentagem 3 4" xfId="1130" xr:uid="{99A12274-B8DB-409D-9EDB-65E40159D97F}"/>
    <cellStyle name="Porcentagem 3 5" xfId="39005" xr:uid="{30D04C73-5E8B-4DAB-80D0-12D00518BFB7}"/>
    <cellStyle name="Porcentagem 3 6" xfId="43788" xr:uid="{8FC1D092-8C6D-4563-A33C-F0F9126CF8F0}"/>
    <cellStyle name="Porcentagem 3 7" xfId="43789" xr:uid="{0DCE3D53-5351-46DC-9334-2D8164B0BDF3}"/>
    <cellStyle name="Porcentagem 3 8" xfId="43790" xr:uid="{5A9DD1B5-4B90-4EBB-93B3-C87DF4092B30}"/>
    <cellStyle name="Porcentagem 3 9" xfId="43791" xr:uid="{B3F15CFD-789E-4A98-9736-AEDD57163918}"/>
    <cellStyle name="Porcentagem 4" xfId="1131" xr:uid="{CECFCE10-6D6C-43F0-A3FE-9230CD46F989}"/>
    <cellStyle name="Porcentagem 4 10" xfId="39006" xr:uid="{F638B86F-97D4-4522-AB08-6D195B588A45}"/>
    <cellStyle name="Porcentagem 4 10 2" xfId="39007" xr:uid="{B6005E11-0E36-4963-8EEA-D7746F6AFE13}"/>
    <cellStyle name="Porcentagem 4 10 2 2" xfId="39008" xr:uid="{278B3251-47BF-4064-8794-390F058F97F7}"/>
    <cellStyle name="Porcentagem 4 10 2 3" xfId="39009" xr:uid="{369F41D7-2310-4348-AED2-284CB5F15315}"/>
    <cellStyle name="Porcentagem 4 10 2 4" xfId="39010" xr:uid="{90828836-42CB-41B0-AF63-BF9326189DEC}"/>
    <cellStyle name="Porcentagem 4 10 3" xfId="39011" xr:uid="{41E2F9D5-675E-4156-9FA3-3715AC4EE93F}"/>
    <cellStyle name="Porcentagem 4 10 3 2" xfId="39012" xr:uid="{BDEDE33B-A704-4BB7-BC95-1B0BB6C5F611}"/>
    <cellStyle name="Porcentagem 4 10 3 3" xfId="39013" xr:uid="{0E20E7D0-C77E-4F8D-A272-04057488DAB1}"/>
    <cellStyle name="Porcentagem 4 10 3 4" xfId="39014" xr:uid="{9E0BA36A-FA12-405D-9CF5-C1457701C88C}"/>
    <cellStyle name="Porcentagem 4 10 4" xfId="39015" xr:uid="{8797D4C3-D694-4292-BE08-B5B78DD909D0}"/>
    <cellStyle name="Porcentagem 4 10 5" xfId="39016" xr:uid="{FCE67094-5E62-42D4-9EC8-3371EE9D4603}"/>
    <cellStyle name="Porcentagem 4 10 6" xfId="39017" xr:uid="{52A30EBD-2D48-48F7-A327-F2B9B17EB501}"/>
    <cellStyle name="Porcentagem 4 11" xfId="39018" xr:uid="{0A505A2B-5CA2-485B-B8D3-3D6B95BCFD6D}"/>
    <cellStyle name="Porcentagem 4 11 2" xfId="39019" xr:uid="{73CCC9DC-A453-4C9F-947A-E40CF6803B32}"/>
    <cellStyle name="Porcentagem 4 11 2 2" xfId="39020" xr:uid="{5AC07336-A2A1-42BA-8DD8-D8D8B2437B91}"/>
    <cellStyle name="Porcentagem 4 11 2 3" xfId="39021" xr:uid="{CF7FC68F-391E-4364-B0BC-9E8F280D14CF}"/>
    <cellStyle name="Porcentagem 4 11 2 4" xfId="39022" xr:uid="{B4FF4AA7-B296-4DD5-80C2-FE6E8E7927BD}"/>
    <cellStyle name="Porcentagem 4 11 3" xfId="39023" xr:uid="{FC20BD84-28BB-46BC-B6B8-88E8963A7A21}"/>
    <cellStyle name="Porcentagem 4 11 3 2" xfId="39024" xr:uid="{0726B0D7-22AA-4DDD-A998-A0D71384BAE0}"/>
    <cellStyle name="Porcentagem 4 11 3 3" xfId="39025" xr:uid="{83562B3D-0EE3-484E-8128-F839836DEE1B}"/>
    <cellStyle name="Porcentagem 4 11 3 4" xfId="39026" xr:uid="{14657600-9A73-4C8B-BEC7-3F614510900E}"/>
    <cellStyle name="Porcentagem 4 11 4" xfId="39027" xr:uid="{7B4FE4A2-9C5B-4119-A6A0-DF06C4E80D4F}"/>
    <cellStyle name="Porcentagem 4 11 5" xfId="39028" xr:uid="{4C30A47A-B703-41E3-B947-AD51CA3060C2}"/>
    <cellStyle name="Porcentagem 4 11 6" xfId="39029" xr:uid="{9CF63E95-98F4-4B67-8989-EDC785F7F76D}"/>
    <cellStyle name="Porcentagem 4 12" xfId="39030" xr:uid="{3FF4AF89-6614-4EFE-A3DB-7C4C6524C9AC}"/>
    <cellStyle name="Porcentagem 4 12 2" xfId="39031" xr:uid="{CC3D59DF-673B-4D11-8B35-D0ABBB413BEE}"/>
    <cellStyle name="Porcentagem 4 12 2 2" xfId="39032" xr:uid="{F03593B9-53D0-4FFC-9E2D-0B191B0E1622}"/>
    <cellStyle name="Porcentagem 4 12 2 3" xfId="39033" xr:uid="{926B2752-BB08-4F81-8ECC-D57F0485A3B9}"/>
    <cellStyle name="Porcentagem 4 12 2 4" xfId="39034" xr:uid="{A79F8E3A-ABAD-4229-8269-FA4C9289FA57}"/>
    <cellStyle name="Porcentagem 4 12 3" xfId="39035" xr:uid="{4239E103-7551-4492-A993-20E2DF41CC6C}"/>
    <cellStyle name="Porcentagem 4 12 3 2" xfId="39036" xr:uid="{C5E62CD7-3F4A-47FC-9ECD-5183AC1EF099}"/>
    <cellStyle name="Porcentagem 4 12 3 3" xfId="39037" xr:uid="{49E13986-B33B-4A64-A032-1558849C3843}"/>
    <cellStyle name="Porcentagem 4 12 3 4" xfId="39038" xr:uid="{3EBADC05-E63D-4F78-BFD3-FF143A41CD03}"/>
    <cellStyle name="Porcentagem 4 12 4" xfId="39039" xr:uid="{B8341B8D-CA3D-43CC-9091-C4CC54AF5D3D}"/>
    <cellStyle name="Porcentagem 4 12 5" xfId="39040" xr:uid="{7F35A495-269F-4BF4-9F37-89C3755D4C72}"/>
    <cellStyle name="Porcentagem 4 12 6" xfId="39041" xr:uid="{7ED8247E-747A-4D5E-919A-B002989991E6}"/>
    <cellStyle name="Porcentagem 4 13" xfId="39042" xr:uid="{907F07E4-9869-4ADE-933B-92A8B5BA7458}"/>
    <cellStyle name="Porcentagem 4 13 2" xfId="39043" xr:uid="{E9927719-0B7A-4939-AA35-19F3EDD1B43C}"/>
    <cellStyle name="Porcentagem 4 13 2 2" xfId="39044" xr:uid="{9B33C44B-93AF-4A08-8D03-02A6A2A8E9DC}"/>
    <cellStyle name="Porcentagem 4 13 2 3" xfId="39045" xr:uid="{22E0FD25-2055-4AE7-99EE-FA59CBFE66EA}"/>
    <cellStyle name="Porcentagem 4 13 2 4" xfId="39046" xr:uid="{DFE77BC5-F326-4033-9437-8F7C9F7658C8}"/>
    <cellStyle name="Porcentagem 4 13 3" xfId="39047" xr:uid="{8EB88ACC-A0B8-43E9-96A0-A5AC3D3C875C}"/>
    <cellStyle name="Porcentagem 4 13 3 2" xfId="39048" xr:uid="{938C1FED-0F63-451A-90DD-ED8D20FADF8E}"/>
    <cellStyle name="Porcentagem 4 13 3 3" xfId="39049" xr:uid="{27AE1954-2F94-41BC-BA56-5E65CA87B84E}"/>
    <cellStyle name="Porcentagem 4 13 3 4" xfId="39050" xr:uid="{ADE4E175-71DB-4540-B2BE-1D1215BBEF9F}"/>
    <cellStyle name="Porcentagem 4 13 4" xfId="39051" xr:uid="{05B6D715-3397-4359-9263-3F854590A594}"/>
    <cellStyle name="Porcentagem 4 13 5" xfId="39052" xr:uid="{E8D87F5D-14C4-4F36-8660-73F91E0301FE}"/>
    <cellStyle name="Porcentagem 4 13 6" xfId="39053" xr:uid="{8999A33C-378B-493E-9C0F-904801848360}"/>
    <cellStyle name="Porcentagem 4 14" xfId="39054" xr:uid="{F18FC497-02EC-4C15-9B20-F63C85173503}"/>
    <cellStyle name="Porcentagem 4 14 2" xfId="39055" xr:uid="{3BB92909-BB6B-4DBC-A62B-5FBEBD70D8F3}"/>
    <cellStyle name="Porcentagem 4 14 2 2" xfId="39056" xr:uid="{B877EA87-F43E-43AB-BE5B-510939030DB1}"/>
    <cellStyle name="Porcentagem 4 14 2 3" xfId="39057" xr:uid="{DA8DB41B-D982-4E2D-B2B1-CCB7518DADD7}"/>
    <cellStyle name="Porcentagem 4 14 2 4" xfId="39058" xr:uid="{0E515554-0F70-43DC-BD0F-BFBE23E6174F}"/>
    <cellStyle name="Porcentagem 4 14 3" xfId="39059" xr:uid="{679BFCD8-B529-4A2F-8549-4941C7117C98}"/>
    <cellStyle name="Porcentagem 4 14 3 2" xfId="39060" xr:uid="{982D2285-9030-4E1C-9EB4-885EF5C203CE}"/>
    <cellStyle name="Porcentagem 4 14 3 3" xfId="39061" xr:uid="{763847A2-A368-483C-9462-30D2E27211DF}"/>
    <cellStyle name="Porcentagem 4 14 3 4" xfId="39062" xr:uid="{A695538D-3765-481D-B327-26C1AB7C297F}"/>
    <cellStyle name="Porcentagem 4 14 4" xfId="39063" xr:uid="{09CA9251-DFAF-4F65-99F7-1C0BDBF75D8F}"/>
    <cellStyle name="Porcentagem 4 14 5" xfId="39064" xr:uid="{9B297565-CDB8-491B-B084-BD412328792D}"/>
    <cellStyle name="Porcentagem 4 14 6" xfId="39065" xr:uid="{8ECF06E9-A2EB-44AF-8711-D82BC5350E17}"/>
    <cellStyle name="Porcentagem 4 15" xfId="39066" xr:uid="{00873772-6B45-4893-9B2A-D4516829AB0A}"/>
    <cellStyle name="Porcentagem 4 15 2" xfId="39067" xr:uid="{96AC872D-4730-4A8E-94D5-A0F27356F6BF}"/>
    <cellStyle name="Porcentagem 4 15 2 2" xfId="39068" xr:uid="{A73813E3-6A18-48D3-AFCC-39B85C62F9EC}"/>
    <cellStyle name="Porcentagem 4 15 2 3" xfId="39069" xr:uid="{5571240E-E6D7-400C-9972-FFBCF083FB41}"/>
    <cellStyle name="Porcentagem 4 15 2 4" xfId="39070" xr:uid="{DD67E3A9-06DC-4EC4-A8A9-2FECDF81691A}"/>
    <cellStyle name="Porcentagem 4 15 3" xfId="39071" xr:uid="{B5CBBD07-C0B8-475C-81D9-4BA65BAF6B36}"/>
    <cellStyle name="Porcentagem 4 15 3 2" xfId="39072" xr:uid="{32ED00B5-F2C9-4AA7-83E2-50B0A354E08D}"/>
    <cellStyle name="Porcentagem 4 15 3 3" xfId="39073" xr:uid="{1FF05933-C97A-4193-AC6B-2A4858A794DF}"/>
    <cellStyle name="Porcentagem 4 15 3 4" xfId="39074" xr:uid="{70E399E4-CD46-4B3A-90CF-2712AEE63022}"/>
    <cellStyle name="Porcentagem 4 15 4" xfId="39075" xr:uid="{5186C617-097A-42F4-8365-622FC1304838}"/>
    <cellStyle name="Porcentagem 4 15 5" xfId="39076" xr:uid="{88A8DBCB-601E-4CB0-A412-976FD94588B6}"/>
    <cellStyle name="Porcentagem 4 15 6" xfId="39077" xr:uid="{99C081A9-1BE4-4AF7-9D4E-E08D4C69C1E1}"/>
    <cellStyle name="Porcentagem 4 16" xfId="39078" xr:uid="{47D9E160-E906-4B9E-AE7E-D241CF1FFF1E}"/>
    <cellStyle name="Porcentagem 4 16 2" xfId="39079" xr:uid="{467F6AEF-77CC-4BA9-B6DF-D2151DCF380B}"/>
    <cellStyle name="Porcentagem 4 16 2 2" xfId="39080" xr:uid="{F1A8B302-E42F-4111-A7D3-9645F4F1C7B9}"/>
    <cellStyle name="Porcentagem 4 16 2 3" xfId="39081" xr:uid="{FBFD3823-082E-4B9B-BF9E-8E67437388D2}"/>
    <cellStyle name="Porcentagem 4 16 2 4" xfId="39082" xr:uid="{282EE263-2D6A-4C64-90E2-36BAB699A8C3}"/>
    <cellStyle name="Porcentagem 4 16 3" xfId="39083" xr:uid="{96D36368-B0E9-4897-B4FD-165BCC2040C6}"/>
    <cellStyle name="Porcentagem 4 16 3 2" xfId="39084" xr:uid="{B6B39053-9F2C-4514-9E26-C643AFCC2A2A}"/>
    <cellStyle name="Porcentagem 4 16 3 3" xfId="39085" xr:uid="{79156C00-3F0C-4198-8FF5-510C778B6753}"/>
    <cellStyle name="Porcentagem 4 16 3 4" xfId="39086" xr:uid="{05F7ED0D-885F-4E0F-80B1-A6C8B90A46EB}"/>
    <cellStyle name="Porcentagem 4 16 4" xfId="39087" xr:uid="{3B753F97-61FC-4F32-BBA0-0E8FE0D516DE}"/>
    <cellStyle name="Porcentagem 4 16 5" xfId="39088" xr:uid="{8C2E3933-4F31-40BD-9066-18B896D6817D}"/>
    <cellStyle name="Porcentagem 4 16 6" xfId="39089" xr:uid="{5A37A3D3-023F-426D-BD2D-314776C54F2C}"/>
    <cellStyle name="Porcentagem 4 17" xfId="39090" xr:uid="{44221572-B9A5-49CA-96E5-4DCECABE1897}"/>
    <cellStyle name="Porcentagem 4 17 2" xfId="39091" xr:uid="{4C16AC35-3450-4223-A771-C438FE52C7AB}"/>
    <cellStyle name="Porcentagem 4 17 2 2" xfId="39092" xr:uid="{E83A60BA-71A2-4666-B2F3-EEA87BC63E9E}"/>
    <cellStyle name="Porcentagem 4 17 2 3" xfId="39093" xr:uid="{933BC7D5-646C-41B7-8F29-6F5EB54B7609}"/>
    <cellStyle name="Porcentagem 4 17 2 4" xfId="39094" xr:uid="{E746DD5F-071F-4E8C-9619-1F6BCEBFB248}"/>
    <cellStyle name="Porcentagem 4 17 3" xfId="39095" xr:uid="{506F4D78-5AEA-4EAC-8DF9-1DE5AA98D078}"/>
    <cellStyle name="Porcentagem 4 17 3 2" xfId="39096" xr:uid="{A25A0011-D7B7-4764-937C-7ECD2E436C41}"/>
    <cellStyle name="Porcentagem 4 17 3 3" xfId="39097" xr:uid="{1251399A-40D8-47A8-BC90-0519633377D8}"/>
    <cellStyle name="Porcentagem 4 17 3 4" xfId="39098" xr:uid="{6D7AA439-7292-4C93-8841-266B79B59B4F}"/>
    <cellStyle name="Porcentagem 4 17 4" xfId="39099" xr:uid="{6652D5CF-5A1D-43AB-BCC7-D6148C450E8E}"/>
    <cellStyle name="Porcentagem 4 17 5" xfId="39100" xr:uid="{26BF242C-DD16-466D-81D3-1E723836CAF3}"/>
    <cellStyle name="Porcentagem 4 17 6" xfId="39101" xr:uid="{FE608DA8-95FA-4773-ADEE-1281271696C0}"/>
    <cellStyle name="Porcentagem 4 18" xfId="39102" xr:uid="{3A3F8F6E-E691-4982-A059-1982F0FB4315}"/>
    <cellStyle name="Porcentagem 4 18 2" xfId="39103" xr:uid="{90B25A1D-23EA-4C05-92AB-1BD497C3BBEF}"/>
    <cellStyle name="Porcentagem 4 18 2 2" xfId="39104" xr:uid="{238130E5-B173-4A19-B425-363692121D23}"/>
    <cellStyle name="Porcentagem 4 18 2 3" xfId="39105" xr:uid="{8B8508CF-F73D-46C7-9655-A9E0B9CE3C82}"/>
    <cellStyle name="Porcentagem 4 18 2 4" xfId="39106" xr:uid="{C6E34BD5-F6B7-4068-98D8-FA86C2C4B140}"/>
    <cellStyle name="Porcentagem 4 18 3" xfId="39107" xr:uid="{5A01EAF7-D2AF-421F-9C15-6A53001AF4A6}"/>
    <cellStyle name="Porcentagem 4 18 3 2" xfId="39108" xr:uid="{AA35EA4E-D3A4-4721-A727-9FA77F88446C}"/>
    <cellStyle name="Porcentagem 4 18 3 3" xfId="39109" xr:uid="{A91ED565-DA79-4B98-BECA-E59855390378}"/>
    <cellStyle name="Porcentagem 4 18 3 4" xfId="39110" xr:uid="{B63C2192-5907-4E91-8F43-615CEA0ED444}"/>
    <cellStyle name="Porcentagem 4 18 4" xfId="39111" xr:uid="{A650E7F4-D571-438D-AC81-A678413452D6}"/>
    <cellStyle name="Porcentagem 4 18 5" xfId="39112" xr:uid="{477D97FB-0C53-461C-94DE-760F1A2A7A3B}"/>
    <cellStyle name="Porcentagem 4 18 6" xfId="39113" xr:uid="{96528831-FC2F-46BB-B8B5-377DA1223AA0}"/>
    <cellStyle name="Porcentagem 4 19" xfId="39114" xr:uid="{B3622E80-E784-4CA6-B23B-EF1955A5B4B7}"/>
    <cellStyle name="Porcentagem 4 19 2" xfId="39115" xr:uid="{4DA2D3A4-5ED9-4D36-848E-A08C9A159CE4}"/>
    <cellStyle name="Porcentagem 4 19 2 2" xfId="39116" xr:uid="{2D6C219C-3F0B-4629-9D81-2B7E52776A07}"/>
    <cellStyle name="Porcentagem 4 19 2 3" xfId="39117" xr:uid="{3BE97B96-3BE5-4C4A-A170-C470508C1C49}"/>
    <cellStyle name="Porcentagem 4 19 2 4" xfId="39118" xr:uid="{3683C0AA-B927-48B2-AB58-4127CC552917}"/>
    <cellStyle name="Porcentagem 4 19 3" xfId="39119" xr:uid="{368EC698-B855-40E6-95AC-B478918C4677}"/>
    <cellStyle name="Porcentagem 4 19 3 2" xfId="39120" xr:uid="{2CD8B124-AC36-4E26-B66A-A606B7164A1B}"/>
    <cellStyle name="Porcentagem 4 19 3 3" xfId="39121" xr:uid="{02B73525-FE89-434A-8FCE-EBCCCE2506E5}"/>
    <cellStyle name="Porcentagem 4 19 3 4" xfId="39122" xr:uid="{DB9502D3-DC1F-422F-A63A-3CBB8652137E}"/>
    <cellStyle name="Porcentagem 4 19 4" xfId="39123" xr:uid="{E4948A76-CEE0-4535-9BBA-352684B74703}"/>
    <cellStyle name="Porcentagem 4 19 5" xfId="39124" xr:uid="{ADF14B61-3FF8-45DF-AF3C-DF83B806B94C}"/>
    <cellStyle name="Porcentagem 4 19 6" xfId="39125" xr:uid="{AF2874F2-5521-4B82-80CC-E0214BD4FBAF}"/>
    <cellStyle name="Porcentagem 4 2" xfId="1132" xr:uid="{81347CDA-81AB-4812-9D62-22E41241B07B}"/>
    <cellStyle name="Porcentagem 4 2 10" xfId="39126" xr:uid="{FD834156-5303-403D-83ED-9584C14A1AC1}"/>
    <cellStyle name="Porcentagem 4 2 10 2" xfId="39127" xr:uid="{4B87A7D7-5413-46DB-B772-949E2C805DA7}"/>
    <cellStyle name="Porcentagem 4 2 10 2 2" xfId="39128" xr:uid="{45754A68-99B5-4B5C-A63B-D85C4895BECE}"/>
    <cellStyle name="Porcentagem 4 2 10 2 3" xfId="39129" xr:uid="{A0CE76CF-E7DB-49CD-8539-8BDDDD9DD09A}"/>
    <cellStyle name="Porcentagem 4 2 10 2 4" xfId="39130" xr:uid="{75F730A9-3380-402F-A211-01E20AAF3AE1}"/>
    <cellStyle name="Porcentagem 4 2 10 3" xfId="39131" xr:uid="{5F5920B8-FBD2-4F82-9E3E-5B4DE1B94A65}"/>
    <cellStyle name="Porcentagem 4 2 10 3 2" xfId="39132" xr:uid="{2BB6DE12-5054-4D59-98FC-CC5D994DD2B2}"/>
    <cellStyle name="Porcentagem 4 2 10 3 3" xfId="39133" xr:uid="{1A55C30E-092C-49FB-8F97-BA32C4756013}"/>
    <cellStyle name="Porcentagem 4 2 10 3 4" xfId="39134" xr:uid="{00C8629F-6831-42F7-AC6D-A336B1C9600A}"/>
    <cellStyle name="Porcentagem 4 2 10 4" xfId="39135" xr:uid="{22256BD8-FCA5-4919-B864-3D599EAF344C}"/>
    <cellStyle name="Porcentagem 4 2 10 5" xfId="39136" xr:uid="{3704FF8A-53EE-4918-A3D2-535B76608187}"/>
    <cellStyle name="Porcentagem 4 2 10 6" xfId="39137" xr:uid="{C10D90D6-6844-437E-B59E-77365D64B100}"/>
    <cellStyle name="Porcentagem 4 2 11" xfId="39138" xr:uid="{CD3A0A14-2371-436D-926E-4C4646A80EC8}"/>
    <cellStyle name="Porcentagem 4 2 11 2" xfId="39139" xr:uid="{905258E8-4050-4DD3-B9B7-EEDFA5FCDBCA}"/>
    <cellStyle name="Porcentagem 4 2 11 2 2" xfId="39140" xr:uid="{EF96E408-14AF-470C-9E2F-B5823D961DFD}"/>
    <cellStyle name="Porcentagem 4 2 11 2 3" xfId="39141" xr:uid="{CAE9EDDE-5250-4001-9521-58373487EC7F}"/>
    <cellStyle name="Porcentagem 4 2 11 2 4" xfId="39142" xr:uid="{B7A18DF0-2625-4471-8657-069F549B6655}"/>
    <cellStyle name="Porcentagem 4 2 11 3" xfId="39143" xr:uid="{C6D19771-0EEF-4625-BF84-E1F08904DE5B}"/>
    <cellStyle name="Porcentagem 4 2 11 3 2" xfId="39144" xr:uid="{A98701D1-11F2-490D-8244-7BA7BF515D87}"/>
    <cellStyle name="Porcentagem 4 2 11 3 3" xfId="39145" xr:uid="{E44E4B27-44E6-43FC-B3DF-BC77D4A53ACB}"/>
    <cellStyle name="Porcentagem 4 2 11 3 4" xfId="39146" xr:uid="{0631664D-3540-461B-B711-3B9B00D8ED05}"/>
    <cellStyle name="Porcentagem 4 2 11 4" xfId="39147" xr:uid="{657BC101-8DE2-4B53-8BDE-B36623FBF16C}"/>
    <cellStyle name="Porcentagem 4 2 11 5" xfId="39148" xr:uid="{0CE2161C-DD3F-4AE9-9E5E-C64F7C9E3F68}"/>
    <cellStyle name="Porcentagem 4 2 11 6" xfId="39149" xr:uid="{C85067B6-F9A3-48E4-B0BF-3E6E0F826897}"/>
    <cellStyle name="Porcentagem 4 2 12" xfId="39150" xr:uid="{563BD4F4-5B19-43E7-8AAD-CC3DFF221A0F}"/>
    <cellStyle name="Porcentagem 4 2 12 2" xfId="39151" xr:uid="{277FE7BC-B21A-4866-B94A-650ED10773B4}"/>
    <cellStyle name="Porcentagem 4 2 12 2 2" xfId="39152" xr:uid="{8E534D16-02C9-43DF-B3F1-28A85475A34A}"/>
    <cellStyle name="Porcentagem 4 2 12 2 3" xfId="39153" xr:uid="{DE256CB0-B391-4F77-AB94-D987E114FFE6}"/>
    <cellStyle name="Porcentagem 4 2 12 2 4" xfId="39154" xr:uid="{7B50C7A1-DE46-4A55-94A4-A75B36A28442}"/>
    <cellStyle name="Porcentagem 4 2 12 3" xfId="39155" xr:uid="{0741843A-45B9-4E64-8803-02ECCFF36E69}"/>
    <cellStyle name="Porcentagem 4 2 12 3 2" xfId="39156" xr:uid="{F0466D06-5863-4AD5-84C2-3222D22B696D}"/>
    <cellStyle name="Porcentagem 4 2 12 3 3" xfId="39157" xr:uid="{4CA95402-61F8-428A-8ABB-29DE25E66879}"/>
    <cellStyle name="Porcentagem 4 2 12 3 4" xfId="39158" xr:uid="{6C14C550-22A5-442C-AD28-D41DBAD2C726}"/>
    <cellStyle name="Porcentagem 4 2 12 4" xfId="39159" xr:uid="{273679F0-A5C3-4C17-95BE-BDF87EA30EA0}"/>
    <cellStyle name="Porcentagem 4 2 12 5" xfId="39160" xr:uid="{18162E09-3C38-45D2-92E9-38A2F80495B2}"/>
    <cellStyle name="Porcentagem 4 2 12 6" xfId="39161" xr:uid="{3198C92D-C842-4BF3-B870-69CC21DC351F}"/>
    <cellStyle name="Porcentagem 4 2 13" xfId="39162" xr:uid="{55BB4ED0-6E1E-4808-8CC1-79147FC25C1C}"/>
    <cellStyle name="Porcentagem 4 2 13 2" xfId="39163" xr:uid="{C2EF727E-A029-406F-8413-8C6214F3BFCC}"/>
    <cellStyle name="Porcentagem 4 2 13 2 2" xfId="39164" xr:uid="{DEB2E347-8D1B-4662-9B2C-0E10699CE4AE}"/>
    <cellStyle name="Porcentagem 4 2 13 2 3" xfId="39165" xr:uid="{FA3044EE-1663-4C84-8298-1275F96613B4}"/>
    <cellStyle name="Porcentagem 4 2 13 2 4" xfId="39166" xr:uid="{F243C792-10C6-4761-AAE6-2B42FD592086}"/>
    <cellStyle name="Porcentagem 4 2 13 3" xfId="39167" xr:uid="{C51F9E7D-8E13-45E7-9FBF-C59C95A9DC3B}"/>
    <cellStyle name="Porcentagem 4 2 13 3 2" xfId="39168" xr:uid="{6F4BB27D-7F67-4F1E-81F0-B961C5431546}"/>
    <cellStyle name="Porcentagem 4 2 13 3 3" xfId="39169" xr:uid="{AA004BAF-586F-4446-B3CB-B6B58ED672D1}"/>
    <cellStyle name="Porcentagem 4 2 13 3 4" xfId="39170" xr:uid="{EDC14727-3763-442D-AEF0-FBAC2E36D3EC}"/>
    <cellStyle name="Porcentagem 4 2 13 4" xfId="39171" xr:uid="{0DD847B0-34AE-4701-9656-6E88DEB1ED43}"/>
    <cellStyle name="Porcentagem 4 2 13 5" xfId="39172" xr:uid="{999B15FD-1E03-434C-AC34-7EE6BB32B308}"/>
    <cellStyle name="Porcentagem 4 2 13 6" xfId="39173" xr:uid="{280B11CC-EE3C-4B88-8155-653E937DFACD}"/>
    <cellStyle name="Porcentagem 4 2 14" xfId="39174" xr:uid="{BB1B0F3D-C24F-4F0D-9EDB-C57359E4509C}"/>
    <cellStyle name="Porcentagem 4 2 14 2" xfId="39175" xr:uid="{ED5A075C-320B-444D-933D-83A58D640A2A}"/>
    <cellStyle name="Porcentagem 4 2 14 2 2" xfId="39176" xr:uid="{E47167A2-36C0-41EF-A2D0-2C7FEE7776F5}"/>
    <cellStyle name="Porcentagem 4 2 14 2 3" xfId="39177" xr:uid="{5E08732B-E56A-49FC-9063-8B4FED345980}"/>
    <cellStyle name="Porcentagem 4 2 14 2 4" xfId="39178" xr:uid="{917BE0F6-C2AD-4743-B198-FB20137374A5}"/>
    <cellStyle name="Porcentagem 4 2 14 3" xfId="39179" xr:uid="{E9AFA842-F08D-4DCC-B0E2-0F1C6C871C34}"/>
    <cellStyle name="Porcentagem 4 2 14 3 2" xfId="39180" xr:uid="{D2F36796-1A03-45C9-91E2-DB77DAFAA81B}"/>
    <cellStyle name="Porcentagem 4 2 14 3 3" xfId="39181" xr:uid="{94E1ACAD-0003-4504-A991-5B8841C77CE9}"/>
    <cellStyle name="Porcentagem 4 2 14 3 4" xfId="39182" xr:uid="{6F954219-E1D9-45E8-B136-3008EE09F5F2}"/>
    <cellStyle name="Porcentagem 4 2 14 4" xfId="39183" xr:uid="{1D0EA0F4-DDE5-464D-AB21-3496750E7FCB}"/>
    <cellStyle name="Porcentagem 4 2 14 5" xfId="39184" xr:uid="{C82C1C70-DE9D-43B6-A004-376007070698}"/>
    <cellStyle name="Porcentagem 4 2 14 6" xfId="39185" xr:uid="{A9C2AB64-49B4-4132-9CD9-35955F7D092E}"/>
    <cellStyle name="Porcentagem 4 2 15" xfId="39186" xr:uid="{455EE90D-BA32-4C8D-9247-929CCB0F08FF}"/>
    <cellStyle name="Porcentagem 4 2 15 2" xfId="39187" xr:uid="{A07CF650-88CC-494C-BE77-BEB0623AC4D1}"/>
    <cellStyle name="Porcentagem 4 2 15 2 2" xfId="39188" xr:uid="{9E7A6937-DE04-452E-A890-776A16C3E33B}"/>
    <cellStyle name="Porcentagem 4 2 15 2 3" xfId="39189" xr:uid="{484A64AA-39ED-4FCA-B9FD-0964C34377D1}"/>
    <cellStyle name="Porcentagem 4 2 15 2 4" xfId="39190" xr:uid="{7FC61F3C-02D2-4FFD-88EC-CD21D8A1C841}"/>
    <cellStyle name="Porcentagem 4 2 15 3" xfId="39191" xr:uid="{FAC403C2-6F14-46B1-B244-34B44BB90FE6}"/>
    <cellStyle name="Porcentagem 4 2 15 3 2" xfId="39192" xr:uid="{A421E0A5-08B8-4D27-A3A1-30A8A74BF355}"/>
    <cellStyle name="Porcentagem 4 2 15 3 3" xfId="39193" xr:uid="{8C84F5D8-E1FE-4FC1-A6B0-4F18119FC3DA}"/>
    <cellStyle name="Porcentagem 4 2 15 3 4" xfId="39194" xr:uid="{E19AA4A0-7F80-4C77-90B6-592B62C5592E}"/>
    <cellStyle name="Porcentagem 4 2 15 4" xfId="39195" xr:uid="{8E9EDA21-706B-4FF5-8C95-793714E6C9E7}"/>
    <cellStyle name="Porcentagem 4 2 15 5" xfId="39196" xr:uid="{59484AFA-D9BD-437A-ACE4-0F7C6C136C1A}"/>
    <cellStyle name="Porcentagem 4 2 15 6" xfId="39197" xr:uid="{0A4EF0B1-4130-4361-8117-64428FBDD639}"/>
    <cellStyle name="Porcentagem 4 2 16" xfId="39198" xr:uid="{2DB1664E-BBD3-4BA2-8566-3E9AD22DDB1E}"/>
    <cellStyle name="Porcentagem 4 2 16 2" xfId="39199" xr:uid="{5099C8C7-8668-4C5A-9314-325A0F97208C}"/>
    <cellStyle name="Porcentagem 4 2 16 2 2" xfId="39200" xr:uid="{EAFF7BFB-A87D-4002-A73E-C9B726D51DCA}"/>
    <cellStyle name="Porcentagem 4 2 16 2 3" xfId="39201" xr:uid="{E3D8B344-A7D0-47A0-9892-4B00AD51E02B}"/>
    <cellStyle name="Porcentagem 4 2 16 2 4" xfId="39202" xr:uid="{DBD52A70-40E9-472A-B715-9E87947C299C}"/>
    <cellStyle name="Porcentagem 4 2 16 3" xfId="39203" xr:uid="{A3CE143D-BE34-4D05-B730-5535ABD13D7F}"/>
    <cellStyle name="Porcentagem 4 2 16 3 2" xfId="39204" xr:uid="{672F3907-0051-45E3-B928-725621AC8575}"/>
    <cellStyle name="Porcentagem 4 2 16 3 3" xfId="39205" xr:uid="{422CACDF-4DA7-42E7-A704-5C48F4DFB537}"/>
    <cellStyle name="Porcentagem 4 2 16 3 4" xfId="39206" xr:uid="{3DAFB803-7300-4B65-A961-71F9A3AF76A3}"/>
    <cellStyle name="Porcentagem 4 2 16 4" xfId="39207" xr:uid="{51802D8B-E101-4D17-A00E-71F0E9863109}"/>
    <cellStyle name="Porcentagem 4 2 16 5" xfId="39208" xr:uid="{719BDAB2-ECB1-4668-A2A9-2C6D5BB8F7A3}"/>
    <cellStyle name="Porcentagem 4 2 16 6" xfId="39209" xr:uid="{3E4B947A-EEF5-4283-A8F3-38B624C01297}"/>
    <cellStyle name="Porcentagem 4 2 17" xfId="39210" xr:uid="{330D7AAE-65AE-459F-A17D-2972CDC09E32}"/>
    <cellStyle name="Porcentagem 4 2 17 2" xfId="39211" xr:uid="{EB5BBF49-7849-4769-AC74-281EE231B9F5}"/>
    <cellStyle name="Porcentagem 4 2 17 2 2" xfId="39212" xr:uid="{B8A82736-5489-45FF-8520-2F5808980C7D}"/>
    <cellStyle name="Porcentagem 4 2 17 2 3" xfId="39213" xr:uid="{2F6BCE0D-6BA5-40E8-A62C-5052DBF163DB}"/>
    <cellStyle name="Porcentagem 4 2 17 2 4" xfId="39214" xr:uid="{CCDF797E-783B-49C7-BC6A-62BE16A6E39D}"/>
    <cellStyle name="Porcentagem 4 2 17 3" xfId="39215" xr:uid="{8A6D8B1D-1B1F-452E-9DF7-7D3D52BDA0D4}"/>
    <cellStyle name="Porcentagem 4 2 17 3 2" xfId="39216" xr:uid="{6347CE17-C820-45D5-AA76-ACC641992204}"/>
    <cellStyle name="Porcentagem 4 2 17 3 3" xfId="39217" xr:uid="{6ED0ABEC-2803-44D6-9DEC-8BD5AA095B81}"/>
    <cellStyle name="Porcentagem 4 2 17 3 4" xfId="39218" xr:uid="{B136BD66-3B3D-4A5D-A7A3-F5A414C3E251}"/>
    <cellStyle name="Porcentagem 4 2 17 4" xfId="39219" xr:uid="{A8EEEBE2-669E-4421-89CC-34B1735C51E2}"/>
    <cellStyle name="Porcentagem 4 2 17 5" xfId="39220" xr:uid="{CCEFC960-A6D4-406D-ADDD-AABCA5EE28E3}"/>
    <cellStyle name="Porcentagem 4 2 17 6" xfId="39221" xr:uid="{6264892F-22CF-419B-BC09-5E00F9D528E7}"/>
    <cellStyle name="Porcentagem 4 2 18" xfId="39222" xr:uid="{1275BFBE-895F-4C5D-9F16-F75A7A14B291}"/>
    <cellStyle name="Porcentagem 4 2 18 2" xfId="39223" xr:uid="{24269A62-78C7-4981-8C8D-4BB3F4C1D372}"/>
    <cellStyle name="Porcentagem 4 2 18 3" xfId="39224" xr:uid="{8A16D3CC-C026-410A-9051-0B65DF94ADB1}"/>
    <cellStyle name="Porcentagem 4 2 18 4" xfId="39225" xr:uid="{3FE712C2-77F1-4749-9CF0-77701F70CFC7}"/>
    <cellStyle name="Porcentagem 4 2 19" xfId="39226" xr:uid="{B0267128-8876-4F11-827B-82F533440A1C}"/>
    <cellStyle name="Porcentagem 4 2 19 2" xfId="39227" xr:uid="{6654E19F-8EAB-47A3-81FF-F9C85693743A}"/>
    <cellStyle name="Porcentagem 4 2 19 3" xfId="39228" xr:uid="{EEE39BB9-719B-4F7A-8DDC-F8022CCC8399}"/>
    <cellStyle name="Porcentagem 4 2 19 4" xfId="39229" xr:uid="{2A0EDE26-2157-454B-B28D-8C96DCA7C39B}"/>
    <cellStyle name="Porcentagem 4 2 2" xfId="39230" xr:uid="{E972B088-EE03-4B46-88CE-BDA2E71ACAE4}"/>
    <cellStyle name="Porcentagem 4 2 2 2" xfId="39231" xr:uid="{B4D1E6ED-C376-430E-AB71-F4C4018FAB1D}"/>
    <cellStyle name="Porcentagem 4 2 2 2 2" xfId="39232" xr:uid="{F8D709CB-7B13-41A4-AEA1-DA3D082D4445}"/>
    <cellStyle name="Porcentagem 4 2 2 2 3" xfId="39233" xr:uid="{1A3CAD85-FA9F-49F7-9089-E9E79615B1B6}"/>
    <cellStyle name="Porcentagem 4 2 2 2 4" xfId="39234" xr:uid="{317F32E4-F34F-4642-9EC9-13BD5FEEF314}"/>
    <cellStyle name="Porcentagem 4 2 2 3" xfId="39235" xr:uid="{BF98D22E-E8FF-44F2-ACA4-440DB45E0319}"/>
    <cellStyle name="Porcentagem 4 2 2 3 2" xfId="39236" xr:uid="{E3393196-4A73-4FD9-8A25-E60194072072}"/>
    <cellStyle name="Porcentagem 4 2 2 3 3" xfId="39237" xr:uid="{CE4692B1-ED0A-480A-81DA-9C1B8AF02C7D}"/>
    <cellStyle name="Porcentagem 4 2 2 3 4" xfId="39238" xr:uid="{FE3AD66E-2222-4B69-AA0B-254939A7D00D}"/>
    <cellStyle name="Porcentagem 4 2 2 4" xfId="39239" xr:uid="{3E94F693-5D13-447B-AFCA-CF50210B1B4B}"/>
    <cellStyle name="Porcentagem 4 2 2 5" xfId="39240" xr:uid="{59D8F1DC-AD94-4856-B38F-1D1EE1D7F80A}"/>
    <cellStyle name="Porcentagem 4 2 2 6" xfId="39241" xr:uid="{D8AB6A83-72B3-4814-B8AF-296629C3D66F}"/>
    <cellStyle name="Porcentagem 4 2 20" xfId="39242" xr:uid="{37076AB4-F897-4388-9489-486BB13C25B4}"/>
    <cellStyle name="Porcentagem 4 2 20 2" xfId="39243" xr:uid="{50F1AD3C-21B7-469E-B2AB-58DC8E9B154D}"/>
    <cellStyle name="Porcentagem 4 2 20 3" xfId="39244" xr:uid="{ED4E8D40-E6D6-4C53-B367-44B9A0A3DAB3}"/>
    <cellStyle name="Porcentagem 4 2 20 4" xfId="39245" xr:uid="{221AB0EB-A7B2-4681-AD42-DC7F04D87CA9}"/>
    <cellStyle name="Porcentagem 4 2 21" xfId="39246" xr:uid="{83B4058B-5918-4A57-9C6B-C70A4DFB1D00}"/>
    <cellStyle name="Porcentagem 4 2 22" xfId="39247" xr:uid="{002F17D5-8C1E-43C2-974A-A266ABF84A21}"/>
    <cellStyle name="Porcentagem 4 2 23" xfId="39248" xr:uid="{4018498D-7FE4-4519-805B-64202A411195}"/>
    <cellStyle name="Porcentagem 4 2 3" xfId="39249" xr:uid="{F3C6BD96-758F-4456-96CE-0A8E71EBD38F}"/>
    <cellStyle name="Porcentagem 4 2 3 2" xfId="39250" xr:uid="{A3215707-2EA0-4D80-A203-A25F2C8BD867}"/>
    <cellStyle name="Porcentagem 4 2 3 2 2" xfId="39251" xr:uid="{08F0E7DE-3ACB-48EF-AF7A-BE3E4136DC6A}"/>
    <cellStyle name="Porcentagem 4 2 3 2 3" xfId="39252" xr:uid="{C3B45238-5818-447C-A55D-8483C144D8F5}"/>
    <cellStyle name="Porcentagem 4 2 3 2 4" xfId="39253" xr:uid="{957EB06A-6EAE-4B20-92B0-DC5898A2EFBA}"/>
    <cellStyle name="Porcentagem 4 2 3 3" xfId="39254" xr:uid="{C15326C5-7CCB-4CC1-A7B7-B3D10CD40D08}"/>
    <cellStyle name="Porcentagem 4 2 3 3 2" xfId="39255" xr:uid="{043ECF2A-A8F9-425E-AE6B-8ED95E3B7916}"/>
    <cellStyle name="Porcentagem 4 2 3 3 3" xfId="39256" xr:uid="{2D0AA004-91CD-4533-BD41-E76FA8A267D1}"/>
    <cellStyle name="Porcentagem 4 2 3 3 4" xfId="39257" xr:uid="{9BD0CF92-99A9-48F7-80C4-155EFFAE4F5B}"/>
    <cellStyle name="Porcentagem 4 2 3 4" xfId="39258" xr:uid="{11855757-5AEB-4D33-9F4B-D26FCFF3F328}"/>
    <cellStyle name="Porcentagem 4 2 3 5" xfId="39259" xr:uid="{F059A7F6-68C1-4DAC-9669-E8EEBD7A4910}"/>
    <cellStyle name="Porcentagem 4 2 3 6" xfId="39260" xr:uid="{BCB8BF67-88C7-4574-81F1-4154E401570E}"/>
    <cellStyle name="Porcentagem 4 2 4" xfId="39261" xr:uid="{D378F893-7CC0-4A58-9B40-5D61E439386B}"/>
    <cellStyle name="Porcentagem 4 2 4 2" xfId="39262" xr:uid="{E24F33A0-357D-475C-9F38-BB306BDFC6A8}"/>
    <cellStyle name="Porcentagem 4 2 4 2 2" xfId="39263" xr:uid="{1E9E0FAD-EBCB-4E4A-9274-85E30640B749}"/>
    <cellStyle name="Porcentagem 4 2 4 2 3" xfId="39264" xr:uid="{F5596DCD-E264-414B-8FA2-51876FD31B4C}"/>
    <cellStyle name="Porcentagem 4 2 4 2 4" xfId="39265" xr:uid="{B28963DD-2232-482E-A3BB-A0BD8BA455DC}"/>
    <cellStyle name="Porcentagem 4 2 4 3" xfId="39266" xr:uid="{A538694D-86D9-48B9-93CB-79C40D8102CA}"/>
    <cellStyle name="Porcentagem 4 2 4 3 2" xfId="39267" xr:uid="{B0838C39-A818-48DD-A6AE-8FD6F709DF60}"/>
    <cellStyle name="Porcentagem 4 2 4 3 3" xfId="39268" xr:uid="{37C99D6C-EC2E-47A9-82B2-49A81F20D0A1}"/>
    <cellStyle name="Porcentagem 4 2 4 3 4" xfId="39269" xr:uid="{EDAD3A2C-EA05-49B6-81C5-84C18E3E2E91}"/>
    <cellStyle name="Porcentagem 4 2 4 4" xfId="39270" xr:uid="{0A06A97C-0A7E-402B-86F7-0727872F19D9}"/>
    <cellStyle name="Porcentagem 4 2 4 5" xfId="39271" xr:uid="{EACEA0E5-7D6E-4191-935B-EB959880DA28}"/>
    <cellStyle name="Porcentagem 4 2 4 6" xfId="39272" xr:uid="{FC034B4C-AA20-4F2B-B544-F8EA785965D2}"/>
    <cellStyle name="Porcentagem 4 2 5" xfId="39273" xr:uid="{3C1285EA-DE6D-4C3B-813E-CAB851942A6B}"/>
    <cellStyle name="Porcentagem 4 2 5 2" xfId="39274" xr:uid="{3DC836F4-AF82-42C6-BA40-547AA073A2D7}"/>
    <cellStyle name="Porcentagem 4 2 5 2 2" xfId="39275" xr:uid="{8C3BBF77-3A9A-4744-8F34-2F19F9FDB28C}"/>
    <cellStyle name="Porcentagem 4 2 5 2 3" xfId="39276" xr:uid="{551BCA0C-AAA8-4F9A-99F8-9991F5F27F43}"/>
    <cellStyle name="Porcentagem 4 2 5 2 4" xfId="39277" xr:uid="{73C8F0A9-0C57-4CF9-987C-1260F2BC2800}"/>
    <cellStyle name="Porcentagem 4 2 5 3" xfId="39278" xr:uid="{1FB43669-FDCB-4631-B480-63403C55F4EE}"/>
    <cellStyle name="Porcentagem 4 2 5 3 2" xfId="39279" xr:uid="{2E2B32FC-2994-46F8-8ABA-7561DAAE3F61}"/>
    <cellStyle name="Porcentagem 4 2 5 3 3" xfId="39280" xr:uid="{7721D58B-E492-473D-939C-FD73FE224B44}"/>
    <cellStyle name="Porcentagem 4 2 5 3 4" xfId="39281" xr:uid="{E0D86070-49D3-47E5-94F8-B20C3E39516C}"/>
    <cellStyle name="Porcentagem 4 2 5 4" xfId="39282" xr:uid="{58C13721-9B1A-46D7-9206-930EAAF0EE44}"/>
    <cellStyle name="Porcentagem 4 2 5 5" xfId="39283" xr:uid="{1236F508-4A3C-460A-B2BF-F226D931B6FF}"/>
    <cellStyle name="Porcentagem 4 2 5 6" xfId="39284" xr:uid="{9BD73142-F52D-460A-8DB2-03F0B0C6DADA}"/>
    <cellStyle name="Porcentagem 4 2 6" xfId="39285" xr:uid="{1FB29A9B-FA6E-462A-AEF6-6436AC5783A3}"/>
    <cellStyle name="Porcentagem 4 2 6 2" xfId="39286" xr:uid="{FDDE1495-C899-4FE6-BD57-FB8F710C34A9}"/>
    <cellStyle name="Porcentagem 4 2 6 2 2" xfId="39287" xr:uid="{990B4EB3-9B98-49E1-A61A-9373F4FD4E1B}"/>
    <cellStyle name="Porcentagem 4 2 6 2 3" xfId="39288" xr:uid="{A74B8B46-D406-4451-B3BB-BAC2AEBC9B62}"/>
    <cellStyle name="Porcentagem 4 2 6 2 4" xfId="39289" xr:uid="{AD03C26F-611A-4A1E-A94B-9BC9BF92E2A9}"/>
    <cellStyle name="Porcentagem 4 2 6 3" xfId="39290" xr:uid="{47EFC4E7-D5DB-45F6-8C0C-8EAE66E89097}"/>
    <cellStyle name="Porcentagem 4 2 6 3 2" xfId="39291" xr:uid="{40A018A0-B18E-439E-93CC-7FD14D49B2CB}"/>
    <cellStyle name="Porcentagem 4 2 6 3 3" xfId="39292" xr:uid="{154D7191-FB7B-458B-A10E-68500A69F263}"/>
    <cellStyle name="Porcentagem 4 2 6 3 4" xfId="39293" xr:uid="{59D6C307-3761-4729-B523-C5D302942497}"/>
    <cellStyle name="Porcentagem 4 2 6 4" xfId="39294" xr:uid="{4AD913B2-5598-4EE9-933C-962DBF6BC4FD}"/>
    <cellStyle name="Porcentagem 4 2 6 5" xfId="39295" xr:uid="{AA405A39-A4FA-45F1-9D90-ED8DCC1519B4}"/>
    <cellStyle name="Porcentagem 4 2 6 6" xfId="39296" xr:uid="{4AC72FB8-59DA-4C99-83E8-DBE75B3E9BBA}"/>
    <cellStyle name="Porcentagem 4 2 7" xfId="39297" xr:uid="{C7A0AD9C-68CF-438A-A861-A2F2C9BD376C}"/>
    <cellStyle name="Porcentagem 4 2 7 2" xfId="39298" xr:uid="{94EA0356-5A47-4462-AAE8-2E29948F817D}"/>
    <cellStyle name="Porcentagem 4 2 7 2 2" xfId="39299" xr:uid="{2F697DFA-936C-4BCA-AD5F-6A74CA7093C0}"/>
    <cellStyle name="Porcentagem 4 2 7 2 3" xfId="39300" xr:uid="{ACB4F733-FD2B-41A5-8CE5-4621262DDC52}"/>
    <cellStyle name="Porcentagem 4 2 7 2 4" xfId="39301" xr:uid="{74AD8B2C-52F4-46A9-BE52-BF6B971D4733}"/>
    <cellStyle name="Porcentagem 4 2 7 3" xfId="39302" xr:uid="{6922AF9C-293F-4097-B351-F5C466489512}"/>
    <cellStyle name="Porcentagem 4 2 7 3 2" xfId="39303" xr:uid="{B08A788C-4097-41A6-B000-EFBECE559E4F}"/>
    <cellStyle name="Porcentagem 4 2 7 3 3" xfId="39304" xr:uid="{2EE0DBDA-2FD5-4EDA-B76E-B714176D9CE5}"/>
    <cellStyle name="Porcentagem 4 2 7 3 4" xfId="39305" xr:uid="{25B5E37D-1901-44CD-BA47-7063717DFE58}"/>
    <cellStyle name="Porcentagem 4 2 7 4" xfId="39306" xr:uid="{1EEAEB3A-B172-48F9-A4AE-A0F577628E60}"/>
    <cellStyle name="Porcentagem 4 2 7 5" xfId="39307" xr:uid="{AA17F5BD-4643-4F15-9FC7-7D8A773A6F69}"/>
    <cellStyle name="Porcentagem 4 2 7 6" xfId="39308" xr:uid="{674A1B37-AC1A-401A-9B1B-C25F4D18F922}"/>
    <cellStyle name="Porcentagem 4 2 8" xfId="39309" xr:uid="{DFBA9123-9D47-4BD0-8066-B70BFEBE3E1F}"/>
    <cellStyle name="Porcentagem 4 2 8 2" xfId="39310" xr:uid="{513586EE-2FCF-4972-BF84-7B075ACE4D87}"/>
    <cellStyle name="Porcentagem 4 2 8 2 2" xfId="39311" xr:uid="{FB55794C-2764-478A-808C-023A4E0A7D07}"/>
    <cellStyle name="Porcentagem 4 2 8 2 3" xfId="39312" xr:uid="{A66B0DB3-062A-4063-853E-ADEB9244EF87}"/>
    <cellStyle name="Porcentagem 4 2 8 2 4" xfId="39313" xr:uid="{9C46871B-7307-4CA7-86F1-E4F7F55907F9}"/>
    <cellStyle name="Porcentagem 4 2 8 3" xfId="39314" xr:uid="{879152AF-15C5-4F62-A8E7-6C2DD1E84350}"/>
    <cellStyle name="Porcentagem 4 2 8 3 2" xfId="39315" xr:uid="{D0C28079-D4A6-4576-9DE7-F96AE97D781C}"/>
    <cellStyle name="Porcentagem 4 2 8 3 3" xfId="39316" xr:uid="{EC6134BD-842D-4988-B49F-704A85C66D24}"/>
    <cellStyle name="Porcentagem 4 2 8 3 4" xfId="39317" xr:uid="{17DFD858-305E-4CB0-AFEF-1D32035F045E}"/>
    <cellStyle name="Porcentagem 4 2 8 4" xfId="39318" xr:uid="{414F785B-54E3-4C7F-880D-1FAF0A92D447}"/>
    <cellStyle name="Porcentagem 4 2 8 5" xfId="39319" xr:uid="{FD67A5D1-E5B1-4829-B383-7504046953EF}"/>
    <cellStyle name="Porcentagem 4 2 8 6" xfId="39320" xr:uid="{531B78A8-6995-4DB3-9D87-5A4F7B3AB7E4}"/>
    <cellStyle name="Porcentagem 4 2 9" xfId="39321" xr:uid="{FF2BD91A-976A-49DB-80A8-16280661A322}"/>
    <cellStyle name="Porcentagem 4 2 9 2" xfId="39322" xr:uid="{24453FD5-6FAC-4229-83A4-B340FD321224}"/>
    <cellStyle name="Porcentagem 4 2 9 2 2" xfId="39323" xr:uid="{E6C64774-BE20-4263-A912-7AD90227CC1A}"/>
    <cellStyle name="Porcentagem 4 2 9 2 3" xfId="39324" xr:uid="{4333A1CE-F224-4F5B-8BF3-92BDE9648A09}"/>
    <cellStyle name="Porcentagem 4 2 9 2 4" xfId="39325" xr:uid="{379D11D0-22DF-423D-A72D-1E3DD96F33AF}"/>
    <cellStyle name="Porcentagem 4 2 9 3" xfId="39326" xr:uid="{7C5EA145-BD04-45D2-85F9-EDFE6F348213}"/>
    <cellStyle name="Porcentagem 4 2 9 3 2" xfId="39327" xr:uid="{F8EC30E8-B9E7-4B9A-9401-97C0E26EB765}"/>
    <cellStyle name="Porcentagem 4 2 9 3 3" xfId="39328" xr:uid="{A9D0A74F-9BAC-4CC7-BBE9-18B847D375C0}"/>
    <cellStyle name="Porcentagem 4 2 9 3 4" xfId="39329" xr:uid="{E8C76F4E-57D3-4C4C-B2A0-1177082EA19D}"/>
    <cellStyle name="Porcentagem 4 2 9 4" xfId="39330" xr:uid="{E93E0E72-65E5-4CAA-8E59-2CBB33EF7005}"/>
    <cellStyle name="Porcentagem 4 2 9 5" xfId="39331" xr:uid="{5811EDFB-8EB8-441C-AC38-AFF7B7B3F781}"/>
    <cellStyle name="Porcentagem 4 2 9 6" xfId="39332" xr:uid="{15A28C84-FF0C-4A68-8839-A7B5EDEAD6F5}"/>
    <cellStyle name="Porcentagem 4 20" xfId="39333" xr:uid="{D92F8E44-7406-4C99-9F2A-6CD6FE535F5A}"/>
    <cellStyle name="Porcentagem 4 20 2" xfId="39334" xr:uid="{8B517100-E994-41C5-8FB9-2A78136B525A}"/>
    <cellStyle name="Porcentagem 4 20 3" xfId="39335" xr:uid="{F77951C2-AA36-404C-A7D5-CA7BDD1C5693}"/>
    <cellStyle name="Porcentagem 4 20 4" xfId="39336" xr:uid="{6FA08FFC-C92B-4B82-8CBF-4D5D5D59EFE4}"/>
    <cellStyle name="Porcentagem 4 21" xfId="39337" xr:uid="{BEBAE70E-1CBF-44D7-AD04-E149EEFE3EBA}"/>
    <cellStyle name="Porcentagem 4 21 2" xfId="39338" xr:uid="{DFC6F2B1-6337-4315-80B9-750507170627}"/>
    <cellStyle name="Porcentagem 4 21 3" xfId="39339" xr:uid="{B1145E36-D292-4C80-A4B7-0A6CB5801969}"/>
    <cellStyle name="Porcentagem 4 21 4" xfId="39340" xr:uid="{EA4CD1D6-E2B8-49BC-94BC-784EEEEE3869}"/>
    <cellStyle name="Porcentagem 4 22" xfId="39341" xr:uid="{70A42A39-6769-41FF-94F2-30B71A3BFEC6}"/>
    <cellStyle name="Porcentagem 4 22 2" xfId="39342" xr:uid="{39E17EFA-CFF0-47F7-A10B-F67B113E3BE5}"/>
    <cellStyle name="Porcentagem 4 22 3" xfId="39343" xr:uid="{A8061495-ACC8-49AC-85B6-EA2672731C1B}"/>
    <cellStyle name="Porcentagem 4 22 4" xfId="39344" xr:uid="{F7432772-FE96-462E-A035-F103D4787445}"/>
    <cellStyle name="Porcentagem 4 23" xfId="39345" xr:uid="{2B0B94E3-60AA-42CA-BE4F-113E3F1FA81F}"/>
    <cellStyle name="Porcentagem 4 24" xfId="39346" xr:uid="{5D642E87-441F-4555-A347-E016556F97A2}"/>
    <cellStyle name="Porcentagem 4 25" xfId="39347" xr:uid="{B13820C3-ECAA-4A73-BD19-AC5BD0323A66}"/>
    <cellStyle name="Porcentagem 4 3" xfId="1796" xr:uid="{92EFDF6F-96B2-494B-A500-DC829CB81418}"/>
    <cellStyle name="Porcentagem 4 3 10" xfId="39348" xr:uid="{11E96D37-8132-4E88-9AB8-1CF30BA6FDAF}"/>
    <cellStyle name="Porcentagem 4 3 10 2" xfId="39349" xr:uid="{62E81439-DB5A-4D61-947B-F0C3155DC419}"/>
    <cellStyle name="Porcentagem 4 3 10 2 2" xfId="39350" xr:uid="{83E777B6-1F09-4703-89AD-7DE21F36C439}"/>
    <cellStyle name="Porcentagem 4 3 10 2 3" xfId="39351" xr:uid="{A37E51D7-9026-435E-B2C9-83EB7B096300}"/>
    <cellStyle name="Porcentagem 4 3 10 2 4" xfId="39352" xr:uid="{1B09F361-AE36-4CA4-996B-C6A6FFA25792}"/>
    <cellStyle name="Porcentagem 4 3 10 3" xfId="39353" xr:uid="{92436206-9533-4393-B14C-774F919FB611}"/>
    <cellStyle name="Porcentagem 4 3 10 3 2" xfId="39354" xr:uid="{CA4730F8-0172-4545-BA7F-85EEAFB9C992}"/>
    <cellStyle name="Porcentagem 4 3 10 3 3" xfId="39355" xr:uid="{B7701587-8CB2-4CD8-8FB5-983D7C87588C}"/>
    <cellStyle name="Porcentagem 4 3 10 3 4" xfId="39356" xr:uid="{DA1F0A5F-F985-4A1B-B156-EE876748C62E}"/>
    <cellStyle name="Porcentagem 4 3 10 4" xfId="39357" xr:uid="{A486C374-2B56-4F28-936D-7F7434486117}"/>
    <cellStyle name="Porcentagem 4 3 10 5" xfId="39358" xr:uid="{C4A9411E-DFD1-4B54-B434-A83E6330E739}"/>
    <cellStyle name="Porcentagem 4 3 10 6" xfId="39359" xr:uid="{28466D83-AEC9-485B-B57B-57B98959EB3F}"/>
    <cellStyle name="Porcentagem 4 3 11" xfId="39360" xr:uid="{98A9E95D-06AC-4C7E-BD0B-4A71557C9B2D}"/>
    <cellStyle name="Porcentagem 4 3 11 2" xfId="39361" xr:uid="{31A74A40-46E5-4351-9360-E7DDF1B7BBBE}"/>
    <cellStyle name="Porcentagem 4 3 11 2 2" xfId="39362" xr:uid="{3DD70B40-4504-42CC-AC41-BEC35176982B}"/>
    <cellStyle name="Porcentagem 4 3 11 2 3" xfId="39363" xr:uid="{645D99C4-C508-4047-88E3-0B3292CA4617}"/>
    <cellStyle name="Porcentagem 4 3 11 2 4" xfId="39364" xr:uid="{42A8BB7C-8E9D-4841-B7C4-CE69C097C854}"/>
    <cellStyle name="Porcentagem 4 3 11 3" xfId="39365" xr:uid="{066C3880-D5A3-41AA-982D-72007C4D39A3}"/>
    <cellStyle name="Porcentagem 4 3 11 3 2" xfId="39366" xr:uid="{635B6528-8ECD-4E38-8120-744A25B64538}"/>
    <cellStyle name="Porcentagem 4 3 11 3 3" xfId="39367" xr:uid="{A123D4AD-6056-4BBF-9E2C-09E54FC7B951}"/>
    <cellStyle name="Porcentagem 4 3 11 3 4" xfId="39368" xr:uid="{ADCB5F45-C09E-444F-8B5A-919972F76993}"/>
    <cellStyle name="Porcentagem 4 3 11 4" xfId="39369" xr:uid="{D83646BE-4C89-4CFB-9509-FB57C8B6124E}"/>
    <cellStyle name="Porcentagem 4 3 11 5" xfId="39370" xr:uid="{178DEC8B-6439-45FB-A780-480752A2E727}"/>
    <cellStyle name="Porcentagem 4 3 11 6" xfId="39371" xr:uid="{9FB16742-8628-4F2D-8518-68C78E4F1215}"/>
    <cellStyle name="Porcentagem 4 3 12" xfId="39372" xr:uid="{21B6542D-CA62-4F5A-B1C2-DCE3F977D55A}"/>
    <cellStyle name="Porcentagem 4 3 12 2" xfId="39373" xr:uid="{F92F06D4-16F7-4FF4-8E74-22F745E30CD1}"/>
    <cellStyle name="Porcentagem 4 3 12 2 2" xfId="39374" xr:uid="{3C6666BB-C00D-49BF-909E-70A1BE78BABF}"/>
    <cellStyle name="Porcentagem 4 3 12 2 3" xfId="39375" xr:uid="{74ADB795-C26D-4748-9235-7AD467B92A42}"/>
    <cellStyle name="Porcentagem 4 3 12 2 4" xfId="39376" xr:uid="{65B64BA3-BE68-46D3-9BD7-7BD3AD34528C}"/>
    <cellStyle name="Porcentagem 4 3 12 3" xfId="39377" xr:uid="{3B3386CB-7A13-4A0E-8A2E-FDF1577A1314}"/>
    <cellStyle name="Porcentagem 4 3 12 3 2" xfId="39378" xr:uid="{16B62000-7EC3-4B49-A082-890E658ABBC5}"/>
    <cellStyle name="Porcentagem 4 3 12 3 3" xfId="39379" xr:uid="{E7F4EB95-99E1-48D5-BEFA-E1C5CC253B2C}"/>
    <cellStyle name="Porcentagem 4 3 12 3 4" xfId="39380" xr:uid="{91A66305-0E3D-4916-844A-39DE5CE36D08}"/>
    <cellStyle name="Porcentagem 4 3 12 4" xfId="39381" xr:uid="{F8D7FBC0-A4F9-456B-BE58-D289E07BE965}"/>
    <cellStyle name="Porcentagem 4 3 12 5" xfId="39382" xr:uid="{2CF14CC6-C847-43B0-A71C-50CC03A08D2D}"/>
    <cellStyle name="Porcentagem 4 3 12 6" xfId="39383" xr:uid="{9DF0A995-2B36-445C-87B8-DCF40A680197}"/>
    <cellStyle name="Porcentagem 4 3 13" xfId="39384" xr:uid="{3078B89E-4324-40BC-86B5-0F061A2A55F0}"/>
    <cellStyle name="Porcentagem 4 3 13 2" xfId="39385" xr:uid="{25D996C7-A194-416F-A0F3-2118590971A9}"/>
    <cellStyle name="Porcentagem 4 3 13 2 2" xfId="39386" xr:uid="{20CBB369-6E11-4B45-903E-AEA77434D0D7}"/>
    <cellStyle name="Porcentagem 4 3 13 2 3" xfId="39387" xr:uid="{D286AF9A-B211-476B-8532-39B78101773E}"/>
    <cellStyle name="Porcentagem 4 3 13 2 4" xfId="39388" xr:uid="{3E69BCBA-847A-41EF-B0B5-60344A4737F1}"/>
    <cellStyle name="Porcentagem 4 3 13 3" xfId="39389" xr:uid="{FD6A07BE-9B14-41F3-B5A3-6FFBB56F9D52}"/>
    <cellStyle name="Porcentagem 4 3 13 3 2" xfId="39390" xr:uid="{671332E9-0E13-412C-AF93-AA7ED7B830EF}"/>
    <cellStyle name="Porcentagem 4 3 13 3 3" xfId="39391" xr:uid="{BC0A2AEE-2A2A-4ED6-89A0-F04117EF57CD}"/>
    <cellStyle name="Porcentagem 4 3 13 3 4" xfId="39392" xr:uid="{17B86ED3-00F6-4C9E-9716-1E188AB22DA8}"/>
    <cellStyle name="Porcentagem 4 3 13 4" xfId="39393" xr:uid="{1A2ED4DD-FF90-41BA-8D6A-6B403B334FDC}"/>
    <cellStyle name="Porcentagem 4 3 13 5" xfId="39394" xr:uid="{EEC2CD7E-8B25-47BB-87B4-92D2584C80B4}"/>
    <cellStyle name="Porcentagem 4 3 13 6" xfId="39395" xr:uid="{AF1B3605-D77F-4EDD-8259-5330BE57882F}"/>
    <cellStyle name="Porcentagem 4 3 14" xfId="39396" xr:uid="{98B2A68A-9A17-4D45-B444-07603126A9D6}"/>
    <cellStyle name="Porcentagem 4 3 14 2" xfId="39397" xr:uid="{24DCDD0C-3CC2-49F7-A770-E8FE951D6AAA}"/>
    <cellStyle name="Porcentagem 4 3 14 2 2" xfId="39398" xr:uid="{DF2E33BE-976A-4BEF-A2D1-40FB57B6C9A9}"/>
    <cellStyle name="Porcentagem 4 3 14 2 3" xfId="39399" xr:uid="{8AA6E249-701E-43A7-A81B-F5ECE871C642}"/>
    <cellStyle name="Porcentagem 4 3 14 2 4" xfId="39400" xr:uid="{57518C94-54A2-43A2-B5D7-866E1A830C2B}"/>
    <cellStyle name="Porcentagem 4 3 14 3" xfId="39401" xr:uid="{87A24329-E0DE-49EC-9E17-18465BD78614}"/>
    <cellStyle name="Porcentagem 4 3 14 3 2" xfId="39402" xr:uid="{13BDC54C-0B4F-4A84-8D3C-F69F8B0B5C17}"/>
    <cellStyle name="Porcentagem 4 3 14 3 3" xfId="39403" xr:uid="{929C318F-F3F0-4F10-A4BE-9DF1D45854F0}"/>
    <cellStyle name="Porcentagem 4 3 14 3 4" xfId="39404" xr:uid="{872C9D2B-175B-401B-B120-531ECD3EA73F}"/>
    <cellStyle name="Porcentagem 4 3 14 4" xfId="39405" xr:uid="{E963B2B9-BDCF-48EF-8F10-D2DFAE7594E4}"/>
    <cellStyle name="Porcentagem 4 3 14 5" xfId="39406" xr:uid="{CD73F64B-F543-4182-BF9D-67CE90CF261B}"/>
    <cellStyle name="Porcentagem 4 3 14 6" xfId="39407" xr:uid="{19DCC8F7-0369-4B32-AB79-48785F02FA4E}"/>
    <cellStyle name="Porcentagem 4 3 15" xfId="39408" xr:uid="{236AF2B5-9C74-4CC1-8AAD-33AB8C064C7D}"/>
    <cellStyle name="Porcentagem 4 3 15 2" xfId="39409" xr:uid="{35F65386-BB18-414D-98CC-7E2294A50522}"/>
    <cellStyle name="Porcentagem 4 3 15 2 2" xfId="39410" xr:uid="{77132A93-3D49-4F31-B4C6-921202C8320C}"/>
    <cellStyle name="Porcentagem 4 3 15 2 3" xfId="39411" xr:uid="{40F898F0-281E-4ED2-BAD4-6B3391D6A907}"/>
    <cellStyle name="Porcentagem 4 3 15 2 4" xfId="39412" xr:uid="{CFD239A1-6BCE-46D7-BC96-8ED07EAB9900}"/>
    <cellStyle name="Porcentagem 4 3 15 3" xfId="39413" xr:uid="{7BA1B12D-B583-41EF-A5A7-77A2D3E00343}"/>
    <cellStyle name="Porcentagem 4 3 15 3 2" xfId="39414" xr:uid="{8C52838F-BBAA-4331-8418-4E9C1716F2C5}"/>
    <cellStyle name="Porcentagem 4 3 15 3 3" xfId="39415" xr:uid="{BD9A6EAB-29A5-436D-AD98-41B7F066C755}"/>
    <cellStyle name="Porcentagem 4 3 15 3 4" xfId="39416" xr:uid="{D5473814-9E8A-4575-BACB-404355D970A1}"/>
    <cellStyle name="Porcentagem 4 3 15 4" xfId="39417" xr:uid="{B7E2A951-EA37-45F0-AC9C-F9D5D3660872}"/>
    <cellStyle name="Porcentagem 4 3 15 5" xfId="39418" xr:uid="{BECA4E2E-2E68-46E9-AB76-A7D7AE27FAB9}"/>
    <cellStyle name="Porcentagem 4 3 15 6" xfId="39419" xr:uid="{74FD7A4D-8102-4F09-81F6-769438D35678}"/>
    <cellStyle name="Porcentagem 4 3 16" xfId="39420" xr:uid="{661F104E-EFD3-4B33-8A50-A1E017FE7E55}"/>
    <cellStyle name="Porcentagem 4 3 16 2" xfId="39421" xr:uid="{0D2F9A54-D334-4A83-944A-1281C9B47C16}"/>
    <cellStyle name="Porcentagem 4 3 16 2 2" xfId="39422" xr:uid="{48FB733C-42E2-48F8-9433-BCF8B4044130}"/>
    <cellStyle name="Porcentagem 4 3 16 2 3" xfId="39423" xr:uid="{0FDD9EC8-F9B9-4E32-9F22-86469D413C0C}"/>
    <cellStyle name="Porcentagem 4 3 16 2 4" xfId="39424" xr:uid="{6A86B123-537E-436C-B1B6-3837A885E38F}"/>
    <cellStyle name="Porcentagem 4 3 16 3" xfId="39425" xr:uid="{B0249110-4EA0-4222-A1A1-145A19E5A7AB}"/>
    <cellStyle name="Porcentagem 4 3 16 3 2" xfId="39426" xr:uid="{931AD04C-2B60-4BEB-BFE4-02D40E3456D9}"/>
    <cellStyle name="Porcentagem 4 3 16 3 3" xfId="39427" xr:uid="{835F6470-E60D-4BF0-B7EA-853E8E85E3DD}"/>
    <cellStyle name="Porcentagem 4 3 16 3 4" xfId="39428" xr:uid="{4385588F-75AD-4238-BE83-F29FC01E4B5B}"/>
    <cellStyle name="Porcentagem 4 3 16 4" xfId="39429" xr:uid="{466D2F9E-85D2-43CC-B03E-6FF17C6451BA}"/>
    <cellStyle name="Porcentagem 4 3 16 5" xfId="39430" xr:uid="{AAF76CA8-E88D-41C0-A3D6-BCD24D5313E2}"/>
    <cellStyle name="Porcentagem 4 3 16 6" xfId="39431" xr:uid="{8F38E711-9BE7-4A18-9F0D-A8E8F9164DF4}"/>
    <cellStyle name="Porcentagem 4 3 17" xfId="39432" xr:uid="{60695E27-9F1E-4D9F-9B80-A7152F427E8D}"/>
    <cellStyle name="Porcentagem 4 3 17 2" xfId="39433" xr:uid="{B9417C23-92AE-4F60-9A91-68C14EDBDE28}"/>
    <cellStyle name="Porcentagem 4 3 17 2 2" xfId="39434" xr:uid="{C81A0BE0-AE34-4345-B85B-9158693821C5}"/>
    <cellStyle name="Porcentagem 4 3 17 2 3" xfId="39435" xr:uid="{FAAD47FF-B7BA-497B-B310-E85DCB7837EE}"/>
    <cellStyle name="Porcentagem 4 3 17 2 4" xfId="39436" xr:uid="{D39B7060-834A-4759-9A90-7CFA67570BCE}"/>
    <cellStyle name="Porcentagem 4 3 17 3" xfId="39437" xr:uid="{9886A4E9-20C7-4219-ACAE-757009CE0EA5}"/>
    <cellStyle name="Porcentagem 4 3 17 3 2" xfId="39438" xr:uid="{10EA8127-7BBA-429F-87B7-A5F7A2BDC79F}"/>
    <cellStyle name="Porcentagem 4 3 17 3 3" xfId="39439" xr:uid="{BC6DB7B2-6ADD-4927-98E7-767769195808}"/>
    <cellStyle name="Porcentagem 4 3 17 3 4" xfId="39440" xr:uid="{BA65625B-94C1-4CDF-89F7-FD7CB9D79A21}"/>
    <cellStyle name="Porcentagem 4 3 17 4" xfId="39441" xr:uid="{5FCF4F6A-303D-4076-A831-73274DE2C212}"/>
    <cellStyle name="Porcentagem 4 3 17 5" xfId="39442" xr:uid="{EF460E01-870A-43B0-9953-12C1FB6B8DC7}"/>
    <cellStyle name="Porcentagem 4 3 17 6" xfId="39443" xr:uid="{1E247756-369D-4859-8825-9DA6B9424E60}"/>
    <cellStyle name="Porcentagem 4 3 18" xfId="39444" xr:uid="{D4D32B2B-D813-4624-A7A0-CC0A330392F7}"/>
    <cellStyle name="Porcentagem 4 3 18 2" xfId="39445" xr:uid="{CC6682F9-9C31-466A-91B0-92DEA022E0C7}"/>
    <cellStyle name="Porcentagem 4 3 18 3" xfId="39446" xr:uid="{11E7EBC6-401F-42FE-97BA-7DDA780168EF}"/>
    <cellStyle name="Porcentagem 4 3 18 4" xfId="39447" xr:uid="{B1B5EFCC-FB60-4493-86EF-8449EFDEAB61}"/>
    <cellStyle name="Porcentagem 4 3 19" xfId="39448" xr:uid="{47264985-8F26-44DD-85E1-4F8E55976D34}"/>
    <cellStyle name="Porcentagem 4 3 19 2" xfId="39449" xr:uid="{EFB22660-ED76-4B95-B66E-8B4676130423}"/>
    <cellStyle name="Porcentagem 4 3 19 3" xfId="39450" xr:uid="{55DC05D2-857D-41C7-9AB5-8E591CE72C86}"/>
    <cellStyle name="Porcentagem 4 3 19 4" xfId="39451" xr:uid="{A19014BB-B35F-45F3-B85F-609C7F245839}"/>
    <cellStyle name="Porcentagem 4 3 2" xfId="39452" xr:uid="{8E6BCA13-BE51-49A2-B82E-A3F018E5D03D}"/>
    <cellStyle name="Porcentagem 4 3 2 2" xfId="39453" xr:uid="{E126D2F6-89B6-4B71-8E9A-76C33D0244BD}"/>
    <cellStyle name="Porcentagem 4 3 2 2 2" xfId="39454" xr:uid="{27F06C7A-D2FB-4DA3-857D-1284181EAB7A}"/>
    <cellStyle name="Porcentagem 4 3 2 2 3" xfId="39455" xr:uid="{10224534-8940-4408-953D-2B424F3005EC}"/>
    <cellStyle name="Porcentagem 4 3 2 2 4" xfId="39456" xr:uid="{C5E1428A-9995-46F6-B02D-B4B55A7C691B}"/>
    <cellStyle name="Porcentagem 4 3 2 3" xfId="39457" xr:uid="{4A06B202-B60C-4667-924D-816633E3DE53}"/>
    <cellStyle name="Porcentagem 4 3 2 3 2" xfId="39458" xr:uid="{747B3A83-FE61-4791-96D9-99F9071E6D8B}"/>
    <cellStyle name="Porcentagem 4 3 2 3 3" xfId="39459" xr:uid="{3280DEDA-1E19-427A-AF81-40B07C93D554}"/>
    <cellStyle name="Porcentagem 4 3 2 3 4" xfId="39460" xr:uid="{7BBB794C-6F9B-466D-88DE-1334BF04153C}"/>
    <cellStyle name="Porcentagem 4 3 2 4" xfId="39461" xr:uid="{068C0E9C-7768-4556-A82F-2C7C04D075CC}"/>
    <cellStyle name="Porcentagem 4 3 2 5" xfId="39462" xr:uid="{A8941D2F-8887-4C88-819D-57CF6D04F260}"/>
    <cellStyle name="Porcentagem 4 3 2 6" xfId="39463" xr:uid="{7F999447-C881-4DC3-B9AC-79687AF2D993}"/>
    <cellStyle name="Porcentagem 4 3 20" xfId="39464" xr:uid="{AA3FB9E2-72CA-4CD1-9615-8F8BD908CDE6}"/>
    <cellStyle name="Porcentagem 4 3 20 2" xfId="39465" xr:uid="{1CD4852D-ABE4-40E8-8CB6-59033B0160EF}"/>
    <cellStyle name="Porcentagem 4 3 20 3" xfId="39466" xr:uid="{5FD14ED0-B8F8-48F5-A3A9-8AE425D34F02}"/>
    <cellStyle name="Porcentagem 4 3 20 4" xfId="39467" xr:uid="{914C3CFB-726B-4F83-A7F7-60572163E19F}"/>
    <cellStyle name="Porcentagem 4 3 21" xfId="39468" xr:uid="{32C72C96-6535-4CCF-A646-180251BFD029}"/>
    <cellStyle name="Porcentagem 4 3 22" xfId="39469" xr:uid="{EA59ACA4-CB43-469A-AB22-9CA9D3263000}"/>
    <cellStyle name="Porcentagem 4 3 23" xfId="39470" xr:uid="{9785BF4D-7082-4F41-8CBD-C9351005FC88}"/>
    <cellStyle name="Porcentagem 4 3 3" xfId="39471" xr:uid="{83DCF1B5-9A4E-4253-9F90-DB605FEE8A1F}"/>
    <cellStyle name="Porcentagem 4 3 3 2" xfId="39472" xr:uid="{E55517A3-5C46-4F71-AD65-486243592777}"/>
    <cellStyle name="Porcentagem 4 3 3 2 2" xfId="39473" xr:uid="{10FA22B2-6596-45BA-B2F4-6A1FDC702F97}"/>
    <cellStyle name="Porcentagem 4 3 3 2 3" xfId="39474" xr:uid="{C5442FB9-C49B-4D44-9314-C5AC4A82B955}"/>
    <cellStyle name="Porcentagem 4 3 3 2 4" xfId="39475" xr:uid="{238FC18D-0EA6-49F0-97B1-EF0889DE9B3D}"/>
    <cellStyle name="Porcentagem 4 3 3 3" xfId="39476" xr:uid="{E7CAE01D-9FDD-41A3-890C-F4EE0CCED9F3}"/>
    <cellStyle name="Porcentagem 4 3 3 3 2" xfId="39477" xr:uid="{80BFD1F7-14E5-4F84-9AA4-E34A89E9C0B0}"/>
    <cellStyle name="Porcentagem 4 3 3 3 3" xfId="39478" xr:uid="{C6C0381C-34AF-4195-899D-F51C28D7951E}"/>
    <cellStyle name="Porcentagem 4 3 3 3 4" xfId="39479" xr:uid="{805AB9A1-D6BA-4D6D-8E0D-FD11E4CF53A7}"/>
    <cellStyle name="Porcentagem 4 3 3 4" xfId="39480" xr:uid="{7960F54A-DDEC-4B51-A43F-F7DE134F692C}"/>
    <cellStyle name="Porcentagem 4 3 3 5" xfId="39481" xr:uid="{49AB7F05-AF84-4753-811D-2C16794EBC7A}"/>
    <cellStyle name="Porcentagem 4 3 3 6" xfId="39482" xr:uid="{6EFF54A4-0378-4411-B57C-34016E20E9F8}"/>
    <cellStyle name="Porcentagem 4 3 4" xfId="39483" xr:uid="{79805B19-F24E-4880-A62D-092271809B68}"/>
    <cellStyle name="Porcentagem 4 3 4 2" xfId="39484" xr:uid="{5AF4538E-FEE0-405B-A279-BA691DA08541}"/>
    <cellStyle name="Porcentagem 4 3 4 2 2" xfId="39485" xr:uid="{533FF060-DB42-4B0B-9B91-F146ECD9C832}"/>
    <cellStyle name="Porcentagem 4 3 4 2 3" xfId="39486" xr:uid="{1ACA750F-3CAD-4AC3-9DCD-4B45A5A8D2C9}"/>
    <cellStyle name="Porcentagem 4 3 4 2 4" xfId="39487" xr:uid="{45ABBF0F-16E2-46DE-972C-3A749F4C44D4}"/>
    <cellStyle name="Porcentagem 4 3 4 3" xfId="39488" xr:uid="{22067DCA-40F9-4FCD-9533-91147B1E47D9}"/>
    <cellStyle name="Porcentagem 4 3 4 3 2" xfId="39489" xr:uid="{6A0AC87E-E720-4F4E-8B95-1554E9158C53}"/>
    <cellStyle name="Porcentagem 4 3 4 3 3" xfId="39490" xr:uid="{86E4EDD2-8E8D-4F23-802B-678FEC0008BD}"/>
    <cellStyle name="Porcentagem 4 3 4 3 4" xfId="39491" xr:uid="{D456920E-6CBE-4849-810D-6340EC18C686}"/>
    <cellStyle name="Porcentagem 4 3 4 4" xfId="39492" xr:uid="{FD8E0153-5D6A-49F7-9045-73596FD8117C}"/>
    <cellStyle name="Porcentagem 4 3 4 5" xfId="39493" xr:uid="{D8533933-23C0-49D8-BA7E-435D15DF2A74}"/>
    <cellStyle name="Porcentagem 4 3 4 6" xfId="39494" xr:uid="{9A028CD6-10AD-43E4-9C34-2927235354E1}"/>
    <cellStyle name="Porcentagem 4 3 5" xfId="39495" xr:uid="{CE6EE265-42F7-406F-BF2E-8D37E89EA11B}"/>
    <cellStyle name="Porcentagem 4 3 5 2" xfId="39496" xr:uid="{BFADFD46-853F-4F76-B87D-67003F03C392}"/>
    <cellStyle name="Porcentagem 4 3 5 2 2" xfId="39497" xr:uid="{1F9412C9-6D19-49F3-9F89-8EE6F91FFF65}"/>
    <cellStyle name="Porcentagem 4 3 5 2 3" xfId="39498" xr:uid="{D42ACDB9-AFCD-4374-B8E8-3643D6E49AAC}"/>
    <cellStyle name="Porcentagem 4 3 5 2 4" xfId="39499" xr:uid="{370629EC-BCCD-416F-A6C2-504D10F61781}"/>
    <cellStyle name="Porcentagem 4 3 5 3" xfId="39500" xr:uid="{200E7952-0AD0-4078-AD44-A4815825B508}"/>
    <cellStyle name="Porcentagem 4 3 5 3 2" xfId="39501" xr:uid="{39401482-97E6-454C-9E15-9AD35506FF0F}"/>
    <cellStyle name="Porcentagem 4 3 5 3 3" xfId="39502" xr:uid="{88C3C611-03AC-4355-ADE0-29A6E69E08F9}"/>
    <cellStyle name="Porcentagem 4 3 5 3 4" xfId="39503" xr:uid="{87AAD614-6FF3-469E-9203-615E4604DE84}"/>
    <cellStyle name="Porcentagem 4 3 5 4" xfId="39504" xr:uid="{2F9B4928-C0C1-460E-8A7F-3C5A62A5DA5E}"/>
    <cellStyle name="Porcentagem 4 3 5 5" xfId="39505" xr:uid="{4DDE71A5-AC7A-4E98-B18A-5EA2F82590C0}"/>
    <cellStyle name="Porcentagem 4 3 5 6" xfId="39506" xr:uid="{BFD654AD-5892-454A-9314-F622C3EE8671}"/>
    <cellStyle name="Porcentagem 4 3 6" xfId="39507" xr:uid="{1EDFF63F-7AB8-4D70-BEEA-8AC265477C38}"/>
    <cellStyle name="Porcentagem 4 3 6 2" xfId="39508" xr:uid="{BD186DF4-70A6-4A25-A292-D8039FB2C49E}"/>
    <cellStyle name="Porcentagem 4 3 6 2 2" xfId="39509" xr:uid="{690EBE25-5C17-4E25-B2D0-3D51DFA77C8A}"/>
    <cellStyle name="Porcentagem 4 3 6 2 3" xfId="39510" xr:uid="{26089ABF-35A9-49A4-B5D5-64C7E5D80C73}"/>
    <cellStyle name="Porcentagem 4 3 6 2 4" xfId="39511" xr:uid="{DDE01F43-4A30-4191-9E58-FFC0CF7C7570}"/>
    <cellStyle name="Porcentagem 4 3 6 3" xfId="39512" xr:uid="{721E54F0-FB00-4AF7-88FC-2E72D6E63B1E}"/>
    <cellStyle name="Porcentagem 4 3 6 3 2" xfId="39513" xr:uid="{50DA3935-BCE5-453C-A045-2429F56216FC}"/>
    <cellStyle name="Porcentagem 4 3 6 3 3" xfId="39514" xr:uid="{49B41134-888C-48D8-9BB9-E0236951EC2A}"/>
    <cellStyle name="Porcentagem 4 3 6 3 4" xfId="39515" xr:uid="{B1C726E9-99A7-4348-A401-35DDE3566CE7}"/>
    <cellStyle name="Porcentagem 4 3 6 4" xfId="39516" xr:uid="{0AB95D1B-F0EA-4A9C-BAC8-0BC9329F3A4C}"/>
    <cellStyle name="Porcentagem 4 3 6 5" xfId="39517" xr:uid="{EE8620B9-3623-4622-9411-C79DD867BDD4}"/>
    <cellStyle name="Porcentagem 4 3 6 6" xfId="39518" xr:uid="{AEACF534-A89D-4165-BFDE-7C4E392D5A14}"/>
    <cellStyle name="Porcentagem 4 3 7" xfId="39519" xr:uid="{8641A877-9AE4-4C1B-ABF6-6560D107F1A7}"/>
    <cellStyle name="Porcentagem 4 3 7 2" xfId="39520" xr:uid="{900224A1-4449-44BD-A43F-6CAEA558E76B}"/>
    <cellStyle name="Porcentagem 4 3 7 2 2" xfId="39521" xr:uid="{DB3BC646-7827-4A29-BE0C-69461C504DB5}"/>
    <cellStyle name="Porcentagem 4 3 7 2 3" xfId="39522" xr:uid="{C822C753-A4B7-4EF2-BBEC-337563184586}"/>
    <cellStyle name="Porcentagem 4 3 7 2 4" xfId="39523" xr:uid="{5E3F5247-B03A-4035-AAD9-9F4424C57E1A}"/>
    <cellStyle name="Porcentagem 4 3 7 3" xfId="39524" xr:uid="{226E234B-A092-4F35-9BAA-78B01DD01476}"/>
    <cellStyle name="Porcentagem 4 3 7 3 2" xfId="39525" xr:uid="{CBD8D48A-79F9-4485-B27B-A50FD5088110}"/>
    <cellStyle name="Porcentagem 4 3 7 3 3" xfId="39526" xr:uid="{5CCBCBFB-C4CB-4260-9F36-DDAD3C71DFBB}"/>
    <cellStyle name="Porcentagem 4 3 7 3 4" xfId="39527" xr:uid="{4437957D-C657-427C-8AF7-867E22092764}"/>
    <cellStyle name="Porcentagem 4 3 7 4" xfId="39528" xr:uid="{2B2F55AA-FE01-462C-B169-5E5D8401E512}"/>
    <cellStyle name="Porcentagem 4 3 7 5" xfId="39529" xr:uid="{E10485E3-7461-455C-838D-55A4CDEE927E}"/>
    <cellStyle name="Porcentagem 4 3 7 6" xfId="39530" xr:uid="{5C9AFFCA-BCFE-4AEB-92AA-AB810B4AB023}"/>
    <cellStyle name="Porcentagem 4 3 8" xfId="39531" xr:uid="{36D0053F-C11C-4640-8797-BDBDE8D8664A}"/>
    <cellStyle name="Porcentagem 4 3 8 2" xfId="39532" xr:uid="{27BFCBA7-B80A-4E02-9114-3A277DE3B97F}"/>
    <cellStyle name="Porcentagem 4 3 8 2 2" xfId="39533" xr:uid="{5CC2FDFF-DA90-4F19-828A-7654A6B0E5B5}"/>
    <cellStyle name="Porcentagem 4 3 8 2 3" xfId="39534" xr:uid="{96179CCF-BD65-4186-B87A-2D783190A5A7}"/>
    <cellStyle name="Porcentagem 4 3 8 2 4" xfId="39535" xr:uid="{65BF9AF5-E137-40AE-A719-2EB59031B03F}"/>
    <cellStyle name="Porcentagem 4 3 8 3" xfId="39536" xr:uid="{20806D5B-9698-4ACD-94C7-1F17282A77F7}"/>
    <cellStyle name="Porcentagem 4 3 8 3 2" xfId="39537" xr:uid="{08D477CD-DA7F-4DF3-B7E1-A98C57D02283}"/>
    <cellStyle name="Porcentagem 4 3 8 3 3" xfId="39538" xr:uid="{0C32FE15-4989-460E-975A-05E879193F30}"/>
    <cellStyle name="Porcentagem 4 3 8 3 4" xfId="39539" xr:uid="{A6152B1A-B912-4973-A989-C642734D55F7}"/>
    <cellStyle name="Porcentagem 4 3 8 4" xfId="39540" xr:uid="{B656BB4E-254A-44EF-99C7-A48570E732D3}"/>
    <cellStyle name="Porcentagem 4 3 8 5" xfId="39541" xr:uid="{330D0896-19B0-4589-A81B-4EFE430F5EA2}"/>
    <cellStyle name="Porcentagem 4 3 8 6" xfId="39542" xr:uid="{8B8646E6-CF01-4878-A551-E406904F7A28}"/>
    <cellStyle name="Porcentagem 4 3 9" xfId="39543" xr:uid="{FDC0F2F8-6612-476B-807D-4921D5410D80}"/>
    <cellStyle name="Porcentagem 4 3 9 2" xfId="39544" xr:uid="{5CCC9E31-8401-4862-8215-1944ED9EE6F4}"/>
    <cellStyle name="Porcentagem 4 3 9 2 2" xfId="39545" xr:uid="{2DB5CF2A-30C6-495B-9C69-1905F09CDE5A}"/>
    <cellStyle name="Porcentagem 4 3 9 2 3" xfId="39546" xr:uid="{9335E2C2-442D-4A5E-9B6A-1DB80F7BE0FB}"/>
    <cellStyle name="Porcentagem 4 3 9 2 4" xfId="39547" xr:uid="{1A3FAD8D-D8DA-4D3F-A014-C3D454BFB14A}"/>
    <cellStyle name="Porcentagem 4 3 9 3" xfId="39548" xr:uid="{EB255712-99F6-48AE-A9F8-00910CC4AD6D}"/>
    <cellStyle name="Porcentagem 4 3 9 3 2" xfId="39549" xr:uid="{2C6D7AA5-FF3E-4A24-AFD2-71C4730D6D38}"/>
    <cellStyle name="Porcentagem 4 3 9 3 3" xfId="39550" xr:uid="{703E4991-6764-4705-B454-565B38AC398E}"/>
    <cellStyle name="Porcentagem 4 3 9 3 4" xfId="39551" xr:uid="{1C100A92-33E2-45EE-9EEE-4D937435FAA4}"/>
    <cellStyle name="Porcentagem 4 3 9 4" xfId="39552" xr:uid="{8D4A44F4-5144-4F59-A407-9D83B7C20709}"/>
    <cellStyle name="Porcentagem 4 3 9 5" xfId="39553" xr:uid="{5FC9ECFC-4053-48F3-A106-F741269CBCF7}"/>
    <cellStyle name="Porcentagem 4 3 9 6" xfId="39554" xr:uid="{B98DC437-057F-4678-BE0C-9C60013983FC}"/>
    <cellStyle name="Porcentagem 4 4" xfId="39555" xr:uid="{1EB4AD35-AC31-4E8E-AA0A-7D51F5DC44B8}"/>
    <cellStyle name="Porcentagem 4 4 2" xfId="39556" xr:uid="{144BA19A-87F1-4E9F-88CC-FD9A419660A1}"/>
    <cellStyle name="Porcentagem 4 4 2 2" xfId="39557" xr:uid="{40010700-35F3-440E-A261-26FD10D6BE07}"/>
    <cellStyle name="Porcentagem 4 4 2 3" xfId="39558" xr:uid="{434BC22D-FDBF-4DCB-99C4-9F4588D717CB}"/>
    <cellStyle name="Porcentagem 4 4 2 4" xfId="39559" xr:uid="{F1F0A259-A257-4EE1-8AD9-245D3B8BA156}"/>
    <cellStyle name="Porcentagem 4 4 3" xfId="39560" xr:uid="{10B2E0D5-ECAC-4612-A010-BA3EDB199151}"/>
    <cellStyle name="Porcentagem 4 4 3 2" xfId="39561" xr:uid="{1740E7A4-81D8-490C-B226-2E2A1DB78EB6}"/>
    <cellStyle name="Porcentagem 4 4 3 3" xfId="39562" xr:uid="{4B3AB315-C4E1-4836-88E2-D32CCAA97408}"/>
    <cellStyle name="Porcentagem 4 4 3 4" xfId="39563" xr:uid="{3AEB574A-4A60-4B17-B4FA-F767493E240C}"/>
    <cellStyle name="Porcentagem 4 4 4" xfId="39564" xr:uid="{E9294CC8-B150-443F-AEE1-2122B582AA96}"/>
    <cellStyle name="Porcentagem 4 4 5" xfId="39565" xr:uid="{9EC51EE6-3064-4FF7-8A7A-F94F929F6EB9}"/>
    <cellStyle name="Porcentagem 4 4 6" xfId="39566" xr:uid="{E8E5D395-3E81-4A10-949B-4FA3C95215C2}"/>
    <cellStyle name="Porcentagem 4 5" xfId="39567" xr:uid="{F2F262AC-C672-454F-B47A-3627FB15888B}"/>
    <cellStyle name="Porcentagem 4 5 2" xfId="39568" xr:uid="{F66A8C70-1363-4FDE-99BF-4A27A7C4A09E}"/>
    <cellStyle name="Porcentagem 4 5 2 2" xfId="39569" xr:uid="{8B849EFC-6F12-4B87-849C-A4AE96FA3F81}"/>
    <cellStyle name="Porcentagem 4 5 2 3" xfId="39570" xr:uid="{0DA87236-2347-4DD2-95B6-230FD26B30CD}"/>
    <cellStyle name="Porcentagem 4 5 2 4" xfId="39571" xr:uid="{73339E8C-CAA6-44B9-927E-BFAD274615E6}"/>
    <cellStyle name="Porcentagem 4 5 3" xfId="39572" xr:uid="{CD2F9C2C-1C91-4F54-BD84-05C32CD91EE9}"/>
    <cellStyle name="Porcentagem 4 5 3 2" xfId="39573" xr:uid="{D96DDD6A-4B9C-43F1-902E-FECC9155CE71}"/>
    <cellStyle name="Porcentagem 4 5 3 3" xfId="39574" xr:uid="{0F6E2A07-ABC5-44B8-87B5-FB859428BC3E}"/>
    <cellStyle name="Porcentagem 4 5 3 4" xfId="39575" xr:uid="{E8C277DF-6A59-4F86-86BD-F5AF7537E789}"/>
    <cellStyle name="Porcentagem 4 5 4" xfId="39576" xr:uid="{582A8978-A69C-4E14-A7AA-B89B1CB6E72C}"/>
    <cellStyle name="Porcentagem 4 5 5" xfId="39577" xr:uid="{FD9BDE53-D855-4594-BB76-EAE351CD69E6}"/>
    <cellStyle name="Porcentagem 4 5 6" xfId="39578" xr:uid="{C87D1586-A3B5-47BE-A52E-53CCE1B17190}"/>
    <cellStyle name="Porcentagem 4 6" xfId="39579" xr:uid="{E113C30D-2AB3-49F0-8701-3D59F2A2850A}"/>
    <cellStyle name="Porcentagem 4 6 2" xfId="39580" xr:uid="{4294ED74-F4A8-4978-ACA6-C45DE6292CD4}"/>
    <cellStyle name="Porcentagem 4 6 2 2" xfId="39581" xr:uid="{DC385049-80FA-426C-AB43-D665AA868C65}"/>
    <cellStyle name="Porcentagem 4 6 2 3" xfId="39582" xr:uid="{7813D6BB-178C-4E18-9B8F-8F8E5077B3A0}"/>
    <cellStyle name="Porcentagem 4 6 2 4" xfId="39583" xr:uid="{4B28612C-3E42-485B-912E-CB991B5552CC}"/>
    <cellStyle name="Porcentagem 4 6 3" xfId="39584" xr:uid="{B05AA7E8-83C1-45A2-A891-A0730B978B21}"/>
    <cellStyle name="Porcentagem 4 6 3 2" xfId="39585" xr:uid="{67B64A4B-AB3A-4F36-B845-EC7705A0C76D}"/>
    <cellStyle name="Porcentagem 4 6 3 3" xfId="39586" xr:uid="{3708659C-29B0-4509-9637-3F21B936DE5E}"/>
    <cellStyle name="Porcentagem 4 6 3 4" xfId="39587" xr:uid="{699BE4D1-CBAA-4040-AEF5-AA74AFE58069}"/>
    <cellStyle name="Porcentagem 4 6 4" xfId="39588" xr:uid="{0FB8E8E4-B17C-4364-AEBE-DB0729E47F45}"/>
    <cellStyle name="Porcentagem 4 6 5" xfId="39589" xr:uid="{C18E030D-7895-4327-BA60-A49EE185CEB2}"/>
    <cellStyle name="Porcentagem 4 6 6" xfId="39590" xr:uid="{99B4C4E2-8949-413F-B8BE-BAAF5FE6AC57}"/>
    <cellStyle name="Porcentagem 4 7" xfId="39591" xr:uid="{A0DCD93C-952A-4013-9740-0340458593A8}"/>
    <cellStyle name="Porcentagem 4 7 2" xfId="39592" xr:uid="{F9498108-A15E-4836-A76E-4D4F1CBAE077}"/>
    <cellStyle name="Porcentagem 4 7 2 2" xfId="39593" xr:uid="{15AA0BAC-30E6-4FD5-9BB8-D86799055105}"/>
    <cellStyle name="Porcentagem 4 7 2 3" xfId="39594" xr:uid="{B556FAB3-C15E-4578-9EA8-362A4C32CF45}"/>
    <cellStyle name="Porcentagem 4 7 2 4" xfId="39595" xr:uid="{2451B24C-1C6A-4BBC-8144-6DE85747C51C}"/>
    <cellStyle name="Porcentagem 4 7 3" xfId="39596" xr:uid="{CE6CAAA5-3A93-4CA5-8DAC-BD3B703E43D5}"/>
    <cellStyle name="Porcentagem 4 7 3 2" xfId="39597" xr:uid="{9AEF3EB9-F9C8-4F80-A36D-BCDE421D4B94}"/>
    <cellStyle name="Porcentagem 4 7 3 3" xfId="39598" xr:uid="{7F7DC973-BD13-41AA-BFC0-7C5F7BB87D4D}"/>
    <cellStyle name="Porcentagem 4 7 3 4" xfId="39599" xr:uid="{D1C32786-C682-4290-8DF1-9072F7BB5A46}"/>
    <cellStyle name="Porcentagem 4 7 4" xfId="39600" xr:uid="{50DFF468-D2D1-4A38-9669-5B9568AAC2A9}"/>
    <cellStyle name="Porcentagem 4 7 5" xfId="39601" xr:uid="{CD7D71B6-3825-4B6B-8923-49B657CB910D}"/>
    <cellStyle name="Porcentagem 4 7 6" xfId="39602" xr:uid="{4CC26F46-2C2A-4B9A-95E1-5052C4C44099}"/>
    <cellStyle name="Porcentagem 4 8" xfId="39603" xr:uid="{579FD730-4202-4B54-B673-C2389A90672E}"/>
    <cellStyle name="Porcentagem 4 8 2" xfId="39604" xr:uid="{E558DF97-A62B-49E3-BD64-F7A7645BBB64}"/>
    <cellStyle name="Porcentagem 4 8 2 2" xfId="39605" xr:uid="{8DB64B75-4A15-42F3-BB47-F8EF72B18B88}"/>
    <cellStyle name="Porcentagem 4 8 2 3" xfId="39606" xr:uid="{2267B05A-7DB5-4263-B0C0-1D9F0A78E14E}"/>
    <cellStyle name="Porcentagem 4 8 2 4" xfId="39607" xr:uid="{83BC1128-8114-43CE-83C9-900F991D93EC}"/>
    <cellStyle name="Porcentagem 4 8 3" xfId="39608" xr:uid="{58FA1D45-4C67-4B5D-B546-A37813B5926E}"/>
    <cellStyle name="Porcentagem 4 8 3 2" xfId="39609" xr:uid="{C25EB06E-DC9F-4C1C-9DAE-8A4C7AA04974}"/>
    <cellStyle name="Porcentagem 4 8 3 3" xfId="39610" xr:uid="{FC480C84-1B71-4A86-805D-ED84740A02A5}"/>
    <cellStyle name="Porcentagem 4 8 3 4" xfId="39611" xr:uid="{950155C2-CC6D-489E-AFA0-0C79332DB265}"/>
    <cellStyle name="Porcentagem 4 8 4" xfId="39612" xr:uid="{DEFB220D-4C40-4C39-BC2C-8DFA19905954}"/>
    <cellStyle name="Porcentagem 4 8 5" xfId="39613" xr:uid="{DC09AF2C-4821-4C7A-986F-61DB906D2612}"/>
    <cellStyle name="Porcentagem 4 8 6" xfId="39614" xr:uid="{EB6A8536-F04B-45B2-AF37-778A7305C639}"/>
    <cellStyle name="Porcentagem 4 9" xfId="39615" xr:uid="{2A1CC1CC-214E-40E3-A24B-F3599442EBE8}"/>
    <cellStyle name="Porcentagem 4 9 2" xfId="39616" xr:uid="{040AEB5F-F8C5-40AA-866E-1785FE70507E}"/>
    <cellStyle name="Porcentagem 4 9 2 2" xfId="39617" xr:uid="{A21CA531-184B-4273-86DC-2675E0F540B9}"/>
    <cellStyle name="Porcentagem 4 9 2 3" xfId="39618" xr:uid="{3443C3E7-F522-47F2-9D15-0F3115F7CB30}"/>
    <cellStyle name="Porcentagem 4 9 2 4" xfId="39619" xr:uid="{4CA3FEF4-DBDE-4240-B983-247FD3EED467}"/>
    <cellStyle name="Porcentagem 4 9 3" xfId="39620" xr:uid="{C9070775-AF69-403A-92C5-389E1D5F5A14}"/>
    <cellStyle name="Porcentagem 4 9 3 2" xfId="39621" xr:uid="{F3CFF4F8-4A8A-4A48-84F9-F56F2C35AEC8}"/>
    <cellStyle name="Porcentagem 4 9 3 3" xfId="39622" xr:uid="{07BAE5C5-E444-47C6-828B-C2BDAF1869AF}"/>
    <cellStyle name="Porcentagem 4 9 3 4" xfId="39623" xr:uid="{02A84253-EBA4-4880-8A22-F38AE263D74A}"/>
    <cellStyle name="Porcentagem 4 9 4" xfId="39624" xr:uid="{159E9B95-DFB2-4C7B-81F9-D9581642F222}"/>
    <cellStyle name="Porcentagem 4 9 5" xfId="39625" xr:uid="{17FA9680-FE90-496F-8BC4-81B82283B3BE}"/>
    <cellStyle name="Porcentagem 4 9 6" xfId="39626" xr:uid="{B3A0A651-7AC5-4D2E-B332-381580D5487C}"/>
    <cellStyle name="Porcentagem 5" xfId="1133" xr:uid="{4CDC0844-64B5-4CD8-997A-388EAEE8351E}"/>
    <cellStyle name="Porcentagem 5 2" xfId="1134" xr:uid="{79E73F26-24DC-4E91-ADF7-90A7926DC5B2}"/>
    <cellStyle name="Porcentagem 5 2 2" xfId="39627" xr:uid="{BC2387B4-6D63-4084-818F-9CDEEC1B2AD0}"/>
    <cellStyle name="Porcentagem 5 3" xfId="39628" xr:uid="{7AEC04C8-8B4B-4F1C-AEAE-46A468CFF63B}"/>
    <cellStyle name="Porcentagem 5 3 2" xfId="39629" xr:uid="{F03D8E1C-DE5D-4058-A273-64F8DB9758AA}"/>
    <cellStyle name="Porcentagem 5 4" xfId="39630" xr:uid="{0A1627AB-B10F-4D00-9C8E-53D0991C0913}"/>
    <cellStyle name="Porcentagem 5 5" xfId="39631" xr:uid="{0B728FD4-E177-4C09-BBBA-8552A24924D4}"/>
    <cellStyle name="Porcentagem 5 6" xfId="42561" xr:uid="{C4031EF8-A999-491D-A43F-A095257F3E2F}"/>
    <cellStyle name="Porcentagem 6" xfId="1135" xr:uid="{5A1C1BAF-232C-405B-B7F1-60D0FE6E1E35}"/>
    <cellStyle name="Porcentagem 6 2" xfId="1691" xr:uid="{6DA25E0A-EADA-46AE-9B23-1F81196D61CC}"/>
    <cellStyle name="Porcentagem 6 3" xfId="39632" xr:uid="{F316C0E3-1FD0-4317-8411-8CDE1570A2AA}"/>
    <cellStyle name="Porcentagem 6 4" xfId="39633" xr:uid="{E02B16A8-CA4C-4141-969B-2BF0EFF383F9}"/>
    <cellStyle name="Porcentagem 7" xfId="1136" xr:uid="{A5738742-9FDB-464D-81E5-2EC04AF15BE0}"/>
    <cellStyle name="Porcentagem 7 2" xfId="1496" xr:uid="{E349123F-2E6B-4BC2-A888-E61524EDC382}"/>
    <cellStyle name="Porcentagem 8" xfId="1137" xr:uid="{F9563DA9-5B58-4977-9DC1-BF1DA907D354}"/>
    <cellStyle name="Porcentagem 8 2" xfId="39634" xr:uid="{DA24F454-2EC2-4075-A672-B76B8C23B8C2}"/>
    <cellStyle name="Porcentagem 9" xfId="1138" xr:uid="{8BE3BB98-9A7D-4F00-A318-B497BDC61319}"/>
    <cellStyle name="Porcentagem 9 2" xfId="43792" xr:uid="{438ECFD8-07E2-4DB9-B3D3-7358C6697B2F}"/>
    <cellStyle name="Porcentaje" xfId="39635" xr:uid="{93D4A1A0-F584-4957-84F8-94D2867016FF}"/>
    <cellStyle name="Porcentual 2" xfId="1139" xr:uid="{90B0D6C0-5FAF-40C9-A5BE-676E0B34D7EB}"/>
    <cellStyle name="Porcentual 2 10" xfId="39636" xr:uid="{99B4304B-0487-424D-9C69-FA42062DC48D}"/>
    <cellStyle name="Porcentual 2 11" xfId="39637" xr:uid="{B751CAB8-0AFB-48C2-99BF-E00355CC164F}"/>
    <cellStyle name="Porcentual 2 12" xfId="39638" xr:uid="{7A9675CE-3F2C-4C3F-A406-B88B013A69CE}"/>
    <cellStyle name="Porcentual 2 13" xfId="39639" xr:uid="{0E0338B7-AC3C-4009-88E6-03AC969181F6}"/>
    <cellStyle name="Porcentual 2 14" xfId="39640" xr:uid="{E1625540-09D2-4C2F-9B47-47222F141A1C}"/>
    <cellStyle name="Porcentual 2 15" xfId="39641" xr:uid="{C10302EE-25EA-4017-8599-717D703BDDCB}"/>
    <cellStyle name="Porcentual 2 16" xfId="39642" xr:uid="{CD0F4521-FD5D-4552-B3DF-16F57150F5B6}"/>
    <cellStyle name="Porcentual 2 17" xfId="39643" xr:uid="{8814258D-A8D4-4092-A52C-F2F9D731FB5D}"/>
    <cellStyle name="Porcentual 2 18" xfId="39644" xr:uid="{61CE1FC1-E959-483E-8444-88A7D7E99993}"/>
    <cellStyle name="Porcentual 2 19" xfId="39645" xr:uid="{445F1F5E-1604-4EB1-8A58-42CA70996642}"/>
    <cellStyle name="Porcentual 2 2" xfId="39646" xr:uid="{C43BD031-E063-4D1D-9B16-6D7FA7DCAEC2}"/>
    <cellStyle name="Porcentual 2 20" xfId="39647" xr:uid="{DAE47DF7-5EBE-4B9B-8516-294AE2BD0F28}"/>
    <cellStyle name="Porcentual 2 21" xfId="39648" xr:uid="{6303B96F-8FAB-4AE1-AD71-608F306908C1}"/>
    <cellStyle name="Porcentual 2 22" xfId="39649" xr:uid="{3709CF44-093C-400C-A7B1-61B7734FD228}"/>
    <cellStyle name="Porcentual 2 23" xfId="39650" xr:uid="{D3BA9B4F-16DE-4AF7-9B65-2B8E607B4F54}"/>
    <cellStyle name="Porcentual 2 24" xfId="39651" xr:uid="{81CE9CEC-AA4E-419A-8A03-1CC6686AFE7B}"/>
    <cellStyle name="Porcentual 2 25" xfId="39652" xr:uid="{80E13627-2145-426D-B13C-3C139C6570FE}"/>
    <cellStyle name="Porcentual 2 3" xfId="39653" xr:uid="{5CA9D234-37DB-4C31-A447-FEC311F3E434}"/>
    <cellStyle name="Porcentual 2 4" xfId="39654" xr:uid="{5310FDE9-040B-4D40-897F-5B6D47FD1B14}"/>
    <cellStyle name="Porcentual 2 5" xfId="39655" xr:uid="{890044DC-D00F-47CB-B67B-C178C6149318}"/>
    <cellStyle name="Porcentual 2 6" xfId="39656" xr:uid="{C44B03EF-8DFD-4FEA-A2B3-FE8A79F00A82}"/>
    <cellStyle name="Porcentual 2 7" xfId="39657" xr:uid="{C5BCAD43-C3B9-40FD-ACAB-637F1A1EE156}"/>
    <cellStyle name="Porcentual 2 8" xfId="39658" xr:uid="{01BB213E-A72A-433C-B3D6-E332551E271E}"/>
    <cellStyle name="Porcentual 2 9" xfId="39659" xr:uid="{029EF2B2-6360-4954-8498-FE398CF66907}"/>
    <cellStyle name="Porcentual 3" xfId="1140" xr:uid="{E91A27E3-39BE-4EEB-8173-D39C40545BA8}"/>
    <cellStyle name="Porcentual 3 10" xfId="39660" xr:uid="{70BEDFBE-A738-40E1-8705-E439FA06414F}"/>
    <cellStyle name="Porcentual 3 11" xfId="39661" xr:uid="{C35E71EB-AA0D-47B8-A129-06C5D9BD786A}"/>
    <cellStyle name="Porcentual 3 12" xfId="39662" xr:uid="{366FD454-A5B9-46C7-95DF-6044BA5A4A17}"/>
    <cellStyle name="Porcentual 3 13" xfId="39663" xr:uid="{A881078E-2EC8-4B4D-BE04-0ED8EA4F69EE}"/>
    <cellStyle name="Porcentual 3 14" xfId="39664" xr:uid="{E3CC5ED5-0CFF-450D-9AB2-72A7A05AEF41}"/>
    <cellStyle name="Porcentual 3 15" xfId="39665" xr:uid="{4D7DE92E-EC67-46DD-AAFF-B08D78207128}"/>
    <cellStyle name="Porcentual 3 16" xfId="39666" xr:uid="{C151104C-7471-4104-812C-D1F5B448F10C}"/>
    <cellStyle name="Porcentual 3 17" xfId="39667" xr:uid="{91235BB1-966D-4AE7-A3BF-AFB808E046CF}"/>
    <cellStyle name="Porcentual 3 18" xfId="39668" xr:uid="{1FF42E6A-DD68-4BE7-A492-D55B367A21BD}"/>
    <cellStyle name="Porcentual 3 19" xfId="39669" xr:uid="{A644DDEB-A7C1-4DA2-9A50-AB595DAFACD3}"/>
    <cellStyle name="Porcentual 3 2" xfId="39670" xr:uid="{620730C6-A85D-4594-B381-40D37513E17A}"/>
    <cellStyle name="Porcentual 3 20" xfId="39671" xr:uid="{0370A46C-455F-4726-BB44-FBAEDD5371B9}"/>
    <cellStyle name="Porcentual 3 21" xfId="39672" xr:uid="{3CDF7517-C9F2-432C-BB3A-8EE9A3096E90}"/>
    <cellStyle name="Porcentual 3 22" xfId="39673" xr:uid="{5CFAA424-7C1A-4803-BCE1-F26CFB7FCA55}"/>
    <cellStyle name="Porcentual 3 23" xfId="39674" xr:uid="{D8FB4AAF-1CC2-4F34-8E78-E3AB8E1D8059}"/>
    <cellStyle name="Porcentual 3 24" xfId="39675" xr:uid="{CE55A3ED-3331-404F-88CF-0330D2D1C15F}"/>
    <cellStyle name="Porcentual 3 25" xfId="39676" xr:uid="{FCE88FBC-3251-4641-9474-24BD5AD1CB87}"/>
    <cellStyle name="Porcentual 3 3" xfId="39677" xr:uid="{D71E4E93-2DDF-4608-BC3F-8DF86FC1B982}"/>
    <cellStyle name="Porcentual 3 4" xfId="39678" xr:uid="{B168B0DF-0E11-4789-B413-5072A06CB06E}"/>
    <cellStyle name="Porcentual 3 5" xfId="39679" xr:uid="{7708C1B2-26ED-4708-82C0-E8D670F503C2}"/>
    <cellStyle name="Porcentual 3 6" xfId="39680" xr:uid="{2E9BE00A-DCF2-45D0-865A-0F95965D671A}"/>
    <cellStyle name="Porcentual 3 7" xfId="39681" xr:uid="{4A0CE5F0-053A-4CA1-9C1B-7F85C87C29C7}"/>
    <cellStyle name="Porcentual 3 8" xfId="39682" xr:uid="{4CA489EA-0F54-41D9-ACD4-0C491C4BAFAF}"/>
    <cellStyle name="Porcentual 3 9" xfId="39683" xr:uid="{B547EAC7-91A5-489A-9E3D-00B9EF10B581}"/>
    <cellStyle name="Porcentual_Cálculo del FC" xfId="1692" xr:uid="{7C27C8AA-3355-4E3A-A333-AAB6F2088BC0}"/>
    <cellStyle name="Pourcentage_TEMPTRAN" xfId="39684" xr:uid="{1FAF3325-5472-49F4-B3F9-DDA7D8AEBAB0}"/>
    <cellStyle name="Premissas" xfId="874" xr:uid="{E82AB4C4-1CA2-4473-8C77-AC2E2C8DEB3A}"/>
    <cellStyle name="Premissas 10" xfId="43793" xr:uid="{7DD25B38-2FE0-485C-A80B-E0258AEF3B02}"/>
    <cellStyle name="Premissas 11" xfId="43794" xr:uid="{1AB7872E-A1B1-4AAF-9D8F-F5B456BFAE7F}"/>
    <cellStyle name="Premissas 12" xfId="43795" xr:uid="{710AB03E-46EA-4B7E-B555-12E2ABEC4428}"/>
    <cellStyle name="Premissas 13" xfId="43796" xr:uid="{4F7FFA64-87E8-42DD-86C5-A847A3E1FC47}"/>
    <cellStyle name="Premissas 14" xfId="43797" xr:uid="{301BDA64-CE69-4AFE-8D55-CEA323EB84E0}"/>
    <cellStyle name="Premissas 15" xfId="43798" xr:uid="{3A91049A-A917-4DA5-8385-45137AFB7A88}"/>
    <cellStyle name="Premissas 16" xfId="43799" xr:uid="{8F68645B-5D3B-4CE2-812B-1CEE8BABD58C}"/>
    <cellStyle name="Premissas 17" xfId="43800" xr:uid="{5364082F-F7E6-43C9-AAC4-C14E45319581}"/>
    <cellStyle name="Premissas 18" xfId="43801" xr:uid="{DB2EB2B2-339B-448F-8B78-F9AF30F8D593}"/>
    <cellStyle name="Premissas 19" xfId="43802" xr:uid="{528B4B8F-E862-4636-AC9A-F234929099EF}"/>
    <cellStyle name="Premissas 2" xfId="1141" xr:uid="{E35C1A19-95AD-4AE8-B2A3-B26C4743AFAA}"/>
    <cellStyle name="Premissas 20" xfId="43803" xr:uid="{7547E388-5C44-40F1-87FF-F6E31CD50267}"/>
    <cellStyle name="Premissas 21" xfId="43804" xr:uid="{37DFD652-9464-4EF4-9C04-AABAF1A11B2E}"/>
    <cellStyle name="Premissas 22" xfId="43805" xr:uid="{F5266B59-E9D1-4E9C-ADDC-2AC95A1F9DF6}"/>
    <cellStyle name="Premissas 23" xfId="43806" xr:uid="{AEA9D2D5-9F91-4D40-8929-8F1BF6767988}"/>
    <cellStyle name="Premissas 24" xfId="43807" xr:uid="{57D6E7E5-A0FC-4479-B315-D6E2D687BC92}"/>
    <cellStyle name="Premissas 25" xfId="43808" xr:uid="{CB9CE368-AA8E-47A2-9FB4-0FA750F53121}"/>
    <cellStyle name="Premissas 26" xfId="43809" xr:uid="{2D70A9A5-A1C6-4F57-95A2-C22C95D807D2}"/>
    <cellStyle name="Premissas 27" xfId="43810" xr:uid="{718E5B48-A870-4346-85E8-5A2DBF570BD0}"/>
    <cellStyle name="Premissas 28" xfId="43811" xr:uid="{DFD55E3D-DA52-4A7E-95DC-517EFD9DC894}"/>
    <cellStyle name="Premissas 3" xfId="39685" xr:uid="{14874F8F-F560-4CF8-A073-6526D593161C}"/>
    <cellStyle name="Premissas 4" xfId="39686" xr:uid="{08351E2E-9D24-4878-9387-8962542E7766}"/>
    <cellStyle name="Premissas 5" xfId="39687" xr:uid="{9B98E96D-4348-4212-8682-00F5929B0E56}"/>
    <cellStyle name="Premissas 6" xfId="39688" xr:uid="{A12E4E5C-8856-4F2A-B92C-8C02C7213A46}"/>
    <cellStyle name="Premissas 7" xfId="39689" xr:uid="{E4BF7C66-1275-4FF0-B5C5-2B0ACFD83B8B}"/>
    <cellStyle name="Premissas 8" xfId="39690" xr:uid="{49EC5F08-C1E2-485A-84F0-1DC3A481F2D5}"/>
    <cellStyle name="Premissas 9" xfId="39691" xr:uid="{64730D1E-EC1F-4FF1-8915-F20317FBA03C}"/>
    <cellStyle name="PrePop Currency (0)" xfId="875" xr:uid="{78CA2D3C-7A3A-4DE9-9246-E43188E22BB5}"/>
    <cellStyle name="PrePop Currency (0) 2" xfId="1142" xr:uid="{CE955FBE-9F1D-4F19-8151-8A545076D9BA}"/>
    <cellStyle name="PrePop Currency (0) 3" xfId="39692" xr:uid="{D1F9C7AF-BD16-4A0D-B8A9-54A6D1B27F1A}"/>
    <cellStyle name="PrePop Currency (0)_IRT_Planilha Básica_ v2010_CERRP" xfId="1797" xr:uid="{D6E90294-874D-464C-8D3A-DFD4BF6ED286}"/>
    <cellStyle name="PrePop Currency (2)" xfId="876" xr:uid="{7408605A-4BA1-475D-A8BE-B0CFE7E59EDD}"/>
    <cellStyle name="PrePop Units (0)" xfId="877" xr:uid="{85298115-5167-4B24-AD16-22FCCA6D7AE9}"/>
    <cellStyle name="PrePop Units (0) 2" xfId="1143" xr:uid="{E2828FAE-71B3-4FC0-BF44-40CE237593DB}"/>
    <cellStyle name="PrePop Units (0) 3" xfId="39693" xr:uid="{A72615E1-92EB-4E68-89DD-3D14F3BB7818}"/>
    <cellStyle name="PrePop Units (0)_IRT_Planilha Básica_ v2010_CERRP" xfId="1798" xr:uid="{5350B304-C37B-48EA-A501-768E02A0B876}"/>
    <cellStyle name="PrePop Units (1)" xfId="878" xr:uid="{533C34B0-87F6-46FD-B54B-130B70A0403E}"/>
    <cellStyle name="PrePop Units (1) 2" xfId="1144" xr:uid="{F2C1B257-05FD-42A7-9146-F870DED7AB14}"/>
    <cellStyle name="PrePop Units (1) 3" xfId="39694" xr:uid="{EF235EB4-4846-41F7-A66B-C1A325548A77}"/>
    <cellStyle name="PrePop Units (1)_IRT_Planilha Básica_ v2010_CERRP" xfId="1799" xr:uid="{A972E8B8-12CD-4154-8222-32EF942E7AAA}"/>
    <cellStyle name="PrePop Units (2)" xfId="879" xr:uid="{0A2DB0A7-6D8C-428D-B274-70083BBD855F}"/>
    <cellStyle name="Price_Body" xfId="39695" xr:uid="{57B8E713-2D0D-44B8-8A20-EE7ABC50134B}"/>
    <cellStyle name="Projeções" xfId="880" xr:uid="{BACC7E5D-3345-4A4F-AAE9-A04919527253}"/>
    <cellStyle name="Protected" xfId="39696" xr:uid="{BBB7B592-AB8C-4BA3-987D-E505385E2701}"/>
    <cellStyle name="PSChar" xfId="39697" xr:uid="{903AF664-FE6F-46D9-AF53-B6362733926B}"/>
    <cellStyle name="PSDate" xfId="39698" xr:uid="{F7724E89-EBA4-40EE-ABFF-60DDFA74CFA5}"/>
    <cellStyle name="PSDec" xfId="39699" xr:uid="{738A72ED-6353-43FB-89D8-AD027982FF5A}"/>
    <cellStyle name="PSHeading" xfId="39700" xr:uid="{E8B71589-0F33-4071-9C79-93A18D3DD72B}"/>
    <cellStyle name="PSInt" xfId="39701" xr:uid="{3F38E75F-7425-4CA3-9A8C-AF020417C310}"/>
    <cellStyle name="PSSpacer" xfId="39702" xr:uid="{ECA8EAD2-50A2-45D9-B26F-75F1B6ECD8A4}"/>
    <cellStyle name="Punto0" xfId="39703" xr:uid="{3F70C75A-FB83-4A80-BAF0-2C0CBCDA59FC}"/>
    <cellStyle name="Punto0 2" xfId="39704" xr:uid="{5005C1C5-BAE7-4E78-AA06-916DE8E9BE02}"/>
    <cellStyle name="Punto0 3" xfId="39705" xr:uid="{BA639343-8831-40DF-B3E8-98B04DDB2CAC}"/>
    <cellStyle name="Qté calculées" xfId="39706" xr:uid="{8C7D28E6-212B-4A2C-9D4A-AEADCCA5D4EB}"/>
    <cellStyle name="QTé entrées" xfId="39707" xr:uid="{DD8DE36B-6C86-4394-B9E2-F7AA3FE25684}"/>
    <cellStyle name="RAMEY" xfId="881" xr:uid="{4DEDB888-9DF5-477C-A9DE-DF981FEEE9DF}"/>
    <cellStyle name="Ramey $k" xfId="882" xr:uid="{6CC57F1F-DCEC-4DCA-BC6F-BA84ABC0DE41}"/>
    <cellStyle name="Ramey $k 2" xfId="39708" xr:uid="{C46C5152-9086-4B9A-BEBF-A9E4923F9B2D}"/>
    <cellStyle name="Ramey $k 3" xfId="39709" xr:uid="{53FF06D9-8051-4C4A-94AA-687191EFB0EB}"/>
    <cellStyle name="RAMEY_P&amp;O BKUP" xfId="883" xr:uid="{7E7FBA99-F648-4037-A275-85506CA02836}"/>
    <cellStyle name="Red Text" xfId="39710" xr:uid="{1D543B27-F0D7-4979-9528-CA5813A8D422}"/>
    <cellStyle name="RM" xfId="39711" xr:uid="{B2C8CB4F-8A00-4FD8-8513-729971E05497}"/>
    <cellStyle name="RowLevel_1_OUTPUT2" xfId="1145" xr:uid="{D281D05A-F8C3-4DBF-95B0-5291019AE6B2}"/>
    <cellStyle name="Saída 10" xfId="39712" xr:uid="{6C2967AB-C77F-4F47-A446-DB82F865517C}"/>
    <cellStyle name="Saída 11" xfId="43812" xr:uid="{D72EB73A-B853-4BA9-9B87-5CDF47B7B5F9}"/>
    <cellStyle name="Saída 12" xfId="884" xr:uid="{C8950368-304D-4C46-9C7C-172A8C3BAEC8}"/>
    <cellStyle name="Saída 2" xfId="1146" xr:uid="{0826F71A-7503-4BDC-868F-ACFAACF190AD}"/>
    <cellStyle name="Saída 2 2" xfId="39713" xr:uid="{BA3DF262-1F8D-42C3-890C-37457D6BD731}"/>
    <cellStyle name="Saída 2 3" xfId="39714" xr:uid="{25711ED3-A797-4199-AFFC-F8E1DD264256}"/>
    <cellStyle name="Saída 2 4" xfId="39715" xr:uid="{B8FF62B9-3EE0-4F02-A5FE-74AA66A32F23}"/>
    <cellStyle name="Saída 3" xfId="1800" xr:uid="{62C10852-E57A-41A8-801E-C27B01927FD6}"/>
    <cellStyle name="Saída 3 2" xfId="39716" xr:uid="{07CCE62C-B1B3-4ADA-90EE-866D62E875D3}"/>
    <cellStyle name="Saída 4" xfId="39717" xr:uid="{2BA44740-A9F6-4575-AB0E-29CBA065256D}"/>
    <cellStyle name="Saída 4 2" xfId="39718" xr:uid="{797A63D5-A15B-4401-B627-E4BE1B184DA2}"/>
    <cellStyle name="Saída 5" xfId="39719" xr:uid="{2A7D20BA-2B00-448F-8347-7454591FDF4B}"/>
    <cellStyle name="Saída 6" xfId="39720" xr:uid="{135F1CB2-A12F-4AB7-B13E-3D7E77CBD063}"/>
    <cellStyle name="Saída 7" xfId="39721" xr:uid="{25B4D156-A21D-482C-B6B2-005A0314F0E5}"/>
    <cellStyle name="Saída 8" xfId="39722" xr:uid="{D171FAB6-89D1-4E80-AD56-F076FD55C1CA}"/>
    <cellStyle name="Saída 9" xfId="39723" xr:uid="{7055C2B8-41A9-47B6-9ACD-3B91DC0A9FB3}"/>
    <cellStyle name="Salida" xfId="1147" xr:uid="{5BA10D4A-23A3-4A7A-AAAC-0E3AEE77DC32}"/>
    <cellStyle name="Salida 2" xfId="39724" xr:uid="{A0663B3F-BBD3-4B8C-80A9-C44C007282D9}"/>
    <cellStyle name="Salida 3" xfId="43813" xr:uid="{BF8DAD5B-595E-4002-95A2-F38F12F4321D}"/>
    <cellStyle name="SAN" xfId="1693" xr:uid="{EA9AF0A9-3BF8-4B8F-A00C-B6F4D3B01C8E}"/>
    <cellStyle name="SAPBEXaggData" xfId="1694" xr:uid="{C8231ACA-1153-44EB-8793-32FE63211BC4}"/>
    <cellStyle name="SAPBEXaggData 2" xfId="39725" xr:uid="{2BA46944-F39D-44C5-8D0F-D46DC057D0E7}"/>
    <cellStyle name="SAPBEXaggData 2 2" xfId="39726" xr:uid="{C6B40792-033F-44B1-AFA5-586E14904280}"/>
    <cellStyle name="SAPBEXaggData 3" xfId="43814" xr:uid="{D318C0C1-3D04-4B9C-8D95-71850C365EAB}"/>
    <cellStyle name="SAPBEXaggDataEmph" xfId="1695" xr:uid="{93B62AFB-DA47-4362-8514-DE73C9995217}"/>
    <cellStyle name="SAPBEXaggDataEmph 2" xfId="39727" xr:uid="{EAD7AA4E-AE70-4406-A5D6-2EFB4BC01C9F}"/>
    <cellStyle name="SAPBEXaggDataEmph 2 2" xfId="39728" xr:uid="{BEE0DCC7-77D8-47D5-90A8-CD3153C60AD9}"/>
    <cellStyle name="SAPBEXaggDataEmph 3" xfId="43815" xr:uid="{E9A800E3-F388-4FDA-9DF8-FBB44AAD5A7C}"/>
    <cellStyle name="SAPBEXaggItem" xfId="1696" xr:uid="{4C3A1554-781E-4547-A201-B4C2875BAD69}"/>
    <cellStyle name="SAPBEXaggItem 2" xfId="39729" xr:uid="{FC5B53B9-B0A8-4F43-961F-ACBD0FB1FD34}"/>
    <cellStyle name="SAPBEXaggItem 2 2" xfId="39730" xr:uid="{C95F9387-1DCB-46E9-B3AD-5977FCA62516}"/>
    <cellStyle name="SAPBEXaggItem 3" xfId="43816" xr:uid="{012BF359-45D8-47C7-B7E2-28E1560796DC}"/>
    <cellStyle name="SAPBEXaggItemX" xfId="1697" xr:uid="{48456A6A-5814-4C60-A7E3-A9CA17E5CAFE}"/>
    <cellStyle name="SAPBEXaggItemX 2" xfId="39731" xr:uid="{DF2B4158-5DD6-491B-8EA3-6CC8DC7A638E}"/>
    <cellStyle name="SAPBEXaggItemX 2 2" xfId="39732" xr:uid="{AEC9CCB5-5789-436C-9FC7-3BEEBC213E5B}"/>
    <cellStyle name="SAPBEXaggItemX 3" xfId="43817" xr:uid="{A5547462-62D9-46FB-901A-5D0036F0E9D1}"/>
    <cellStyle name="SAPBEXchaText" xfId="1698" xr:uid="{39D357A8-A240-4846-859B-93D2E8B504CB}"/>
    <cellStyle name="SAPBEXchaText 2" xfId="39733" xr:uid="{F0F1966B-6AE8-47DC-B024-5E8B6E6495D0}"/>
    <cellStyle name="SAPBEXchaText 2 2" xfId="39734" xr:uid="{969CB4FE-7853-49C0-9DA5-9E7BFE8D96BA}"/>
    <cellStyle name="SAPBEXchaText 3" xfId="39735" xr:uid="{CA60EB49-6DA4-443F-9D3C-1C5D8D8B85F5}"/>
    <cellStyle name="SAPBEXexcBad7" xfId="1699" xr:uid="{4F382B1F-8D79-4317-BD6D-52E7216F6BD8}"/>
    <cellStyle name="SAPBEXexcBad7 2" xfId="39736" xr:uid="{CF855F8B-44AD-4FD0-BA22-AEB58E23D27D}"/>
    <cellStyle name="SAPBEXexcBad7 2 2" xfId="39737" xr:uid="{1BE69EB4-B5EF-44EC-B8AD-6E0F50F81396}"/>
    <cellStyle name="SAPBEXexcBad7 3" xfId="43818" xr:uid="{19661BF3-2BB3-48BB-98C4-538B2C1DB019}"/>
    <cellStyle name="SAPBEXexcBad8" xfId="1700" xr:uid="{68D0D773-151D-41D4-9CF9-C4E235198FDF}"/>
    <cellStyle name="SAPBEXexcBad8 2" xfId="39738" xr:uid="{5225BB66-EED0-4B0B-ADEC-7B34262825E7}"/>
    <cellStyle name="SAPBEXexcBad8 2 2" xfId="39739" xr:uid="{1029F1B4-A6ED-49FA-B672-262B3BBDE48F}"/>
    <cellStyle name="SAPBEXexcBad8 3" xfId="43819" xr:uid="{A89FFAFA-80F4-4367-948C-0E43E281554A}"/>
    <cellStyle name="SAPBEXexcBad9" xfId="1701" xr:uid="{538A0607-4D22-4D51-A522-BCFEB5699441}"/>
    <cellStyle name="SAPBEXexcBad9 2" xfId="39740" xr:uid="{F1C25B65-5978-4491-8F99-A3123F01491F}"/>
    <cellStyle name="SAPBEXexcBad9 2 2" xfId="39741" xr:uid="{945E8C9F-B7B3-4ACF-BBF4-2389F5CF2883}"/>
    <cellStyle name="SAPBEXexcBad9 3" xfId="43820" xr:uid="{6671D548-54E4-43A0-8C88-F7DAE54AE94A}"/>
    <cellStyle name="SAPBEXexcCritical4" xfId="1702" xr:uid="{829FFA6E-CF43-41C2-96BD-9FB9C29B9561}"/>
    <cellStyle name="SAPBEXexcCritical4 2" xfId="39742" xr:uid="{136DCB2E-81C7-42C2-9C86-F12EF97B18A8}"/>
    <cellStyle name="SAPBEXexcCritical4 2 2" xfId="39743" xr:uid="{DA8F0090-DC13-42A2-92CE-9BBBE77A22B4}"/>
    <cellStyle name="SAPBEXexcCritical4 3" xfId="43821" xr:uid="{689EB595-219E-4C49-8861-932312FE45AA}"/>
    <cellStyle name="SAPBEXexcCritical5" xfId="1703" xr:uid="{E2A15DA5-ADDA-493B-A9B1-56E38749F91D}"/>
    <cellStyle name="SAPBEXexcCritical5 2" xfId="39744" xr:uid="{F8104264-3C33-4699-A80C-D771889C3579}"/>
    <cellStyle name="SAPBEXexcCritical5 2 2" xfId="39745" xr:uid="{44EA9A2A-BB14-4067-A01D-225DFFC31455}"/>
    <cellStyle name="SAPBEXexcCritical5 3" xfId="43822" xr:uid="{C2A3E0C7-8286-44DE-9B17-1AECA783E2DA}"/>
    <cellStyle name="SAPBEXexcCritical6" xfId="1704" xr:uid="{46263C3E-4DA7-49B1-85EB-1F73ED23C482}"/>
    <cellStyle name="SAPBEXexcCritical6 2" xfId="39746" xr:uid="{756F6B74-8695-4EEB-84F6-1DF8BE7BEE52}"/>
    <cellStyle name="SAPBEXexcCritical6 2 2" xfId="39747" xr:uid="{49605223-80E0-450B-B7B6-16C3522B7827}"/>
    <cellStyle name="SAPBEXexcCritical6 3" xfId="43823" xr:uid="{11B99AD0-B010-43E8-BDF4-6430325CF3F2}"/>
    <cellStyle name="SAPBEXexcGood1" xfId="1705" xr:uid="{9C0181B0-1CA0-4230-A58C-05508F64F9CA}"/>
    <cellStyle name="SAPBEXexcGood1 2" xfId="39748" xr:uid="{15C7B3BE-0507-4CE1-9645-69067CF1AB99}"/>
    <cellStyle name="SAPBEXexcGood1 2 2" xfId="39749" xr:uid="{DE3ADDA0-9DE0-4B20-B2CD-92E070448422}"/>
    <cellStyle name="SAPBEXexcGood1 3" xfId="43824" xr:uid="{F720C415-4220-4C38-AA3C-29B17BF3712A}"/>
    <cellStyle name="SAPBEXexcGood2" xfId="1706" xr:uid="{186D4A36-E2A0-4F4F-BF84-4D27E9BB9E27}"/>
    <cellStyle name="SAPBEXexcGood2 2" xfId="39750" xr:uid="{5B0C64E2-FB46-45FD-BE64-CF037395D7DA}"/>
    <cellStyle name="SAPBEXexcGood2 2 2" xfId="39751" xr:uid="{6211D973-D423-4004-ADC2-BB5ED53E39F8}"/>
    <cellStyle name="SAPBEXexcGood2 3" xfId="43825" xr:uid="{BA566C98-0F19-45B9-A43D-ECF664CEA103}"/>
    <cellStyle name="SAPBEXexcGood3" xfId="1707" xr:uid="{CE12D849-DDB4-45A4-A4FB-A2131DE2B0E2}"/>
    <cellStyle name="SAPBEXexcGood3 2" xfId="39752" xr:uid="{5B8ECFE7-37ED-4CE0-B756-872E1A9CFE1D}"/>
    <cellStyle name="SAPBEXexcGood3 2 2" xfId="39753" xr:uid="{D72BA8C6-CABA-4B35-80D5-FB2FD60F091F}"/>
    <cellStyle name="SAPBEXexcGood3 3" xfId="43826" xr:uid="{0D2B3B0F-3F86-4995-B719-7DC9491FA983}"/>
    <cellStyle name="SAPBEXfilterDrill" xfId="1708" xr:uid="{B4570AEE-B3D7-4B48-975F-6A0564047CE0}"/>
    <cellStyle name="SAPBEXfilterDrill 2" xfId="39754" xr:uid="{7A46B407-9FA7-4924-AE4B-006A8D73CD10}"/>
    <cellStyle name="SAPBEXfilterDrill 2 2" xfId="39755" xr:uid="{1A4B4D50-FA29-48AE-8E43-DA32487E1934}"/>
    <cellStyle name="SAPBEXfilterItem" xfId="1709" xr:uid="{A6449315-B4D6-400B-A9ED-AF9CBFF874FA}"/>
    <cellStyle name="SAPBEXfilterItem 2" xfId="39756" xr:uid="{452878D1-0035-419A-89F0-C300D813510C}"/>
    <cellStyle name="SAPBEXfilterItem 2 2" xfId="39757" xr:uid="{C0DD98C6-7FAB-49F5-9A3A-53C93094B0CC}"/>
    <cellStyle name="SAPBEXfilterText" xfId="1710" xr:uid="{03FBF532-2293-4D53-A59F-9FD4B63CA0FA}"/>
    <cellStyle name="SAPBEXfilterText 2" xfId="39758" xr:uid="{AAC5CA71-62D1-4482-8ABF-A44921AB1156}"/>
    <cellStyle name="SAPBEXformats" xfId="1711" xr:uid="{7ACAD408-8C9C-47F9-AC60-9B72C7B8C917}"/>
    <cellStyle name="SAPBEXformats 2" xfId="39759" xr:uid="{ACE1C292-E35A-4A38-AC24-884CACCB5EE1}"/>
    <cellStyle name="SAPBEXformats 2 2" xfId="39760" xr:uid="{385762CA-8A32-4B27-B098-AA0C038BDCAB}"/>
    <cellStyle name="SAPBEXformats 3" xfId="43827" xr:uid="{A3535DA0-FE92-4DB9-BB1E-2E02F41A3723}"/>
    <cellStyle name="SAPBEXheaderItem" xfId="1712" xr:uid="{055B3E82-075E-4758-B96F-3478E61025B0}"/>
    <cellStyle name="SAPBEXheaderItem 2" xfId="39761" xr:uid="{88660438-1B70-48B5-AFF0-232152BFCC94}"/>
    <cellStyle name="SAPBEXheaderItem 2 2" xfId="39762" xr:uid="{DDE81E8D-C864-4908-90AE-C9BAA40F9BF7}"/>
    <cellStyle name="SAPBEXheaderText" xfId="1713" xr:uid="{1F1525B8-C034-4620-9298-82142799D643}"/>
    <cellStyle name="SAPBEXheaderText 2" xfId="39763" xr:uid="{918EA759-C7BF-4E08-9177-5A701C8F55B7}"/>
    <cellStyle name="SAPBEXheaderText 2 2" xfId="39764" xr:uid="{09CAB282-D214-4FA2-9DD0-069D12CD8D8E}"/>
    <cellStyle name="SAPBEXHLevel0" xfId="1714" xr:uid="{E9E0A13E-9531-41F8-B5C4-1720680F44E7}"/>
    <cellStyle name="SAPBEXHLevel0 2" xfId="39765" xr:uid="{96B819C3-FA4F-4138-9AC2-57ACB10FC2AE}"/>
    <cellStyle name="SAPBEXHLevel0 2 2" xfId="39766" xr:uid="{3F1ABFC4-9217-46EE-AB90-57CBCB00A680}"/>
    <cellStyle name="SAPBEXHLevel0X" xfId="1715" xr:uid="{47AC1F3B-22F6-4D5B-800C-361F1169BCF3}"/>
    <cellStyle name="SAPBEXHLevel0X 2" xfId="39767" xr:uid="{2867EFE6-4885-47EC-A64C-CC5F6C0CDFCA}"/>
    <cellStyle name="SAPBEXHLevel0X 2 2" xfId="39768" xr:uid="{58539F4E-7798-40AA-9926-BCF361E73DF9}"/>
    <cellStyle name="SAPBEXHLevel0X 3" xfId="43828" xr:uid="{06D450AF-8E0E-4FDE-B7D9-875EC3648277}"/>
    <cellStyle name="SAPBEXHLevel1" xfId="1716" xr:uid="{98C5898B-5699-4A26-BE8C-5D6DEEAC5B40}"/>
    <cellStyle name="SAPBEXHLevel1 2" xfId="39769" xr:uid="{82AD1A17-CB74-4D2C-9EA2-63468ED3D801}"/>
    <cellStyle name="SAPBEXHLevel1 2 2" xfId="39770" xr:uid="{5B04E48A-26D7-4BDF-B569-030A604D3C90}"/>
    <cellStyle name="SAPBEXHLevel1X" xfId="1717" xr:uid="{F01CC6C2-E513-4B29-99C4-5260B9B3EBA6}"/>
    <cellStyle name="SAPBEXHLevel1X 2" xfId="39771" xr:uid="{CFB11501-879D-4E18-B704-10A86D74BB9D}"/>
    <cellStyle name="SAPBEXHLevel1X 2 2" xfId="39772" xr:uid="{EEB521C4-EA2B-4B26-AB2C-E8D378EA719A}"/>
    <cellStyle name="SAPBEXHLevel1X 3" xfId="43829" xr:uid="{9D185657-A1E2-4208-A626-0524AA7891AA}"/>
    <cellStyle name="SAPBEXHLevel2" xfId="1718" xr:uid="{A54035D8-7A1F-4644-BF6A-9589ACBD17BB}"/>
    <cellStyle name="SAPBEXHLevel2 2" xfId="39773" xr:uid="{3AFFBD56-C209-412A-A821-7FE0E89E6BEA}"/>
    <cellStyle name="SAPBEXHLevel2 2 2" xfId="39774" xr:uid="{CDD5D082-6AAB-4499-A3A5-34F33B4D74EC}"/>
    <cellStyle name="SAPBEXHLevel2X" xfId="1719" xr:uid="{5D222E65-6315-4881-835C-4FF67A1DF25D}"/>
    <cellStyle name="SAPBEXHLevel2X 2" xfId="39775" xr:uid="{8063D7D3-9CE7-4884-A3B2-1ED93A0E0615}"/>
    <cellStyle name="SAPBEXHLevel2X 2 2" xfId="39776" xr:uid="{3852DFB4-A4A6-4263-9B5C-B46726BD8383}"/>
    <cellStyle name="SAPBEXHLevel2X 3" xfId="43830" xr:uid="{AAC6E070-6882-45B1-886A-0A008AE64E6F}"/>
    <cellStyle name="SAPBEXHLevel3" xfId="1720" xr:uid="{56EA7760-F3CD-451F-9195-6A5E4DFA4EB4}"/>
    <cellStyle name="SAPBEXHLevel3 2" xfId="39777" xr:uid="{EEC39E1D-60DC-47E1-A063-B3F1051517A6}"/>
    <cellStyle name="SAPBEXHLevel3 2 2" xfId="39778" xr:uid="{376CF725-1DE7-4DD0-8ADB-B6DE1C47D95C}"/>
    <cellStyle name="SAPBEXHLevel3 3" xfId="43831" xr:uid="{56F629FE-1292-4C03-8124-83CE362D36EB}"/>
    <cellStyle name="SAPBEXHLevel3X" xfId="1721" xr:uid="{93007E8B-E164-46D2-A45E-7E75E6AC0B6E}"/>
    <cellStyle name="SAPBEXHLevel3X 2" xfId="39779" xr:uid="{51BD5356-0E77-4550-B7CD-8F671245895A}"/>
    <cellStyle name="SAPBEXHLevel3X 2 2" xfId="39780" xr:uid="{FF6289D9-02F3-4040-A91B-653CBBA9B0A4}"/>
    <cellStyle name="SAPBEXHLevel3X 3" xfId="43832" xr:uid="{2C8DA06C-5700-468B-914D-552C8A565113}"/>
    <cellStyle name="SAPBEXinputData" xfId="39781" xr:uid="{E7F539AC-8EFD-46D6-84AF-58998534D659}"/>
    <cellStyle name="SAPBEXresData" xfId="1722" xr:uid="{4B3FB515-5827-4666-B907-4288B4CD1CA1}"/>
    <cellStyle name="SAPBEXresData 2" xfId="39782" xr:uid="{D244F97B-325E-4F17-98A3-37233B52167C}"/>
    <cellStyle name="SAPBEXresData 2 2" xfId="39783" xr:uid="{BC4B7C58-F3F0-4B10-933F-022BF08FB11D}"/>
    <cellStyle name="SAPBEXresData 3" xfId="43833" xr:uid="{68C5A48E-170A-4D3F-A2C9-65418817C145}"/>
    <cellStyle name="SAPBEXresDataEmph" xfId="1723" xr:uid="{FDF1E079-0CDE-40FD-BA2A-88ED7F1C87BE}"/>
    <cellStyle name="SAPBEXresDataEmph 2" xfId="39784" xr:uid="{A77689C9-36B0-4000-9090-A0D968944F3D}"/>
    <cellStyle name="SAPBEXresDataEmph 2 2" xfId="39785" xr:uid="{003A6BE4-537C-4E76-92B3-6B9D1274BD6F}"/>
    <cellStyle name="SAPBEXresDataEmph 3" xfId="43834" xr:uid="{C18BB000-4B5A-431D-BAD5-597AE6F1E4BC}"/>
    <cellStyle name="SAPBEXresItem" xfId="1724" xr:uid="{C5AF7655-AF18-41EE-9A2A-E1F8A07B2CE4}"/>
    <cellStyle name="SAPBEXresItem 2" xfId="39786" xr:uid="{4279E28B-0058-4970-939A-269C9A18E795}"/>
    <cellStyle name="SAPBEXresItem 2 2" xfId="39787" xr:uid="{72F9F629-1A26-42A4-BEE0-8C80A06547EA}"/>
    <cellStyle name="SAPBEXresItem 3" xfId="43835" xr:uid="{DD086978-7323-43EF-9629-05F242E89972}"/>
    <cellStyle name="SAPBEXresItemX" xfId="1725" xr:uid="{70AA70B2-7648-4C5F-A320-D4B094B0A3FD}"/>
    <cellStyle name="SAPBEXresItemX 2" xfId="39788" xr:uid="{5D70C75E-A04E-4BEE-B4ED-324C330083BD}"/>
    <cellStyle name="SAPBEXresItemX 2 2" xfId="39789" xr:uid="{E645EF6B-3578-4DA4-9D38-5C5BE561A092}"/>
    <cellStyle name="SAPBEXresItemX 3" xfId="43836" xr:uid="{F1D9B735-662D-45BB-9AB5-F47C5198FA7A}"/>
    <cellStyle name="SAPBEXstdData" xfId="1726" xr:uid="{262BA1B5-5FCA-4C96-8824-B8743DC33F43}"/>
    <cellStyle name="SAPBEXstdData 2" xfId="39790" xr:uid="{16014116-3250-4136-88F9-FF2E97A431AD}"/>
    <cellStyle name="SAPBEXstdData 2 2" xfId="39791" xr:uid="{ACDD4363-84F6-4CAC-B324-9015CF62D2EE}"/>
    <cellStyle name="SAPBEXstdDataEmph" xfId="1727" xr:uid="{22EABE98-8EE4-46E6-8660-F02C2DE3D302}"/>
    <cellStyle name="SAPBEXstdDataEmph 2" xfId="39792" xr:uid="{93E79914-A61C-4CC7-937C-437A425BBDF5}"/>
    <cellStyle name="SAPBEXstdDataEmph 2 2" xfId="39793" xr:uid="{1D67455D-5BD7-4713-817E-EA1C7D50CF24}"/>
    <cellStyle name="SAPBEXstdDataEmph 3" xfId="43837" xr:uid="{8A0C63A7-AEBD-411C-9A0E-153B051760B6}"/>
    <cellStyle name="SAPBEXstdItem" xfId="1728" xr:uid="{AA1CB537-0DAF-43C8-A62F-737C2654E53E}"/>
    <cellStyle name="SAPBEXstdItem 2" xfId="39794" xr:uid="{E133D236-2F02-4CDA-BE5E-190AEE6728FE}"/>
    <cellStyle name="SAPBEXstdItem 2 2" xfId="39795" xr:uid="{F6D40959-A4C4-43F2-907D-6984E5572E32}"/>
    <cellStyle name="SAPBEXstdItem 3" xfId="39796" xr:uid="{A17CB270-2599-4ED1-81E7-817DA5DFD0C8}"/>
    <cellStyle name="SAPBEXstdItem 4" xfId="39797" xr:uid="{8F2A8E1A-CE27-4283-8CC2-610A20320A61}"/>
    <cellStyle name="SAPBEXstdItemX" xfId="1729" xr:uid="{AF27BBE0-4661-46C5-844F-5D3A13F8EF0E}"/>
    <cellStyle name="SAPBEXstdItemX 2" xfId="39798" xr:uid="{1BDA27C8-413E-4137-8814-E495D806DEE8}"/>
    <cellStyle name="SAPBEXstdItemX 2 2" xfId="39799" xr:uid="{3949A1F0-3975-4BC4-BCA5-A407AFBE8283}"/>
    <cellStyle name="SAPBEXtitle" xfId="1730" xr:uid="{DC778400-D6A8-4785-8D7E-CCE419991874}"/>
    <cellStyle name="SAPBEXtitle 2" xfId="39800" xr:uid="{73057D33-E5FB-4459-8290-EE21CF73B566}"/>
    <cellStyle name="SAPBEXtitle 2 2" xfId="39801" xr:uid="{510DFB63-480E-4AC4-A8B0-5600831B53B5}"/>
    <cellStyle name="SAPBEXundefined" xfId="1731" xr:uid="{37D637A0-CDEE-4CE9-82B4-8C5ABED83203}"/>
    <cellStyle name="SAPBEXundefined 2" xfId="39802" xr:uid="{1712C2FA-F1F7-4D88-821A-3B48C06AF7F5}"/>
    <cellStyle name="SAPBEXundefined 2 2" xfId="39803" xr:uid="{551DC20C-1762-4938-BE05-AB5E5AEB394D}"/>
    <cellStyle name="SAPBEXundefined 2 2 2" xfId="39804" xr:uid="{07A18178-057F-4E74-92A1-E85EF6599C9E}"/>
    <cellStyle name="SAPBEXundefined 2 2 3" xfId="39805" xr:uid="{D10F9DE2-7D1F-46B6-ACF7-767BBBDD228C}"/>
    <cellStyle name="SAPBEXundefined 2 3" xfId="39806" xr:uid="{242B5FC6-EF4C-4651-A1C6-87390A9E93DB}"/>
    <cellStyle name="SAPBEXundefined 3" xfId="39807" xr:uid="{64171608-664E-497A-A10F-D0A7A24E4749}"/>
    <cellStyle name="SAPOutput" xfId="39808" xr:uid="{379B9BD3-E063-4BFE-B537-97AD2F1D4563}"/>
    <cellStyle name="SAPOutput 2" xfId="39809" xr:uid="{0276FCDC-EA0F-4C52-AB59-9CC6918A4D47}"/>
    <cellStyle name="SAPOutput 3" xfId="39810" xr:uid="{E2457E61-6D6D-48D7-8CE9-9E1BC85AF315}"/>
    <cellStyle name="Sep. milhar [0]" xfId="885" xr:uid="{78833C49-34EC-411C-B7BE-9612D622C372}"/>
    <cellStyle name="Sep. milhar [0] 2" xfId="39811" xr:uid="{1598BE0D-CC93-4223-BA65-9BAFAD7FD967}"/>
    <cellStyle name="Separador de m" xfId="886" xr:uid="{159517A3-DDFF-4FFE-BCED-A4D2F15F4A21}"/>
    <cellStyle name="Separador de m 2" xfId="39812" xr:uid="{C77A7DF1-575A-4387-B2A7-3B8DC3C9592C}"/>
    <cellStyle name="Separador de m 3" xfId="39813" xr:uid="{1C77DEC8-F21E-43DC-97E7-A3987A1F2442}"/>
    <cellStyle name="Separador de milhares 10" xfId="926" xr:uid="{A3E8763D-5728-4464-8949-6E113DB1687E}"/>
    <cellStyle name="Separador de milhares 10 2" xfId="39814" xr:uid="{D53F09CB-363C-449E-91A0-FEE26D5512D1}"/>
    <cellStyle name="Separador de milhares 10 2 2" xfId="39815" xr:uid="{B947C467-1561-4C63-850C-2E762C8D9530}"/>
    <cellStyle name="Separador de milhares 10 3" xfId="43838" xr:uid="{F2EC8B7B-D293-45F9-A3B4-48BE35FF225D}"/>
    <cellStyle name="Separador de milhares 11" xfId="1148" xr:uid="{28AA4320-D45E-46CF-B35E-40BF4D1B3531}"/>
    <cellStyle name="Separador de milhares 11 2" xfId="39816" xr:uid="{015C89E4-1970-4894-84A6-34C9A017CA07}"/>
    <cellStyle name="Separador de milhares 11 2 2" xfId="43839" xr:uid="{301DCA71-3689-4D3C-81B2-F14045B9B369}"/>
    <cellStyle name="Separador de milhares 11 3" xfId="43840" xr:uid="{D8545F00-C5DF-4B8A-B720-C8C4E45D8D69}"/>
    <cellStyle name="Separador de milhares 12" xfId="1149" xr:uid="{C34F5761-C969-412C-914B-BD00BB862A82}"/>
    <cellStyle name="Separador de milhares 13" xfId="1150" xr:uid="{21F1E511-2478-4E5C-8AE5-DB4E147C86FB}"/>
    <cellStyle name="Separador de milhares 13 2" xfId="39817" xr:uid="{19F3CEE3-D34A-4006-B8A4-4F30F96AF450}"/>
    <cellStyle name="Separador de milhares 13 2 2" xfId="43841" xr:uid="{EA953574-4A84-459F-93C9-B06AD2AD5A28}"/>
    <cellStyle name="Separador de milhares 13 3" xfId="43842" xr:uid="{19B7170A-8546-44D3-B465-398F69BA5A7B}"/>
    <cellStyle name="Separador de milhares 14" xfId="1732" xr:uid="{7C36F8EE-5250-4DCE-896A-B73D0EAF3FA9}"/>
    <cellStyle name="Separador de milhares 14 2" xfId="39818" xr:uid="{ACEB1D9F-1DDF-410D-BF76-EB7F7AC7414E}"/>
    <cellStyle name="Separador de milhares 147" xfId="39819" xr:uid="{148B8F74-AD06-45E4-A575-D9FBA281D621}"/>
    <cellStyle name="Separador de milhares 15" xfId="39820" xr:uid="{F0D9E206-8ACA-4141-8869-7406D2C0DF1F}"/>
    <cellStyle name="Separador de milhares 15 2" xfId="39821" xr:uid="{5A24ADE3-7FF5-4B46-9D49-68954CAF7DC9}"/>
    <cellStyle name="Separador de milhares 16" xfId="39822" xr:uid="{15C6A960-0EAB-446B-9333-6AD332ED319B}"/>
    <cellStyle name="Separador de milhares 16 2" xfId="39823" xr:uid="{E7324BEF-051B-4173-B979-57AE0518022E}"/>
    <cellStyle name="Separador de milhares 16 2 2" xfId="43843" xr:uid="{5C2CB80B-BE55-40D8-A94F-BB922B9EF7AB}"/>
    <cellStyle name="Separador de milhares 16 3" xfId="43844" xr:uid="{97F8317F-7971-4DD3-9E19-E3253432C40E}"/>
    <cellStyle name="Separador de milhares 17" xfId="42534" xr:uid="{BA428B6B-59B9-447C-9824-BBB16DEF18FD}"/>
    <cellStyle name="Separador de milhares 17 2" xfId="43951" xr:uid="{6EB2A670-266B-404D-83C2-953CAB69D1F7}"/>
    <cellStyle name="Separador de milhares 17 3" xfId="43952" xr:uid="{CD8E6804-63F9-428B-9D46-EE443783BF8D}"/>
    <cellStyle name="Separador de milhares 18" xfId="39824" xr:uid="{5DEF4027-776A-4F5F-A38E-54E62A9ABD0F}"/>
    <cellStyle name="Separador de milhares 18 2" xfId="43845" xr:uid="{6124A9AB-E315-491A-A680-83C7E69A33CB}"/>
    <cellStyle name="Separador de milhares 19" xfId="43846" xr:uid="{6E044627-CB7A-4AA8-8A4D-27D2DA935B98}"/>
    <cellStyle name="Separador de milhares 19 2" xfId="43847" xr:uid="{09E7464A-9EA3-431C-B19F-8E1489D17213}"/>
    <cellStyle name="Separador de milhares 19 2 2" xfId="43848" xr:uid="{BC95B263-C66E-4A69-A412-F8C75B6FF771}"/>
    <cellStyle name="Separador de milhares 19 3" xfId="43849" xr:uid="{4BA911A6-8CC6-4C28-9BF5-0B6B7BE72AF7}"/>
    <cellStyle name="Separador de milhares 2" xfId="888" xr:uid="{4BE87E05-227D-4A99-BAE5-C9A436C88ECD}"/>
    <cellStyle name="Separador de milhares 2 10" xfId="39825" xr:uid="{D9BAB524-32C3-44AC-A18F-672EAB77820D}"/>
    <cellStyle name="Separador de milhares 2 10 10" xfId="39826" xr:uid="{6E7206A0-C762-4D06-BDE0-01C18076F227}"/>
    <cellStyle name="Separador de milhares 2 10 11" xfId="39827" xr:uid="{5B29AF53-AFB4-4917-BC5C-D5DCBE1816FD}"/>
    <cellStyle name="Separador de milhares 2 10 12" xfId="39828" xr:uid="{2A667564-0A87-4919-8C2A-6B5722F60C75}"/>
    <cellStyle name="Separador de milhares 2 10 13" xfId="39829" xr:uid="{B44A420C-1527-4B61-9A6D-BA7B183C811E}"/>
    <cellStyle name="Separador de milhares 2 10 14" xfId="39830" xr:uid="{31964578-D88E-4C47-95F9-BDED8AC3AA3D}"/>
    <cellStyle name="Separador de milhares 2 10 15" xfId="43959" xr:uid="{AE4F92EF-10F5-4541-B17D-936C0B19A04D}"/>
    <cellStyle name="Separador de milhares 2 10 15 2" xfId="43969" xr:uid="{5A2367AB-0333-4F1E-9A1E-FD681E5C9B06}"/>
    <cellStyle name="Separador de milhares 2 10 2" xfId="39831" xr:uid="{435217F9-C574-4B7B-81EA-B05AC1EBEDB3}"/>
    <cellStyle name="Separador de milhares 2 10 2 2" xfId="39832" xr:uid="{2671DA03-A0C2-47DE-8CA2-231FBD3B9F24}"/>
    <cellStyle name="Separador de milhares 2 10 2 3" xfId="39833" xr:uid="{84700649-BF53-48AB-B594-3A77B3394875}"/>
    <cellStyle name="Separador de milhares 2 10 2 4" xfId="39834" xr:uid="{C45B9ED7-BB70-4933-8D29-7E238E2CD91A}"/>
    <cellStyle name="Separador de milhares 2 10 2 5" xfId="39835" xr:uid="{B72CF631-4C27-449E-8878-2D35D6793ABE}"/>
    <cellStyle name="Separador de milhares 2 10 2 6" xfId="39836" xr:uid="{990DAAAC-B555-4B2D-965B-7F5B06F8D103}"/>
    <cellStyle name="Separador de milhares 2 10 3" xfId="39837" xr:uid="{80DBB6AE-4130-41EB-AAC0-9392F50DB083}"/>
    <cellStyle name="Separador de milhares 2 10 3 2" xfId="39838" xr:uid="{96CAAE1C-A998-459B-AD7E-BC0013D370BD}"/>
    <cellStyle name="Separador de milhares 2 10 3 3" xfId="39839" xr:uid="{CBB59B7B-6535-4D8F-99B8-6182B12E4282}"/>
    <cellStyle name="Separador de milhares 2 10 3 4" xfId="39840" xr:uid="{4F37DF2D-3034-4E37-AAFC-7A33674E7A30}"/>
    <cellStyle name="Separador de milhares 2 10 3 5" xfId="39841" xr:uid="{DA6D25CA-21F0-4F71-BA76-39F62CCF6225}"/>
    <cellStyle name="Separador de milhares 2 10 3 6" xfId="39842" xr:uid="{61890881-5308-4A7B-8DBE-032E120430A0}"/>
    <cellStyle name="Separador de milhares 2 10 4" xfId="39843" xr:uid="{2A597BDB-B5E5-46BC-98C8-12DCBDC184B6}"/>
    <cellStyle name="Separador de milhares 2 10 4 2" xfId="39844" xr:uid="{A5A2308F-6752-4E20-AEAE-4F6940287429}"/>
    <cellStyle name="Separador de milhares 2 10 4 3" xfId="39845" xr:uid="{6036FA64-AE27-49C7-9042-C490F032FE34}"/>
    <cellStyle name="Separador de milhares 2 10 4 4" xfId="39846" xr:uid="{D5F93AA8-B232-413C-8E55-E87D0BEACF7A}"/>
    <cellStyle name="Separador de milhares 2 10 4 5" xfId="39847" xr:uid="{5BF02AE6-93FF-4A17-B5D1-7405DCF416D7}"/>
    <cellStyle name="Separador de milhares 2 10 4 6" xfId="39848" xr:uid="{FBA0BC28-8875-4CD5-8EDE-43304000EB4F}"/>
    <cellStyle name="Separador de milhares 2 10 5" xfId="39849" xr:uid="{5DF9E0E0-BDC1-4A98-9D37-F2FB135CCC69}"/>
    <cellStyle name="Separador de milhares 2 10 5 2" xfId="39850" xr:uid="{93308CEA-B0E0-4C21-96FE-B6CA43288304}"/>
    <cellStyle name="Separador de milhares 2 10 5 3" xfId="39851" xr:uid="{B990D5C5-053F-42C7-89B7-BE56E673AEA2}"/>
    <cellStyle name="Separador de milhares 2 10 5 4" xfId="39852" xr:uid="{A654B062-9DB1-44EC-B8B3-E1E3717B8FD8}"/>
    <cellStyle name="Separador de milhares 2 10 5 5" xfId="39853" xr:uid="{1959F84E-90A7-484F-ABCD-621BB65C0403}"/>
    <cellStyle name="Separador de milhares 2 10 5 6" xfId="39854" xr:uid="{4894EA53-1D75-4E48-A553-4BCBDB867DDF}"/>
    <cellStyle name="Separador de milhares 2 10 6" xfId="39855" xr:uid="{E953639A-D84E-42B0-8E03-5D46000EED25}"/>
    <cellStyle name="Separador de milhares 2 10 6 2" xfId="39856" xr:uid="{46AB28B8-7FF2-49BF-B273-816AB981B2B2}"/>
    <cellStyle name="Separador de milhares 2 10 6 3" xfId="39857" xr:uid="{52CC21D6-F88D-434D-855F-49A1428F8A31}"/>
    <cellStyle name="Separador de milhares 2 10 6 4" xfId="39858" xr:uid="{EC193C2D-52BF-44EF-9FD8-13620BF865E1}"/>
    <cellStyle name="Separador de milhares 2 10 6 5" xfId="39859" xr:uid="{E1F84392-EA58-4B38-AC17-FB580C761259}"/>
    <cellStyle name="Separador de milhares 2 10 6 6" xfId="39860" xr:uid="{837013BC-5B20-4122-B6AB-9CAC819DA192}"/>
    <cellStyle name="Separador de milhares 2 10 7" xfId="39861" xr:uid="{89578A71-6FCB-46B7-AEF8-054751FF615D}"/>
    <cellStyle name="Separador de milhares 2 10 7 2" xfId="39862" xr:uid="{51CBA83A-5529-4B6A-805E-9F33E92096C5}"/>
    <cellStyle name="Separador de milhares 2 10 7 3" xfId="39863" xr:uid="{28123D02-788A-4FDE-9223-77C920332FDB}"/>
    <cellStyle name="Separador de milhares 2 10 7 4" xfId="39864" xr:uid="{D64DA547-7026-4243-BA78-112204E54FBA}"/>
    <cellStyle name="Separador de milhares 2 10 7 5" xfId="39865" xr:uid="{AC8E8EF8-45B1-4731-87F7-669878DFD79E}"/>
    <cellStyle name="Separador de milhares 2 10 7 6" xfId="39866" xr:uid="{97BC373E-8DD4-4EED-BAA9-3E1E3DBDCEEF}"/>
    <cellStyle name="Separador de milhares 2 10 8" xfId="39867" xr:uid="{BA9A643A-31A4-4DB3-82AA-3D9430FB3773}"/>
    <cellStyle name="Separador de milhares 2 10 8 2" xfId="39868" xr:uid="{E82016B9-6D2C-472C-864B-D0153E53D8E2}"/>
    <cellStyle name="Separador de milhares 2 10 8 3" xfId="39869" xr:uid="{05E34370-4264-4408-8708-E139962C90F1}"/>
    <cellStyle name="Separador de milhares 2 10 8 4" xfId="39870" xr:uid="{5250A38E-3614-47D0-8D8D-EC1ADA095199}"/>
    <cellStyle name="Separador de milhares 2 10 8 5" xfId="39871" xr:uid="{2FD9CC72-D353-42B3-AD49-E7F3A11A1AB0}"/>
    <cellStyle name="Separador de milhares 2 10 8 6" xfId="39872" xr:uid="{0A6E5788-C828-412D-B6A0-121A141445A2}"/>
    <cellStyle name="Separador de milhares 2 10 9" xfId="39873" xr:uid="{A1D03FF6-D064-48FE-8B85-F53E285DF332}"/>
    <cellStyle name="Separador de milhares 2 11" xfId="39874" xr:uid="{4C04E410-39CA-4A64-B105-B7E53460F82B}"/>
    <cellStyle name="Separador de milhares 2 11 10" xfId="39875" xr:uid="{0D89DC56-8F63-4813-8EEF-324E6456E1E0}"/>
    <cellStyle name="Separador de milhares 2 11 11" xfId="39876" xr:uid="{3E86B9A3-67F4-4D53-B480-BC66BAFF2ECC}"/>
    <cellStyle name="Separador de milhares 2 11 12" xfId="39877" xr:uid="{1C76A7AA-2D52-4E7A-9179-633A62D12EA1}"/>
    <cellStyle name="Separador de milhares 2 11 13" xfId="39878" xr:uid="{DBC5CF98-3B2A-42A9-8180-9357A9D62D50}"/>
    <cellStyle name="Separador de milhares 2 11 14" xfId="39879" xr:uid="{BA41ABA3-F076-4BBD-933F-466B8541A5F5}"/>
    <cellStyle name="Separador de milhares 2 11 2" xfId="39880" xr:uid="{A8FFCA23-D1DB-428F-82D6-9F8B24B7AD92}"/>
    <cellStyle name="Separador de milhares 2 11 2 2" xfId="39881" xr:uid="{F30F1F58-B258-4ABD-8908-0B0A7448862B}"/>
    <cellStyle name="Separador de milhares 2 11 2 3" xfId="39882" xr:uid="{F7E10ED2-29C4-4044-9E48-CD405D136A7F}"/>
    <cellStyle name="Separador de milhares 2 11 2 4" xfId="39883" xr:uid="{1D11451F-A248-4785-9D4E-8E3FFE40105C}"/>
    <cellStyle name="Separador de milhares 2 11 2 5" xfId="39884" xr:uid="{58E67178-1C28-409D-9C9F-B0590D39689B}"/>
    <cellStyle name="Separador de milhares 2 11 2 6" xfId="39885" xr:uid="{9C4740EC-1077-4852-9B80-AB47FDD5E3DF}"/>
    <cellStyle name="Separador de milhares 2 11 3" xfId="39886" xr:uid="{AD1F8ABF-204E-4C74-A513-1DBBE3D7B6B6}"/>
    <cellStyle name="Separador de milhares 2 11 3 2" xfId="39887" xr:uid="{EB836E9E-E247-49F8-B78E-8CBC3885D104}"/>
    <cellStyle name="Separador de milhares 2 11 3 3" xfId="39888" xr:uid="{5DB11BA1-9BD3-4A0B-85AF-1843DB52A30E}"/>
    <cellStyle name="Separador de milhares 2 11 3 4" xfId="39889" xr:uid="{D7FB9E07-EF8E-443A-BE1D-42D494281710}"/>
    <cellStyle name="Separador de milhares 2 11 3 5" xfId="39890" xr:uid="{1037B363-E991-4FD7-B761-B11A9F914582}"/>
    <cellStyle name="Separador de milhares 2 11 3 6" xfId="39891" xr:uid="{6C3B1371-99F4-40B7-8771-455906DEB0DA}"/>
    <cellStyle name="Separador de milhares 2 11 4" xfId="39892" xr:uid="{7E45C86F-5151-4B3F-9F30-38D3C26A33E8}"/>
    <cellStyle name="Separador de milhares 2 11 4 2" xfId="39893" xr:uid="{38E423EA-DFF8-4855-966D-B8EA240A0932}"/>
    <cellStyle name="Separador de milhares 2 11 4 3" xfId="39894" xr:uid="{E03AA14E-27E5-417C-A216-ED26F848FE55}"/>
    <cellStyle name="Separador de milhares 2 11 4 4" xfId="39895" xr:uid="{B40BB4BC-E9ED-4F73-B9FD-FB81C263E766}"/>
    <cellStyle name="Separador de milhares 2 11 4 5" xfId="39896" xr:uid="{3229A3E2-1B2F-47BB-9C1A-CB552FE699D3}"/>
    <cellStyle name="Separador de milhares 2 11 4 6" xfId="39897" xr:uid="{CF0CAB9C-D61A-4D02-8621-7816CC1A5B16}"/>
    <cellStyle name="Separador de milhares 2 11 5" xfId="39898" xr:uid="{39AE772C-58F5-4AED-A234-0BA796DB9964}"/>
    <cellStyle name="Separador de milhares 2 11 5 2" xfId="39899" xr:uid="{D6137DF3-3CA5-4C70-BAD5-C946D90D931B}"/>
    <cellStyle name="Separador de milhares 2 11 5 3" xfId="39900" xr:uid="{68EEA14F-39EA-4B26-9A01-2D569F28AB95}"/>
    <cellStyle name="Separador de milhares 2 11 5 4" xfId="39901" xr:uid="{C0893B3B-E758-44E4-9343-74A21ECD3083}"/>
    <cellStyle name="Separador de milhares 2 11 5 5" xfId="39902" xr:uid="{FA9B6EDD-74D4-4B5D-882E-03BB89E5DB75}"/>
    <cellStyle name="Separador de milhares 2 11 5 6" xfId="39903" xr:uid="{0F10FEE3-97D6-4D89-8496-2AB461BE5DC0}"/>
    <cellStyle name="Separador de milhares 2 11 6" xfId="39904" xr:uid="{8ED18FD1-BC69-48DB-839F-620BC6F073A6}"/>
    <cellStyle name="Separador de milhares 2 11 6 2" xfId="39905" xr:uid="{8E417E72-B381-4FC4-A5B8-62FFD0592323}"/>
    <cellStyle name="Separador de milhares 2 11 6 3" xfId="39906" xr:uid="{4CF0CF8F-6325-4005-9B9E-AA16E3111FDA}"/>
    <cellStyle name="Separador de milhares 2 11 6 4" xfId="39907" xr:uid="{278BB56A-64CC-40BC-B808-90F31FB70CB8}"/>
    <cellStyle name="Separador de milhares 2 11 6 5" xfId="39908" xr:uid="{33D70993-291C-4A66-AFE9-B0682AB6566C}"/>
    <cellStyle name="Separador de milhares 2 11 6 6" xfId="39909" xr:uid="{9440BBEF-9240-4D03-B661-7E78ED41AF4D}"/>
    <cellStyle name="Separador de milhares 2 11 7" xfId="39910" xr:uid="{6AC6AF05-3F78-47B0-B376-523FB07613B8}"/>
    <cellStyle name="Separador de milhares 2 11 7 2" xfId="39911" xr:uid="{29CA197E-5C93-4CAC-9527-DDC91B9360E8}"/>
    <cellStyle name="Separador de milhares 2 11 7 3" xfId="39912" xr:uid="{4F93FBB5-3485-43C7-9F3B-671C8C4A047E}"/>
    <cellStyle name="Separador de milhares 2 11 7 4" xfId="39913" xr:uid="{E7753B0C-90D8-499C-9979-0D915D0E363A}"/>
    <cellStyle name="Separador de milhares 2 11 7 5" xfId="39914" xr:uid="{A76661E8-C86F-4913-8A41-71691FA617A4}"/>
    <cellStyle name="Separador de milhares 2 11 7 6" xfId="39915" xr:uid="{4416A30A-168F-4CAC-8AC5-FBAFEE405408}"/>
    <cellStyle name="Separador de milhares 2 11 8" xfId="39916" xr:uid="{49FE1F3C-57B7-4FD7-932C-53727B4F6E96}"/>
    <cellStyle name="Separador de milhares 2 11 8 2" xfId="39917" xr:uid="{4ECF6E72-041E-4E24-A21E-184CD8A1A7CF}"/>
    <cellStyle name="Separador de milhares 2 11 8 3" xfId="39918" xr:uid="{F7BE9DD9-77CE-411F-BBEF-523D1F663771}"/>
    <cellStyle name="Separador de milhares 2 11 8 4" xfId="39919" xr:uid="{4A52D63C-9450-4861-B019-2B2DA79AF68E}"/>
    <cellStyle name="Separador de milhares 2 11 8 5" xfId="39920" xr:uid="{C03A3C7E-8CF4-4DD4-B03C-84A4BCC85465}"/>
    <cellStyle name="Separador de milhares 2 11 8 6" xfId="39921" xr:uid="{84A519BE-0D54-4D52-9563-E77878CD5847}"/>
    <cellStyle name="Separador de milhares 2 11 9" xfId="39922" xr:uid="{E39DBAD0-62EC-4AFD-9A6E-64A7C378EE4D}"/>
    <cellStyle name="Separador de milhares 2 12" xfId="39923" xr:uid="{1F2BF799-6798-42E4-A5DD-96BE460DF6D4}"/>
    <cellStyle name="Separador de milhares 2 12 10" xfId="39924" xr:uid="{C80EBD9E-5500-4323-8AC5-CE4A70F95EF3}"/>
    <cellStyle name="Separador de milhares 2 12 11" xfId="39925" xr:uid="{70D29D91-FDB5-41C5-9468-E4F25A54C8DE}"/>
    <cellStyle name="Separador de milhares 2 12 12" xfId="39926" xr:uid="{AF071C47-F7D0-426A-BED7-A6A7B55AF6DC}"/>
    <cellStyle name="Separador de milhares 2 12 13" xfId="39927" xr:uid="{C7A1E2E5-0C15-42F1-B3FD-DCA26FBB3888}"/>
    <cellStyle name="Separador de milhares 2 12 2" xfId="39928" xr:uid="{ABCCA972-9E4D-4C3E-93D9-9E1B8FB82C8D}"/>
    <cellStyle name="Separador de milhares 2 12 2 2" xfId="39929" xr:uid="{3E563AE1-EC70-4D90-826F-623C6384C596}"/>
    <cellStyle name="Separador de milhares 2 12 2 3" xfId="39930" xr:uid="{6470276E-5277-4297-9845-9C1D1D3C2927}"/>
    <cellStyle name="Separador de milhares 2 12 2 4" xfId="39931" xr:uid="{13CF3EAC-E3B7-4FEE-A090-63DF2D7C2A02}"/>
    <cellStyle name="Separador de milhares 2 12 2 5" xfId="39932" xr:uid="{D14C20B5-4E9C-4C3B-BCF6-618905C6A26A}"/>
    <cellStyle name="Separador de milhares 2 12 2 6" xfId="39933" xr:uid="{6C721ABA-A3A6-484D-96D1-2B36F5A104DC}"/>
    <cellStyle name="Separador de milhares 2 12 3" xfId="39934" xr:uid="{ACF78F84-2604-488D-9AFD-381C344D3BB3}"/>
    <cellStyle name="Separador de milhares 2 12 3 2" xfId="39935" xr:uid="{94334FEA-F331-49A5-BEED-ACC276DD761B}"/>
    <cellStyle name="Separador de milhares 2 12 3 3" xfId="39936" xr:uid="{7E5E4C2D-5B68-4510-8658-22A1D1A0EABC}"/>
    <cellStyle name="Separador de milhares 2 12 3 4" xfId="39937" xr:uid="{BAFE40D4-8F02-4C80-92DD-F4538C6AF7AA}"/>
    <cellStyle name="Separador de milhares 2 12 3 5" xfId="39938" xr:uid="{E3356AFB-504A-47A3-95E8-545131B2FDD3}"/>
    <cellStyle name="Separador de milhares 2 12 3 6" xfId="39939" xr:uid="{E51C53E8-A50D-4C6F-A361-7DD0EF3D3124}"/>
    <cellStyle name="Separador de milhares 2 12 4" xfId="39940" xr:uid="{D1DA25E4-7901-4A5F-AD6E-77A2C8020908}"/>
    <cellStyle name="Separador de milhares 2 12 4 2" xfId="39941" xr:uid="{20B47395-5D40-4861-B12B-D9DAB7C01B9E}"/>
    <cellStyle name="Separador de milhares 2 12 4 3" xfId="39942" xr:uid="{0EC18A60-2A64-44E2-8BCF-4EE944B3E882}"/>
    <cellStyle name="Separador de milhares 2 12 4 4" xfId="39943" xr:uid="{7BA36450-A207-4EDA-9B49-4C1CF376F312}"/>
    <cellStyle name="Separador de milhares 2 12 4 5" xfId="39944" xr:uid="{F828DC63-6424-4995-94DA-3A00DA142203}"/>
    <cellStyle name="Separador de milhares 2 12 4 6" xfId="39945" xr:uid="{2F6A004A-3678-4AF5-858A-5E91BC790F34}"/>
    <cellStyle name="Separador de milhares 2 12 5" xfId="39946" xr:uid="{171BD5D7-89B0-41DD-BD75-057BD7183C46}"/>
    <cellStyle name="Separador de milhares 2 12 5 2" xfId="39947" xr:uid="{19DB3C24-8B97-410F-8FF8-7F9EEEAD66A1}"/>
    <cellStyle name="Separador de milhares 2 12 5 3" xfId="39948" xr:uid="{7766BB77-DEF1-4A92-B57F-02E638008849}"/>
    <cellStyle name="Separador de milhares 2 12 5 4" xfId="39949" xr:uid="{9F39B715-0D18-4EBF-889A-8CCB4D8414D5}"/>
    <cellStyle name="Separador de milhares 2 12 5 5" xfId="39950" xr:uid="{88D86ECB-B065-43F6-8790-961D8676C4EB}"/>
    <cellStyle name="Separador de milhares 2 12 5 6" xfId="39951" xr:uid="{E52B55B4-60FE-4B51-ADF8-F4E4E6D22EC5}"/>
    <cellStyle name="Separador de milhares 2 12 6" xfId="39952" xr:uid="{71DDEC2B-2183-4CA3-8A29-24145ED98749}"/>
    <cellStyle name="Separador de milhares 2 12 6 2" xfId="39953" xr:uid="{75B87D79-20F6-498C-8D34-2A64FD81BC02}"/>
    <cellStyle name="Separador de milhares 2 12 6 3" xfId="39954" xr:uid="{9305E380-3349-41EF-8E47-77244C7EE398}"/>
    <cellStyle name="Separador de milhares 2 12 6 4" xfId="39955" xr:uid="{8A950062-749C-46C6-BEB4-0C6EB440BA7A}"/>
    <cellStyle name="Separador de milhares 2 12 6 5" xfId="39956" xr:uid="{1D78210B-180C-43BE-897F-CFDC2693652A}"/>
    <cellStyle name="Separador de milhares 2 12 6 6" xfId="39957" xr:uid="{FD4A822D-48DB-4BF5-B2E3-1F68607D7D2F}"/>
    <cellStyle name="Separador de milhares 2 12 7" xfId="39958" xr:uid="{BB081BF4-63DF-423F-A286-7825EBE17058}"/>
    <cellStyle name="Separador de milhares 2 12 7 2" xfId="39959" xr:uid="{278E5FCD-34DA-4B0D-A7B9-671FFE5C12BC}"/>
    <cellStyle name="Separador de milhares 2 12 7 3" xfId="39960" xr:uid="{D30AD2B0-731E-4530-B3D5-B57E534D7423}"/>
    <cellStyle name="Separador de milhares 2 12 7 4" xfId="39961" xr:uid="{ACD23BEA-D797-4B8E-B6BE-7BAC9CE7DBD9}"/>
    <cellStyle name="Separador de milhares 2 12 7 5" xfId="39962" xr:uid="{EA7EA301-BF59-4101-9D8A-A6EDE6946AE3}"/>
    <cellStyle name="Separador de milhares 2 12 7 6" xfId="39963" xr:uid="{E976B34C-B45D-45A1-AB0D-B2D743071449}"/>
    <cellStyle name="Separador de milhares 2 12 8" xfId="39964" xr:uid="{8E370B5D-24AF-4C21-881E-2F143E77E2F1}"/>
    <cellStyle name="Separador de milhares 2 12 8 2" xfId="39965" xr:uid="{2B2A6DB5-077E-41DA-8993-6391DFB9211F}"/>
    <cellStyle name="Separador de milhares 2 12 8 3" xfId="39966" xr:uid="{B368A2B6-03E5-4DD9-AC80-843C8AB4B04D}"/>
    <cellStyle name="Separador de milhares 2 12 8 4" xfId="39967" xr:uid="{1683355B-E417-44B5-A6CE-EA5C7ED01A8F}"/>
    <cellStyle name="Separador de milhares 2 12 8 5" xfId="39968" xr:uid="{028A094D-EEE5-4240-AD32-601D4B090497}"/>
    <cellStyle name="Separador de milhares 2 12 8 6" xfId="39969" xr:uid="{FFFD2B2F-9473-4580-A1A5-2D215614E2AE}"/>
    <cellStyle name="Separador de milhares 2 12 9" xfId="39970" xr:uid="{05DFD0B5-E056-4443-A763-3134A3BA4320}"/>
    <cellStyle name="Separador de milhares 2 13" xfId="39971" xr:uid="{65C314D9-BC5F-49C5-B88D-26527A895E2C}"/>
    <cellStyle name="Separador de milhares 2 13 10" xfId="39972" xr:uid="{0F135A61-C458-4D69-ACB9-A8535168D227}"/>
    <cellStyle name="Separador de milhares 2 13 11" xfId="39973" xr:uid="{C23F75AB-78EC-4C43-8E6D-AD55653D25F6}"/>
    <cellStyle name="Separador de milhares 2 13 12" xfId="39974" xr:uid="{A7BD7A48-2CF5-444A-AF88-CC996BDD3B65}"/>
    <cellStyle name="Separador de milhares 2 13 13" xfId="39975" xr:uid="{2EDEBC0C-30C0-4C8A-BFEF-6743B8540E3A}"/>
    <cellStyle name="Separador de milhares 2 13 2" xfId="39976" xr:uid="{A6566B80-C848-4620-A651-507A320BC4AA}"/>
    <cellStyle name="Separador de milhares 2 13 2 2" xfId="39977" xr:uid="{251E15E3-456A-417B-8F62-A563A458A9B0}"/>
    <cellStyle name="Separador de milhares 2 13 2 3" xfId="39978" xr:uid="{88353C07-064F-44DD-90C8-21E409AEC719}"/>
    <cellStyle name="Separador de milhares 2 13 2 4" xfId="39979" xr:uid="{79165656-940F-43FF-BA9C-B799C715E203}"/>
    <cellStyle name="Separador de milhares 2 13 2 5" xfId="39980" xr:uid="{66243D38-1491-4890-9DE8-48F5091E75B4}"/>
    <cellStyle name="Separador de milhares 2 13 2 6" xfId="39981" xr:uid="{774F8264-5930-4CA7-B3FC-9FE3E54CBB7F}"/>
    <cellStyle name="Separador de milhares 2 13 3" xfId="39982" xr:uid="{2158F804-0DE8-4C53-B2E2-1C9D12569B18}"/>
    <cellStyle name="Separador de milhares 2 13 3 2" xfId="39983" xr:uid="{D04C7A55-CFC7-4639-B160-98F54AD66037}"/>
    <cellStyle name="Separador de milhares 2 13 3 3" xfId="39984" xr:uid="{F1C4B047-4827-4CE2-BC5F-0B880EB13CF3}"/>
    <cellStyle name="Separador de milhares 2 13 3 4" xfId="39985" xr:uid="{D437DCD2-875C-4228-99BA-AB34CA80F574}"/>
    <cellStyle name="Separador de milhares 2 13 3 5" xfId="39986" xr:uid="{E5BBAE9E-8856-4566-9100-8B322C92E580}"/>
    <cellStyle name="Separador de milhares 2 13 3 6" xfId="39987" xr:uid="{18FE6A74-AE6B-4DFB-B7CE-BD2D43061931}"/>
    <cellStyle name="Separador de milhares 2 13 4" xfId="39988" xr:uid="{77B69ECE-A171-462B-8FDD-29B7DFF931DC}"/>
    <cellStyle name="Separador de milhares 2 13 4 2" xfId="39989" xr:uid="{91690CFE-25CB-4235-A2AD-C6560FA66CEC}"/>
    <cellStyle name="Separador de milhares 2 13 4 3" xfId="39990" xr:uid="{88F7FB5A-083C-4714-BBB2-4DBBE4D8A706}"/>
    <cellStyle name="Separador de milhares 2 13 4 4" xfId="39991" xr:uid="{E1A3C524-D33C-478B-9217-414E82D1A413}"/>
    <cellStyle name="Separador de milhares 2 13 4 5" xfId="39992" xr:uid="{D29ECB1E-A44C-4022-9A6E-C97CEFE2FAFB}"/>
    <cellStyle name="Separador de milhares 2 13 4 6" xfId="39993" xr:uid="{20329C6D-38CE-47CA-B6B3-75390BFB842F}"/>
    <cellStyle name="Separador de milhares 2 13 5" xfId="39994" xr:uid="{FF96E96D-185F-4E47-8596-D419E9B1CA19}"/>
    <cellStyle name="Separador de milhares 2 13 5 2" xfId="39995" xr:uid="{CA217799-4E14-4B27-A551-325C5863FF9C}"/>
    <cellStyle name="Separador de milhares 2 13 5 3" xfId="39996" xr:uid="{F106CC87-B53B-4CDB-970E-C086069E6377}"/>
    <cellStyle name="Separador de milhares 2 13 5 4" xfId="39997" xr:uid="{A8AD2BA2-4382-4FA7-987D-8ED29E7D26B0}"/>
    <cellStyle name="Separador de milhares 2 13 5 5" xfId="39998" xr:uid="{FBD2DFEE-F6B0-4BAC-8032-3088F577EB0E}"/>
    <cellStyle name="Separador de milhares 2 13 5 6" xfId="39999" xr:uid="{262079A2-0AF7-449F-8B03-45656FEA75BD}"/>
    <cellStyle name="Separador de milhares 2 13 6" xfId="40000" xr:uid="{BB313580-3655-44CD-952F-D57CD2D7534A}"/>
    <cellStyle name="Separador de milhares 2 13 6 2" xfId="40001" xr:uid="{C72F42C1-F936-42DA-83A8-0DBAEE259B30}"/>
    <cellStyle name="Separador de milhares 2 13 6 3" xfId="40002" xr:uid="{16551DF9-5A9B-484B-8584-13E5530D83FD}"/>
    <cellStyle name="Separador de milhares 2 13 6 4" xfId="40003" xr:uid="{9E875424-9222-4BA4-BEB2-33EFCAB3C80F}"/>
    <cellStyle name="Separador de milhares 2 13 6 5" xfId="40004" xr:uid="{964EB633-1E3C-417A-BCF9-ABA206CD0713}"/>
    <cellStyle name="Separador de milhares 2 13 6 6" xfId="40005" xr:uid="{9A47BB63-29A5-419F-AF6B-4EC44064A2B6}"/>
    <cellStyle name="Separador de milhares 2 13 7" xfId="40006" xr:uid="{B5AC82FB-9DB4-46FB-BDE6-9178EA1E2739}"/>
    <cellStyle name="Separador de milhares 2 13 7 2" xfId="40007" xr:uid="{74A73FAB-FA8A-4988-9564-1C5E2D481CE6}"/>
    <cellStyle name="Separador de milhares 2 13 7 3" xfId="40008" xr:uid="{E64A7D9B-14EA-45E7-80EE-A3C04D9E003F}"/>
    <cellStyle name="Separador de milhares 2 13 7 4" xfId="40009" xr:uid="{A76898AD-452A-4104-9302-86DADF6E5AA4}"/>
    <cellStyle name="Separador de milhares 2 13 7 5" xfId="40010" xr:uid="{5D912D0C-6F97-4D9E-9085-5669E73B277E}"/>
    <cellStyle name="Separador de milhares 2 13 7 6" xfId="40011" xr:uid="{3AB0D8BA-B1A4-49A5-B3C6-E78213F949F7}"/>
    <cellStyle name="Separador de milhares 2 13 8" xfId="40012" xr:uid="{B85787CB-FA23-4378-B637-7E0FCCEF96BA}"/>
    <cellStyle name="Separador de milhares 2 13 8 2" xfId="40013" xr:uid="{77991C69-6377-4A77-A0FD-E54E06DE8581}"/>
    <cellStyle name="Separador de milhares 2 13 8 3" xfId="40014" xr:uid="{489006FB-6128-444C-8497-5629ABDEC32A}"/>
    <cellStyle name="Separador de milhares 2 13 8 4" xfId="40015" xr:uid="{1CA67612-60F4-4533-81CB-941F522CB3D5}"/>
    <cellStyle name="Separador de milhares 2 13 8 5" xfId="40016" xr:uid="{0841778B-A946-42EF-9576-2C0556A33FF1}"/>
    <cellStyle name="Separador de milhares 2 13 8 6" xfId="40017" xr:uid="{DBB1D7BC-5F75-40A5-9434-0169736F1649}"/>
    <cellStyle name="Separador de milhares 2 13 9" xfId="40018" xr:uid="{7A5B51E4-3333-479C-B84A-79759446A00D}"/>
    <cellStyle name="Separador de milhares 2 14" xfId="40019" xr:uid="{F5D55B83-0649-4C42-99C4-E92E97108DBD}"/>
    <cellStyle name="Separador de milhares 2 14 10" xfId="40020" xr:uid="{F26D0F57-B5D2-4EF4-AB12-AE1588AD1806}"/>
    <cellStyle name="Separador de milhares 2 14 11" xfId="40021" xr:uid="{825032C5-F9B8-4D5F-A026-7E49351E4FF4}"/>
    <cellStyle name="Separador de milhares 2 14 12" xfId="40022" xr:uid="{0B06D874-9831-4BD6-A911-67B0DF99336B}"/>
    <cellStyle name="Separador de milhares 2 14 13" xfId="40023" xr:uid="{3EFB4A92-4AE7-4138-8B34-8929090920F8}"/>
    <cellStyle name="Separador de milhares 2 14 2" xfId="40024" xr:uid="{86CFD5CB-651C-4CDC-984B-C06E6887F351}"/>
    <cellStyle name="Separador de milhares 2 14 2 2" xfId="40025" xr:uid="{5B17A6B7-8FAA-442A-8771-125F7605D1D6}"/>
    <cellStyle name="Separador de milhares 2 14 2 3" xfId="40026" xr:uid="{0F8EF83B-A881-492A-9A9A-D3139244698F}"/>
    <cellStyle name="Separador de milhares 2 14 2 4" xfId="40027" xr:uid="{973F1F14-BDD0-4D7B-95C5-8F39EDA2BF77}"/>
    <cellStyle name="Separador de milhares 2 14 2 5" xfId="40028" xr:uid="{A1A4FB94-C2FE-4C58-B097-64333580DA72}"/>
    <cellStyle name="Separador de milhares 2 14 2 6" xfId="40029" xr:uid="{9BA23910-8D79-4398-904F-F10BA2C24529}"/>
    <cellStyle name="Separador de milhares 2 14 3" xfId="40030" xr:uid="{EEDF4CBA-850A-4187-A28E-A00C211B9F06}"/>
    <cellStyle name="Separador de milhares 2 14 3 2" xfId="40031" xr:uid="{45380C4B-5594-4013-9FD3-ACC7F6FD175A}"/>
    <cellStyle name="Separador de milhares 2 14 3 3" xfId="40032" xr:uid="{30DF6B0A-B38E-41E7-A8E6-418353DFFB01}"/>
    <cellStyle name="Separador de milhares 2 14 3 4" xfId="40033" xr:uid="{6E0DCE35-1363-411E-BBFA-81CDABFC2D2B}"/>
    <cellStyle name="Separador de milhares 2 14 3 5" xfId="40034" xr:uid="{ED4A8A83-0497-4BB7-8689-25F30644F452}"/>
    <cellStyle name="Separador de milhares 2 14 3 6" xfId="40035" xr:uid="{839405E1-30F6-4F84-A9E7-F367A398E5F9}"/>
    <cellStyle name="Separador de milhares 2 14 4" xfId="40036" xr:uid="{D724B53A-122D-4B71-B86E-528EEA27024A}"/>
    <cellStyle name="Separador de milhares 2 14 4 2" xfId="40037" xr:uid="{D5FFB2E8-1DC1-4CAB-BC53-56CEFCA9E3DA}"/>
    <cellStyle name="Separador de milhares 2 14 4 3" xfId="40038" xr:uid="{760F24A6-07BD-4F80-8315-6AF848A72BB6}"/>
    <cellStyle name="Separador de milhares 2 14 4 4" xfId="40039" xr:uid="{446A969F-3AA3-4601-85D1-ADE8EACC731A}"/>
    <cellStyle name="Separador de milhares 2 14 4 5" xfId="40040" xr:uid="{84BD90F3-10F6-4C94-8239-3BD4A91C7ED8}"/>
    <cellStyle name="Separador de milhares 2 14 4 6" xfId="40041" xr:uid="{4651C278-ABD3-4B63-A827-5816B11E4B8A}"/>
    <cellStyle name="Separador de milhares 2 14 5" xfId="40042" xr:uid="{CABF79A1-A86E-4E8B-9427-7618A73178B2}"/>
    <cellStyle name="Separador de milhares 2 14 5 2" xfId="40043" xr:uid="{48EB20F4-1E9F-4C58-8D97-6207190C2FD8}"/>
    <cellStyle name="Separador de milhares 2 14 5 3" xfId="40044" xr:uid="{7E04D080-96C1-456C-8FC4-EADD0B6EF6CE}"/>
    <cellStyle name="Separador de milhares 2 14 5 4" xfId="40045" xr:uid="{55C02DAF-730F-400B-878D-29216036D3EA}"/>
    <cellStyle name="Separador de milhares 2 14 5 5" xfId="40046" xr:uid="{9E2A8D94-78D5-4059-B08C-BB24326B5FC9}"/>
    <cellStyle name="Separador de milhares 2 14 5 6" xfId="40047" xr:uid="{E031B650-0610-4F19-A495-E676D6C77537}"/>
    <cellStyle name="Separador de milhares 2 14 6" xfId="40048" xr:uid="{4B169EF4-7A72-4CE2-BB20-B23735031713}"/>
    <cellStyle name="Separador de milhares 2 14 6 2" xfId="40049" xr:uid="{38FB06C2-7691-4127-92FF-64FAEAEDB9BE}"/>
    <cellStyle name="Separador de milhares 2 14 6 3" xfId="40050" xr:uid="{70DB91A6-75C9-448B-AAA9-5260C4C3560E}"/>
    <cellStyle name="Separador de milhares 2 14 6 4" xfId="40051" xr:uid="{B531542E-DA41-4F2B-9F39-A7EBF55CF1E0}"/>
    <cellStyle name="Separador de milhares 2 14 6 5" xfId="40052" xr:uid="{8C29F57A-6DF6-4B0A-8453-618D75A7C639}"/>
    <cellStyle name="Separador de milhares 2 14 6 6" xfId="40053" xr:uid="{13442D7E-A3E2-4067-B6A8-869E0AF40916}"/>
    <cellStyle name="Separador de milhares 2 14 7" xfId="40054" xr:uid="{80E57613-DC69-482C-A816-23191C4BC222}"/>
    <cellStyle name="Separador de milhares 2 14 7 2" xfId="40055" xr:uid="{E9D3DB49-31D7-4BB6-ADD0-3F565CDE3375}"/>
    <cellStyle name="Separador de milhares 2 14 7 3" xfId="40056" xr:uid="{9BCF45AA-EF3B-4CA7-A7D6-A260E63DBB5E}"/>
    <cellStyle name="Separador de milhares 2 14 7 4" xfId="40057" xr:uid="{63CF6560-FFB6-487E-BBC0-2B15AAC58F99}"/>
    <cellStyle name="Separador de milhares 2 14 7 5" xfId="40058" xr:uid="{B2E8C7DB-D5D2-4D49-A104-88140B16BE92}"/>
    <cellStyle name="Separador de milhares 2 14 7 6" xfId="40059" xr:uid="{5B98C2DE-AFA6-4D88-8290-7909A4F8C787}"/>
    <cellStyle name="Separador de milhares 2 14 8" xfId="40060" xr:uid="{9FDEF455-078E-4B6E-ADCE-D6318E179166}"/>
    <cellStyle name="Separador de milhares 2 14 8 2" xfId="40061" xr:uid="{661C8470-52E4-43EE-8822-6745984213B1}"/>
    <cellStyle name="Separador de milhares 2 14 8 3" xfId="40062" xr:uid="{A6518E94-209F-46B3-82BD-A75BD717EDEC}"/>
    <cellStyle name="Separador de milhares 2 14 8 4" xfId="40063" xr:uid="{809959E7-C78D-4BFF-9ACD-8E6D93170E1F}"/>
    <cellStyle name="Separador de milhares 2 14 8 5" xfId="40064" xr:uid="{972B46A0-02C8-443F-9D7B-75EA6A29C8E1}"/>
    <cellStyle name="Separador de milhares 2 14 8 6" xfId="40065" xr:uid="{3CD7A4DA-FFC7-45A7-98AF-5FE920D8085B}"/>
    <cellStyle name="Separador de milhares 2 14 9" xfId="40066" xr:uid="{2796C7A3-2EBB-4714-A34B-0678FA5C1B25}"/>
    <cellStyle name="Separador de milhares 2 15" xfId="40067" xr:uid="{2F52A9F8-39F1-4A09-AB04-D3680E7BD07D}"/>
    <cellStyle name="Separador de milhares 2 15 10" xfId="40068" xr:uid="{7CD0C746-E54F-4D86-BDD3-A6A5C401836F}"/>
    <cellStyle name="Separador de milhares 2 15 11" xfId="40069" xr:uid="{C103D8D6-7F32-4BF2-BE74-6254343FE832}"/>
    <cellStyle name="Separador de milhares 2 15 12" xfId="40070" xr:uid="{B2160580-EC7B-46BB-B2BE-FF936734F245}"/>
    <cellStyle name="Separador de milhares 2 15 13" xfId="40071" xr:uid="{CE47F5E3-5CB7-44F6-A1BD-CFE33204D01D}"/>
    <cellStyle name="Separador de milhares 2 15 2" xfId="40072" xr:uid="{9B9F1552-B804-4862-850F-46AE75604853}"/>
    <cellStyle name="Separador de milhares 2 15 2 2" xfId="40073" xr:uid="{93F74D04-AF26-495A-9A5B-1E87FE4A3D32}"/>
    <cellStyle name="Separador de milhares 2 15 2 3" xfId="40074" xr:uid="{ACD9C4B3-C1CF-41AC-87BB-F20530E4BBAF}"/>
    <cellStyle name="Separador de milhares 2 15 2 4" xfId="40075" xr:uid="{0B82EF40-8F0A-4433-AFBA-A4F69497A4C2}"/>
    <cellStyle name="Separador de milhares 2 15 2 5" xfId="40076" xr:uid="{FD7B9A71-16B3-4462-A8A1-BD1E5A68D9D6}"/>
    <cellStyle name="Separador de milhares 2 15 2 6" xfId="40077" xr:uid="{5DE0702A-95E2-4D68-8DA0-A6CE68910EAA}"/>
    <cellStyle name="Separador de milhares 2 15 3" xfId="40078" xr:uid="{639BABA5-1DE6-4DDB-A135-2E92D280E484}"/>
    <cellStyle name="Separador de milhares 2 15 3 2" xfId="40079" xr:uid="{81551613-71DA-455D-9951-FCD3C51FACCF}"/>
    <cellStyle name="Separador de milhares 2 15 3 3" xfId="40080" xr:uid="{89A1440F-F73F-4335-8D00-CEDE6483D1D4}"/>
    <cellStyle name="Separador de milhares 2 15 3 4" xfId="40081" xr:uid="{BEBFA52E-FF12-4305-9EA4-5BAFA741A6F3}"/>
    <cellStyle name="Separador de milhares 2 15 3 5" xfId="40082" xr:uid="{1E2CED0B-DB9E-4A8D-98E5-7B9712B6CAD0}"/>
    <cellStyle name="Separador de milhares 2 15 3 6" xfId="40083" xr:uid="{0361A1CA-89C4-4B82-AAC3-605FBB75444A}"/>
    <cellStyle name="Separador de milhares 2 15 4" xfId="40084" xr:uid="{13CD5958-6949-41F2-9831-C05FCF517519}"/>
    <cellStyle name="Separador de milhares 2 15 4 2" xfId="40085" xr:uid="{4C76AC6F-4F71-4540-8E26-B4EC151C82CF}"/>
    <cellStyle name="Separador de milhares 2 15 4 3" xfId="40086" xr:uid="{18462059-8EC4-4B0A-AA7A-7C201E5E9D47}"/>
    <cellStyle name="Separador de milhares 2 15 4 4" xfId="40087" xr:uid="{E2A0EAAF-E47B-4E72-94B3-1DFF72492F67}"/>
    <cellStyle name="Separador de milhares 2 15 4 5" xfId="40088" xr:uid="{2553BA84-CF1A-48F3-8968-6ED11894A5AE}"/>
    <cellStyle name="Separador de milhares 2 15 4 6" xfId="40089" xr:uid="{1CA45530-B6FC-4824-8C18-DEB2BDBFC6A0}"/>
    <cellStyle name="Separador de milhares 2 15 5" xfId="40090" xr:uid="{80E97ED9-DA23-43F4-9394-B8A7A8B2C5E8}"/>
    <cellStyle name="Separador de milhares 2 15 5 2" xfId="40091" xr:uid="{42D0B1E9-BBA6-4449-9B26-DD2F4C09C1CC}"/>
    <cellStyle name="Separador de milhares 2 15 5 3" xfId="40092" xr:uid="{A129A8F8-9851-46D6-9C4C-0247103419EF}"/>
    <cellStyle name="Separador de milhares 2 15 5 4" xfId="40093" xr:uid="{496D4408-E42B-415B-AB9A-9F27A520B481}"/>
    <cellStyle name="Separador de milhares 2 15 5 5" xfId="40094" xr:uid="{A686EEAD-C343-402D-9689-AB17E070D151}"/>
    <cellStyle name="Separador de milhares 2 15 5 6" xfId="40095" xr:uid="{DDEDC792-2261-40CC-9D8A-E8BDF5E4524E}"/>
    <cellStyle name="Separador de milhares 2 15 6" xfId="40096" xr:uid="{6F5CC962-C334-44CF-A91C-FD9368DE2405}"/>
    <cellStyle name="Separador de milhares 2 15 6 2" xfId="40097" xr:uid="{9DE5043E-C656-4F01-AAF9-FC5991B5DA72}"/>
    <cellStyle name="Separador de milhares 2 15 6 3" xfId="40098" xr:uid="{DFF2EC9B-609D-4797-880D-D86579ABAFD2}"/>
    <cellStyle name="Separador de milhares 2 15 6 4" xfId="40099" xr:uid="{7CF54267-5EFF-4B40-AA10-8D2EAC1ACDF5}"/>
    <cellStyle name="Separador de milhares 2 15 6 5" xfId="40100" xr:uid="{14FC8C4B-5712-4DA5-BE5A-A4703604AD94}"/>
    <cellStyle name="Separador de milhares 2 15 6 6" xfId="40101" xr:uid="{85466800-BD38-41F1-8F14-0FE95110EECF}"/>
    <cellStyle name="Separador de milhares 2 15 7" xfId="40102" xr:uid="{D9C00737-087D-4135-9D85-B977DC57E77F}"/>
    <cellStyle name="Separador de milhares 2 15 7 2" xfId="40103" xr:uid="{CCBD1ECC-B9A8-493B-9D46-6A5C13355312}"/>
    <cellStyle name="Separador de milhares 2 15 7 3" xfId="40104" xr:uid="{DEB08419-EA8C-4EDD-BCEA-F7CA50B56763}"/>
    <cellStyle name="Separador de milhares 2 15 7 4" xfId="40105" xr:uid="{5BFFB74B-369E-42B5-8493-B15B1FA446AD}"/>
    <cellStyle name="Separador de milhares 2 15 7 5" xfId="40106" xr:uid="{E37D68AF-81B4-4A1E-9369-DC54F365A6A3}"/>
    <cellStyle name="Separador de milhares 2 15 7 6" xfId="40107" xr:uid="{ED23286F-DB05-4FEA-A230-AD1932936B83}"/>
    <cellStyle name="Separador de milhares 2 15 8" xfId="40108" xr:uid="{06099DC4-67D7-47B0-AEC2-37F810DF8C9F}"/>
    <cellStyle name="Separador de milhares 2 15 8 2" xfId="40109" xr:uid="{665568BB-237B-408E-B8D3-BDED72EBC059}"/>
    <cellStyle name="Separador de milhares 2 15 8 3" xfId="40110" xr:uid="{0404A256-1D5B-4B1A-BD70-06420F95E437}"/>
    <cellStyle name="Separador de milhares 2 15 8 4" xfId="40111" xr:uid="{4636691E-931E-4C1F-974D-FB360B1CBE26}"/>
    <cellStyle name="Separador de milhares 2 15 8 5" xfId="40112" xr:uid="{A2546D19-74D3-4C0E-AB0D-7CEB699DA33B}"/>
    <cellStyle name="Separador de milhares 2 15 8 6" xfId="40113" xr:uid="{3C7EBA09-AE4A-4004-B1DF-C899455B449D}"/>
    <cellStyle name="Separador de milhares 2 15 9" xfId="40114" xr:uid="{F3F96543-28D6-4515-8488-1EDA93F29722}"/>
    <cellStyle name="Separador de milhares 2 16" xfId="40115" xr:uid="{B10B7C09-B3AB-4361-A64D-6C042C07C9EC}"/>
    <cellStyle name="Separador de milhares 2 16 10" xfId="40116" xr:uid="{C32D103C-7557-4BAF-8C68-649F953EBA0A}"/>
    <cellStyle name="Separador de milhares 2 16 11" xfId="40117" xr:uid="{FAC55294-3B2B-4E21-B8C7-55DA5181F910}"/>
    <cellStyle name="Separador de milhares 2 16 12" xfId="40118" xr:uid="{0198C8F5-D1D3-49CD-A6DC-41BFC47FD867}"/>
    <cellStyle name="Separador de milhares 2 16 13" xfId="40119" xr:uid="{1A075A0F-AB63-4438-AC60-BBE24BE09367}"/>
    <cellStyle name="Separador de milhares 2 16 2" xfId="40120" xr:uid="{FF42C6FA-C61F-4F36-8904-FF6034919284}"/>
    <cellStyle name="Separador de milhares 2 16 2 2" xfId="40121" xr:uid="{84642C23-21B5-4A3C-A9C6-73EDAC7F3DE6}"/>
    <cellStyle name="Separador de milhares 2 16 2 3" xfId="40122" xr:uid="{37204602-2621-4241-8156-3E30D9AE91A7}"/>
    <cellStyle name="Separador de milhares 2 16 2 4" xfId="40123" xr:uid="{AF18665B-72ED-432C-A795-80B97B539B00}"/>
    <cellStyle name="Separador de milhares 2 16 2 5" xfId="40124" xr:uid="{59087BB7-B455-40EF-89EF-ECD772DDC2D7}"/>
    <cellStyle name="Separador de milhares 2 16 2 6" xfId="40125" xr:uid="{42974C08-AA7E-4694-AC7B-4A4D311CDC66}"/>
    <cellStyle name="Separador de milhares 2 16 3" xfId="40126" xr:uid="{200A7ACA-4FA4-4F6B-B05B-D53A0DA03363}"/>
    <cellStyle name="Separador de milhares 2 16 3 2" xfId="40127" xr:uid="{C3A14ED2-3122-45EE-9E82-1FA06E8C9522}"/>
    <cellStyle name="Separador de milhares 2 16 3 3" xfId="40128" xr:uid="{6E6DD30B-61A5-42BF-A1CB-316B4A860EB1}"/>
    <cellStyle name="Separador de milhares 2 16 3 4" xfId="40129" xr:uid="{E244A498-38D7-4114-9A28-8DBEF946493C}"/>
    <cellStyle name="Separador de milhares 2 16 3 5" xfId="40130" xr:uid="{9F309EA5-FC62-49C7-9641-6603612B4CF6}"/>
    <cellStyle name="Separador de milhares 2 16 3 6" xfId="40131" xr:uid="{F2D0576E-C70B-48D6-B572-3276C82C84C9}"/>
    <cellStyle name="Separador de milhares 2 16 4" xfId="40132" xr:uid="{0F865785-5B2A-4CA7-A148-1332C78CAA91}"/>
    <cellStyle name="Separador de milhares 2 16 4 2" xfId="40133" xr:uid="{15557098-222C-465D-AC8E-CDAA5B4D295B}"/>
    <cellStyle name="Separador de milhares 2 16 4 3" xfId="40134" xr:uid="{3AFC4C81-DF75-4B9C-BD69-818105BD47DF}"/>
    <cellStyle name="Separador de milhares 2 16 4 4" xfId="40135" xr:uid="{5B8F623F-3E49-422B-8E24-4685E86ADEA1}"/>
    <cellStyle name="Separador de milhares 2 16 4 5" xfId="40136" xr:uid="{358BC083-FA52-4ECD-B723-5B85FDA42EDB}"/>
    <cellStyle name="Separador de milhares 2 16 4 6" xfId="40137" xr:uid="{E6AE6C6A-E5F9-495F-895C-03E28557C0CD}"/>
    <cellStyle name="Separador de milhares 2 16 5" xfId="40138" xr:uid="{9269E246-B49D-47DE-8C5B-DE6B11869536}"/>
    <cellStyle name="Separador de milhares 2 16 5 2" xfId="40139" xr:uid="{F566ED08-0B40-4CD1-9302-2852D72432AE}"/>
    <cellStyle name="Separador de milhares 2 16 5 3" xfId="40140" xr:uid="{0F7115A5-F776-4308-BC61-DFFE8A4BFAB8}"/>
    <cellStyle name="Separador de milhares 2 16 5 4" xfId="40141" xr:uid="{ABDB762F-3F94-426C-9647-BF2A721330EE}"/>
    <cellStyle name="Separador de milhares 2 16 5 5" xfId="40142" xr:uid="{04907FB7-7E0A-4F75-A539-242389CDAED1}"/>
    <cellStyle name="Separador de milhares 2 16 5 6" xfId="40143" xr:uid="{08E13A80-1E83-41C6-9B78-718C58E636F4}"/>
    <cellStyle name="Separador de milhares 2 16 6" xfId="40144" xr:uid="{6C3B1D01-976B-4914-BC33-DE393BE8E9AF}"/>
    <cellStyle name="Separador de milhares 2 16 6 2" xfId="40145" xr:uid="{33AD3DED-42EB-49B6-A07F-B39B104FF863}"/>
    <cellStyle name="Separador de milhares 2 16 6 3" xfId="40146" xr:uid="{132A04EE-C61D-4AD4-B822-A95B40F04137}"/>
    <cellStyle name="Separador de milhares 2 16 6 4" xfId="40147" xr:uid="{4E2516E6-E1C6-4C00-A6F2-6968737C9901}"/>
    <cellStyle name="Separador de milhares 2 16 6 5" xfId="40148" xr:uid="{DD01EAB3-C211-43D5-9459-FC41495A9A7D}"/>
    <cellStyle name="Separador de milhares 2 16 6 6" xfId="40149" xr:uid="{540AB7AF-85C8-4C75-A7CC-A753AC498D38}"/>
    <cellStyle name="Separador de milhares 2 16 7" xfId="40150" xr:uid="{74049195-FF9E-4BB3-BCA2-ECE02A34380E}"/>
    <cellStyle name="Separador de milhares 2 16 7 2" xfId="40151" xr:uid="{96D30A4E-4C07-43ED-89D9-3C7938C8BD5A}"/>
    <cellStyle name="Separador de milhares 2 16 7 3" xfId="40152" xr:uid="{BA5C55CD-3635-441C-AF9A-EE1D06C8682A}"/>
    <cellStyle name="Separador de milhares 2 16 7 4" xfId="40153" xr:uid="{816E5789-95B1-4DFA-A223-02183821F02A}"/>
    <cellStyle name="Separador de milhares 2 16 7 5" xfId="40154" xr:uid="{3C6E4826-D425-4970-9F88-93DB27E901E9}"/>
    <cellStyle name="Separador de milhares 2 16 7 6" xfId="40155" xr:uid="{7011AA81-1207-4F4C-8A2E-A295DBF3580F}"/>
    <cellStyle name="Separador de milhares 2 16 8" xfId="40156" xr:uid="{AA0E3DEE-BE38-48D7-BB57-50AE39BBAEEC}"/>
    <cellStyle name="Separador de milhares 2 16 8 2" xfId="40157" xr:uid="{19845D52-3358-4215-B945-D52DEC78BBBA}"/>
    <cellStyle name="Separador de milhares 2 16 8 3" xfId="40158" xr:uid="{C9076CB2-19DA-4C95-AF9D-21E77CC2FD90}"/>
    <cellStyle name="Separador de milhares 2 16 8 4" xfId="40159" xr:uid="{7F0F7581-B8EB-4C31-B1CE-E5C7A0C7AA4E}"/>
    <cellStyle name="Separador de milhares 2 16 8 5" xfId="40160" xr:uid="{5686D7AD-C5D2-4D10-BD7B-F76C2AB81234}"/>
    <cellStyle name="Separador de milhares 2 16 8 6" xfId="40161" xr:uid="{8B9DFDEB-E87F-44B8-8139-0F21FC7F1A3E}"/>
    <cellStyle name="Separador de milhares 2 16 9" xfId="40162" xr:uid="{67E05552-9C00-4430-9B68-9265440A94CF}"/>
    <cellStyle name="Separador de milhares 2 17" xfId="40163" xr:uid="{9DC1D6AC-5CF8-4B85-89C0-D029D6FE2882}"/>
    <cellStyle name="Separador de milhares 2 17 10" xfId="40164" xr:uid="{F409EA4B-29B0-49A3-A9E8-1BF28699F0A4}"/>
    <cellStyle name="Separador de milhares 2 17 11" xfId="40165" xr:uid="{59FA2724-0ABF-42D6-9064-94278223D28F}"/>
    <cellStyle name="Separador de milhares 2 17 12" xfId="40166" xr:uid="{CD157F84-B52C-490B-9BEC-8676DC4A95A0}"/>
    <cellStyle name="Separador de milhares 2 17 13" xfId="40167" xr:uid="{7818FBB8-4485-47CD-83E2-59C6359121AC}"/>
    <cellStyle name="Separador de milhares 2 17 2" xfId="40168" xr:uid="{3EB04476-223B-4EFD-8AA6-F3AAB1ABE3D0}"/>
    <cellStyle name="Separador de milhares 2 17 2 2" xfId="40169" xr:uid="{E5B23378-5A24-438C-85D2-BF2E72386F5A}"/>
    <cellStyle name="Separador de milhares 2 17 2 3" xfId="40170" xr:uid="{BBD1AD2F-F197-4B5F-86FE-61BFCA4BB6EA}"/>
    <cellStyle name="Separador de milhares 2 17 2 4" xfId="40171" xr:uid="{EC7C2C7B-5BC6-4A34-B376-6BDDD89EE834}"/>
    <cellStyle name="Separador de milhares 2 17 2 5" xfId="40172" xr:uid="{19FBABD3-BB49-4186-97FF-E97B760C046F}"/>
    <cellStyle name="Separador de milhares 2 17 2 6" xfId="40173" xr:uid="{F5982C06-2CF3-40DE-B55E-E38C26117BF0}"/>
    <cellStyle name="Separador de milhares 2 17 3" xfId="40174" xr:uid="{528580FD-B18D-4371-B0A0-31B16EFC312E}"/>
    <cellStyle name="Separador de milhares 2 17 3 2" xfId="40175" xr:uid="{4BC34660-3E49-4038-8A5D-C72433262D24}"/>
    <cellStyle name="Separador de milhares 2 17 3 3" xfId="40176" xr:uid="{2DFAE763-8F2B-439B-8713-C20DA9EC37DB}"/>
    <cellStyle name="Separador de milhares 2 17 3 4" xfId="40177" xr:uid="{E701DC90-E99B-48AA-BFF9-0114E171C5C0}"/>
    <cellStyle name="Separador de milhares 2 17 3 5" xfId="40178" xr:uid="{0EAA7F1A-76AC-4BCE-AC87-6EB0D35CCCFC}"/>
    <cellStyle name="Separador de milhares 2 17 3 6" xfId="40179" xr:uid="{B17F98F4-37FB-4BDE-A84A-F7FFFF0CB0E5}"/>
    <cellStyle name="Separador de milhares 2 17 4" xfId="40180" xr:uid="{0C6BB0F6-2E0B-4015-8C2F-ECFE0D07DF48}"/>
    <cellStyle name="Separador de milhares 2 17 4 2" xfId="40181" xr:uid="{009AC3CD-E109-4DBC-9840-D887374F26B9}"/>
    <cellStyle name="Separador de milhares 2 17 4 3" xfId="40182" xr:uid="{C2154B93-E748-4E94-8195-CC53DB156281}"/>
    <cellStyle name="Separador de milhares 2 17 4 4" xfId="40183" xr:uid="{EF8FF6B3-E9A8-46B7-82F3-EFECDDBD2F79}"/>
    <cellStyle name="Separador de milhares 2 17 4 5" xfId="40184" xr:uid="{5C1CB096-FBCF-461D-A4E4-12F17F1A9310}"/>
    <cellStyle name="Separador de milhares 2 17 4 6" xfId="40185" xr:uid="{81EDFBA4-14AC-4D40-BF54-1D496F971FFE}"/>
    <cellStyle name="Separador de milhares 2 17 5" xfId="40186" xr:uid="{3BF8F8B9-5641-4877-90F9-3F911A9712F7}"/>
    <cellStyle name="Separador de milhares 2 17 5 2" xfId="40187" xr:uid="{90DE8BD2-CFDE-45D1-AC00-720B5A035D52}"/>
    <cellStyle name="Separador de milhares 2 17 5 3" xfId="40188" xr:uid="{A4F12483-CADB-4983-A079-205DBEA931D6}"/>
    <cellStyle name="Separador de milhares 2 17 5 4" xfId="40189" xr:uid="{08416F31-F523-442F-AE97-48AC62F6636E}"/>
    <cellStyle name="Separador de milhares 2 17 5 5" xfId="40190" xr:uid="{AD539FE5-3AE3-4E4C-921C-3280D815503C}"/>
    <cellStyle name="Separador de milhares 2 17 5 6" xfId="40191" xr:uid="{909DDD62-F48E-4C7A-84B4-D6A657B060D3}"/>
    <cellStyle name="Separador de milhares 2 17 6" xfId="40192" xr:uid="{F571A8F4-353F-4C17-A988-8EDC02066987}"/>
    <cellStyle name="Separador de milhares 2 17 6 2" xfId="40193" xr:uid="{E378EE99-EB67-49F0-AA82-0ECB6E5D4878}"/>
    <cellStyle name="Separador de milhares 2 17 6 3" xfId="40194" xr:uid="{155CB391-094B-4ECB-BE3E-015FCDBB4788}"/>
    <cellStyle name="Separador de milhares 2 17 6 4" xfId="40195" xr:uid="{406F4BB3-957D-439B-B54F-4BB834509CCE}"/>
    <cellStyle name="Separador de milhares 2 17 6 5" xfId="40196" xr:uid="{ACA4C1F5-2ECA-4499-BDD1-5E74ACC35C8E}"/>
    <cellStyle name="Separador de milhares 2 17 6 6" xfId="40197" xr:uid="{31B7519B-35D5-419C-B146-8DE84F54A3E4}"/>
    <cellStyle name="Separador de milhares 2 17 7" xfId="40198" xr:uid="{4C3BB54C-CCAA-4164-BC9D-B1397B165BDF}"/>
    <cellStyle name="Separador de milhares 2 17 7 2" xfId="40199" xr:uid="{440FDCC6-9928-47D2-8DB2-CFBE77B6A49A}"/>
    <cellStyle name="Separador de milhares 2 17 7 3" xfId="40200" xr:uid="{22829004-C357-4D6B-8A61-05299C9DD982}"/>
    <cellStyle name="Separador de milhares 2 17 7 4" xfId="40201" xr:uid="{A0829A55-0B0F-406B-8A88-DC77CBD3E7F7}"/>
    <cellStyle name="Separador de milhares 2 17 7 5" xfId="40202" xr:uid="{3EDAF974-1504-4C36-9EAA-18C511492473}"/>
    <cellStyle name="Separador de milhares 2 17 7 6" xfId="40203" xr:uid="{E4DE985B-0508-4A6C-B62D-9ED3D53419AF}"/>
    <cellStyle name="Separador de milhares 2 17 8" xfId="40204" xr:uid="{00B89F4E-97E2-48D6-90A7-4A1BF88685CD}"/>
    <cellStyle name="Separador de milhares 2 17 8 2" xfId="40205" xr:uid="{6FBD6BE7-6B6D-4522-8723-59D0D770B410}"/>
    <cellStyle name="Separador de milhares 2 17 8 3" xfId="40206" xr:uid="{867FF49A-E456-4DD9-92E1-B1A1F28863B2}"/>
    <cellStyle name="Separador de milhares 2 17 8 4" xfId="40207" xr:uid="{9AAA51C9-FF30-4DA8-89AC-59600D8D49E2}"/>
    <cellStyle name="Separador de milhares 2 17 8 5" xfId="40208" xr:uid="{19E5F014-8A31-45F5-A04E-2A10E0DECCCF}"/>
    <cellStyle name="Separador de milhares 2 17 8 6" xfId="40209" xr:uid="{96108ECB-6C0C-4EA2-A9DF-AE19B4DA75DD}"/>
    <cellStyle name="Separador de milhares 2 17 9" xfId="40210" xr:uid="{E92B09C6-C5EA-4226-98E9-14FCC1EA76EC}"/>
    <cellStyle name="Separador de milhares 2 18" xfId="40211" xr:uid="{EA04C047-39E1-4D16-ABEB-2CEC0678BFDD}"/>
    <cellStyle name="Separador de milhares 2 18 10" xfId="40212" xr:uid="{F7858130-5D21-4543-B31C-FE7048E0BF22}"/>
    <cellStyle name="Separador de milhares 2 18 11" xfId="40213" xr:uid="{D0E2E0B4-145E-4EC7-8A41-00288202C4EA}"/>
    <cellStyle name="Separador de milhares 2 18 12" xfId="40214" xr:uid="{784FF36A-F398-4C0C-9CCC-B94B5DD0060C}"/>
    <cellStyle name="Separador de milhares 2 18 13" xfId="40215" xr:uid="{42CD5F2E-C041-456F-AF5C-E7CA78506C39}"/>
    <cellStyle name="Separador de milhares 2 18 2" xfId="40216" xr:uid="{FF1F7BB8-76FD-47BC-8AAE-AE21A36BFC3D}"/>
    <cellStyle name="Separador de milhares 2 18 2 2" xfId="40217" xr:uid="{6A839123-6C3B-4A39-93DF-6353BB632A1A}"/>
    <cellStyle name="Separador de milhares 2 18 2 3" xfId="40218" xr:uid="{F33273EA-C0A1-45DE-8D11-1FA9EF8934D8}"/>
    <cellStyle name="Separador de milhares 2 18 2 4" xfId="40219" xr:uid="{44C7AE53-C511-4801-8E99-26AC0C9D3028}"/>
    <cellStyle name="Separador de milhares 2 18 2 5" xfId="40220" xr:uid="{0E24D1AC-8BD0-4A55-9E79-723C33B0298B}"/>
    <cellStyle name="Separador de milhares 2 18 2 6" xfId="40221" xr:uid="{24F282BF-E939-457E-9111-0557B9CE2EA8}"/>
    <cellStyle name="Separador de milhares 2 18 3" xfId="40222" xr:uid="{75108802-9708-466E-8687-CB6E1D4FBC8B}"/>
    <cellStyle name="Separador de milhares 2 18 3 2" xfId="40223" xr:uid="{4B613D01-6BA9-4D78-B54A-268EA217DDD2}"/>
    <cellStyle name="Separador de milhares 2 18 3 3" xfId="40224" xr:uid="{034EB991-526D-4D31-A82B-6B10E84FD340}"/>
    <cellStyle name="Separador de milhares 2 18 3 4" xfId="40225" xr:uid="{19DACBBB-E06D-459E-A3BF-788F7189D16E}"/>
    <cellStyle name="Separador de milhares 2 18 3 5" xfId="40226" xr:uid="{F92425B4-72A0-4185-A7CF-73580068E1F6}"/>
    <cellStyle name="Separador de milhares 2 18 3 6" xfId="40227" xr:uid="{C7C96B23-9440-4E8C-824B-037AA15478CD}"/>
    <cellStyle name="Separador de milhares 2 18 4" xfId="40228" xr:uid="{96BFDD9A-A5E4-445A-A256-EEC58428203F}"/>
    <cellStyle name="Separador de milhares 2 18 4 2" xfId="40229" xr:uid="{9ED7C4BE-B805-4007-B305-E267A2D5A1AA}"/>
    <cellStyle name="Separador de milhares 2 18 4 3" xfId="40230" xr:uid="{A31DBD56-E616-4F47-B2AD-270E3AFEE56A}"/>
    <cellStyle name="Separador de milhares 2 18 4 4" xfId="40231" xr:uid="{3703D24D-2CF7-44C0-AB0E-0238DCA016BA}"/>
    <cellStyle name="Separador de milhares 2 18 4 5" xfId="40232" xr:uid="{8737E968-A579-4953-B2FB-356313681A42}"/>
    <cellStyle name="Separador de milhares 2 18 4 6" xfId="40233" xr:uid="{B99CA338-A5FC-49DF-972C-21006C41EB23}"/>
    <cellStyle name="Separador de milhares 2 18 5" xfId="40234" xr:uid="{290BD6F9-0C50-468C-8E8B-834B9EBA4B26}"/>
    <cellStyle name="Separador de milhares 2 18 5 2" xfId="40235" xr:uid="{24E6A5CA-B153-43F7-A026-25E496A9837D}"/>
    <cellStyle name="Separador de milhares 2 18 5 3" xfId="40236" xr:uid="{75FC85D2-834B-4041-9B92-49906658AD5E}"/>
    <cellStyle name="Separador de milhares 2 18 5 4" xfId="40237" xr:uid="{8E905FD3-E623-46A9-9051-9C8988FEB3F8}"/>
    <cellStyle name="Separador de milhares 2 18 5 5" xfId="40238" xr:uid="{446DAE2C-1EF8-4EF7-AADF-CEE5E5726770}"/>
    <cellStyle name="Separador de milhares 2 18 5 6" xfId="40239" xr:uid="{FC8EDED6-E664-415A-82ED-BC19E34B7C89}"/>
    <cellStyle name="Separador de milhares 2 18 6" xfId="40240" xr:uid="{3763A85E-7318-4B37-94E0-21BB7A3C769C}"/>
    <cellStyle name="Separador de milhares 2 18 6 2" xfId="40241" xr:uid="{A511760A-D8AD-4DB6-B2FA-D27847304CE6}"/>
    <cellStyle name="Separador de milhares 2 18 6 3" xfId="40242" xr:uid="{0DCB722B-2DCF-4F18-B700-BFFC6B3B6F4B}"/>
    <cellStyle name="Separador de milhares 2 18 6 4" xfId="40243" xr:uid="{C48A3870-03A6-4C10-85C8-84A2CEE500F2}"/>
    <cellStyle name="Separador de milhares 2 18 6 5" xfId="40244" xr:uid="{08CBB7E8-B605-4195-BA62-812FB9331638}"/>
    <cellStyle name="Separador de milhares 2 18 6 6" xfId="40245" xr:uid="{D323E707-C526-4F18-AF79-21701A69DDBE}"/>
    <cellStyle name="Separador de milhares 2 18 7" xfId="40246" xr:uid="{C7CCE5DE-FFE5-4AD9-AD9A-77EE25BA3B7B}"/>
    <cellStyle name="Separador de milhares 2 18 7 2" xfId="40247" xr:uid="{FF319B2D-5B02-4675-A132-C408AC37D504}"/>
    <cellStyle name="Separador de milhares 2 18 7 3" xfId="40248" xr:uid="{EA409DF7-7302-439F-A06D-1A09E0B9DFA0}"/>
    <cellStyle name="Separador de milhares 2 18 7 4" xfId="40249" xr:uid="{1492CB1C-4CA2-45A3-98BE-9E348052EAB4}"/>
    <cellStyle name="Separador de milhares 2 18 7 5" xfId="40250" xr:uid="{4A0240A6-23CA-437E-BB57-52A8BA9F48AB}"/>
    <cellStyle name="Separador de milhares 2 18 7 6" xfId="40251" xr:uid="{B23D4684-144B-4E8E-8002-DEB209759F56}"/>
    <cellStyle name="Separador de milhares 2 18 8" xfId="40252" xr:uid="{7FFE3F0B-F3B8-488F-A4A6-1341AFD69E00}"/>
    <cellStyle name="Separador de milhares 2 18 8 2" xfId="40253" xr:uid="{89FE7BF3-580A-41B6-97EB-FCA5FC28973E}"/>
    <cellStyle name="Separador de milhares 2 18 8 3" xfId="40254" xr:uid="{54AFBC12-4D28-4C82-9159-B82BB359023E}"/>
    <cellStyle name="Separador de milhares 2 18 8 4" xfId="40255" xr:uid="{4B4F8B58-54B4-478A-BC3B-AC76D32E00AF}"/>
    <cellStyle name="Separador de milhares 2 18 8 5" xfId="40256" xr:uid="{6B548A90-72E6-42B2-93AF-F7D73483A7EF}"/>
    <cellStyle name="Separador de milhares 2 18 8 6" xfId="40257" xr:uid="{874823CE-43FA-4035-978F-5A67139B4D86}"/>
    <cellStyle name="Separador de milhares 2 18 9" xfId="40258" xr:uid="{AD8EC237-417F-43BC-AEBA-85FB35278FE2}"/>
    <cellStyle name="Separador de milhares 2 19" xfId="40259" xr:uid="{CD92A8EC-87E1-4262-B0DC-D1F0E883675B}"/>
    <cellStyle name="Separador de milhares 2 19 10" xfId="40260" xr:uid="{9803E519-0342-48F7-9298-01B1656FABD4}"/>
    <cellStyle name="Separador de milhares 2 19 11" xfId="40261" xr:uid="{AAA16D9F-BB8F-4513-BD93-69C1A748FD77}"/>
    <cellStyle name="Separador de milhares 2 19 12" xfId="40262" xr:uid="{8C56ED09-04E3-4BC3-A28E-49DAA36A7439}"/>
    <cellStyle name="Separador de milhares 2 19 13" xfId="40263" xr:uid="{66443BA4-7ED0-4C2C-974A-D5DC3F0E197E}"/>
    <cellStyle name="Separador de milhares 2 19 2" xfId="40264" xr:uid="{AFAC8992-E2B5-4112-9233-55033AE3719C}"/>
    <cellStyle name="Separador de milhares 2 19 2 2" xfId="40265" xr:uid="{88F0B9CC-A77A-4ED0-AEA1-1EFDB52930AD}"/>
    <cellStyle name="Separador de milhares 2 19 2 3" xfId="40266" xr:uid="{94D4FB89-6108-491B-B7E3-B61C2500B00D}"/>
    <cellStyle name="Separador de milhares 2 19 2 4" xfId="40267" xr:uid="{952BE7D2-7401-4F0D-9782-00460AA5C9B2}"/>
    <cellStyle name="Separador de milhares 2 19 2 5" xfId="40268" xr:uid="{88300F22-840D-442A-A075-C6F177EE72BD}"/>
    <cellStyle name="Separador de milhares 2 19 2 6" xfId="40269" xr:uid="{65FF158A-3A41-487A-8D69-132B803B5D2A}"/>
    <cellStyle name="Separador de milhares 2 19 3" xfId="40270" xr:uid="{FB315F80-421C-4939-95C8-43F74489DBC2}"/>
    <cellStyle name="Separador de milhares 2 19 3 2" xfId="40271" xr:uid="{01B6809E-99BA-4D22-ADE2-F8C2B25CAD0E}"/>
    <cellStyle name="Separador de milhares 2 19 3 3" xfId="40272" xr:uid="{E92DC839-AD53-4EBC-AB58-5D05A6757B27}"/>
    <cellStyle name="Separador de milhares 2 19 3 4" xfId="40273" xr:uid="{4D6239C7-8BC6-4093-B75B-50A72A2C4AE2}"/>
    <cellStyle name="Separador de milhares 2 19 3 5" xfId="40274" xr:uid="{65012EEE-F422-4F92-9E31-33D67631FD09}"/>
    <cellStyle name="Separador de milhares 2 19 3 6" xfId="40275" xr:uid="{5B81A08C-2CCD-424D-8EDE-D5D55E58AE92}"/>
    <cellStyle name="Separador de milhares 2 19 4" xfId="40276" xr:uid="{985E6EB0-44A9-4B75-96C1-AD8B628B7B5B}"/>
    <cellStyle name="Separador de milhares 2 19 4 2" xfId="40277" xr:uid="{CC58715C-703C-4CC9-8DF2-7E716CCBD325}"/>
    <cellStyle name="Separador de milhares 2 19 4 3" xfId="40278" xr:uid="{E43C81C4-332D-43F4-A0C0-75F1B6C38400}"/>
    <cellStyle name="Separador de milhares 2 19 4 4" xfId="40279" xr:uid="{BB592F5A-F68F-4DCB-91FB-5782EB2CDA3A}"/>
    <cellStyle name="Separador de milhares 2 19 4 5" xfId="40280" xr:uid="{A3285950-CCB0-4FC2-A707-7E5BE985C915}"/>
    <cellStyle name="Separador de milhares 2 19 4 6" xfId="40281" xr:uid="{FFD203AF-0F4C-421A-BB07-A0D6B409A307}"/>
    <cellStyle name="Separador de milhares 2 19 5" xfId="40282" xr:uid="{F918CA21-1DC0-4016-A461-5BD02DE3A980}"/>
    <cellStyle name="Separador de milhares 2 19 5 2" xfId="40283" xr:uid="{4CCD2DD9-89F6-4BA2-88D1-061DCF9A8F96}"/>
    <cellStyle name="Separador de milhares 2 19 5 3" xfId="40284" xr:uid="{3AAE5DA1-6EDC-419C-BD24-B2EDB5A31868}"/>
    <cellStyle name="Separador de milhares 2 19 5 4" xfId="40285" xr:uid="{30667DF2-66E1-461D-9C4B-1ADB2D65B3D2}"/>
    <cellStyle name="Separador de milhares 2 19 5 5" xfId="40286" xr:uid="{EEC83668-8388-4E9A-AFF4-F040EA11EEBE}"/>
    <cellStyle name="Separador de milhares 2 19 5 6" xfId="40287" xr:uid="{02966513-0746-4559-90CC-4FA35975FA82}"/>
    <cellStyle name="Separador de milhares 2 19 6" xfId="40288" xr:uid="{00E77E19-130A-4496-AE6E-8EDB2F265F69}"/>
    <cellStyle name="Separador de milhares 2 19 6 2" xfId="40289" xr:uid="{978AE2A5-6102-40C2-98F5-6308F9DBD11F}"/>
    <cellStyle name="Separador de milhares 2 19 6 3" xfId="40290" xr:uid="{ECEBF941-8C28-4ADE-8A9D-761986FB2BFF}"/>
    <cellStyle name="Separador de milhares 2 19 6 4" xfId="40291" xr:uid="{FEB36760-178B-41A5-A7D5-228425591AA9}"/>
    <cellStyle name="Separador de milhares 2 19 6 5" xfId="40292" xr:uid="{7D5F4779-8667-4740-994D-F9F423299B9C}"/>
    <cellStyle name="Separador de milhares 2 19 6 6" xfId="40293" xr:uid="{E4DE4AA1-B651-4846-90D2-79FFBA14DCDC}"/>
    <cellStyle name="Separador de milhares 2 19 7" xfId="40294" xr:uid="{DF6FE864-BAB8-477A-A4B6-692600DD670A}"/>
    <cellStyle name="Separador de milhares 2 19 7 2" xfId="40295" xr:uid="{48E8F9DC-C70E-4CFD-BB64-FF4D02E9B901}"/>
    <cellStyle name="Separador de milhares 2 19 7 3" xfId="40296" xr:uid="{FA0857A8-95B2-4825-9A5E-BD7BC96DF867}"/>
    <cellStyle name="Separador de milhares 2 19 7 4" xfId="40297" xr:uid="{4914892A-A34C-4CA4-9F83-28A94B1639DE}"/>
    <cellStyle name="Separador de milhares 2 19 7 5" xfId="40298" xr:uid="{83ACA909-4B16-4689-8F60-846DE5305914}"/>
    <cellStyle name="Separador de milhares 2 19 7 6" xfId="40299" xr:uid="{03267C92-BAB1-4BBC-BDC0-1AFACBFEF1AF}"/>
    <cellStyle name="Separador de milhares 2 19 8" xfId="40300" xr:uid="{7381AEB6-E72A-4B04-B3C0-DA67FD748971}"/>
    <cellStyle name="Separador de milhares 2 19 8 2" xfId="40301" xr:uid="{B0C453FA-BA5F-4317-B790-B661028B84A0}"/>
    <cellStyle name="Separador de milhares 2 19 8 3" xfId="40302" xr:uid="{38D44651-E2EF-4538-B13B-A3D8F49F7F3B}"/>
    <cellStyle name="Separador de milhares 2 19 8 4" xfId="40303" xr:uid="{67CFEC5E-F0C3-46BD-BF75-D353750B8FD3}"/>
    <cellStyle name="Separador de milhares 2 19 8 5" xfId="40304" xr:uid="{D1FA8E69-2333-431F-A042-E6B3DB909396}"/>
    <cellStyle name="Separador de milhares 2 19 8 6" xfId="40305" xr:uid="{96B81A2E-B6F0-409A-809E-8CA19DD66617}"/>
    <cellStyle name="Separador de milhares 2 19 9" xfId="40306" xr:uid="{0455290D-284B-4F2B-AE7E-16246D286C6D}"/>
    <cellStyle name="Separador de milhares 2 2" xfId="1151" xr:uid="{A5CC1C54-735C-4F1A-94C9-A1953CD56D0E}"/>
    <cellStyle name="Separador de milhares 2 2 10" xfId="40307" xr:uid="{B318EEB0-9FE7-4A97-81F1-83F0328266FA}"/>
    <cellStyle name="Separador de milhares 2 2 10 2" xfId="40308" xr:uid="{A9781D72-3FD8-4DDB-9B78-1335BB11D0FE}"/>
    <cellStyle name="Separador de milhares 2 2 11" xfId="40309" xr:uid="{D4127E30-A326-4CFC-9EEE-43E4ECF1B513}"/>
    <cellStyle name="Separador de milhares 2 2 12" xfId="40310" xr:uid="{C7B3083D-46C1-43DA-8634-FAB2AF9B21FB}"/>
    <cellStyle name="Separador de milhares 2 2 13" xfId="40311" xr:uid="{7B561036-7651-4965-9A4F-0870D53B02F2}"/>
    <cellStyle name="Separador de milhares 2 2 14" xfId="40312" xr:uid="{5097F8B7-D6FF-4130-8B8D-DBA69F569B1D}"/>
    <cellStyle name="Separador de milhares 2 2 15" xfId="40313" xr:uid="{94E6A72D-4DEE-4AC2-8561-E52330E6180E}"/>
    <cellStyle name="Separador de milhares 2 2 16" xfId="40314" xr:uid="{A608EC75-0925-4F4E-8045-BE9C7C94025A}"/>
    <cellStyle name="Separador de milhares 2 2 17" xfId="40315" xr:uid="{A1E5E97A-EB2E-4B25-B7D9-F7CA018EDF5B}"/>
    <cellStyle name="Separador de milhares 2 2 18" xfId="40316" xr:uid="{815BC371-E962-412B-A54A-7F0AAD07C83C}"/>
    <cellStyle name="Separador de milhares 2 2 19" xfId="40317" xr:uid="{1CDE2411-D9C7-4D24-9F1E-9A7DA77D6595}"/>
    <cellStyle name="Separador de milhares 2 2 2" xfId="21" xr:uid="{00000000-0005-0000-0000-000014000000}"/>
    <cellStyle name="Separador de milhares 2 2 2 10" xfId="40318" xr:uid="{67A1850C-D99B-41A6-AA29-47534933FCEF}"/>
    <cellStyle name="Separador de milhares 2 2 2 11" xfId="40319" xr:uid="{4C5EF4D7-E972-451D-9816-B96D120EAE61}"/>
    <cellStyle name="Separador de milhares 2 2 2 12" xfId="40320" xr:uid="{A035E468-BBEC-4DB3-AAA3-0AA2F36C5260}"/>
    <cellStyle name="Separador de milhares 2 2 2 13" xfId="40321" xr:uid="{7F2568E3-A6B7-4D50-939A-9887155176D6}"/>
    <cellStyle name="Separador de milhares 2 2 2 14" xfId="40322" xr:uid="{7EFE3E32-BE85-4347-8CA6-32AB5F65CEFA}"/>
    <cellStyle name="Separador de milhares 2 2 2 15" xfId="40323" xr:uid="{098E034B-75BD-491A-9D6B-8D59D6B01FB0}"/>
    <cellStyle name="Separador de milhares 2 2 2 16" xfId="40324" xr:uid="{9DA2A207-3F49-4F8C-9568-AA3853A144F1}"/>
    <cellStyle name="Separador de milhares 2 2 2 17" xfId="40325" xr:uid="{67AED2DF-35AB-4AD6-ACC1-CFB61BFC28E2}"/>
    <cellStyle name="Separador de milhares 2 2 2 18" xfId="40326" xr:uid="{5CF44A63-E6E0-481B-B32D-31A962AAB153}"/>
    <cellStyle name="Separador de milhares 2 2 2 19" xfId="40327" xr:uid="{1D917658-D15B-48CA-8D4F-A8D1021FB4BA}"/>
    <cellStyle name="Separador de milhares 2 2 2 2" xfId="40328" xr:uid="{DF4601C7-E476-4671-9E51-6FFC5D329F41}"/>
    <cellStyle name="Separador de milhares 2 2 2 2 10" xfId="40329" xr:uid="{D0161175-DE2A-46AC-967B-7EA3CD208846}"/>
    <cellStyle name="Separador de milhares 2 2 2 2 11" xfId="40330" xr:uid="{82C89CA7-A259-43B0-B430-4CCA8FC76963}"/>
    <cellStyle name="Separador de milhares 2 2 2 2 12" xfId="40331" xr:uid="{5E2A64E6-88DB-479F-AFFD-66B6753737F8}"/>
    <cellStyle name="Separador de milhares 2 2 2 2 13" xfId="40332" xr:uid="{CB9EC0D3-2D7F-4BD7-8EDE-DF333023FDF9}"/>
    <cellStyle name="Separador de milhares 2 2 2 2 14" xfId="40333" xr:uid="{8B9CD0E6-A091-45A4-BF1E-22EA7C796E39}"/>
    <cellStyle name="Separador de milhares 2 2 2 2 15" xfId="40334" xr:uid="{1ECF3B9E-170A-4283-84CC-74CBF8E387AE}"/>
    <cellStyle name="Separador de milhares 2 2 2 2 16" xfId="40335" xr:uid="{C1BD88CA-A754-4FD6-8EDF-0A9D2D9F8053}"/>
    <cellStyle name="Separador de milhares 2 2 2 2 17" xfId="40336" xr:uid="{C8C2D523-DC6B-4D28-B7E4-2B214ABF5268}"/>
    <cellStyle name="Separador de milhares 2 2 2 2 18" xfId="40337" xr:uid="{1629A88E-876B-4331-AF09-3519DFDE06E8}"/>
    <cellStyle name="Separador de milhares 2 2 2 2 18 2" xfId="40338" xr:uid="{8A6F1489-FB36-49B9-A778-9D1D4652CCA9}"/>
    <cellStyle name="Separador de milhares 2 2 2 2 18 2 2" xfId="40339" xr:uid="{73356E0C-FD7D-462E-B485-38E90811304C}"/>
    <cellStyle name="Separador de milhares 2 2 2 2 18 2 2 2" xfId="40340" xr:uid="{FB65E72D-2E05-48A8-A91E-89DF1C59D2A3}"/>
    <cellStyle name="Separador de milhares 2 2 2 2 18 2 3" xfId="40341" xr:uid="{9A962CC9-D874-48A7-91CC-B604A551ACEE}"/>
    <cellStyle name="Separador de milhares 2 2 2 2 18 3" xfId="40342" xr:uid="{D1FE9D8E-C081-41A2-AE1B-40D33E2B15C4}"/>
    <cellStyle name="Separador de milhares 2 2 2 2 18 3 2" xfId="40343" xr:uid="{67D8F4B7-5C3A-4851-BD1B-0A7F8BE9EF62}"/>
    <cellStyle name="Separador de milhares 2 2 2 2 19" xfId="40344" xr:uid="{34CDCFC2-6F9E-4181-AA64-4E85836D0BBA}"/>
    <cellStyle name="Separador de milhares 2 2 2 2 19 2" xfId="40345" xr:uid="{09EF4FE5-DD7E-4B2B-ABF6-966B31C95685}"/>
    <cellStyle name="Separador de milhares 2 2 2 2 2" xfId="40346" xr:uid="{5C43663D-219A-48C9-B9C7-15BE1621F336}"/>
    <cellStyle name="Separador de milhares 2 2 2 2 2 10" xfId="40347" xr:uid="{B4882B05-1B31-47DF-8FFC-5A6511E2AD4E}"/>
    <cellStyle name="Separador de milhares 2 2 2 2 2 11" xfId="40348" xr:uid="{C4E6759C-8E20-4CC7-8343-03C27C0B323B}"/>
    <cellStyle name="Separador de milhares 2 2 2 2 2 12" xfId="40349" xr:uid="{BB839C54-696B-4BDE-97D4-CC3D1A8025D9}"/>
    <cellStyle name="Separador de milhares 2 2 2 2 2 13" xfId="40350" xr:uid="{2E565B58-CFD2-4C2A-9AE7-D63C02886A53}"/>
    <cellStyle name="Separador de milhares 2 2 2 2 2 14" xfId="40351" xr:uid="{761B8094-5010-44BF-83DD-4DBD80370600}"/>
    <cellStyle name="Separador de milhares 2 2 2 2 2 15" xfId="40352" xr:uid="{70048A51-1386-489F-87BF-3F0AFD78FB2B}"/>
    <cellStyle name="Separador de milhares 2 2 2 2 2 16" xfId="40353" xr:uid="{7FBF0FD9-CAD2-45AE-9289-F6B6E785CACA}"/>
    <cellStyle name="Separador de milhares 2 2 2 2 2 17" xfId="40354" xr:uid="{D78379C8-8EC7-45FE-8EA6-979B0CAA4AA1}"/>
    <cellStyle name="Separador de milhares 2 2 2 2 2 18" xfId="40355" xr:uid="{27732D95-5709-4886-81BA-3D1974A2012D}"/>
    <cellStyle name="Separador de milhares 2 2 2 2 2 18 2" xfId="40356" xr:uid="{A7413544-4B71-4A0F-AE3C-E0EC31FF01D7}"/>
    <cellStyle name="Separador de milhares 2 2 2 2 2 18 2 2" xfId="40357" xr:uid="{F20183C1-AD3C-42F2-9110-F04F075EE7F7}"/>
    <cellStyle name="Separador de milhares 2 2 2 2 2 18 2 2 2" xfId="40358" xr:uid="{08A532E7-B0B7-4ACB-8ECA-209C57B801C1}"/>
    <cellStyle name="Separador de milhares 2 2 2 2 2 18 2 3" xfId="40359" xr:uid="{5ED7F624-A3D7-40BE-9753-5113F8A28564}"/>
    <cellStyle name="Separador de milhares 2 2 2 2 2 18 3" xfId="40360" xr:uid="{A9C8D732-5915-4075-9C5D-D65905181D42}"/>
    <cellStyle name="Separador de milhares 2 2 2 2 2 18 3 2" xfId="40361" xr:uid="{FC15A4B6-600B-478F-B380-D0EFB1761600}"/>
    <cellStyle name="Separador de milhares 2 2 2 2 2 19" xfId="40362" xr:uid="{D20688FE-0631-40BF-B5E4-0F62CF06935F}"/>
    <cellStyle name="Separador de milhares 2 2 2 2 2 19 2" xfId="40363" xr:uid="{C9728225-DA88-487A-BE4C-C7AD9934DB80}"/>
    <cellStyle name="Separador de milhares 2 2 2 2 2 2" xfId="40364" xr:uid="{E8F22A03-3B03-44D7-8A85-7396005345EA}"/>
    <cellStyle name="Separador de milhares 2 2 2 2 2 2 2" xfId="40365" xr:uid="{BA299156-45D7-4361-B281-B85C8B74BF2E}"/>
    <cellStyle name="Separador de milhares 2 2 2 2 2 2 2 2" xfId="40366" xr:uid="{CF92C1F4-989C-414E-A8F9-A5CAD41CCC49}"/>
    <cellStyle name="Separador de milhares 2 2 2 2 2 2 2 2 2" xfId="40367" xr:uid="{A8CA7B5D-47EF-4EA5-8CF7-67B36F2479EF}"/>
    <cellStyle name="Separador de milhares 2 2 2 2 2 2 2 2 2 2" xfId="40368" xr:uid="{0B19284A-D424-4D66-8DB2-AB1A5AB945D6}"/>
    <cellStyle name="Separador de milhares 2 2 2 2 2 2 2 2 2 2 2" xfId="40369" xr:uid="{A62C7AD6-4148-49A2-8E25-E7AABCE3246D}"/>
    <cellStyle name="Separador de milhares 2 2 2 2 2 2 2 2 2 2 2 2" xfId="40370" xr:uid="{A24F814A-AA5D-45C6-BE08-C5946D3997D9}"/>
    <cellStyle name="Separador de milhares 2 2 2 2 2 2 2 2 2 2 2 3" xfId="40371" xr:uid="{21682EE2-5BF5-4180-BEF8-AD4E7EE82534}"/>
    <cellStyle name="Separador de milhares 2 2 2 2 2 2 2 2 2 2 2 4" xfId="40372" xr:uid="{74453A94-9A3D-42EE-BDF6-B6268EED299E}"/>
    <cellStyle name="Separador de milhares 2 2 2 2 2 2 2 2 2 2 3" xfId="40373" xr:uid="{7B64F41D-CE90-4621-8FB0-51586FCC391F}"/>
    <cellStyle name="Separador de milhares 2 2 2 2 2 2 2 2 2 2 4" xfId="40374" xr:uid="{217FCD14-3022-4503-BB05-5D13C31AD4F7}"/>
    <cellStyle name="Separador de milhares 2 2 2 2 2 2 2 2 2 2 5" xfId="40375" xr:uid="{74CFA375-CDEF-42DF-8B2C-0ABDEA9905CD}"/>
    <cellStyle name="Separador de milhares 2 2 2 2 2 2 2 2 2 3" xfId="40376" xr:uid="{E0DE706A-D5E7-4936-95BE-84E394000EE1}"/>
    <cellStyle name="Separador de milhares 2 2 2 2 2 2 2 2 2 3 2" xfId="40377" xr:uid="{9DACFBCF-2AD9-4D73-BD66-557BCA247072}"/>
    <cellStyle name="Separador de milhares 2 2 2 2 2 2 2 2 2 3 3" xfId="40378" xr:uid="{7F684F1A-9D03-4E4E-85FB-43741BF47ABC}"/>
    <cellStyle name="Separador de milhares 2 2 2 2 2 2 2 2 2 3 4" xfId="40379" xr:uid="{87F6B441-6407-4C32-86C0-3D1F43D3CF2E}"/>
    <cellStyle name="Separador de milhares 2 2 2 2 2 2 2 2 2 4" xfId="40380" xr:uid="{F9AC0746-7D29-49B2-93BB-A6D3B8A67035}"/>
    <cellStyle name="Separador de milhares 2 2 2 2 2 2 2 2 2 5" xfId="40381" xr:uid="{630A6978-F390-468E-B00C-80F5AA3B68A0}"/>
    <cellStyle name="Separador de milhares 2 2 2 2 2 2 2 2 3" xfId="40382" xr:uid="{AB3A2E10-55CF-4DC3-8C55-B11BA05A43FF}"/>
    <cellStyle name="Separador de milhares 2 2 2 2 2 2 2 2 4" xfId="40383" xr:uid="{71BD9609-7E4D-4BA0-8BCF-0924C2B37783}"/>
    <cellStyle name="Separador de milhares 2 2 2 2 2 2 2 2 4 2" xfId="40384" xr:uid="{CD5FB09B-92E9-4689-8D0F-97FDFB53943B}"/>
    <cellStyle name="Separador de milhares 2 2 2 2 2 2 2 2 4 3" xfId="40385" xr:uid="{FDA5053C-226E-4160-ABDC-A85E3D087540}"/>
    <cellStyle name="Separador de milhares 2 2 2 2 2 2 2 2 4 4" xfId="40386" xr:uid="{A710A9F7-00B6-454C-966B-081220CDE9D4}"/>
    <cellStyle name="Separador de milhares 2 2 2 2 2 2 2 2 5" xfId="40387" xr:uid="{AB2247D0-4141-46C2-989A-0F1C9BF3B36A}"/>
    <cellStyle name="Separador de milhares 2 2 2 2 2 2 2 2 6" xfId="40388" xr:uid="{9A0801E5-83C6-4E0F-BDA3-393C797C29B1}"/>
    <cellStyle name="Separador de milhares 2 2 2 2 2 2 2 3" xfId="40389" xr:uid="{E89E7DE3-4805-4440-BE70-BB11E812682B}"/>
    <cellStyle name="Separador de milhares 2 2 2 2 2 2 2 3 2" xfId="40390" xr:uid="{718B8102-6476-48FC-8981-AE7687D429AB}"/>
    <cellStyle name="Separador de milhares 2 2 2 2 2 2 2 4" xfId="40391" xr:uid="{1FF43EE9-EDB9-4611-946D-2BB309470CED}"/>
    <cellStyle name="Separador de milhares 2 2 2 2 2 2 2 4 2" xfId="40392" xr:uid="{38C807BE-C2C7-4DE7-981F-264F210A8DB0}"/>
    <cellStyle name="Separador de milhares 2 2 2 2 2 2 2 4 3" xfId="40393" xr:uid="{8EE31401-92CF-4A17-AA6E-8EC282BCE5D6}"/>
    <cellStyle name="Separador de milhares 2 2 2 2 2 2 2 4 4" xfId="40394" xr:uid="{80D28F5E-C935-4DDD-ADC6-2ECA180B0193}"/>
    <cellStyle name="Separador de milhares 2 2 2 2 2 2 2 5" xfId="40395" xr:uid="{F06D71A4-C78B-44A7-B33E-638B5E4F2A6B}"/>
    <cellStyle name="Separador de milhares 2 2 2 2 2 2 2 6" xfId="40396" xr:uid="{D90C1BFE-FA10-459A-B232-66316DE8EC81}"/>
    <cellStyle name="Separador de milhares 2 2 2 2 2 2 3" xfId="40397" xr:uid="{A16B5C92-0393-41C9-848F-3C1DFA98BE91}"/>
    <cellStyle name="Separador de milhares 2 2 2 2 2 2 4" xfId="40398" xr:uid="{42C8209B-9244-4C53-BCCB-328A2A51EF91}"/>
    <cellStyle name="Separador de milhares 2 2 2 2 2 2 4 2" xfId="40399" xr:uid="{4A3F7B7E-4384-4971-AD63-4A8D25653213}"/>
    <cellStyle name="Separador de milhares 2 2 2 2 2 2 5" xfId="40400" xr:uid="{E036DA3F-345D-4C91-B764-DC298219A96F}"/>
    <cellStyle name="Separador de milhares 2 2 2 2 2 2 6" xfId="40401" xr:uid="{C4A48713-4A75-4BF7-99CF-A7C87F7F69C4}"/>
    <cellStyle name="Separador de milhares 2 2 2 2 2 2 6 2" xfId="40402" xr:uid="{6CDA8A86-B078-4793-A1A5-036F36FC59BE}"/>
    <cellStyle name="Separador de milhares 2 2 2 2 2 2 6 3" xfId="40403" xr:uid="{1A546E2A-A124-401E-9426-6A42DB896ADE}"/>
    <cellStyle name="Separador de milhares 2 2 2 2 2 2 6 4" xfId="40404" xr:uid="{61F655CB-7A21-4D4F-B704-2F7C98224A65}"/>
    <cellStyle name="Separador de milhares 2 2 2 2 2 2 7" xfId="40405" xr:uid="{BD2FB586-E534-4A8E-A347-FC2402A86562}"/>
    <cellStyle name="Separador de milhares 2 2 2 2 2 2 8" xfId="40406" xr:uid="{80DE1137-7C28-4C2E-89BC-CEA888604A58}"/>
    <cellStyle name="Separador de milhares 2 2 2 2 2 20" xfId="40407" xr:uid="{4396EE5B-66B1-48C6-9D18-36BB289149ED}"/>
    <cellStyle name="Separador de milhares 2 2 2 2 2 21" xfId="40408" xr:uid="{CE3E212B-8596-4719-B434-30C9CE6342BF}"/>
    <cellStyle name="Separador de milhares 2 2 2 2 2 22" xfId="40409" xr:uid="{A3A6D8C6-A196-4CFB-9BC8-87F3BEB9B48E}"/>
    <cellStyle name="Separador de milhares 2 2 2 2 2 22 2" xfId="40410" xr:uid="{8B8923EF-753F-4D0C-80C7-BFD369FB43E6}"/>
    <cellStyle name="Separador de milhares 2 2 2 2 2 22 3" xfId="40411" xr:uid="{EF779D11-7644-477A-BA5E-C67597FD5C98}"/>
    <cellStyle name="Separador de milhares 2 2 2 2 2 22 4" xfId="40412" xr:uid="{F6D569AB-D09E-49DF-A644-1F3C799D8BFD}"/>
    <cellStyle name="Separador de milhares 2 2 2 2 2 23" xfId="40413" xr:uid="{FBC678FE-8BAD-40FD-BE36-2A72E2AB9B97}"/>
    <cellStyle name="Separador de milhares 2 2 2 2 2 24" xfId="40414" xr:uid="{6FA4305B-490C-4A29-A131-EC26BFD3C007}"/>
    <cellStyle name="Separador de milhares 2 2 2 2 2 3" xfId="40415" xr:uid="{C9696477-9914-4F27-8419-25B46AAD4360}"/>
    <cellStyle name="Separador de milhares 2 2 2 2 2 3 2" xfId="40416" xr:uid="{C696932B-7AB6-48C4-846D-D6CA44E1667E}"/>
    <cellStyle name="Separador de milhares 2 2 2 2 2 4" xfId="40417" xr:uid="{F8165817-A540-414A-8A68-ABE03C2CBFFF}"/>
    <cellStyle name="Separador de milhares 2 2 2 2 2 5" xfId="40418" xr:uid="{ABD11D01-2CE0-40BB-9A4F-A5B44BD247D9}"/>
    <cellStyle name="Separador de milhares 2 2 2 2 2 6" xfId="40419" xr:uid="{A11D9616-2295-43FA-B31F-A6E3DF5C6E04}"/>
    <cellStyle name="Separador de milhares 2 2 2 2 2 7" xfId="40420" xr:uid="{9E47E00A-CEFF-40C0-B567-347FFAE7DA42}"/>
    <cellStyle name="Separador de milhares 2 2 2 2 2 8" xfId="40421" xr:uid="{1394CA9D-E405-4ACF-89F3-DEDFEBEC7AF7}"/>
    <cellStyle name="Separador de milhares 2 2 2 2 2 9" xfId="40422" xr:uid="{F2B84C7D-F895-4A9E-B472-9D0D31238E73}"/>
    <cellStyle name="Separador de milhares 2 2 2 2 20" xfId="40423" xr:uid="{3856F47D-F065-411C-9B75-71ED40E2D7AA}"/>
    <cellStyle name="Separador de milhares 2 2 2 2 21" xfId="40424" xr:uid="{45D1785F-088D-47B9-B3B9-8A057537B1B9}"/>
    <cellStyle name="Separador de milhares 2 2 2 2 22" xfId="40425" xr:uid="{81A4C1F2-8642-4205-8925-3761B33D6C2F}"/>
    <cellStyle name="Separador de milhares 2 2 2 2 22 2" xfId="40426" xr:uid="{B25332EC-0FFF-455F-BF04-7A23B9C75429}"/>
    <cellStyle name="Separador de milhares 2 2 2 2 22 3" xfId="40427" xr:uid="{EC6BD527-B459-4DE3-8325-2B3D886D689D}"/>
    <cellStyle name="Separador de milhares 2 2 2 2 22 4" xfId="40428" xr:uid="{0192BDDA-6E29-4DF8-A172-564394D78294}"/>
    <cellStyle name="Separador de milhares 2 2 2 2 23" xfId="40429" xr:uid="{5472CEE4-309C-41CC-BF33-9CEDFBB24D73}"/>
    <cellStyle name="Separador de milhares 2 2 2 2 24" xfId="40430" xr:uid="{F5B0F86F-ACDA-49E1-9D35-C34E5D610926}"/>
    <cellStyle name="Separador de milhares 2 2 2 2 3" xfId="40431" xr:uid="{929B62A8-228D-443F-AEF8-45CEB726B71C}"/>
    <cellStyle name="Separador de milhares 2 2 2 2 3 2" xfId="40432" xr:uid="{762FB58A-9E4E-49AA-AE99-6A0BB20298A4}"/>
    <cellStyle name="Separador de milhares 2 2 2 2 3 2 2" xfId="40433" xr:uid="{22889098-4590-4EB4-8B3D-3F80CEECBA8A}"/>
    <cellStyle name="Separador de milhares 2 2 2 2 3 2 2 2" xfId="40434" xr:uid="{2DEF0E02-9D80-4AA9-9B57-64C2ED334A39}"/>
    <cellStyle name="Separador de milhares 2 2 2 2 3 2 2 2 2" xfId="40435" xr:uid="{3B6514FF-6422-425D-BC08-7447F2DE5C21}"/>
    <cellStyle name="Separador de milhares 2 2 2 2 3 2 2 3" xfId="40436" xr:uid="{2FB81E63-7A2C-4AB6-931D-A165E3334037}"/>
    <cellStyle name="Separador de milhares 2 2 2 2 3 2 3" xfId="40437" xr:uid="{A2146382-A4D1-43CD-88ED-E1C55842EDFD}"/>
    <cellStyle name="Separador de milhares 2 2 2 2 3 2 3 2" xfId="40438" xr:uid="{9B68C8D5-DEA6-43A6-9858-475D29411BD0}"/>
    <cellStyle name="Separador de milhares 2 2 2 2 3 3" xfId="40439" xr:uid="{2370912C-ADE1-4413-AB5E-E5DC3D2DBA78}"/>
    <cellStyle name="Separador de milhares 2 2 2 2 3 4" xfId="40440" xr:uid="{41689185-2A8C-4AEB-A404-FF0F74C7F203}"/>
    <cellStyle name="Separador de milhares 2 2 2 2 3 4 2" xfId="40441" xr:uid="{258EF7B3-07CD-4558-B5E4-35951E159204}"/>
    <cellStyle name="Separador de milhares 2 2 2 2 3 5" xfId="40442" xr:uid="{FEBFD919-3B39-423D-8F60-EB8BA85B8D34}"/>
    <cellStyle name="Separador de milhares 2 2 2 2 3 6" xfId="40443" xr:uid="{453AA7A6-FEF2-4937-9738-3D6102E915F1}"/>
    <cellStyle name="Separador de milhares 2 2 2 2 4" xfId="40444" xr:uid="{D0D491CF-E8A7-445B-B247-EA619DE82776}"/>
    <cellStyle name="Separador de milhares 2 2 2 2 5" xfId="40445" xr:uid="{39BCD39A-2650-44BB-B1AB-DBB637FAB7AB}"/>
    <cellStyle name="Separador de milhares 2 2 2 2 6" xfId="40446" xr:uid="{0BA55E88-C2F3-4FA3-80E2-E7C670E0B99F}"/>
    <cellStyle name="Separador de milhares 2 2 2 2 6 2" xfId="40447" xr:uid="{10F1C70C-F1B2-452E-981B-63DAE1B6B71D}"/>
    <cellStyle name="Separador de milhares 2 2 2 2 7" xfId="40448" xr:uid="{A7D40122-0695-4092-9C22-18868B1E4A5F}"/>
    <cellStyle name="Separador de milhares 2 2 2 2 8" xfId="40449" xr:uid="{513EBEE3-F210-4E58-A264-24020F3CB3A0}"/>
    <cellStyle name="Separador de milhares 2 2 2 2 9" xfId="40450" xr:uid="{6568D17F-576E-4AA4-85F5-30DD90E16C29}"/>
    <cellStyle name="Separador de milhares 2 2 2 20" xfId="40451" xr:uid="{DB32C6A1-12EA-452A-A5D6-6C62E0EC5EBF}"/>
    <cellStyle name="Separador de milhares 2 2 2 20 2" xfId="40452" xr:uid="{F60B22CD-E54A-4BBB-B5CB-22B1EFCD61B1}"/>
    <cellStyle name="Separador de milhares 2 2 2 20 2 2" xfId="40453" xr:uid="{38C7485D-85ED-442D-AC98-56DD5CAA1D4A}"/>
    <cellStyle name="Separador de milhares 2 2 2 20 2 2 2" xfId="40454" xr:uid="{73930419-F24B-4DBA-BBF3-60423C2907A5}"/>
    <cellStyle name="Separador de milhares 2 2 2 20 2 3" xfId="40455" xr:uid="{827DE829-D024-4C8A-B43D-0B30B843F415}"/>
    <cellStyle name="Separador de milhares 2 2 2 20 3" xfId="40456" xr:uid="{234236E0-C577-46A1-BA8B-8EFF8CC49890}"/>
    <cellStyle name="Separador de milhares 2 2 2 20 3 2" xfId="40457" xr:uid="{B0AB21BA-0580-494C-A71D-4DC986A0628A}"/>
    <cellStyle name="Separador de milhares 2 2 2 21" xfId="40458" xr:uid="{16E46F1C-E872-4AAE-A0E4-02B53815DDD7}"/>
    <cellStyle name="Separador de milhares 2 2 2 21 2" xfId="40459" xr:uid="{D79764E3-EEC2-4D94-942D-7388BD03354B}"/>
    <cellStyle name="Separador de milhares 2 2 2 22" xfId="40460" xr:uid="{9EB694C7-3F82-41B7-B633-C7DF5A3F7521}"/>
    <cellStyle name="Separador de milhares 2 2 2 23" xfId="40461" xr:uid="{50CEA800-6464-41BB-8738-75D83313F9EC}"/>
    <cellStyle name="Separador de milhares 2 2 2 24" xfId="40462" xr:uid="{3C128D08-7F58-468E-BB20-4E2082C3DB87}"/>
    <cellStyle name="Separador de milhares 2 2 2 24 2" xfId="40463" xr:uid="{0A0E2920-C143-45A9-B901-788129A6CE00}"/>
    <cellStyle name="Separador de milhares 2 2 2 24 3" xfId="40464" xr:uid="{B32581DB-D9A8-487C-9E8A-FF3DD25C9978}"/>
    <cellStyle name="Separador de milhares 2 2 2 24 4" xfId="40465" xr:uid="{D50C1726-A0DA-4275-BB80-074DA9619816}"/>
    <cellStyle name="Separador de milhares 2 2 2 25" xfId="40466" xr:uid="{25BB1A74-00E9-4532-AAC4-E1187AA7D464}"/>
    <cellStyle name="Separador de milhares 2 2 2 26" xfId="40467" xr:uid="{84B3B0F4-9CA4-4F1F-89A9-93B4EDB83231}"/>
    <cellStyle name="Separador de milhares 2 2 2 27" xfId="1152" xr:uid="{3B7B9105-65CC-47E1-A7D7-9BAF53257FD4}"/>
    <cellStyle name="Separador de milhares 2 2 2 3" xfId="40468" xr:uid="{47D6BC66-BF9B-46B1-84E8-0A196241DAD7}"/>
    <cellStyle name="Separador de milhares 2 2 2 4" xfId="40469" xr:uid="{1078F0F3-A8A3-4539-B0C4-2F3CF4D173B6}"/>
    <cellStyle name="Separador de milhares 2 2 2 4 2" xfId="40470" xr:uid="{B4EAD14D-89EF-4EE1-B888-736AFDFD79B4}"/>
    <cellStyle name="Separador de milhares 2 2 2 4 2 2" xfId="40471" xr:uid="{6A5A3A5E-7919-4688-BEFB-8764F20641AA}"/>
    <cellStyle name="Separador de milhares 2 2 2 4 2 2 2" xfId="40472" xr:uid="{2550C1E5-07B2-4D9B-9C7A-2DB9B46FF6F9}"/>
    <cellStyle name="Separador de milhares 2 2 2 4 2 2 2 2" xfId="40473" xr:uid="{956657CA-802E-44D5-82D7-4235298C0639}"/>
    <cellStyle name="Separador de milhares 2 2 2 4 2 2 3" xfId="40474" xr:uid="{BD53E94F-B953-4692-87B1-179FDDE7DE46}"/>
    <cellStyle name="Separador de milhares 2 2 2 4 2 3" xfId="40475" xr:uid="{350A655C-E60E-4F65-8D65-9F5B1E436986}"/>
    <cellStyle name="Separador de milhares 2 2 2 4 2 3 2" xfId="40476" xr:uid="{79B4C5BF-AA34-40A2-A4DC-15A6CBB332E2}"/>
    <cellStyle name="Separador de milhares 2 2 2 4 2 4" xfId="40477" xr:uid="{C8D37DD3-9F5E-41DB-8F7F-F68F06DF5775}"/>
    <cellStyle name="Separador de milhares 2 2 2 4 2 5" xfId="40478" xr:uid="{C6900CB6-0938-4972-B04C-ADCC02B02D6C}"/>
    <cellStyle name="Separador de milhares 2 2 2 4 3" xfId="40479" xr:uid="{936ABFE9-F8F1-443C-B8BA-D44A1AC4D46B}"/>
    <cellStyle name="Separador de milhares 2 2 2 4 3 2" xfId="40480" xr:uid="{273F9034-49ED-4ADC-B083-5F61732DB74C}"/>
    <cellStyle name="Separador de milhares 2 2 2 4 4" xfId="40481" xr:uid="{A6404D77-CC8F-4D66-A801-163CF9407FB9}"/>
    <cellStyle name="Separador de milhares 2 2 2 4 4 2" xfId="40482" xr:uid="{9789E86D-F65A-4709-84F1-D7DA9494AACF}"/>
    <cellStyle name="Separador de milhares 2 2 2 4 5" xfId="40483" xr:uid="{5FEF88A2-14D0-4EDA-9154-2537F4142E21}"/>
    <cellStyle name="Separador de milhares 2 2 2 4 6" xfId="40484" xr:uid="{8220BA92-B10E-4EB5-9474-F82CD1041EE5}"/>
    <cellStyle name="Separador de milhares 2 2 2 5" xfId="40485" xr:uid="{423DC846-39CE-484E-823D-70C801580C4D}"/>
    <cellStyle name="Separador de milhares 2 2 2 6" xfId="40486" xr:uid="{6848CBAA-264D-4ABE-B66C-FDE9E88123BC}"/>
    <cellStyle name="Separador de milhares 2 2 2 7" xfId="40487" xr:uid="{377F66D6-DCEF-4921-9770-4B52CDDB899F}"/>
    <cellStyle name="Separador de milhares 2 2 2 7 2" xfId="40488" xr:uid="{0CB8E7E5-1B3C-49B2-8D23-2FC2EBE3A587}"/>
    <cellStyle name="Separador de milhares 2 2 2 8" xfId="40489" xr:uid="{D41F9A5F-B9DE-462E-9721-53EC429A80E8}"/>
    <cellStyle name="Separador de milhares 2 2 2 9" xfId="40490" xr:uid="{5D24868E-7977-4468-941F-9EC63B9CCA63}"/>
    <cellStyle name="Separador de milhares 2 2 20" xfId="40491" xr:uid="{AC42077B-9D26-47BE-BE52-379661290198}"/>
    <cellStyle name="Separador de milhares 2 2 21" xfId="40492" xr:uid="{F01A3228-06F7-477D-BCB8-B6ED14265AD7}"/>
    <cellStyle name="Separador de milhares 2 2 22" xfId="40493" xr:uid="{E7C2A7BD-FF96-4AFF-8F0B-6378418F185C}"/>
    <cellStyle name="Separador de milhares 2 2 22 2" xfId="40494" xr:uid="{24EC3F1E-2F95-4C91-B523-4E23A8A315FC}"/>
    <cellStyle name="Separador de milhares 2 2 22 2 2" xfId="40495" xr:uid="{037E081B-BB88-47E3-86CE-B377C2C26DB5}"/>
    <cellStyle name="Separador de milhares 2 2 22 2 2 2" xfId="40496" xr:uid="{AAAC5069-D1C9-4512-8998-03D3133B6EE8}"/>
    <cellStyle name="Separador de milhares 2 2 22 2 3" xfId="40497" xr:uid="{7B36FBAD-FA32-4519-9FA1-2CDE0844B2D2}"/>
    <cellStyle name="Separador de milhares 2 2 22 3" xfId="40498" xr:uid="{08F065C0-7E7E-4C1F-85A6-5076AEC92FF5}"/>
    <cellStyle name="Separador de milhares 2 2 22 3 2" xfId="40499" xr:uid="{FBF6457E-9CC9-4356-A15F-623B48B63249}"/>
    <cellStyle name="Separador de milhares 2 2 23" xfId="40500" xr:uid="{C5B3C558-2EC4-47F2-9D60-140337EB7030}"/>
    <cellStyle name="Separador de milhares 2 2 23 2" xfId="40501" xr:uid="{BAA23B09-FC37-4744-97F9-40F1397D211E}"/>
    <cellStyle name="Separador de milhares 2 2 24" xfId="40502" xr:uid="{AF0A09F6-B54F-447E-92E1-174BC35E80A0}"/>
    <cellStyle name="Separador de milhares 2 2 25" xfId="40503" xr:uid="{18DB3283-02E6-4270-89AF-7FC51AE3267E}"/>
    <cellStyle name="Separador de milhares 2 2 26" xfId="40504" xr:uid="{6C53E304-3643-41BD-9496-33F0F3BCCC01}"/>
    <cellStyle name="Separador de milhares 2 2 26 2" xfId="40505" xr:uid="{984CD87F-0776-425E-AE4A-623EE6BAE1C7}"/>
    <cellStyle name="Separador de milhares 2 2 26 3" xfId="40506" xr:uid="{C08560C8-3624-45BF-A942-3F8C5C786161}"/>
    <cellStyle name="Separador de milhares 2 2 26 4" xfId="40507" xr:uid="{3B5D1606-AAA5-4D34-9ACB-32A721A64F67}"/>
    <cellStyle name="Separador de milhares 2 2 27" xfId="40508" xr:uid="{F99532BF-F47E-4CD6-91FE-C08ACE65B577}"/>
    <cellStyle name="Separador de milhares 2 2 28" xfId="40509" xr:uid="{DA3C9820-6B1D-4101-9375-79434FE99D32}"/>
    <cellStyle name="Separador de milhares 2 2 3" xfId="1153" xr:uid="{0E322BF0-0944-4849-8D9D-89AB051E2715}"/>
    <cellStyle name="Separador de milhares 2 2 3 2" xfId="40510" xr:uid="{3F467530-4B2A-4A5E-9D27-798F239A6537}"/>
    <cellStyle name="Separador de milhares 2 2 3 3" xfId="40511" xr:uid="{51D3FA6A-791B-4095-B2E4-F4D1BD561902}"/>
    <cellStyle name="Separador de milhares 2 2 3 4" xfId="40512" xr:uid="{A19A6FCD-B8A7-47D9-A1ED-4BF316147327}"/>
    <cellStyle name="Separador de milhares 2 2 3 5" xfId="40513" xr:uid="{1D9E1993-BE00-4E73-87E3-D3BF0D4A40BB}"/>
    <cellStyle name="Separador de milhares 2 2 3 6" xfId="40514" xr:uid="{36F20266-5F9F-4690-919D-86ADD2CA1430}"/>
    <cellStyle name="Separador de milhares 2 2 3 7" xfId="40515" xr:uid="{D4A54E80-A4A7-47EC-ADFA-3CDB3DC90861}"/>
    <cellStyle name="Separador de milhares 2 2 4" xfId="1154" xr:uid="{DBDB8441-58D5-4B01-B037-9B8869D413B7}"/>
    <cellStyle name="Separador de milhares 2 2 4 2" xfId="40516" xr:uid="{A821F459-F0AB-461A-877D-9A16CD897089}"/>
    <cellStyle name="Separador de milhares 2 2 4 3" xfId="40517" xr:uid="{4C48AB48-7CFB-4507-9620-0F30A93BECCA}"/>
    <cellStyle name="Separador de milhares 2 2 4 4" xfId="40518" xr:uid="{78C26345-1064-41A6-BBB3-CB8DF1466D39}"/>
    <cellStyle name="Separador de milhares 2 2 4 5" xfId="40519" xr:uid="{C6E8AEA0-1A19-4D19-9754-5358F4CD7225}"/>
    <cellStyle name="Separador de milhares 2 2 4 6" xfId="40520" xr:uid="{B16DD95F-5632-4ED7-BC9D-3A5F510859B7}"/>
    <cellStyle name="Separador de milhares 2 2 4 7" xfId="40521" xr:uid="{5BF88E23-1029-491E-83D7-CCB69D11E8B6}"/>
    <cellStyle name="Separador de milhares 2 2 5" xfId="40522" xr:uid="{B7202A23-E434-40F7-9A93-7271E2EF3FB2}"/>
    <cellStyle name="Separador de milhares 2 2 5 2" xfId="40523" xr:uid="{7C6D121C-A8C1-43C7-9B62-01F375E34721}"/>
    <cellStyle name="Separador de milhares 2 2 5 2 2" xfId="40524" xr:uid="{39CC801E-3B6C-42E2-B06E-4AF75EC43F8F}"/>
    <cellStyle name="Separador de milhares 2 2 5 2 2 2" xfId="40525" xr:uid="{78095132-3453-44F7-8F7A-256329C0D17C}"/>
    <cellStyle name="Separador de milhares 2 2 5 2 2 2 2" xfId="40526" xr:uid="{E0DDF103-F4D1-4744-A3BA-38EA09B1AB4E}"/>
    <cellStyle name="Separador de milhares 2 2 5 2 2 3" xfId="40527" xr:uid="{97795775-1BA7-47E9-9513-2E9F9DA93A15}"/>
    <cellStyle name="Separador de milhares 2 2 5 2 3" xfId="40528" xr:uid="{96F3AAF7-BC38-4235-B7E0-FCDA7707C163}"/>
    <cellStyle name="Separador de milhares 2 2 5 2 3 2" xfId="40529" xr:uid="{52AFFC1C-1BB8-446E-A83E-7A200C206B3C}"/>
    <cellStyle name="Separador de milhares 2 2 5 2 4" xfId="40530" xr:uid="{7AE226EB-497D-4C77-9C63-C1C437A2DDF2}"/>
    <cellStyle name="Separador de milhares 2 2 5 2 5" xfId="40531" xr:uid="{20C2D8C9-6A86-4400-BB46-A65342F9149F}"/>
    <cellStyle name="Separador de milhares 2 2 5 3" xfId="40532" xr:uid="{6788DBB6-E091-4B9F-99E4-FF2B46743499}"/>
    <cellStyle name="Separador de milhares 2 2 5 3 2" xfId="40533" xr:uid="{C4BB8F06-4017-4B2B-A27C-725B7C220F5F}"/>
    <cellStyle name="Separador de milhares 2 2 5 4" xfId="40534" xr:uid="{41C2316A-924C-4595-AAE0-C4FF70EEAE9D}"/>
    <cellStyle name="Separador de milhares 2 2 5 4 2" xfId="40535" xr:uid="{FD13A8B8-69BA-4A80-BB68-1EEA6DA2A1D7}"/>
    <cellStyle name="Separador de milhares 2 2 5 5" xfId="40536" xr:uid="{04A942BD-F97A-4D8A-9129-256D1EE506C4}"/>
    <cellStyle name="Separador de milhares 2 2 5 6" xfId="40537" xr:uid="{CDD0775D-114B-414E-B7E4-40267C7991BD}"/>
    <cellStyle name="Separador de milhares 2 2 5 7" xfId="40538" xr:uid="{2F092001-F56C-40CD-B22D-6A87C9598C29}"/>
    <cellStyle name="Separador de milhares 2 2 6" xfId="40539" xr:uid="{850E17B2-24DF-4802-9143-FEDA69B613A8}"/>
    <cellStyle name="Separador de milhares 2 2 6 2" xfId="40540" xr:uid="{0C3D0CA3-5138-48DF-BAB7-DB4A5AF5CD43}"/>
    <cellStyle name="Separador de milhares 2 2 6 2 2" xfId="40541" xr:uid="{A530AF4C-3552-4510-A66B-D7A423C49008}"/>
    <cellStyle name="Separador de milhares 2 2 6 2 2 2" xfId="40542" xr:uid="{F5B073B2-044C-4281-8A05-B02BDAA638C5}"/>
    <cellStyle name="Separador de milhares 2 2 6 2 2 2 2" xfId="40543" xr:uid="{D371C123-C85F-410F-9C15-A08FC0791713}"/>
    <cellStyle name="Separador de milhares 2 2 6 2 2 3" xfId="40544" xr:uid="{8B1E7679-9AE9-40BD-B076-5BCB8B47DCAB}"/>
    <cellStyle name="Separador de milhares 2 2 6 2 3" xfId="40545" xr:uid="{F5BB4AEB-DF98-4F59-9F34-0C7DE458FB5C}"/>
    <cellStyle name="Separador de milhares 2 2 6 2 3 2" xfId="40546" xr:uid="{ACD60467-910F-4D92-8D84-6CEC1DA9410B}"/>
    <cellStyle name="Separador de milhares 2 2 6 3" xfId="40547" xr:uid="{31931632-3A00-46F3-8952-8E2AAF677468}"/>
    <cellStyle name="Separador de milhares 2 2 6 4" xfId="40548" xr:uid="{B7C08C8B-D5F1-4E27-B522-4CD2173E3605}"/>
    <cellStyle name="Separador de milhares 2 2 6 4 2" xfId="40549" xr:uid="{22F15821-A2A4-45C4-A16F-08586D782D8F}"/>
    <cellStyle name="Separador de milhares 2 2 6 5" xfId="40550" xr:uid="{ED3AB825-7F30-4B95-B560-76A64F3CF9A8}"/>
    <cellStyle name="Separador de milhares 2 2 6 6" xfId="40551" xr:uid="{0E3AED7D-96C5-44A7-A8BB-A71D4477D0AF}"/>
    <cellStyle name="Separador de milhares 2 2 6 7" xfId="40552" xr:uid="{89190415-E7A1-41C7-995E-948582A5DD37}"/>
    <cellStyle name="Separador de milhares 2 2 7" xfId="40553" xr:uid="{EDA457A5-6F6B-4EA1-80E6-016BBFC3C83A}"/>
    <cellStyle name="Separador de milhares 2 2 7 2" xfId="40554" xr:uid="{25435C6C-BF57-40EE-A083-71F83C0727E8}"/>
    <cellStyle name="Separador de milhares 2 2 7 3" xfId="40555" xr:uid="{F95A2F42-CACE-4E0B-AAA4-4DE70C0EE7A1}"/>
    <cellStyle name="Separador de milhares 2 2 7 4" xfId="40556" xr:uid="{1EDCC036-B0FF-4F8D-AC25-2CA9FCD4438B}"/>
    <cellStyle name="Separador de milhares 2 2 7 5" xfId="40557" xr:uid="{BC14A2EF-546B-4518-98D4-B16C5BAC4E08}"/>
    <cellStyle name="Separador de milhares 2 2 7 6" xfId="40558" xr:uid="{0C374D85-5726-42E3-8E76-50E691590AD0}"/>
    <cellStyle name="Separador de milhares 2 2 7 7" xfId="40559" xr:uid="{08F400FB-6C0C-4BF0-AD9A-4F17167C179D}"/>
    <cellStyle name="Separador de milhares 2 2 8" xfId="40560" xr:uid="{09422961-AFDC-4555-B2B8-091C42060FFD}"/>
    <cellStyle name="Separador de milhares 2 2 8 2" xfId="40561" xr:uid="{F27594BE-7B92-4C5D-9E1B-62EA26664402}"/>
    <cellStyle name="Separador de milhares 2 2 8 3" xfId="40562" xr:uid="{0152B7C1-F16C-4943-A262-73BD0D8D36C1}"/>
    <cellStyle name="Separador de milhares 2 2 8 4" xfId="40563" xr:uid="{03749BCD-4919-49B4-A1C8-CE508D066ED3}"/>
    <cellStyle name="Separador de milhares 2 2 8 5" xfId="40564" xr:uid="{59078F29-F349-4109-AA8B-D5C6D1F06241}"/>
    <cellStyle name="Separador de milhares 2 2 8 6" xfId="40565" xr:uid="{FB0AB746-CA7B-44E6-9F9F-7E75E9351AD3}"/>
    <cellStyle name="Separador de milhares 2 2 8 7" xfId="40566" xr:uid="{2C4508B5-443B-42BC-9066-92A40687EC81}"/>
    <cellStyle name="Separador de milhares 2 2 9" xfId="40567" xr:uid="{F3EDB1E0-07BA-4008-B20A-DCE6082FB3C4}"/>
    <cellStyle name="Separador de milhares 2 2 9 2" xfId="40568" xr:uid="{5A8536A8-CC04-4678-8E98-0538B5EADB45}"/>
    <cellStyle name="Separador de milhares 2 20" xfId="40569" xr:uid="{6E1B4A40-FE9C-46B2-910B-CA1F1FFECFAC}"/>
    <cellStyle name="Separador de milhares 2 20 10" xfId="40570" xr:uid="{0A9C8CC9-8C39-4CF8-8B33-6D1085D7AA51}"/>
    <cellStyle name="Separador de milhares 2 20 11" xfId="40571" xr:uid="{B2719176-F719-4676-81B6-9212502AF1FF}"/>
    <cellStyle name="Separador de milhares 2 20 12" xfId="40572" xr:uid="{8041EB96-955E-4EB0-B645-C44EE56C114E}"/>
    <cellStyle name="Separador de milhares 2 20 13" xfId="40573" xr:uid="{7C489CF1-8CDD-4719-9176-6BCE1D83ABC1}"/>
    <cellStyle name="Separador de milhares 2 20 2" xfId="40574" xr:uid="{72560021-9A14-4D82-B01E-F5E4A8A0EA84}"/>
    <cellStyle name="Separador de milhares 2 20 2 2" xfId="40575" xr:uid="{97EB1A78-078B-4F70-BCDA-CD644687C832}"/>
    <cellStyle name="Separador de milhares 2 20 2 3" xfId="40576" xr:uid="{D90D682D-30AB-4AFD-95FE-8FCC049185AF}"/>
    <cellStyle name="Separador de milhares 2 20 2 4" xfId="40577" xr:uid="{9274C91F-8CC2-4E0A-A749-7AD448C7CBF2}"/>
    <cellStyle name="Separador de milhares 2 20 2 5" xfId="40578" xr:uid="{DD0F915C-AFC2-4387-96B0-5DB466C5ACBF}"/>
    <cellStyle name="Separador de milhares 2 20 2 6" xfId="40579" xr:uid="{0CC40A1D-9B28-4DD8-ABCC-E53A019B1B56}"/>
    <cellStyle name="Separador de milhares 2 20 3" xfId="40580" xr:uid="{C15F123F-C9A0-45A0-A868-8CD9CFD5186A}"/>
    <cellStyle name="Separador de milhares 2 20 3 2" xfId="40581" xr:uid="{2F626A1D-21FB-45A4-B5C3-45FC76FBD97B}"/>
    <cellStyle name="Separador de milhares 2 20 3 3" xfId="40582" xr:uid="{1DAA8E0F-45DA-4E01-80D2-CA54B658DD94}"/>
    <cellStyle name="Separador de milhares 2 20 3 4" xfId="40583" xr:uid="{B69DEDED-688C-43F3-A8CD-342661578E13}"/>
    <cellStyle name="Separador de milhares 2 20 3 5" xfId="40584" xr:uid="{6F6F2CD0-9839-43E1-915F-4227F49B9F75}"/>
    <cellStyle name="Separador de milhares 2 20 3 6" xfId="40585" xr:uid="{8985CBC5-0101-4D95-80F8-48E71AE699EE}"/>
    <cellStyle name="Separador de milhares 2 20 4" xfId="40586" xr:uid="{D06F5A04-AF31-4B0E-A9D7-FE784FC349E8}"/>
    <cellStyle name="Separador de milhares 2 20 4 2" xfId="40587" xr:uid="{6BC7ADE1-EA20-4F5E-BD7A-F9A22E2926CC}"/>
    <cellStyle name="Separador de milhares 2 20 4 3" xfId="40588" xr:uid="{90BF1CC0-18A6-41AC-8B88-8E22D2A3E717}"/>
    <cellStyle name="Separador de milhares 2 20 4 4" xfId="40589" xr:uid="{FB68DC9F-62C7-43F1-BFE8-D8CE4CC014E5}"/>
    <cellStyle name="Separador de milhares 2 20 4 5" xfId="40590" xr:uid="{E686897C-3371-4B0F-8563-FB0421410A24}"/>
    <cellStyle name="Separador de milhares 2 20 4 6" xfId="40591" xr:uid="{1D28E4C2-19DD-4937-A004-966795B2BD1D}"/>
    <cellStyle name="Separador de milhares 2 20 5" xfId="40592" xr:uid="{3BE2240A-92F0-485F-A792-C2C8607FF095}"/>
    <cellStyle name="Separador de milhares 2 20 5 2" xfId="40593" xr:uid="{45DC3F30-4A91-4C47-BFAD-29B3DB4D632A}"/>
    <cellStyle name="Separador de milhares 2 20 5 3" xfId="40594" xr:uid="{767CF6A9-10E6-4156-ACE0-CE50B2021D66}"/>
    <cellStyle name="Separador de milhares 2 20 5 4" xfId="40595" xr:uid="{8E8C40D7-1779-4074-A83D-A779575226E6}"/>
    <cellStyle name="Separador de milhares 2 20 5 5" xfId="40596" xr:uid="{1EFB45AE-2531-42FE-A0FF-3733102B4479}"/>
    <cellStyle name="Separador de milhares 2 20 5 6" xfId="40597" xr:uid="{9FAC5904-ACF6-43B5-8741-066CA8EF5210}"/>
    <cellStyle name="Separador de milhares 2 20 6" xfId="40598" xr:uid="{7128C6F5-8F80-4327-AF00-B0FDAA1E4AA7}"/>
    <cellStyle name="Separador de milhares 2 20 6 2" xfId="40599" xr:uid="{049EF38B-4220-4562-8A60-CAA0A7144521}"/>
    <cellStyle name="Separador de milhares 2 20 6 3" xfId="40600" xr:uid="{E745F650-B4CF-4BA9-AFED-DB4F47B04C0B}"/>
    <cellStyle name="Separador de milhares 2 20 6 4" xfId="40601" xr:uid="{F65B9092-5FB7-4C42-8324-C35957736717}"/>
    <cellStyle name="Separador de milhares 2 20 6 5" xfId="40602" xr:uid="{48D57ADC-2564-49EA-8924-A9D6129797ED}"/>
    <cellStyle name="Separador de milhares 2 20 6 6" xfId="40603" xr:uid="{6EFBC5A6-F086-4175-893F-C732854C712B}"/>
    <cellStyle name="Separador de milhares 2 20 7" xfId="40604" xr:uid="{42F2E776-F3A9-46EE-AB3E-35A7C9029936}"/>
    <cellStyle name="Separador de milhares 2 20 7 2" xfId="40605" xr:uid="{3FC153A1-4F3E-4018-8C34-81DC333B564C}"/>
    <cellStyle name="Separador de milhares 2 20 7 3" xfId="40606" xr:uid="{D0AB6CB8-B50B-4CA1-A757-F5E86D9EF5B8}"/>
    <cellStyle name="Separador de milhares 2 20 7 4" xfId="40607" xr:uid="{6EB8A8F0-D6A1-4A28-B836-7F53952F746D}"/>
    <cellStyle name="Separador de milhares 2 20 7 5" xfId="40608" xr:uid="{22BCE67A-E1DB-4E46-BC2B-D9078C11E98E}"/>
    <cellStyle name="Separador de milhares 2 20 7 6" xfId="40609" xr:uid="{B1A75665-A337-49EC-9133-5FA7CEBF7849}"/>
    <cellStyle name="Separador de milhares 2 20 8" xfId="40610" xr:uid="{8B29EC09-88BB-444F-A7CB-777AC7773DF2}"/>
    <cellStyle name="Separador de milhares 2 20 8 2" xfId="40611" xr:uid="{3A2DCE55-CA41-4B35-8F29-C7513BF6CCA9}"/>
    <cellStyle name="Separador de milhares 2 20 8 3" xfId="40612" xr:uid="{19320DB8-5296-4123-B44B-B7066FAB246C}"/>
    <cellStyle name="Separador de milhares 2 20 8 4" xfId="40613" xr:uid="{20C44D7A-A969-4FCE-8E20-530664F8DCE2}"/>
    <cellStyle name="Separador de milhares 2 20 8 5" xfId="40614" xr:uid="{181A8686-A429-4ECF-8EE3-B858C5491281}"/>
    <cellStyle name="Separador de milhares 2 20 8 6" xfId="40615" xr:uid="{8838C1C4-1B29-44EB-AACC-DD3430DD2970}"/>
    <cellStyle name="Separador de milhares 2 20 9" xfId="40616" xr:uid="{BCAEFC18-CCA0-4919-AD53-2B8ADF5E8AA2}"/>
    <cellStyle name="Separador de milhares 2 21" xfId="40617" xr:uid="{2D433A68-1D11-423B-A658-8A00342BC228}"/>
    <cellStyle name="Separador de milhares 2 21 10" xfId="40618" xr:uid="{720B4764-21DB-497A-B5FC-0A6A9ED02F4A}"/>
    <cellStyle name="Separador de milhares 2 21 11" xfId="40619" xr:uid="{D33FBF44-14A2-494D-A533-E7B8978DEA0B}"/>
    <cellStyle name="Separador de milhares 2 21 12" xfId="40620" xr:uid="{97958634-6080-4A01-90DF-5335CCB514C7}"/>
    <cellStyle name="Separador de milhares 2 21 13" xfId="40621" xr:uid="{A658FC2F-D4AF-43A9-843E-2F8411C8876D}"/>
    <cellStyle name="Separador de milhares 2 21 2" xfId="40622" xr:uid="{E81F30E0-3FD8-48E6-8A05-84F64E500F32}"/>
    <cellStyle name="Separador de milhares 2 21 2 2" xfId="40623" xr:uid="{FC794AAF-6B47-4F9C-B2EB-ED4B40BA0CE0}"/>
    <cellStyle name="Separador de milhares 2 21 2 3" xfId="40624" xr:uid="{311FBC58-F1C2-4B66-A28A-876B9300FCEB}"/>
    <cellStyle name="Separador de milhares 2 21 2 4" xfId="40625" xr:uid="{013B97D5-4BCA-49AB-B6AB-E5C56D09CE32}"/>
    <cellStyle name="Separador de milhares 2 21 2 5" xfId="40626" xr:uid="{D1E7A607-08DD-423D-AA25-F65629C3D977}"/>
    <cellStyle name="Separador de milhares 2 21 2 6" xfId="40627" xr:uid="{3A4D6B4D-5F9B-481F-BFFF-42E439D7BA4B}"/>
    <cellStyle name="Separador de milhares 2 21 3" xfId="40628" xr:uid="{588FA318-4CB9-4B11-B3AB-D6D4071A1F7D}"/>
    <cellStyle name="Separador de milhares 2 21 3 2" xfId="40629" xr:uid="{3CED439D-5862-4DF4-8175-85DB06675E43}"/>
    <cellStyle name="Separador de milhares 2 21 3 3" xfId="40630" xr:uid="{22242B53-E1EA-4F36-8A4C-511274D69912}"/>
    <cellStyle name="Separador de milhares 2 21 3 4" xfId="40631" xr:uid="{39EC2FC4-FC6E-46F2-B19A-A6C1E6B2A97C}"/>
    <cellStyle name="Separador de milhares 2 21 3 5" xfId="40632" xr:uid="{93FA725C-6E6C-46E7-B7B3-659FF2E174EC}"/>
    <cellStyle name="Separador de milhares 2 21 3 6" xfId="40633" xr:uid="{F224561A-D3E9-4EDF-98C2-C367C8F5584B}"/>
    <cellStyle name="Separador de milhares 2 21 4" xfId="40634" xr:uid="{87E463CA-5CC1-4035-AE5F-33498C7BD65D}"/>
    <cellStyle name="Separador de milhares 2 21 4 2" xfId="40635" xr:uid="{024986FF-90E5-4690-829F-B224FD279117}"/>
    <cellStyle name="Separador de milhares 2 21 4 3" xfId="40636" xr:uid="{E546FB2F-AA4A-4EA2-8508-CB0DDF246139}"/>
    <cellStyle name="Separador de milhares 2 21 4 4" xfId="40637" xr:uid="{6139E0CD-092B-439F-9921-3BE8FC25BDB1}"/>
    <cellStyle name="Separador de milhares 2 21 4 5" xfId="40638" xr:uid="{0F6F07D2-2E59-4B4D-B30F-89D50099D3A7}"/>
    <cellStyle name="Separador de milhares 2 21 4 6" xfId="40639" xr:uid="{454AB2E4-4F76-40E4-B984-23811212831C}"/>
    <cellStyle name="Separador de milhares 2 21 5" xfId="40640" xr:uid="{922CED0C-7543-4839-B341-09C8FD4D784D}"/>
    <cellStyle name="Separador de milhares 2 21 5 2" xfId="40641" xr:uid="{19D405D0-46C2-4188-82E2-FFF6B6FBDFF8}"/>
    <cellStyle name="Separador de milhares 2 21 5 3" xfId="40642" xr:uid="{3DA2FDC2-3E68-41DF-AD44-B98BB7BD8157}"/>
    <cellStyle name="Separador de milhares 2 21 5 4" xfId="40643" xr:uid="{8594E164-7F21-4EE9-981C-FB5CC12E7E32}"/>
    <cellStyle name="Separador de milhares 2 21 5 5" xfId="40644" xr:uid="{D819CD98-A888-4014-B9E2-1F06DDF649BC}"/>
    <cellStyle name="Separador de milhares 2 21 5 6" xfId="40645" xr:uid="{B356A40B-153A-478C-9C05-5CDC3D50C0E5}"/>
    <cellStyle name="Separador de milhares 2 21 6" xfId="40646" xr:uid="{F582A823-ACCD-4A44-8852-30B705A95639}"/>
    <cellStyle name="Separador de milhares 2 21 6 2" xfId="40647" xr:uid="{715E4173-021E-4DCD-978E-F2CCAA5543EC}"/>
    <cellStyle name="Separador de milhares 2 21 6 3" xfId="40648" xr:uid="{373AD052-5B3E-4FB1-B2EE-791D52875405}"/>
    <cellStyle name="Separador de milhares 2 21 6 4" xfId="40649" xr:uid="{D4843290-F174-4463-A12F-E37AFE3AA878}"/>
    <cellStyle name="Separador de milhares 2 21 6 5" xfId="40650" xr:uid="{8919BBB0-6607-4223-AE57-6D3FAD9BECF2}"/>
    <cellStyle name="Separador de milhares 2 21 6 6" xfId="40651" xr:uid="{955262AA-FD46-4860-AB2F-3668B8F174FE}"/>
    <cellStyle name="Separador de milhares 2 21 7" xfId="40652" xr:uid="{1E48C335-E8DF-4278-9DC6-D9525A903345}"/>
    <cellStyle name="Separador de milhares 2 21 7 2" xfId="40653" xr:uid="{A47F1C8C-6D05-453B-AEC8-D8F30B0975DA}"/>
    <cellStyle name="Separador de milhares 2 21 7 3" xfId="40654" xr:uid="{E42255C8-777F-4DFD-9F38-25BA2EE47419}"/>
    <cellStyle name="Separador de milhares 2 21 7 4" xfId="40655" xr:uid="{40D6849E-FE92-4303-BB45-2B048CA384DA}"/>
    <cellStyle name="Separador de milhares 2 21 7 5" xfId="40656" xr:uid="{F8846CD3-EB72-42F5-9B20-9D45BE40EFF4}"/>
    <cellStyle name="Separador de milhares 2 21 7 6" xfId="40657" xr:uid="{53D2D2FB-E650-400D-8EB0-2290C72CD602}"/>
    <cellStyle name="Separador de milhares 2 21 8" xfId="40658" xr:uid="{7EEED796-7353-4964-A0BB-39E816A109F0}"/>
    <cellStyle name="Separador de milhares 2 21 8 2" xfId="40659" xr:uid="{4E90EC5F-E0CC-4F15-931F-E1BEF59A03D4}"/>
    <cellStyle name="Separador de milhares 2 21 8 3" xfId="40660" xr:uid="{B90111A8-E634-4817-A7B9-935753E77C04}"/>
    <cellStyle name="Separador de milhares 2 21 8 4" xfId="40661" xr:uid="{733B2FC6-A42C-44A1-BD38-249054C3EA34}"/>
    <cellStyle name="Separador de milhares 2 21 8 5" xfId="40662" xr:uid="{247D58EB-7D7C-4574-9A7B-EE38281886A5}"/>
    <cellStyle name="Separador de milhares 2 21 8 6" xfId="40663" xr:uid="{7E5AE0F6-8CBE-4F4E-98BF-2EBA4009B485}"/>
    <cellStyle name="Separador de milhares 2 21 9" xfId="40664" xr:uid="{62844488-AFB2-4AE7-B397-FF8F4E7F7D4E}"/>
    <cellStyle name="Separador de milhares 2 22" xfId="40665" xr:uid="{14CA1C9B-636E-4A9E-97E2-01CB47BA0C91}"/>
    <cellStyle name="Separador de milhares 2 22 10" xfId="40666" xr:uid="{234082EF-946D-4FB3-BF9F-66899935203D}"/>
    <cellStyle name="Separador de milhares 2 22 11" xfId="40667" xr:uid="{AD588D4C-2981-4F8E-8FA6-F8DAE9CC1BA3}"/>
    <cellStyle name="Separador de milhares 2 22 12" xfId="40668" xr:uid="{2E3FF9AF-468C-4613-9E24-6058DB0EEAFA}"/>
    <cellStyle name="Separador de milhares 2 22 13" xfId="40669" xr:uid="{BC26F5A8-7C13-41B2-817F-FD56E6E074D4}"/>
    <cellStyle name="Separador de milhares 2 22 2" xfId="40670" xr:uid="{AB1E3F90-990F-4812-AC06-4A0E1887353C}"/>
    <cellStyle name="Separador de milhares 2 22 2 2" xfId="40671" xr:uid="{18937C07-4E2F-4B0E-A1AD-B4DFD88FABAA}"/>
    <cellStyle name="Separador de milhares 2 22 2 3" xfId="40672" xr:uid="{AF174D8B-2EC9-4EA3-96CA-FCD48DA30A5C}"/>
    <cellStyle name="Separador de milhares 2 22 2 4" xfId="40673" xr:uid="{063D43C2-6A86-41D2-B7B9-7F7F9DA1A4B2}"/>
    <cellStyle name="Separador de milhares 2 22 2 5" xfId="40674" xr:uid="{64DD9D24-DDB6-49DE-8B30-B7AC27DD388B}"/>
    <cellStyle name="Separador de milhares 2 22 2 6" xfId="40675" xr:uid="{4104A79D-FF61-43FF-B388-B8F8EAB6F367}"/>
    <cellStyle name="Separador de milhares 2 22 3" xfId="40676" xr:uid="{4B4BAA5E-E426-4A93-8CE9-A59CC48D5F22}"/>
    <cellStyle name="Separador de milhares 2 22 3 2" xfId="40677" xr:uid="{41A3E670-871D-4D8E-9A68-BC50F8662D88}"/>
    <cellStyle name="Separador de milhares 2 22 3 3" xfId="40678" xr:uid="{89684605-0779-4EA6-98F4-F03BC032D2E4}"/>
    <cellStyle name="Separador de milhares 2 22 3 4" xfId="40679" xr:uid="{8C713032-E0F1-4C9A-A012-3071677122B3}"/>
    <cellStyle name="Separador de milhares 2 22 3 5" xfId="40680" xr:uid="{325906FE-6471-42E7-839D-647A2140EEDA}"/>
    <cellStyle name="Separador de milhares 2 22 3 6" xfId="40681" xr:uid="{357B8E2E-9CD5-41F2-B5C2-186F9C023E6D}"/>
    <cellStyle name="Separador de milhares 2 22 4" xfId="40682" xr:uid="{E282AC27-2292-4544-8244-0F19EB966287}"/>
    <cellStyle name="Separador de milhares 2 22 4 2" xfId="40683" xr:uid="{B53E351F-E995-4B69-8CD6-FA7F6088F7CD}"/>
    <cellStyle name="Separador de milhares 2 22 4 3" xfId="40684" xr:uid="{2909A36C-0CF7-4545-BA1C-C0ABBE013300}"/>
    <cellStyle name="Separador de milhares 2 22 4 4" xfId="40685" xr:uid="{6F3CF07D-D54F-4C1F-8EC3-E02979BA3D7A}"/>
    <cellStyle name="Separador de milhares 2 22 4 5" xfId="40686" xr:uid="{99B8A6E6-3BFF-4D5C-8FFC-B0F96F3BB08C}"/>
    <cellStyle name="Separador de milhares 2 22 4 6" xfId="40687" xr:uid="{D7123FD0-E735-4F1C-8F80-9BF546F24806}"/>
    <cellStyle name="Separador de milhares 2 22 5" xfId="40688" xr:uid="{10CC08D0-F63E-4ADA-B74F-5109005AE04F}"/>
    <cellStyle name="Separador de milhares 2 22 5 2" xfId="40689" xr:uid="{7B36D78C-2262-46C0-9597-A1519B9B382A}"/>
    <cellStyle name="Separador de milhares 2 22 5 3" xfId="40690" xr:uid="{F288B2E6-38CD-4628-B88D-FAB2FB6B3CAE}"/>
    <cellStyle name="Separador de milhares 2 22 5 4" xfId="40691" xr:uid="{077A928B-694F-4A81-A8FF-F2679FD7F564}"/>
    <cellStyle name="Separador de milhares 2 22 5 5" xfId="40692" xr:uid="{DFF54C84-C1A6-40CF-8AB1-3D65387CBFFD}"/>
    <cellStyle name="Separador de milhares 2 22 5 6" xfId="40693" xr:uid="{9C6CC59B-37C2-4EC4-B64C-CD4810883E28}"/>
    <cellStyle name="Separador de milhares 2 22 6" xfId="40694" xr:uid="{22939BB6-56C6-442D-B880-60D57D25E898}"/>
    <cellStyle name="Separador de milhares 2 22 6 2" xfId="40695" xr:uid="{E4237CC9-859D-47C8-8BAD-3A0E74246ED0}"/>
    <cellStyle name="Separador de milhares 2 22 6 3" xfId="40696" xr:uid="{836D7483-09E6-4EB2-9095-465B18F95C08}"/>
    <cellStyle name="Separador de milhares 2 22 6 4" xfId="40697" xr:uid="{20E51A9B-8235-4D89-838F-03CCCE2D5D33}"/>
    <cellStyle name="Separador de milhares 2 22 6 5" xfId="40698" xr:uid="{659A7A49-6F20-47A1-942D-4992EF1D916F}"/>
    <cellStyle name="Separador de milhares 2 22 6 6" xfId="40699" xr:uid="{C5AD4C69-E528-4DA8-88E4-7AE0E11B10DE}"/>
    <cellStyle name="Separador de milhares 2 22 7" xfId="40700" xr:uid="{FB0D62BD-E545-40D1-962D-D1A62FBE3FA4}"/>
    <cellStyle name="Separador de milhares 2 22 7 2" xfId="40701" xr:uid="{7DA67643-B2F2-456C-BABC-FA55712785C2}"/>
    <cellStyle name="Separador de milhares 2 22 7 3" xfId="40702" xr:uid="{0AEBB747-AC37-4490-8B04-C46729D8FF86}"/>
    <cellStyle name="Separador de milhares 2 22 7 4" xfId="40703" xr:uid="{C12F757E-BC56-432B-B854-E89212F5EB47}"/>
    <cellStyle name="Separador de milhares 2 22 7 5" xfId="40704" xr:uid="{5B475147-0A64-4FA7-855C-3B92A036CE61}"/>
    <cellStyle name="Separador de milhares 2 22 7 6" xfId="40705" xr:uid="{1430CDCA-EDD2-41DB-A2FF-671BBDCBF4DA}"/>
    <cellStyle name="Separador de milhares 2 22 8" xfId="40706" xr:uid="{1EAE1B0B-BA15-41BC-AA7E-2312E06F657D}"/>
    <cellStyle name="Separador de milhares 2 22 8 2" xfId="40707" xr:uid="{12F09FCF-7EF8-4B81-82DC-181C40B3096F}"/>
    <cellStyle name="Separador de milhares 2 22 8 3" xfId="40708" xr:uid="{F3F65963-ABB3-4756-A8C9-8ECE4EC17A79}"/>
    <cellStyle name="Separador de milhares 2 22 8 4" xfId="40709" xr:uid="{1AC80951-7EED-430C-ADCF-AE88C08CDA50}"/>
    <cellStyle name="Separador de milhares 2 22 8 5" xfId="40710" xr:uid="{ACA445CD-55C7-4F67-A2BA-0A2E495D890C}"/>
    <cellStyle name="Separador de milhares 2 22 8 6" xfId="40711" xr:uid="{800AF094-8748-425C-8EE6-96609EAA138F}"/>
    <cellStyle name="Separador de milhares 2 22 9" xfId="40712" xr:uid="{49CA78C3-6996-4C3B-A9BC-629BB5DFEBCA}"/>
    <cellStyle name="Separador de milhares 2 23" xfId="40713" xr:uid="{7D458B5E-544A-4E80-A691-DB99BD2227AF}"/>
    <cellStyle name="Separador de milhares 2 23 10" xfId="40714" xr:uid="{2AFA9107-5FD4-4D4E-A2DA-8FB157A8379B}"/>
    <cellStyle name="Separador de milhares 2 23 11" xfId="40715" xr:uid="{F2BFAD86-39FB-4BAD-8AF9-36FDA3A34E08}"/>
    <cellStyle name="Separador de milhares 2 23 12" xfId="40716" xr:uid="{D9F9B964-F85D-4594-91A8-EFB60FDF4B47}"/>
    <cellStyle name="Separador de milhares 2 23 13" xfId="40717" xr:uid="{6F44BB6A-6B29-48FE-BD1B-EE99E7714F96}"/>
    <cellStyle name="Separador de milhares 2 23 2" xfId="40718" xr:uid="{9A4503B1-95B2-4468-A072-EC8E64E292CD}"/>
    <cellStyle name="Separador de milhares 2 23 2 2" xfId="40719" xr:uid="{FE108A80-FB9C-45CA-9D14-AC7CA3D946BE}"/>
    <cellStyle name="Separador de milhares 2 23 2 3" xfId="40720" xr:uid="{27A3A99B-06F8-4BE3-9E20-4930EEB21212}"/>
    <cellStyle name="Separador de milhares 2 23 2 4" xfId="40721" xr:uid="{1E123B7F-3CBE-4E70-A38D-AD504461AF3A}"/>
    <cellStyle name="Separador de milhares 2 23 2 5" xfId="40722" xr:uid="{F4BF550C-76CC-4948-BF21-8C566A0851A0}"/>
    <cellStyle name="Separador de milhares 2 23 2 6" xfId="40723" xr:uid="{699801CC-7628-4617-AB6F-4BAC12BF531E}"/>
    <cellStyle name="Separador de milhares 2 23 3" xfId="40724" xr:uid="{E2542C65-3E20-40D0-B915-727027D32176}"/>
    <cellStyle name="Separador de milhares 2 23 3 2" xfId="40725" xr:uid="{5BF9212A-C392-443C-8F1D-1B6A5E8F485B}"/>
    <cellStyle name="Separador de milhares 2 23 3 3" xfId="40726" xr:uid="{DCD56188-6515-4578-8DFC-AC7E68C5E7AB}"/>
    <cellStyle name="Separador de milhares 2 23 3 4" xfId="40727" xr:uid="{AA201167-D7D8-498C-9FF9-AD4200CBBD3B}"/>
    <cellStyle name="Separador de milhares 2 23 3 5" xfId="40728" xr:uid="{58DDC046-D472-41D5-A45F-BA4C30689FDF}"/>
    <cellStyle name="Separador de milhares 2 23 3 6" xfId="40729" xr:uid="{63A221EC-7F28-4097-88D3-1DBE1CA3A0D2}"/>
    <cellStyle name="Separador de milhares 2 23 4" xfId="40730" xr:uid="{443B8152-4CA2-42EF-831C-894C909F1D0E}"/>
    <cellStyle name="Separador de milhares 2 23 4 2" xfId="40731" xr:uid="{8AE7DA75-9EDF-4177-AB68-E2C1CE8A6461}"/>
    <cellStyle name="Separador de milhares 2 23 4 3" xfId="40732" xr:uid="{35331F2B-83A9-469C-81B9-CAC9F65D9D75}"/>
    <cellStyle name="Separador de milhares 2 23 4 4" xfId="40733" xr:uid="{B7E3B5BD-2651-4E2D-99EA-1722AED1F840}"/>
    <cellStyle name="Separador de milhares 2 23 4 5" xfId="40734" xr:uid="{68D589B4-9DEB-4FCF-A46D-A690CB81F994}"/>
    <cellStyle name="Separador de milhares 2 23 4 6" xfId="40735" xr:uid="{A010BFAC-2618-44FA-911C-6D8010E8F382}"/>
    <cellStyle name="Separador de milhares 2 23 5" xfId="40736" xr:uid="{4DD3E4B6-E269-4A69-B44F-DE8D62A4938C}"/>
    <cellStyle name="Separador de milhares 2 23 5 2" xfId="40737" xr:uid="{E47CC402-D605-402B-8B28-C188806397E3}"/>
    <cellStyle name="Separador de milhares 2 23 5 3" xfId="40738" xr:uid="{2B5B086D-6D1A-4E92-8CD2-1F29BEE6611E}"/>
    <cellStyle name="Separador de milhares 2 23 5 4" xfId="40739" xr:uid="{E6597964-89F9-4EFF-B350-602B16704BCF}"/>
    <cellStyle name="Separador de milhares 2 23 5 5" xfId="40740" xr:uid="{3E8CDBCA-A634-4C22-ADC0-4A73BA8F4B0C}"/>
    <cellStyle name="Separador de milhares 2 23 5 6" xfId="40741" xr:uid="{CD2C2DF4-98A6-4DD7-A50A-A076BDA99770}"/>
    <cellStyle name="Separador de milhares 2 23 6" xfId="40742" xr:uid="{584B4C4B-C68D-4E5A-9857-917CA82D009D}"/>
    <cellStyle name="Separador de milhares 2 23 6 2" xfId="40743" xr:uid="{DC904F5E-F050-4BBE-9DE9-3E800FCAB43F}"/>
    <cellStyle name="Separador de milhares 2 23 6 3" xfId="40744" xr:uid="{BAAAA9D5-5E2A-44B6-B255-732E425DA871}"/>
    <cellStyle name="Separador de milhares 2 23 6 4" xfId="40745" xr:uid="{9FF8A95A-D5EE-4CDC-8233-313C11A98B96}"/>
    <cellStyle name="Separador de milhares 2 23 6 5" xfId="40746" xr:uid="{3E8995C8-E81D-46A2-BC12-DDABB622D075}"/>
    <cellStyle name="Separador de milhares 2 23 6 6" xfId="40747" xr:uid="{B6B06A7C-FBB9-4D07-BEA8-3C02C4CA3D73}"/>
    <cellStyle name="Separador de milhares 2 23 7" xfId="40748" xr:uid="{0467FB6F-E1F8-4923-958F-450276671B39}"/>
    <cellStyle name="Separador de milhares 2 23 7 2" xfId="40749" xr:uid="{0A176538-4BE9-4C32-903F-A0BF5D47D405}"/>
    <cellStyle name="Separador de milhares 2 23 7 3" xfId="40750" xr:uid="{A95A303F-46BD-4534-93A3-0C944EE3E6C6}"/>
    <cellStyle name="Separador de milhares 2 23 7 4" xfId="40751" xr:uid="{8C81FE44-D6DA-45A1-B998-F4B69C010941}"/>
    <cellStyle name="Separador de milhares 2 23 7 5" xfId="40752" xr:uid="{E2B36C97-AAD4-4A42-B35A-F8FE42940707}"/>
    <cellStyle name="Separador de milhares 2 23 7 6" xfId="40753" xr:uid="{F8E44645-6D64-4458-8D66-D108278CAF74}"/>
    <cellStyle name="Separador de milhares 2 23 8" xfId="40754" xr:uid="{2D3BF9EA-F53D-467C-85F9-CF4916ED312D}"/>
    <cellStyle name="Separador de milhares 2 23 8 2" xfId="40755" xr:uid="{D5E30762-7A98-4978-A5C0-13A9E425A761}"/>
    <cellStyle name="Separador de milhares 2 23 8 3" xfId="40756" xr:uid="{A13F8E94-1CCF-4139-9E9A-CD026D6117A6}"/>
    <cellStyle name="Separador de milhares 2 23 8 4" xfId="40757" xr:uid="{B4120B23-B3BB-45B9-842E-4E6CEA3CC402}"/>
    <cellStyle name="Separador de milhares 2 23 8 5" xfId="40758" xr:uid="{3082B7EC-4BC5-4A22-8F4E-ED9946669284}"/>
    <cellStyle name="Separador de milhares 2 23 8 6" xfId="40759" xr:uid="{CA0E7FF7-E817-473A-B058-D68AB46F1650}"/>
    <cellStyle name="Separador de milhares 2 23 9" xfId="40760" xr:uid="{71AA7464-3632-4A47-B6B0-94DBEC2417CC}"/>
    <cellStyle name="Separador de milhares 2 24" xfId="40761" xr:uid="{6391B6EC-DC38-4C6E-9906-ABA766661DDA}"/>
    <cellStyle name="Separador de milhares 2 24 10" xfId="40762" xr:uid="{862E7F52-4448-4F40-8C77-9EA7D0EDF2CB}"/>
    <cellStyle name="Separador de milhares 2 24 11" xfId="40763" xr:uid="{061F2812-DFB9-4CD1-902B-DA16098B6FF7}"/>
    <cellStyle name="Separador de milhares 2 24 12" xfId="40764" xr:uid="{B4A09B1E-DBDC-4812-9525-A7C93C13C1C5}"/>
    <cellStyle name="Separador de milhares 2 24 13" xfId="40765" xr:uid="{6FB25607-D7D7-46BC-8E32-7A2BE645F6A6}"/>
    <cellStyle name="Separador de milhares 2 24 2" xfId="40766" xr:uid="{6989E47B-574F-438E-8E8E-3ACD354EB19B}"/>
    <cellStyle name="Separador de milhares 2 24 2 2" xfId="40767" xr:uid="{48525BD5-D820-4C67-9296-B8EE6FC4AC6B}"/>
    <cellStyle name="Separador de milhares 2 24 2 3" xfId="40768" xr:uid="{DF706ED9-26FD-47EC-B7D7-C720D6A3C483}"/>
    <cellStyle name="Separador de milhares 2 24 2 4" xfId="40769" xr:uid="{7518C338-FC5C-4526-A793-CE95FEF0A5EB}"/>
    <cellStyle name="Separador de milhares 2 24 2 5" xfId="40770" xr:uid="{09C39A88-04DA-44E1-B465-A957AC495CAD}"/>
    <cellStyle name="Separador de milhares 2 24 2 6" xfId="40771" xr:uid="{E69B4E6D-5E83-4A4F-9FA9-4A0DB7A0165A}"/>
    <cellStyle name="Separador de milhares 2 24 3" xfId="40772" xr:uid="{0F6B0583-58DA-4729-A021-A868219CA79A}"/>
    <cellStyle name="Separador de milhares 2 24 3 2" xfId="40773" xr:uid="{AAA5ABD4-7EF4-4822-952F-C31918B621D7}"/>
    <cellStyle name="Separador de milhares 2 24 3 3" xfId="40774" xr:uid="{C904D5F8-CF26-4B67-9D07-19DA19E3EF9D}"/>
    <cellStyle name="Separador de milhares 2 24 3 4" xfId="40775" xr:uid="{D3236C14-9F5D-43DB-A53C-881A81A10532}"/>
    <cellStyle name="Separador de milhares 2 24 3 5" xfId="40776" xr:uid="{8A34F70C-B691-427D-888F-7FF5F92A14B6}"/>
    <cellStyle name="Separador de milhares 2 24 3 6" xfId="40777" xr:uid="{63F669C2-53AF-4EBB-8326-E911ABFAF83E}"/>
    <cellStyle name="Separador de milhares 2 24 4" xfId="40778" xr:uid="{E6BF6CDB-FF90-41EA-B6D5-01AEC802394E}"/>
    <cellStyle name="Separador de milhares 2 24 4 2" xfId="40779" xr:uid="{FEC60589-3928-4236-9FFD-DA440D671451}"/>
    <cellStyle name="Separador de milhares 2 24 4 3" xfId="40780" xr:uid="{35C5705F-D63D-4CFE-AB58-C9B7EADC6547}"/>
    <cellStyle name="Separador de milhares 2 24 4 4" xfId="40781" xr:uid="{45724540-9068-43A7-AA41-EE0029884BB9}"/>
    <cellStyle name="Separador de milhares 2 24 4 5" xfId="40782" xr:uid="{5864FC48-ED4C-4366-AB47-D365CAA45F38}"/>
    <cellStyle name="Separador de milhares 2 24 4 6" xfId="40783" xr:uid="{89DBC197-8D4B-4329-9951-88831EA7CDAF}"/>
    <cellStyle name="Separador de milhares 2 24 5" xfId="40784" xr:uid="{354DEFB6-0522-46EE-8416-DC273C37170F}"/>
    <cellStyle name="Separador de milhares 2 24 5 2" xfId="40785" xr:uid="{C0EFAF22-9ECA-4B8C-8A04-F0E2BB51F86B}"/>
    <cellStyle name="Separador de milhares 2 24 5 3" xfId="40786" xr:uid="{ADCE08F7-F9EA-47D3-B4D9-87E9BCD91BAD}"/>
    <cellStyle name="Separador de milhares 2 24 5 4" xfId="40787" xr:uid="{E328AB82-F9BA-4820-947B-499F282CA19A}"/>
    <cellStyle name="Separador de milhares 2 24 5 5" xfId="40788" xr:uid="{65A064D4-5C43-4A66-A36A-DF9B200C4E06}"/>
    <cellStyle name="Separador de milhares 2 24 5 6" xfId="40789" xr:uid="{9246B298-E5D6-4103-824F-266E1FB3F5E4}"/>
    <cellStyle name="Separador de milhares 2 24 6" xfId="40790" xr:uid="{51E861AF-9CB3-442C-A0E2-163931BB8604}"/>
    <cellStyle name="Separador de milhares 2 24 6 2" xfId="40791" xr:uid="{B7C16E44-B922-497D-8D97-66ED145CBF37}"/>
    <cellStyle name="Separador de milhares 2 24 6 3" xfId="40792" xr:uid="{65CE57A0-D375-4311-BA09-641B3C95C110}"/>
    <cellStyle name="Separador de milhares 2 24 6 4" xfId="40793" xr:uid="{E6939FAB-CDB5-4EC5-8ACC-E969E764F42E}"/>
    <cellStyle name="Separador de milhares 2 24 6 5" xfId="40794" xr:uid="{8E79BD10-6A39-4420-9A60-69E8C4D9583A}"/>
    <cellStyle name="Separador de milhares 2 24 6 6" xfId="40795" xr:uid="{29F9770A-4C2F-4337-BE87-D9405A5E285A}"/>
    <cellStyle name="Separador de milhares 2 24 7" xfId="40796" xr:uid="{DA2210E2-CCD5-4962-9034-5EF73B248EB9}"/>
    <cellStyle name="Separador de milhares 2 24 7 2" xfId="40797" xr:uid="{97760826-25B1-42D4-8885-DE9890E5BFE6}"/>
    <cellStyle name="Separador de milhares 2 24 7 3" xfId="40798" xr:uid="{B5F6DDA4-2202-4341-83C4-295942A14B19}"/>
    <cellStyle name="Separador de milhares 2 24 7 4" xfId="40799" xr:uid="{50A93AA2-805E-4C2A-A000-085E666F3EC4}"/>
    <cellStyle name="Separador de milhares 2 24 7 5" xfId="40800" xr:uid="{DE542BAC-24F9-4B88-818F-7B6CF242295C}"/>
    <cellStyle name="Separador de milhares 2 24 7 6" xfId="40801" xr:uid="{39659FBA-9F8C-4CA8-8CCE-71187C82F894}"/>
    <cellStyle name="Separador de milhares 2 24 8" xfId="40802" xr:uid="{5A010386-0971-4E6C-B0D4-AB65F9E9A4B0}"/>
    <cellStyle name="Separador de milhares 2 24 8 2" xfId="40803" xr:uid="{EB3FCF4C-24E9-4CA6-A6BA-4AEA9FC2C485}"/>
    <cellStyle name="Separador de milhares 2 24 8 3" xfId="40804" xr:uid="{98D35530-865D-41F7-B25A-567CF5466303}"/>
    <cellStyle name="Separador de milhares 2 24 8 4" xfId="40805" xr:uid="{1CD7302E-4D9A-490D-B02F-BEF3BD1590E8}"/>
    <cellStyle name="Separador de milhares 2 24 8 5" xfId="40806" xr:uid="{14003DC6-795B-491C-93F2-3B4355355C71}"/>
    <cellStyle name="Separador de milhares 2 24 8 6" xfId="40807" xr:uid="{1DE4281F-2E53-4189-82D5-9E3ED7890C91}"/>
    <cellStyle name="Separador de milhares 2 24 9" xfId="40808" xr:uid="{391E9951-7A53-45A9-A733-4842148B5CB5}"/>
    <cellStyle name="Separador de milhares 2 25" xfId="40809" xr:uid="{180B570C-440F-452F-8CB3-91D00A203179}"/>
    <cellStyle name="Separador de milhares 2 25 10" xfId="40810" xr:uid="{47AEE514-A9DA-4DC2-B2E2-34CFE621FE66}"/>
    <cellStyle name="Separador de milhares 2 25 11" xfId="40811" xr:uid="{898A13C8-CEFD-458E-AD6F-2AAC002642E0}"/>
    <cellStyle name="Separador de milhares 2 25 12" xfId="40812" xr:uid="{BB02F322-24A7-4E51-AE03-F8B3AD2E605B}"/>
    <cellStyle name="Separador de milhares 2 25 13" xfId="40813" xr:uid="{1254FDA8-7E98-4C10-8AAF-E56990F04011}"/>
    <cellStyle name="Separador de milhares 2 25 2" xfId="40814" xr:uid="{3B483BF3-E9C3-4AF4-8BDC-13AAC43F8E41}"/>
    <cellStyle name="Separador de milhares 2 25 2 2" xfId="40815" xr:uid="{A632E40D-AFDF-4E0E-AAEB-79CC931F9700}"/>
    <cellStyle name="Separador de milhares 2 25 2 3" xfId="40816" xr:uid="{F6DC3AFF-0B22-4697-A45C-8AF402055C74}"/>
    <cellStyle name="Separador de milhares 2 25 2 4" xfId="40817" xr:uid="{0841E0B0-5212-4BC4-91BC-19D637860B0C}"/>
    <cellStyle name="Separador de milhares 2 25 2 5" xfId="40818" xr:uid="{51261327-527E-4275-852E-D6DDFCA0B2C9}"/>
    <cellStyle name="Separador de milhares 2 25 2 6" xfId="40819" xr:uid="{B372574C-CB65-4EF3-A3A3-0B2DA4B7DD60}"/>
    <cellStyle name="Separador de milhares 2 25 3" xfId="40820" xr:uid="{E38AACDB-AFCB-4B80-8AB3-2C017EDC55A9}"/>
    <cellStyle name="Separador de milhares 2 25 3 2" xfId="40821" xr:uid="{468CB6DD-F9FD-4E83-A605-3A38A717576B}"/>
    <cellStyle name="Separador de milhares 2 25 3 3" xfId="40822" xr:uid="{DA5613C9-47E1-4CB4-AD13-7CEB2733A31E}"/>
    <cellStyle name="Separador de milhares 2 25 3 4" xfId="40823" xr:uid="{7A6050A6-4AE2-483D-97AA-BD9050B2F272}"/>
    <cellStyle name="Separador de milhares 2 25 3 5" xfId="40824" xr:uid="{04AFDBBE-1416-4B36-ABC3-00E9F86AB1FF}"/>
    <cellStyle name="Separador de milhares 2 25 3 6" xfId="40825" xr:uid="{88182580-0DCA-421C-BF04-B13C9404015E}"/>
    <cellStyle name="Separador de milhares 2 25 4" xfId="40826" xr:uid="{F0EFC133-E750-4ED2-935A-97061C84FE64}"/>
    <cellStyle name="Separador de milhares 2 25 4 2" xfId="40827" xr:uid="{DC4B3A56-B36C-47B4-B1B3-4896A74BE996}"/>
    <cellStyle name="Separador de milhares 2 25 4 3" xfId="40828" xr:uid="{7BA8DF8F-E74F-407E-9E83-135E593B4EC5}"/>
    <cellStyle name="Separador de milhares 2 25 4 4" xfId="40829" xr:uid="{8A899E0B-5DB7-4B04-B973-354E4C4DA336}"/>
    <cellStyle name="Separador de milhares 2 25 4 5" xfId="40830" xr:uid="{0014B399-2387-4A35-A15F-F640C211FA85}"/>
    <cellStyle name="Separador de milhares 2 25 4 6" xfId="40831" xr:uid="{974AAD79-98E4-4DFC-A9FA-7DB247A534F3}"/>
    <cellStyle name="Separador de milhares 2 25 5" xfId="40832" xr:uid="{72DB7B7B-1B41-409A-8CA8-0DAEF36B388A}"/>
    <cellStyle name="Separador de milhares 2 25 5 2" xfId="40833" xr:uid="{44E4FFF3-3FFC-4AC8-92B7-EFA10E6B6738}"/>
    <cellStyle name="Separador de milhares 2 25 5 3" xfId="40834" xr:uid="{EDD674E9-5CF0-474E-8A1D-75D244732100}"/>
    <cellStyle name="Separador de milhares 2 25 5 4" xfId="40835" xr:uid="{E5E9107E-E00F-40D1-838F-324AD1E9FB7D}"/>
    <cellStyle name="Separador de milhares 2 25 5 5" xfId="40836" xr:uid="{09A1FACA-D12E-46DC-8D1D-C3876489898D}"/>
    <cellStyle name="Separador de milhares 2 25 5 6" xfId="40837" xr:uid="{7D584D1A-F4B0-462D-8465-9ACB4A3B6DCF}"/>
    <cellStyle name="Separador de milhares 2 25 6" xfId="40838" xr:uid="{965ED890-09E0-43C5-8B36-9228517DADC5}"/>
    <cellStyle name="Separador de milhares 2 25 6 2" xfId="40839" xr:uid="{D621D591-B5A4-49E4-8E38-485460E9C55A}"/>
    <cellStyle name="Separador de milhares 2 25 6 3" xfId="40840" xr:uid="{275757C4-71EE-4557-A160-2212E5ECAB2E}"/>
    <cellStyle name="Separador de milhares 2 25 6 4" xfId="40841" xr:uid="{4B1BD285-A547-4EF3-B46A-A03317B912B0}"/>
    <cellStyle name="Separador de milhares 2 25 6 5" xfId="40842" xr:uid="{FF1FA132-30B8-45D1-88FA-26D016F115B9}"/>
    <cellStyle name="Separador de milhares 2 25 6 6" xfId="40843" xr:uid="{CF368DCF-5B5D-4A74-B992-A0DED39DC0DB}"/>
    <cellStyle name="Separador de milhares 2 25 7" xfId="40844" xr:uid="{040ACCB2-E020-4360-A681-8F5FBCC2FC27}"/>
    <cellStyle name="Separador de milhares 2 25 7 2" xfId="40845" xr:uid="{E42D8E06-C4EC-4809-A201-990158BC7342}"/>
    <cellStyle name="Separador de milhares 2 25 7 3" xfId="40846" xr:uid="{046AE1D0-6576-4E07-8AB7-C20582237947}"/>
    <cellStyle name="Separador de milhares 2 25 7 4" xfId="40847" xr:uid="{67700325-7584-448C-AA55-3E2C097E104F}"/>
    <cellStyle name="Separador de milhares 2 25 7 5" xfId="40848" xr:uid="{A783A87B-A93F-4D8A-A663-03046157C9C4}"/>
    <cellStyle name="Separador de milhares 2 25 7 6" xfId="40849" xr:uid="{060C7203-1F82-430B-8CF9-CEE4C67B4517}"/>
    <cellStyle name="Separador de milhares 2 25 8" xfId="40850" xr:uid="{77C93842-DD6C-42B5-966D-2D09B5E47095}"/>
    <cellStyle name="Separador de milhares 2 25 8 2" xfId="40851" xr:uid="{EFB38DEB-797F-4E8B-A011-2FD04E39B52E}"/>
    <cellStyle name="Separador de milhares 2 25 8 3" xfId="40852" xr:uid="{0EEFF2F2-906D-42E4-A9AD-820134B37CFE}"/>
    <cellStyle name="Separador de milhares 2 25 8 4" xfId="40853" xr:uid="{BBC4A871-DE1B-4B6C-8159-D3D6FA0B3668}"/>
    <cellStyle name="Separador de milhares 2 25 8 5" xfId="40854" xr:uid="{4B8EEDF6-3D02-44C8-BC27-A41DED202C6C}"/>
    <cellStyle name="Separador de milhares 2 25 8 6" xfId="40855" xr:uid="{BD0D9096-1F13-4E89-B9B8-6372B683ECC4}"/>
    <cellStyle name="Separador de milhares 2 25 9" xfId="40856" xr:uid="{4F8CFD3F-650D-44D5-AA05-148511593BFB}"/>
    <cellStyle name="Separador de milhares 2 26" xfId="40857" xr:uid="{8642C9D1-3486-4208-B05A-927F4DBC8DD0}"/>
    <cellStyle name="Separador de milhares 2 26 10" xfId="40858" xr:uid="{593DC001-520B-4215-BD9A-1442764929F2}"/>
    <cellStyle name="Separador de milhares 2 26 11" xfId="40859" xr:uid="{031ED76E-C57B-4209-B0C2-9F65348F186A}"/>
    <cellStyle name="Separador de milhares 2 26 12" xfId="40860" xr:uid="{155BC3EA-B6D6-4F0E-B234-BFEAE97D4BFB}"/>
    <cellStyle name="Separador de milhares 2 26 13" xfId="40861" xr:uid="{EF38B8AE-3A0E-4C46-8667-443CAE9EDF55}"/>
    <cellStyle name="Separador de milhares 2 26 2" xfId="40862" xr:uid="{034F517E-794F-468D-9150-C9A4D61F793F}"/>
    <cellStyle name="Separador de milhares 2 26 2 2" xfId="40863" xr:uid="{9A84DB1C-97E7-41FA-B683-6D8F4108D941}"/>
    <cellStyle name="Separador de milhares 2 26 2 3" xfId="40864" xr:uid="{EF89785C-89F8-4AD2-96F5-FE93D5C9DD4A}"/>
    <cellStyle name="Separador de milhares 2 26 2 4" xfId="40865" xr:uid="{67D1BBC5-FA54-472B-9CE9-C7416FA0A293}"/>
    <cellStyle name="Separador de milhares 2 26 2 5" xfId="40866" xr:uid="{9CF3F271-D51C-416B-91FE-7DF875E41F33}"/>
    <cellStyle name="Separador de milhares 2 26 2 6" xfId="40867" xr:uid="{5EEDF5A8-F349-42A2-9506-45E05E58C1E4}"/>
    <cellStyle name="Separador de milhares 2 26 3" xfId="40868" xr:uid="{8211B127-CC8A-4063-B505-80D82A3C80A9}"/>
    <cellStyle name="Separador de milhares 2 26 3 2" xfId="40869" xr:uid="{AD787B3B-564D-4D19-9644-92195A4932E4}"/>
    <cellStyle name="Separador de milhares 2 26 3 3" xfId="40870" xr:uid="{AE674C8B-BFFF-473D-87BB-F5180D9146DD}"/>
    <cellStyle name="Separador de milhares 2 26 3 4" xfId="40871" xr:uid="{E37FCBA0-F9C8-42AE-9B4B-CDC029F994AB}"/>
    <cellStyle name="Separador de milhares 2 26 3 5" xfId="40872" xr:uid="{4DA079D9-0028-4828-AB8A-C422C8F32D6C}"/>
    <cellStyle name="Separador de milhares 2 26 3 6" xfId="40873" xr:uid="{CCA902AF-205D-4686-92EC-E840B163BAAA}"/>
    <cellStyle name="Separador de milhares 2 26 4" xfId="40874" xr:uid="{B082E8C5-58D6-4BA6-B79C-DFC89696A58B}"/>
    <cellStyle name="Separador de milhares 2 26 4 2" xfId="40875" xr:uid="{03CE88B4-3FDB-4BD1-8B33-6A7CA0E9116C}"/>
    <cellStyle name="Separador de milhares 2 26 4 3" xfId="40876" xr:uid="{08993544-621A-42BC-9AA7-DF05F3FDF52E}"/>
    <cellStyle name="Separador de milhares 2 26 4 4" xfId="40877" xr:uid="{CE1F1BE3-ADAF-4DBA-94BD-BB1D6F6166EF}"/>
    <cellStyle name="Separador de milhares 2 26 4 5" xfId="40878" xr:uid="{3D8D4A52-4F4E-4B3E-82DA-D960B9FAB392}"/>
    <cellStyle name="Separador de milhares 2 26 4 6" xfId="40879" xr:uid="{EFC0EB96-2F76-4B52-9C2F-33EA8ADD3033}"/>
    <cellStyle name="Separador de milhares 2 26 5" xfId="40880" xr:uid="{3CCE1248-59D4-4D07-8B6F-D6D159C1D873}"/>
    <cellStyle name="Separador de milhares 2 26 5 2" xfId="40881" xr:uid="{045CC5E4-D8E8-42A5-86E2-B78BA60C9FD1}"/>
    <cellStyle name="Separador de milhares 2 26 5 3" xfId="40882" xr:uid="{5306AE8E-ED63-4407-A5A9-5A9E9B0A7FAD}"/>
    <cellStyle name="Separador de milhares 2 26 5 4" xfId="40883" xr:uid="{3FBDEC1B-EDA0-431A-881B-506FAE28AB8A}"/>
    <cellStyle name="Separador de milhares 2 26 5 5" xfId="40884" xr:uid="{5B90D625-A1D2-426B-BE99-D5C8973A4A19}"/>
    <cellStyle name="Separador de milhares 2 26 5 6" xfId="40885" xr:uid="{CA51C350-A2A2-4748-9A3B-12E58435E4EE}"/>
    <cellStyle name="Separador de milhares 2 26 6" xfId="40886" xr:uid="{B133EEB5-F69A-452A-B539-293EA00EE007}"/>
    <cellStyle name="Separador de milhares 2 26 6 2" xfId="40887" xr:uid="{DB9B05C5-B7E3-4ABB-9A3A-FCBDCA74AA24}"/>
    <cellStyle name="Separador de milhares 2 26 6 3" xfId="40888" xr:uid="{A42871C5-C444-454F-BE73-2D0ECBB40452}"/>
    <cellStyle name="Separador de milhares 2 26 6 4" xfId="40889" xr:uid="{F24365BA-E65B-4FC6-8504-18B946348F86}"/>
    <cellStyle name="Separador de milhares 2 26 6 5" xfId="40890" xr:uid="{A9BC1843-D7FB-46DC-96CD-CCAB7F160AEA}"/>
    <cellStyle name="Separador de milhares 2 26 6 6" xfId="40891" xr:uid="{1B805B4F-6A16-4745-BD04-2592073399BA}"/>
    <cellStyle name="Separador de milhares 2 26 7" xfId="40892" xr:uid="{A56CEAF9-B648-4F2A-9C14-7D49B76BD7C4}"/>
    <cellStyle name="Separador de milhares 2 26 7 2" xfId="40893" xr:uid="{A3148DBC-D044-4E12-BBFA-22B2C8AA0C9E}"/>
    <cellStyle name="Separador de milhares 2 26 7 3" xfId="40894" xr:uid="{33D149A3-0F0F-42B4-BAC5-5BACC15CF994}"/>
    <cellStyle name="Separador de milhares 2 26 7 4" xfId="40895" xr:uid="{836F9A80-9C64-4A4F-8830-E6CD2DB05053}"/>
    <cellStyle name="Separador de milhares 2 26 7 5" xfId="40896" xr:uid="{4B43C5B2-C405-4AF2-9D36-49294BAA4743}"/>
    <cellStyle name="Separador de milhares 2 26 7 6" xfId="40897" xr:uid="{937D8DD9-9106-4DED-9FE3-CCDC3B06A4F2}"/>
    <cellStyle name="Separador de milhares 2 26 8" xfId="40898" xr:uid="{5866EB25-7A14-466B-9CB7-3D1F8039AA39}"/>
    <cellStyle name="Separador de milhares 2 26 8 2" xfId="40899" xr:uid="{E27A1CEB-5EE3-43C6-B482-CCD767631AD9}"/>
    <cellStyle name="Separador de milhares 2 26 8 3" xfId="40900" xr:uid="{E2F5BCF3-2D92-4770-84EF-31BC7588AE98}"/>
    <cellStyle name="Separador de milhares 2 26 8 4" xfId="40901" xr:uid="{C7952834-7BD9-4CAE-B54A-22A203E1EA51}"/>
    <cellStyle name="Separador de milhares 2 26 8 5" xfId="40902" xr:uid="{82260832-E07C-44DE-8A60-0C88E39A52D8}"/>
    <cellStyle name="Separador de milhares 2 26 8 6" xfId="40903" xr:uid="{ADD142EC-00A6-4FF1-AB21-CC6B02CEF585}"/>
    <cellStyle name="Separador de milhares 2 26 9" xfId="40904" xr:uid="{4FE31731-4514-4D9E-9814-6AD60AEF162C}"/>
    <cellStyle name="Separador de milhares 2 27" xfId="40905" xr:uid="{CCBBF1BF-A7D1-4023-B121-B692E61AB446}"/>
    <cellStyle name="Separador de milhares 2 27 10" xfId="40906" xr:uid="{77688162-2419-482D-8152-1A8B5C02794C}"/>
    <cellStyle name="Separador de milhares 2 27 11" xfId="40907" xr:uid="{62358AB7-CADA-46B9-83CB-F18195EB7E2C}"/>
    <cellStyle name="Separador de milhares 2 27 12" xfId="40908" xr:uid="{8EC939CA-DE7B-485F-B746-CF38078609CE}"/>
    <cellStyle name="Separador de milhares 2 27 13" xfId="40909" xr:uid="{FBD6F0EA-DFA5-4238-B28F-2FA0041FAD99}"/>
    <cellStyle name="Separador de milhares 2 27 2" xfId="40910" xr:uid="{C6B64379-9D57-4B9E-A5AA-2C86201EB03C}"/>
    <cellStyle name="Separador de milhares 2 27 2 2" xfId="40911" xr:uid="{F9DDCEB4-7E7A-487C-8E3D-85F5850E9699}"/>
    <cellStyle name="Separador de milhares 2 27 2 3" xfId="40912" xr:uid="{375D072A-89C5-4500-B23E-2EDBE9B85085}"/>
    <cellStyle name="Separador de milhares 2 27 2 4" xfId="40913" xr:uid="{9053BE1C-A5CE-40EE-AD70-6FA1A0854901}"/>
    <cellStyle name="Separador de milhares 2 27 2 5" xfId="40914" xr:uid="{A56B1435-D6BB-4F28-BB89-8891E41F26B1}"/>
    <cellStyle name="Separador de milhares 2 27 2 6" xfId="40915" xr:uid="{D04CD786-6EF3-4B80-BD4A-57E82E039A82}"/>
    <cellStyle name="Separador de milhares 2 27 3" xfId="40916" xr:uid="{E5F1AC9A-2BF3-4B13-AA5C-74D973EEBBE7}"/>
    <cellStyle name="Separador de milhares 2 27 3 2" xfId="40917" xr:uid="{C4A219A0-2399-4E91-9C15-E071A36CE237}"/>
    <cellStyle name="Separador de milhares 2 27 3 3" xfId="40918" xr:uid="{5512D998-2C3C-4B8B-8790-C369BE027401}"/>
    <cellStyle name="Separador de milhares 2 27 3 4" xfId="40919" xr:uid="{9D5DF303-B888-425F-8999-01D2D3BB2D50}"/>
    <cellStyle name="Separador de milhares 2 27 3 5" xfId="40920" xr:uid="{793005EE-8650-4B94-A839-A18C9856F9DB}"/>
    <cellStyle name="Separador de milhares 2 27 3 6" xfId="40921" xr:uid="{84C98C05-FC26-44EE-A2B0-474472B83E43}"/>
    <cellStyle name="Separador de milhares 2 27 4" xfId="40922" xr:uid="{28F8AB21-2B1E-45BC-87E4-1EC16735CCE3}"/>
    <cellStyle name="Separador de milhares 2 27 4 2" xfId="40923" xr:uid="{C22A1B1F-EB8A-4FA2-9DA7-AEE52F2A2FC3}"/>
    <cellStyle name="Separador de milhares 2 27 4 3" xfId="40924" xr:uid="{846212B6-8041-4C18-9817-4073AC8148DD}"/>
    <cellStyle name="Separador de milhares 2 27 4 4" xfId="40925" xr:uid="{3E735E76-2DB8-4002-BA6C-4230DA847C96}"/>
    <cellStyle name="Separador de milhares 2 27 4 5" xfId="40926" xr:uid="{035E2B62-AD92-4E8B-AA0D-611DA1FC9EC3}"/>
    <cellStyle name="Separador de milhares 2 27 4 6" xfId="40927" xr:uid="{EC21638A-80D6-432A-82D2-1F90601A79B1}"/>
    <cellStyle name="Separador de milhares 2 27 5" xfId="40928" xr:uid="{522D6F12-F6FC-47F5-9400-AC4475656A58}"/>
    <cellStyle name="Separador de milhares 2 27 5 2" xfId="40929" xr:uid="{F91DF7C3-9C57-4629-9ED6-3E98BE0AD84C}"/>
    <cellStyle name="Separador de milhares 2 27 5 3" xfId="40930" xr:uid="{4B8D5D9C-6F0A-4329-A8D2-E6DBBC9FAC67}"/>
    <cellStyle name="Separador de milhares 2 27 5 4" xfId="40931" xr:uid="{34AFA18B-8D04-4C0E-980B-71743FFE8949}"/>
    <cellStyle name="Separador de milhares 2 27 5 5" xfId="40932" xr:uid="{AB11E932-4EA2-4705-B352-75A872DB6F8A}"/>
    <cellStyle name="Separador de milhares 2 27 5 6" xfId="40933" xr:uid="{72CD8BDB-9A31-4158-9607-F1D6BAEF2E5D}"/>
    <cellStyle name="Separador de milhares 2 27 6" xfId="40934" xr:uid="{7C7CDC5D-EAD0-4985-B9ED-7FF8D9456E83}"/>
    <cellStyle name="Separador de milhares 2 27 6 2" xfId="40935" xr:uid="{A692DD80-B073-4F09-87FD-B87199044343}"/>
    <cellStyle name="Separador de milhares 2 27 6 3" xfId="40936" xr:uid="{28954664-44F5-4031-8FFE-FEC77D06C457}"/>
    <cellStyle name="Separador de milhares 2 27 6 4" xfId="40937" xr:uid="{94060680-84CF-4618-9C07-579FD0AA00F3}"/>
    <cellStyle name="Separador de milhares 2 27 6 5" xfId="40938" xr:uid="{CD3B9D2D-9187-40E0-9047-41F88005C25B}"/>
    <cellStyle name="Separador de milhares 2 27 6 6" xfId="40939" xr:uid="{4F259A8B-E980-41FC-A3F4-778F2D8F707F}"/>
    <cellStyle name="Separador de milhares 2 27 7" xfId="40940" xr:uid="{01FB894E-E5B4-43CD-A080-AD0EB57F8C1A}"/>
    <cellStyle name="Separador de milhares 2 27 7 2" xfId="40941" xr:uid="{27E37265-8285-4743-97DA-2DC548EF6859}"/>
    <cellStyle name="Separador de milhares 2 27 7 3" xfId="40942" xr:uid="{A48938C8-9C37-4F6A-90DB-3A2A46E34E70}"/>
    <cellStyle name="Separador de milhares 2 27 7 4" xfId="40943" xr:uid="{960016B6-9B35-4DA6-8A14-D59F5ADEFF83}"/>
    <cellStyle name="Separador de milhares 2 27 7 5" xfId="40944" xr:uid="{8DDCE985-3722-4E78-8D3C-CC005A449692}"/>
    <cellStyle name="Separador de milhares 2 27 7 6" xfId="40945" xr:uid="{2AB465F8-E6FD-43E2-85C9-3F25CFF68839}"/>
    <cellStyle name="Separador de milhares 2 27 8" xfId="40946" xr:uid="{FB7FFDB8-703F-4332-8405-18E27E5D99CF}"/>
    <cellStyle name="Separador de milhares 2 27 8 2" xfId="40947" xr:uid="{A835443E-0673-49F0-BB89-1D3917ECAF7D}"/>
    <cellStyle name="Separador de milhares 2 27 8 3" xfId="40948" xr:uid="{C55FA9E8-FC87-4C60-9E4B-5B1EA41737B9}"/>
    <cellStyle name="Separador de milhares 2 27 8 4" xfId="40949" xr:uid="{1BEB5EC9-2AF3-4AC5-A484-D7427F3098F9}"/>
    <cellStyle name="Separador de milhares 2 27 8 5" xfId="40950" xr:uid="{67F1DA2E-D5D0-4FE2-96C4-DD6FA2845A2B}"/>
    <cellStyle name="Separador de milhares 2 27 8 6" xfId="40951" xr:uid="{001C6EF8-2445-4C40-92A3-C5FAC566A5B9}"/>
    <cellStyle name="Separador de milhares 2 27 9" xfId="40952" xr:uid="{5BC343E8-C4E4-4B01-8E83-8FA09A9341AC}"/>
    <cellStyle name="Separador de milhares 2 28" xfId="40953" xr:uid="{7852B034-9F11-419D-92DC-CDF6E08B622E}"/>
    <cellStyle name="Separador de milhares 2 28 10" xfId="40954" xr:uid="{EA718101-933C-4D8F-BAC5-052D4C6B4109}"/>
    <cellStyle name="Separador de milhares 2 28 11" xfId="40955" xr:uid="{6E92114A-A3C1-421B-97BD-0E4DE5A3B103}"/>
    <cellStyle name="Separador de milhares 2 28 12" xfId="40956" xr:uid="{67186B60-A3AF-47F6-9C03-AF422BF11160}"/>
    <cellStyle name="Separador de milhares 2 28 13" xfId="40957" xr:uid="{56EEEEF8-D2D4-432A-AA7D-947862729344}"/>
    <cellStyle name="Separador de milhares 2 28 2" xfId="40958" xr:uid="{5B2AAF1C-1E1B-407F-8ED6-2AA686251749}"/>
    <cellStyle name="Separador de milhares 2 28 2 2" xfId="40959" xr:uid="{ACB8A780-A55D-401A-A4FA-5810EDBC31F3}"/>
    <cellStyle name="Separador de milhares 2 28 2 3" xfId="40960" xr:uid="{FA0AB799-5953-477F-83C0-CAC14E2CE15A}"/>
    <cellStyle name="Separador de milhares 2 28 2 4" xfId="40961" xr:uid="{FCC64A9F-7E40-4C70-B3E0-B49F3C91BEA8}"/>
    <cellStyle name="Separador de milhares 2 28 2 5" xfId="40962" xr:uid="{7498D8F9-C3F0-4F7F-8AFA-AA67C727F498}"/>
    <cellStyle name="Separador de milhares 2 28 2 6" xfId="40963" xr:uid="{5E17D7A3-8A23-49CA-9FEA-4461049A6806}"/>
    <cellStyle name="Separador de milhares 2 28 3" xfId="40964" xr:uid="{1D5C2710-15F4-4DC8-BEE9-3269F278D3E5}"/>
    <cellStyle name="Separador de milhares 2 28 3 2" xfId="40965" xr:uid="{77AEE372-8404-459B-A969-33F1571A9D3B}"/>
    <cellStyle name="Separador de milhares 2 28 3 3" xfId="40966" xr:uid="{C2F7D665-22ED-4401-A454-02048FB27B8C}"/>
    <cellStyle name="Separador de milhares 2 28 3 4" xfId="40967" xr:uid="{8786ECA8-ED2F-43F6-8894-A83E0EFE1A15}"/>
    <cellStyle name="Separador de milhares 2 28 3 5" xfId="40968" xr:uid="{B6355F92-47BC-4FEC-97E4-262750AE7F0E}"/>
    <cellStyle name="Separador de milhares 2 28 3 6" xfId="40969" xr:uid="{3367873D-6FA2-4A0F-9877-DAF2788FA662}"/>
    <cellStyle name="Separador de milhares 2 28 4" xfId="40970" xr:uid="{E97C7A8E-EBB4-4D43-8533-1E6B84A23301}"/>
    <cellStyle name="Separador de milhares 2 28 4 2" xfId="40971" xr:uid="{0928160A-0E8D-4A6D-9101-F7D559A7C777}"/>
    <cellStyle name="Separador de milhares 2 28 4 3" xfId="40972" xr:uid="{E05A9DDC-A4E2-4F3D-B694-50D68BEDA736}"/>
    <cellStyle name="Separador de milhares 2 28 4 4" xfId="40973" xr:uid="{B923BF56-9751-41A6-9527-333BC8DA679B}"/>
    <cellStyle name="Separador de milhares 2 28 4 5" xfId="40974" xr:uid="{E27B0C50-D7CC-423D-8F0A-0511B177E78A}"/>
    <cellStyle name="Separador de milhares 2 28 4 6" xfId="40975" xr:uid="{2B1987B4-E916-4AE3-8E39-064CFBB322CC}"/>
    <cellStyle name="Separador de milhares 2 28 5" xfId="40976" xr:uid="{356980FF-165D-41B1-A855-22FD8D37FA2A}"/>
    <cellStyle name="Separador de milhares 2 28 5 2" xfId="40977" xr:uid="{8BFABF70-FE9F-4E76-ABE6-B5C8CF138434}"/>
    <cellStyle name="Separador de milhares 2 28 5 3" xfId="40978" xr:uid="{EF39D06B-7FC8-4F5C-9F5E-60AC82DCFAC6}"/>
    <cellStyle name="Separador de milhares 2 28 5 4" xfId="40979" xr:uid="{B14A9319-7BEB-47D3-96A6-1DCB11C368BD}"/>
    <cellStyle name="Separador de milhares 2 28 5 5" xfId="40980" xr:uid="{14E3C616-0B73-416B-B89B-6E7C0D97AFFE}"/>
    <cellStyle name="Separador de milhares 2 28 5 6" xfId="40981" xr:uid="{1159E8D5-848F-463B-9153-12BB0774F4AA}"/>
    <cellStyle name="Separador de milhares 2 28 6" xfId="40982" xr:uid="{EC9302BF-984C-44EE-82F9-F1EE2E3769ED}"/>
    <cellStyle name="Separador de milhares 2 28 6 2" xfId="40983" xr:uid="{978CC3CA-8CBC-405F-A1E2-74172C87A38E}"/>
    <cellStyle name="Separador de milhares 2 28 6 3" xfId="40984" xr:uid="{BFA039F2-9122-468B-9E4B-BBCF1FB8FC5D}"/>
    <cellStyle name="Separador de milhares 2 28 6 4" xfId="40985" xr:uid="{3097D833-BA49-484F-AED5-DB37D2B4A86E}"/>
    <cellStyle name="Separador de milhares 2 28 6 5" xfId="40986" xr:uid="{24331C35-A9EF-42B5-80CE-FBB95C5DD6AF}"/>
    <cellStyle name="Separador de milhares 2 28 6 6" xfId="40987" xr:uid="{441439E6-87BC-4DF2-A12D-5ECBAC6EEE3D}"/>
    <cellStyle name="Separador de milhares 2 28 7" xfId="40988" xr:uid="{8BC9D84F-FD41-4F9C-B533-A60902987EC0}"/>
    <cellStyle name="Separador de milhares 2 28 7 2" xfId="40989" xr:uid="{EB4A417C-58F5-4A06-8950-E66AA2CF3E27}"/>
    <cellStyle name="Separador de milhares 2 28 7 3" xfId="40990" xr:uid="{4F001C0C-3EF8-4738-BEDF-72F3F13994E2}"/>
    <cellStyle name="Separador de milhares 2 28 7 4" xfId="40991" xr:uid="{70D1CF14-54A4-432D-8F66-4083559B749E}"/>
    <cellStyle name="Separador de milhares 2 28 7 5" xfId="40992" xr:uid="{C8A07C36-FA25-4CE2-B174-7688D0B053AA}"/>
    <cellStyle name="Separador de milhares 2 28 7 6" xfId="40993" xr:uid="{3DB4B55E-9DF8-4FE2-A268-1C415F5B1DB8}"/>
    <cellStyle name="Separador de milhares 2 28 8" xfId="40994" xr:uid="{A1E94F29-D8B7-468D-80A4-C66BC9FDA4D1}"/>
    <cellStyle name="Separador de milhares 2 28 8 2" xfId="40995" xr:uid="{2AB7EC28-E3D0-483B-AFD6-CDF80B649C58}"/>
    <cellStyle name="Separador de milhares 2 28 8 3" xfId="40996" xr:uid="{0BF96E2B-E04F-426F-B570-FA54375A9748}"/>
    <cellStyle name="Separador de milhares 2 28 8 4" xfId="40997" xr:uid="{9A10593E-C8A3-4125-A612-DEAEE7A2F4FA}"/>
    <cellStyle name="Separador de milhares 2 28 8 5" xfId="40998" xr:uid="{FF51E08D-241F-4A2C-89D4-D76B5CD1B2ED}"/>
    <cellStyle name="Separador de milhares 2 28 8 6" xfId="40999" xr:uid="{34681A1D-E500-4874-8001-846B64AAEC34}"/>
    <cellStyle name="Separador de milhares 2 28 9" xfId="41000" xr:uid="{678D735A-7E4D-4EE6-8414-69400A7C9F1E}"/>
    <cellStyle name="Separador de milhares 2 29" xfId="41001" xr:uid="{7C1EA3BB-AFE3-4C60-8B6D-3A5DB1FC18F8}"/>
    <cellStyle name="Separador de milhares 2 29 10" xfId="41002" xr:uid="{362C2CD9-1B86-4147-9021-2993FC4317E7}"/>
    <cellStyle name="Separador de milhares 2 29 11" xfId="41003" xr:uid="{49044742-536B-4490-932C-C5D134E15A50}"/>
    <cellStyle name="Separador de milhares 2 29 12" xfId="41004" xr:uid="{44251341-00A1-4730-9526-23E4B1E2A444}"/>
    <cellStyle name="Separador de milhares 2 29 13" xfId="41005" xr:uid="{0152ECA1-CCB0-44B8-B399-FF847F1216D7}"/>
    <cellStyle name="Separador de milhares 2 29 2" xfId="41006" xr:uid="{34173D02-C901-4C35-9389-1E467FEAA9D7}"/>
    <cellStyle name="Separador de milhares 2 29 2 2" xfId="41007" xr:uid="{6455B9FA-221B-4FF9-A05E-09CD6ABE593B}"/>
    <cellStyle name="Separador de milhares 2 29 2 3" xfId="41008" xr:uid="{9E4FE343-A5DB-4CAF-B676-E62F33DF24A7}"/>
    <cellStyle name="Separador de milhares 2 29 2 4" xfId="41009" xr:uid="{145C8B5D-E017-40CB-93F5-D93F3FC0F951}"/>
    <cellStyle name="Separador de milhares 2 29 2 5" xfId="41010" xr:uid="{48DD4AC1-E5C9-4C67-8EFC-C0B509D01317}"/>
    <cellStyle name="Separador de milhares 2 29 2 6" xfId="41011" xr:uid="{CD8A16FE-A5C5-45D5-9674-D80C1F8B88AF}"/>
    <cellStyle name="Separador de milhares 2 29 3" xfId="41012" xr:uid="{9D43B4EE-92EA-4ABC-803A-3B268AD8BE40}"/>
    <cellStyle name="Separador de milhares 2 29 3 2" xfId="41013" xr:uid="{3FB31791-5C4D-4B19-AE4A-AA3ABE8E3DDC}"/>
    <cellStyle name="Separador de milhares 2 29 3 3" xfId="41014" xr:uid="{5C46D4B2-0407-407B-A3F2-1AD8DCB470A0}"/>
    <cellStyle name="Separador de milhares 2 29 3 4" xfId="41015" xr:uid="{C40F3C40-D0CD-499F-951E-C958D843244B}"/>
    <cellStyle name="Separador de milhares 2 29 3 5" xfId="41016" xr:uid="{42762AD3-C584-4282-BA87-8D0D635E77E2}"/>
    <cellStyle name="Separador de milhares 2 29 3 6" xfId="41017" xr:uid="{3A56FFAA-3DFC-4D60-97C1-2F5F48A94DDA}"/>
    <cellStyle name="Separador de milhares 2 29 4" xfId="41018" xr:uid="{9D28D787-29DF-403B-BF4B-EB5D54761CFC}"/>
    <cellStyle name="Separador de milhares 2 29 4 2" xfId="41019" xr:uid="{C3C2E802-15C5-4F55-9232-F331A9878138}"/>
    <cellStyle name="Separador de milhares 2 29 4 3" xfId="41020" xr:uid="{9BBDBF03-18B4-408C-BD7A-6DB91D3042CD}"/>
    <cellStyle name="Separador de milhares 2 29 4 4" xfId="41021" xr:uid="{56D53ADC-BC43-477B-8E30-EECDE0700660}"/>
    <cellStyle name="Separador de milhares 2 29 4 5" xfId="41022" xr:uid="{FF2208FD-F437-44EF-BBC3-85C0268A107D}"/>
    <cellStyle name="Separador de milhares 2 29 4 6" xfId="41023" xr:uid="{C828943A-0235-43CB-9748-385BA0ACB7BA}"/>
    <cellStyle name="Separador de milhares 2 29 5" xfId="41024" xr:uid="{342C3083-628C-4461-B730-402B3A080D1F}"/>
    <cellStyle name="Separador de milhares 2 29 5 2" xfId="41025" xr:uid="{EF571EE5-BFAD-4C7E-ACC1-6C3853A8C0C0}"/>
    <cellStyle name="Separador de milhares 2 29 5 3" xfId="41026" xr:uid="{F82631CE-CE61-4010-A41A-051B7BF5C2FE}"/>
    <cellStyle name="Separador de milhares 2 29 5 4" xfId="41027" xr:uid="{6C3A3E32-C4AD-4EEC-9199-97507EA4DA8B}"/>
    <cellStyle name="Separador de milhares 2 29 5 5" xfId="41028" xr:uid="{E68822A1-B617-4CEA-8C34-CA8A78DDCCD1}"/>
    <cellStyle name="Separador de milhares 2 29 5 6" xfId="41029" xr:uid="{7ABC1ED2-4B64-421D-84CA-9FD55E38093E}"/>
    <cellStyle name="Separador de milhares 2 29 6" xfId="41030" xr:uid="{AD8A4126-F7C7-469B-881B-95036344ADB5}"/>
    <cellStyle name="Separador de milhares 2 29 6 2" xfId="41031" xr:uid="{DE13A523-9A1B-41B5-AAE1-06C197E21CE9}"/>
    <cellStyle name="Separador de milhares 2 29 6 3" xfId="41032" xr:uid="{E13B8CF0-D3AD-4890-A05A-982B7FEFCE75}"/>
    <cellStyle name="Separador de milhares 2 29 6 4" xfId="41033" xr:uid="{AF779608-D600-4737-8977-E24EE628BF23}"/>
    <cellStyle name="Separador de milhares 2 29 6 5" xfId="41034" xr:uid="{A52773F1-AB0A-4B74-965E-EDF90363FF61}"/>
    <cellStyle name="Separador de milhares 2 29 6 6" xfId="41035" xr:uid="{72C1CE75-289B-4CDA-BE1D-9C2860251EE5}"/>
    <cellStyle name="Separador de milhares 2 29 7" xfId="41036" xr:uid="{3E76AF40-9E44-4A16-A268-315A3DCF97C0}"/>
    <cellStyle name="Separador de milhares 2 29 7 2" xfId="41037" xr:uid="{D0994D85-253C-41CD-91A0-470DBA44D7D1}"/>
    <cellStyle name="Separador de milhares 2 29 7 3" xfId="41038" xr:uid="{CCB660A0-4812-40AF-A90E-8AF3F3104E23}"/>
    <cellStyle name="Separador de milhares 2 29 7 4" xfId="41039" xr:uid="{A8D180ED-83FD-4D7B-BF34-7248FE7E63D6}"/>
    <cellStyle name="Separador de milhares 2 29 7 5" xfId="41040" xr:uid="{C406CB55-3417-4358-82BB-BAD63ABD17AD}"/>
    <cellStyle name="Separador de milhares 2 29 7 6" xfId="41041" xr:uid="{E1DC67B6-D476-4873-AF21-EA6A3B35FE08}"/>
    <cellStyle name="Separador de milhares 2 29 8" xfId="41042" xr:uid="{8C3C1F0B-A6DD-4F70-97F7-C1C4B1D5FCCD}"/>
    <cellStyle name="Separador de milhares 2 29 8 2" xfId="41043" xr:uid="{20939CF2-212C-4199-86DA-B47EAD9588E2}"/>
    <cellStyle name="Separador de milhares 2 29 8 3" xfId="41044" xr:uid="{A08E8E51-B2D8-4936-A48C-D5D1060A0AFD}"/>
    <cellStyle name="Separador de milhares 2 29 8 4" xfId="41045" xr:uid="{4AB29953-5D12-4D38-A2FC-38FA466AC4AC}"/>
    <cellStyle name="Separador de milhares 2 29 8 5" xfId="41046" xr:uid="{62DE8F61-315F-4894-9E4A-C7D3B7C5B528}"/>
    <cellStyle name="Separador de milhares 2 29 8 6" xfId="41047" xr:uid="{0D5B9860-0F40-40EF-8C19-114AC29585E4}"/>
    <cellStyle name="Separador de milhares 2 29 9" xfId="41048" xr:uid="{87C95FB6-B589-4EE8-80C0-25AE31376B70}"/>
    <cellStyle name="Separador de milhares 2 3" xfId="1155" xr:uid="{86952E14-0548-4EA5-8F5F-6709AD327A0E}"/>
    <cellStyle name="Separador de milhares 2 3 10" xfId="41049" xr:uid="{ED8C3E5E-F86C-40B6-89B8-4A4191C6A01A}"/>
    <cellStyle name="Separador de milhares 2 3 11" xfId="41050" xr:uid="{0B0CE1F9-5357-4084-99F3-F8933C52BF81}"/>
    <cellStyle name="Separador de milhares 2 3 12" xfId="41051" xr:uid="{55B9E261-3A66-44C1-BEC3-9D10B85EF2EF}"/>
    <cellStyle name="Separador de milhares 2 3 13" xfId="41052" xr:uid="{E4838C09-0326-4D38-867D-5C21B456F037}"/>
    <cellStyle name="Separador de milhares 2 3 14" xfId="41053" xr:uid="{3F6A97AF-0169-47A9-BEB8-D69087A1D761}"/>
    <cellStyle name="Separador de milhares 2 3 2" xfId="41054" xr:uid="{8ACD05E6-FC36-403C-B604-FBE4C0E435BA}"/>
    <cellStyle name="Separador de milhares 2 3 2 2" xfId="41055" xr:uid="{A2303CE7-FB7D-410E-8942-998A529E13AB}"/>
    <cellStyle name="Separador de milhares 2 3 2 3" xfId="41056" xr:uid="{533D8ADD-E9C4-4E93-A2A1-E34164DAE164}"/>
    <cellStyle name="Separador de milhares 2 3 2 4" xfId="41057" xr:uid="{97426FDB-26FD-43B3-BB27-F067FA9596E5}"/>
    <cellStyle name="Separador de milhares 2 3 2 5" xfId="41058" xr:uid="{80E0DF04-D824-44DC-959D-A99C1106F4B8}"/>
    <cellStyle name="Separador de milhares 2 3 2 6" xfId="41059" xr:uid="{56C8DFDD-47C6-4F24-B91B-066C28B7313E}"/>
    <cellStyle name="Separador de milhares 2 3 3" xfId="41060" xr:uid="{C0795721-CF79-417C-A888-4B7AF91639B6}"/>
    <cellStyle name="Separador de milhares 2 3 3 2" xfId="41061" xr:uid="{E8722D2A-7A69-4D18-96AF-D68DC38BDFE7}"/>
    <cellStyle name="Separador de milhares 2 3 3 3" xfId="41062" xr:uid="{C67B4CB0-CBB0-4001-8759-C54A1D9CB7A8}"/>
    <cellStyle name="Separador de milhares 2 3 3 4" xfId="41063" xr:uid="{34AA924C-61F7-4A7B-B812-59314DE9C405}"/>
    <cellStyle name="Separador de milhares 2 3 3 5" xfId="41064" xr:uid="{814BB344-F60C-4984-9AC2-2CDA3302AF8F}"/>
    <cellStyle name="Separador de milhares 2 3 3 6" xfId="41065" xr:uid="{F881DCE8-C8A8-44AD-942C-19D817153F50}"/>
    <cellStyle name="Separador de milhares 2 3 4" xfId="41066" xr:uid="{F7EEE029-E75F-4796-9A4C-96D3D7C0DF25}"/>
    <cellStyle name="Separador de milhares 2 3 4 2" xfId="41067" xr:uid="{C29BFA96-4B88-4335-AE4A-697421933FED}"/>
    <cellStyle name="Separador de milhares 2 3 4 3" xfId="41068" xr:uid="{F3B97D23-538A-47D3-A76D-D3212BEC3533}"/>
    <cellStyle name="Separador de milhares 2 3 4 4" xfId="41069" xr:uid="{CFAC8BEE-E7FB-4A10-AAC8-D18B1EE2001E}"/>
    <cellStyle name="Separador de milhares 2 3 4 5" xfId="41070" xr:uid="{3E1A2555-E239-41FD-8C7C-E73EAA74BD3C}"/>
    <cellStyle name="Separador de milhares 2 3 4 6" xfId="41071" xr:uid="{1BB0F0A1-B56B-4C76-B777-45EFFEEBD3BA}"/>
    <cellStyle name="Separador de milhares 2 3 5" xfId="41072" xr:uid="{B100C2A0-AA1D-4CAA-B471-4D4DF3D72D09}"/>
    <cellStyle name="Separador de milhares 2 3 5 2" xfId="41073" xr:uid="{59D5BF38-1043-43C9-AC81-A78378FDBEF1}"/>
    <cellStyle name="Separador de milhares 2 3 5 3" xfId="41074" xr:uid="{1C8E51AC-E8D6-40C5-8BE8-C490303C504F}"/>
    <cellStyle name="Separador de milhares 2 3 5 4" xfId="41075" xr:uid="{AFE9FCAC-FE57-4BE4-B19E-4B2417B35D49}"/>
    <cellStyle name="Separador de milhares 2 3 5 5" xfId="41076" xr:uid="{1732BA14-CD3E-47B1-A156-581FBD6A94C9}"/>
    <cellStyle name="Separador de milhares 2 3 5 6" xfId="41077" xr:uid="{8DA96BBF-5F72-4656-A715-0F4B16ABD2B0}"/>
    <cellStyle name="Separador de milhares 2 3 6" xfId="41078" xr:uid="{58F36C5E-A1F8-4DBA-8063-209BB1646BCE}"/>
    <cellStyle name="Separador de milhares 2 3 6 2" xfId="41079" xr:uid="{5690EBDB-E5B3-4B15-B08C-77B26D57E35F}"/>
    <cellStyle name="Separador de milhares 2 3 6 3" xfId="41080" xr:uid="{12E876B0-F741-4A4E-9418-390D84326FD9}"/>
    <cellStyle name="Separador de milhares 2 3 6 4" xfId="41081" xr:uid="{C36A8948-F361-4651-93FF-DCAE5A1778DF}"/>
    <cellStyle name="Separador de milhares 2 3 6 5" xfId="41082" xr:uid="{0EEFC391-E27D-446E-A303-6E03EA3E9362}"/>
    <cellStyle name="Separador de milhares 2 3 6 6" xfId="41083" xr:uid="{512E19EC-7C2A-4B1E-8B35-3F9C16BD94A1}"/>
    <cellStyle name="Separador de milhares 2 3 7" xfId="41084" xr:uid="{C2B0936E-6124-43FB-B1DF-208FE6696D06}"/>
    <cellStyle name="Separador de milhares 2 3 7 2" xfId="41085" xr:uid="{B49DE39C-F3F9-4F47-B52D-333F4844E1FD}"/>
    <cellStyle name="Separador de milhares 2 3 7 3" xfId="41086" xr:uid="{61D64C23-C5A5-49B2-8BF4-B9B23747639C}"/>
    <cellStyle name="Separador de milhares 2 3 7 4" xfId="41087" xr:uid="{563FBCC4-EBDF-4527-8858-57FD635F8F4A}"/>
    <cellStyle name="Separador de milhares 2 3 7 5" xfId="41088" xr:uid="{0E79F69A-F6FA-4986-B54E-442AE1F6E892}"/>
    <cellStyle name="Separador de milhares 2 3 7 6" xfId="41089" xr:uid="{4B17072D-384A-4B24-BB8D-AC9EEAE6E657}"/>
    <cellStyle name="Separador de milhares 2 3 8" xfId="41090" xr:uid="{AF29DB4E-0073-4F74-BF4F-E4410A0F39A7}"/>
    <cellStyle name="Separador de milhares 2 3 8 2" xfId="41091" xr:uid="{CD28194C-3047-458A-9B7E-B1744B6CBAEE}"/>
    <cellStyle name="Separador de milhares 2 3 8 3" xfId="41092" xr:uid="{4D6ED217-7916-45F2-A06E-1734B9C2B047}"/>
    <cellStyle name="Separador de milhares 2 3 8 4" xfId="41093" xr:uid="{55B132E7-ACC9-470A-AFB1-D51AD82D3E59}"/>
    <cellStyle name="Separador de milhares 2 3 8 5" xfId="41094" xr:uid="{EEBD4DAF-5DEC-40EC-B7DB-98DAAB3A6431}"/>
    <cellStyle name="Separador de milhares 2 3 8 6" xfId="41095" xr:uid="{4961BE35-54FF-41E9-B8DE-C265A20D3F0E}"/>
    <cellStyle name="Separador de milhares 2 3 9" xfId="41096" xr:uid="{18C3FDC9-D16D-4F35-9EFC-BA7B5CB93A59}"/>
    <cellStyle name="Separador de milhares 2 30" xfId="41097" xr:uid="{0D4AE308-E364-48C8-91CE-40E461860EF6}"/>
    <cellStyle name="Separador de milhares 2 30 10" xfId="41098" xr:uid="{40AB4902-170E-4A3F-AD40-AA7410BB1B0E}"/>
    <cellStyle name="Separador de milhares 2 30 11" xfId="41099" xr:uid="{F77C5AB5-3ACD-45D2-89A8-3C12E8D4EDDA}"/>
    <cellStyle name="Separador de milhares 2 30 12" xfId="41100" xr:uid="{B322BE72-BA63-4B21-9ED6-F0030EF56576}"/>
    <cellStyle name="Separador de milhares 2 30 13" xfId="41101" xr:uid="{D8FE4F29-C644-4230-BCA5-088ACBD41C7C}"/>
    <cellStyle name="Separador de milhares 2 30 2" xfId="41102" xr:uid="{88E928E4-79DB-48D5-941C-BA295932335B}"/>
    <cellStyle name="Separador de milhares 2 30 2 2" xfId="41103" xr:uid="{83F28145-8606-40B7-87F9-92A63B8934B0}"/>
    <cellStyle name="Separador de milhares 2 30 2 3" xfId="41104" xr:uid="{2240DEB5-8EC4-435F-99E7-3137CCDB8514}"/>
    <cellStyle name="Separador de milhares 2 30 2 4" xfId="41105" xr:uid="{57F27DDB-BB29-497C-A695-62AC460496CA}"/>
    <cellStyle name="Separador de milhares 2 30 2 5" xfId="41106" xr:uid="{992286C8-C638-45CA-94AB-25D1E0A7EF0A}"/>
    <cellStyle name="Separador de milhares 2 30 2 6" xfId="41107" xr:uid="{37164591-4D7C-422C-A97A-3A56814D36C8}"/>
    <cellStyle name="Separador de milhares 2 30 3" xfId="41108" xr:uid="{84C4E3BB-9A1B-4A67-BB2E-0872725AB296}"/>
    <cellStyle name="Separador de milhares 2 30 3 2" xfId="41109" xr:uid="{E0ACE438-2AFD-45E0-ACAF-6F58882A24F7}"/>
    <cellStyle name="Separador de milhares 2 30 3 3" xfId="41110" xr:uid="{C11F7600-EBAA-4AA2-9590-9231D0412478}"/>
    <cellStyle name="Separador de milhares 2 30 3 4" xfId="41111" xr:uid="{A15DD2F8-7507-4897-90AE-0740C7DFEF87}"/>
    <cellStyle name="Separador de milhares 2 30 3 5" xfId="41112" xr:uid="{5B292216-12F3-4137-A6F2-61A7252034D3}"/>
    <cellStyle name="Separador de milhares 2 30 3 6" xfId="41113" xr:uid="{856C20DB-F00E-4364-BE6D-42CF7901B8B4}"/>
    <cellStyle name="Separador de milhares 2 30 4" xfId="41114" xr:uid="{FBBBFA63-592F-48AC-95F4-1427DD4EC62F}"/>
    <cellStyle name="Separador de milhares 2 30 4 2" xfId="41115" xr:uid="{F8110F17-3787-441F-90F5-69E433035B41}"/>
    <cellStyle name="Separador de milhares 2 30 4 3" xfId="41116" xr:uid="{8D539607-4548-42F7-9763-DAE4C95AD42E}"/>
    <cellStyle name="Separador de milhares 2 30 4 4" xfId="41117" xr:uid="{7DBF4CAB-3EB5-45AB-9C86-8CF74278D40B}"/>
    <cellStyle name="Separador de milhares 2 30 4 5" xfId="41118" xr:uid="{43F957CE-2A3C-42AC-A247-522CAEDBFD8C}"/>
    <cellStyle name="Separador de milhares 2 30 4 6" xfId="41119" xr:uid="{640E6993-FF5E-4292-A348-672ED3CDFA3A}"/>
    <cellStyle name="Separador de milhares 2 30 5" xfId="41120" xr:uid="{E19EF828-C915-42CD-8397-900D2EE95637}"/>
    <cellStyle name="Separador de milhares 2 30 5 2" xfId="41121" xr:uid="{B4B120C4-E66D-4EAD-848E-4698EA3D14F3}"/>
    <cellStyle name="Separador de milhares 2 30 5 3" xfId="41122" xr:uid="{1BCD06DF-769B-4B5D-9599-DCCBBF21D786}"/>
    <cellStyle name="Separador de milhares 2 30 5 4" xfId="41123" xr:uid="{EEC6D765-DCF0-4262-9D17-2336FE50D4E6}"/>
    <cellStyle name="Separador de milhares 2 30 5 5" xfId="41124" xr:uid="{86CCC093-1C50-4073-B7D4-F0A1C08FF71E}"/>
    <cellStyle name="Separador de milhares 2 30 5 6" xfId="41125" xr:uid="{790D4962-7D68-4403-81EA-8B675AF06C31}"/>
    <cellStyle name="Separador de milhares 2 30 6" xfId="41126" xr:uid="{FEE0820D-F86A-4621-AA8A-A28B99707311}"/>
    <cellStyle name="Separador de milhares 2 30 6 2" xfId="41127" xr:uid="{ADDF9C58-B143-4687-9D7B-CBC4372BAE73}"/>
    <cellStyle name="Separador de milhares 2 30 6 3" xfId="41128" xr:uid="{D06C408C-336E-493E-89FA-9AC3A1F60893}"/>
    <cellStyle name="Separador de milhares 2 30 6 4" xfId="41129" xr:uid="{20C900E6-AB11-49EB-B4A0-2ABBADB9B2B7}"/>
    <cellStyle name="Separador de milhares 2 30 6 5" xfId="41130" xr:uid="{50BB19C4-05C8-4B7F-87FE-91B2B2FC8B51}"/>
    <cellStyle name="Separador de milhares 2 30 6 6" xfId="41131" xr:uid="{9E6C6E49-9E3E-4A2C-8785-5E562CDA2660}"/>
    <cellStyle name="Separador de milhares 2 30 7" xfId="41132" xr:uid="{88C23ABB-BCB0-40AD-B118-720B53A6B01C}"/>
    <cellStyle name="Separador de milhares 2 30 7 2" xfId="41133" xr:uid="{A3DA7071-C7DC-4A85-9E0D-B6A4265F6182}"/>
    <cellStyle name="Separador de milhares 2 30 7 3" xfId="41134" xr:uid="{7DA0654C-AA2C-44A3-84FB-B79A2C6E3910}"/>
    <cellStyle name="Separador de milhares 2 30 7 4" xfId="41135" xr:uid="{09BB927C-F15E-419E-BBEC-844B13BE0370}"/>
    <cellStyle name="Separador de milhares 2 30 7 5" xfId="41136" xr:uid="{BB588EA4-CE9E-41B4-B25C-FBF1531CB3D1}"/>
    <cellStyle name="Separador de milhares 2 30 7 6" xfId="41137" xr:uid="{DC444F62-A910-4D13-937C-6B544100CB04}"/>
    <cellStyle name="Separador de milhares 2 30 8" xfId="41138" xr:uid="{A92806E1-8331-4E6F-A1AA-3A6D08BBA699}"/>
    <cellStyle name="Separador de milhares 2 30 8 2" xfId="41139" xr:uid="{89ACA907-978E-4955-962D-C77848B5F5CD}"/>
    <cellStyle name="Separador de milhares 2 30 8 3" xfId="41140" xr:uid="{98FBBDCF-329D-4CF1-BB36-AC5CEB098FE8}"/>
    <cellStyle name="Separador de milhares 2 30 8 4" xfId="41141" xr:uid="{FAFD4BBA-2AFA-458A-989A-564B70744B58}"/>
    <cellStyle name="Separador de milhares 2 30 8 5" xfId="41142" xr:uid="{51660C6A-4A9F-4958-B01C-AF805EECCC50}"/>
    <cellStyle name="Separador de milhares 2 30 8 6" xfId="41143" xr:uid="{D995BABE-7F8E-4D63-8A71-E76999F63BF7}"/>
    <cellStyle name="Separador de milhares 2 30 9" xfId="41144" xr:uid="{4596967E-EA62-47DE-BB72-93DA3A094E0B}"/>
    <cellStyle name="Separador de milhares 2 31" xfId="41145" xr:uid="{13537936-0191-4078-8470-A4BFD2D53D50}"/>
    <cellStyle name="Separador de milhares 2 31 10" xfId="41146" xr:uid="{B65C73A9-7A92-42EC-B2CD-20890C7B6C62}"/>
    <cellStyle name="Separador de milhares 2 31 11" xfId="41147" xr:uid="{0DD89791-7D63-4AA8-AC5B-19B7A973D663}"/>
    <cellStyle name="Separador de milhares 2 31 12" xfId="41148" xr:uid="{63264ED7-BEF6-46B3-8A02-32E64066264E}"/>
    <cellStyle name="Separador de milhares 2 31 13" xfId="41149" xr:uid="{01A695A9-1727-4365-9FA0-B0B2FC7D7A96}"/>
    <cellStyle name="Separador de milhares 2 31 2" xfId="41150" xr:uid="{98069660-F986-40BA-B1E2-E03E7475B65E}"/>
    <cellStyle name="Separador de milhares 2 31 2 2" xfId="41151" xr:uid="{579E534E-A3C9-49CA-BF94-D80A3DDA8FA2}"/>
    <cellStyle name="Separador de milhares 2 31 2 3" xfId="41152" xr:uid="{9C2A7F39-6C7B-4B0B-9D26-85872DDD5C4C}"/>
    <cellStyle name="Separador de milhares 2 31 2 4" xfId="41153" xr:uid="{563D07F4-1528-49E7-AF71-3504FAEDEE45}"/>
    <cellStyle name="Separador de milhares 2 31 2 5" xfId="41154" xr:uid="{327B3703-BCE6-44AA-9624-A68C8F11C145}"/>
    <cellStyle name="Separador de milhares 2 31 2 6" xfId="41155" xr:uid="{AC772800-2A0D-4AAF-9C8D-03B25F06068A}"/>
    <cellStyle name="Separador de milhares 2 31 3" xfId="41156" xr:uid="{F28894F4-4A62-4943-AB3F-EC978AEAEC5C}"/>
    <cellStyle name="Separador de milhares 2 31 3 2" xfId="41157" xr:uid="{C342E593-2ADA-4246-9A5B-38C91E099143}"/>
    <cellStyle name="Separador de milhares 2 31 3 3" xfId="41158" xr:uid="{F867CD55-87E0-4B04-96A4-ACC702A7D8D2}"/>
    <cellStyle name="Separador de milhares 2 31 3 4" xfId="41159" xr:uid="{3683050F-AE27-4F48-AA3D-BC5A404DC282}"/>
    <cellStyle name="Separador de milhares 2 31 3 5" xfId="41160" xr:uid="{C2DCE621-8ADB-4124-B0EC-643F9C132351}"/>
    <cellStyle name="Separador de milhares 2 31 3 6" xfId="41161" xr:uid="{1FEF4168-8745-4094-A443-BC895B8CE098}"/>
    <cellStyle name="Separador de milhares 2 31 4" xfId="41162" xr:uid="{17CDFE2C-7CAC-4E5E-AF10-186BD21EA044}"/>
    <cellStyle name="Separador de milhares 2 31 4 2" xfId="41163" xr:uid="{020DF56B-1E1C-44F2-A35A-94FACBD0E1CA}"/>
    <cellStyle name="Separador de milhares 2 31 4 3" xfId="41164" xr:uid="{41662D52-70EA-47F7-BEC5-BF4EC9B91E57}"/>
    <cellStyle name="Separador de milhares 2 31 4 4" xfId="41165" xr:uid="{160C497E-764A-4C52-8619-795013AA89AF}"/>
    <cellStyle name="Separador de milhares 2 31 4 5" xfId="41166" xr:uid="{2C0C6044-876C-4399-A3FC-42434EBEA7F4}"/>
    <cellStyle name="Separador de milhares 2 31 4 6" xfId="41167" xr:uid="{85086F62-B5A2-4DED-A3F1-ECA6CD1A8EC4}"/>
    <cellStyle name="Separador de milhares 2 31 5" xfId="41168" xr:uid="{D5E971AF-BB8F-497B-BE7B-B0B81B980309}"/>
    <cellStyle name="Separador de milhares 2 31 5 2" xfId="41169" xr:uid="{A84E2F0C-E27A-407F-83D1-2083127A265C}"/>
    <cellStyle name="Separador de milhares 2 31 5 3" xfId="41170" xr:uid="{594A9A7E-E5A5-4171-BCBD-79DF10E58D4F}"/>
    <cellStyle name="Separador de milhares 2 31 5 4" xfId="41171" xr:uid="{87B5929C-E3E1-463C-94F6-320D5F3D8D9F}"/>
    <cellStyle name="Separador de milhares 2 31 5 5" xfId="41172" xr:uid="{45D760FD-BC3A-41D2-A43C-F1584C93E900}"/>
    <cellStyle name="Separador de milhares 2 31 5 6" xfId="41173" xr:uid="{3420B81E-AFB2-407C-BBEB-949A3B52CE4C}"/>
    <cellStyle name="Separador de milhares 2 31 6" xfId="41174" xr:uid="{902D862E-2BA1-43A8-BFF1-522D5411AA87}"/>
    <cellStyle name="Separador de milhares 2 31 6 2" xfId="41175" xr:uid="{BBC06BA0-3D60-4571-84F1-FA97AC3FF5B9}"/>
    <cellStyle name="Separador de milhares 2 31 6 3" xfId="41176" xr:uid="{96A1B77B-FE79-44BF-B47E-B1BC05F38D33}"/>
    <cellStyle name="Separador de milhares 2 31 6 4" xfId="41177" xr:uid="{B1050361-92F9-4B9E-80CD-8B397AEEDA1B}"/>
    <cellStyle name="Separador de milhares 2 31 6 5" xfId="41178" xr:uid="{184A7CE6-231A-4567-8360-01270B12B3F8}"/>
    <cellStyle name="Separador de milhares 2 31 6 6" xfId="41179" xr:uid="{56092AAE-0220-4E98-9104-48E08B0217CF}"/>
    <cellStyle name="Separador de milhares 2 31 7" xfId="41180" xr:uid="{5B482370-191B-49D5-845A-C68C2CA9F309}"/>
    <cellStyle name="Separador de milhares 2 31 7 2" xfId="41181" xr:uid="{65FB7C42-8832-4536-9E42-CB2969ECF008}"/>
    <cellStyle name="Separador de milhares 2 31 7 3" xfId="41182" xr:uid="{C0B684D7-57BF-4A40-A966-C4375AD58046}"/>
    <cellStyle name="Separador de milhares 2 31 7 4" xfId="41183" xr:uid="{C2CC51C7-31B3-49A6-9421-9B9F5EE567D4}"/>
    <cellStyle name="Separador de milhares 2 31 7 5" xfId="41184" xr:uid="{3A19539A-ABC6-4B8D-9BCD-086063E1BA75}"/>
    <cellStyle name="Separador de milhares 2 31 7 6" xfId="41185" xr:uid="{5122EA7E-8069-4C64-8CC6-4A46B207A6D7}"/>
    <cellStyle name="Separador de milhares 2 31 8" xfId="41186" xr:uid="{73D58224-4541-4B4F-8EFE-D83C25547938}"/>
    <cellStyle name="Separador de milhares 2 31 8 2" xfId="41187" xr:uid="{4703F509-3E3C-45BE-B676-213853EB85CD}"/>
    <cellStyle name="Separador de milhares 2 31 8 3" xfId="41188" xr:uid="{22E81999-2DF4-4493-838F-8A23F21BBEF8}"/>
    <cellStyle name="Separador de milhares 2 31 8 4" xfId="41189" xr:uid="{8A0DC815-D90C-4CE6-BBA6-72F3F25E91AE}"/>
    <cellStyle name="Separador de milhares 2 31 8 5" xfId="41190" xr:uid="{1B4783E3-2772-4F3D-BF71-37ACAF7D7138}"/>
    <cellStyle name="Separador de milhares 2 31 8 6" xfId="41191" xr:uid="{4976A0F1-B430-4EF5-A255-5603EE579F6C}"/>
    <cellStyle name="Separador de milhares 2 31 9" xfId="41192" xr:uid="{D3234AD3-86E0-49C5-A398-F15F2EBDEB03}"/>
    <cellStyle name="Separador de milhares 2 32" xfId="41193" xr:uid="{EB797D29-6F6B-426D-852D-93FEEB8F4DCE}"/>
    <cellStyle name="Separador de milhares 2 32 10" xfId="41194" xr:uid="{D56F4E18-7E7F-4618-9584-D6B1900F9A7F}"/>
    <cellStyle name="Separador de milhares 2 32 11" xfId="41195" xr:uid="{3DC479D3-ADFE-4122-B6C4-644ED4CCBCE8}"/>
    <cellStyle name="Separador de milhares 2 32 12" xfId="41196" xr:uid="{8AFEF427-24D3-4033-B1F8-80904322C014}"/>
    <cellStyle name="Separador de milhares 2 32 13" xfId="41197" xr:uid="{518FB640-3846-4942-B3DF-561F0B1AE156}"/>
    <cellStyle name="Separador de milhares 2 32 2" xfId="41198" xr:uid="{A8A3746E-89B3-45B9-ABC8-86D4715CBC75}"/>
    <cellStyle name="Separador de milhares 2 32 2 2" xfId="41199" xr:uid="{40A874A4-CAC5-4687-9C77-A33574546E1E}"/>
    <cellStyle name="Separador de milhares 2 32 2 3" xfId="41200" xr:uid="{5308148B-2FBB-4296-9237-69019667FC7F}"/>
    <cellStyle name="Separador de milhares 2 32 2 4" xfId="41201" xr:uid="{D25E1B15-931B-4344-BC34-1085D5977F5D}"/>
    <cellStyle name="Separador de milhares 2 32 2 5" xfId="41202" xr:uid="{C138C468-FE53-4CC3-A8D3-1EA7596CF140}"/>
    <cellStyle name="Separador de milhares 2 32 2 6" xfId="41203" xr:uid="{E3F49579-48F0-4232-A964-52F5B5C1EA7A}"/>
    <cellStyle name="Separador de milhares 2 32 3" xfId="41204" xr:uid="{55735335-906D-4ABB-9345-C9AECDBE4050}"/>
    <cellStyle name="Separador de milhares 2 32 3 2" xfId="41205" xr:uid="{36F3B0B9-613E-4C8B-906D-8531D1E64EEA}"/>
    <cellStyle name="Separador de milhares 2 32 3 3" xfId="41206" xr:uid="{0A40B76A-7FF8-49CD-AE18-183B21170218}"/>
    <cellStyle name="Separador de milhares 2 32 3 4" xfId="41207" xr:uid="{045F8C9E-2356-44EF-9931-08300703181D}"/>
    <cellStyle name="Separador de milhares 2 32 3 5" xfId="41208" xr:uid="{F2FD6243-3098-4829-93C9-643037D34191}"/>
    <cellStyle name="Separador de milhares 2 32 3 6" xfId="41209" xr:uid="{BE9A6C2D-37DB-4138-93A3-7F3CF886865A}"/>
    <cellStyle name="Separador de milhares 2 32 4" xfId="41210" xr:uid="{4BB0EF13-FE08-4628-99CA-F43F1A3B095E}"/>
    <cellStyle name="Separador de milhares 2 32 4 2" xfId="41211" xr:uid="{0B791805-F889-4405-88BA-67556B978448}"/>
    <cellStyle name="Separador de milhares 2 32 4 3" xfId="41212" xr:uid="{30931F0B-1B10-4C55-9F53-B5618203F753}"/>
    <cellStyle name="Separador de milhares 2 32 4 4" xfId="41213" xr:uid="{E31CC1CC-D005-4CF3-AE22-8780CAEEE2E6}"/>
    <cellStyle name="Separador de milhares 2 32 4 5" xfId="41214" xr:uid="{091A7710-7FBE-4D90-9AB0-9185AA2FB3A8}"/>
    <cellStyle name="Separador de milhares 2 32 4 6" xfId="41215" xr:uid="{E6D2E097-0E68-4FF3-8F5A-6E34CAE4F6D5}"/>
    <cellStyle name="Separador de milhares 2 32 5" xfId="41216" xr:uid="{D8517B02-4416-470D-AB08-344D9E4128EC}"/>
    <cellStyle name="Separador de milhares 2 32 5 2" xfId="41217" xr:uid="{1943D9F4-A809-4071-9EEF-DBEE079C2639}"/>
    <cellStyle name="Separador de milhares 2 32 5 3" xfId="41218" xr:uid="{6BCF6866-2C81-4A42-9DF2-18D47744CF6B}"/>
    <cellStyle name="Separador de milhares 2 32 5 4" xfId="41219" xr:uid="{02806781-A6A7-4312-985F-E70AE126F64A}"/>
    <cellStyle name="Separador de milhares 2 32 5 5" xfId="41220" xr:uid="{8CF4DA95-CEF3-410E-A8EE-21A5CA6C8CD7}"/>
    <cellStyle name="Separador de milhares 2 32 5 6" xfId="41221" xr:uid="{0F43EA02-5536-4DE8-8B67-08AF7D7A102E}"/>
    <cellStyle name="Separador de milhares 2 32 6" xfId="41222" xr:uid="{B39B06E6-77A6-4BCD-BCD9-EF44BB27742B}"/>
    <cellStyle name="Separador de milhares 2 32 6 2" xfId="41223" xr:uid="{D9F513D7-E1E2-4C58-BE62-FF4CDD4F2533}"/>
    <cellStyle name="Separador de milhares 2 32 6 3" xfId="41224" xr:uid="{75232100-4FF7-4452-A809-35FB7C43DAAF}"/>
    <cellStyle name="Separador de milhares 2 32 6 4" xfId="41225" xr:uid="{ACBCAE55-AFB0-4693-A133-6140F6C51632}"/>
    <cellStyle name="Separador de milhares 2 32 6 5" xfId="41226" xr:uid="{5F1F79FD-D250-4993-B0C6-7AC782DA2769}"/>
    <cellStyle name="Separador de milhares 2 32 6 6" xfId="41227" xr:uid="{12FE02C6-6C35-4574-A232-2C315145A7EA}"/>
    <cellStyle name="Separador de milhares 2 32 7" xfId="41228" xr:uid="{FF2AB55D-8330-4AFC-B78D-A55D83442540}"/>
    <cellStyle name="Separador de milhares 2 32 7 2" xfId="41229" xr:uid="{451A5528-E5CD-4661-AA03-BF08054DE1AC}"/>
    <cellStyle name="Separador de milhares 2 32 7 3" xfId="41230" xr:uid="{FEB8DFC2-A7A8-4AC4-9F30-6E9707B38B11}"/>
    <cellStyle name="Separador de milhares 2 32 7 4" xfId="41231" xr:uid="{EEF06431-F818-4BDD-A2C7-E6F2AC10EB6B}"/>
    <cellStyle name="Separador de milhares 2 32 7 5" xfId="41232" xr:uid="{6CD42A33-63B3-4FE5-905E-84E4BE77C6EA}"/>
    <cellStyle name="Separador de milhares 2 32 7 6" xfId="41233" xr:uid="{5ADFFED3-D060-4414-B777-4B012D011750}"/>
    <cellStyle name="Separador de milhares 2 32 8" xfId="41234" xr:uid="{63C4AE33-FFF6-400F-8606-DCD45085FDF8}"/>
    <cellStyle name="Separador de milhares 2 32 8 2" xfId="41235" xr:uid="{91C9C667-420D-4038-8D31-8C148C7C143F}"/>
    <cellStyle name="Separador de milhares 2 32 8 3" xfId="41236" xr:uid="{68CAD8EC-B2A1-4A2A-BECA-42F94B70ACB5}"/>
    <cellStyle name="Separador de milhares 2 32 8 4" xfId="41237" xr:uid="{F897F983-3B49-4064-BCA9-F9D54CDCAE63}"/>
    <cellStyle name="Separador de milhares 2 32 8 5" xfId="41238" xr:uid="{F153980F-7D78-4177-BD01-C13C84DC571A}"/>
    <cellStyle name="Separador de milhares 2 32 8 6" xfId="41239" xr:uid="{1DED3AAB-5D72-48DF-9A09-DC6C4AB4E07F}"/>
    <cellStyle name="Separador de milhares 2 32 9" xfId="41240" xr:uid="{E038F06F-9A85-4C44-A7DF-AFDB5DA06C7A}"/>
    <cellStyle name="Separador de milhares 2 33" xfId="41241" xr:uid="{C1F2E916-598A-4A54-9113-D18259E72F01}"/>
    <cellStyle name="Separador de milhares 2 33 10" xfId="41242" xr:uid="{61FA7E6F-C12B-48C2-8E01-0D309D9E308A}"/>
    <cellStyle name="Separador de milhares 2 33 11" xfId="41243" xr:uid="{0CF52F3D-C85B-4766-8AE1-21CD48213FE9}"/>
    <cellStyle name="Separador de milhares 2 33 12" xfId="41244" xr:uid="{B189E1A8-9A0D-4AFA-88FD-A91BE1F05F6C}"/>
    <cellStyle name="Separador de milhares 2 33 13" xfId="41245" xr:uid="{890FDBDF-A2B7-449E-A020-80D98024FD4F}"/>
    <cellStyle name="Separador de milhares 2 33 2" xfId="41246" xr:uid="{D229FF8C-5FB6-4888-879B-3CAC52D0828A}"/>
    <cellStyle name="Separador de milhares 2 33 2 2" xfId="41247" xr:uid="{71493532-E6E1-47DB-9B61-8517C34816D4}"/>
    <cellStyle name="Separador de milhares 2 33 2 3" xfId="41248" xr:uid="{C4F935FE-2A56-4BF8-9A35-71C2A3FD813B}"/>
    <cellStyle name="Separador de milhares 2 33 2 4" xfId="41249" xr:uid="{6CD5ED71-36C1-4A74-97F0-8929C0664404}"/>
    <cellStyle name="Separador de milhares 2 33 2 5" xfId="41250" xr:uid="{EA230B1F-643F-4C67-8947-811D2C6CA5E4}"/>
    <cellStyle name="Separador de milhares 2 33 2 6" xfId="41251" xr:uid="{5FD0FAA8-7DDF-4880-AF85-CEAB5C5EDC8C}"/>
    <cellStyle name="Separador de milhares 2 33 3" xfId="41252" xr:uid="{08FB6CE4-D56E-4269-B85E-799EE27C6F26}"/>
    <cellStyle name="Separador de milhares 2 33 3 2" xfId="41253" xr:uid="{DB47BAB8-95C0-4B4E-9F7C-41FF80A10DF6}"/>
    <cellStyle name="Separador de milhares 2 33 3 3" xfId="41254" xr:uid="{0146309B-1484-4C9E-BDBF-46A14882F489}"/>
    <cellStyle name="Separador de milhares 2 33 3 4" xfId="41255" xr:uid="{889AB3E9-46D0-4646-A234-52E0772AA8D8}"/>
    <cellStyle name="Separador de milhares 2 33 3 5" xfId="41256" xr:uid="{CE1F9936-57EF-4CE3-9F9D-29B1F1468E67}"/>
    <cellStyle name="Separador de milhares 2 33 3 6" xfId="41257" xr:uid="{8C5F3706-2B47-432F-8852-4FDDFB85D350}"/>
    <cellStyle name="Separador de milhares 2 33 4" xfId="41258" xr:uid="{1C5FB563-B483-43E0-A4C2-167FAB2118AD}"/>
    <cellStyle name="Separador de milhares 2 33 4 2" xfId="41259" xr:uid="{0BDF631C-9B4D-4460-951E-4D048EED062B}"/>
    <cellStyle name="Separador de milhares 2 33 4 3" xfId="41260" xr:uid="{38C01C6A-F9B1-4E94-B6A0-6087D1A60359}"/>
    <cellStyle name="Separador de milhares 2 33 4 4" xfId="41261" xr:uid="{962175CC-5A68-4744-8826-D2D7FC446B41}"/>
    <cellStyle name="Separador de milhares 2 33 4 5" xfId="41262" xr:uid="{B9C75C29-59AD-4431-B3B8-3D0CC1001D10}"/>
    <cellStyle name="Separador de milhares 2 33 4 6" xfId="41263" xr:uid="{D331F424-BF97-4F33-A427-1A34309EB75D}"/>
    <cellStyle name="Separador de milhares 2 33 5" xfId="41264" xr:uid="{6D354B42-B4DF-40AC-9F5C-68A14397B892}"/>
    <cellStyle name="Separador de milhares 2 33 5 2" xfId="41265" xr:uid="{FE47A51F-3C64-4486-97BF-13993EC0B3A8}"/>
    <cellStyle name="Separador de milhares 2 33 5 3" xfId="41266" xr:uid="{8320EE4E-0A3C-49D8-A133-59779778AC13}"/>
    <cellStyle name="Separador de milhares 2 33 5 4" xfId="41267" xr:uid="{E730EAAD-3832-4FE3-85C5-635B4A4BDAEC}"/>
    <cellStyle name="Separador de milhares 2 33 5 5" xfId="41268" xr:uid="{563909C7-95A3-4D48-83D3-0391F7FE5FDC}"/>
    <cellStyle name="Separador de milhares 2 33 5 6" xfId="41269" xr:uid="{106D6D0C-2A2D-43E5-A2FA-4AB876D00367}"/>
    <cellStyle name="Separador de milhares 2 33 6" xfId="41270" xr:uid="{B2EB5E72-CFBB-46DF-9185-6524D02C3280}"/>
    <cellStyle name="Separador de milhares 2 33 6 2" xfId="41271" xr:uid="{8ED49FBA-26E8-44F0-A26E-58F88FC7A007}"/>
    <cellStyle name="Separador de milhares 2 33 6 3" xfId="41272" xr:uid="{4903242B-F53F-4EB0-B46A-0BDB50D448FF}"/>
    <cellStyle name="Separador de milhares 2 33 6 4" xfId="41273" xr:uid="{B3780FED-A69D-4946-ACCF-414DD9CB9415}"/>
    <cellStyle name="Separador de milhares 2 33 6 5" xfId="41274" xr:uid="{36DA4098-122D-40E0-9FB8-2736AC6A3EB7}"/>
    <cellStyle name="Separador de milhares 2 33 6 6" xfId="41275" xr:uid="{A8113EC3-E26D-485D-8B31-53E7F203AE69}"/>
    <cellStyle name="Separador de milhares 2 33 7" xfId="41276" xr:uid="{F2F83B4E-BB5F-4D02-BD65-8B5DCC158A58}"/>
    <cellStyle name="Separador de milhares 2 33 7 2" xfId="41277" xr:uid="{6AB1EC35-00D5-4FE4-87FF-60E4C73CB2C2}"/>
    <cellStyle name="Separador de milhares 2 33 7 3" xfId="41278" xr:uid="{39AF8BBF-08F9-466C-8F79-98A2D8F35B65}"/>
    <cellStyle name="Separador de milhares 2 33 7 4" xfId="41279" xr:uid="{328BD3C7-53B7-482C-8F98-40AF530E911A}"/>
    <cellStyle name="Separador de milhares 2 33 7 5" xfId="41280" xr:uid="{CB344060-00A9-4D73-847B-A7EF2B2FD627}"/>
    <cellStyle name="Separador de milhares 2 33 7 6" xfId="41281" xr:uid="{8F0D5F87-CE46-4062-B618-2865622A5313}"/>
    <cellStyle name="Separador de milhares 2 33 8" xfId="41282" xr:uid="{A7F1A609-E262-441D-94C6-E30ADA604E7C}"/>
    <cellStyle name="Separador de milhares 2 33 8 2" xfId="41283" xr:uid="{6EBA8DDB-001A-4087-BCF1-265DEEF9BC15}"/>
    <cellStyle name="Separador de milhares 2 33 8 3" xfId="41284" xr:uid="{1B5C4BC7-9015-4291-A266-1A334A474423}"/>
    <cellStyle name="Separador de milhares 2 33 8 4" xfId="41285" xr:uid="{AEB72A28-0E47-4851-BD74-D30E40363E72}"/>
    <cellStyle name="Separador de milhares 2 33 8 5" xfId="41286" xr:uid="{2F8DBFC8-459D-403B-9AE9-E854973FBE8C}"/>
    <cellStyle name="Separador de milhares 2 33 8 6" xfId="41287" xr:uid="{8DFF3775-7922-4388-8460-7960511FB208}"/>
    <cellStyle name="Separador de milhares 2 33 9" xfId="41288" xr:uid="{04FEE235-7634-463C-90BB-32042EBE86A2}"/>
    <cellStyle name="Separador de milhares 2 34" xfId="41289" xr:uid="{77749E90-6B1B-4431-864D-98134DA19314}"/>
    <cellStyle name="Separador de milhares 2 34 2" xfId="41290" xr:uid="{AC50783E-90FE-4D32-98D7-8B417849DE4D}"/>
    <cellStyle name="Separador de milhares 2 34 3" xfId="41291" xr:uid="{1BA2AD27-FD77-4A55-AB7E-B252AB389D69}"/>
    <cellStyle name="Separador de milhares 2 34 4" xfId="41292" xr:uid="{C8EDCAAB-9E3A-4B5F-A77E-DD0C21D816C6}"/>
    <cellStyle name="Separador de milhares 2 34 5" xfId="41293" xr:uid="{A9B2FEB2-7062-4F4A-8C81-18664AD4748A}"/>
    <cellStyle name="Separador de milhares 2 34 6" xfId="41294" xr:uid="{D89C1B7D-8990-4D3D-9A40-9333D406A048}"/>
    <cellStyle name="Separador de milhares 2 35" xfId="41295" xr:uid="{BE888142-75DE-4A13-BF99-33528CE057B3}"/>
    <cellStyle name="Separador de milhares 2 35 2" xfId="41296" xr:uid="{5C7B4EF4-D0B2-4A8E-9FEB-3F259D043B5F}"/>
    <cellStyle name="Separador de milhares 2 35 3" xfId="41297" xr:uid="{6150113D-DEDF-4D6A-9E09-914255201BFF}"/>
    <cellStyle name="Separador de milhares 2 35 4" xfId="41298" xr:uid="{23351DB9-F5DA-4D4E-9033-A8A8043E99BA}"/>
    <cellStyle name="Separador de milhares 2 35 5" xfId="41299" xr:uid="{EE9FCD75-0147-464D-972E-1057B60234F1}"/>
    <cellStyle name="Separador de milhares 2 35 6" xfId="41300" xr:uid="{6F4021AA-EFAF-43BC-A75B-5C1851DCF6A9}"/>
    <cellStyle name="Separador de milhares 2 36" xfId="41301" xr:uid="{8DEC1C6E-37BF-4E61-85B9-33EAA349015D}"/>
    <cellStyle name="Separador de milhares 2 36 2" xfId="41302" xr:uid="{E47505D3-9675-4E02-9BF8-CF8362EF0D1E}"/>
    <cellStyle name="Separador de milhares 2 36 3" xfId="41303" xr:uid="{33611066-B5F7-4FE9-BAC6-C0F5186AB9BF}"/>
    <cellStyle name="Separador de milhares 2 36 4" xfId="41304" xr:uid="{9A6004D4-C1F9-4F1E-A584-DB48F6F741B1}"/>
    <cellStyle name="Separador de milhares 2 36 5" xfId="41305" xr:uid="{DD98BFC0-9BCE-4563-871B-32DF24A3B269}"/>
    <cellStyle name="Separador de milhares 2 36 6" xfId="41306" xr:uid="{EF3FEB62-BD96-401A-8C6B-424163C1274F}"/>
    <cellStyle name="Separador de milhares 2 37" xfId="41307" xr:uid="{2C0C9D55-18A4-4827-9512-FF05927BCCCD}"/>
    <cellStyle name="Separador de milhares 2 37 2" xfId="41308" xr:uid="{E4A57BEF-3083-4131-B350-1EBC092DF8A2}"/>
    <cellStyle name="Separador de milhares 2 37 3" xfId="41309" xr:uid="{2C9C4EF3-B72A-42E5-8481-C1622C9ACB30}"/>
    <cellStyle name="Separador de milhares 2 37 4" xfId="41310" xr:uid="{5EDBD030-602E-4AA9-987A-CA32D66C6390}"/>
    <cellStyle name="Separador de milhares 2 37 5" xfId="41311" xr:uid="{71D148AD-88FB-48B2-9654-F4AF1CD3B7A8}"/>
    <cellStyle name="Separador de milhares 2 37 6" xfId="41312" xr:uid="{418C53BB-7B3B-4B82-8D94-55BB17D4D2B5}"/>
    <cellStyle name="Separador de milhares 2 38" xfId="41313" xr:uid="{6D2B18EC-6DBC-4E16-AFC9-F9244C62D2B0}"/>
    <cellStyle name="Separador de milhares 2 38 2" xfId="41314" xr:uid="{3334363C-3D4A-410F-84CB-E61E78C8B225}"/>
    <cellStyle name="Separador de milhares 2 38 3" xfId="41315" xr:uid="{87DB8F4D-551D-4C73-8669-030BD7F4A0FE}"/>
    <cellStyle name="Separador de milhares 2 38 4" xfId="41316" xr:uid="{2CEF4F48-3582-4D47-8AAB-BCB0457CAB6E}"/>
    <cellStyle name="Separador de milhares 2 38 5" xfId="41317" xr:uid="{7C374D67-FCF7-412B-9A2C-279FD0EF6520}"/>
    <cellStyle name="Separador de milhares 2 38 6" xfId="41318" xr:uid="{A568B662-54C3-44EA-944C-DE76BCF040B1}"/>
    <cellStyle name="Separador de milhares 2 39" xfId="41319" xr:uid="{D07021F1-F3E5-41A2-9F86-AE6DDBCA86CF}"/>
    <cellStyle name="Separador de milhares 2 39 2" xfId="41320" xr:uid="{6392BF53-527A-4D27-9BD0-A8C0FACD6367}"/>
    <cellStyle name="Separador de milhares 2 39 3" xfId="41321" xr:uid="{2C6B9D19-68D2-462A-B2B5-42C30C34CBAF}"/>
    <cellStyle name="Separador de milhares 2 39 4" xfId="41322" xr:uid="{913DFA05-7B97-4127-B84C-2EFDCBC004B7}"/>
    <cellStyle name="Separador de milhares 2 39 5" xfId="41323" xr:uid="{45ED53A6-D735-4E25-B4EA-52AB6B072310}"/>
    <cellStyle name="Separador de milhares 2 39 6" xfId="41324" xr:uid="{6E3F6AFF-F78D-4BA7-9E40-E6C0E969B527}"/>
    <cellStyle name="Separador de milhares 2 4" xfId="41325" xr:uid="{6C6BCC32-ED16-49A6-85A9-C6871DB33A14}"/>
    <cellStyle name="Separador de milhares 2 4 10" xfId="41326" xr:uid="{1896DE3D-60FC-474B-A418-B7A970E2AD88}"/>
    <cellStyle name="Separador de milhares 2 4 11" xfId="41327" xr:uid="{BEE91507-8113-4B88-ACD2-6262354233B5}"/>
    <cellStyle name="Separador de milhares 2 4 12" xfId="41328" xr:uid="{E1A07783-8DC0-4887-AB71-6E3B4C4BBF9F}"/>
    <cellStyle name="Separador de milhares 2 4 13" xfId="41329" xr:uid="{4751AEBB-58C4-422E-AF0B-16581B75BE68}"/>
    <cellStyle name="Separador de milhares 2 4 14" xfId="41330" xr:uid="{1FDB4CA5-C9F5-4B21-802B-86985D8FFA16}"/>
    <cellStyle name="Separador de milhares 2 4 2" xfId="41331" xr:uid="{C68FDF85-AE66-4C58-BE4D-C54C63B7C762}"/>
    <cellStyle name="Separador de milhares 2 4 2 2" xfId="41332" xr:uid="{61D58190-11AE-4BEC-9FB0-1581E96D4D32}"/>
    <cellStyle name="Separador de milhares 2 4 2 3" xfId="41333" xr:uid="{4843FFD4-851A-4445-8F33-697052517605}"/>
    <cellStyle name="Separador de milhares 2 4 2 4" xfId="41334" xr:uid="{5CFED138-1DBB-482A-85F8-B02C20C275C2}"/>
    <cellStyle name="Separador de milhares 2 4 2 5" xfId="41335" xr:uid="{06202BBE-7DF5-4E9D-B3A2-32FF39E2E531}"/>
    <cellStyle name="Separador de milhares 2 4 2 6" xfId="41336" xr:uid="{D12FC772-3421-4EA2-83EE-A9C6E0393777}"/>
    <cellStyle name="Separador de milhares 2 4 3" xfId="41337" xr:uid="{9B2037DF-DCE9-4E54-91AF-ED37E4E7A604}"/>
    <cellStyle name="Separador de milhares 2 4 3 2" xfId="41338" xr:uid="{2BBB1169-1F09-484C-9E16-D39AE70412CD}"/>
    <cellStyle name="Separador de milhares 2 4 3 3" xfId="41339" xr:uid="{CA0681F2-4508-48BD-8EB3-1D5FB2117F27}"/>
    <cellStyle name="Separador de milhares 2 4 3 4" xfId="41340" xr:uid="{CAABFC75-95B8-4B04-A473-8EAB85E22176}"/>
    <cellStyle name="Separador de milhares 2 4 3 5" xfId="41341" xr:uid="{66CB0104-CBBA-4684-9440-BF8F0269130C}"/>
    <cellStyle name="Separador de milhares 2 4 3 6" xfId="41342" xr:uid="{32BC1764-0C5D-42F6-8153-16F8509A31C4}"/>
    <cellStyle name="Separador de milhares 2 4 4" xfId="41343" xr:uid="{4597ACA8-2EEE-4CF1-9AE8-620EA497D833}"/>
    <cellStyle name="Separador de milhares 2 4 4 2" xfId="41344" xr:uid="{0FC17ACC-CA09-4F36-B33D-0AEDB3AD791D}"/>
    <cellStyle name="Separador de milhares 2 4 4 3" xfId="41345" xr:uid="{9AC06B38-B712-4A18-B0D2-A24D06F4128C}"/>
    <cellStyle name="Separador de milhares 2 4 4 4" xfId="41346" xr:uid="{91D6BD2D-3C2F-4334-85FC-B54F18D07FC9}"/>
    <cellStyle name="Separador de milhares 2 4 4 5" xfId="41347" xr:uid="{094C0E08-5B75-4592-9689-D1DE76DC13FF}"/>
    <cellStyle name="Separador de milhares 2 4 4 6" xfId="41348" xr:uid="{E0141411-7EC8-4AC0-BA4F-6BF752FCC355}"/>
    <cellStyle name="Separador de milhares 2 4 5" xfId="41349" xr:uid="{788D8BF7-24D6-45B2-9DE5-0C0FCA60D73E}"/>
    <cellStyle name="Separador de milhares 2 4 5 2" xfId="41350" xr:uid="{D0179D65-860B-4DD5-857F-D048C3F2EB12}"/>
    <cellStyle name="Separador de milhares 2 4 5 3" xfId="41351" xr:uid="{4FC7A41F-022C-41C9-9285-32CFFD1CFEA4}"/>
    <cellStyle name="Separador de milhares 2 4 5 4" xfId="41352" xr:uid="{04136F43-AE0A-415E-BBF6-808781C322B3}"/>
    <cellStyle name="Separador de milhares 2 4 5 5" xfId="41353" xr:uid="{F997144E-60CD-4B0D-AD65-7359A7AED333}"/>
    <cellStyle name="Separador de milhares 2 4 5 6" xfId="41354" xr:uid="{A4719DF2-35EA-4FB6-BC26-A0B5CDB3DFC7}"/>
    <cellStyle name="Separador de milhares 2 4 6" xfId="41355" xr:uid="{789703F5-113D-4EDF-A877-19DBA63BD6FF}"/>
    <cellStyle name="Separador de milhares 2 4 6 2" xfId="41356" xr:uid="{8D7C46ED-3D81-493D-BD86-483E85616B43}"/>
    <cellStyle name="Separador de milhares 2 4 6 3" xfId="41357" xr:uid="{C5147E4C-7D03-437B-B314-F955F6B58719}"/>
    <cellStyle name="Separador de milhares 2 4 6 4" xfId="41358" xr:uid="{797D89BB-FE9F-4924-8CCD-3E1734D2C127}"/>
    <cellStyle name="Separador de milhares 2 4 6 5" xfId="41359" xr:uid="{93068253-88C5-4469-A5DA-5A6A4BE8A1EB}"/>
    <cellStyle name="Separador de milhares 2 4 6 6" xfId="41360" xr:uid="{C8C4E22D-5072-4E2E-B7F2-6AFB748080D3}"/>
    <cellStyle name="Separador de milhares 2 4 7" xfId="41361" xr:uid="{A602FA68-239D-4EA7-B8AD-9A046A1C49BB}"/>
    <cellStyle name="Separador de milhares 2 4 7 2" xfId="41362" xr:uid="{5FFD0CAD-4315-4B61-A75A-463750949DFE}"/>
    <cellStyle name="Separador de milhares 2 4 7 3" xfId="41363" xr:uid="{2E9CD83B-7A0C-4CC5-89AA-51132C308444}"/>
    <cellStyle name="Separador de milhares 2 4 7 4" xfId="41364" xr:uid="{34D505CA-8824-4C63-8ECA-474A1F437884}"/>
    <cellStyle name="Separador de milhares 2 4 7 5" xfId="41365" xr:uid="{A244CF99-DF3F-4862-AE63-79361AD16EA9}"/>
    <cellStyle name="Separador de milhares 2 4 7 6" xfId="41366" xr:uid="{59B07016-2A8F-4C86-9778-943AAA070886}"/>
    <cellStyle name="Separador de milhares 2 4 8" xfId="41367" xr:uid="{B5CC07D7-D67F-4F44-9FD2-A11E0ACC57FD}"/>
    <cellStyle name="Separador de milhares 2 4 8 2" xfId="41368" xr:uid="{845AEA08-ABE2-45FF-9CA8-05E1DE2DB3DB}"/>
    <cellStyle name="Separador de milhares 2 4 8 3" xfId="41369" xr:uid="{1BBF7A16-962E-4276-AD02-ED8C5978C948}"/>
    <cellStyle name="Separador de milhares 2 4 8 4" xfId="41370" xr:uid="{C46C0527-3F48-4811-864A-BDB9087114CD}"/>
    <cellStyle name="Separador de milhares 2 4 8 5" xfId="41371" xr:uid="{A4F66E14-AB75-4033-8668-68C9A72CCFBF}"/>
    <cellStyle name="Separador de milhares 2 4 8 6" xfId="41372" xr:uid="{BEB9D351-D280-41C9-8B5A-FF5954124912}"/>
    <cellStyle name="Separador de milhares 2 4 9" xfId="41373" xr:uid="{A586CDE4-AFAF-4C6C-9E05-19D58B067C45}"/>
    <cellStyle name="Separador de milhares 2 40" xfId="41374" xr:uid="{7CA1FD4F-E346-4E04-8F2C-C29C9D9CF624}"/>
    <cellStyle name="Separador de milhares 2 40 2" xfId="41375" xr:uid="{A90F6B57-9BC3-44E0-8843-980AD8561861}"/>
    <cellStyle name="Separador de milhares 2 40 3" xfId="41376" xr:uid="{9DCAEF4A-A30B-436D-A9FE-16B877CB0EEF}"/>
    <cellStyle name="Separador de milhares 2 40 4" xfId="41377" xr:uid="{3AD26F51-99EF-42D5-95BF-4610AF5C67EF}"/>
    <cellStyle name="Separador de milhares 2 40 5" xfId="41378" xr:uid="{CA4734F1-FB6C-49A1-9F54-F08AC77ECECE}"/>
    <cellStyle name="Separador de milhares 2 40 6" xfId="41379" xr:uid="{A19AF1B2-8F35-4293-803A-BD9C0A2169C5}"/>
    <cellStyle name="Separador de milhares 2 41" xfId="41380" xr:uid="{D7E421A6-387F-4586-BD17-34A7C0C77DE3}"/>
    <cellStyle name="Separador de milhares 2 42" xfId="41381" xr:uid="{4A7779CC-1E0E-4835-8F64-2FEA7B630444}"/>
    <cellStyle name="Separador de milhares 2 43" xfId="41382" xr:uid="{1DE0AFB8-72D5-4CB5-99A5-109AFDB40F6C}"/>
    <cellStyle name="Separador de milhares 2 44" xfId="41383" xr:uid="{504227FC-2D49-48B4-ACEA-FE07E7C5519A}"/>
    <cellStyle name="Separador de milhares 2 45" xfId="41384" xr:uid="{6901FDF6-464C-4485-9358-D109B9E204DC}"/>
    <cellStyle name="Separador de milhares 2 46" xfId="41385" xr:uid="{84C0204C-7B3B-4C26-B758-A35CCD35CFA6}"/>
    <cellStyle name="Separador de milhares 2 47" xfId="42563" xr:uid="{6CAEF1A9-E13E-4310-8DDB-098C7C7C952F}"/>
    <cellStyle name="Separador de milhares 2 48" xfId="43958" xr:uid="{926EB876-A00A-434B-833B-70458C61A4C3}"/>
    <cellStyle name="Separador de milhares 2 48 2" xfId="43968" xr:uid="{B8F91AE4-AE91-4622-A46F-A6C9FDFE0D65}"/>
    <cellStyle name="Separador de milhares 2 5" xfId="41386" xr:uid="{A44ACDAE-05BD-4E08-BFE1-FF2E8C996160}"/>
    <cellStyle name="Separador de milhares 2 5 10" xfId="41387" xr:uid="{369053A1-82C2-48DA-AB1B-28DDAF3A1D4D}"/>
    <cellStyle name="Separador de milhares 2 5 11" xfId="41388" xr:uid="{0CDBC547-F75E-442B-B3F4-2051A1864CF4}"/>
    <cellStyle name="Separador de milhares 2 5 12" xfId="41389" xr:uid="{46D01B49-2566-4B67-9D53-D153A9E5BD79}"/>
    <cellStyle name="Separador de milhares 2 5 13" xfId="41390" xr:uid="{FF410C72-AB52-49E2-A3EF-DD6DE343B86B}"/>
    <cellStyle name="Separador de milhares 2 5 14" xfId="41391" xr:uid="{DE8DC067-F87D-4572-B704-2E92AF0FB4AC}"/>
    <cellStyle name="Separador de milhares 2 5 2" xfId="41392" xr:uid="{560FF4DE-312A-44B6-9AE8-97FDCD4AD229}"/>
    <cellStyle name="Separador de milhares 2 5 2 2" xfId="41393" xr:uid="{9D79EB24-4F56-4E6D-8F07-D2827556607C}"/>
    <cellStyle name="Separador de milhares 2 5 2 3" xfId="41394" xr:uid="{91AFB1B2-F2AA-41AB-B400-E9DAC2566509}"/>
    <cellStyle name="Separador de milhares 2 5 2 4" xfId="41395" xr:uid="{596F37AD-50A7-4F9A-B579-BEDF0738D2EB}"/>
    <cellStyle name="Separador de milhares 2 5 2 5" xfId="41396" xr:uid="{16AF43AE-AC5F-450A-B344-B7E3E2C4D5B2}"/>
    <cellStyle name="Separador de milhares 2 5 2 6" xfId="41397" xr:uid="{3C7E3BEC-F594-41DC-8AF9-C287A32C8601}"/>
    <cellStyle name="Separador de milhares 2 5 3" xfId="41398" xr:uid="{BB0952F8-491A-47A7-A10C-9C296559F18C}"/>
    <cellStyle name="Separador de milhares 2 5 3 2" xfId="41399" xr:uid="{52C85CD3-9808-4DF1-9760-4B348FE6D1D0}"/>
    <cellStyle name="Separador de milhares 2 5 3 3" xfId="41400" xr:uid="{3EDD3A59-8D33-4001-B86F-D9056451C61D}"/>
    <cellStyle name="Separador de milhares 2 5 3 4" xfId="41401" xr:uid="{748526ED-92D9-42B3-982D-8B30B1B254C3}"/>
    <cellStyle name="Separador de milhares 2 5 3 5" xfId="41402" xr:uid="{125AE521-AC8F-4691-8CDD-D6840BB2E1D7}"/>
    <cellStyle name="Separador de milhares 2 5 3 6" xfId="41403" xr:uid="{0815C5CC-EA99-4835-84E1-C225567405F1}"/>
    <cellStyle name="Separador de milhares 2 5 4" xfId="41404" xr:uid="{CEF90C61-E9FA-4D63-A4D2-57B45FA07714}"/>
    <cellStyle name="Separador de milhares 2 5 4 2" xfId="41405" xr:uid="{836B0AB6-F605-4894-B487-AE2108782A6D}"/>
    <cellStyle name="Separador de milhares 2 5 4 3" xfId="41406" xr:uid="{686576C7-3B4D-450F-977C-E6F504A3C494}"/>
    <cellStyle name="Separador de milhares 2 5 4 4" xfId="41407" xr:uid="{3666D808-5862-4674-A399-63F668D978DF}"/>
    <cellStyle name="Separador de milhares 2 5 4 5" xfId="41408" xr:uid="{EEAFAC92-4991-4142-941F-2EFD0FB54482}"/>
    <cellStyle name="Separador de milhares 2 5 4 6" xfId="41409" xr:uid="{0A735FE4-5A45-4867-9F33-38951A6B2569}"/>
    <cellStyle name="Separador de milhares 2 5 5" xfId="41410" xr:uid="{DFB00C65-31D1-4E13-9FA7-B2FBD1787606}"/>
    <cellStyle name="Separador de milhares 2 5 5 2" xfId="41411" xr:uid="{DE096A5A-A87D-41D7-8ECA-1622F942E596}"/>
    <cellStyle name="Separador de milhares 2 5 5 3" xfId="41412" xr:uid="{0E88568F-DAD4-4B44-8EF1-DD0E7F2263EA}"/>
    <cellStyle name="Separador de milhares 2 5 5 4" xfId="41413" xr:uid="{9E2EED7A-1025-4B62-9084-3BEB172043BC}"/>
    <cellStyle name="Separador de milhares 2 5 5 5" xfId="41414" xr:uid="{181CA2ED-BB7E-49A5-B58D-C272D0C44504}"/>
    <cellStyle name="Separador de milhares 2 5 5 6" xfId="41415" xr:uid="{D8D4D369-DAD9-4AC8-8218-80BD1056E297}"/>
    <cellStyle name="Separador de milhares 2 5 6" xfId="41416" xr:uid="{9C6A7386-08C0-4373-8672-7451C9E1B202}"/>
    <cellStyle name="Separador de milhares 2 5 6 2" xfId="41417" xr:uid="{5FE92983-CCDE-4F85-8F30-C19DBED59660}"/>
    <cellStyle name="Separador de milhares 2 5 6 3" xfId="41418" xr:uid="{B7935DE0-CFA9-49E9-AD31-0634CF0E7560}"/>
    <cellStyle name="Separador de milhares 2 5 6 4" xfId="41419" xr:uid="{C41FA5F2-1F57-4BF7-9DD2-27C3FFF4FAC2}"/>
    <cellStyle name="Separador de milhares 2 5 6 5" xfId="41420" xr:uid="{67FBDA3E-F303-4903-8234-151854DCEF33}"/>
    <cellStyle name="Separador de milhares 2 5 6 6" xfId="41421" xr:uid="{8DEB745B-5949-4E5A-B815-8A8A00F8ACCE}"/>
    <cellStyle name="Separador de milhares 2 5 7" xfId="41422" xr:uid="{1EACE733-D036-4CA3-8485-826915B8F492}"/>
    <cellStyle name="Separador de milhares 2 5 7 2" xfId="41423" xr:uid="{C075C955-B7DC-4F9D-BD2A-403DA6BDA939}"/>
    <cellStyle name="Separador de milhares 2 5 7 3" xfId="41424" xr:uid="{BE84CA56-ADA2-493F-8349-53E9F3CDB021}"/>
    <cellStyle name="Separador de milhares 2 5 7 4" xfId="41425" xr:uid="{37BF324E-9F4C-4062-9761-3C67F6C53BB8}"/>
    <cellStyle name="Separador de milhares 2 5 7 5" xfId="41426" xr:uid="{D1102198-BFE2-4CA5-A322-A87326D8194C}"/>
    <cellStyle name="Separador de milhares 2 5 7 6" xfId="41427" xr:uid="{76F35E71-7EC5-402E-ACDD-0780AF0AA64C}"/>
    <cellStyle name="Separador de milhares 2 5 8" xfId="41428" xr:uid="{0827400A-4DE5-4EB9-BDFA-8E5B590118AE}"/>
    <cellStyle name="Separador de milhares 2 5 8 2" xfId="41429" xr:uid="{AE91C6D7-ECF5-4B83-8504-99BF9F117323}"/>
    <cellStyle name="Separador de milhares 2 5 8 3" xfId="41430" xr:uid="{E822DF4D-F73B-466C-85DB-4CCCB3121B77}"/>
    <cellStyle name="Separador de milhares 2 5 8 4" xfId="41431" xr:uid="{118A1742-F6E6-42EF-BD2B-94A80081D6C6}"/>
    <cellStyle name="Separador de milhares 2 5 8 5" xfId="41432" xr:uid="{E645B09B-F17B-4F31-A2D9-67883D47561E}"/>
    <cellStyle name="Separador de milhares 2 5 8 6" xfId="41433" xr:uid="{9B4D1EED-B802-437E-95DD-E7893F094801}"/>
    <cellStyle name="Separador de milhares 2 5 9" xfId="41434" xr:uid="{5C36F6DF-C0C5-4370-88F3-3049DAA052B7}"/>
    <cellStyle name="Separador de milhares 2 6" xfId="41435" xr:uid="{968168B7-F610-4737-A660-DE5AA2805FB9}"/>
    <cellStyle name="Separador de milhares 2 6 10" xfId="41436" xr:uid="{84796856-CF38-4BB0-8F09-A95686374152}"/>
    <cellStyle name="Separador de milhares 2 6 11" xfId="41437" xr:uid="{F0CD1E11-3180-4778-884D-5AB894C1CA96}"/>
    <cellStyle name="Separador de milhares 2 6 12" xfId="41438" xr:uid="{E3640EF8-77E2-445A-9601-FE89C0B883E9}"/>
    <cellStyle name="Separador de milhares 2 6 13" xfId="41439" xr:uid="{66D50CD3-B10C-463A-9D3F-4B795ECD612D}"/>
    <cellStyle name="Separador de milhares 2 6 14" xfId="41440" xr:uid="{D65DB779-3B8F-48C9-BAC5-D626F5933617}"/>
    <cellStyle name="Separador de milhares 2 6 2" xfId="41441" xr:uid="{3AF56BD0-0110-4292-A8A1-841A639E88E4}"/>
    <cellStyle name="Separador de milhares 2 6 2 2" xfId="41442" xr:uid="{9CD04D3F-DEC4-444E-B4F9-021BC961A2FA}"/>
    <cellStyle name="Separador de milhares 2 6 2 3" xfId="41443" xr:uid="{3F69F350-9FCB-46C9-A266-ABC24E62213C}"/>
    <cellStyle name="Separador de milhares 2 6 2 4" xfId="41444" xr:uid="{16D0626C-7239-43E7-AC74-C3ECEC561DF3}"/>
    <cellStyle name="Separador de milhares 2 6 2 5" xfId="41445" xr:uid="{E79518BA-924C-4DA2-B536-8745152715A6}"/>
    <cellStyle name="Separador de milhares 2 6 2 6" xfId="41446" xr:uid="{89839871-B173-4A15-949B-C5D78226A5E8}"/>
    <cellStyle name="Separador de milhares 2 6 3" xfId="41447" xr:uid="{7180DA0B-2963-4BDD-8D3A-28DF42B7C3EB}"/>
    <cellStyle name="Separador de milhares 2 6 3 2" xfId="41448" xr:uid="{A48329C0-16C0-454C-8B06-25BBAFE59FAA}"/>
    <cellStyle name="Separador de milhares 2 6 3 3" xfId="41449" xr:uid="{7D2E5A12-24A2-40F7-BAF1-55BBD02CF020}"/>
    <cellStyle name="Separador de milhares 2 6 3 4" xfId="41450" xr:uid="{38259BBA-8711-4D23-9B2F-A4309A766CB6}"/>
    <cellStyle name="Separador de milhares 2 6 3 5" xfId="41451" xr:uid="{4622BCE7-20F5-4DC4-A0A6-25E7F5942B74}"/>
    <cellStyle name="Separador de milhares 2 6 3 6" xfId="41452" xr:uid="{795A3CB4-1D73-4339-B619-B44B8A285BC0}"/>
    <cellStyle name="Separador de milhares 2 6 4" xfId="41453" xr:uid="{DB5D2927-DF41-4F65-8F40-410A8C115063}"/>
    <cellStyle name="Separador de milhares 2 6 4 2" xfId="41454" xr:uid="{4294A16D-D7FF-4431-8B5D-4FCC0EDADC4A}"/>
    <cellStyle name="Separador de milhares 2 6 4 3" xfId="41455" xr:uid="{D411BBA1-0774-445A-97D5-FA00B3216BAF}"/>
    <cellStyle name="Separador de milhares 2 6 4 4" xfId="41456" xr:uid="{02AEC42A-3970-4044-AA81-971C54C2359B}"/>
    <cellStyle name="Separador de milhares 2 6 4 5" xfId="41457" xr:uid="{CA57C7CC-A9F7-4315-A1EE-468D386610DF}"/>
    <cellStyle name="Separador de milhares 2 6 4 6" xfId="41458" xr:uid="{75E4A63C-945C-4218-80B4-1D27E71791CB}"/>
    <cellStyle name="Separador de milhares 2 6 5" xfId="41459" xr:uid="{6978AF5E-01E1-4D64-B623-74D69B52EBEC}"/>
    <cellStyle name="Separador de milhares 2 6 5 2" xfId="41460" xr:uid="{D619964F-719B-4EC6-B3D0-A39FBEBF6B20}"/>
    <cellStyle name="Separador de milhares 2 6 5 3" xfId="41461" xr:uid="{B06F86C5-08D3-4711-A09D-32DB77CBCEDA}"/>
    <cellStyle name="Separador de milhares 2 6 5 4" xfId="41462" xr:uid="{E5C90A58-966C-4D85-BD2E-B0BDE3CD5F0C}"/>
    <cellStyle name="Separador de milhares 2 6 5 5" xfId="41463" xr:uid="{CA9FE3C0-381C-4B24-8D86-0A34C0A46BA0}"/>
    <cellStyle name="Separador de milhares 2 6 5 6" xfId="41464" xr:uid="{153CBE9B-8A6B-4DB3-9C6C-E4663CA7FAAE}"/>
    <cellStyle name="Separador de milhares 2 6 6" xfId="41465" xr:uid="{FE235178-A2EB-4BF2-A06E-9EB44FE0F4A7}"/>
    <cellStyle name="Separador de milhares 2 6 6 2" xfId="41466" xr:uid="{DDA100B9-CEE7-4D11-9870-EDD372413125}"/>
    <cellStyle name="Separador de milhares 2 6 6 3" xfId="41467" xr:uid="{391EB6FD-D85F-4B34-B79B-2ECDC57CDAF2}"/>
    <cellStyle name="Separador de milhares 2 6 6 4" xfId="41468" xr:uid="{6F0F74E4-A90D-4BC2-822F-5414145FABCE}"/>
    <cellStyle name="Separador de milhares 2 6 6 5" xfId="41469" xr:uid="{7E32D72C-A72A-4748-87C1-DC8FAE8878B1}"/>
    <cellStyle name="Separador de milhares 2 6 6 6" xfId="41470" xr:uid="{394240B8-16DC-4C61-BBD1-A5A7B60A1588}"/>
    <cellStyle name="Separador de milhares 2 6 7" xfId="41471" xr:uid="{BCDE7720-0134-4649-8FA4-9735C06DEE5D}"/>
    <cellStyle name="Separador de milhares 2 6 7 2" xfId="41472" xr:uid="{8846FF53-DD85-4054-8103-692A3F187288}"/>
    <cellStyle name="Separador de milhares 2 6 7 3" xfId="41473" xr:uid="{30396E3C-18C8-4D53-937B-13C6F0A3CD39}"/>
    <cellStyle name="Separador de milhares 2 6 7 4" xfId="41474" xr:uid="{48CFC37C-ED48-460B-AEAE-B3208AFE4F51}"/>
    <cellStyle name="Separador de milhares 2 6 7 5" xfId="41475" xr:uid="{FD4530C1-44E8-4904-989C-C1D6324BE70E}"/>
    <cellStyle name="Separador de milhares 2 6 7 6" xfId="41476" xr:uid="{9707B645-BBB1-43DD-AB4E-27549C88FDF1}"/>
    <cellStyle name="Separador de milhares 2 6 8" xfId="41477" xr:uid="{5FFBC6E2-D140-48F4-A84E-FA10068D93AB}"/>
    <cellStyle name="Separador de milhares 2 6 8 2" xfId="41478" xr:uid="{D2C65BE9-7625-486C-8C23-1E1047437769}"/>
    <cellStyle name="Separador de milhares 2 6 8 3" xfId="41479" xr:uid="{0EF3E45C-3A69-414C-8025-18C826E36506}"/>
    <cellStyle name="Separador de milhares 2 6 8 4" xfId="41480" xr:uid="{B14DAE6D-64D7-48AE-9C7B-C69FF5B41B79}"/>
    <cellStyle name="Separador de milhares 2 6 8 5" xfId="41481" xr:uid="{448B45C3-42FC-4010-8F23-4FAF758ADCCF}"/>
    <cellStyle name="Separador de milhares 2 6 8 6" xfId="41482" xr:uid="{394680AA-BF00-4D10-8B21-027C7FE7147D}"/>
    <cellStyle name="Separador de milhares 2 6 9" xfId="41483" xr:uid="{502A84A7-B0E1-448F-BCA6-75EA6F0FAD09}"/>
    <cellStyle name="Separador de milhares 2 7" xfId="41484" xr:uid="{63E5DDFE-3A5A-49D1-8200-81AF5854DDEE}"/>
    <cellStyle name="Separador de milhares 2 7 10" xfId="41485" xr:uid="{2F710EBF-03D1-4D12-983F-2768FAAB97DA}"/>
    <cellStyle name="Separador de milhares 2 7 11" xfId="41486" xr:uid="{30026EAB-806D-4F1A-A60D-72416503F2EC}"/>
    <cellStyle name="Separador de milhares 2 7 12" xfId="41487" xr:uid="{8066B1CF-A810-4DCC-A545-C8F83B666A41}"/>
    <cellStyle name="Separador de milhares 2 7 13" xfId="41488" xr:uid="{8019A338-73A6-43B3-877F-D9D6420A3B2C}"/>
    <cellStyle name="Separador de milhares 2 7 14" xfId="41489" xr:uid="{1924055B-EC7B-4C23-8D76-F52893AD51F0}"/>
    <cellStyle name="Separador de milhares 2 7 2" xfId="41490" xr:uid="{1944C53D-B499-4D95-A1BF-557F6796DB43}"/>
    <cellStyle name="Separador de milhares 2 7 2 2" xfId="41491" xr:uid="{71610AA9-6D01-4B37-A4E9-59DFA4A77497}"/>
    <cellStyle name="Separador de milhares 2 7 2 3" xfId="41492" xr:uid="{4DF32AE5-5978-4DC4-9375-42BD5FC4E415}"/>
    <cellStyle name="Separador de milhares 2 7 2 4" xfId="41493" xr:uid="{50BD87C7-7BCB-4769-9ADF-C8DD75F5F4E4}"/>
    <cellStyle name="Separador de milhares 2 7 2 5" xfId="41494" xr:uid="{FF3A3B47-D23E-4CB5-A4E8-54695EEBBEE1}"/>
    <cellStyle name="Separador de milhares 2 7 2 6" xfId="41495" xr:uid="{9107522F-3FA5-48C4-A12C-2010653C38B6}"/>
    <cellStyle name="Separador de milhares 2 7 3" xfId="41496" xr:uid="{DE7D98EC-F9B7-4F00-8610-D3CAD618797A}"/>
    <cellStyle name="Separador de milhares 2 7 3 2" xfId="41497" xr:uid="{A3975BF5-4BED-4B6F-AE6E-44DDDC0542AF}"/>
    <cellStyle name="Separador de milhares 2 7 3 3" xfId="41498" xr:uid="{D5ED398C-3761-4C33-A802-CC1FA760A643}"/>
    <cellStyle name="Separador de milhares 2 7 3 4" xfId="41499" xr:uid="{0EB22C2F-86CA-43EC-920B-6EDF5D550040}"/>
    <cellStyle name="Separador de milhares 2 7 3 5" xfId="41500" xr:uid="{536FFF64-7C27-4EF6-8613-BAB32C8B50D1}"/>
    <cellStyle name="Separador de milhares 2 7 3 6" xfId="41501" xr:uid="{8FCB463B-3BEA-4E93-8EB1-1F251426A1F8}"/>
    <cellStyle name="Separador de milhares 2 7 4" xfId="41502" xr:uid="{33E9056A-4916-4713-8416-BB945FA7435E}"/>
    <cellStyle name="Separador de milhares 2 7 4 2" xfId="41503" xr:uid="{EF96C8F1-1F94-44F6-AF00-3A1321EDB325}"/>
    <cellStyle name="Separador de milhares 2 7 4 3" xfId="41504" xr:uid="{0F8373B9-8E16-45A3-A415-0FF95011FB5C}"/>
    <cellStyle name="Separador de milhares 2 7 4 4" xfId="41505" xr:uid="{1CD61C43-0B06-4448-96B4-525435068099}"/>
    <cellStyle name="Separador de milhares 2 7 4 5" xfId="41506" xr:uid="{5A96538E-D7A4-4893-AB79-67FAC6F5967F}"/>
    <cellStyle name="Separador de milhares 2 7 4 6" xfId="41507" xr:uid="{9F2538F1-E382-47F3-9051-5DA629E94169}"/>
    <cellStyle name="Separador de milhares 2 7 5" xfId="41508" xr:uid="{4F937BB8-9E08-4C29-B96A-664D5BA6BBF9}"/>
    <cellStyle name="Separador de milhares 2 7 5 2" xfId="41509" xr:uid="{8FCD9595-BEEE-4BD3-BF47-A087AE4CEFE0}"/>
    <cellStyle name="Separador de milhares 2 7 5 3" xfId="41510" xr:uid="{5391C719-0916-4070-A244-DA6A9B8EFCF9}"/>
    <cellStyle name="Separador de milhares 2 7 5 4" xfId="41511" xr:uid="{B64FF29F-115F-411A-83A8-F184D97D91A1}"/>
    <cellStyle name="Separador de milhares 2 7 5 5" xfId="41512" xr:uid="{FF36D933-25CC-40E8-96F0-9A3E35C994E6}"/>
    <cellStyle name="Separador de milhares 2 7 5 6" xfId="41513" xr:uid="{3769ABA7-0DDD-4085-8890-27307E3BF949}"/>
    <cellStyle name="Separador de milhares 2 7 6" xfId="41514" xr:uid="{B25CE211-107D-48D1-9050-8E0854E8BE23}"/>
    <cellStyle name="Separador de milhares 2 7 6 2" xfId="41515" xr:uid="{789114C9-7274-47F7-AADC-16335105A278}"/>
    <cellStyle name="Separador de milhares 2 7 6 3" xfId="41516" xr:uid="{6D518BD0-E3D9-4453-99B8-681BD6B1BFE3}"/>
    <cellStyle name="Separador de milhares 2 7 6 4" xfId="41517" xr:uid="{09B739DA-8FE4-40E3-8F7A-67940B0EE18E}"/>
    <cellStyle name="Separador de milhares 2 7 6 5" xfId="41518" xr:uid="{6FE9B8A4-886A-4570-9956-9FE3D1B2A40E}"/>
    <cellStyle name="Separador de milhares 2 7 6 6" xfId="41519" xr:uid="{B21D1BD7-E92B-4F8D-9B90-D7E9E01284A4}"/>
    <cellStyle name="Separador de milhares 2 7 7" xfId="41520" xr:uid="{C279D842-433E-4D98-8D55-BB1CCECBB4F1}"/>
    <cellStyle name="Separador de milhares 2 7 7 2" xfId="41521" xr:uid="{C7FB5AE3-5447-4336-A912-B5E2BCDDAE78}"/>
    <cellStyle name="Separador de milhares 2 7 7 3" xfId="41522" xr:uid="{B4F4804C-B4EE-4691-B6D5-F18A969E107E}"/>
    <cellStyle name="Separador de milhares 2 7 7 4" xfId="41523" xr:uid="{C968E8BA-6A6B-4FAA-A0F8-69613449FD04}"/>
    <cellStyle name="Separador de milhares 2 7 7 5" xfId="41524" xr:uid="{5FBF02B7-4A22-409E-AB27-A1DD5D7AECA9}"/>
    <cellStyle name="Separador de milhares 2 7 7 6" xfId="41525" xr:uid="{D6E393AC-315C-403A-A131-669665C25658}"/>
    <cellStyle name="Separador de milhares 2 7 8" xfId="41526" xr:uid="{DBD99225-E686-43A7-8182-78D562960181}"/>
    <cellStyle name="Separador de milhares 2 7 8 2" xfId="41527" xr:uid="{07BC54FE-D808-453A-A35A-E7AA85335CA1}"/>
    <cellStyle name="Separador de milhares 2 7 8 3" xfId="41528" xr:uid="{B5322014-7597-41E4-8BE1-72B5FD47FCD3}"/>
    <cellStyle name="Separador de milhares 2 7 8 4" xfId="41529" xr:uid="{372CE374-482F-4943-A1A2-E08086CBD4B1}"/>
    <cellStyle name="Separador de milhares 2 7 8 5" xfId="41530" xr:uid="{4BADCBFF-B1C4-4836-BD12-438897F251D3}"/>
    <cellStyle name="Separador de milhares 2 7 8 6" xfId="41531" xr:uid="{E385C2B8-C060-4FE9-A386-852A64036BE3}"/>
    <cellStyle name="Separador de milhares 2 7 9" xfId="41532" xr:uid="{56720E1D-8BAB-4F67-A384-4A38B7093208}"/>
    <cellStyle name="Separador de milhares 2 8" xfId="41533" xr:uid="{01803DBB-FF53-4F51-A518-91E51CA13BA5}"/>
    <cellStyle name="Separador de milhares 2 8 10" xfId="41534" xr:uid="{9D2511E8-8E54-4534-B9BD-3614F980C21E}"/>
    <cellStyle name="Separador de milhares 2 8 11" xfId="41535" xr:uid="{0E113F53-16E9-4D2D-8E81-33A10289BBA8}"/>
    <cellStyle name="Separador de milhares 2 8 12" xfId="41536" xr:uid="{A406CCC7-0B98-4CCB-AD18-D1458E0A82E6}"/>
    <cellStyle name="Separador de milhares 2 8 13" xfId="41537" xr:uid="{E941C040-C9C3-4C3C-9AEE-A964CFEE68B9}"/>
    <cellStyle name="Separador de milhares 2 8 14" xfId="41538" xr:uid="{F1A4491B-AB10-4D1B-8142-9A4F83CC8148}"/>
    <cellStyle name="Separador de milhares 2 8 2" xfId="41539" xr:uid="{AB4580B2-0CD3-4431-987C-B32D78D3EB8C}"/>
    <cellStyle name="Separador de milhares 2 8 2 2" xfId="41540" xr:uid="{854B3824-FEB6-405E-AFAB-E7ADABEC8F6E}"/>
    <cellStyle name="Separador de milhares 2 8 2 3" xfId="41541" xr:uid="{0E4C7BE4-32E6-4C7B-8291-BDC454A8BABB}"/>
    <cellStyle name="Separador de milhares 2 8 2 4" xfId="41542" xr:uid="{50FE3A51-22EF-4D1C-8B6B-1D4AB1332433}"/>
    <cellStyle name="Separador de milhares 2 8 2 5" xfId="41543" xr:uid="{05E45A27-C045-4E93-900D-90FCB1354E1A}"/>
    <cellStyle name="Separador de milhares 2 8 2 6" xfId="41544" xr:uid="{3E34F5CD-9216-45B9-ABE3-2E6BDC6BCB4F}"/>
    <cellStyle name="Separador de milhares 2 8 2 7" xfId="41545" xr:uid="{CA4B1453-81F3-4A9B-92DE-2F249446F98A}"/>
    <cellStyle name="Separador de milhares 2 8 3" xfId="41546" xr:uid="{47AF528B-E9F5-4222-8856-BBBCD5ACF3C2}"/>
    <cellStyle name="Separador de milhares 2 8 3 2" xfId="41547" xr:uid="{168C4AC3-E1A7-466A-85F9-0416FF4384EB}"/>
    <cellStyle name="Separador de milhares 2 8 3 3" xfId="41548" xr:uid="{EB2E91E6-FEE5-440A-AD22-A0CCB4938363}"/>
    <cellStyle name="Separador de milhares 2 8 3 4" xfId="41549" xr:uid="{34664D12-96FF-4D8E-9092-E88F65BAC56D}"/>
    <cellStyle name="Separador de milhares 2 8 3 5" xfId="41550" xr:uid="{4CCE5DB2-1693-4C36-B014-111D23A13805}"/>
    <cellStyle name="Separador de milhares 2 8 3 6" xfId="41551" xr:uid="{9F1EE143-69F6-40E9-991D-F7BE01B6569B}"/>
    <cellStyle name="Separador de milhares 2 8 4" xfId="41552" xr:uid="{E51C295A-5D01-4AA9-9D5C-CB0765B29952}"/>
    <cellStyle name="Separador de milhares 2 8 4 2" xfId="41553" xr:uid="{20837670-798D-4BBC-BE24-E47E09755886}"/>
    <cellStyle name="Separador de milhares 2 8 4 3" xfId="41554" xr:uid="{90BA7D1C-B75A-4EE5-A1E3-9ECBC1BAED38}"/>
    <cellStyle name="Separador de milhares 2 8 4 4" xfId="41555" xr:uid="{A92E1114-FCB4-4CD7-8EA1-B51EA35B73EF}"/>
    <cellStyle name="Separador de milhares 2 8 4 5" xfId="41556" xr:uid="{46DCED3B-0A6D-4441-8550-795ED3CC6793}"/>
    <cellStyle name="Separador de milhares 2 8 4 6" xfId="41557" xr:uid="{BF3C24C9-BB73-49A7-9B89-12870C96C0BC}"/>
    <cellStyle name="Separador de milhares 2 8 5" xfId="41558" xr:uid="{4D673CA3-5E64-4674-A0C1-A3244A9CCBC0}"/>
    <cellStyle name="Separador de milhares 2 8 5 2" xfId="41559" xr:uid="{90A8D664-88D4-4A6D-A2EF-680AAD6DE3EB}"/>
    <cellStyle name="Separador de milhares 2 8 5 3" xfId="41560" xr:uid="{B99A370F-0EF8-4C4E-AA6A-C01A1AC6E760}"/>
    <cellStyle name="Separador de milhares 2 8 5 4" xfId="41561" xr:uid="{238A1623-36A5-427B-996F-9CC76F601579}"/>
    <cellStyle name="Separador de milhares 2 8 5 5" xfId="41562" xr:uid="{B7424AF7-81D9-4E7E-8D3E-333B2B357678}"/>
    <cellStyle name="Separador de milhares 2 8 5 6" xfId="41563" xr:uid="{AF4C6EF4-D77B-4047-86B4-9BA55051AA51}"/>
    <cellStyle name="Separador de milhares 2 8 6" xfId="41564" xr:uid="{7A605ECD-FFD8-4F27-8A7F-662734A7937E}"/>
    <cellStyle name="Separador de milhares 2 8 6 2" xfId="41565" xr:uid="{59A8509A-3C91-4E7F-86EB-B9E97D5A7AE7}"/>
    <cellStyle name="Separador de milhares 2 8 6 3" xfId="41566" xr:uid="{101510AC-B261-4E92-98A5-F236F580BCD8}"/>
    <cellStyle name="Separador de milhares 2 8 6 4" xfId="41567" xr:uid="{A1EFAEA5-23E5-4D69-8BBE-16C2C2F9C23E}"/>
    <cellStyle name="Separador de milhares 2 8 6 5" xfId="41568" xr:uid="{97A9E558-31DF-479E-AD11-7ED91A50397D}"/>
    <cellStyle name="Separador de milhares 2 8 6 6" xfId="41569" xr:uid="{5DAA61A0-AC1E-4882-BAA9-DAE3C7E47939}"/>
    <cellStyle name="Separador de milhares 2 8 7" xfId="41570" xr:uid="{F45D727C-BF57-47D6-A4F4-677458E83974}"/>
    <cellStyle name="Separador de milhares 2 8 7 2" xfId="41571" xr:uid="{7DEF778C-FB66-4212-811E-718C99230960}"/>
    <cellStyle name="Separador de milhares 2 8 7 3" xfId="41572" xr:uid="{AB78FB90-14F7-48D6-8966-8DAFDA1DB78E}"/>
    <cellStyle name="Separador de milhares 2 8 7 4" xfId="41573" xr:uid="{8D85FC83-53A5-4420-987C-DF2578B7388F}"/>
    <cellStyle name="Separador de milhares 2 8 7 5" xfId="41574" xr:uid="{3B07B3A4-CD89-4DCD-98C5-81490B20B863}"/>
    <cellStyle name="Separador de milhares 2 8 7 6" xfId="41575" xr:uid="{19DB7AE7-552B-4F06-A994-883D5D68AC44}"/>
    <cellStyle name="Separador de milhares 2 8 8" xfId="41576" xr:uid="{AAA399E5-82A9-450C-A84D-8F9BA509D2B3}"/>
    <cellStyle name="Separador de milhares 2 8 8 2" xfId="41577" xr:uid="{DDEF8C00-1E2F-409B-A520-A848655791E9}"/>
    <cellStyle name="Separador de milhares 2 8 8 3" xfId="41578" xr:uid="{7E041E5C-76BA-43DE-8747-803CA9BD5813}"/>
    <cellStyle name="Separador de milhares 2 8 8 4" xfId="41579" xr:uid="{E6AF2FAA-F792-4626-AACC-4F9835753E62}"/>
    <cellStyle name="Separador de milhares 2 8 8 5" xfId="41580" xr:uid="{433FE198-F177-4EDF-9030-1C0EB0FA8C45}"/>
    <cellStyle name="Separador de milhares 2 8 8 6" xfId="41581" xr:uid="{5100E283-FCDC-46DE-AFF7-2EA1DF55D2BA}"/>
    <cellStyle name="Separador de milhares 2 8 9" xfId="41582" xr:uid="{CB7CE3DF-26FA-4925-B572-1B0AE591F64F}"/>
    <cellStyle name="Separador de milhares 2 9" xfId="41583" xr:uid="{61F98E2A-EDBF-4F08-9AEB-4DCB567EFF80}"/>
    <cellStyle name="Separador de milhares 2 9 10" xfId="41584" xr:uid="{828CE8A7-5DCB-4489-893D-4AC7BAE14022}"/>
    <cellStyle name="Separador de milhares 2 9 11" xfId="41585" xr:uid="{AF19AAFA-C352-436F-AF16-F643B2B93345}"/>
    <cellStyle name="Separador de milhares 2 9 12" xfId="41586" xr:uid="{2D2D878B-E897-4880-8E46-3CA6DFCEA4A0}"/>
    <cellStyle name="Separador de milhares 2 9 13" xfId="41587" xr:uid="{EDDFF8C0-33F6-4F06-BDD9-A0A85C3A7584}"/>
    <cellStyle name="Separador de milhares 2 9 14" xfId="41588" xr:uid="{B9B23B78-477B-4BBB-9E74-6B1FB235062A}"/>
    <cellStyle name="Separador de milhares 2 9 2" xfId="41589" xr:uid="{94AD5C21-9609-47B0-9E09-97988338EE44}"/>
    <cellStyle name="Separador de milhares 2 9 2 2" xfId="41590" xr:uid="{BC1D7264-7F0E-411C-BB4A-A3F13E3F89D3}"/>
    <cellStyle name="Separador de milhares 2 9 2 3" xfId="41591" xr:uid="{76175BFF-E5C0-4E41-9112-18E6113B61FD}"/>
    <cellStyle name="Separador de milhares 2 9 2 4" xfId="41592" xr:uid="{B9CBF8EF-650F-4732-B9CD-5899EDA19FEC}"/>
    <cellStyle name="Separador de milhares 2 9 2 5" xfId="41593" xr:uid="{B3372D68-C655-4CA4-89F0-1FA7484384A2}"/>
    <cellStyle name="Separador de milhares 2 9 2 6" xfId="41594" xr:uid="{0CD81BFD-01D4-4925-9624-3863D7DDA38A}"/>
    <cellStyle name="Separador de milhares 2 9 3" xfId="41595" xr:uid="{543F3A1D-A2DB-4F0B-9069-BBEEDAE827BF}"/>
    <cellStyle name="Separador de milhares 2 9 3 2" xfId="41596" xr:uid="{59DBFA67-BAE8-4BF5-ADF6-E768044EC50B}"/>
    <cellStyle name="Separador de milhares 2 9 3 3" xfId="41597" xr:uid="{560E4B33-6FAA-4FB2-8BA2-23FDFF5CBAF3}"/>
    <cellStyle name="Separador de milhares 2 9 3 4" xfId="41598" xr:uid="{98CCD96E-86CD-4F46-B422-15E9365D4EFD}"/>
    <cellStyle name="Separador de milhares 2 9 3 5" xfId="41599" xr:uid="{6C033883-F35A-4493-B777-5BAE7C2A1F35}"/>
    <cellStyle name="Separador de milhares 2 9 3 6" xfId="41600" xr:uid="{20BE22B6-68EF-40D3-8646-56C6383A647A}"/>
    <cellStyle name="Separador de milhares 2 9 4" xfId="41601" xr:uid="{8962847C-2A74-4A7D-AB66-C485F2C26A6E}"/>
    <cellStyle name="Separador de milhares 2 9 4 2" xfId="41602" xr:uid="{EF69385A-892A-4362-A494-0B6783B46ECD}"/>
    <cellStyle name="Separador de milhares 2 9 4 3" xfId="41603" xr:uid="{757837E8-ED13-46A0-8A18-33B2F68461E4}"/>
    <cellStyle name="Separador de milhares 2 9 4 4" xfId="41604" xr:uid="{E24D70EC-D5FE-4D8E-A8C4-489C2456D95C}"/>
    <cellStyle name="Separador de milhares 2 9 4 5" xfId="41605" xr:uid="{05C03C31-F480-45F9-B4AD-48533DD987CB}"/>
    <cellStyle name="Separador de milhares 2 9 4 6" xfId="41606" xr:uid="{0A66D1F8-1B7E-4E78-8125-C3F36961CCC3}"/>
    <cellStyle name="Separador de milhares 2 9 5" xfId="41607" xr:uid="{9D1E29C3-8A96-4C49-8FDF-19AE3A973857}"/>
    <cellStyle name="Separador de milhares 2 9 5 2" xfId="41608" xr:uid="{CD9DA1DA-B178-442D-8A25-FB4EA072DCF6}"/>
    <cellStyle name="Separador de milhares 2 9 5 3" xfId="41609" xr:uid="{A2CEE4AF-11DC-4134-9D83-A7CAB681538F}"/>
    <cellStyle name="Separador de milhares 2 9 5 4" xfId="41610" xr:uid="{EB87D78F-CBD5-4274-A09F-6ED69B7F0E03}"/>
    <cellStyle name="Separador de milhares 2 9 5 5" xfId="41611" xr:uid="{DDCFDB6F-EC2D-40C0-9303-73AF54ABF87D}"/>
    <cellStyle name="Separador de milhares 2 9 5 6" xfId="41612" xr:uid="{07DBB9E1-C2CB-45B0-9E2F-5CBF4376EB31}"/>
    <cellStyle name="Separador de milhares 2 9 6" xfId="41613" xr:uid="{9EB25E7B-CBE6-436D-B800-A38C51112D0F}"/>
    <cellStyle name="Separador de milhares 2 9 6 2" xfId="41614" xr:uid="{CEF0F4F5-1C83-4036-A9AA-39296E11852E}"/>
    <cellStyle name="Separador de milhares 2 9 6 3" xfId="41615" xr:uid="{29A0BF75-893D-46AF-91EA-0A4D86267691}"/>
    <cellStyle name="Separador de milhares 2 9 6 4" xfId="41616" xr:uid="{214F72E4-C92F-4070-8702-B05F5B165E61}"/>
    <cellStyle name="Separador de milhares 2 9 6 5" xfId="41617" xr:uid="{CFCCC596-CF11-4EDB-BACF-C48B75DA77F7}"/>
    <cellStyle name="Separador de milhares 2 9 6 6" xfId="41618" xr:uid="{F93D59C1-DCFB-45C3-AD32-02D5DE269176}"/>
    <cellStyle name="Separador de milhares 2 9 7" xfId="41619" xr:uid="{5D920ECF-D6F4-41DF-A450-60AF99B6113E}"/>
    <cellStyle name="Separador de milhares 2 9 7 2" xfId="41620" xr:uid="{DF33A5C9-5A59-431C-854E-DA8314AFDAD2}"/>
    <cellStyle name="Separador de milhares 2 9 7 3" xfId="41621" xr:uid="{29BC4B4B-F420-4F19-A479-61C959FF55E6}"/>
    <cellStyle name="Separador de milhares 2 9 7 4" xfId="41622" xr:uid="{3B92F85F-DB63-4DE9-9444-F94AEBF8CC65}"/>
    <cellStyle name="Separador de milhares 2 9 7 5" xfId="41623" xr:uid="{726BBA2E-29C7-414B-A51B-5FA007DE33E4}"/>
    <cellStyle name="Separador de milhares 2 9 7 6" xfId="41624" xr:uid="{6FADFCC9-CEF2-4DBB-BD2D-E98F223361E4}"/>
    <cellStyle name="Separador de milhares 2 9 8" xfId="41625" xr:uid="{DE0536A3-DE06-4F9D-B19A-059FF1B4D98C}"/>
    <cellStyle name="Separador de milhares 2 9 8 2" xfId="41626" xr:uid="{2258327F-27E6-4667-B3B8-A1C82E10A568}"/>
    <cellStyle name="Separador de milhares 2 9 8 3" xfId="41627" xr:uid="{9E45BB58-270D-4C60-B195-E42ABA6A2E48}"/>
    <cellStyle name="Separador de milhares 2 9 8 4" xfId="41628" xr:uid="{220A4C1D-8096-432C-8795-8DB995876070}"/>
    <cellStyle name="Separador de milhares 2 9 8 5" xfId="41629" xr:uid="{D679F39D-708A-4C26-A6F8-69ACFC2AB9BB}"/>
    <cellStyle name="Separador de milhares 2 9 8 6" xfId="41630" xr:uid="{94CC3F06-C9B8-4BC0-908E-FF19B8653B3F}"/>
    <cellStyle name="Separador de milhares 2 9 9" xfId="41631" xr:uid="{EEB81EC5-6A6C-468B-B4A6-F31AA3A9513A}"/>
    <cellStyle name="Separador de milhares 2_COELBA_IRT 2010_Simulador_v19_MAR_10(Breno)_2 (envio)" xfId="43850" xr:uid="{8CCCB296-7C16-4A59-9988-C6BC85C786CB}"/>
    <cellStyle name="Separador de milhares 20" xfId="43851" xr:uid="{BD2BFBEF-D707-4BF8-A112-1AA9D3A2C052}"/>
    <cellStyle name="Separador de milhares 21" xfId="43852" xr:uid="{5CB272C4-F746-491A-96A4-D91408788546}"/>
    <cellStyle name="Separador de milhares 22" xfId="43853" xr:uid="{F1C960B8-B155-4175-AC1E-104FE9468EB3}"/>
    <cellStyle name="Separador de milhares 23" xfId="41632" xr:uid="{EBA41ECD-2BE1-4C66-80A0-E2100DABD5FE}"/>
    <cellStyle name="Separador de milhares 24" xfId="43854" xr:uid="{015ABAD2-02C0-443D-B248-664D74B090D6}"/>
    <cellStyle name="Separador de milhares 25" xfId="43855" xr:uid="{579AB748-8AA6-4BCF-AC3A-204AAFACB30A}"/>
    <cellStyle name="Separador de milhares 26" xfId="43856" xr:uid="{7482470A-F582-42F4-986F-A20858D923B8}"/>
    <cellStyle name="Separador de milhares 27" xfId="43857" xr:uid="{92B1C657-5E75-4B15-BE13-8BFE4B527EF3}"/>
    <cellStyle name="Separador de milhares 28" xfId="43858" xr:uid="{FBB59886-77D5-4E99-B885-64A1443882A4}"/>
    <cellStyle name="Separador de milhares 3" xfId="889" xr:uid="{070AD59A-B20E-46B8-BC42-0AB6B24A1AC9}"/>
    <cellStyle name="Separador de milhares 3 10" xfId="41633" xr:uid="{6AFE5DBC-6078-4E41-9240-C8AC22745842}"/>
    <cellStyle name="Separador de milhares 3 11" xfId="41634" xr:uid="{7EDE4296-3194-426D-86FB-680413F4420C}"/>
    <cellStyle name="Separador de milhares 3 12" xfId="41635" xr:uid="{574E2A63-FA64-421B-981C-42668DA96AA7}"/>
    <cellStyle name="Separador de milhares 3 13" xfId="41636" xr:uid="{B1667AE3-F945-4B7E-8D94-37E68334A678}"/>
    <cellStyle name="Separador de milhares 3 14" xfId="41637" xr:uid="{1B1DB65C-7D41-40FC-A063-D88FBF7B4434}"/>
    <cellStyle name="Separador de milhares 3 15" xfId="41638" xr:uid="{B3672CCB-98BB-4DB1-9437-2D9E2A32E2B3}"/>
    <cellStyle name="Separador de milhares 3 16" xfId="41639" xr:uid="{9EFB2A02-7639-47C5-89E3-BB6861DF541F}"/>
    <cellStyle name="Separador de milhares 3 17" xfId="41640" xr:uid="{E30525AC-1148-4B96-86BA-982063254F16}"/>
    <cellStyle name="Separador de milhares 3 18" xfId="41641" xr:uid="{B8DE58B6-99D9-4B6B-860F-727F3EF4726D}"/>
    <cellStyle name="Separador de milhares 3 19" xfId="41642" xr:uid="{5F8B8BA5-277C-4462-BDF0-E01CE3FC8241}"/>
    <cellStyle name="Separador de milhares 3 2" xfId="1156" xr:uid="{BC3F29D3-DA03-45F7-81B9-CB35FA042ECC}"/>
    <cellStyle name="Separador de milhares 3 2 2" xfId="41643" xr:uid="{393A99A5-C847-4C63-8898-A9751552F4F8}"/>
    <cellStyle name="Separador de milhares 3 2 2 2" xfId="41644" xr:uid="{5C8AA653-642E-4B89-8BAA-ABD2F835DD63}"/>
    <cellStyle name="Separador de milhares 3 2 2 3" xfId="41645" xr:uid="{9F152E26-46FD-49CF-BD69-0AC90DF22949}"/>
    <cellStyle name="Separador de milhares 3 2 3" xfId="41646" xr:uid="{986E8C5A-8411-4D4E-A98D-6522E969E927}"/>
    <cellStyle name="Separador de milhares 3 2 4" xfId="41647" xr:uid="{E79B481A-39E4-4430-AF36-3446CC5E8903}"/>
    <cellStyle name="Separador de milhares 3 20" xfId="41648" xr:uid="{E13DDC22-DBF5-47DD-B582-9DB17503C6EA}"/>
    <cellStyle name="Separador de milhares 3 21" xfId="41649" xr:uid="{70D01EBE-D895-4634-A3C6-791BBABC77FC}"/>
    <cellStyle name="Separador de milhares 3 22" xfId="41650" xr:uid="{52130969-AB9F-45C7-A884-8165E19A8A99}"/>
    <cellStyle name="Separador de milhares 3 23" xfId="41651" xr:uid="{CD86E659-49EF-4350-B1D9-AAEC3756DD2C}"/>
    <cellStyle name="Separador de milhares 3 24" xfId="41652" xr:uid="{94274CAE-9E3D-47F9-8B57-92994AFEDB25}"/>
    <cellStyle name="Separador de milhares 3 25" xfId="41653" xr:uid="{3AFEFE62-F45E-4442-9A05-6DBB5C8CC923}"/>
    <cellStyle name="Separador de milhares 3 26" xfId="41654" xr:uid="{6C4BA533-F729-40BA-9C70-98AF96C22BEA}"/>
    <cellStyle name="Separador de milhares 3 27" xfId="41655" xr:uid="{05CC1AC1-D561-4400-AC72-C9E5A9CAD870}"/>
    <cellStyle name="Separador de milhares 3 28" xfId="41656" xr:uid="{FE2F280F-FBEC-43D5-8825-045048EDEBBA}"/>
    <cellStyle name="Separador de milhares 3 29" xfId="41657" xr:uid="{12201AE1-EC7F-41EE-83EA-E0D8D29EBC2C}"/>
    <cellStyle name="Separador de milhares 3 3" xfId="1157" xr:uid="{55CEA5BF-366D-47BE-9CD4-48E29D92C4DE}"/>
    <cellStyle name="Separador de milhares 3 30" xfId="41658" xr:uid="{A977C374-F80F-4FA9-ACC1-C1AFB7A58E12}"/>
    <cellStyle name="Separador de milhares 3 31" xfId="41659" xr:uid="{F81534E1-36C3-4E5E-9A0F-82A1230C3917}"/>
    <cellStyle name="Separador de milhares 3 32" xfId="41660" xr:uid="{9CF599A6-42DE-4F11-8AF3-29423108A22F}"/>
    <cellStyle name="Separador de milhares 3 33" xfId="41661" xr:uid="{B95C7D64-5F46-452F-88DA-8808EB0856B1}"/>
    <cellStyle name="Separador de milhares 3 34" xfId="41662" xr:uid="{A702FD26-5F5F-49A5-BC0F-EF65772FC658}"/>
    <cellStyle name="Separador de milhares 3 35" xfId="41663" xr:uid="{BD7186CF-F440-4C00-A72A-741C518D2C70}"/>
    <cellStyle name="Separador de milhares 3 36" xfId="41664" xr:uid="{89EF9E63-2F02-4463-A752-366504557456}"/>
    <cellStyle name="Separador de milhares 3 37" xfId="41665" xr:uid="{766515A7-5413-4649-881F-91DE748863E3}"/>
    <cellStyle name="Separador de milhares 3 38" xfId="41666" xr:uid="{13E14D0D-B596-4BF6-9646-E3B1B5739550}"/>
    <cellStyle name="Separador de milhares 3 39" xfId="41667" xr:uid="{251E8DC8-66A3-48A1-86D8-6F8B354C9E62}"/>
    <cellStyle name="Separador de milhares 3 4" xfId="1158" xr:uid="{39739A4A-9E31-415A-8E79-22D2CBF41163}"/>
    <cellStyle name="Separador de milhares 3 40" xfId="41668" xr:uid="{CD044331-227E-4B4D-9087-D974595FDE6C}"/>
    <cellStyle name="Separador de milhares 3 41" xfId="41669" xr:uid="{F40609A8-7291-4B95-BD7B-FD4B7C8CB91C}"/>
    <cellStyle name="Separador de milhares 3 42" xfId="41670" xr:uid="{F3300B3C-31E0-4BBF-9A85-5013E24F511E}"/>
    <cellStyle name="Separador de milhares 3 43" xfId="41671" xr:uid="{4FA88CD4-D792-469D-9EB2-81A625930179}"/>
    <cellStyle name="Separador de milhares 3 44" xfId="41672" xr:uid="{2CAA152F-2A61-44FE-A32E-5ECB65E01D3A}"/>
    <cellStyle name="Separador de milhares 3 45" xfId="41673" xr:uid="{38A1B75C-D0B6-4932-8287-1DE60229B669}"/>
    <cellStyle name="Separador de milhares 3 46" xfId="41674" xr:uid="{A0701E6B-5C2B-4512-977B-79D6D133DD12}"/>
    <cellStyle name="Separador de milhares 3 47" xfId="41675" xr:uid="{FE68BF17-6D60-44CD-A05C-8F408E4C598F}"/>
    <cellStyle name="Separador de milhares 3 48" xfId="41676" xr:uid="{54784F67-38F4-489A-9446-D5AE428A237B}"/>
    <cellStyle name="Separador de milhares 3 5" xfId="1159" xr:uid="{28CA05B5-FA5F-494F-8D6D-8105A626F24B}"/>
    <cellStyle name="Separador de milhares 3 6" xfId="41677" xr:uid="{8C80EA69-D331-44C7-953D-1E9F3739626A}"/>
    <cellStyle name="Separador de milhares 3 7" xfId="41678" xr:uid="{C273B755-AF4D-428F-A814-168D7129E385}"/>
    <cellStyle name="Separador de milhares 3 8" xfId="41679" xr:uid="{B6375050-9738-4014-ADBF-F6F9C725EA0B}"/>
    <cellStyle name="Separador de milhares 3 9" xfId="41680" xr:uid="{1DD68991-2E2F-45E5-A346-5F3630466A87}"/>
    <cellStyle name="Separador de milhares 34" xfId="43859" xr:uid="{EFA010A1-128A-4736-8B01-B4A90789E21A}"/>
    <cellStyle name="Separador de milhares 4" xfId="1160" xr:uid="{600541D7-292C-4604-9B92-3BE46817E061}"/>
    <cellStyle name="Separador de milhares 4 10" xfId="41681" xr:uid="{089014A9-A0B8-4B8E-8A85-86B16D4061DB}"/>
    <cellStyle name="Separador de milhares 4 10 2" xfId="41682" xr:uid="{E0874DA7-22E1-4B99-A6A4-357166115EFC}"/>
    <cellStyle name="Separador de milhares 4 10 2 2" xfId="41683" xr:uid="{3B6129FA-4AD3-4A52-B4E7-FFD80B300868}"/>
    <cellStyle name="Separador de milhares 4 10 2 3" xfId="41684" xr:uid="{4C560AB3-0EB6-469E-B42C-839CE20CEC83}"/>
    <cellStyle name="Separador de milhares 4 10 2 4" xfId="41685" xr:uid="{110CCD0F-A56B-4070-8664-2A875BFE3471}"/>
    <cellStyle name="Separador de milhares 4 10 3" xfId="41686" xr:uid="{563E0E84-1784-4832-8048-817454DD359D}"/>
    <cellStyle name="Separador de milhares 4 10 3 2" xfId="41687" xr:uid="{353377B2-F838-4687-A87F-0CE8EF8E0F60}"/>
    <cellStyle name="Separador de milhares 4 10 3 3" xfId="41688" xr:uid="{E15B9C50-9E36-498C-80CA-B4F0CC2C63C5}"/>
    <cellStyle name="Separador de milhares 4 10 3 4" xfId="41689" xr:uid="{5CBC6093-6BF4-41E6-8546-A2B2C459B896}"/>
    <cellStyle name="Separador de milhares 4 10 4" xfId="41690" xr:uid="{D8F9BBD4-6FAD-4BFF-8A7E-F6F579E9536B}"/>
    <cellStyle name="Separador de milhares 4 10 5" xfId="41691" xr:uid="{AE144A96-EEC0-4E0C-B3BE-8F1053019EFA}"/>
    <cellStyle name="Separador de milhares 4 10 6" xfId="41692" xr:uid="{0FCB15D5-239A-4703-A72E-0D046F8A00E9}"/>
    <cellStyle name="Separador de milhares 4 11" xfId="41693" xr:uid="{9EB1BB0D-DB2F-4C66-95E7-D1F2716773FB}"/>
    <cellStyle name="Separador de milhares 4 11 2" xfId="41694" xr:uid="{7CB5292B-7F21-4368-B6C6-3B43687C6792}"/>
    <cellStyle name="Separador de milhares 4 11 2 2" xfId="41695" xr:uid="{FDFFC6E6-1DCC-4E12-8403-963BDD6823FE}"/>
    <cellStyle name="Separador de milhares 4 11 2 3" xfId="41696" xr:uid="{D660E537-869E-41CC-8AA3-57E52169CC99}"/>
    <cellStyle name="Separador de milhares 4 11 2 4" xfId="41697" xr:uid="{4277EA48-BDA6-4B67-B190-7A0025E8DC86}"/>
    <cellStyle name="Separador de milhares 4 11 3" xfId="41698" xr:uid="{37066E62-42D2-456C-B3E6-B6B560FDFF38}"/>
    <cellStyle name="Separador de milhares 4 11 3 2" xfId="41699" xr:uid="{BEDFFF2D-CA66-46CF-B5EE-F3EB9AFF505A}"/>
    <cellStyle name="Separador de milhares 4 11 3 3" xfId="41700" xr:uid="{6EAF19A3-DE9A-4E2E-AA21-4B88CD337DB7}"/>
    <cellStyle name="Separador de milhares 4 11 3 4" xfId="41701" xr:uid="{8490759A-E3F8-43E0-B5EB-EDED679ED692}"/>
    <cellStyle name="Separador de milhares 4 11 4" xfId="41702" xr:uid="{0B2BD08E-255E-4197-87F0-0A7C8148B330}"/>
    <cellStyle name="Separador de milhares 4 11 5" xfId="41703" xr:uid="{2C9D4B28-3EF5-4C1B-9033-B577322D297C}"/>
    <cellStyle name="Separador de milhares 4 11 6" xfId="41704" xr:uid="{74278C72-29A6-4B6D-BD68-EE37CD39C0ED}"/>
    <cellStyle name="Separador de milhares 4 12" xfId="41705" xr:uid="{0787BDE9-C0C8-441B-AFAE-3FC5CBCD5671}"/>
    <cellStyle name="Separador de milhares 4 12 2" xfId="41706" xr:uid="{1F6FFDEB-D692-4782-98C0-F43F49ED9CFB}"/>
    <cellStyle name="Separador de milhares 4 12 2 2" xfId="41707" xr:uid="{7B831128-031E-4595-A529-9CA3C0CAAC18}"/>
    <cellStyle name="Separador de milhares 4 12 2 3" xfId="41708" xr:uid="{F09D135F-A21D-4C05-8C21-4FB19E05D6D3}"/>
    <cellStyle name="Separador de milhares 4 12 2 4" xfId="41709" xr:uid="{51E01E2A-0957-4134-ABD8-ABEDC6892C15}"/>
    <cellStyle name="Separador de milhares 4 12 3" xfId="41710" xr:uid="{9920C780-AB1E-46E6-ABFD-1AEACB066AC3}"/>
    <cellStyle name="Separador de milhares 4 12 3 2" xfId="41711" xr:uid="{0D52E2A7-F5CC-44D0-8FA9-3E955B1A609E}"/>
    <cellStyle name="Separador de milhares 4 12 3 3" xfId="41712" xr:uid="{F295C885-A9ED-492F-80E1-592532D5F649}"/>
    <cellStyle name="Separador de milhares 4 12 3 4" xfId="41713" xr:uid="{80E5BACC-496B-4CCE-AA8A-53143090B9FF}"/>
    <cellStyle name="Separador de milhares 4 12 4" xfId="41714" xr:uid="{B27BA49B-5885-41CE-84B4-25079E150910}"/>
    <cellStyle name="Separador de milhares 4 12 5" xfId="41715" xr:uid="{FA8BD678-6F92-4B46-8F0A-7839A16CDBB4}"/>
    <cellStyle name="Separador de milhares 4 12 6" xfId="41716" xr:uid="{64DF2F48-7418-4DE9-8A92-1C082F16BA1F}"/>
    <cellStyle name="Separador de milhares 4 13" xfId="41717" xr:uid="{33EABBC0-E6CF-479C-B1D4-36BDB2F6BC66}"/>
    <cellStyle name="Separador de milhares 4 13 2" xfId="41718" xr:uid="{7597C585-9FCD-4CAF-A05E-1D02FA69A75C}"/>
    <cellStyle name="Separador de milhares 4 13 2 2" xfId="41719" xr:uid="{29171B2D-03A7-4744-AC67-072FAE5E294F}"/>
    <cellStyle name="Separador de milhares 4 13 2 3" xfId="41720" xr:uid="{CA24D88C-916F-4555-897F-99E42F4368B4}"/>
    <cellStyle name="Separador de milhares 4 13 2 4" xfId="41721" xr:uid="{85D67A7F-5B95-4E46-A4EC-267232935961}"/>
    <cellStyle name="Separador de milhares 4 13 3" xfId="41722" xr:uid="{FF0F1403-5B5F-43FA-807F-EAE7E3690793}"/>
    <cellStyle name="Separador de milhares 4 13 3 2" xfId="41723" xr:uid="{6FE7873D-F50E-41FF-B97D-931043306978}"/>
    <cellStyle name="Separador de milhares 4 13 3 3" xfId="41724" xr:uid="{49ECD978-2E80-4152-94B3-8D79A6B3C28D}"/>
    <cellStyle name="Separador de milhares 4 13 3 4" xfId="41725" xr:uid="{E415DDFE-E836-4160-8CA8-4425D8C4C82B}"/>
    <cellStyle name="Separador de milhares 4 13 4" xfId="41726" xr:uid="{647BE4AD-5926-4806-AC87-34E7012D090B}"/>
    <cellStyle name="Separador de milhares 4 13 5" xfId="41727" xr:uid="{D7DE9E69-32B6-4EC3-B9C6-D0158E67E474}"/>
    <cellStyle name="Separador de milhares 4 13 6" xfId="41728" xr:uid="{B7648F98-0A1B-472E-97E2-46F60334802A}"/>
    <cellStyle name="Separador de milhares 4 14" xfId="41729" xr:uid="{68397703-DADE-4755-916D-76A46FC72549}"/>
    <cellStyle name="Separador de milhares 4 14 2" xfId="41730" xr:uid="{AAE2254E-E871-41CE-9D23-718F992F591C}"/>
    <cellStyle name="Separador de milhares 4 14 2 2" xfId="41731" xr:uid="{48BB4D20-1657-480C-A4FE-B6889C993E5F}"/>
    <cellStyle name="Separador de milhares 4 14 2 3" xfId="41732" xr:uid="{B33E770F-CDB9-4659-BFBE-F65E5A413D56}"/>
    <cellStyle name="Separador de milhares 4 14 2 4" xfId="41733" xr:uid="{00B519F2-82E2-419D-8EB2-6FF97CC5876F}"/>
    <cellStyle name="Separador de milhares 4 14 3" xfId="41734" xr:uid="{67860057-5620-41CF-A4F8-CA0B369281A0}"/>
    <cellStyle name="Separador de milhares 4 14 3 2" xfId="41735" xr:uid="{171E18DC-214C-4B98-B8EC-3D28CEF6905E}"/>
    <cellStyle name="Separador de milhares 4 14 3 3" xfId="41736" xr:uid="{8E730DE2-8481-4F51-B5D4-8CD29DD7D5CB}"/>
    <cellStyle name="Separador de milhares 4 14 3 4" xfId="41737" xr:uid="{F21B541A-FD27-4F18-8368-AC910B5F3DFD}"/>
    <cellStyle name="Separador de milhares 4 14 4" xfId="41738" xr:uid="{89E1C8CE-37E1-4C5E-B309-13D1B1A576E2}"/>
    <cellStyle name="Separador de milhares 4 14 5" xfId="41739" xr:uid="{77B717ED-3CF7-42BE-8E86-54C320F92FB0}"/>
    <cellStyle name="Separador de milhares 4 14 6" xfId="41740" xr:uid="{07D64021-BB5A-4D23-B822-77DA14EB01C3}"/>
    <cellStyle name="Separador de milhares 4 15" xfId="41741" xr:uid="{54927DDA-A75C-4C06-89FE-7D93B773E4DC}"/>
    <cellStyle name="Separador de milhares 4 15 2" xfId="41742" xr:uid="{6E13708B-AC7C-45F8-BFE0-9C2213C2EA61}"/>
    <cellStyle name="Separador de milhares 4 15 2 2" xfId="41743" xr:uid="{F462C12A-AA0A-4594-BB97-4AF87A067441}"/>
    <cellStyle name="Separador de milhares 4 15 2 3" xfId="41744" xr:uid="{ED2CE85B-6387-4EED-8DAD-CFA2EEB86001}"/>
    <cellStyle name="Separador de milhares 4 15 2 4" xfId="41745" xr:uid="{D4F6E884-85F4-4695-975E-9F17F8859FE8}"/>
    <cellStyle name="Separador de milhares 4 15 3" xfId="41746" xr:uid="{D6718C6D-D546-403F-BBC6-EEE36E393E86}"/>
    <cellStyle name="Separador de milhares 4 15 3 2" xfId="41747" xr:uid="{1C9901FC-AAD2-4FD3-944A-771109826DA3}"/>
    <cellStyle name="Separador de milhares 4 15 3 3" xfId="41748" xr:uid="{28BA7F1E-95D0-4FA5-81C6-C0A0987F6C23}"/>
    <cellStyle name="Separador de milhares 4 15 3 4" xfId="41749" xr:uid="{29368835-B55E-4474-A3AA-48F548CBD57F}"/>
    <cellStyle name="Separador de milhares 4 15 4" xfId="41750" xr:uid="{23AFBE05-5D14-483E-B004-72543643F7D4}"/>
    <cellStyle name="Separador de milhares 4 15 5" xfId="41751" xr:uid="{14DD787A-2297-4D29-B572-6100C38CBBF3}"/>
    <cellStyle name="Separador de milhares 4 15 6" xfId="41752" xr:uid="{7E2D25E1-C247-43C9-B675-74B5A9BB3A57}"/>
    <cellStyle name="Separador de milhares 4 16" xfId="41753" xr:uid="{EE0D81DA-95F0-40D1-A4B2-41C59AF29368}"/>
    <cellStyle name="Separador de milhares 4 16 2" xfId="41754" xr:uid="{51B276A8-79E0-468F-809B-587F34C08578}"/>
    <cellStyle name="Separador de milhares 4 16 2 2" xfId="41755" xr:uid="{8E62AB31-64F1-478F-B1DB-FCD55BF21A49}"/>
    <cellStyle name="Separador de milhares 4 16 2 3" xfId="41756" xr:uid="{E6C4C6B8-4560-4E34-AAC8-05A84F7FEEF3}"/>
    <cellStyle name="Separador de milhares 4 16 2 4" xfId="41757" xr:uid="{FCB97664-58CB-4393-838B-7E61F8F6B8A9}"/>
    <cellStyle name="Separador de milhares 4 16 3" xfId="41758" xr:uid="{B01B195A-E4E2-4116-8337-ACD2F15F5FB0}"/>
    <cellStyle name="Separador de milhares 4 16 3 2" xfId="41759" xr:uid="{F1514999-9455-4927-A157-7FD78C93B3B0}"/>
    <cellStyle name="Separador de milhares 4 16 3 3" xfId="41760" xr:uid="{2155ED18-7C1C-4AEF-A277-82AE822C7AD2}"/>
    <cellStyle name="Separador de milhares 4 16 3 4" xfId="41761" xr:uid="{6C9223F6-CC05-417B-8F97-79810F75EA8C}"/>
    <cellStyle name="Separador de milhares 4 16 4" xfId="41762" xr:uid="{4FDE8C31-C49C-4A97-A5FD-410E3CA71340}"/>
    <cellStyle name="Separador de milhares 4 16 5" xfId="41763" xr:uid="{C8C2EF0F-ED0B-49AE-9683-D51125D4CDE4}"/>
    <cellStyle name="Separador de milhares 4 16 6" xfId="41764" xr:uid="{91BA4F15-7C2C-4671-BCA2-38B898CFB3BD}"/>
    <cellStyle name="Separador de milhares 4 17" xfId="41765" xr:uid="{D532E861-6943-495B-9ED7-D853DF94004E}"/>
    <cellStyle name="Separador de milhares 4 17 2" xfId="41766" xr:uid="{6AC075A0-DC70-48FE-85AE-CF845D8FAB88}"/>
    <cellStyle name="Separador de milhares 4 17 2 2" xfId="41767" xr:uid="{63594BF2-4435-4FBE-B2FA-C60A052C5508}"/>
    <cellStyle name="Separador de milhares 4 17 2 3" xfId="41768" xr:uid="{48E68B96-65BB-426E-9A83-F4AA83D22A21}"/>
    <cellStyle name="Separador de milhares 4 17 2 4" xfId="41769" xr:uid="{9FAA54F8-97F9-4E3F-A18C-35E12AE6C58E}"/>
    <cellStyle name="Separador de milhares 4 17 3" xfId="41770" xr:uid="{788821D8-9678-4022-A60C-F3DABCA951F5}"/>
    <cellStyle name="Separador de milhares 4 17 3 2" xfId="41771" xr:uid="{7C6B6E55-A056-4C0B-84E8-20210419C8BD}"/>
    <cellStyle name="Separador de milhares 4 17 3 3" xfId="41772" xr:uid="{738F4DCF-CF2F-4310-9413-C02EAF36061F}"/>
    <cellStyle name="Separador de milhares 4 17 3 4" xfId="41773" xr:uid="{341FE82D-CB44-4D2A-AAAF-700ACB33A958}"/>
    <cellStyle name="Separador de milhares 4 17 4" xfId="41774" xr:uid="{F7B7626D-40C5-4070-B05A-3EF45D4837EC}"/>
    <cellStyle name="Separador de milhares 4 17 5" xfId="41775" xr:uid="{B070A05F-D78F-4466-B713-A552FB7532EE}"/>
    <cellStyle name="Separador de milhares 4 17 6" xfId="41776" xr:uid="{19D39EEB-A15D-4D32-A59E-6C5C38A0A524}"/>
    <cellStyle name="Separador de milhares 4 18" xfId="41777" xr:uid="{FCABBC18-C442-4C7B-9FFE-6B83FBDE3FF2}"/>
    <cellStyle name="Separador de milhares 4 18 2" xfId="41778" xr:uid="{632850F0-264C-4DE3-88AF-82A426CE0705}"/>
    <cellStyle name="Separador de milhares 4 18 2 2" xfId="41779" xr:uid="{3A834900-FE7D-44C7-A5EC-5139316959F7}"/>
    <cellStyle name="Separador de milhares 4 18 2 3" xfId="41780" xr:uid="{594F65CB-EB2A-4934-984B-121B8807DB1C}"/>
    <cellStyle name="Separador de milhares 4 18 2 4" xfId="41781" xr:uid="{5B165D8B-9FCF-4743-83EE-CC47302D7B9A}"/>
    <cellStyle name="Separador de milhares 4 18 3" xfId="41782" xr:uid="{E00410CD-14ED-4762-BA9B-7EC02C022DC7}"/>
    <cellStyle name="Separador de milhares 4 18 3 2" xfId="41783" xr:uid="{19DEE077-FAC8-45A4-9BDA-284739BE4552}"/>
    <cellStyle name="Separador de milhares 4 18 3 3" xfId="41784" xr:uid="{C0C7945E-1E92-4482-B7FE-EA64C8F81C30}"/>
    <cellStyle name="Separador de milhares 4 18 3 4" xfId="41785" xr:uid="{0B7295E8-8CFA-421B-AD35-4F634946B6C4}"/>
    <cellStyle name="Separador de milhares 4 18 4" xfId="41786" xr:uid="{BE97A6FF-947C-4B57-B5A5-E5A9D51A5711}"/>
    <cellStyle name="Separador de milhares 4 18 5" xfId="41787" xr:uid="{78B6CFC4-44F5-456E-860C-2A16CF5DF445}"/>
    <cellStyle name="Separador de milhares 4 18 6" xfId="41788" xr:uid="{2960F5EC-A564-4201-970B-D6B8EBB15732}"/>
    <cellStyle name="Separador de milhares 4 19" xfId="41789" xr:uid="{F762D7B6-858C-4F51-990A-61DC38459BE4}"/>
    <cellStyle name="Separador de milhares 4 19 2" xfId="41790" xr:uid="{365C8B3E-28CE-4F2C-9E0B-F799F19141ED}"/>
    <cellStyle name="Separador de milhares 4 19 2 2" xfId="41791" xr:uid="{A883CFC6-26EC-4682-A475-AE815A6B2A84}"/>
    <cellStyle name="Separador de milhares 4 19 2 3" xfId="41792" xr:uid="{408CAE17-4062-4B98-998B-0907388129B3}"/>
    <cellStyle name="Separador de milhares 4 19 2 4" xfId="41793" xr:uid="{5A4EB1DC-3579-47AD-AB1A-B7614915B59C}"/>
    <cellStyle name="Separador de milhares 4 19 3" xfId="41794" xr:uid="{51B42383-DE45-4CB8-8A40-D93D97C7C5FF}"/>
    <cellStyle name="Separador de milhares 4 19 3 2" xfId="41795" xr:uid="{1BA9B72C-D4D2-4A9C-B716-1988792FEF1B}"/>
    <cellStyle name="Separador de milhares 4 19 3 3" xfId="41796" xr:uid="{CB18A969-4270-43D4-B49B-19C8DBC86345}"/>
    <cellStyle name="Separador de milhares 4 19 3 4" xfId="41797" xr:uid="{4CD83328-A245-488E-ABD0-D0DE610EC379}"/>
    <cellStyle name="Separador de milhares 4 19 4" xfId="41798" xr:uid="{AEC529C5-4B9D-4FF8-90BC-F88889F2AD7B}"/>
    <cellStyle name="Separador de milhares 4 19 5" xfId="41799" xr:uid="{BFEF96D9-BC57-417C-AD1F-4CD8BC9FCF91}"/>
    <cellStyle name="Separador de milhares 4 19 6" xfId="41800" xr:uid="{3670FA01-0434-4446-910A-B8C2F413D4E3}"/>
    <cellStyle name="Separador de milhares 4 2" xfId="1161" xr:uid="{4882D0CC-540E-4847-A19C-0726E58E97AE}"/>
    <cellStyle name="Separador de milhares 4 2 10" xfId="41801" xr:uid="{7804CFC4-117D-4932-BD33-F17AD682F708}"/>
    <cellStyle name="Separador de milhares 4 2 10 2" xfId="41802" xr:uid="{A9A13045-110F-44C4-B963-DF65AD3ADD87}"/>
    <cellStyle name="Separador de milhares 4 2 10 2 2" xfId="41803" xr:uid="{70C5B70E-46D2-4ED5-8E16-8AD75291F01C}"/>
    <cellStyle name="Separador de milhares 4 2 10 2 3" xfId="41804" xr:uid="{26B37A7F-6B91-449A-BE58-75D28CBCF863}"/>
    <cellStyle name="Separador de milhares 4 2 10 2 4" xfId="41805" xr:uid="{19C4D135-2992-408C-9CE9-9255A6E0B63B}"/>
    <cellStyle name="Separador de milhares 4 2 10 3" xfId="41806" xr:uid="{D0C5B53D-F4D0-4DCF-A34F-D44D676B556F}"/>
    <cellStyle name="Separador de milhares 4 2 10 3 2" xfId="41807" xr:uid="{465584C9-D344-4C55-828F-F3E6271E0FBE}"/>
    <cellStyle name="Separador de milhares 4 2 10 3 3" xfId="41808" xr:uid="{0F73AB63-C39F-475F-A43A-614C4E52AFE9}"/>
    <cellStyle name="Separador de milhares 4 2 10 3 4" xfId="41809" xr:uid="{4A6F7761-C8F2-458C-BC7C-A5673B020602}"/>
    <cellStyle name="Separador de milhares 4 2 10 4" xfId="41810" xr:uid="{088EC883-001B-471C-865C-CDC29D76E0C9}"/>
    <cellStyle name="Separador de milhares 4 2 10 5" xfId="41811" xr:uid="{3C38870D-B4C7-4AFD-A949-E362EECC827F}"/>
    <cellStyle name="Separador de milhares 4 2 10 6" xfId="41812" xr:uid="{3197DCDF-7333-4930-94E6-52C81240173B}"/>
    <cellStyle name="Separador de milhares 4 2 11" xfId="41813" xr:uid="{72768728-6BD4-42F7-B81D-83FF5EEBB403}"/>
    <cellStyle name="Separador de milhares 4 2 11 2" xfId="41814" xr:uid="{D69C8A93-27BE-4186-BE9C-9430C0356685}"/>
    <cellStyle name="Separador de milhares 4 2 11 2 2" xfId="41815" xr:uid="{1AFCB212-EA57-46DE-B685-44D660F2CF43}"/>
    <cellStyle name="Separador de milhares 4 2 11 2 3" xfId="41816" xr:uid="{DEFD2755-CE13-41D3-8B07-CC0A7F429AAE}"/>
    <cellStyle name="Separador de milhares 4 2 11 2 4" xfId="41817" xr:uid="{B995DF6A-5328-4504-B299-E87FF7BDEDB7}"/>
    <cellStyle name="Separador de milhares 4 2 11 3" xfId="41818" xr:uid="{443A8857-D9EA-4C7F-B5DA-695368DD0637}"/>
    <cellStyle name="Separador de milhares 4 2 11 3 2" xfId="41819" xr:uid="{69F5A403-CEAC-41BA-BECA-0129EF9CB463}"/>
    <cellStyle name="Separador de milhares 4 2 11 3 3" xfId="41820" xr:uid="{D09DADCD-C75E-4938-8E36-532045276BD8}"/>
    <cellStyle name="Separador de milhares 4 2 11 3 4" xfId="41821" xr:uid="{A8E0F2B6-68C8-45B7-B056-8ECD20B8CBDD}"/>
    <cellStyle name="Separador de milhares 4 2 11 4" xfId="41822" xr:uid="{AC194F32-81A2-45EF-8086-59180C4C3D00}"/>
    <cellStyle name="Separador de milhares 4 2 11 5" xfId="41823" xr:uid="{FD056EC7-48B3-4CCC-AE7A-9AD612914F34}"/>
    <cellStyle name="Separador de milhares 4 2 11 6" xfId="41824" xr:uid="{A7633035-178E-4641-944B-7E149C7CDF51}"/>
    <cellStyle name="Separador de milhares 4 2 12" xfId="41825" xr:uid="{BDC62569-9BB5-4A12-B5FA-55707B8087CB}"/>
    <cellStyle name="Separador de milhares 4 2 12 2" xfId="41826" xr:uid="{93DBA85E-27D6-46C3-8A28-66A3E9D6AE52}"/>
    <cellStyle name="Separador de milhares 4 2 12 2 2" xfId="41827" xr:uid="{DD0220CD-5F1B-4519-84D8-983FF3E9224D}"/>
    <cellStyle name="Separador de milhares 4 2 12 2 3" xfId="41828" xr:uid="{D6344F57-9F55-483E-8F0C-AE25BAB7A2F7}"/>
    <cellStyle name="Separador de milhares 4 2 12 2 4" xfId="41829" xr:uid="{1C1E2B39-6537-46BC-857F-FDE0CD2B9122}"/>
    <cellStyle name="Separador de milhares 4 2 12 3" xfId="41830" xr:uid="{D53A0196-9E3A-4FCC-BE04-ABEE535B860A}"/>
    <cellStyle name="Separador de milhares 4 2 12 3 2" xfId="41831" xr:uid="{619387C3-D80D-4F5A-BDFC-D4F28B9A8A8C}"/>
    <cellStyle name="Separador de milhares 4 2 12 3 3" xfId="41832" xr:uid="{DA738B07-939B-4E93-AF09-9A0510CD7F1F}"/>
    <cellStyle name="Separador de milhares 4 2 12 3 4" xfId="41833" xr:uid="{7D7F35D3-7EDC-480E-BC84-36C9B2E1C1A9}"/>
    <cellStyle name="Separador de milhares 4 2 12 4" xfId="41834" xr:uid="{1CFE8B64-9A98-4C45-97F2-EB5460AF67E5}"/>
    <cellStyle name="Separador de milhares 4 2 12 5" xfId="41835" xr:uid="{46E44DE5-C2CA-4E94-AB60-34CFAAC83DC8}"/>
    <cellStyle name="Separador de milhares 4 2 12 6" xfId="41836" xr:uid="{641B5A16-9787-472E-901A-CC7BD4E6C114}"/>
    <cellStyle name="Separador de milhares 4 2 13" xfId="41837" xr:uid="{97CFC9B3-3550-4EA3-80EB-51A7FAD834F1}"/>
    <cellStyle name="Separador de milhares 4 2 13 2" xfId="41838" xr:uid="{A525DBA7-3C10-4B38-AD9D-EC3E3718C892}"/>
    <cellStyle name="Separador de milhares 4 2 13 2 2" xfId="41839" xr:uid="{4750F949-5F51-4E9B-9A49-DE4C1611D325}"/>
    <cellStyle name="Separador de milhares 4 2 13 2 3" xfId="41840" xr:uid="{CAE7F5F5-A101-448D-962D-6B45A2DA42AA}"/>
    <cellStyle name="Separador de milhares 4 2 13 2 4" xfId="41841" xr:uid="{296B4226-7835-4B10-B016-F297A0FAD4CC}"/>
    <cellStyle name="Separador de milhares 4 2 13 3" xfId="41842" xr:uid="{4E7D1752-38AB-497B-89A0-E003B261B187}"/>
    <cellStyle name="Separador de milhares 4 2 13 3 2" xfId="41843" xr:uid="{1AD5221D-C54B-4BBB-9496-6F785A00AC56}"/>
    <cellStyle name="Separador de milhares 4 2 13 3 3" xfId="41844" xr:uid="{712BCF09-F569-4626-90A6-E96B2B3A9BCC}"/>
    <cellStyle name="Separador de milhares 4 2 13 3 4" xfId="41845" xr:uid="{4F16F5E7-2296-40DB-A886-25F346CFDACC}"/>
    <cellStyle name="Separador de milhares 4 2 13 4" xfId="41846" xr:uid="{48CF1F6E-FD11-4E00-A89B-7BE63AA00FFB}"/>
    <cellStyle name="Separador de milhares 4 2 13 5" xfId="41847" xr:uid="{61A6F9C6-5C1F-4EE3-840A-95F4AE34F055}"/>
    <cellStyle name="Separador de milhares 4 2 13 6" xfId="41848" xr:uid="{F1C0D2F4-E1EC-4CF8-922B-21987417F432}"/>
    <cellStyle name="Separador de milhares 4 2 14" xfId="41849" xr:uid="{F68E18FE-4D10-499F-827D-318D7E0C305B}"/>
    <cellStyle name="Separador de milhares 4 2 14 2" xfId="41850" xr:uid="{E03FB80C-6175-406E-A6FA-F057E8781314}"/>
    <cellStyle name="Separador de milhares 4 2 14 2 2" xfId="41851" xr:uid="{7424BAEA-505A-4593-9B8B-F7AEAAE989B2}"/>
    <cellStyle name="Separador de milhares 4 2 14 2 3" xfId="41852" xr:uid="{DABA06B1-F014-45F9-B36D-9A950FE6C0CB}"/>
    <cellStyle name="Separador de milhares 4 2 14 2 4" xfId="41853" xr:uid="{1A196F64-2FBF-412B-B93E-7EF26EB45033}"/>
    <cellStyle name="Separador de milhares 4 2 14 3" xfId="41854" xr:uid="{B95DF797-358E-481B-BEA5-50D02A93D9B8}"/>
    <cellStyle name="Separador de milhares 4 2 14 3 2" xfId="41855" xr:uid="{CF0D2890-624E-433E-8574-3C22D8C9B789}"/>
    <cellStyle name="Separador de milhares 4 2 14 3 3" xfId="41856" xr:uid="{6F74EFDA-B4D4-41AB-A99B-04876CD6CE3C}"/>
    <cellStyle name="Separador de milhares 4 2 14 3 4" xfId="41857" xr:uid="{4D8F1952-7366-45BA-8E53-102C4AE61EF4}"/>
    <cellStyle name="Separador de milhares 4 2 14 4" xfId="41858" xr:uid="{A2C87D20-B3A5-4DEF-B687-884CB9352FA6}"/>
    <cellStyle name="Separador de milhares 4 2 14 5" xfId="41859" xr:uid="{D0D47ECC-C6EC-471A-A469-DD1A5C0E4008}"/>
    <cellStyle name="Separador de milhares 4 2 14 6" xfId="41860" xr:uid="{8E525BFB-D880-41E5-966E-7278D285F5B8}"/>
    <cellStyle name="Separador de milhares 4 2 15" xfId="41861" xr:uid="{AA91651B-ABC7-4D73-AF9E-63D90004D906}"/>
    <cellStyle name="Separador de milhares 4 2 15 2" xfId="41862" xr:uid="{3C36685E-4D9F-43DA-AA19-05A7C41A8CEE}"/>
    <cellStyle name="Separador de milhares 4 2 15 2 2" xfId="41863" xr:uid="{CA9EA50D-92DC-4B51-BFD9-A9C20F4B1A05}"/>
    <cellStyle name="Separador de milhares 4 2 15 2 3" xfId="41864" xr:uid="{180FF9BD-B25F-45F2-AEC3-90F8C8541D7D}"/>
    <cellStyle name="Separador de milhares 4 2 15 2 4" xfId="41865" xr:uid="{AD693C21-284D-4E90-9363-FAEAEE762A48}"/>
    <cellStyle name="Separador de milhares 4 2 15 3" xfId="41866" xr:uid="{C52E4C46-5669-4E4F-82EE-C4737E711546}"/>
    <cellStyle name="Separador de milhares 4 2 15 3 2" xfId="41867" xr:uid="{3F67FCA7-6E6C-4EBE-9584-F9E424D14025}"/>
    <cellStyle name="Separador de milhares 4 2 15 3 3" xfId="41868" xr:uid="{C517E39A-F4B6-4DC9-9DCE-D1153103EB3C}"/>
    <cellStyle name="Separador de milhares 4 2 15 3 4" xfId="41869" xr:uid="{11A9A56E-D1C2-4AA8-B22B-58FF729742D8}"/>
    <cellStyle name="Separador de milhares 4 2 15 4" xfId="41870" xr:uid="{F59B609D-B415-4A11-BE9C-2A2228BBAA3B}"/>
    <cellStyle name="Separador de milhares 4 2 15 5" xfId="41871" xr:uid="{3263A5C0-E790-4E12-9039-9B01C49C1827}"/>
    <cellStyle name="Separador de milhares 4 2 15 6" xfId="41872" xr:uid="{1F6C0ACD-3059-4A40-A2B2-81CE0663423F}"/>
    <cellStyle name="Separador de milhares 4 2 16" xfId="41873" xr:uid="{668E6B0E-DBF9-42FC-8F90-02D7BC7B9770}"/>
    <cellStyle name="Separador de milhares 4 2 16 2" xfId="41874" xr:uid="{92B78D94-C10B-4BB3-A799-03C98C2816BF}"/>
    <cellStyle name="Separador de milhares 4 2 16 2 2" xfId="41875" xr:uid="{BBDB4EA1-E602-4C1B-9B64-31C620F33FE1}"/>
    <cellStyle name="Separador de milhares 4 2 16 2 3" xfId="41876" xr:uid="{4BA17514-520F-42E8-86DE-F6E811B0B893}"/>
    <cellStyle name="Separador de milhares 4 2 16 2 4" xfId="41877" xr:uid="{EEFD1342-4394-48AF-8FA0-ACD752080E84}"/>
    <cellStyle name="Separador de milhares 4 2 16 3" xfId="41878" xr:uid="{1E1A3B9C-2E36-4057-A1C5-25A8C40EF3E6}"/>
    <cellStyle name="Separador de milhares 4 2 16 3 2" xfId="41879" xr:uid="{83FE8F7C-D8C3-4582-9CCC-166155DD7BA0}"/>
    <cellStyle name="Separador de milhares 4 2 16 3 3" xfId="41880" xr:uid="{5AC85EB3-7FC6-4CBA-800A-DCFD25D2C905}"/>
    <cellStyle name="Separador de milhares 4 2 16 3 4" xfId="41881" xr:uid="{20B251CA-62E9-4EC8-857C-A5DF3EA9B5FD}"/>
    <cellStyle name="Separador de milhares 4 2 16 4" xfId="41882" xr:uid="{3F762822-7EAD-4A9A-9594-514ECBB5F075}"/>
    <cellStyle name="Separador de milhares 4 2 16 5" xfId="41883" xr:uid="{920DFC53-B6CD-430D-96BE-93D982AD25A3}"/>
    <cellStyle name="Separador de milhares 4 2 16 6" xfId="41884" xr:uid="{9C601528-D45E-40D3-8518-D526DFBB21DA}"/>
    <cellStyle name="Separador de milhares 4 2 17" xfId="41885" xr:uid="{3BD2E7F4-7CA7-405E-B5E1-B34618AE4F8E}"/>
    <cellStyle name="Separador de milhares 4 2 17 2" xfId="41886" xr:uid="{96290D99-B2A1-41FD-80AC-5799E4B99A78}"/>
    <cellStyle name="Separador de milhares 4 2 17 2 2" xfId="41887" xr:uid="{1EA48ED5-2C79-4D22-A2A1-D3B8623C77EA}"/>
    <cellStyle name="Separador de milhares 4 2 17 2 3" xfId="41888" xr:uid="{4D009A43-C400-43DB-9636-B43097C6D429}"/>
    <cellStyle name="Separador de milhares 4 2 17 2 4" xfId="41889" xr:uid="{E6F6B986-0D00-402E-9EDA-81E34EFC4C9B}"/>
    <cellStyle name="Separador de milhares 4 2 17 3" xfId="41890" xr:uid="{CA059C03-CA8F-46D9-9E35-62695CC26557}"/>
    <cellStyle name="Separador de milhares 4 2 17 3 2" xfId="41891" xr:uid="{FEB9FF59-96D9-4899-ACFE-5239BDE4E579}"/>
    <cellStyle name="Separador de milhares 4 2 17 3 3" xfId="41892" xr:uid="{78454D9D-FB90-497D-AF69-6892A4FD9907}"/>
    <cellStyle name="Separador de milhares 4 2 17 3 4" xfId="41893" xr:uid="{C32D5934-065F-4D15-A25F-5D8DC20322C6}"/>
    <cellStyle name="Separador de milhares 4 2 17 4" xfId="41894" xr:uid="{2CE360B9-6D32-4548-88B6-CC092D329A11}"/>
    <cellStyle name="Separador de milhares 4 2 17 5" xfId="41895" xr:uid="{D354E527-8146-4B0D-A731-9644AB59DA54}"/>
    <cellStyle name="Separador de milhares 4 2 17 6" xfId="41896" xr:uid="{3865F1EC-94BA-4E33-807F-EB1B4B5C2602}"/>
    <cellStyle name="Separador de milhares 4 2 18" xfId="41897" xr:uid="{3A1D2027-495D-4175-BB99-245663436433}"/>
    <cellStyle name="Separador de milhares 4 2 18 2" xfId="41898" xr:uid="{EBF03B57-25C8-4CB0-8C1F-38EDBC9154E5}"/>
    <cellStyle name="Separador de milhares 4 2 18 3" xfId="41899" xr:uid="{703C1594-6CEF-465C-8ED0-53C2C3599476}"/>
    <cellStyle name="Separador de milhares 4 2 18 4" xfId="41900" xr:uid="{07E5F3F9-B3C7-4104-87E4-3147C5661CE6}"/>
    <cellStyle name="Separador de milhares 4 2 19" xfId="41901" xr:uid="{CC4EA7F6-A5F1-44F4-A43A-5FC02B55EAB3}"/>
    <cellStyle name="Separador de milhares 4 2 19 2" xfId="41902" xr:uid="{F3EACA31-E56D-41FB-B811-815F22D28D42}"/>
    <cellStyle name="Separador de milhares 4 2 19 3" xfId="41903" xr:uid="{5D5EB6F8-55D0-4A0D-95AF-B010DA646D6E}"/>
    <cellStyle name="Separador de milhares 4 2 19 4" xfId="41904" xr:uid="{B20F9DEA-F873-41F0-A931-7C477C99AF7D}"/>
    <cellStyle name="Separador de milhares 4 2 2" xfId="41905" xr:uid="{D5088A49-3EED-43F5-8F13-8D339404E446}"/>
    <cellStyle name="Separador de milhares 4 2 2 2" xfId="41906" xr:uid="{52DB50D0-9E39-4F01-855A-FA5A20A293D9}"/>
    <cellStyle name="Separador de milhares 4 2 2 2 2" xfId="41907" xr:uid="{36ABDD87-3B73-4848-A7F4-F50B0D602465}"/>
    <cellStyle name="Separador de milhares 4 2 2 2 3" xfId="41908" xr:uid="{1BD18C3A-4504-4AC0-9932-0F69CD49E942}"/>
    <cellStyle name="Separador de milhares 4 2 2 2 4" xfId="41909" xr:uid="{05F924C3-5A30-47E0-B435-4CB274DF348F}"/>
    <cellStyle name="Separador de milhares 4 2 2 3" xfId="41910" xr:uid="{E033B300-7618-4682-AA73-EDDC72D8C2C0}"/>
    <cellStyle name="Separador de milhares 4 2 2 3 2" xfId="41911" xr:uid="{427E1782-4A8A-4632-8B7E-7F7E7589CCC3}"/>
    <cellStyle name="Separador de milhares 4 2 2 3 3" xfId="41912" xr:uid="{DA221897-BD91-47E0-BEDB-49EC4BB6AF46}"/>
    <cellStyle name="Separador de milhares 4 2 2 3 4" xfId="41913" xr:uid="{0614A250-06F5-452C-AB33-E822D464F149}"/>
    <cellStyle name="Separador de milhares 4 2 2 4" xfId="41914" xr:uid="{8F9E6CCF-D3FD-4230-AED6-F1711D5ED04C}"/>
    <cellStyle name="Separador de milhares 4 2 2 5" xfId="41915" xr:uid="{A9E0C07C-8B98-4EE3-8C0F-AB4790AD6199}"/>
    <cellStyle name="Separador de milhares 4 2 2 6" xfId="41916" xr:uid="{B49F63A6-AA08-41BD-A741-FE9790A267A5}"/>
    <cellStyle name="Separador de milhares 4 2 20" xfId="41917" xr:uid="{99004DEE-A1AF-4D50-A737-3D52DBA094B2}"/>
    <cellStyle name="Separador de milhares 4 2 20 2" xfId="41918" xr:uid="{6F48726F-26F8-4414-9CC1-8E200C98A3CB}"/>
    <cellStyle name="Separador de milhares 4 2 20 3" xfId="41919" xr:uid="{00F386EE-F156-4E07-82D9-394D7081030C}"/>
    <cellStyle name="Separador de milhares 4 2 20 4" xfId="41920" xr:uid="{8C710BEE-F325-4F72-8E30-5FF0AC8B2213}"/>
    <cellStyle name="Separador de milhares 4 2 21" xfId="41921" xr:uid="{3D47E732-BE26-4DEE-806B-4BAE8FDC15B9}"/>
    <cellStyle name="Separador de milhares 4 2 22" xfId="41922" xr:uid="{3FF72D90-2349-464E-92D0-95D9247A0EEA}"/>
    <cellStyle name="Separador de milhares 4 2 23" xfId="41923" xr:uid="{BCA9C49D-05CF-4E70-A514-810A6B2ACD60}"/>
    <cellStyle name="Separador de milhares 4 2 3" xfId="41924" xr:uid="{C249006D-23C1-489D-B096-8A0082834FFC}"/>
    <cellStyle name="Separador de milhares 4 2 3 2" xfId="41925" xr:uid="{C4686B84-5FB5-4E86-B163-B99D1798FC7C}"/>
    <cellStyle name="Separador de milhares 4 2 3 2 2" xfId="41926" xr:uid="{72BDB0D9-8F7C-4DBC-AAA9-2BF74C8E65A5}"/>
    <cellStyle name="Separador de milhares 4 2 3 2 3" xfId="41927" xr:uid="{0976A92E-5B45-4A8D-A2C5-A0B13B8E9446}"/>
    <cellStyle name="Separador de milhares 4 2 3 2 4" xfId="41928" xr:uid="{B7A4EB18-A8C7-4DAB-8DDE-7604B6015281}"/>
    <cellStyle name="Separador de milhares 4 2 3 3" xfId="41929" xr:uid="{CC858BFF-F519-4D7A-A4E4-E8A410E59480}"/>
    <cellStyle name="Separador de milhares 4 2 3 3 2" xfId="41930" xr:uid="{8D145BEF-FCD3-43D5-B382-FB4AB27E137D}"/>
    <cellStyle name="Separador de milhares 4 2 3 3 3" xfId="41931" xr:uid="{A1B79604-54FD-4CCD-BC36-606266E9182C}"/>
    <cellStyle name="Separador de milhares 4 2 3 3 4" xfId="41932" xr:uid="{49827597-D932-4820-B786-BD4742281E3D}"/>
    <cellStyle name="Separador de milhares 4 2 3 4" xfId="41933" xr:uid="{B4032B67-BA97-4DDC-9424-4217DA374FFF}"/>
    <cellStyle name="Separador de milhares 4 2 3 5" xfId="41934" xr:uid="{FE2D039F-7C19-4801-BE0A-24ECBD79A112}"/>
    <cellStyle name="Separador de milhares 4 2 3 6" xfId="41935" xr:uid="{8A3AB585-257E-4C2B-AA6B-69813FDD8AFD}"/>
    <cellStyle name="Separador de milhares 4 2 4" xfId="41936" xr:uid="{459D1154-7485-4FF1-98E3-93ABF26D63BA}"/>
    <cellStyle name="Separador de milhares 4 2 4 2" xfId="41937" xr:uid="{6872150F-C134-422F-B516-0D569F545F24}"/>
    <cellStyle name="Separador de milhares 4 2 4 2 2" xfId="41938" xr:uid="{3A11345E-593D-44A0-8962-ABA2350E2697}"/>
    <cellStyle name="Separador de milhares 4 2 4 2 3" xfId="41939" xr:uid="{7B133093-A2E4-409A-B854-E47079CFFA60}"/>
    <cellStyle name="Separador de milhares 4 2 4 2 4" xfId="41940" xr:uid="{D4E28EFB-7038-4B5B-BDB0-AD9588FF17EC}"/>
    <cellStyle name="Separador de milhares 4 2 4 3" xfId="41941" xr:uid="{5B960B02-F70B-4EE8-88CB-94D42154A11C}"/>
    <cellStyle name="Separador de milhares 4 2 4 3 2" xfId="41942" xr:uid="{FCC10819-F76B-43AA-A1A5-CB67341E6F54}"/>
    <cellStyle name="Separador de milhares 4 2 4 3 3" xfId="41943" xr:uid="{B9B8FCE1-AE66-4BD9-A0FF-D757C259DD0E}"/>
    <cellStyle name="Separador de milhares 4 2 4 3 4" xfId="41944" xr:uid="{85D5BC55-EA0F-4043-A5F0-1D0E6D222D8A}"/>
    <cellStyle name="Separador de milhares 4 2 4 4" xfId="41945" xr:uid="{F427561F-A179-474D-99CB-D70651533612}"/>
    <cellStyle name="Separador de milhares 4 2 4 5" xfId="41946" xr:uid="{609DB1BF-DC3C-4F5E-AE07-963329485EBF}"/>
    <cellStyle name="Separador de milhares 4 2 4 6" xfId="41947" xr:uid="{380A0ECA-6C8F-41E3-A4A6-9C16BF68FD6A}"/>
    <cellStyle name="Separador de milhares 4 2 5" xfId="41948" xr:uid="{133294B2-7EDF-4BF3-9B0D-2C0C584AFD4C}"/>
    <cellStyle name="Separador de milhares 4 2 5 2" xfId="41949" xr:uid="{E8672191-D3A9-43FF-B33E-D4965B27601E}"/>
    <cellStyle name="Separador de milhares 4 2 5 2 2" xfId="41950" xr:uid="{24E23C8C-329E-4B2A-A1DB-4715A382BD61}"/>
    <cellStyle name="Separador de milhares 4 2 5 2 3" xfId="41951" xr:uid="{9CCB66E0-5FF4-425C-8DC1-9E54846BAA1B}"/>
    <cellStyle name="Separador de milhares 4 2 5 2 4" xfId="41952" xr:uid="{A35843AB-B4C7-473F-9960-22DD2FA62F5B}"/>
    <cellStyle name="Separador de milhares 4 2 5 3" xfId="41953" xr:uid="{D52FB941-B458-478E-A014-69BC029B6ED7}"/>
    <cellStyle name="Separador de milhares 4 2 5 3 2" xfId="41954" xr:uid="{E101A45E-D585-4BBF-AEF3-D95044C580B1}"/>
    <cellStyle name="Separador de milhares 4 2 5 3 3" xfId="41955" xr:uid="{EFDC74CB-32DB-43DE-98D6-F7946A6581DF}"/>
    <cellStyle name="Separador de milhares 4 2 5 3 4" xfId="41956" xr:uid="{7C64ED35-C031-47F2-9F09-B35431E2AE25}"/>
    <cellStyle name="Separador de milhares 4 2 5 4" xfId="41957" xr:uid="{8C98B179-4773-4788-8896-A1D95C674C18}"/>
    <cellStyle name="Separador de milhares 4 2 5 5" xfId="41958" xr:uid="{0A071E22-6A94-40EC-9028-244C03BD255D}"/>
    <cellStyle name="Separador de milhares 4 2 5 6" xfId="41959" xr:uid="{3592E386-808B-47EC-ABB7-02E4A1BE61C2}"/>
    <cellStyle name="Separador de milhares 4 2 6" xfId="41960" xr:uid="{778B8F85-DE1C-4837-B8D9-FAC91BA16134}"/>
    <cellStyle name="Separador de milhares 4 2 6 2" xfId="41961" xr:uid="{AA782298-FB06-4F20-B42A-C8ACB5968564}"/>
    <cellStyle name="Separador de milhares 4 2 6 2 2" xfId="41962" xr:uid="{D74052C1-BE12-4A9C-B158-A03921793738}"/>
    <cellStyle name="Separador de milhares 4 2 6 2 3" xfId="41963" xr:uid="{4C28401C-0883-4CC7-AEC1-76AA54D862D7}"/>
    <cellStyle name="Separador de milhares 4 2 6 2 4" xfId="41964" xr:uid="{C46908C5-CC40-4DF5-B702-9188C828BD67}"/>
    <cellStyle name="Separador de milhares 4 2 6 3" xfId="41965" xr:uid="{18E46F32-5E6B-43A2-B9D1-B0A731E8695E}"/>
    <cellStyle name="Separador de milhares 4 2 6 3 2" xfId="41966" xr:uid="{85EFBEF4-13DD-42B3-8156-7B1E7D207E11}"/>
    <cellStyle name="Separador de milhares 4 2 6 3 3" xfId="41967" xr:uid="{6F7A7104-5ED7-427A-9B4F-843F885ECA0C}"/>
    <cellStyle name="Separador de milhares 4 2 6 3 4" xfId="41968" xr:uid="{F1D7CEF4-E3B2-4E11-85CA-034C3E284835}"/>
    <cellStyle name="Separador de milhares 4 2 6 4" xfId="41969" xr:uid="{21F11577-9279-46C2-A7A5-5463641C7C0A}"/>
    <cellStyle name="Separador de milhares 4 2 6 5" xfId="41970" xr:uid="{6F746649-DBF7-49F1-B7B9-95BA12B5D66B}"/>
    <cellStyle name="Separador de milhares 4 2 6 6" xfId="41971" xr:uid="{AFA2B88C-5268-40F6-BEC2-94C741BFF673}"/>
    <cellStyle name="Separador de milhares 4 2 7" xfId="41972" xr:uid="{A360481B-B922-45BE-A181-885F5AC596FA}"/>
    <cellStyle name="Separador de milhares 4 2 7 2" xfId="41973" xr:uid="{71B9733D-AE07-488B-A614-A12BC0CA557D}"/>
    <cellStyle name="Separador de milhares 4 2 7 2 2" xfId="41974" xr:uid="{B998CF78-3152-438C-B4E2-2A77DAB3ABF3}"/>
    <cellStyle name="Separador de milhares 4 2 7 2 3" xfId="41975" xr:uid="{87510366-C644-4873-B73C-CAC32A4A815F}"/>
    <cellStyle name="Separador de milhares 4 2 7 2 4" xfId="41976" xr:uid="{99F35530-274E-4786-8A56-2B7611573BAA}"/>
    <cellStyle name="Separador de milhares 4 2 7 3" xfId="41977" xr:uid="{05672613-DB4B-4633-8C2B-5BB84899F3DD}"/>
    <cellStyle name="Separador de milhares 4 2 7 3 2" xfId="41978" xr:uid="{9DE81DEF-4949-46AB-BA6E-A3BD569338AE}"/>
    <cellStyle name="Separador de milhares 4 2 7 3 3" xfId="41979" xr:uid="{BC4FF647-556F-4A61-A45E-A1D232AF3A9F}"/>
    <cellStyle name="Separador de milhares 4 2 7 3 4" xfId="41980" xr:uid="{EE0B6C93-4019-4386-BB8E-68E27C7B7E45}"/>
    <cellStyle name="Separador de milhares 4 2 7 4" xfId="41981" xr:uid="{B8A38E2A-4D40-4478-96EC-4EC27C9BE212}"/>
    <cellStyle name="Separador de milhares 4 2 7 5" xfId="41982" xr:uid="{531DD088-2BD6-45BF-8FE2-25F2A0F32AA4}"/>
    <cellStyle name="Separador de milhares 4 2 7 6" xfId="41983" xr:uid="{D2AE89CA-DEC4-443B-AB95-0DC2AC7B735B}"/>
    <cellStyle name="Separador de milhares 4 2 8" xfId="41984" xr:uid="{4D08CFB5-06D7-4766-A13F-7B8E038828C0}"/>
    <cellStyle name="Separador de milhares 4 2 8 2" xfId="41985" xr:uid="{133F3EE7-85E9-4B10-9325-749F96542905}"/>
    <cellStyle name="Separador de milhares 4 2 8 2 2" xfId="41986" xr:uid="{0F36A666-E30A-4F51-9713-AA26E45BB0A8}"/>
    <cellStyle name="Separador de milhares 4 2 8 2 3" xfId="41987" xr:uid="{DD6E52CC-6A35-41E2-96A4-8BAC9D9C891F}"/>
    <cellStyle name="Separador de milhares 4 2 8 2 4" xfId="41988" xr:uid="{8A78CF9B-0CA1-4451-88E8-10C9FFAD4BCF}"/>
    <cellStyle name="Separador de milhares 4 2 8 3" xfId="41989" xr:uid="{EED3F9A5-2DBB-48D5-B9BA-691D988E1DC9}"/>
    <cellStyle name="Separador de milhares 4 2 8 3 2" xfId="41990" xr:uid="{E59015FD-854D-4B98-A5B9-244E850A11DA}"/>
    <cellStyle name="Separador de milhares 4 2 8 3 3" xfId="41991" xr:uid="{88FD5E7F-2F06-4FEF-91BA-65102ABBD655}"/>
    <cellStyle name="Separador de milhares 4 2 8 3 4" xfId="41992" xr:uid="{5B248CE6-945B-4F4F-8ACB-1EC486594F3E}"/>
    <cellStyle name="Separador de milhares 4 2 8 4" xfId="41993" xr:uid="{2AF53BB0-4EF2-4A1B-AFB0-91E52D3E8C30}"/>
    <cellStyle name="Separador de milhares 4 2 8 5" xfId="41994" xr:uid="{5D608743-1D1A-47A8-9EB7-15FAF5645A09}"/>
    <cellStyle name="Separador de milhares 4 2 8 6" xfId="41995" xr:uid="{868C2BC6-0C50-4AF4-8683-7607A965EDB3}"/>
    <cellStyle name="Separador de milhares 4 2 9" xfId="41996" xr:uid="{9E0FAF81-A769-418F-9936-FF4CEC9B7819}"/>
    <cellStyle name="Separador de milhares 4 2 9 2" xfId="41997" xr:uid="{838FCD9C-483B-4588-B066-0F829CEBC607}"/>
    <cellStyle name="Separador de milhares 4 2 9 2 2" xfId="41998" xr:uid="{4E374CA0-F1F8-45CA-A73D-25E1DE695480}"/>
    <cellStyle name="Separador de milhares 4 2 9 2 3" xfId="41999" xr:uid="{491C4D60-9314-4466-84E6-3FC3F7CA2E2C}"/>
    <cellStyle name="Separador de milhares 4 2 9 2 4" xfId="42000" xr:uid="{7F9370F8-A6BD-449D-A6A3-8777FE11236C}"/>
    <cellStyle name="Separador de milhares 4 2 9 3" xfId="42001" xr:uid="{C48486C5-0FC8-4E1C-9CDE-17AC003FDC8C}"/>
    <cellStyle name="Separador de milhares 4 2 9 3 2" xfId="42002" xr:uid="{7B9A3872-0216-463F-B395-9DC0ACE412A2}"/>
    <cellStyle name="Separador de milhares 4 2 9 3 3" xfId="42003" xr:uid="{9B4021D4-1D3A-42C1-AB54-C12BBD66F6D2}"/>
    <cellStyle name="Separador de milhares 4 2 9 3 4" xfId="42004" xr:uid="{4ED2B9CB-447B-4C39-8FD3-B02CBD80E83C}"/>
    <cellStyle name="Separador de milhares 4 2 9 4" xfId="42005" xr:uid="{FD71E891-3567-4313-9400-43EF4A643F0D}"/>
    <cellStyle name="Separador de milhares 4 2 9 5" xfId="42006" xr:uid="{A5C3A8A9-B3EC-4509-9D65-51A6B380DF6F}"/>
    <cellStyle name="Separador de milhares 4 2 9 6" xfId="42007" xr:uid="{4D17D93C-2DCD-4441-A24F-ED6C362B534B}"/>
    <cellStyle name="Separador de milhares 4 20" xfId="42008" xr:uid="{A002F8C0-8732-451B-B0AA-2C24BC803171}"/>
    <cellStyle name="Separador de milhares 4 20 2" xfId="42009" xr:uid="{FF38CE3B-47C4-493A-887B-6A13E8C7E0EF}"/>
    <cellStyle name="Separador de milhares 4 20 3" xfId="42010" xr:uid="{EE160EBF-DEF6-4F59-8734-42E9FA7769EA}"/>
    <cellStyle name="Separador de milhares 4 20 4" xfId="42011" xr:uid="{41EDD941-42FC-4A2B-A02C-E3B923EA28D9}"/>
    <cellStyle name="Separador de milhares 4 21" xfId="42012" xr:uid="{9B80A471-4780-44DD-8383-BDCA805BCABC}"/>
    <cellStyle name="Separador de milhares 4 21 2" xfId="42013" xr:uid="{0B4E4A7C-7B0C-47D5-9152-872E6DFE1EBC}"/>
    <cellStyle name="Separador de milhares 4 21 3" xfId="42014" xr:uid="{1454FD28-E212-438F-B46A-70098B061B50}"/>
    <cellStyle name="Separador de milhares 4 21 4" xfId="42015" xr:uid="{ACA53FAC-4A1A-46B2-A295-186341E064E4}"/>
    <cellStyle name="Separador de milhares 4 22" xfId="42016" xr:uid="{B1447C9F-CB18-4C47-995E-2071CAC3ED06}"/>
    <cellStyle name="Separador de milhares 4 22 2" xfId="42017" xr:uid="{E2E533B9-5044-4B60-A0FA-F7C9C13BDC55}"/>
    <cellStyle name="Separador de milhares 4 22 3" xfId="42018" xr:uid="{6253C4F3-4CBF-4A86-9016-168F4F07F488}"/>
    <cellStyle name="Separador de milhares 4 22 4" xfId="42019" xr:uid="{B422D59E-F1FE-46EC-9B86-B95D3475AE9D}"/>
    <cellStyle name="Separador de milhares 4 23" xfId="42020" xr:uid="{D262977D-F2A3-4CEE-8BB3-3B1E8611CEEA}"/>
    <cellStyle name="Separador de milhares 4 24" xfId="42021" xr:uid="{D8864D1E-878C-4E45-8EB8-CA8D27D663AE}"/>
    <cellStyle name="Separador de milhares 4 25" xfId="42022" xr:uid="{2A2DB937-1F42-4AE5-8745-6362AF5170DA}"/>
    <cellStyle name="Separador de milhares 4 26" xfId="43860" xr:uid="{10AD0247-111B-4521-A7BA-2E737B030E32}"/>
    <cellStyle name="Separador de milhares 4 27" xfId="43861" xr:uid="{DA7D329E-4E0E-4334-BB6A-DCE9B0DEAA88}"/>
    <cellStyle name="Separador de milhares 4 28" xfId="43862" xr:uid="{D1464941-CA4E-45D3-8C3D-5A548FCD398E}"/>
    <cellStyle name="Separador de milhares 4 29" xfId="43863" xr:uid="{9F010569-A5AD-48AF-B755-4E90161CF5AF}"/>
    <cellStyle name="Separador de milhares 4 3" xfId="42023" xr:uid="{A3DB7642-D313-4B15-A64A-862BE0CB7981}"/>
    <cellStyle name="Separador de milhares 4 3 10" xfId="42024" xr:uid="{EF4DDB8A-0730-41B7-8DBB-DF8158DF3DF9}"/>
    <cellStyle name="Separador de milhares 4 3 10 2" xfId="42025" xr:uid="{7046AC2A-50A8-4A46-BAB4-E5F4B432763B}"/>
    <cellStyle name="Separador de milhares 4 3 10 2 2" xfId="42026" xr:uid="{1AC06F56-F4A4-4291-A953-5F49D5A0B95C}"/>
    <cellStyle name="Separador de milhares 4 3 10 2 3" xfId="42027" xr:uid="{54A86BEA-FD44-48AA-B7CF-79F64DACC3D7}"/>
    <cellStyle name="Separador de milhares 4 3 10 2 4" xfId="42028" xr:uid="{AC51BF5D-9A57-40A4-86D2-887BEE8C226E}"/>
    <cellStyle name="Separador de milhares 4 3 10 3" xfId="42029" xr:uid="{C89DA733-CD83-4D49-8847-0B40C39543BA}"/>
    <cellStyle name="Separador de milhares 4 3 10 3 2" xfId="42030" xr:uid="{9069B561-9163-4D30-9FA0-1618800EC633}"/>
    <cellStyle name="Separador de milhares 4 3 10 3 3" xfId="42031" xr:uid="{80D2039D-1661-4AA4-9D5A-553F18BA8CD1}"/>
    <cellStyle name="Separador de milhares 4 3 10 3 4" xfId="42032" xr:uid="{DE3A96C1-9A67-4BFA-BE93-6164AE606649}"/>
    <cellStyle name="Separador de milhares 4 3 10 4" xfId="42033" xr:uid="{46674799-9261-40F1-94D8-44238F1F1D95}"/>
    <cellStyle name="Separador de milhares 4 3 10 5" xfId="42034" xr:uid="{54F34030-15DB-4922-AD50-0FAAAA1DA56C}"/>
    <cellStyle name="Separador de milhares 4 3 10 6" xfId="42035" xr:uid="{34BC358E-B476-4800-BAC0-5E4254AC5C32}"/>
    <cellStyle name="Separador de milhares 4 3 11" xfId="42036" xr:uid="{5C11E424-E841-4785-98FD-0CD839076D87}"/>
    <cellStyle name="Separador de milhares 4 3 11 2" xfId="42037" xr:uid="{9683E3A3-1B9B-45BB-95EB-626EC135E2BB}"/>
    <cellStyle name="Separador de milhares 4 3 11 2 2" xfId="42038" xr:uid="{07EB336C-F8DB-43D3-8410-413333895F29}"/>
    <cellStyle name="Separador de milhares 4 3 11 2 3" xfId="42039" xr:uid="{A14021F8-0831-4BF5-A212-704FE4A40EFE}"/>
    <cellStyle name="Separador de milhares 4 3 11 2 4" xfId="42040" xr:uid="{05586346-F026-4C9E-9AE8-3445F91B125E}"/>
    <cellStyle name="Separador de milhares 4 3 11 3" xfId="42041" xr:uid="{D78F3083-CADE-421D-B851-51DB7FE24722}"/>
    <cellStyle name="Separador de milhares 4 3 11 3 2" xfId="42042" xr:uid="{D70690EF-E2CE-472E-8774-3A157DF401A3}"/>
    <cellStyle name="Separador de milhares 4 3 11 3 3" xfId="42043" xr:uid="{A86D6D09-27D8-49B9-A232-647A22F8EBDE}"/>
    <cellStyle name="Separador de milhares 4 3 11 3 4" xfId="42044" xr:uid="{90AC3646-48C7-4F41-8D84-81042F134E46}"/>
    <cellStyle name="Separador de milhares 4 3 11 4" xfId="42045" xr:uid="{3F4FBEC3-C37E-46F6-8330-82C2E2A55CBF}"/>
    <cellStyle name="Separador de milhares 4 3 11 5" xfId="42046" xr:uid="{D95D3DD5-DA6E-4139-943E-5E7A1009AA39}"/>
    <cellStyle name="Separador de milhares 4 3 11 6" xfId="42047" xr:uid="{22204149-61E7-43E9-821B-29C817FB9F86}"/>
    <cellStyle name="Separador de milhares 4 3 12" xfId="42048" xr:uid="{6B87123C-72BD-49E2-B626-501255008E58}"/>
    <cellStyle name="Separador de milhares 4 3 12 2" xfId="42049" xr:uid="{251B791A-CE8B-4D9B-9A61-D7B7595934AC}"/>
    <cellStyle name="Separador de milhares 4 3 12 2 2" xfId="42050" xr:uid="{9382C842-8A86-4EE9-BFDC-E93298C1741D}"/>
    <cellStyle name="Separador de milhares 4 3 12 2 3" xfId="42051" xr:uid="{8943FE49-5090-4DAA-BC81-DD31BF12E041}"/>
    <cellStyle name="Separador de milhares 4 3 12 2 4" xfId="42052" xr:uid="{1D8A14E4-D8A0-4FDB-B6F7-63F740EF9D25}"/>
    <cellStyle name="Separador de milhares 4 3 12 3" xfId="42053" xr:uid="{2EBE605B-997C-474D-8040-2086F7098768}"/>
    <cellStyle name="Separador de milhares 4 3 12 3 2" xfId="42054" xr:uid="{ADCE541D-76A3-4FD3-B8B6-A93CAE472DFD}"/>
    <cellStyle name="Separador de milhares 4 3 12 3 3" xfId="42055" xr:uid="{B3AD7F4F-3D1C-4CE0-98FC-0B861A64E95F}"/>
    <cellStyle name="Separador de milhares 4 3 12 3 4" xfId="42056" xr:uid="{31F83926-2053-41F9-A568-DBE08E848F0A}"/>
    <cellStyle name="Separador de milhares 4 3 12 4" xfId="42057" xr:uid="{C9B0447B-BB46-44EE-8ADB-A59D3A3DAA84}"/>
    <cellStyle name="Separador de milhares 4 3 12 5" xfId="42058" xr:uid="{0E077CD2-A662-4EF7-A58D-234715890BBE}"/>
    <cellStyle name="Separador de milhares 4 3 12 6" xfId="42059" xr:uid="{4C15D734-A49E-4D89-BF72-5038F95CE600}"/>
    <cellStyle name="Separador de milhares 4 3 13" xfId="42060" xr:uid="{705E8AEA-FB35-4475-89B0-9A05BD23A33A}"/>
    <cellStyle name="Separador de milhares 4 3 13 2" xfId="42061" xr:uid="{9C1CF2C9-4044-43DD-9BAA-851CC9400F46}"/>
    <cellStyle name="Separador de milhares 4 3 13 2 2" xfId="42062" xr:uid="{6F0961CE-BDF6-4701-807B-3E7E3E053566}"/>
    <cellStyle name="Separador de milhares 4 3 13 2 3" xfId="42063" xr:uid="{68EC9D0F-176D-467B-B309-DF9BBEE36D0E}"/>
    <cellStyle name="Separador de milhares 4 3 13 2 4" xfId="42064" xr:uid="{A3FAD6FA-B0A0-4EFC-B18A-00B18D83181D}"/>
    <cellStyle name="Separador de milhares 4 3 13 3" xfId="42065" xr:uid="{483146E5-29A1-4CD3-9C63-C9C66FA754A7}"/>
    <cellStyle name="Separador de milhares 4 3 13 3 2" xfId="42066" xr:uid="{4BD7FBCD-EE86-437E-BAFF-8C9CA87E8B72}"/>
    <cellStyle name="Separador de milhares 4 3 13 3 3" xfId="42067" xr:uid="{8C5C2716-6D86-40E0-A0B7-21C8F9D3779B}"/>
    <cellStyle name="Separador de milhares 4 3 13 3 4" xfId="42068" xr:uid="{CD7A278D-7D8D-4582-A13D-A21EA66E8FB2}"/>
    <cellStyle name="Separador de milhares 4 3 13 4" xfId="42069" xr:uid="{8A0B8A8E-1FA1-4D10-9ECB-E2D245C22FAC}"/>
    <cellStyle name="Separador de milhares 4 3 13 5" xfId="42070" xr:uid="{3544434F-0136-43F0-A751-4216440144FC}"/>
    <cellStyle name="Separador de milhares 4 3 13 6" xfId="42071" xr:uid="{F4902BC6-1AA6-4021-9F02-C1410803B801}"/>
    <cellStyle name="Separador de milhares 4 3 14" xfId="42072" xr:uid="{4F78B959-5139-4DF2-9B7D-40199C3313FE}"/>
    <cellStyle name="Separador de milhares 4 3 14 2" xfId="42073" xr:uid="{EEDC4F8A-1500-43A9-B3A7-FEA7DA286459}"/>
    <cellStyle name="Separador de milhares 4 3 14 2 2" xfId="42074" xr:uid="{84B3A54F-0C46-473C-990C-9EF0D965988C}"/>
    <cellStyle name="Separador de milhares 4 3 14 2 3" xfId="42075" xr:uid="{0EF54F35-6C72-4873-B71B-E239586E8A55}"/>
    <cellStyle name="Separador de milhares 4 3 14 2 4" xfId="42076" xr:uid="{D5026ABB-79B7-4123-9204-0FD4C84D5CF4}"/>
    <cellStyle name="Separador de milhares 4 3 14 3" xfId="42077" xr:uid="{2563F567-5D88-44F1-970E-F6409CB5A329}"/>
    <cellStyle name="Separador de milhares 4 3 14 3 2" xfId="42078" xr:uid="{5A76D978-1FCF-4A68-B136-CCB993BD8DEB}"/>
    <cellStyle name="Separador de milhares 4 3 14 3 3" xfId="42079" xr:uid="{4318FE09-A23F-4384-B4B0-F6858D6F9157}"/>
    <cellStyle name="Separador de milhares 4 3 14 3 4" xfId="42080" xr:uid="{962D8E2D-A461-49C9-8903-C3A1A91C75EA}"/>
    <cellStyle name="Separador de milhares 4 3 14 4" xfId="42081" xr:uid="{892FE5B1-4B0F-44A5-87F7-81843AF99463}"/>
    <cellStyle name="Separador de milhares 4 3 14 5" xfId="42082" xr:uid="{3997D78D-0970-4E4A-8C5B-FA3FE47F7ABA}"/>
    <cellStyle name="Separador de milhares 4 3 14 6" xfId="42083" xr:uid="{939B9B2E-D6D2-4B57-8C36-AF2F1D67A3AF}"/>
    <cellStyle name="Separador de milhares 4 3 15" xfId="42084" xr:uid="{B870170F-443B-426D-AE7E-12E6EF0CEB2D}"/>
    <cellStyle name="Separador de milhares 4 3 15 2" xfId="42085" xr:uid="{F0C1EF64-723C-4F67-928C-F6312CEA3715}"/>
    <cellStyle name="Separador de milhares 4 3 15 2 2" xfId="42086" xr:uid="{132B19A0-347E-4CFC-BC36-CCEF1EC55DB2}"/>
    <cellStyle name="Separador de milhares 4 3 15 2 3" xfId="42087" xr:uid="{261F7DE1-9F6D-41FD-828E-8FB92BB58539}"/>
    <cellStyle name="Separador de milhares 4 3 15 2 4" xfId="42088" xr:uid="{694FEC43-376C-49B4-A07E-2E7870211B55}"/>
    <cellStyle name="Separador de milhares 4 3 15 3" xfId="42089" xr:uid="{586AA8B3-F97B-4207-A926-7E17C9C57B33}"/>
    <cellStyle name="Separador de milhares 4 3 15 3 2" xfId="42090" xr:uid="{B2B623EC-EA75-46AC-8D19-A851B74A8D00}"/>
    <cellStyle name="Separador de milhares 4 3 15 3 3" xfId="42091" xr:uid="{72FCF8C2-4BDC-4E3F-BA40-D86418A07FE5}"/>
    <cellStyle name="Separador de milhares 4 3 15 3 4" xfId="42092" xr:uid="{102E8214-A41D-4FB4-B5E2-AA291026692E}"/>
    <cellStyle name="Separador de milhares 4 3 15 4" xfId="42093" xr:uid="{6AA6316E-28D5-4C3C-A402-DEA93D9CD0F7}"/>
    <cellStyle name="Separador de milhares 4 3 15 5" xfId="42094" xr:uid="{8DE70CA3-2C05-45F2-8DE0-E6D09FAA7147}"/>
    <cellStyle name="Separador de milhares 4 3 15 6" xfId="42095" xr:uid="{0EDBF4F2-94E4-4D95-92BB-A5BECD462F2A}"/>
    <cellStyle name="Separador de milhares 4 3 16" xfId="42096" xr:uid="{D66FBA0B-EA47-4450-AFC0-700B7D9920D4}"/>
    <cellStyle name="Separador de milhares 4 3 16 2" xfId="42097" xr:uid="{9782854D-9C98-4968-BA9A-9CE52E7D0446}"/>
    <cellStyle name="Separador de milhares 4 3 16 2 2" xfId="42098" xr:uid="{91DB438B-62F7-4AF6-93D6-F62345C0A30F}"/>
    <cellStyle name="Separador de milhares 4 3 16 2 3" xfId="42099" xr:uid="{04D7887F-5B77-489F-97DB-570C360D5F25}"/>
    <cellStyle name="Separador de milhares 4 3 16 2 4" xfId="42100" xr:uid="{AA463694-4BEB-4FDE-8BAC-0791FBCE1B0E}"/>
    <cellStyle name="Separador de milhares 4 3 16 3" xfId="42101" xr:uid="{47E6E0C7-565A-447E-BD20-AED3E5CFD4DB}"/>
    <cellStyle name="Separador de milhares 4 3 16 3 2" xfId="42102" xr:uid="{245FA982-2BE1-42FB-98C8-C88581B163D1}"/>
    <cellStyle name="Separador de milhares 4 3 16 3 3" xfId="42103" xr:uid="{FDE994CB-5E5F-405A-B4A6-0F5145E2F63E}"/>
    <cellStyle name="Separador de milhares 4 3 16 3 4" xfId="42104" xr:uid="{4E3C4E4D-95D3-43E7-9A2F-3967A00C37D7}"/>
    <cellStyle name="Separador de milhares 4 3 16 4" xfId="42105" xr:uid="{F0062FB0-D4DF-4BEB-82ED-275F0CFBA1DC}"/>
    <cellStyle name="Separador de milhares 4 3 16 5" xfId="42106" xr:uid="{64B411D1-E436-4BB8-92BD-7E78EBBD2219}"/>
    <cellStyle name="Separador de milhares 4 3 16 6" xfId="42107" xr:uid="{A3AC06E9-DD01-4F13-A1A6-CFC11245FA71}"/>
    <cellStyle name="Separador de milhares 4 3 17" xfId="42108" xr:uid="{27F7A2C0-8614-4EE7-847E-D29CC3261C9A}"/>
    <cellStyle name="Separador de milhares 4 3 17 2" xfId="42109" xr:uid="{89E88DAE-38AB-4313-8360-31AE0FFB2453}"/>
    <cellStyle name="Separador de milhares 4 3 17 2 2" xfId="42110" xr:uid="{92F0649D-2234-4C5E-87F1-7EEDFA6989F6}"/>
    <cellStyle name="Separador de milhares 4 3 17 2 3" xfId="42111" xr:uid="{64823734-80BA-4D67-A7BE-11AE949B1E4A}"/>
    <cellStyle name="Separador de milhares 4 3 17 2 4" xfId="42112" xr:uid="{CD175C44-2EF1-4761-AEE7-716EAA43AB11}"/>
    <cellStyle name="Separador de milhares 4 3 17 3" xfId="42113" xr:uid="{29BD055E-AB39-4808-9CAC-C9A0D8A81B1E}"/>
    <cellStyle name="Separador de milhares 4 3 17 3 2" xfId="42114" xr:uid="{86784706-B9EE-4AD9-8712-9ACDA99334A3}"/>
    <cellStyle name="Separador de milhares 4 3 17 3 3" xfId="42115" xr:uid="{DECDB1EC-0CC4-4B41-B227-D913E86785CF}"/>
    <cellStyle name="Separador de milhares 4 3 17 3 4" xfId="42116" xr:uid="{003D9182-F9DC-4B1E-AFEE-2400205795D7}"/>
    <cellStyle name="Separador de milhares 4 3 17 4" xfId="42117" xr:uid="{77C35953-A712-4731-A449-8A1A3E89966D}"/>
    <cellStyle name="Separador de milhares 4 3 17 5" xfId="42118" xr:uid="{C3B4743E-1471-440F-8E16-268E912C5732}"/>
    <cellStyle name="Separador de milhares 4 3 17 6" xfId="42119" xr:uid="{0269A334-0DB1-4CB5-B364-7E1233124B90}"/>
    <cellStyle name="Separador de milhares 4 3 18" xfId="42120" xr:uid="{82669EBB-99AD-4010-990C-C3F832984A41}"/>
    <cellStyle name="Separador de milhares 4 3 18 2" xfId="42121" xr:uid="{EA0FB504-BA76-44BA-B46A-0EA9E1BA7146}"/>
    <cellStyle name="Separador de milhares 4 3 18 3" xfId="42122" xr:uid="{B7A01261-C90F-4B73-A296-11BD93FD64D3}"/>
    <cellStyle name="Separador de milhares 4 3 18 4" xfId="42123" xr:uid="{8D9E07C7-D31A-4BCB-B26C-F18720A01190}"/>
    <cellStyle name="Separador de milhares 4 3 19" xfId="42124" xr:uid="{05D70237-58E9-40B4-8F72-0B04C8166772}"/>
    <cellStyle name="Separador de milhares 4 3 19 2" xfId="42125" xr:uid="{16E4D92F-C43F-420D-8B5F-A72BCD180113}"/>
    <cellStyle name="Separador de milhares 4 3 19 3" xfId="42126" xr:uid="{2300C748-9DFC-4C00-B386-A60EF3E838C6}"/>
    <cellStyle name="Separador de milhares 4 3 19 4" xfId="42127" xr:uid="{ACDB06EA-2B74-4ABE-8EC9-8BB00183F45F}"/>
    <cellStyle name="Separador de milhares 4 3 2" xfId="42128" xr:uid="{929C5D2D-5642-4850-B3F1-5A7C2AB340B0}"/>
    <cellStyle name="Separador de milhares 4 3 2 2" xfId="42129" xr:uid="{70A37CDA-46EF-411F-9779-8C300C80CD79}"/>
    <cellStyle name="Separador de milhares 4 3 2 2 2" xfId="42130" xr:uid="{3B1AE45D-80A9-4743-8ADB-07EF0A11D342}"/>
    <cellStyle name="Separador de milhares 4 3 2 2 3" xfId="42131" xr:uid="{2E724215-C8EF-448A-A462-858F10F72BE0}"/>
    <cellStyle name="Separador de milhares 4 3 2 2 4" xfId="42132" xr:uid="{6AD1E968-E9F6-4D90-BE73-876E7AF03A0E}"/>
    <cellStyle name="Separador de milhares 4 3 2 3" xfId="42133" xr:uid="{55F18A45-7C3B-46A7-ADD9-EC80166BB636}"/>
    <cellStyle name="Separador de milhares 4 3 2 3 2" xfId="42134" xr:uid="{77165085-0F3C-4BBB-AC54-DFDBB510F7DF}"/>
    <cellStyle name="Separador de milhares 4 3 2 3 3" xfId="42135" xr:uid="{DB04CD90-629D-4F44-9C99-614C0F38C1A8}"/>
    <cellStyle name="Separador de milhares 4 3 2 3 4" xfId="42136" xr:uid="{A60F801B-A36C-471B-A8B3-AFC7120E2CFF}"/>
    <cellStyle name="Separador de milhares 4 3 2 4" xfId="42137" xr:uid="{F6367A39-448E-46CF-8912-FF87D7F5FF62}"/>
    <cellStyle name="Separador de milhares 4 3 2 5" xfId="42138" xr:uid="{F81621DA-63E8-4C05-BF12-5CEB86BAE10C}"/>
    <cellStyle name="Separador de milhares 4 3 2 6" xfId="42139" xr:uid="{7688FB08-2C72-4A38-89AB-96C5864E1EC8}"/>
    <cellStyle name="Separador de milhares 4 3 20" xfId="42140" xr:uid="{6AA1A243-68A8-48F5-A765-EB5FC7F95305}"/>
    <cellStyle name="Separador de milhares 4 3 20 2" xfId="42141" xr:uid="{1B349DCA-0C6B-496C-8A99-AC2FE10B2440}"/>
    <cellStyle name="Separador de milhares 4 3 20 3" xfId="42142" xr:uid="{A1B9B165-3EC2-4708-87DF-4543B2043D7D}"/>
    <cellStyle name="Separador de milhares 4 3 20 4" xfId="42143" xr:uid="{52E52286-49E7-4627-8459-B284FD2A5012}"/>
    <cellStyle name="Separador de milhares 4 3 21" xfId="42144" xr:uid="{E88971B4-1876-4A40-9FA5-F554AC78CD0C}"/>
    <cellStyle name="Separador de milhares 4 3 22" xfId="42145" xr:uid="{CBD3544E-C375-4E3E-8A75-77C694CD30E0}"/>
    <cellStyle name="Separador de milhares 4 3 23" xfId="42146" xr:uid="{222EE900-D23D-40E5-98AD-187988AE94FB}"/>
    <cellStyle name="Separador de milhares 4 3 3" xfId="42147" xr:uid="{AF68C795-7690-4F93-B868-1D57ED68F9DA}"/>
    <cellStyle name="Separador de milhares 4 3 3 2" xfId="42148" xr:uid="{AE797B6F-D2E7-4C15-9640-95A2BE574700}"/>
    <cellStyle name="Separador de milhares 4 3 3 2 2" xfId="42149" xr:uid="{DEC3FFFD-2B5E-406E-A31B-160C40A3E4B2}"/>
    <cellStyle name="Separador de milhares 4 3 3 2 3" xfId="42150" xr:uid="{768CF366-30FC-487A-B131-3E7C29C1A695}"/>
    <cellStyle name="Separador de milhares 4 3 3 2 4" xfId="42151" xr:uid="{8C97E069-DA63-4357-996B-761FFD0D5E16}"/>
    <cellStyle name="Separador de milhares 4 3 3 3" xfId="42152" xr:uid="{63CB248E-6F41-4DC3-A18E-2BD1E0FFA1E6}"/>
    <cellStyle name="Separador de milhares 4 3 3 3 2" xfId="42153" xr:uid="{64EE2B73-A40F-46C3-BCA2-C77006A0B617}"/>
    <cellStyle name="Separador de milhares 4 3 3 3 3" xfId="42154" xr:uid="{5671D0E4-A942-467C-9ABD-71A31725CB60}"/>
    <cellStyle name="Separador de milhares 4 3 3 3 4" xfId="42155" xr:uid="{68418573-7FCF-4D5E-BA1D-301C127581B4}"/>
    <cellStyle name="Separador de milhares 4 3 3 4" xfId="42156" xr:uid="{83371770-4A0A-4195-9B94-526313F00F99}"/>
    <cellStyle name="Separador de milhares 4 3 3 5" xfId="42157" xr:uid="{E068E89A-F47E-473E-BCED-07C0576C90B4}"/>
    <cellStyle name="Separador de milhares 4 3 3 6" xfId="42158" xr:uid="{65A5D6B6-41D9-44E8-B79A-82D6110FE076}"/>
    <cellStyle name="Separador de milhares 4 3 4" xfId="42159" xr:uid="{45459493-FE0C-4237-BF42-D2A2DF2FE002}"/>
    <cellStyle name="Separador de milhares 4 3 4 2" xfId="42160" xr:uid="{F19C0C31-93CE-40BE-991B-92DB6CA3CFDD}"/>
    <cellStyle name="Separador de milhares 4 3 4 2 2" xfId="42161" xr:uid="{14B665BC-3F87-44DA-8508-5D668D5A5A46}"/>
    <cellStyle name="Separador de milhares 4 3 4 2 3" xfId="42162" xr:uid="{7077F126-F5CD-47F9-82E6-FABBF66C864C}"/>
    <cellStyle name="Separador de milhares 4 3 4 2 4" xfId="42163" xr:uid="{DDCB9B36-D608-4921-8A27-05CACC5D558D}"/>
    <cellStyle name="Separador de milhares 4 3 4 3" xfId="42164" xr:uid="{022C1943-F051-4C0B-9550-A41EAEE678A0}"/>
    <cellStyle name="Separador de milhares 4 3 4 3 2" xfId="42165" xr:uid="{8366EBC6-17BA-4AA0-AB25-9D5B4CF05F1E}"/>
    <cellStyle name="Separador de milhares 4 3 4 3 3" xfId="42166" xr:uid="{DE1E0B07-5556-4742-A258-D30AFDCA9BC6}"/>
    <cellStyle name="Separador de milhares 4 3 4 3 4" xfId="42167" xr:uid="{389CF934-3D69-4EC5-8D7F-A5844B59D9FE}"/>
    <cellStyle name="Separador de milhares 4 3 4 4" xfId="42168" xr:uid="{B169D8A6-8EF7-4E91-A62E-4F45662A1528}"/>
    <cellStyle name="Separador de milhares 4 3 4 5" xfId="42169" xr:uid="{905AF0A6-8D61-477A-9E40-80579EA6B2EE}"/>
    <cellStyle name="Separador de milhares 4 3 4 6" xfId="42170" xr:uid="{8DF50B9F-9EF1-4C8F-AA37-5417A6BFD5A0}"/>
    <cellStyle name="Separador de milhares 4 3 5" xfId="42171" xr:uid="{BEB3DFD1-1AEA-4802-877A-F658C9621759}"/>
    <cellStyle name="Separador de milhares 4 3 5 2" xfId="42172" xr:uid="{3A3859E3-609B-4443-99AD-8ED0EA720408}"/>
    <cellStyle name="Separador de milhares 4 3 5 2 2" xfId="42173" xr:uid="{F3FAA2D1-5C23-46D2-AD5A-E32EC044ACE9}"/>
    <cellStyle name="Separador de milhares 4 3 5 2 3" xfId="42174" xr:uid="{87D41FCE-8004-40A9-981A-0F24DE4B51DD}"/>
    <cellStyle name="Separador de milhares 4 3 5 2 4" xfId="42175" xr:uid="{43DCFC7A-F743-462C-8AA2-461EDDC451B2}"/>
    <cellStyle name="Separador de milhares 4 3 5 3" xfId="42176" xr:uid="{0A8B4C8B-ACC9-4D5A-B256-0CE2AB40D5F5}"/>
    <cellStyle name="Separador de milhares 4 3 5 3 2" xfId="42177" xr:uid="{D3109265-5EBD-463D-BA9C-A2BAE2CF5010}"/>
    <cellStyle name="Separador de milhares 4 3 5 3 3" xfId="42178" xr:uid="{8CF791C0-7CB1-4EB9-BB9B-0E22A0C6DA9A}"/>
    <cellStyle name="Separador de milhares 4 3 5 3 4" xfId="42179" xr:uid="{14843FF3-4B0A-4818-855F-2DB82F9E6BA3}"/>
    <cellStyle name="Separador de milhares 4 3 5 4" xfId="42180" xr:uid="{54037CF9-B782-4F61-A132-31F3259BF96E}"/>
    <cellStyle name="Separador de milhares 4 3 5 5" xfId="42181" xr:uid="{24237F09-5AF0-452D-9F17-B26114E03CF0}"/>
    <cellStyle name="Separador de milhares 4 3 5 6" xfId="42182" xr:uid="{6C0E2699-F1C1-4065-949A-89DB0BD248EE}"/>
    <cellStyle name="Separador de milhares 4 3 6" xfId="42183" xr:uid="{3C95ECCD-65F8-4D2E-904C-3220418725F2}"/>
    <cellStyle name="Separador de milhares 4 3 6 2" xfId="42184" xr:uid="{41739BC1-63BD-4CB8-9120-8B1286713A0D}"/>
    <cellStyle name="Separador de milhares 4 3 6 2 2" xfId="42185" xr:uid="{E12E4369-7C42-4E22-8553-38D8C648CDDD}"/>
    <cellStyle name="Separador de milhares 4 3 6 2 3" xfId="42186" xr:uid="{EA1A8C1C-83DA-4989-920A-E47A616CD129}"/>
    <cellStyle name="Separador de milhares 4 3 6 2 4" xfId="42187" xr:uid="{B74E00DF-A02D-4CA4-8095-3287C451B5BE}"/>
    <cellStyle name="Separador de milhares 4 3 6 3" xfId="42188" xr:uid="{8FD51A2D-A439-42D1-9F06-4E668E27145E}"/>
    <cellStyle name="Separador de milhares 4 3 6 3 2" xfId="42189" xr:uid="{CFB59B0C-671B-4372-96E4-9E78A22653B5}"/>
    <cellStyle name="Separador de milhares 4 3 6 3 3" xfId="42190" xr:uid="{F534E3AF-666E-4799-A62D-F5E8C1050917}"/>
    <cellStyle name="Separador de milhares 4 3 6 3 4" xfId="42191" xr:uid="{BBD9DE2C-93C3-4356-9701-1E8C6F37F03A}"/>
    <cellStyle name="Separador de milhares 4 3 6 4" xfId="42192" xr:uid="{4E2FECB6-5866-4731-9ACE-34A1A62808A7}"/>
    <cellStyle name="Separador de milhares 4 3 6 5" xfId="42193" xr:uid="{C23B82C7-7C55-42C1-8E8E-2F9DCDADB09A}"/>
    <cellStyle name="Separador de milhares 4 3 6 6" xfId="42194" xr:uid="{BF5FB9D7-3916-4EB8-BB0D-25156313FB76}"/>
    <cellStyle name="Separador de milhares 4 3 7" xfId="42195" xr:uid="{4552B10E-5741-4B05-B003-C3EE3D66883F}"/>
    <cellStyle name="Separador de milhares 4 3 7 2" xfId="42196" xr:uid="{54FF5EC9-77AF-4127-99C4-4979DBA98109}"/>
    <cellStyle name="Separador de milhares 4 3 7 2 2" xfId="42197" xr:uid="{AA99EACD-19F0-4A2F-84F6-F38E9C080D87}"/>
    <cellStyle name="Separador de milhares 4 3 7 2 3" xfId="42198" xr:uid="{527AF61C-6DE5-41D6-A566-A1963C2C8284}"/>
    <cellStyle name="Separador de milhares 4 3 7 2 4" xfId="42199" xr:uid="{F19991C8-AD83-4E1C-9F5E-ECC6FBAE4C06}"/>
    <cellStyle name="Separador de milhares 4 3 7 3" xfId="42200" xr:uid="{9C8FBBFF-9CE9-4434-BF60-8DA45F750E72}"/>
    <cellStyle name="Separador de milhares 4 3 7 3 2" xfId="42201" xr:uid="{1BAD9C3A-BDE1-427F-BE2B-8B7635A8DA46}"/>
    <cellStyle name="Separador de milhares 4 3 7 3 3" xfId="42202" xr:uid="{257EA8E6-10C6-449C-BAF9-35E33170A371}"/>
    <cellStyle name="Separador de milhares 4 3 7 3 4" xfId="42203" xr:uid="{3C6C9E42-30E4-474A-902A-AD706844F861}"/>
    <cellStyle name="Separador de milhares 4 3 7 4" xfId="42204" xr:uid="{9E44AE0B-20DE-4A65-A899-3E3211F72472}"/>
    <cellStyle name="Separador de milhares 4 3 7 5" xfId="42205" xr:uid="{C92833F3-205D-4687-A5E3-E8CC8DC14CF8}"/>
    <cellStyle name="Separador de milhares 4 3 7 6" xfId="42206" xr:uid="{00262D4D-7B30-4605-8C66-44F4AE908D3A}"/>
    <cellStyle name="Separador de milhares 4 3 8" xfId="42207" xr:uid="{76527314-CA6E-4264-A1B3-FB2D542B6CCF}"/>
    <cellStyle name="Separador de milhares 4 3 8 2" xfId="42208" xr:uid="{3F653542-9D8C-4D19-8146-B12606837A14}"/>
    <cellStyle name="Separador de milhares 4 3 8 2 2" xfId="42209" xr:uid="{D41EE587-79A9-40FD-A7B9-025D41D98B72}"/>
    <cellStyle name="Separador de milhares 4 3 8 2 3" xfId="42210" xr:uid="{6EBAADC1-4DDD-42BD-85CB-FD50A0525FDE}"/>
    <cellStyle name="Separador de milhares 4 3 8 2 4" xfId="42211" xr:uid="{7C670D9B-E663-4D26-8EE9-3116893E667B}"/>
    <cellStyle name="Separador de milhares 4 3 8 3" xfId="42212" xr:uid="{A681D64F-D0D3-4D10-85A9-D35C5ECC9C38}"/>
    <cellStyle name="Separador de milhares 4 3 8 3 2" xfId="42213" xr:uid="{AE955E6B-0CAF-46B2-9DB0-F7C704D193A4}"/>
    <cellStyle name="Separador de milhares 4 3 8 3 3" xfId="42214" xr:uid="{279FE2B2-F973-47E1-990F-0F0E435526A7}"/>
    <cellStyle name="Separador de milhares 4 3 8 3 4" xfId="42215" xr:uid="{A42061FD-5296-4BC2-ADBB-9D9B079A82A3}"/>
    <cellStyle name="Separador de milhares 4 3 8 4" xfId="42216" xr:uid="{DCA0263A-EACF-4137-A2F8-B4632EE89537}"/>
    <cellStyle name="Separador de milhares 4 3 8 5" xfId="42217" xr:uid="{0E2FDB3F-1F17-4278-81EE-D3351D4B39A0}"/>
    <cellStyle name="Separador de milhares 4 3 8 6" xfId="42218" xr:uid="{80980169-BFA3-4541-99FA-DAC14DA47D6B}"/>
    <cellStyle name="Separador de milhares 4 3 9" xfId="42219" xr:uid="{856806AB-86F3-4CF7-839F-17296F2A86F4}"/>
    <cellStyle name="Separador de milhares 4 3 9 2" xfId="42220" xr:uid="{C7463F42-840D-44FF-B0E6-57242656E253}"/>
    <cellStyle name="Separador de milhares 4 3 9 2 2" xfId="42221" xr:uid="{3A6DB4C9-E75D-43E6-A833-F41C15921C91}"/>
    <cellStyle name="Separador de milhares 4 3 9 2 3" xfId="42222" xr:uid="{65D52F07-1CD0-4A9E-837C-16DD1DD938C6}"/>
    <cellStyle name="Separador de milhares 4 3 9 2 4" xfId="42223" xr:uid="{081E63D6-EA19-4639-8319-FFC5459497E8}"/>
    <cellStyle name="Separador de milhares 4 3 9 3" xfId="42224" xr:uid="{FCB5A4AA-5D80-4084-8247-ACECA66BDA66}"/>
    <cellStyle name="Separador de milhares 4 3 9 3 2" xfId="42225" xr:uid="{8FD1A979-3BC5-4478-944F-AFD74038DB53}"/>
    <cellStyle name="Separador de milhares 4 3 9 3 3" xfId="42226" xr:uid="{67C456CB-72B3-457C-AF14-ADF226026BA1}"/>
    <cellStyle name="Separador de milhares 4 3 9 3 4" xfId="42227" xr:uid="{13194F47-B555-498A-B2C4-7514110221BA}"/>
    <cellStyle name="Separador de milhares 4 3 9 4" xfId="42228" xr:uid="{4EACC2C2-2806-44F6-8F85-B4B5D24BF717}"/>
    <cellStyle name="Separador de milhares 4 3 9 5" xfId="42229" xr:uid="{9FDF2149-1D90-45AD-B130-D63786872510}"/>
    <cellStyle name="Separador de milhares 4 3 9 6" xfId="42230" xr:uid="{098F96E9-1062-46F5-87B7-6EE6DD6B0B97}"/>
    <cellStyle name="Separador de milhares 4 4" xfId="42231" xr:uid="{D8BE7AD1-4A1D-463F-86A7-C1A20A84C3B1}"/>
    <cellStyle name="Separador de milhares 4 4 2" xfId="42232" xr:uid="{330F731B-10AA-4EF7-A40A-ABA02DD0E8C1}"/>
    <cellStyle name="Separador de milhares 4 4 2 2" xfId="42233" xr:uid="{3BCC17DE-17EA-4911-AC50-654F64414BA9}"/>
    <cellStyle name="Separador de milhares 4 4 2 3" xfId="42234" xr:uid="{10FF06FB-7615-4394-AA7A-A4C282F7BEBB}"/>
    <cellStyle name="Separador de milhares 4 4 2 4" xfId="42235" xr:uid="{2016C89F-67BB-4D28-B075-A67B0189BFCB}"/>
    <cellStyle name="Separador de milhares 4 4 3" xfId="42236" xr:uid="{CD817F9C-460E-4A7C-B3DC-CD7D585E5E38}"/>
    <cellStyle name="Separador de milhares 4 4 3 2" xfId="42237" xr:uid="{0E573317-6C77-43C4-BF0F-7DA944E39DD8}"/>
    <cellStyle name="Separador de milhares 4 4 3 3" xfId="42238" xr:uid="{BA8705D1-5F1F-4DA5-90D3-F5666E629206}"/>
    <cellStyle name="Separador de milhares 4 4 3 4" xfId="42239" xr:uid="{4E8B7070-FCDB-4502-B498-B3A5B05648FC}"/>
    <cellStyle name="Separador de milhares 4 4 4" xfId="42240" xr:uid="{900972C5-8A8E-4525-ACF0-7EE4F83A7AD6}"/>
    <cellStyle name="Separador de milhares 4 4 5" xfId="42241" xr:uid="{01890AEB-B219-47AC-84E3-4851A9FD9756}"/>
    <cellStyle name="Separador de milhares 4 4 6" xfId="42242" xr:uid="{1B739BA9-6C5E-4106-A043-0A9558C9DDDE}"/>
    <cellStyle name="Separador de milhares 4 5" xfId="42243" xr:uid="{8D1A4F5E-8472-40E9-87C1-A1A2D5FB9C12}"/>
    <cellStyle name="Separador de milhares 4 5 2" xfId="42244" xr:uid="{4FE15D8D-5037-46FC-8253-D8D8484B81F3}"/>
    <cellStyle name="Separador de milhares 4 5 2 2" xfId="42245" xr:uid="{F15FD8AD-567E-49E5-AFE7-F38357D54E40}"/>
    <cellStyle name="Separador de milhares 4 5 2 3" xfId="42246" xr:uid="{ED3AF3C0-1C4E-439B-91BD-5FE4E1EF53C0}"/>
    <cellStyle name="Separador de milhares 4 5 2 4" xfId="42247" xr:uid="{5E6F0E77-B95B-46C2-B5C9-C6E6D942FCE5}"/>
    <cellStyle name="Separador de milhares 4 5 3" xfId="42248" xr:uid="{E242ACE9-AAFF-4C45-825A-10C345D8BF25}"/>
    <cellStyle name="Separador de milhares 4 5 3 2" xfId="42249" xr:uid="{5BA4E920-B1DA-407F-A80D-F3B45C5C4650}"/>
    <cellStyle name="Separador de milhares 4 5 3 3" xfId="42250" xr:uid="{C260EC28-F1CB-419B-BB4B-016C102CDA64}"/>
    <cellStyle name="Separador de milhares 4 5 3 4" xfId="42251" xr:uid="{C63FC94A-E7D4-480C-A273-DAFC712DC001}"/>
    <cellStyle name="Separador de milhares 4 5 4" xfId="42252" xr:uid="{28F28B88-0288-4655-9576-4B37B9BAE514}"/>
    <cellStyle name="Separador de milhares 4 5 5" xfId="42253" xr:uid="{83BD5E83-69AD-484C-9A70-E771A8497769}"/>
    <cellStyle name="Separador de milhares 4 5 6" xfId="42254" xr:uid="{517A76EF-C97F-4829-B66B-6BC08B14F14F}"/>
    <cellStyle name="Separador de milhares 4 6" xfId="42255" xr:uid="{52D075CE-288C-481E-8580-49C2ACD2BADF}"/>
    <cellStyle name="Separador de milhares 4 6 2" xfId="42256" xr:uid="{5C6A6F8A-C042-49AB-A046-C914BA952225}"/>
    <cellStyle name="Separador de milhares 4 6 2 2" xfId="42257" xr:uid="{6EAE814D-348B-455C-99DF-6EFC09D612A9}"/>
    <cellStyle name="Separador de milhares 4 6 2 3" xfId="42258" xr:uid="{ACDF415A-2797-424C-A4B4-85279885CEF3}"/>
    <cellStyle name="Separador de milhares 4 6 2 4" xfId="42259" xr:uid="{0F842DE0-CB61-44E5-8BF3-E8DE223F7C82}"/>
    <cellStyle name="Separador de milhares 4 6 3" xfId="42260" xr:uid="{C8C58644-B9AC-4AD2-B27F-CEA351A016C6}"/>
    <cellStyle name="Separador de milhares 4 6 3 2" xfId="42261" xr:uid="{91884605-0232-4D6E-994C-0EBDAAEA29F1}"/>
    <cellStyle name="Separador de milhares 4 6 3 3" xfId="42262" xr:uid="{CFFD48A6-7ECA-408A-BB3B-2CC8AA8BEF51}"/>
    <cellStyle name="Separador de milhares 4 6 3 4" xfId="42263" xr:uid="{5C93C809-B75D-4B55-AA4C-D1BA619EE975}"/>
    <cellStyle name="Separador de milhares 4 6 4" xfId="42264" xr:uid="{9D557ED1-8EF6-44BF-82A0-8CC2C08830A4}"/>
    <cellStyle name="Separador de milhares 4 6 5" xfId="42265" xr:uid="{69AA5151-ED94-42ED-B4A9-80D576AEB102}"/>
    <cellStyle name="Separador de milhares 4 6 6" xfId="42266" xr:uid="{FAA77628-B4C7-4ABE-911E-397FCD5B1A9D}"/>
    <cellStyle name="Separador de milhares 4 7" xfId="42267" xr:uid="{316CE3B4-CC03-4BD7-9235-DC8E9F0AA17E}"/>
    <cellStyle name="Separador de milhares 4 7 2" xfId="42268" xr:uid="{399F0B67-176B-47BB-8169-EBEACF27C216}"/>
    <cellStyle name="Separador de milhares 4 7 2 2" xfId="42269" xr:uid="{A7CAAEDA-62BF-4654-8401-DB114C118265}"/>
    <cellStyle name="Separador de milhares 4 7 2 3" xfId="42270" xr:uid="{94F89EC5-B33B-41FA-BFEA-EE4C275FA89F}"/>
    <cellStyle name="Separador de milhares 4 7 2 4" xfId="42271" xr:uid="{65CD5B3F-BCE7-4029-8E48-3BA8B17EBF14}"/>
    <cellStyle name="Separador de milhares 4 7 3" xfId="42272" xr:uid="{0B32D643-B2A3-4392-8B61-3AA7A3C3CBC0}"/>
    <cellStyle name="Separador de milhares 4 7 3 2" xfId="42273" xr:uid="{A1CF6091-7513-4DA1-AFB1-5BB927F3745D}"/>
    <cellStyle name="Separador de milhares 4 7 3 3" xfId="42274" xr:uid="{78BB8417-8B28-4E5D-9FF9-F3E5F368C191}"/>
    <cellStyle name="Separador de milhares 4 7 3 4" xfId="42275" xr:uid="{E0155748-0446-4A2B-8F13-C063161627EA}"/>
    <cellStyle name="Separador de milhares 4 7 4" xfId="42276" xr:uid="{52B677CE-1E8D-4D20-BC00-75138E3F2302}"/>
    <cellStyle name="Separador de milhares 4 7 5" xfId="42277" xr:uid="{5DA4E1ED-B416-4944-A8E8-6BB10CB12E64}"/>
    <cellStyle name="Separador de milhares 4 7 6" xfId="42278" xr:uid="{A85107A1-15CA-47B3-AE97-31EF983B2C66}"/>
    <cellStyle name="Separador de milhares 4 8" xfId="42279" xr:uid="{B57AEEC3-02FA-421A-A442-3E9DC36AC481}"/>
    <cellStyle name="Separador de milhares 4 8 2" xfId="42280" xr:uid="{3D74F8C5-F167-4F9E-B733-EEAF4053CF61}"/>
    <cellStyle name="Separador de milhares 4 8 2 2" xfId="42281" xr:uid="{97B5770E-AB68-46BA-9F56-ED60B9D18EB7}"/>
    <cellStyle name="Separador de milhares 4 8 2 3" xfId="42282" xr:uid="{C5251C41-AB45-41D1-8EB3-40254B01F544}"/>
    <cellStyle name="Separador de milhares 4 8 2 4" xfId="42283" xr:uid="{FA4F8721-BC84-4B9E-AD7A-8D4636B98CCC}"/>
    <cellStyle name="Separador de milhares 4 8 3" xfId="42284" xr:uid="{D28ADADC-CF41-4F75-AA87-DCC4F8865B10}"/>
    <cellStyle name="Separador de milhares 4 8 3 2" xfId="42285" xr:uid="{D96491A2-718B-46AC-B079-8B3FBB20BCC0}"/>
    <cellStyle name="Separador de milhares 4 8 3 3" xfId="42286" xr:uid="{CE562CDA-AE8A-4133-A097-5AAE5309A4BD}"/>
    <cellStyle name="Separador de milhares 4 8 3 4" xfId="42287" xr:uid="{72CE2D12-4A02-4ECA-B212-EDEF25FDD7DF}"/>
    <cellStyle name="Separador de milhares 4 8 4" xfId="42288" xr:uid="{8E98822E-8AEA-4E4E-A450-C2775F8091C6}"/>
    <cellStyle name="Separador de milhares 4 8 5" xfId="42289" xr:uid="{27D5D2D3-8E41-4C25-8DD3-38256FA5D180}"/>
    <cellStyle name="Separador de milhares 4 8 6" xfId="42290" xr:uid="{141FB74C-CAB9-48C8-B6F4-2F5D2C3FFC25}"/>
    <cellStyle name="Separador de milhares 4 9" xfId="42291" xr:uid="{B4BD6B24-9F4F-4D15-8B68-91916E6896ED}"/>
    <cellStyle name="Separador de milhares 4 9 2" xfId="42292" xr:uid="{E76927B5-8725-4988-8FC4-29F55E364C9D}"/>
    <cellStyle name="Separador de milhares 4 9 2 2" xfId="42293" xr:uid="{C24C01E9-A7CC-4CD4-8C25-45E25D0A87D1}"/>
    <cellStyle name="Separador de milhares 4 9 2 3" xfId="42294" xr:uid="{F9BBE000-D689-4D83-82BE-8D07EBFCBD13}"/>
    <cellStyle name="Separador de milhares 4 9 2 4" xfId="42295" xr:uid="{D88F442E-CA1F-4C6F-891C-25E999DE27A3}"/>
    <cellStyle name="Separador de milhares 4 9 3" xfId="42296" xr:uid="{47E4679F-4687-406F-B7B0-F662FBA02072}"/>
    <cellStyle name="Separador de milhares 4 9 3 2" xfId="42297" xr:uid="{EC986A3C-8225-423C-BD82-C1F727EC1736}"/>
    <cellStyle name="Separador de milhares 4 9 3 3" xfId="42298" xr:uid="{DB5923A0-119A-4A04-90A1-11662F796FB6}"/>
    <cellStyle name="Separador de milhares 4 9 3 4" xfId="42299" xr:uid="{0A81C2FF-C651-4621-BCBA-8A18CC94B407}"/>
    <cellStyle name="Separador de milhares 4 9 4" xfId="42300" xr:uid="{B4803E20-F41E-446F-8553-44A031137581}"/>
    <cellStyle name="Separador de milhares 4 9 5" xfId="42301" xr:uid="{EBEBB3FE-AA07-4E8F-9C01-8BCFE0D3FEC4}"/>
    <cellStyle name="Separador de milhares 4 9 6" xfId="42302" xr:uid="{B3296B40-F042-4B70-AFB8-51BF333B9342}"/>
    <cellStyle name="Separador de milhares 40" xfId="43864" xr:uid="{8F998440-3154-4B02-81A5-D8D7E6924153}"/>
    <cellStyle name="Separador de milhares 44" xfId="43865" xr:uid="{9A8A6F65-35A7-446D-AFDB-3FD1A1375BD4}"/>
    <cellStyle name="Separador de milhares 48" xfId="43866" xr:uid="{32E8083A-3080-462D-A82F-04C875A3D053}"/>
    <cellStyle name="Separador de milhares 5" xfId="1162" xr:uid="{3F2C7110-0A61-4094-87D6-2587F1F1C902}"/>
    <cellStyle name="Separador de milhares 5 2" xfId="1801" xr:uid="{FFCEFD90-DF11-4A09-B27C-A4644D9DE241}"/>
    <cellStyle name="Separador de milhares 5 2 2" xfId="42303" xr:uid="{B52D40B4-513B-424A-9743-37A2C27912F3}"/>
    <cellStyle name="Separador de milhares 5 3" xfId="42304" xr:uid="{63A64B70-39F6-400E-8DF0-E34D478A80FF}"/>
    <cellStyle name="Separador de milhares 5 3 2" xfId="43867" xr:uid="{1BE15F31-1FA5-4F12-8A0E-E7C6D4765E4F}"/>
    <cellStyle name="Separador de milhares 5 4" xfId="43868" xr:uid="{D85695A5-BEA7-446F-9DF9-CD0BCAF4EA4D}"/>
    <cellStyle name="Separador de milhares 52" xfId="43869" xr:uid="{5DD8C141-F2F7-4B44-AEBC-01CDC2E70EFD}"/>
    <cellStyle name="Separador de milhares 56" xfId="43870" xr:uid="{2F642826-D470-45BE-8335-ADAD9756AA1B}"/>
    <cellStyle name="Separador de milhares 6" xfId="1163" xr:uid="{B61CA7BD-6C61-4245-A7F2-9EE5D9DFA0B5}"/>
    <cellStyle name="Separador de milhares 6 2" xfId="1494" xr:uid="{0C611461-4C37-492B-BCC9-2426C834C5ED}"/>
    <cellStyle name="Separador de milhares 6 3" xfId="42305" xr:uid="{9D2523C6-2D11-463E-AA27-F2C8FF9B5CF3}"/>
    <cellStyle name="Separador de milhares 60" xfId="43871" xr:uid="{BF215690-0644-49B6-911A-B1B45EC337F0}"/>
    <cellStyle name="Separador de milhares 64" xfId="43872" xr:uid="{B4D25392-592A-4AC6-AFB1-83857C546DBE}"/>
    <cellStyle name="Separador de milhares 7" xfId="1164" xr:uid="{0AD7DEAD-0244-47AE-B823-2F6D4342CB3E}"/>
    <cellStyle name="Separador de milhares 7 2" xfId="42306" xr:uid="{54CDBE08-C115-4F9E-8E6C-06278F5D45B5}"/>
    <cellStyle name="Separador de milhares 7 2 2" xfId="43873" xr:uid="{C036DCF1-DEBE-4189-8D7F-575586CDDD08}"/>
    <cellStyle name="Separador de milhares 7 3" xfId="42307" xr:uid="{67227434-5B2C-4B28-BC35-0CD8C62DFD76}"/>
    <cellStyle name="Separador de milhares 7 4" xfId="42308" xr:uid="{23344F53-694E-4880-8D98-C99DA06D8D64}"/>
    <cellStyle name="Separador de milhares 7 5" xfId="42309" xr:uid="{5F2F01B2-B993-4AF3-A4EE-D03307BCC7AE}"/>
    <cellStyle name="Separador de milhares 8" xfId="1165" xr:uid="{8B6D7BC2-71A2-4E07-A933-8F8E03B2C618}"/>
    <cellStyle name="Separador de milhares 8 10" xfId="43874" xr:uid="{3BE3DC6C-EFD0-4E44-B747-447ED82FFCDE}"/>
    <cellStyle name="Separador de milhares 8 11" xfId="43875" xr:uid="{22C98078-DCF4-4401-8FEA-D0861A3E457C}"/>
    <cellStyle name="Separador de milhares 8 12" xfId="43876" xr:uid="{02345888-0716-4239-A06A-75F341052203}"/>
    <cellStyle name="Separador de milhares 8 13" xfId="43877" xr:uid="{19BF121B-15C6-4E03-9B22-0815D5DA9B98}"/>
    <cellStyle name="Separador de milhares 8 14" xfId="43878" xr:uid="{ED1AA807-1352-4D81-A428-25F164EA99E1}"/>
    <cellStyle name="Separador de milhares 8 15" xfId="43879" xr:uid="{A54AD976-3272-4C77-A13E-8508BDB9DFB4}"/>
    <cellStyle name="Separador de milhares 8 16" xfId="43880" xr:uid="{7AE81CEA-8ABA-4E61-97B7-AB72087719D1}"/>
    <cellStyle name="Separador de milhares 8 17" xfId="43881" xr:uid="{738CE666-5725-449C-8AD5-C38F21195397}"/>
    <cellStyle name="Separador de milhares 8 18" xfId="43882" xr:uid="{BE9AA7A3-4390-47C5-A0D0-3897EF0F1EE7}"/>
    <cellStyle name="Separador de milhares 8 19" xfId="43883" xr:uid="{272CA3E7-2BB3-4D29-9F2B-B59FD28DFBA1}"/>
    <cellStyle name="Separador de milhares 8 2" xfId="42310" xr:uid="{575489B3-DE42-4B93-9276-AD3C952DC18A}"/>
    <cellStyle name="Separador de milhares 8 20" xfId="43884" xr:uid="{B7D29CF8-C5B5-45EC-B209-2D6898D98B3B}"/>
    <cellStyle name="Separador de milhares 8 21" xfId="43885" xr:uid="{2354BA2A-8C9F-4842-80C1-C92D9BD6369B}"/>
    <cellStyle name="Separador de milhares 8 22" xfId="43886" xr:uid="{0902DB1F-DD60-4AA7-A5EF-14C640B890C7}"/>
    <cellStyle name="Separador de milhares 8 23" xfId="43887" xr:uid="{F7CF78AF-EC86-45A3-B65C-3EA1A869B5C5}"/>
    <cellStyle name="Separador de milhares 8 24" xfId="43888" xr:uid="{B3AEF38A-3D37-447F-82FE-7FEBC99CDB53}"/>
    <cellStyle name="Separador de milhares 8 25" xfId="43889" xr:uid="{C922302B-5809-41EE-8F79-14062F56B200}"/>
    <cellStyle name="Separador de milhares 8 26" xfId="43890" xr:uid="{BB1F8FD9-6AC6-46D5-B9F5-3A4DB3D84C1C}"/>
    <cellStyle name="Separador de milhares 8 27" xfId="43891" xr:uid="{51FB32E8-9282-45E5-9B03-FBCAD50C6085}"/>
    <cellStyle name="Separador de milhares 8 28" xfId="43892" xr:uid="{44184BC6-8964-4A2F-9614-4EDA8702E976}"/>
    <cellStyle name="Separador de milhares 8 3" xfId="42311" xr:uid="{5DF36353-0FAD-4A0E-9212-2408532ED0CF}"/>
    <cellStyle name="Separador de milhares 8 4" xfId="43893" xr:uid="{D8EF54FE-CF73-4D21-9D4C-B6901708B6F0}"/>
    <cellStyle name="Separador de milhares 8 5" xfId="43894" xr:uid="{8B23FFF8-2FCE-45E3-B884-4BB2FD5769C6}"/>
    <cellStyle name="Separador de milhares 8 6" xfId="43895" xr:uid="{CAFCA931-246B-4C18-9FA6-F68EF2CED4FA}"/>
    <cellStyle name="Separador de milhares 8 7" xfId="43896" xr:uid="{CE5A9D4C-A935-45D4-8B4E-0CF169D4877F}"/>
    <cellStyle name="Separador de milhares 8 8" xfId="43897" xr:uid="{503FA645-5691-4726-A104-A0AE3200E84A}"/>
    <cellStyle name="Separador de milhares 8 9" xfId="43898" xr:uid="{20F6FEFB-57A3-402E-8F05-9BE334FFBC8C}"/>
    <cellStyle name="Separador de milhares 9" xfId="1166" xr:uid="{CB7A87A8-92FB-438A-8161-04821541D0D3}"/>
    <cellStyle name="Separador de milhares 9 2" xfId="1733" xr:uid="{8EF83B06-EEDC-46E4-A6A1-866D0182098F}"/>
    <cellStyle name="Separador de milhares 9 3" xfId="42312" xr:uid="{862B4554-816D-4AB3-B018-1D75B15529CC}"/>
    <cellStyle name="Separador de milhares 9 4" xfId="42313" xr:uid="{31B749E3-1308-458B-BBFA-00778896233D}"/>
    <cellStyle name="Separador de milhares 9 5" xfId="42314" xr:uid="{5142351F-A5CB-498E-986C-EA8861C96080}"/>
    <cellStyle name="Shaded" xfId="890" xr:uid="{81C221C2-EE1A-4F8E-9E9E-C275351148BB}"/>
    <cellStyle name="Shaded 2" xfId="42315" xr:uid="{DC6A1684-021F-4DAA-927C-9C08320CE4CE}"/>
    <cellStyle name="Sheet Title" xfId="42316" xr:uid="{6939C7B6-2B9A-465F-9C30-F519D2B6DB68}"/>
    <cellStyle name="ssubtitulo" xfId="891" xr:uid="{F5B4ADE9-B322-47B3-B664-094ACB1ABA48}"/>
    <cellStyle name="Standard format" xfId="1167" xr:uid="{4D1EEC2F-6C4E-4E19-9CDA-2BE3C521A99B}"/>
    <cellStyle name="STA-TI - Style4" xfId="42317" xr:uid="{EA4862D0-8C05-4B92-8F5B-2F1B51B61861}"/>
    <cellStyle name="Strange" xfId="1734" xr:uid="{61CB119F-DE8F-4C84-9D36-9BE700E4A4DC}"/>
    <cellStyle name="Style 1" xfId="892" xr:uid="{A64C36BF-4793-44E3-93F3-632AC57F31A3}"/>
    <cellStyle name="Style 1 2" xfId="931" xr:uid="{104EC087-DA1A-44DA-86CF-BB2DF8AF800E}"/>
    <cellStyle name="Style 1 3" xfId="42318" xr:uid="{8E4DDA9C-B816-4DE6-B1B7-636A66146F37}"/>
    <cellStyle name="Style 1_IF - Autoprodutores" xfId="42319" xr:uid="{6A684AE3-3AA2-45F1-A132-66A67D6DA4C5}"/>
    <cellStyle name="Style 21" xfId="42320" xr:uid="{519C0015-828B-4D8E-A421-4127F137743F}"/>
    <cellStyle name="Style 22" xfId="42321" xr:uid="{D267406E-2F77-4D95-A827-FCB988E22BFB}"/>
    <cellStyle name="Style 23" xfId="42322" xr:uid="{0CE6CD92-E963-41C5-BD74-7D4175B16A46}"/>
    <cellStyle name="Style 24" xfId="42323" xr:uid="{BF465A00-754E-439A-A089-08159FD0758D}"/>
    <cellStyle name="Style 25" xfId="42324" xr:uid="{D1EB8FBD-42C4-4D5F-B46C-CE904B6CF43B}"/>
    <cellStyle name="STYLE1 - Style1" xfId="893" xr:uid="{EBBA6CB8-BA9D-4B5A-B973-78556C1E3FE8}"/>
    <cellStyle name="STYLE1 - Style1 10" xfId="42325" xr:uid="{E179F866-01D6-4A61-A57A-CB973130F01A}"/>
    <cellStyle name="STYLE1 - Style1 2" xfId="1168" xr:uid="{509EBD24-2858-4A17-9FF1-336270FFFB47}"/>
    <cellStyle name="STYLE1 - Style1 3" xfId="42326" xr:uid="{6D1F5D35-4505-45F0-B42C-D4B80DDBA5CD}"/>
    <cellStyle name="STYLE1 - Style1 4" xfId="42327" xr:uid="{7C54A34D-87A8-47A3-BB97-BD99D70AF8D0}"/>
    <cellStyle name="STYLE1 - Style1 5" xfId="42328" xr:uid="{01105E65-A45B-4DB4-BE0A-AF35B7A081ED}"/>
    <cellStyle name="STYLE1 - Style1 6" xfId="42329" xr:uid="{D4665CDD-E8B6-467E-8A7B-83D551282B2E}"/>
    <cellStyle name="STYLE1 - Style1 7" xfId="42330" xr:uid="{6679CEBF-F941-421F-B840-1DD9051C7B03}"/>
    <cellStyle name="STYLE1 - Style1 8" xfId="42331" xr:uid="{C4EC18A4-B551-4962-A2BA-E9CE285C5EFF}"/>
    <cellStyle name="STYLE1 - Style1 9" xfId="42332" xr:uid="{E6972A09-BA8D-49AE-9D3D-42E4A91E012E}"/>
    <cellStyle name="STYLE1 - Style1_COELCE CVA SRE (4)" xfId="42333" xr:uid="{06819C1A-3BC8-4685-9A28-6A67E30D1746}"/>
    <cellStyle name="STYLE2 - Style2" xfId="894" xr:uid="{F5F95477-CE5B-4559-B5B0-5F7A21A4D3E4}"/>
    <cellStyle name="STYLE2 - Style2 10" xfId="42334" xr:uid="{46A71AC8-2B4D-4FF4-8D10-0EF016FD54BF}"/>
    <cellStyle name="STYLE2 - Style2 2" xfId="1169" xr:uid="{102C71D1-63DB-4401-9B68-06E2C4B44709}"/>
    <cellStyle name="STYLE2 - Style2 3" xfId="42335" xr:uid="{49953FAA-72A4-4698-98EE-A1095915C65A}"/>
    <cellStyle name="STYLE2 - Style2 4" xfId="42336" xr:uid="{53D95A97-2E88-4BD7-BEC7-A3A60DBA4EDC}"/>
    <cellStyle name="STYLE2 - Style2 5" xfId="42337" xr:uid="{3FF28009-D574-4EC2-8805-4BCCE3022BA1}"/>
    <cellStyle name="STYLE2 - Style2 6" xfId="42338" xr:uid="{34D75D18-653C-4961-BBF9-D7676FFB1835}"/>
    <cellStyle name="STYLE2 - Style2 7" xfId="42339" xr:uid="{82E73E29-B4B8-4E3D-86AE-8C5DA17BEBE5}"/>
    <cellStyle name="STYLE2 - Style2 8" xfId="42340" xr:uid="{9F3CDD0E-6F4F-41C7-BBA8-C5322A6B6859}"/>
    <cellStyle name="STYLE2 - Style2 9" xfId="42341" xr:uid="{9926BAC5-657F-4374-AEE1-80A2DD38313F}"/>
    <cellStyle name="STYLE2 - Style2_COELCE CVA SRE (4)" xfId="42342" xr:uid="{731B94A3-A614-47CA-9370-C72293E40112}"/>
    <cellStyle name="STYLE3 - Style3" xfId="895" xr:uid="{F675C684-7E7F-4660-8418-AA578850028D}"/>
    <cellStyle name="STYLE3 - Style3 10" xfId="42343" xr:uid="{EE286A6D-95CF-4D22-891F-614409529B00}"/>
    <cellStyle name="STYLE3 - Style3 2" xfId="1170" xr:uid="{36EB7E9B-E855-4828-902D-EC501043558D}"/>
    <cellStyle name="STYLE3 - Style3 3" xfId="42344" xr:uid="{4B4629A9-107A-4CC6-8651-2F26D853F0E4}"/>
    <cellStyle name="STYLE3 - Style3 4" xfId="42345" xr:uid="{E3BB790B-B61D-4156-B053-6ED78975DF35}"/>
    <cellStyle name="STYLE3 - Style3 5" xfId="42346" xr:uid="{51704E58-2B29-410E-9DAD-78ADF93AC3F8}"/>
    <cellStyle name="STYLE3 - Style3 6" xfId="42347" xr:uid="{D355F7ED-425F-40F6-881C-B483FA9CAA57}"/>
    <cellStyle name="STYLE3 - Style3 7" xfId="42348" xr:uid="{960E76A2-94C5-49FA-964E-DF5D0F2951CE}"/>
    <cellStyle name="STYLE3 - Style3 8" xfId="42349" xr:uid="{3D10171F-C4BD-4265-8E47-264F5E04CE2D}"/>
    <cellStyle name="STYLE3 - Style3 9" xfId="42350" xr:uid="{2CB6CE8F-865C-4D3D-894E-3E93B526A8F1}"/>
    <cellStyle name="STYLE3 - Style3_COELCE CVA SRE (4)" xfId="42351" xr:uid="{E08A4C5F-9757-4A3C-8664-01C5F26F619F}"/>
    <cellStyle name="STYLE4 - Style4" xfId="896" xr:uid="{1B47A784-FDE2-4FD9-A034-318E89B32740}"/>
    <cellStyle name="STYLE4 - Style4 10" xfId="42352" xr:uid="{816E34C2-2187-42C8-9FA8-D18739EFA141}"/>
    <cellStyle name="STYLE4 - Style4 2" xfId="1171" xr:uid="{33348A61-13CA-4B12-A27E-E91A69D7F6B6}"/>
    <cellStyle name="STYLE4 - Style4 3" xfId="42353" xr:uid="{54577D02-7979-4985-9C15-781585BDA082}"/>
    <cellStyle name="STYLE4 - Style4 4" xfId="42354" xr:uid="{6C6B5A9B-1895-4586-8E95-A51A3B5711A2}"/>
    <cellStyle name="STYLE4 - Style4 5" xfId="42355" xr:uid="{FC4DF9F4-155E-4CC8-9D21-8E004A03796B}"/>
    <cellStyle name="STYLE4 - Style4 6" xfId="42356" xr:uid="{EECB3D1D-9F3A-4F03-98E8-D6947E08E1E2}"/>
    <cellStyle name="STYLE4 - Style4 7" xfId="42357" xr:uid="{93D677D1-0825-4B88-8F20-AAC021ADAB0B}"/>
    <cellStyle name="STYLE4 - Style4 8" xfId="42358" xr:uid="{7ABF5235-1A69-4B39-AC86-C10A431811D7}"/>
    <cellStyle name="STYLE4 - Style4 9" xfId="42359" xr:uid="{93BEC4B9-AF56-4B22-A18E-7314F6729B07}"/>
    <cellStyle name="STYLE4 - Style4_COELCE CVA SRE (4)" xfId="42360" xr:uid="{B0842657-278F-4CE4-A4CE-1A259BC13673}"/>
    <cellStyle name="sub-to - Style3" xfId="42361" xr:uid="{7EC10FC3-AD57-4559-958F-25DF06E1F95B}"/>
    <cellStyle name="Sum" xfId="897" xr:uid="{39A33BB7-5515-4FF7-A6F2-91BACEDE6553}"/>
    <cellStyle name="Sum %of HV" xfId="898" xr:uid="{23782A16-3838-44FF-BFDB-D5CA7B9018EF}"/>
    <cellStyle name="Sum %of HV 2" xfId="42362" xr:uid="{CC3DFCB6-21C8-4E1E-9FA6-A557BFA0B313}"/>
    <cellStyle name="Sum %of HV 3" xfId="42363" xr:uid="{C5E5C262-E77C-4A99-869D-418EC9B0B112}"/>
    <cellStyle name="Sum %of HV 3 2" xfId="42364" xr:uid="{5A037438-826F-4501-BC1E-69B57684B5C4}"/>
    <cellStyle name="Sum %of HV_IF - Autoprodutores 2" xfId="42365" xr:uid="{02B0F773-51FF-4345-BE3F-9D6D994211C6}"/>
    <cellStyle name="t" xfId="42366" xr:uid="{4E6CEE70-D6BD-4D71-A6EE-EFBEB85201A0}"/>
    <cellStyle name="T¡tu-1 - Style2" xfId="42367" xr:uid="{940A29B4-A34D-429E-8118-8B634108C1D6}"/>
    <cellStyle name="T0" xfId="1735" xr:uid="{50BB999D-E655-489B-87D1-E47C2C07FBE0}"/>
    <cellStyle name="T1" xfId="1736" xr:uid="{ABFD90C8-797E-49DF-B1A7-EA24BE0DFB43}"/>
    <cellStyle name="Table Head" xfId="42368" xr:uid="{12497FDA-AD09-4AA9-89E4-EFC688514A56}"/>
    <cellStyle name="Table Head Aligned" xfId="42369" xr:uid="{266461EB-4A85-4493-BBC5-247377141EEE}"/>
    <cellStyle name="Table Head Aligned 2" xfId="43899" xr:uid="{1E670F28-6150-498E-BC42-0003AC220DEB}"/>
    <cellStyle name="Table Head Blue" xfId="42370" xr:uid="{F29550B5-F889-4FF7-ABB3-D9793781EC12}"/>
    <cellStyle name="Table Head Green" xfId="42371" xr:uid="{D722697A-FBA1-4029-9005-CAA08B442287}"/>
    <cellStyle name="Table Head Green 2" xfId="43900" xr:uid="{8CBECD70-DDFE-486C-9AAB-1F946F77FFB8}"/>
    <cellStyle name="Table Title" xfId="42372" xr:uid="{E70B88A9-4B4F-40A1-AA75-892D49A420D7}"/>
    <cellStyle name="Table Units" xfId="42373" xr:uid="{CF5DEFC1-3A9E-4A0D-B782-EFC2D0196473}"/>
    <cellStyle name="Table Units 2" xfId="43901" xr:uid="{6A2E07B9-2C29-4EE7-8F65-09D5286991BB}"/>
    <cellStyle name="taples Plaza" xfId="42374" xr:uid="{9D6931A6-E2DF-495B-942B-7A0CBB6E7BBB}"/>
    <cellStyle name="TESTE" xfId="42375" xr:uid="{5EB59C61-887C-4A74-B4D3-3FBD847C111C}"/>
    <cellStyle name="Text" xfId="42376" xr:uid="{64B76752-85AB-4E33-AF1A-481805835C8E}"/>
    <cellStyle name="Text Indent A" xfId="899" xr:uid="{6846F224-31C3-422D-A606-60E268C02523}"/>
    <cellStyle name="Text Indent A 2" xfId="1172" xr:uid="{32109F2A-39E8-4973-8D66-C5614B1D2B4E}"/>
    <cellStyle name="Text Indent A 3" xfId="42377" xr:uid="{9D8B1696-8BE7-4E15-BC7A-D143AB7D7C83}"/>
    <cellStyle name="Text Indent A_IRT_Planilha Básica_ v2010_CERRP" xfId="1802" xr:uid="{E6A8F4B3-B4CB-451D-9CBD-7ED1BCB16B17}"/>
    <cellStyle name="Text Indent B" xfId="900" xr:uid="{6D0FD60C-DCF0-4A64-83D6-3D9194AD42DC}"/>
    <cellStyle name="Text Indent B 2" xfId="1173" xr:uid="{A0F41B90-8367-43DB-ABED-0D3508645409}"/>
    <cellStyle name="Text Indent B 3" xfId="42378" xr:uid="{F2144F34-930A-44E1-A0EC-B9A0FFC03201}"/>
    <cellStyle name="Text Indent B_IRT_Planilha Básica_ v2010_CERRP" xfId="1803" xr:uid="{73E9B662-18C8-43BB-A815-82329C45C094}"/>
    <cellStyle name="Text Indent C" xfId="901" xr:uid="{714E9E3E-EB01-46FC-BC4D-0D9E57350D30}"/>
    <cellStyle name="Text Indent C 2" xfId="1174" xr:uid="{AA179D63-F2A4-40D7-834E-6E4E941F7419}"/>
    <cellStyle name="Text Indent C 3" xfId="42379" xr:uid="{A74EB191-AF06-4842-8C9F-084294F3DED9}"/>
    <cellStyle name="Text Indent C_IRT_Planilha Básica_ v2010_CERRP" xfId="1804" xr:uid="{3E2A5E59-DA3C-4949-A047-3CA5400D6ED1}"/>
    <cellStyle name="Texto de advertencia" xfId="1175" xr:uid="{74B5E1A8-9572-41A3-89EF-4D8AFC26C5DB}"/>
    <cellStyle name="Texto de Aviso 2" xfId="1176" xr:uid="{B6FF580E-CD0C-4EEC-8095-36EF3D44A89F}"/>
    <cellStyle name="Texto de Aviso 2 2" xfId="42380" xr:uid="{CD8963AA-3EF8-4D7A-A1A6-77A5E7CF1D51}"/>
    <cellStyle name="Texto de Aviso 3" xfId="1805" xr:uid="{2A6D1B66-08E0-43BB-AF13-599E73A7C59F}"/>
    <cellStyle name="Texto de Aviso 4" xfId="42381" xr:uid="{2B47BF5A-06E8-4DCF-9DA6-4BAC1B942F0F}"/>
    <cellStyle name="Texto de Aviso 5" xfId="43902" xr:uid="{E953B565-415A-4CBF-B14D-7B3E8E473052}"/>
    <cellStyle name="Texto de Aviso 6" xfId="43903" xr:uid="{8289E0D0-2B36-4137-A3F6-9AACE9B3EC69}"/>
    <cellStyle name="Texto de Aviso 7" xfId="43904" xr:uid="{14B6FB51-E296-461C-A328-A1BD58409343}"/>
    <cellStyle name="Texto de Aviso 8" xfId="43905" xr:uid="{261A3A99-9B0A-43FA-A7E7-5CD90087F9C8}"/>
    <cellStyle name="Texto de Aviso 9" xfId="902" xr:uid="{73D088A6-AD3A-4E86-B62A-9B844A621828}"/>
    <cellStyle name="Texto Explicativo" xfId="17" builtinId="53"/>
    <cellStyle name="Texto explicativo 10" xfId="42382" xr:uid="{60152E33-6A48-4C76-BDA0-228F6904B7E5}"/>
    <cellStyle name="Texto Explicativo 11" xfId="43906" xr:uid="{6E7D316F-071E-4717-B45B-C689EF7F4502}"/>
    <cellStyle name="Texto Explicativo 12" xfId="43907" xr:uid="{70C135DB-3217-41F6-86B2-A3F5A97569F9}"/>
    <cellStyle name="Texto Explicativo 13" xfId="903" xr:uid="{076EA43D-2DEE-4DA8-8FC0-7C240EE4B142}"/>
    <cellStyle name="Texto Explicativo 2" xfId="1177" xr:uid="{7F27BB31-92F5-4A3A-878F-3FC92ADDE641}"/>
    <cellStyle name="Texto explicativo 2 2" xfId="42383" xr:uid="{A39995FF-2647-44DE-9908-239EBF67FE02}"/>
    <cellStyle name="Texto Explicativo 3" xfId="1806" xr:uid="{0704FE64-8ECE-4D41-BC0B-3D909EF76E8D}"/>
    <cellStyle name="Texto explicativo 3 2" xfId="42384" xr:uid="{DE2411A4-AE7E-43B6-A860-04E8C054A41D}"/>
    <cellStyle name="Texto explicativo 4" xfId="42385" xr:uid="{F84E48E8-EC22-468B-A234-1C3FBADAA787}"/>
    <cellStyle name="Texto explicativo 4 2" xfId="42386" xr:uid="{2AC6F9CA-E7E4-4445-8764-6B3390AA598B}"/>
    <cellStyle name="Texto explicativo 5" xfId="42387" xr:uid="{B44AD98F-6708-49EB-AD0D-6F8B26BC40E3}"/>
    <cellStyle name="Texto explicativo 6" xfId="42388" xr:uid="{94C39B51-CC0E-48C1-9781-A0E8BDD3EF45}"/>
    <cellStyle name="Texto explicativo 7" xfId="42389" xr:uid="{80267302-5244-4B5C-8470-05011D3D51DC}"/>
    <cellStyle name="Texto explicativo 8" xfId="42390" xr:uid="{DBF9AC95-FC8C-4919-B0A0-4DC2168CA797}"/>
    <cellStyle name="Texto explicativo 9" xfId="42391" xr:uid="{153B2A77-13DC-4033-B189-AED0D1D51BFA}"/>
    <cellStyle name="Thousands (0)" xfId="904" xr:uid="{8995607A-1E85-438B-8793-E500A516F364}"/>
    <cellStyle name="Thousands (0) 2" xfId="42392" xr:uid="{723ED183-1084-43C9-837A-86C3BEBC01DA}"/>
    <cellStyle name="Thousands (0) 3" xfId="42393" xr:uid="{F7E26C8C-5698-4F07-8B5B-D5A82229D112}"/>
    <cellStyle name="Thousands (0) 3 2" xfId="42394" xr:uid="{9873CEC6-8D52-469B-A1ED-83C1BA5CE6E0}"/>
    <cellStyle name="Thousands (1)" xfId="905" xr:uid="{99387FA0-1FBF-4CB2-859B-84FB3BBD0A81}"/>
    <cellStyle name="Thousands (1) 2" xfId="42395" xr:uid="{C9083DD5-52E7-42EA-9DB9-C59595906B09}"/>
    <cellStyle name="Thousands (1) 3" xfId="42396" xr:uid="{61FC5F90-8B1F-4E89-958E-526FF4F8ADA8}"/>
    <cellStyle name="Thousands (1) 3 2" xfId="42397" xr:uid="{6170075F-F97E-44A4-8295-C8774718DF05}"/>
    <cellStyle name="time" xfId="906" xr:uid="{902BFB51-DA8A-4C2B-9877-F33FC8887EC4}"/>
    <cellStyle name="Times New Roman" xfId="42398" xr:uid="{A3CF3E1C-DF61-47D3-82A8-3331B4CAF2FF}"/>
    <cellStyle name="Title" xfId="907" xr:uid="{7C9EDD89-A0E4-4709-8436-13645BC27858}"/>
    <cellStyle name="Title 2" xfId="42399" xr:uid="{C4C77266-71E1-4D7E-A363-2E695B28937E}"/>
    <cellStyle name="titulo" xfId="908" xr:uid="{EEFB5885-4E93-49A9-9A37-349F89038CEE}"/>
    <cellStyle name="Título 1 10" xfId="42400" xr:uid="{686D0240-639C-45DC-83FF-50C88CEDAF10}"/>
    <cellStyle name="Título 1 11" xfId="43908" xr:uid="{B7840AA9-7050-414E-8E05-AF66CCA4485C}"/>
    <cellStyle name="Título 1 12" xfId="910" xr:uid="{9F69390A-944E-4D0B-9B43-8523A4CDCE5A}"/>
    <cellStyle name="Título 1 2" xfId="1178" xr:uid="{9015C844-1012-4C62-A991-4344DCEC36F3}"/>
    <cellStyle name="Título 1 2 2" xfId="42401" xr:uid="{F717E4AD-CB64-4B59-B7AB-BA7C68609765}"/>
    <cellStyle name="Título 1 2 3" xfId="42402" xr:uid="{4972DBE9-1536-4F82-B64B-ED1826D3E2EC}"/>
    <cellStyle name="Título 1 3" xfId="1807" xr:uid="{2DE85DA9-7EE3-4095-BDD6-E6B351A1829C}"/>
    <cellStyle name="Título 1 3 2" xfId="42403" xr:uid="{854ABA8A-EE09-4FDC-828F-C5E9A47A01C8}"/>
    <cellStyle name="Título 1 4" xfId="1808" xr:uid="{439002F6-9946-4A0E-9681-FE646798EF21}"/>
    <cellStyle name="Título 1 4 2" xfId="42404" xr:uid="{DCB92C12-53D6-43C3-A4E6-6A450E3FF48F}"/>
    <cellStyle name="Título 1 5" xfId="42405" xr:uid="{129609A2-8106-44FC-8E1E-7B0E26EC4373}"/>
    <cellStyle name="Título 1 6" xfId="42406" xr:uid="{44EA6F74-3DED-4B3F-A07A-7C93C7B1A159}"/>
    <cellStyle name="Título 1 7" xfId="42407" xr:uid="{2B74F52E-568C-4AB2-B832-F6E9A4900542}"/>
    <cellStyle name="Título 1 8" xfId="42408" xr:uid="{30F76DA9-9347-45F2-B8C9-41AB2D524B2D}"/>
    <cellStyle name="Título 1 9" xfId="42409" xr:uid="{3422AC28-9097-48F4-8E56-6E0D60FD4394}"/>
    <cellStyle name="Título 10" xfId="42410" xr:uid="{A5FC808B-E21F-4435-9311-09AC7F92BEBA}"/>
    <cellStyle name="Título 11" xfId="42411" xr:uid="{B2F0EBE1-00FC-46C7-A427-B51F471317F9}"/>
    <cellStyle name="Título 12" xfId="42412" xr:uid="{800EF9CA-FC9D-4F65-B1F0-4C6EB40B2225}"/>
    <cellStyle name="Título 13" xfId="42413" xr:uid="{851F8220-F825-428B-9479-6BF49B7BFF0D}"/>
    <cellStyle name="Título 14" xfId="43909" xr:uid="{28B705FB-3F28-4EE2-93E3-1CF3B0CBDF9C}"/>
    <cellStyle name="Título 15" xfId="909" xr:uid="{B727A99B-A7F0-4F1D-AA6A-84C700507AEC}"/>
    <cellStyle name="Título 2 10" xfId="42414" xr:uid="{2D53383F-851D-43FF-B77A-35DAC1551046}"/>
    <cellStyle name="Título 2 11" xfId="43910" xr:uid="{7FC59C30-AA9F-4913-8B6D-1A37D9F4D369}"/>
    <cellStyle name="Título 2 12" xfId="911" xr:uid="{E84F20B1-7B24-4B48-81BD-0FB4D3584159}"/>
    <cellStyle name="Título 2 2" xfId="1179" xr:uid="{BDA165A1-BAD5-4164-89F6-317C2CDE6B63}"/>
    <cellStyle name="Título 2 2 2" xfId="42415" xr:uid="{9334EE4F-322B-4A58-9E3B-D468D02AD0F9}"/>
    <cellStyle name="Título 2 2 3" xfId="42416" xr:uid="{D2B54DF9-3923-4BE1-B291-4DFB8C4198E6}"/>
    <cellStyle name="Título 2 3" xfId="1809" xr:uid="{12728531-97E3-4E20-A17B-EEB5D5E1AC18}"/>
    <cellStyle name="Título 2 3 2" xfId="42417" xr:uid="{8C762E8B-0086-4354-A210-7E69172B5311}"/>
    <cellStyle name="Título 2 4" xfId="1810" xr:uid="{90D5CA3B-0D21-4A2A-A928-FEC7474A9E3D}"/>
    <cellStyle name="Título 2 4 2" xfId="42418" xr:uid="{1268982E-694C-4BB5-BB1E-D49461AA4050}"/>
    <cellStyle name="Título 2 5" xfId="42419" xr:uid="{69AD237F-AB08-4A21-A02D-5470E75B7798}"/>
    <cellStyle name="Título 2 6" xfId="42420" xr:uid="{DBF465BB-9BCC-445F-BB94-50A8A4E7EB42}"/>
    <cellStyle name="Título 2 7" xfId="42421" xr:uid="{8AF12DDC-1399-492D-AD09-F7B4141BF643}"/>
    <cellStyle name="Título 2 8" xfId="42422" xr:uid="{E848D3A5-FC14-4577-9A3B-E61ACA132DB4}"/>
    <cellStyle name="Título 2 9" xfId="42423" xr:uid="{402E3A6D-E52B-4F16-9D71-D0FD64F80ED8}"/>
    <cellStyle name="Título 3 10" xfId="42424" xr:uid="{34A816B3-97DD-4213-B2E3-13A37B2EE55D}"/>
    <cellStyle name="Título 3 11" xfId="43911" xr:uid="{30F1714B-F99D-4BC2-850A-3EF5D40984D6}"/>
    <cellStyle name="Título 3 12" xfId="912" xr:uid="{0261B48D-0F04-4AD2-A537-CA3AE4523BE0}"/>
    <cellStyle name="Título 3 2" xfId="1180" xr:uid="{8FF61A67-44CB-43A9-A071-D620AB8AF3AF}"/>
    <cellStyle name="Título 3 2 2" xfId="42425" xr:uid="{8CD7878F-C0D7-4A37-BFF8-2ED7717E121D}"/>
    <cellStyle name="Título 3 3" xfId="1811" xr:uid="{049E94CC-F398-42E9-8AB4-2E305CB87168}"/>
    <cellStyle name="Título 3 3 2" xfId="42426" xr:uid="{920EF0B8-1318-4600-A66B-00245C96F62A}"/>
    <cellStyle name="Título 3 4" xfId="42427" xr:uid="{632AA660-7B5B-490D-9432-421A81752564}"/>
    <cellStyle name="Título 3 4 2" xfId="42428" xr:uid="{3FDFD1F3-FB3F-401D-AB42-A570EDAFCF67}"/>
    <cellStyle name="Título 3 5" xfId="42429" xr:uid="{51644B7D-1235-42DC-A671-6A9C0FD9A659}"/>
    <cellStyle name="Título 3 6" xfId="42430" xr:uid="{6E6F4668-FB99-45B0-B512-FC8C95C5561B}"/>
    <cellStyle name="Título 3 7" xfId="42431" xr:uid="{D70F0E53-CB63-4586-99FF-8B97A11364E6}"/>
    <cellStyle name="Título 3 8" xfId="42432" xr:uid="{82FFDB7E-1BE2-46D3-BBDF-84D412E87ACF}"/>
    <cellStyle name="Título 3 9" xfId="42433" xr:uid="{869E4E22-8F8C-42E7-80AF-DDDF7FD05924}"/>
    <cellStyle name="Título 4 2" xfId="1181" xr:uid="{B097C4D4-ADF9-4197-B964-9A53D824DF6D}"/>
    <cellStyle name="Título 4 2 2" xfId="42434" xr:uid="{F96749E6-84E0-49BF-9466-D0F3E2530203}"/>
    <cellStyle name="Título 4 3" xfId="1812" xr:uid="{607467A4-3981-4AD7-ACAA-E231F3F712B2}"/>
    <cellStyle name="Título 4 4" xfId="42435" xr:uid="{6006C1FE-254C-46DF-B06E-8718A8574E79}"/>
    <cellStyle name="Título 4 5" xfId="43912" xr:uid="{17CD958C-D6A7-4513-81E3-12C85708457C}"/>
    <cellStyle name="Título 4 6" xfId="43913" xr:uid="{92E9FABA-D63F-4666-9E66-B71312A038BD}"/>
    <cellStyle name="Título 4 7" xfId="43914" xr:uid="{E2CDB322-2977-480F-B1A8-81A038879EDC}"/>
    <cellStyle name="Título 4 8" xfId="43915" xr:uid="{9BE02DEF-358F-415C-8B23-E6364D6FCD78}"/>
    <cellStyle name="Título 4 9" xfId="913" xr:uid="{603603E2-4268-4055-B4EE-006EEDB9107C}"/>
    <cellStyle name="Título 5" xfId="1182" xr:uid="{892BCB60-4467-4ADB-B93D-F4CEC6C94B52}"/>
    <cellStyle name="Título 5 2" xfId="42436" xr:uid="{19EF8D35-46C2-4AA3-AD4C-BDEF886AE12C}"/>
    <cellStyle name="Título 6" xfId="1813" xr:uid="{9227BE61-12BB-4DB0-A187-D03342D2C6E0}"/>
    <cellStyle name="Título 6 2" xfId="42437" xr:uid="{18A7EAFB-01F2-4F1A-8576-5CAEFBE8C30A}"/>
    <cellStyle name="Título 7" xfId="42438" xr:uid="{BEF8F249-8682-4EC4-9E3C-B4E58C464CB4}"/>
    <cellStyle name="Título 7 2" xfId="42439" xr:uid="{82E841E4-D238-4C40-B006-51C348064647}"/>
    <cellStyle name="Título 8" xfId="42440" xr:uid="{FA342802-F290-4BE3-A7BD-81882DC99630}"/>
    <cellStyle name="Título 9" xfId="42441" xr:uid="{88C7D472-A72B-4B6B-84B8-AD5F5382F8FB}"/>
    <cellStyle name="Titulo1" xfId="42442" xr:uid="{23E33DDE-6714-421A-BA4A-41EB493FC7F1}"/>
    <cellStyle name="Titulo2" xfId="42443" xr:uid="{BBC6DA66-88B1-4A22-A076-1F51EA2E3EFD}"/>
    <cellStyle name="Todos" xfId="914" xr:uid="{D1D632AE-452B-4571-BC5E-84995E58ADE4}"/>
    <cellStyle name="Tope - Style1" xfId="42444" xr:uid="{FAF4444E-4DAE-4009-A29D-3D4E828FFE9A}"/>
    <cellStyle name="TopGrey" xfId="42445" xr:uid="{ADAEAF39-72FD-40DA-B932-62664E1FAAE1}"/>
    <cellStyle name="Total 10" xfId="915" xr:uid="{CA4EFA72-117E-4823-9FDF-744DA31FB77F}"/>
    <cellStyle name="Total 2" xfId="1183" xr:uid="{92857004-B448-46FC-8FB4-05EFD49397AB}"/>
    <cellStyle name="Total 2 2" xfId="42446" xr:uid="{3153EE73-B2A6-41C5-B59A-023BC9BC2F66}"/>
    <cellStyle name="Total 2 3" xfId="42447" xr:uid="{5DDF9766-40A8-4847-8538-A4207E76A3BD}"/>
    <cellStyle name="Total 3" xfId="1814" xr:uid="{CFB52F08-BD20-4B5B-99B8-5A24A499C11F}"/>
    <cellStyle name="Total 4" xfId="1815" xr:uid="{606EBE5A-825C-4130-9D73-74187474AF31}"/>
    <cellStyle name="Total 4 2" xfId="42448" xr:uid="{9377E916-C623-4F38-8323-2318E1CCCF9A}"/>
    <cellStyle name="Total 5" xfId="42449" xr:uid="{B06FE53A-590A-4F0C-80C6-BAAA72C8EA35}"/>
    <cellStyle name="Total 6" xfId="43916" xr:uid="{D340AD47-A968-4A35-8F80-589BE50B01AD}"/>
    <cellStyle name="Total 7" xfId="43917" xr:uid="{C02A73D7-423D-4CF2-88E8-FD129EE03722}"/>
    <cellStyle name="Total 8" xfId="43918" xr:uid="{9BE64412-E9B2-48CD-9069-9AB63F31EAB1}"/>
    <cellStyle name="Total 9" xfId="43919" xr:uid="{BBF0772A-3641-4EFE-8087-2FFE6AED9A1A}"/>
    <cellStyle name="totalbalan" xfId="916" xr:uid="{20B93BA4-C661-4175-87E4-D26E5D30D7D6}"/>
    <cellStyle name="ubordinated Debt" xfId="42450" xr:uid="{E9B3F9E4-7650-4666-8076-4A004739716D}"/>
    <cellStyle name="Underline 2" xfId="917" xr:uid="{2C3E6012-ACEF-4D15-B364-FC4CBFF554B7}"/>
    <cellStyle name="UNIDAGSCode" xfId="42451" xr:uid="{8D385F01-9F74-440E-8A8D-7EB129309CAF}"/>
    <cellStyle name="UNIDAGSCode 2" xfId="42452" xr:uid="{938C9589-E780-4E31-A571-F7F7DD5618A0}"/>
    <cellStyle name="UNIDAGSCode 3" xfId="42453" xr:uid="{D0D9A77D-48C3-4E46-9392-E4F04703894C}"/>
    <cellStyle name="UNIDAGSCode2" xfId="42454" xr:uid="{5EE92FC6-1C02-4432-9AF8-C22A9FDEE0D6}"/>
    <cellStyle name="UNIDAGSCurrency" xfId="42455" xr:uid="{CD622F03-3A77-464A-9958-446E9D915DC2}"/>
    <cellStyle name="UNIDAGSCurrency 2" xfId="42456" xr:uid="{2A3F357D-6D27-4918-B86B-D92DA1D85360}"/>
    <cellStyle name="UNIDAGSCurrency 3" xfId="42457" xr:uid="{AA383D86-9922-42BC-9BAA-AD8F0CA8285D}"/>
    <cellStyle name="UNIDAGSDate" xfId="42458" xr:uid="{BCE6EE57-3988-4820-88DF-5C164DA537DD}"/>
    <cellStyle name="UNIDAGSDate 2" xfId="42459" xr:uid="{34A686EB-8DB9-4221-B255-6CDAB9EAFA2B}"/>
    <cellStyle name="UNIDAGSDate 3" xfId="42460" xr:uid="{0ADCAEBF-E455-4177-8CE2-7F196967E502}"/>
    <cellStyle name="UNIDAGSPercent" xfId="42461" xr:uid="{6E068A0F-484F-40FF-AFBD-41FEC6E3D6FA}"/>
    <cellStyle name="UNIDAGSPercent 2" xfId="42462" xr:uid="{4AD54420-94C1-478C-9B39-B42AF53AB46F}"/>
    <cellStyle name="UNIDAGSPercent 3" xfId="42463" xr:uid="{CDA48377-A119-48E3-8980-F0948659056D}"/>
    <cellStyle name="UNIDAGSPercent2" xfId="42464" xr:uid="{12722232-C645-476C-AE4B-0E851EBBCC88}"/>
    <cellStyle name="UNIDAGSPercent2 2" xfId="42465" xr:uid="{5C0EFDF3-4F8F-41B9-9EB6-2928AA33FC81}"/>
    <cellStyle name="UNIDAGSPercent2 3" xfId="42466" xr:uid="{BAD40A49-5E17-4C75-8C95-C1A2B14A5D18}"/>
    <cellStyle name="Unprot" xfId="918" xr:uid="{A98E3DB8-3210-40CE-9F4C-3E91AB825912}"/>
    <cellStyle name="Unprot 2" xfId="1184" xr:uid="{BADC8788-24AA-4BD2-95DD-6D7601F74548}"/>
    <cellStyle name="Unprot 3" xfId="1185" xr:uid="{B1F7B651-82A4-46CA-8930-E98F0E7776B9}"/>
    <cellStyle name="Unprot 4" xfId="1186" xr:uid="{D1DC48D0-ABEF-489B-A7BB-76E3ADC41C8C}"/>
    <cellStyle name="Unprot 5" xfId="1187" xr:uid="{49A4F451-EC72-46B7-B4F0-1591DA67A86A}"/>
    <cellStyle name="Unprot 6" xfId="42467" xr:uid="{A0FFAD25-B191-4A35-B103-FD9AC576AD80}"/>
    <cellStyle name="Unprot 7" xfId="42468" xr:uid="{DF740856-E5B5-4AAC-A959-AB59130E2970}"/>
    <cellStyle name="Unprot 8" xfId="42469" xr:uid="{AC4EFD95-6696-4F07-A6D8-93014EF200F9}"/>
    <cellStyle name="Unprot 9" xfId="42470" xr:uid="{E8EA4297-5055-42C6-A62E-DAB545B13377}"/>
    <cellStyle name="Unprot$" xfId="919" xr:uid="{FDDB1A99-DD15-41AF-8C88-DF0378E55DE6}"/>
    <cellStyle name="Unprot$ 10" xfId="43920" xr:uid="{D31A6103-25A5-47EF-BFDD-FCDAA8949D2D}"/>
    <cellStyle name="Unprot$ 11" xfId="43921" xr:uid="{F1C8BAF2-46D4-4B1F-9220-BA559EA768B2}"/>
    <cellStyle name="Unprot$ 12" xfId="43922" xr:uid="{0B0F19B1-1FCA-4091-B0A9-8EB6B0736A32}"/>
    <cellStyle name="Unprot$ 13" xfId="43923" xr:uid="{C07E77D1-F1B2-4964-88A7-20C761589C4A}"/>
    <cellStyle name="Unprot$ 14" xfId="43924" xr:uid="{A5271ABA-5E4B-4F84-B62B-EB6D1CF59EC7}"/>
    <cellStyle name="Unprot$ 15" xfId="43925" xr:uid="{F4A61358-B52A-43B5-B36C-C6A67CE7156C}"/>
    <cellStyle name="Unprot$ 16" xfId="43926" xr:uid="{9801441A-C25E-4419-A89A-A2A99D5B0294}"/>
    <cellStyle name="Unprot$ 17" xfId="43927" xr:uid="{A9AA4562-888F-4FC0-8632-475AE415C23F}"/>
    <cellStyle name="Unprot$ 18" xfId="43928" xr:uid="{89F8DB9C-5AE4-45DA-BB32-7CB4267DD334}"/>
    <cellStyle name="Unprot$ 19" xfId="43929" xr:uid="{F1057F73-1740-4531-A61E-599FBE4E0240}"/>
    <cellStyle name="Unprot$ 2" xfId="42471" xr:uid="{2DEB3E49-EB48-47E8-B78E-871A47B8FF48}"/>
    <cellStyle name="Unprot$ 20" xfId="43930" xr:uid="{166DB9CC-414D-421D-94F4-1EC2180E9C5A}"/>
    <cellStyle name="Unprot$ 21" xfId="43931" xr:uid="{71D03418-9A58-4E0C-BADA-50D648B38341}"/>
    <cellStyle name="Unprot$ 22" xfId="43932" xr:uid="{9D28468E-FDE7-4CFB-9126-6B091BDFC86E}"/>
    <cellStyle name="Unprot$ 23" xfId="43933" xr:uid="{06FA134F-83B2-4D20-88E1-EB101127A0C1}"/>
    <cellStyle name="Unprot$ 24" xfId="43934" xr:uid="{E75104F5-B891-4CB6-8BE0-7FBB3F265572}"/>
    <cellStyle name="Unprot$ 25" xfId="43935" xr:uid="{226E4BAA-B5D3-4529-9257-AF548F92D85D}"/>
    <cellStyle name="Unprot$ 26" xfId="43936" xr:uid="{D6A71D68-7BC7-4260-8C21-8C304F7659DF}"/>
    <cellStyle name="Unprot$ 27" xfId="43937" xr:uid="{5DE8B6AE-21DA-48EE-8817-C138B29A663B}"/>
    <cellStyle name="Unprot$ 28" xfId="43938" xr:uid="{5B23CBD9-011D-456B-86E4-BAF9D5F7F31D}"/>
    <cellStyle name="Unprot$ 3" xfId="42472" xr:uid="{44B7C3BC-081C-437D-AC78-52355BFD4EC7}"/>
    <cellStyle name="Unprot$ 4" xfId="43939" xr:uid="{F76541A0-5916-4A1C-BBCF-DCAAFC914C48}"/>
    <cellStyle name="Unprot$ 5" xfId="43940" xr:uid="{D6E6F784-53E8-490E-90E9-33CE810EC9E3}"/>
    <cellStyle name="Unprot$ 6" xfId="43941" xr:uid="{DCE57519-BBB9-495C-8900-5E2FCBD97D1B}"/>
    <cellStyle name="Unprot$ 7" xfId="43942" xr:uid="{42860B98-B253-42DC-ADFD-3EDBFD35E52D}"/>
    <cellStyle name="Unprot$ 8" xfId="43943" xr:uid="{30F661DB-0487-4AA3-8306-55D52E9D91CC}"/>
    <cellStyle name="Unprot$ 9" xfId="43944" xr:uid="{0504FA3C-0BA3-4D2E-8E2C-C325969E93D5}"/>
    <cellStyle name="Unprot$_IF - Autoprodutores 2" xfId="42473" xr:uid="{7CD2CE07-C182-41AF-8D72-D1BD09E4FB76}"/>
    <cellStyle name="Unprot_Abertura Tarifária CEB RTP 2008" xfId="42474" xr:uid="{5EA87DC9-ABEA-4C71-8C79-CA0C9A7DE987}"/>
    <cellStyle name="Unprotect" xfId="920" xr:uid="{7FEDFE29-FAF3-44BA-8DB8-9B759F2D1453}"/>
    <cellStyle name="Update" xfId="42475" xr:uid="{EE6A625D-5036-4BAA-A67F-2CD925BAC5FB}"/>
    <cellStyle name="User Entered" xfId="42476" xr:uid="{51BBE74C-1E79-4982-A29A-254C3E338345}"/>
    <cellStyle name="V¡rgula" xfId="921" xr:uid="{5F64760F-E22E-44E9-B06E-6D6D48C268B6}"/>
    <cellStyle name="V¡rgula 2" xfId="42477" xr:uid="{C9C8F2DC-0DB3-4859-94C2-B2BA1F9247CE}"/>
    <cellStyle name="V¡rgula 3" xfId="42478" xr:uid="{BB8561EF-4F30-45BD-A4F8-A25D14674802}"/>
    <cellStyle name="V¡rgula0" xfId="922" xr:uid="{FF56D316-BDB6-41CB-AE37-F88F0FC7A13C}"/>
    <cellStyle name="V¡rgula0 2" xfId="42479" xr:uid="{908305AE-924A-4252-B23B-995472817C70}"/>
    <cellStyle name="V¡rgula0 3" xfId="42480" xr:uid="{2736423C-0A01-44A8-8EC8-5DCACCFFFDEE}"/>
    <cellStyle name="Valuta (0)_ cellular Costs" xfId="42481" xr:uid="{1D07E447-8BF3-4CD8-B974-CC18FD5B3547}"/>
    <cellStyle name="Valuta_ cellular Costs" xfId="42482" xr:uid="{1DF35ED2-E01A-4D21-9B2F-C8D596760EF6}"/>
    <cellStyle name="Vírgula" xfId="29" builtinId="3"/>
    <cellStyle name="Vírgula 10" xfId="43945" xr:uid="{5B6B9F2B-9854-4032-83B6-5CE66E0BD278}"/>
    <cellStyle name="Vírgula 10 2" xfId="43946" xr:uid="{4538BCC5-8F1E-4B42-AFFB-8E5F32B23B83}"/>
    <cellStyle name="Vírgula 11" xfId="43947" xr:uid="{6CFBBFF1-291C-41C7-95E7-16A05B7F98BE}"/>
    <cellStyle name="Vírgula 12" xfId="42567" xr:uid="{B2F546ED-6458-4B5B-B58F-EC49E2F0F4F3}"/>
    <cellStyle name="Vírgula 13" xfId="43953" xr:uid="{007DA217-60D7-409E-96CE-EB11CEEAFB58}"/>
    <cellStyle name="Vírgula 13 2" xfId="43961" xr:uid="{0186467B-2BB5-429B-A931-5ECA470919CB}"/>
    <cellStyle name="Vírgula 14" xfId="43957" xr:uid="{3BDACD8D-2D1B-4BE6-B8DF-F9ECA905CB7F}"/>
    <cellStyle name="Vírgula 14 2" xfId="43970" xr:uid="{F2099361-2D77-4641-8C74-D07600AF9BA4}"/>
    <cellStyle name="Vírgula 15" xfId="43987" xr:uid="{42570B22-BA14-42FA-A077-A136DFBA1933}"/>
    <cellStyle name="Vírgula 15 2" xfId="43989" xr:uid="{9CD10171-E285-4670-9812-B9D79A2D7CC2}"/>
    <cellStyle name="Vírgula 16" xfId="887" xr:uid="{3247E15D-8149-492A-AA57-1A61C3F9005D}"/>
    <cellStyle name="Vírgula 17" xfId="43971" xr:uid="{9F3B055A-3BBC-4B46-AC3C-3F84E53EE55D}"/>
    <cellStyle name="Vírgula 17 2" xfId="43984" xr:uid="{659B8468-F067-4431-9898-173FD6515C16}"/>
    <cellStyle name="Vírgula 18" xfId="43990" xr:uid="{4C9D1F30-4B63-4153-A3A3-C68A9977654F}"/>
    <cellStyle name="Vírgula 2" xfId="4" xr:uid="{00000000-0005-0000-0000-000017000000}"/>
    <cellStyle name="Vírgula 2 10" xfId="24" xr:uid="{00000000-0005-0000-0000-000018000000}"/>
    <cellStyle name="Vírgula 2 2" xfId="10" xr:uid="{00000000-0005-0000-0000-000019000000}"/>
    <cellStyle name="Vírgula 2 2 2" xfId="42568" xr:uid="{FF40F8AA-E53F-400C-959B-2DFACFD8773A}"/>
    <cellStyle name="Vírgula 2 2 3" xfId="1" xr:uid="{00000000-0005-0000-0000-00001A000000}"/>
    <cellStyle name="Vírgula 2 2 3 2" xfId="43979" xr:uid="{965CB014-E0E7-4183-8F08-F7BBD14B9795}"/>
    <cellStyle name="Vírgula 2 2 4" xfId="43948" xr:uid="{EB344AE2-D516-4E6B-968E-2249AC386AEF}"/>
    <cellStyle name="Vírgula 2 3" xfId="42483" xr:uid="{6D8F99AE-9589-4E9F-855B-1F8CBBA0FA90}"/>
    <cellStyle name="Vírgula 2 4" xfId="43949" xr:uid="{955DB786-FEE8-4131-8DFE-599C2B4CE10B}"/>
    <cellStyle name="Vírgula 2 5" xfId="43977" xr:uid="{EF8F9C81-8073-4110-86B9-949E24E43387}"/>
    <cellStyle name="Vírgula 2 6" xfId="43982" xr:uid="{A34FD4A7-E649-4865-8D9F-A9FC6F9B9AE1}"/>
    <cellStyle name="Vírgula 2 7" xfId="1737" xr:uid="{28814794-F227-474F-A9BB-E12006583929}"/>
    <cellStyle name="Vírgula 23" xfId="43972" xr:uid="{3F2C5FF5-06AC-449E-8D2D-32C3E9393BAA}"/>
    <cellStyle name="Vírgula 3" xfId="1738" xr:uid="{2F8CC95C-A57E-4FED-A6AD-CF9752E508C4}"/>
    <cellStyle name="Vírgula 3 2" xfId="19" xr:uid="{00000000-0005-0000-0000-00001B000000}"/>
    <cellStyle name="Vírgula 3 2 2" xfId="42484" xr:uid="{EE4B5BD6-76B4-4DF2-86F4-41035FED7443}"/>
    <cellStyle name="Vírgula 3 2 2 2" xfId="27" xr:uid="{00000000-0005-0000-0000-00001C000000}"/>
    <cellStyle name="Vírgula 4" xfId="20" xr:uid="{00000000-0005-0000-0000-00001D000000}"/>
    <cellStyle name="Vírgula 4 2" xfId="42485" xr:uid="{B3DBFA8A-376F-4376-8286-14018ACC67EE}"/>
    <cellStyle name="Vírgula 5" xfId="42486" xr:uid="{A3530880-2215-45A7-96DF-F4CE462314E4}"/>
    <cellStyle name="Vírgula 5 2" xfId="43950" xr:uid="{C7D82A22-9B24-4F98-8657-93B840309AE0}"/>
    <cellStyle name="Vírgula 6" xfId="42487" xr:uid="{8DAB62EC-5773-4CBE-8C11-C2D5E5827ECD}"/>
    <cellStyle name="Vírgula 7" xfId="42556" xr:uid="{7D7C7F16-8D6E-4F7B-8DF4-BD56BF596520}"/>
    <cellStyle name="Vírgula 7 2" xfId="42564" xr:uid="{4852A575-5934-4F18-AEB4-8FEEE0069952}"/>
    <cellStyle name="Vírgula 8" xfId="42558" xr:uid="{7EB5CD7F-40FE-46F8-9BC7-2DF365E06A83}"/>
    <cellStyle name="Vírgula 9" xfId="42560" xr:uid="{9569E055-2D20-4C3D-89B4-9300D4925029}"/>
    <cellStyle name="Vírgula 9 2" xfId="43983" xr:uid="{A3E40097-F10D-451C-B298-B9C187D743FA}"/>
    <cellStyle name="Vírgula0" xfId="42488" xr:uid="{1E2438E2-EC43-484F-97A8-AFD6E255253C}"/>
    <cellStyle name="Virgule fixe" xfId="42489" xr:uid="{73B2FA9F-AAEE-4B7A-8D75-8AC8F55AA726}"/>
    <cellStyle name="vittorio's model" xfId="42490" xr:uid="{F606206F-C2B8-4D36-A87A-E8BBBD2B4CEF}"/>
    <cellStyle name="Warning Text" xfId="923" xr:uid="{7C225875-B2DA-4365-9293-FB64530A15DC}"/>
    <cellStyle name="Warning Text 2" xfId="42491" xr:uid="{A18DC2A4-AC02-4A58-BE71-AB7021113CED}"/>
    <cellStyle name="Year" xfId="924" xr:uid="{159B504F-2960-43FB-B1B5-4B88BD71F31D}"/>
    <cellStyle name="Year 2" xfId="42492" xr:uid="{3DC7A6BD-2F94-4CC8-A844-D0F85EBD095A}"/>
    <cellStyle name="Year 3" xfId="42493" xr:uid="{4E9F8821-9A9C-4F90-A74E-C82DC4AC414E}"/>
    <cellStyle name="Year 3 2" xfId="42494" xr:uid="{6C6F9FAC-86C2-4D66-AE0C-D7C12D1F1795}"/>
    <cellStyle name="Year 4" xfId="42495" xr:uid="{779879B1-D295-41F5-8BBE-E07BBA67DDC7}"/>
    <cellStyle name="Денежный [0]_18.04" xfId="42496" xr:uid="{8FB47E1D-4018-4E0C-A125-38A8A74C1239}"/>
    <cellStyle name="Денежный_18.04" xfId="42497" xr:uid="{5417AC11-17AC-44AE-9003-2124954EFCC9}"/>
    <cellStyle name="Обычный_3Com" xfId="42498" xr:uid="{F5C7B84A-9C15-4E06-9D12-E164E0BAD9C3}"/>
    <cellStyle name="Тысячи [0]_3Com" xfId="42499" xr:uid="{FB845B42-626A-4D36-9712-D03258E728ED}"/>
    <cellStyle name="Тысячи_3Com" xfId="42500" xr:uid="{099536E6-C373-4A91-915F-C7DD430C6705}"/>
    <cellStyle name="Финансовый [0]_18.04" xfId="42501" xr:uid="{CD19FCAB-A59C-458A-ABDA-BC74BC710DAD}"/>
    <cellStyle name="Финансовый_18.04" xfId="42502" xr:uid="{77B7B08D-ED3A-4D96-90D7-0F7E362DA69C}"/>
    <cellStyle name="桁区切り [0.00]_Balanzas" xfId="42503" xr:uid="{7E14353E-283B-4E6E-9149-F244BED6122E}"/>
    <cellStyle name="桁区切り_details expenses" xfId="42504" xr:uid="{6A9E3A3F-A347-4F0D-A8C2-9575DCDCBAB8}"/>
    <cellStyle name="標準_assumption" xfId="42505" xr:uid="{2C939D84-32B0-4B89-B5FC-A9EA9C93AB05}"/>
  </cellStyles>
  <dxfs count="2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ont>
        <b/>
        <i val="0"/>
      </font>
      <border>
        <top style="thin">
          <color auto="1"/>
        </top>
      </border>
    </dxf>
    <dxf>
      <fill>
        <patternFill>
          <bgColor theme="3"/>
        </patternFill>
      </fill>
    </dxf>
    <dxf>
      <border diagonalUp="1">
        <left style="double">
          <color auto="1"/>
        </left>
        <right style="double">
          <color auto="1"/>
        </right>
        <top style="double">
          <color auto="1"/>
        </top>
        <bottom style="double">
          <color auto="1"/>
        </bottom>
        <diagonal style="double">
          <color auto="1"/>
        </diagonal>
      </border>
    </dxf>
    <dxf>
      <font>
        <b/>
        <i val="0"/>
      </font>
      <border>
        <top style="thin">
          <color auto="1"/>
        </top>
      </border>
    </dxf>
    <dxf>
      <fill>
        <patternFill>
          <bgColor theme="3"/>
        </patternFill>
      </fill>
    </dxf>
    <dxf>
      <border diagonalUp="1">
        <left style="double">
          <color auto="1"/>
        </left>
        <right style="double">
          <color auto="1"/>
        </right>
        <top style="double">
          <color auto="1"/>
        </top>
        <bottom style="double">
          <color auto="1"/>
        </bottom>
        <diagonal style="double">
          <color auto="1"/>
        </diagonal>
      </border>
    </dxf>
    <dxf>
      <font>
        <color theme="3"/>
      </font>
    </dxf>
  </dxfs>
  <tableStyles count="11" defaultTableStyle="TableStyleMedium2" defaultPivotStyle="PivotStyleLight16">
    <tableStyle name="Estilo de Tabela 1" pivot="0" count="1" xr9:uid="{AC1370AE-06B5-4C68-8876-5F2F4DA66E78}">
      <tableStyleElement type="headerRow" dxfId="22"/>
    </tableStyle>
    <tableStyle name="Estilo de Tabela 1 2" pivot="0" count="3" xr9:uid="{B0427C3A-198A-4FCA-BD21-707A0CD051A2}">
      <tableStyleElement type="wholeTable" dxfId="21"/>
      <tableStyleElement type="headerRow" dxfId="20"/>
      <tableStyleElement type="totalRow" dxfId="19"/>
    </tableStyle>
    <tableStyle name="Estilo de Tabela 1 3" pivot="0" count="3" xr9:uid="{30836FD2-AD4A-4847-A276-049A3A24A40F}">
      <tableStyleElement type="wholeTable" dxfId="18"/>
      <tableStyleElement type="headerRow" dxfId="17"/>
      <tableStyleElement type="totalRow" dxfId="16"/>
    </tableStyle>
    <tableStyle name="Invisible" pivot="0" table="0" count="0" xr9:uid="{2D8C9315-2E83-40E7-8283-0C89DCF6189D}"/>
    <tableStyle name="Padrão" pivot="0" count="2" xr9:uid="{1BF7A656-D397-4D3E-A83A-A12433D61A9B}">
      <tableStyleElement type="wholeTable" dxfId="15"/>
      <tableStyleElement type="headerRow" dxfId="14"/>
    </tableStyle>
    <tableStyle name="Padrão 2" pivot="0" count="2" xr9:uid="{E6E33590-A6D7-4AF6-8DC5-E173130CFCC2}">
      <tableStyleElement type="wholeTable" dxfId="13"/>
      <tableStyleElement type="headerRow" dxfId="12"/>
    </tableStyle>
    <tableStyle name="Padrão 3" pivot="0" count="2" xr9:uid="{0ADF50DE-F624-4E33-9A2A-0EA3A1CE5A3B}">
      <tableStyleElement type="wholeTable" dxfId="11"/>
      <tableStyleElement type="headerRow" dxfId="10"/>
    </tableStyle>
    <tableStyle name="Padrão 4" pivot="0" count="2" xr9:uid="{9B5B53B1-E36D-4D08-BD85-9AE92AD24406}">
      <tableStyleElement type="wholeTable" dxfId="9"/>
      <tableStyleElement type="headerRow" dxfId="8"/>
    </tableStyle>
    <tableStyle name="Padrão 5" pivot="0" count="2" xr9:uid="{5D8EDF0A-9512-43ED-B559-13ECC46B7798}">
      <tableStyleElement type="wholeTable" dxfId="7"/>
      <tableStyleElement type="headerRow" dxfId="6"/>
    </tableStyle>
    <tableStyle name="Padrão 6" pivot="0" count="2" xr9:uid="{0437CB1B-7FBF-4C93-961B-54919883E955}">
      <tableStyleElement type="wholeTable" dxfId="5"/>
      <tableStyleElement type="headerRow" dxfId="4"/>
    </tableStyle>
    <tableStyle name="Padrão 7" pivot="0" count="2" xr9:uid="{F2169F41-29C9-47A2-B099-85F29A9AB5CA}">
      <tableStyleElement type="wholeTable" dxfId="3"/>
      <tableStyleElement type="headerRow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Balan&#231;o CVA'!A1"/><Relationship Id="rId13" Type="http://schemas.openxmlformats.org/officeDocument/2006/relationships/hyperlink" Target="#'Fluxo A&#231;&#245;es Preferenciais'!A1"/><Relationship Id="rId3" Type="http://schemas.openxmlformats.org/officeDocument/2006/relationships/hyperlink" Target="#'DRE Resumida'!A1"/><Relationship Id="rId7" Type="http://schemas.openxmlformats.org/officeDocument/2006/relationships/hyperlink" Target="#'Dados Regulat&#243;rios'!A1"/><Relationship Id="rId12" Type="http://schemas.openxmlformats.org/officeDocument/2006/relationships/hyperlink" Target="#'Beneficios Fiscais'!A1"/><Relationship Id="rId2" Type="http://schemas.openxmlformats.org/officeDocument/2006/relationships/hyperlink" Target="#'DRE ITR'!A1"/><Relationship Id="rId1" Type="http://schemas.openxmlformats.org/officeDocument/2006/relationships/image" Target="../media/image1.png"/><Relationship Id="rId6" Type="http://schemas.openxmlformats.org/officeDocument/2006/relationships/hyperlink" Target="#Operacional!A1"/><Relationship Id="rId11" Type="http://schemas.openxmlformats.org/officeDocument/2006/relationships/hyperlink" Target="#'Informa&#231;&#245;es Financeiras Aj.'!A1"/><Relationship Id="rId5" Type="http://schemas.openxmlformats.org/officeDocument/2006/relationships/hyperlink" Target="#'D&#237;vida e CAPEX'!A1"/><Relationship Id="rId10" Type="http://schemas.openxmlformats.org/officeDocument/2006/relationships/hyperlink" Target="#'Apura&#231;&#227;o IR CS '!A1"/><Relationship Id="rId4" Type="http://schemas.openxmlformats.org/officeDocument/2006/relationships/hyperlink" Target="#BPs!A1"/><Relationship Id="rId9" Type="http://schemas.openxmlformats.org/officeDocument/2006/relationships/hyperlink" Target="#'Sistemas Isolados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DRE ITR INTESA'!A1"/><Relationship Id="rId13" Type="http://schemas.openxmlformats.org/officeDocument/2006/relationships/hyperlink" Target="#'DRE ITR Servi&#231;os'!A1"/><Relationship Id="rId18" Type="http://schemas.openxmlformats.org/officeDocument/2006/relationships/hyperlink" Target="#Capa!A1"/><Relationship Id="rId3" Type="http://schemas.openxmlformats.org/officeDocument/2006/relationships/hyperlink" Target="#'DRE ITR Par&#225;'!A1"/><Relationship Id="rId7" Type="http://schemas.openxmlformats.org/officeDocument/2006/relationships/hyperlink" Target="#'DRE ITR EQTT'!A1"/><Relationship Id="rId12" Type="http://schemas.openxmlformats.org/officeDocument/2006/relationships/hyperlink" Target="#'DRE ITR CSA'!A1"/><Relationship Id="rId17" Type="http://schemas.openxmlformats.org/officeDocument/2006/relationships/hyperlink" Target="#'DRE ITR SPEs'!A1"/><Relationship Id="rId2" Type="http://schemas.openxmlformats.org/officeDocument/2006/relationships/hyperlink" Target="#'DRE ITR Maranh&#227;o'!A1"/><Relationship Id="rId16" Type="http://schemas.openxmlformats.org/officeDocument/2006/relationships/hyperlink" Target="#'DRE ITR Echo Crescimento'!A1"/><Relationship Id="rId1" Type="http://schemas.openxmlformats.org/officeDocument/2006/relationships/image" Target="../media/image1.png"/><Relationship Id="rId6" Type="http://schemas.openxmlformats.org/officeDocument/2006/relationships/hyperlink" Target="#'DRE ITR CEEE-D'!A1"/><Relationship Id="rId11" Type="http://schemas.openxmlformats.org/officeDocument/2006/relationships/hyperlink" Target="#'DRE ITR Goi&#225;s'!A1"/><Relationship Id="rId5" Type="http://schemas.openxmlformats.org/officeDocument/2006/relationships/hyperlink" Target="#'DRE ITR Alagoas'!A1"/><Relationship Id="rId15" Type="http://schemas.openxmlformats.org/officeDocument/2006/relationships/hyperlink" Target="#'DRE ITR Consolidado'!A1"/><Relationship Id="rId10" Type="http://schemas.openxmlformats.org/officeDocument/2006/relationships/hyperlink" Target="#'DRE ITR CEA'!A1"/><Relationship Id="rId4" Type="http://schemas.openxmlformats.org/officeDocument/2006/relationships/hyperlink" Target="#'DRE ITR Piau&#237;'!A1"/><Relationship Id="rId9" Type="http://schemas.openxmlformats.org/officeDocument/2006/relationships/hyperlink" Target="#'DRE ITR Echoenergia'!A1"/><Relationship Id="rId14" Type="http://schemas.openxmlformats.org/officeDocument/2006/relationships/hyperlink" Target="#'DRE ITR Holding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Operacional Saneamento'!A1"/><Relationship Id="rId3" Type="http://schemas.openxmlformats.org/officeDocument/2006/relationships/hyperlink" Target="#'Bal. Energ&#233;tico Distribui&#231;&#227;o'!A1"/><Relationship Id="rId7" Type="http://schemas.openxmlformats.org/officeDocument/2006/relationships/hyperlink" Target="#'Operacional Renov&#225;veis'!A1"/><Relationship Id="rId2" Type="http://schemas.openxmlformats.org/officeDocument/2006/relationships/hyperlink" Target="#'Mercado Distribui&#231;&#227;o'!A1"/><Relationship Id="rId1" Type="http://schemas.openxmlformats.org/officeDocument/2006/relationships/image" Target="../media/image1.png"/><Relationship Id="rId6" Type="http://schemas.openxmlformats.org/officeDocument/2006/relationships/hyperlink" Target="#'Contratos Distribui&#231;&#227;o'!A1"/><Relationship Id="rId5" Type="http://schemas.openxmlformats.org/officeDocument/2006/relationships/hyperlink" Target="#'DEC FEC'!A1"/><Relationship Id="rId4" Type="http://schemas.openxmlformats.org/officeDocument/2006/relationships/hyperlink" Target="#'Perdas Distribui&#231;&#227;o'!A1"/><Relationship Id="rId9" Type="http://schemas.openxmlformats.org/officeDocument/2006/relationships/hyperlink" Target="#Capa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'DRE Intesa IFRS'!A1"/><Relationship Id="rId13" Type="http://schemas.openxmlformats.org/officeDocument/2006/relationships/hyperlink" Target="#'DRE Goi&#225;s'!A1"/><Relationship Id="rId18" Type="http://schemas.openxmlformats.org/officeDocument/2006/relationships/hyperlink" Target="#Capa!A1"/><Relationship Id="rId3" Type="http://schemas.openxmlformats.org/officeDocument/2006/relationships/hyperlink" Target="#'DRE Par&#225;'!A1"/><Relationship Id="rId7" Type="http://schemas.openxmlformats.org/officeDocument/2006/relationships/hyperlink" Target="#'DRE EQTT IFRS'!A1"/><Relationship Id="rId12" Type="http://schemas.openxmlformats.org/officeDocument/2006/relationships/hyperlink" Target="#'DRE CEA'!A1"/><Relationship Id="rId17" Type="http://schemas.openxmlformats.org/officeDocument/2006/relationships/hyperlink" Target="#'DRE EQTL Cons '!A1"/><Relationship Id="rId2" Type="http://schemas.openxmlformats.org/officeDocument/2006/relationships/hyperlink" Target="#'DRE Maranh&#227;o'!A1"/><Relationship Id="rId16" Type="http://schemas.openxmlformats.org/officeDocument/2006/relationships/hyperlink" Target="#'DRE EQTL Holding'!A1"/><Relationship Id="rId1" Type="http://schemas.openxmlformats.org/officeDocument/2006/relationships/image" Target="../media/image1.png"/><Relationship Id="rId6" Type="http://schemas.openxmlformats.org/officeDocument/2006/relationships/hyperlink" Target="#'DRE CEEE-D'!A1"/><Relationship Id="rId11" Type="http://schemas.openxmlformats.org/officeDocument/2006/relationships/hyperlink" Target="#'DRE Echoenergia'!A1"/><Relationship Id="rId5" Type="http://schemas.openxmlformats.org/officeDocument/2006/relationships/hyperlink" Target="#'DRE Alagoas'!A1"/><Relationship Id="rId15" Type="http://schemas.openxmlformats.org/officeDocument/2006/relationships/hyperlink" Target="#'DRE EQTL Servi&#231;os'!A1"/><Relationship Id="rId10" Type="http://schemas.openxmlformats.org/officeDocument/2006/relationships/hyperlink" Target="#'DRE Intesa Reg'!A1"/><Relationship Id="rId19" Type="http://schemas.openxmlformats.org/officeDocument/2006/relationships/hyperlink" Target="#'DRE Individual'!A1"/><Relationship Id="rId4" Type="http://schemas.openxmlformats.org/officeDocument/2006/relationships/hyperlink" Target="#'DRE Piau&#237;'!A1"/><Relationship Id="rId9" Type="http://schemas.openxmlformats.org/officeDocument/2006/relationships/hyperlink" Target="#'DRE EQTT Reg'!A1"/><Relationship Id="rId14" Type="http://schemas.openxmlformats.org/officeDocument/2006/relationships/hyperlink" Target="#'DRE CSA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hyperlink" Target="#'BP Intesa'!A1"/><Relationship Id="rId13" Type="http://schemas.openxmlformats.org/officeDocument/2006/relationships/hyperlink" Target="#'BP EQTL Holding'!A1"/><Relationship Id="rId3" Type="http://schemas.openxmlformats.org/officeDocument/2006/relationships/hyperlink" Target="#'BP Par&#225;'!A1"/><Relationship Id="rId7" Type="http://schemas.openxmlformats.org/officeDocument/2006/relationships/hyperlink" Target="#'BP Transmiss&#227;o'!A1"/><Relationship Id="rId12" Type="http://schemas.openxmlformats.org/officeDocument/2006/relationships/hyperlink" Target="#'BP CSA'!A1"/><Relationship Id="rId2" Type="http://schemas.openxmlformats.org/officeDocument/2006/relationships/hyperlink" Target="#'BP Maranh&#227;o'!A1"/><Relationship Id="rId16" Type="http://schemas.openxmlformats.org/officeDocument/2006/relationships/hyperlink" Target="#'BP Echo Crescimento'!A1"/><Relationship Id="rId1" Type="http://schemas.openxmlformats.org/officeDocument/2006/relationships/image" Target="../media/image1.png"/><Relationship Id="rId6" Type="http://schemas.openxmlformats.org/officeDocument/2006/relationships/hyperlink" Target="#'BP CEEE-D '!A1"/><Relationship Id="rId11" Type="http://schemas.openxmlformats.org/officeDocument/2006/relationships/hyperlink" Target="#'BP CELG'!A1"/><Relationship Id="rId5" Type="http://schemas.openxmlformats.org/officeDocument/2006/relationships/hyperlink" Target="#'BP Alagoas'!A1"/><Relationship Id="rId15" Type="http://schemas.openxmlformats.org/officeDocument/2006/relationships/hyperlink" Target="#Capa!A1"/><Relationship Id="rId10" Type="http://schemas.openxmlformats.org/officeDocument/2006/relationships/hyperlink" Target="#'BP CEA'!A1"/><Relationship Id="rId4" Type="http://schemas.openxmlformats.org/officeDocument/2006/relationships/hyperlink" Target="#'BP Piau&#237;'!A1"/><Relationship Id="rId9" Type="http://schemas.openxmlformats.org/officeDocument/2006/relationships/hyperlink" Target="#'BP Echoenergia'!A1"/><Relationship Id="rId14" Type="http://schemas.openxmlformats.org/officeDocument/2006/relationships/hyperlink" Target="#'BP EQTL Cons'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D&#237;vida L&#237;quida'!A1"/><Relationship Id="rId2" Type="http://schemas.openxmlformats.org/officeDocument/2006/relationships/hyperlink" Target="#'D&#237;vida Bruta'!A1"/><Relationship Id="rId1" Type="http://schemas.openxmlformats.org/officeDocument/2006/relationships/image" Target="../media/image1.png"/><Relationship Id="rId6" Type="http://schemas.openxmlformats.org/officeDocument/2006/relationships/hyperlink" Target="#Capa!A1"/><Relationship Id="rId5" Type="http://schemas.openxmlformats.org/officeDocument/2006/relationships/hyperlink" Target="#Investimentos!A1"/><Relationship Id="rId4" Type="http://schemas.openxmlformats.org/officeDocument/2006/relationships/hyperlink" Target="#'D&#237;vida Detalhada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hyperlink" Target="#'D&#237;vida e CAPEX'!A1"/><Relationship Id="rId1" Type="http://schemas.openxmlformats.org/officeDocument/2006/relationships/hyperlink" Target="#Capa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hyperlink" Target="#'D&#237;vida e CAPEX'!A1"/><Relationship Id="rId1" Type="http://schemas.openxmlformats.org/officeDocument/2006/relationships/hyperlink" Target="#Capa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hyperlink" Target="#'D&#237;vida e CAPEX'!A1"/><Relationship Id="rId1" Type="http://schemas.openxmlformats.org/officeDocument/2006/relationships/hyperlink" Target="#Capa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hyperlink" Target="#'D&#237;vida e CAPEX'!A1"/><Relationship Id="rId1" Type="http://schemas.openxmlformats.org/officeDocument/2006/relationships/hyperlink" Target="#Capa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Dados Leil&#245;es Transmiss&#227;o'!A1"/><Relationship Id="rId2" Type="http://schemas.openxmlformats.org/officeDocument/2006/relationships/hyperlink" Target="#'Dados Regulat&#243;rios Distribui&#231;&#227;o'!A1"/><Relationship Id="rId1" Type="http://schemas.openxmlformats.org/officeDocument/2006/relationships/image" Target="../media/image1.png"/><Relationship Id="rId5" Type="http://schemas.openxmlformats.org/officeDocument/2006/relationships/hyperlink" Target="#'Dados Concess&#245;es'!A1"/><Relationship Id="rId4" Type="http://schemas.openxmlformats.org/officeDocument/2006/relationships/hyperlink" Target="#Capa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hyperlink" Target="#'Dados Regulat&#243;rios'!A1"/><Relationship Id="rId1" Type="http://schemas.openxmlformats.org/officeDocument/2006/relationships/hyperlink" Target="#Capa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hyperlink" Target="#'Dados Regulat&#243;rios'!A1"/><Relationship Id="rId1" Type="http://schemas.openxmlformats.org/officeDocument/2006/relationships/hyperlink" Target="#Capa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hyperlink" Target="#'Dados Regulat&#243;rios'!A1"/><Relationship Id="rId1" Type="http://schemas.openxmlformats.org/officeDocument/2006/relationships/hyperlink" Target="#Capa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523768</xdr:colOff>
      <xdr:row>2</xdr:row>
      <xdr:rowOff>97427</xdr:rowOff>
    </xdr:to>
    <xdr:pic>
      <xdr:nvPicPr>
        <xdr:cNvPr id="13" name="Imagem 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806468" cy="433977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11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DRE ITRs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DRE Resumida</a:t>
          </a:r>
        </a:p>
      </xdr:txBody>
    </xdr:sp>
    <xdr:clientData/>
  </xdr:twoCellAnchor>
  <xdr:twoCellAnchor>
    <xdr:from>
      <xdr:col>3</xdr:col>
      <xdr:colOff>114300</xdr:colOff>
      <xdr:row>16</xdr:row>
      <xdr:rowOff>22419</xdr:rowOff>
    </xdr:from>
    <xdr:to>
      <xdr:col>6</xdr:col>
      <xdr:colOff>476250</xdr:colOff>
      <xdr:row>17</xdr:row>
      <xdr:rowOff>162119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436594" y="3429007"/>
          <a:ext cx="2199715" cy="326465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Balanços Patrimoniais</a:t>
          </a:r>
        </a:p>
      </xdr:txBody>
    </xdr:sp>
    <xdr:clientData/>
  </xdr:twoCellAnchor>
  <xdr:twoCellAnchor>
    <xdr:from>
      <xdr:col>3</xdr:col>
      <xdr:colOff>114300</xdr:colOff>
      <xdr:row>18</xdr:row>
      <xdr:rowOff>139893</xdr:rowOff>
    </xdr:from>
    <xdr:to>
      <xdr:col>6</xdr:col>
      <xdr:colOff>476250</xdr:colOff>
      <xdr:row>20</xdr:row>
      <xdr:rowOff>95444</xdr:rowOff>
    </xdr:to>
    <xdr:sp macro="" textlink="">
      <xdr:nvSpPr>
        <xdr:cNvPr id="6" name="Retângulo: Cantos Arredondado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436594" y="3920011"/>
          <a:ext cx="2199715" cy="32908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Dívida e CAPEX</a:t>
          </a:r>
        </a:p>
      </xdr:txBody>
    </xdr:sp>
    <xdr:clientData/>
  </xdr:twoCellAnchor>
  <xdr:twoCellAnchor>
    <xdr:from>
      <xdr:col>8</xdr:col>
      <xdr:colOff>69850</xdr:colOff>
      <xdr:row>8</xdr:row>
      <xdr:rowOff>133350</xdr:rowOff>
    </xdr:from>
    <xdr:to>
      <xdr:col>11</xdr:col>
      <xdr:colOff>431800</xdr:colOff>
      <xdr:row>10</xdr:row>
      <xdr:rowOff>88900</xdr:rowOff>
    </xdr:to>
    <xdr:sp macro="" textlink="">
      <xdr:nvSpPr>
        <xdr:cNvPr id="10" name="Retângulo: Cantos Arredondado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43230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Operacional</a:t>
          </a:r>
        </a:p>
      </xdr:txBody>
    </xdr:sp>
    <xdr:clientData/>
  </xdr:twoCellAnchor>
  <xdr:twoCellAnchor>
    <xdr:from>
      <xdr:col>13</xdr:col>
      <xdr:colOff>92214</xdr:colOff>
      <xdr:row>8</xdr:row>
      <xdr:rowOff>127000</xdr:rowOff>
    </xdr:from>
    <xdr:to>
      <xdr:col>16</xdr:col>
      <xdr:colOff>454164</xdr:colOff>
      <xdr:row>10</xdr:row>
      <xdr:rowOff>82550</xdr:rowOff>
    </xdr:to>
    <xdr:sp macro="" textlink="">
      <xdr:nvSpPr>
        <xdr:cNvPr id="24" name="Retângulo: Cantos Arredondados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7474779" y="2015435"/>
          <a:ext cx="2184124" cy="319985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Dados Regulatórios</a:t>
          </a:r>
        </a:p>
      </xdr:txBody>
    </xdr:sp>
    <xdr:clientData/>
  </xdr:twoCellAnchor>
  <xdr:twoCellAnchor>
    <xdr:from>
      <xdr:col>3</xdr:col>
      <xdr:colOff>113926</xdr:colOff>
      <xdr:row>21</xdr:row>
      <xdr:rowOff>75083</xdr:rowOff>
    </xdr:from>
    <xdr:to>
      <xdr:col>6</xdr:col>
      <xdr:colOff>475876</xdr:colOff>
      <xdr:row>23</xdr:row>
      <xdr:rowOff>28019</xdr:rowOff>
    </xdr:to>
    <xdr:sp macro="" textlink="">
      <xdr:nvSpPr>
        <xdr:cNvPr id="7" name="Retângulo: Cantos Arredondados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436220" y="4415495"/>
          <a:ext cx="2199715" cy="326465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Balanço CVA</a:t>
          </a:r>
        </a:p>
      </xdr:txBody>
    </xdr:sp>
    <xdr:clientData/>
  </xdr:twoCellAnchor>
  <xdr:twoCellAnchor>
    <xdr:from>
      <xdr:col>3</xdr:col>
      <xdr:colOff>113926</xdr:colOff>
      <xdr:row>24</xdr:row>
      <xdr:rowOff>5793</xdr:rowOff>
    </xdr:from>
    <xdr:to>
      <xdr:col>6</xdr:col>
      <xdr:colOff>475876</xdr:colOff>
      <xdr:row>25</xdr:row>
      <xdr:rowOff>148108</xdr:rowOff>
    </xdr:to>
    <xdr:sp macro="" textlink="">
      <xdr:nvSpPr>
        <xdr:cNvPr id="8" name="Retângulo: Cantos Arredondados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436220" y="4906499"/>
          <a:ext cx="2199715" cy="32908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Sistemas Isolados</a:t>
          </a:r>
        </a:p>
      </xdr:txBody>
    </xdr:sp>
    <xdr:clientData/>
  </xdr:twoCellAnchor>
  <xdr:twoCellAnchor>
    <xdr:from>
      <xdr:col>3</xdr:col>
      <xdr:colOff>113926</xdr:colOff>
      <xdr:row>26</xdr:row>
      <xdr:rowOff>144933</xdr:rowOff>
    </xdr:from>
    <xdr:to>
      <xdr:col>6</xdr:col>
      <xdr:colOff>475876</xdr:colOff>
      <xdr:row>28</xdr:row>
      <xdr:rowOff>100483</xdr:rowOff>
    </xdr:to>
    <xdr:sp macro="" textlink="">
      <xdr:nvSpPr>
        <xdr:cNvPr id="9" name="Retângulo: Cantos Arredondados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436220" y="5419168"/>
          <a:ext cx="2199715" cy="32908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Apuração IR e CSLL</a:t>
          </a:r>
        </a:p>
      </xdr:txBody>
    </xdr:sp>
    <xdr:clientData/>
  </xdr:twoCellAnchor>
  <xdr:twoCellAnchor>
    <xdr:from>
      <xdr:col>3</xdr:col>
      <xdr:colOff>109817</xdr:colOff>
      <xdr:row>13</xdr:row>
      <xdr:rowOff>122521</xdr:rowOff>
    </xdr:from>
    <xdr:to>
      <xdr:col>6</xdr:col>
      <xdr:colOff>471767</xdr:colOff>
      <xdr:row>15</xdr:row>
      <xdr:rowOff>75456</xdr:rowOff>
    </xdr:to>
    <xdr:sp macro="" textlink="">
      <xdr:nvSpPr>
        <xdr:cNvPr id="2" name="Retângulo: Cantos Arredondados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432111" y="2968815"/>
          <a:ext cx="2199715" cy="326465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Informações Fin. Ajustadas</a:t>
          </a:r>
        </a:p>
      </xdr:txBody>
    </xdr:sp>
    <xdr:clientData/>
  </xdr:twoCellAnchor>
  <xdr:twoCellAnchor>
    <xdr:from>
      <xdr:col>3</xdr:col>
      <xdr:colOff>136337</xdr:colOff>
      <xdr:row>29</xdr:row>
      <xdr:rowOff>55286</xdr:rowOff>
    </xdr:from>
    <xdr:to>
      <xdr:col>6</xdr:col>
      <xdr:colOff>498287</xdr:colOff>
      <xdr:row>31</xdr:row>
      <xdr:rowOff>10836</xdr:rowOff>
    </xdr:to>
    <xdr:sp macro="" textlink="">
      <xdr:nvSpPr>
        <xdr:cNvPr id="15" name="Retângulo: Cantos Arredondados 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1466102" y="5889815"/>
          <a:ext cx="2199714" cy="32908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Benefícios Fiscais</a:t>
          </a:r>
        </a:p>
      </xdr:txBody>
    </xdr:sp>
    <xdr:clientData/>
  </xdr:twoCellAnchor>
  <xdr:twoCellAnchor>
    <xdr:from>
      <xdr:col>3</xdr:col>
      <xdr:colOff>132602</xdr:colOff>
      <xdr:row>32</xdr:row>
      <xdr:rowOff>17932</xdr:rowOff>
    </xdr:from>
    <xdr:to>
      <xdr:col>6</xdr:col>
      <xdr:colOff>494552</xdr:colOff>
      <xdr:row>33</xdr:row>
      <xdr:rowOff>163982</xdr:rowOff>
    </xdr:to>
    <xdr:sp macro="" textlink="">
      <xdr:nvSpPr>
        <xdr:cNvPr id="14" name="Retângulo: Cantos Arredondados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443690" y="6528550"/>
          <a:ext cx="2177303" cy="3365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Fluxo Ações Preferenciais</a:t>
          </a:r>
          <a:endParaRPr lang="pt-BR" sz="1100" b="1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Maranhão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Pará</a:t>
          </a:r>
        </a:p>
      </xdr:txBody>
    </xdr:sp>
    <xdr:clientData/>
  </xdr:twoCellAnchor>
  <xdr:twoCellAnchor>
    <xdr:from>
      <xdr:col>3</xdr:col>
      <xdr:colOff>114300</xdr:colOff>
      <xdr:row>14</xdr:row>
      <xdr:rowOff>0</xdr:rowOff>
    </xdr:from>
    <xdr:to>
      <xdr:col>6</xdr:col>
      <xdr:colOff>476250</xdr:colOff>
      <xdr:row>15</xdr:row>
      <xdr:rowOff>139700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14287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Piauí</a:t>
          </a:r>
        </a:p>
      </xdr:txBody>
    </xdr:sp>
    <xdr:clientData/>
  </xdr:twoCellAnchor>
  <xdr:twoCellAnchor>
    <xdr:from>
      <xdr:col>3</xdr:col>
      <xdr:colOff>114300</xdr:colOff>
      <xdr:row>16</xdr:row>
      <xdr:rowOff>117475</xdr:rowOff>
    </xdr:from>
    <xdr:to>
      <xdr:col>6</xdr:col>
      <xdr:colOff>476250</xdr:colOff>
      <xdr:row>18</xdr:row>
      <xdr:rowOff>73025</xdr:rowOff>
    </xdr:to>
    <xdr:sp macro="" textlink="">
      <xdr:nvSpPr>
        <xdr:cNvPr id="6" name="Retângulo: Cantos Arredondado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1428750" y="34893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Alagoas</a:t>
          </a:r>
        </a:p>
      </xdr:txBody>
    </xdr:sp>
    <xdr:clientData/>
  </xdr:twoCellAnchor>
  <xdr:twoCellAnchor>
    <xdr:from>
      <xdr:col>3</xdr:col>
      <xdr:colOff>114300</xdr:colOff>
      <xdr:row>19</xdr:row>
      <xdr:rowOff>69850</xdr:rowOff>
    </xdr:from>
    <xdr:to>
      <xdr:col>6</xdr:col>
      <xdr:colOff>476250</xdr:colOff>
      <xdr:row>21</xdr:row>
      <xdr:rowOff>25400</xdr:rowOff>
    </xdr:to>
    <xdr:sp macro="" textlink="">
      <xdr:nvSpPr>
        <xdr:cNvPr id="7" name="Retângulo: Cantos Arredondados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1428750" y="39941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CEEE-D</a:t>
          </a:r>
        </a:p>
      </xdr:txBody>
    </xdr:sp>
    <xdr:clientData/>
  </xdr:twoCellAnchor>
  <xdr:twoCellAnchor>
    <xdr:from>
      <xdr:col>8</xdr:col>
      <xdr:colOff>174438</xdr:colOff>
      <xdr:row>11</xdr:row>
      <xdr:rowOff>125879</xdr:rowOff>
    </xdr:from>
    <xdr:to>
      <xdr:col>11</xdr:col>
      <xdr:colOff>536388</xdr:colOff>
      <xdr:row>13</xdr:row>
      <xdr:rowOff>81429</xdr:rowOff>
    </xdr:to>
    <xdr:sp macro="" textlink="">
      <xdr:nvSpPr>
        <xdr:cNvPr id="8" name="Retângulo: Cantos Arredondados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4089026" y="2598644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EQTT</a:t>
          </a:r>
        </a:p>
      </xdr:txBody>
    </xdr:sp>
    <xdr:clientData/>
  </xdr:twoCellAnchor>
  <xdr:twoCellAnchor>
    <xdr:from>
      <xdr:col>8</xdr:col>
      <xdr:colOff>174438</xdr:colOff>
      <xdr:row>14</xdr:row>
      <xdr:rowOff>59204</xdr:rowOff>
    </xdr:from>
    <xdr:to>
      <xdr:col>11</xdr:col>
      <xdr:colOff>536388</xdr:colOff>
      <xdr:row>16</xdr:row>
      <xdr:rowOff>14754</xdr:rowOff>
    </xdr:to>
    <xdr:sp macro="" textlink="">
      <xdr:nvSpPr>
        <xdr:cNvPr id="9" name="Retângulo: Cantos Arredondados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4089026" y="3092263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INTESA</a:t>
          </a:r>
        </a:p>
      </xdr:txBody>
    </xdr:sp>
    <xdr:clientData/>
  </xdr:twoCellAnchor>
  <xdr:twoCellAnchor>
    <xdr:from>
      <xdr:col>13</xdr:col>
      <xdr:colOff>92214</xdr:colOff>
      <xdr:row>8</xdr:row>
      <xdr:rowOff>149411</xdr:rowOff>
    </xdr:from>
    <xdr:to>
      <xdr:col>16</xdr:col>
      <xdr:colOff>454164</xdr:colOff>
      <xdr:row>10</xdr:row>
      <xdr:rowOff>104961</xdr:rowOff>
    </xdr:to>
    <xdr:sp macro="" textlink="">
      <xdr:nvSpPr>
        <xdr:cNvPr id="12" name="Retângulo: Cantos Arredondados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6562864" y="2048061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Echoenergia</a:t>
          </a:r>
        </a:p>
      </xdr:txBody>
    </xdr:sp>
    <xdr:clientData/>
  </xdr:twoCellAnchor>
  <xdr:twoCellAnchor>
    <xdr:from>
      <xdr:col>3</xdr:col>
      <xdr:colOff>114300</xdr:colOff>
      <xdr:row>21</xdr:row>
      <xdr:rowOff>149225</xdr:rowOff>
    </xdr:from>
    <xdr:to>
      <xdr:col>6</xdr:col>
      <xdr:colOff>476250</xdr:colOff>
      <xdr:row>23</xdr:row>
      <xdr:rowOff>104775</xdr:rowOff>
    </xdr:to>
    <xdr:sp macro="" textlink="">
      <xdr:nvSpPr>
        <xdr:cNvPr id="13" name="Retângulo: Cantos Arredondados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1428750" y="44418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CEA</a:t>
          </a:r>
        </a:p>
      </xdr:txBody>
    </xdr:sp>
    <xdr:clientData/>
  </xdr:twoCellAnchor>
  <xdr:twoCellAnchor>
    <xdr:from>
      <xdr:col>3</xdr:col>
      <xdr:colOff>114300</xdr:colOff>
      <xdr:row>24</xdr:row>
      <xdr:rowOff>101600</xdr:rowOff>
    </xdr:from>
    <xdr:to>
      <xdr:col>6</xdr:col>
      <xdr:colOff>476250</xdr:colOff>
      <xdr:row>26</xdr:row>
      <xdr:rowOff>57150</xdr:rowOff>
    </xdr:to>
    <xdr:sp macro="" textlink="">
      <xdr:nvSpPr>
        <xdr:cNvPr id="14" name="Retângulo: Cantos Arredondados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1428750" y="49466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Goiás</a:t>
          </a:r>
        </a:p>
      </xdr:txBody>
    </xdr:sp>
    <xdr:clientData/>
  </xdr:twoCellAnchor>
  <xdr:twoCellAnchor>
    <xdr:from>
      <xdr:col>18</xdr:col>
      <xdr:colOff>87732</xdr:colOff>
      <xdr:row>8</xdr:row>
      <xdr:rowOff>152400</xdr:rowOff>
    </xdr:from>
    <xdr:to>
      <xdr:col>21</xdr:col>
      <xdr:colOff>449682</xdr:colOff>
      <xdr:row>10</xdr:row>
      <xdr:rowOff>107950</xdr:rowOff>
    </xdr:to>
    <xdr:sp macro="" textlink="">
      <xdr:nvSpPr>
        <xdr:cNvPr id="15" name="Retângulo: Cantos Arredondados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9136482" y="20510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CSA</a:t>
          </a:r>
        </a:p>
      </xdr:txBody>
    </xdr:sp>
    <xdr:clientData/>
  </xdr:twoCellAnchor>
  <xdr:twoCellAnchor>
    <xdr:from>
      <xdr:col>23</xdr:col>
      <xdr:colOff>110143</xdr:colOff>
      <xdr:row>8</xdr:row>
      <xdr:rowOff>144928</xdr:rowOff>
    </xdr:from>
    <xdr:to>
      <xdr:col>26</xdr:col>
      <xdr:colOff>472094</xdr:colOff>
      <xdr:row>10</xdr:row>
      <xdr:rowOff>100478</xdr:rowOff>
    </xdr:to>
    <xdr:sp macro="" textlink="">
      <xdr:nvSpPr>
        <xdr:cNvPr id="16" name="Retângulo: Cantos Arredondados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/>
      </xdr:nvSpPr>
      <xdr:spPr>
        <a:xfrm>
          <a:off x="11736993" y="2043578"/>
          <a:ext cx="2190751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Serviços</a:t>
          </a:r>
        </a:p>
      </xdr:txBody>
    </xdr:sp>
    <xdr:clientData/>
  </xdr:twoCellAnchor>
  <xdr:twoCellAnchor>
    <xdr:from>
      <xdr:col>23</xdr:col>
      <xdr:colOff>110143</xdr:colOff>
      <xdr:row>11</xdr:row>
      <xdr:rowOff>55842</xdr:rowOff>
    </xdr:from>
    <xdr:to>
      <xdr:col>26</xdr:col>
      <xdr:colOff>472094</xdr:colOff>
      <xdr:row>13</xdr:row>
      <xdr:rowOff>11392</xdr:rowOff>
    </xdr:to>
    <xdr:sp macro="" textlink="">
      <xdr:nvSpPr>
        <xdr:cNvPr id="17" name="Retângulo: Cantos Arredondados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/>
      </xdr:nvSpPr>
      <xdr:spPr>
        <a:xfrm>
          <a:off x="11736993" y="2506942"/>
          <a:ext cx="2190751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Holding</a:t>
          </a:r>
        </a:p>
      </xdr:txBody>
    </xdr:sp>
    <xdr:clientData/>
  </xdr:twoCellAnchor>
  <xdr:twoCellAnchor>
    <xdr:from>
      <xdr:col>23</xdr:col>
      <xdr:colOff>110143</xdr:colOff>
      <xdr:row>13</xdr:row>
      <xdr:rowOff>171384</xdr:rowOff>
    </xdr:from>
    <xdr:to>
      <xdr:col>26</xdr:col>
      <xdr:colOff>472094</xdr:colOff>
      <xdr:row>15</xdr:row>
      <xdr:rowOff>128867</xdr:rowOff>
    </xdr:to>
    <xdr:sp macro="" textlink="">
      <xdr:nvSpPr>
        <xdr:cNvPr id="18" name="Retângulo: Cantos Arredondados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/>
      </xdr:nvSpPr>
      <xdr:spPr>
        <a:xfrm>
          <a:off x="11736993" y="2990784"/>
          <a:ext cx="2190751" cy="325783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Consolidado</a:t>
          </a:r>
        </a:p>
      </xdr:txBody>
    </xdr:sp>
    <xdr:clientData/>
  </xdr:twoCellAnchor>
  <xdr:twoCellAnchor>
    <xdr:from>
      <xdr:col>13</xdr:col>
      <xdr:colOff>108276</xdr:colOff>
      <xdr:row>11</xdr:row>
      <xdr:rowOff>60885</xdr:rowOff>
    </xdr:from>
    <xdr:to>
      <xdr:col>16</xdr:col>
      <xdr:colOff>470226</xdr:colOff>
      <xdr:row>13</xdr:row>
      <xdr:rowOff>16435</xdr:rowOff>
    </xdr:to>
    <xdr:sp macro="" textlink="">
      <xdr:nvSpPr>
        <xdr:cNvPr id="19" name="Retângulo: Cantos Arredondados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/>
      </xdr:nvSpPr>
      <xdr:spPr>
        <a:xfrm>
          <a:off x="6615158" y="2533650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 Crescimento</a:t>
          </a:r>
        </a:p>
      </xdr:txBody>
    </xdr:sp>
    <xdr:clientData/>
  </xdr:twoCellAnchor>
  <xdr:twoCellAnchor>
    <xdr:from>
      <xdr:col>8</xdr:col>
      <xdr:colOff>168041</xdr:colOff>
      <xdr:row>8</xdr:row>
      <xdr:rowOff>172943</xdr:rowOff>
    </xdr:from>
    <xdr:to>
      <xdr:col>11</xdr:col>
      <xdr:colOff>529991</xdr:colOff>
      <xdr:row>10</xdr:row>
      <xdr:rowOff>128493</xdr:rowOff>
    </xdr:to>
    <xdr:sp macro="" textlink="">
      <xdr:nvSpPr>
        <xdr:cNvPr id="10" name="Retângulo: Cantos Arredondados 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4082629" y="2085414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SPEs</a:t>
          </a:r>
        </a:p>
      </xdr:txBody>
    </xdr:sp>
    <xdr:clientData/>
  </xdr:twoCellAnchor>
  <xdr:twoCellAnchor>
    <xdr:from>
      <xdr:col>5</xdr:col>
      <xdr:colOff>0</xdr:colOff>
      <xdr:row>1</xdr:row>
      <xdr:rowOff>0</xdr:rowOff>
    </xdr:from>
    <xdr:to>
      <xdr:col>9</xdr:col>
      <xdr:colOff>133938</xdr:colOff>
      <xdr:row>2</xdr:row>
      <xdr:rowOff>79136</xdr:rowOff>
    </xdr:to>
    <xdr:sp macro="" textlink="">
      <xdr:nvSpPr>
        <xdr:cNvPr id="20" name="Retângulo: Cantos Arredondados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/>
      </xdr:nvSpPr>
      <xdr:spPr>
        <a:xfrm>
          <a:off x="2547471" y="186765"/>
          <a:ext cx="2113643" cy="265900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86287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2224314" y="18858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84472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0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2242456</xdr:colOff>
      <xdr:row>1</xdr:row>
      <xdr:rowOff>1815</xdr:rowOff>
    </xdr:from>
    <xdr:to>
      <xdr:col>0</xdr:col>
      <xdr:colOff>4356099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242456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18142</xdr:colOff>
      <xdr:row>1</xdr:row>
      <xdr:rowOff>0</xdr:rowOff>
    </xdr:from>
    <xdr:to>
      <xdr:col>0</xdr:col>
      <xdr:colOff>2131785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18142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Mercado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Bal. Energético</a:t>
          </a:r>
        </a:p>
      </xdr:txBody>
    </xdr:sp>
    <xdr:clientData/>
  </xdr:twoCellAnchor>
  <xdr:twoCellAnchor>
    <xdr:from>
      <xdr:col>3</xdr:col>
      <xdr:colOff>114300</xdr:colOff>
      <xdr:row>14</xdr:row>
      <xdr:rowOff>0</xdr:rowOff>
    </xdr:from>
    <xdr:to>
      <xdr:col>6</xdr:col>
      <xdr:colOff>476250</xdr:colOff>
      <xdr:row>15</xdr:row>
      <xdr:rowOff>139700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4287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Perdas</a:t>
          </a:r>
        </a:p>
      </xdr:txBody>
    </xdr:sp>
    <xdr:clientData/>
  </xdr:twoCellAnchor>
  <xdr:twoCellAnchor>
    <xdr:from>
      <xdr:col>3</xdr:col>
      <xdr:colOff>114300</xdr:colOff>
      <xdr:row>16</xdr:row>
      <xdr:rowOff>117475</xdr:rowOff>
    </xdr:from>
    <xdr:to>
      <xdr:col>6</xdr:col>
      <xdr:colOff>476250</xdr:colOff>
      <xdr:row>18</xdr:row>
      <xdr:rowOff>73025</xdr:rowOff>
    </xdr:to>
    <xdr:sp macro="" textlink="">
      <xdr:nvSpPr>
        <xdr:cNvPr id="6" name="Retângulo: Cantos Arredondado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428750" y="34893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DEC/FEC</a:t>
          </a:r>
        </a:p>
      </xdr:txBody>
    </xdr:sp>
    <xdr:clientData/>
  </xdr:twoCellAnchor>
  <xdr:twoCellAnchor>
    <xdr:from>
      <xdr:col>3</xdr:col>
      <xdr:colOff>114300</xdr:colOff>
      <xdr:row>19</xdr:row>
      <xdr:rowOff>69850</xdr:rowOff>
    </xdr:from>
    <xdr:to>
      <xdr:col>6</xdr:col>
      <xdr:colOff>476250</xdr:colOff>
      <xdr:row>21</xdr:row>
      <xdr:rowOff>25400</xdr:rowOff>
    </xdr:to>
    <xdr:sp macro="" textlink="">
      <xdr:nvSpPr>
        <xdr:cNvPr id="7" name="Retângulo: Cantos Arredondados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8750" y="39941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Contratos</a:t>
          </a:r>
        </a:p>
      </xdr:txBody>
    </xdr:sp>
    <xdr:clientData/>
  </xdr:twoCellAnchor>
  <xdr:twoCellAnchor>
    <xdr:from>
      <xdr:col>9</xdr:col>
      <xdr:colOff>137037</xdr:colOff>
      <xdr:row>8</xdr:row>
      <xdr:rowOff>149410</xdr:rowOff>
    </xdr:from>
    <xdr:to>
      <xdr:col>12</xdr:col>
      <xdr:colOff>498987</xdr:colOff>
      <xdr:row>10</xdr:row>
      <xdr:rowOff>104960</xdr:rowOff>
    </xdr:to>
    <xdr:sp macro="" textlink="">
      <xdr:nvSpPr>
        <xdr:cNvPr id="12" name="Retângulo: Cantos Arredondados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193566" y="2061881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Echoenergia</a:t>
          </a:r>
        </a:p>
      </xdr:txBody>
    </xdr:sp>
    <xdr:clientData/>
  </xdr:twoCellAnchor>
  <xdr:twoCellAnchor>
    <xdr:from>
      <xdr:col>14</xdr:col>
      <xdr:colOff>87732</xdr:colOff>
      <xdr:row>8</xdr:row>
      <xdr:rowOff>152400</xdr:rowOff>
    </xdr:from>
    <xdr:to>
      <xdr:col>17</xdr:col>
      <xdr:colOff>449682</xdr:colOff>
      <xdr:row>10</xdr:row>
      <xdr:rowOff>107950</xdr:rowOff>
    </xdr:to>
    <xdr:sp macro="" textlink="">
      <xdr:nvSpPr>
        <xdr:cNvPr id="15" name="Retângulo: Cantos Arredondados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9136482" y="20510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CSA</a:t>
          </a:r>
        </a:p>
      </xdr:txBody>
    </xdr:sp>
    <xdr:clientData/>
  </xdr:twoCellAnchor>
  <xdr:twoCellAnchor>
    <xdr:from>
      <xdr:col>5</xdr:col>
      <xdr:colOff>0</xdr:colOff>
      <xdr:row>1</xdr:row>
      <xdr:rowOff>0</xdr:rowOff>
    </xdr:from>
    <xdr:to>
      <xdr:col>9</xdr:col>
      <xdr:colOff>604585</xdr:colOff>
      <xdr:row>2</xdr:row>
      <xdr:rowOff>79136</xdr:rowOff>
    </xdr:to>
    <xdr:sp macro="" textlink="">
      <xdr:nvSpPr>
        <xdr:cNvPr id="8" name="Retângulo: Cantos Arredondados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547471" y="186765"/>
          <a:ext cx="2113643" cy="265900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2342243</xdr:colOff>
      <xdr:row>0</xdr:row>
      <xdr:rowOff>119744</xdr:rowOff>
    </xdr:from>
    <xdr:to>
      <xdr:col>0</xdr:col>
      <xdr:colOff>4455886</xdr:colOff>
      <xdr:row>2</xdr:row>
      <xdr:rowOff>28123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2342243" y="1197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117929</xdr:colOff>
      <xdr:row>0</xdr:row>
      <xdr:rowOff>117929</xdr:rowOff>
    </xdr:from>
    <xdr:to>
      <xdr:col>0</xdr:col>
      <xdr:colOff>2231572</xdr:colOff>
      <xdr:row>2</xdr:row>
      <xdr:rowOff>26308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17929" y="1179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2414814</xdr:colOff>
      <xdr:row>0</xdr:row>
      <xdr:rowOff>156030</xdr:rowOff>
    </xdr:from>
    <xdr:to>
      <xdr:col>0</xdr:col>
      <xdr:colOff>4528457</xdr:colOff>
      <xdr:row>2</xdr:row>
      <xdr:rowOff>64409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2414814" y="15603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190500</xdr:colOff>
      <xdr:row>0</xdr:row>
      <xdr:rowOff>154215</xdr:rowOff>
    </xdr:from>
    <xdr:to>
      <xdr:col>0</xdr:col>
      <xdr:colOff>2304143</xdr:colOff>
      <xdr:row>2</xdr:row>
      <xdr:rowOff>62594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90500" y="15421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2432957</xdr:colOff>
      <xdr:row>0</xdr:row>
      <xdr:rowOff>146959</xdr:rowOff>
    </xdr:from>
    <xdr:to>
      <xdr:col>0</xdr:col>
      <xdr:colOff>4546600</xdr:colOff>
      <xdr:row>2</xdr:row>
      <xdr:rowOff>55338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2432957" y="14695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208643</xdr:colOff>
      <xdr:row>0</xdr:row>
      <xdr:rowOff>145144</xdr:rowOff>
    </xdr:from>
    <xdr:to>
      <xdr:col>0</xdr:col>
      <xdr:colOff>2322286</xdr:colOff>
      <xdr:row>2</xdr:row>
      <xdr:rowOff>53523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208643" y="1451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2431142</xdr:colOff>
      <xdr:row>0</xdr:row>
      <xdr:rowOff>126999</xdr:rowOff>
    </xdr:from>
    <xdr:to>
      <xdr:col>0</xdr:col>
      <xdr:colOff>4544785</xdr:colOff>
      <xdr:row>2</xdr:row>
      <xdr:rowOff>35378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431142" y="12699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206828</xdr:colOff>
      <xdr:row>0</xdr:row>
      <xdr:rowOff>125184</xdr:rowOff>
    </xdr:from>
    <xdr:to>
      <xdr:col>0</xdr:col>
      <xdr:colOff>2320471</xdr:colOff>
      <xdr:row>2</xdr:row>
      <xdr:rowOff>33563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206828" y="12518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2342237</xdr:colOff>
      <xdr:row>0</xdr:row>
      <xdr:rowOff>128809</xdr:rowOff>
    </xdr:from>
    <xdr:to>
      <xdr:col>0</xdr:col>
      <xdr:colOff>4455880</xdr:colOff>
      <xdr:row>2</xdr:row>
      <xdr:rowOff>37188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2342237" y="12880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117923</xdr:colOff>
      <xdr:row>0</xdr:row>
      <xdr:rowOff>126994</xdr:rowOff>
    </xdr:from>
    <xdr:to>
      <xdr:col>0</xdr:col>
      <xdr:colOff>2231566</xdr:colOff>
      <xdr:row>2</xdr:row>
      <xdr:rowOff>35373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117923" y="12699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Maranhão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Pará</a:t>
          </a:r>
        </a:p>
      </xdr:txBody>
    </xdr:sp>
    <xdr:clientData/>
  </xdr:twoCellAnchor>
  <xdr:twoCellAnchor>
    <xdr:from>
      <xdr:col>3</xdr:col>
      <xdr:colOff>114300</xdr:colOff>
      <xdr:row>14</xdr:row>
      <xdr:rowOff>0</xdr:rowOff>
    </xdr:from>
    <xdr:to>
      <xdr:col>6</xdr:col>
      <xdr:colOff>476250</xdr:colOff>
      <xdr:row>15</xdr:row>
      <xdr:rowOff>139700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14287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Piauí</a:t>
          </a:r>
        </a:p>
      </xdr:txBody>
    </xdr:sp>
    <xdr:clientData/>
  </xdr:twoCellAnchor>
  <xdr:twoCellAnchor>
    <xdr:from>
      <xdr:col>3</xdr:col>
      <xdr:colOff>114300</xdr:colOff>
      <xdr:row>16</xdr:row>
      <xdr:rowOff>117475</xdr:rowOff>
    </xdr:from>
    <xdr:to>
      <xdr:col>6</xdr:col>
      <xdr:colOff>476250</xdr:colOff>
      <xdr:row>18</xdr:row>
      <xdr:rowOff>73025</xdr:rowOff>
    </xdr:to>
    <xdr:sp macro="" textlink="">
      <xdr:nvSpPr>
        <xdr:cNvPr id="6" name="Retângulo: Cantos Arredondado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1428750" y="34893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Alagoas</a:t>
          </a:r>
        </a:p>
      </xdr:txBody>
    </xdr:sp>
    <xdr:clientData/>
  </xdr:twoCellAnchor>
  <xdr:twoCellAnchor>
    <xdr:from>
      <xdr:col>3</xdr:col>
      <xdr:colOff>114300</xdr:colOff>
      <xdr:row>19</xdr:row>
      <xdr:rowOff>69850</xdr:rowOff>
    </xdr:from>
    <xdr:to>
      <xdr:col>6</xdr:col>
      <xdr:colOff>476250</xdr:colOff>
      <xdr:row>21</xdr:row>
      <xdr:rowOff>25400</xdr:rowOff>
    </xdr:to>
    <xdr:sp macro="" textlink="">
      <xdr:nvSpPr>
        <xdr:cNvPr id="7" name="Retângulo: Cantos Arredondados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/>
      </xdr:nvSpPr>
      <xdr:spPr>
        <a:xfrm>
          <a:off x="1428750" y="39941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CEEE-D</a:t>
          </a:r>
        </a:p>
      </xdr:txBody>
    </xdr:sp>
    <xdr:clientData/>
  </xdr:twoCellAnchor>
  <xdr:twoCellAnchor>
    <xdr:from>
      <xdr:col>8</xdr:col>
      <xdr:colOff>69850</xdr:colOff>
      <xdr:row>8</xdr:row>
      <xdr:rowOff>133350</xdr:rowOff>
    </xdr:from>
    <xdr:to>
      <xdr:col>11</xdr:col>
      <xdr:colOff>431800</xdr:colOff>
      <xdr:row>10</xdr:row>
      <xdr:rowOff>88900</xdr:rowOff>
    </xdr:to>
    <xdr:sp macro="" textlink="">
      <xdr:nvSpPr>
        <xdr:cNvPr id="8" name="Retângulo: Cantos Arredondados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/>
      </xdr:nvSpPr>
      <xdr:spPr>
        <a:xfrm>
          <a:off x="40322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EQTT IFRS</a:t>
          </a:r>
        </a:p>
      </xdr:txBody>
    </xdr:sp>
    <xdr:clientData/>
  </xdr:twoCellAnchor>
  <xdr:twoCellAnchor>
    <xdr:from>
      <xdr:col>8</xdr:col>
      <xdr:colOff>69850</xdr:colOff>
      <xdr:row>11</xdr:row>
      <xdr:rowOff>66675</xdr:rowOff>
    </xdr:from>
    <xdr:to>
      <xdr:col>11</xdr:col>
      <xdr:colOff>431800</xdr:colOff>
      <xdr:row>13</xdr:row>
      <xdr:rowOff>22225</xdr:rowOff>
    </xdr:to>
    <xdr:sp macro="" textlink="">
      <xdr:nvSpPr>
        <xdr:cNvPr id="9" name="Retângulo: Cantos Arredondados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40322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INTESA IFRS</a:t>
          </a:r>
        </a:p>
      </xdr:txBody>
    </xdr:sp>
    <xdr:clientData/>
  </xdr:twoCellAnchor>
  <xdr:twoCellAnchor>
    <xdr:from>
      <xdr:col>8</xdr:col>
      <xdr:colOff>69850</xdr:colOff>
      <xdr:row>14</xdr:row>
      <xdr:rowOff>0</xdr:rowOff>
    </xdr:from>
    <xdr:to>
      <xdr:col>11</xdr:col>
      <xdr:colOff>431800</xdr:colOff>
      <xdr:row>15</xdr:row>
      <xdr:rowOff>139700</xdr:rowOff>
    </xdr:to>
    <xdr:sp macro="" textlink="">
      <xdr:nvSpPr>
        <xdr:cNvPr id="10" name="Retângulo: Cantos Arredondados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/>
      </xdr:nvSpPr>
      <xdr:spPr>
        <a:xfrm>
          <a:off x="40322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EQTT Reg.</a:t>
          </a:r>
        </a:p>
      </xdr:txBody>
    </xdr:sp>
    <xdr:clientData/>
  </xdr:twoCellAnchor>
  <xdr:twoCellAnchor>
    <xdr:from>
      <xdr:col>8</xdr:col>
      <xdr:colOff>69850</xdr:colOff>
      <xdr:row>16</xdr:row>
      <xdr:rowOff>117475</xdr:rowOff>
    </xdr:from>
    <xdr:to>
      <xdr:col>11</xdr:col>
      <xdr:colOff>431800</xdr:colOff>
      <xdr:row>18</xdr:row>
      <xdr:rowOff>73025</xdr:rowOff>
    </xdr:to>
    <xdr:sp macro="" textlink="">
      <xdr:nvSpPr>
        <xdr:cNvPr id="11" name="Retângulo: Cantos Arredondados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/>
      </xdr:nvSpPr>
      <xdr:spPr>
        <a:xfrm>
          <a:off x="4032250" y="34893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INTESA</a:t>
          </a:r>
          <a:r>
            <a:rPr lang="pt-BR" sz="1100" b="1" baseline="0"/>
            <a:t> Reg.</a:t>
          </a:r>
          <a:endParaRPr lang="pt-BR" sz="1100" b="1"/>
        </a:p>
      </xdr:txBody>
    </xdr:sp>
    <xdr:clientData/>
  </xdr:twoCellAnchor>
  <xdr:twoCellAnchor>
    <xdr:from>
      <xdr:col>13</xdr:col>
      <xdr:colOff>92214</xdr:colOff>
      <xdr:row>8</xdr:row>
      <xdr:rowOff>149411</xdr:rowOff>
    </xdr:from>
    <xdr:to>
      <xdr:col>16</xdr:col>
      <xdr:colOff>454164</xdr:colOff>
      <xdr:row>10</xdr:row>
      <xdr:rowOff>104961</xdr:rowOff>
    </xdr:to>
    <xdr:sp macro="" textlink="">
      <xdr:nvSpPr>
        <xdr:cNvPr id="12" name="Retângulo: Cantos Arredondados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/>
      </xdr:nvSpPr>
      <xdr:spPr>
        <a:xfrm>
          <a:off x="6599096" y="2061882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Echoenergia</a:t>
          </a:r>
        </a:p>
      </xdr:txBody>
    </xdr:sp>
    <xdr:clientData/>
  </xdr:twoCellAnchor>
  <xdr:twoCellAnchor>
    <xdr:from>
      <xdr:col>3</xdr:col>
      <xdr:colOff>114300</xdr:colOff>
      <xdr:row>21</xdr:row>
      <xdr:rowOff>149225</xdr:rowOff>
    </xdr:from>
    <xdr:to>
      <xdr:col>6</xdr:col>
      <xdr:colOff>476250</xdr:colOff>
      <xdr:row>23</xdr:row>
      <xdr:rowOff>104775</xdr:rowOff>
    </xdr:to>
    <xdr:sp macro="" textlink="">
      <xdr:nvSpPr>
        <xdr:cNvPr id="16" name="Retângulo: Cantos Arredondados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/>
      </xdr:nvSpPr>
      <xdr:spPr>
        <a:xfrm>
          <a:off x="1428750" y="44418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CEA</a:t>
          </a:r>
        </a:p>
      </xdr:txBody>
    </xdr:sp>
    <xdr:clientData/>
  </xdr:twoCellAnchor>
  <xdr:twoCellAnchor>
    <xdr:from>
      <xdr:col>3</xdr:col>
      <xdr:colOff>114300</xdr:colOff>
      <xdr:row>24</xdr:row>
      <xdr:rowOff>101600</xdr:rowOff>
    </xdr:from>
    <xdr:to>
      <xdr:col>6</xdr:col>
      <xdr:colOff>476250</xdr:colOff>
      <xdr:row>26</xdr:row>
      <xdr:rowOff>57150</xdr:rowOff>
    </xdr:to>
    <xdr:sp macro="" textlink="">
      <xdr:nvSpPr>
        <xdr:cNvPr id="17" name="Retângulo: Cantos Arredondados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/>
      </xdr:nvSpPr>
      <xdr:spPr>
        <a:xfrm>
          <a:off x="1428750" y="49466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Goiás</a:t>
          </a:r>
        </a:p>
      </xdr:txBody>
    </xdr:sp>
    <xdr:clientData/>
  </xdr:twoCellAnchor>
  <xdr:twoCellAnchor>
    <xdr:from>
      <xdr:col>18</xdr:col>
      <xdr:colOff>87732</xdr:colOff>
      <xdr:row>8</xdr:row>
      <xdr:rowOff>152400</xdr:rowOff>
    </xdr:from>
    <xdr:to>
      <xdr:col>21</xdr:col>
      <xdr:colOff>449682</xdr:colOff>
      <xdr:row>10</xdr:row>
      <xdr:rowOff>107950</xdr:rowOff>
    </xdr:to>
    <xdr:sp macro="" textlink="">
      <xdr:nvSpPr>
        <xdr:cNvPr id="18" name="Retângulo: Cantos Arredondados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/>
      </xdr:nvSpPr>
      <xdr:spPr>
        <a:xfrm>
          <a:off x="9186908" y="2064871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CSA</a:t>
          </a:r>
        </a:p>
      </xdr:txBody>
    </xdr:sp>
    <xdr:clientData/>
  </xdr:twoCellAnchor>
  <xdr:twoCellAnchor>
    <xdr:from>
      <xdr:col>23</xdr:col>
      <xdr:colOff>110143</xdr:colOff>
      <xdr:row>8</xdr:row>
      <xdr:rowOff>144928</xdr:rowOff>
    </xdr:from>
    <xdr:to>
      <xdr:col>26</xdr:col>
      <xdr:colOff>472094</xdr:colOff>
      <xdr:row>10</xdr:row>
      <xdr:rowOff>100478</xdr:rowOff>
    </xdr:to>
    <xdr:sp macro="" textlink="">
      <xdr:nvSpPr>
        <xdr:cNvPr id="19" name="Retângulo: Cantos Arredondados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/>
      </xdr:nvSpPr>
      <xdr:spPr>
        <a:xfrm>
          <a:off x="11801614" y="2057399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Serviços</a:t>
          </a:r>
        </a:p>
      </xdr:txBody>
    </xdr:sp>
    <xdr:clientData/>
  </xdr:twoCellAnchor>
  <xdr:twoCellAnchor>
    <xdr:from>
      <xdr:col>23</xdr:col>
      <xdr:colOff>110143</xdr:colOff>
      <xdr:row>11</xdr:row>
      <xdr:rowOff>55842</xdr:rowOff>
    </xdr:from>
    <xdr:to>
      <xdr:col>26</xdr:col>
      <xdr:colOff>472094</xdr:colOff>
      <xdr:row>13</xdr:row>
      <xdr:rowOff>11392</xdr:rowOff>
    </xdr:to>
    <xdr:sp macro="" textlink="">
      <xdr:nvSpPr>
        <xdr:cNvPr id="20" name="Retângulo: Cantos Arredondados 1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/>
      </xdr:nvSpPr>
      <xdr:spPr>
        <a:xfrm>
          <a:off x="11801614" y="2528607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Holding</a:t>
          </a:r>
        </a:p>
      </xdr:txBody>
    </xdr:sp>
    <xdr:clientData/>
  </xdr:twoCellAnchor>
  <xdr:twoCellAnchor>
    <xdr:from>
      <xdr:col>23</xdr:col>
      <xdr:colOff>110143</xdr:colOff>
      <xdr:row>13</xdr:row>
      <xdr:rowOff>171384</xdr:rowOff>
    </xdr:from>
    <xdr:to>
      <xdr:col>26</xdr:col>
      <xdr:colOff>472094</xdr:colOff>
      <xdr:row>15</xdr:row>
      <xdr:rowOff>128867</xdr:rowOff>
    </xdr:to>
    <xdr:sp macro="" textlink="">
      <xdr:nvSpPr>
        <xdr:cNvPr id="21" name="Retângulo: Cantos Arredondados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/>
      </xdr:nvSpPr>
      <xdr:spPr>
        <a:xfrm>
          <a:off x="11801614" y="3017678"/>
          <a:ext cx="2199715" cy="331013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Consolidado</a:t>
          </a:r>
        </a:p>
      </xdr:txBody>
    </xdr:sp>
    <xdr:clientData/>
  </xdr:twoCellAnchor>
  <xdr:twoCellAnchor>
    <xdr:from>
      <xdr:col>5</xdr:col>
      <xdr:colOff>22411</xdr:colOff>
      <xdr:row>0</xdr:row>
      <xdr:rowOff>171823</xdr:rowOff>
    </xdr:from>
    <xdr:to>
      <xdr:col>9</xdr:col>
      <xdr:colOff>156349</xdr:colOff>
      <xdr:row>2</xdr:row>
      <xdr:rowOff>64194</xdr:rowOff>
    </xdr:to>
    <xdr:sp macro="" textlink="">
      <xdr:nvSpPr>
        <xdr:cNvPr id="13" name="Retângulo: Cantos Arredondados 1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/>
      </xdr:nvSpPr>
      <xdr:spPr>
        <a:xfrm>
          <a:off x="2569882" y="171823"/>
          <a:ext cx="2113643" cy="265900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28</xdr:col>
      <xdr:colOff>110143</xdr:colOff>
      <xdr:row>8</xdr:row>
      <xdr:rowOff>144928</xdr:rowOff>
    </xdr:from>
    <xdr:to>
      <xdr:col>31</xdr:col>
      <xdr:colOff>472094</xdr:colOff>
      <xdr:row>10</xdr:row>
      <xdr:rowOff>100478</xdr:rowOff>
    </xdr:to>
    <xdr:sp macro="" textlink="">
      <xdr:nvSpPr>
        <xdr:cNvPr id="14" name="Retângulo: Cantos Arredondados 1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SpPr/>
      </xdr:nvSpPr>
      <xdr:spPr>
        <a:xfrm>
          <a:off x="11801614" y="2057399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DRE Individual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181110</xdr:rowOff>
    </xdr:from>
    <xdr:to>
      <xdr:col>0</xdr:col>
      <xdr:colOff>2113643</xdr:colOff>
      <xdr:row>4</xdr:row>
      <xdr:rowOff>78816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0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84472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/>
      </xdr:nvSpPr>
      <xdr:spPr>
        <a:xfrm>
          <a:off x="1922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181110</xdr:rowOff>
    </xdr:from>
    <xdr:to>
      <xdr:col>0</xdr:col>
      <xdr:colOff>2113643</xdr:colOff>
      <xdr:row>4</xdr:row>
      <xdr:rowOff>78816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0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84472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1922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636814</xdr:colOff>
      <xdr:row>2</xdr:row>
      <xdr:rowOff>157037</xdr:rowOff>
    </xdr:from>
    <xdr:to>
      <xdr:col>1</xdr:col>
      <xdr:colOff>2108401</xdr:colOff>
      <xdr:row>4</xdr:row>
      <xdr:rowOff>98382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636814" y="481593"/>
          <a:ext cx="2113643" cy="265900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2113643</xdr:colOff>
      <xdr:row>2</xdr:row>
      <xdr:rowOff>103622</xdr:rowOff>
    </xdr:to>
    <xdr:sp macro="" textlink="">
      <xdr:nvSpPr>
        <xdr:cNvPr id="6" name="Retângulo: Cantos Arredondado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42056" y="162278"/>
          <a:ext cx="2113643" cy="265900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180261</xdr:rowOff>
    </xdr:from>
    <xdr:to>
      <xdr:col>0</xdr:col>
      <xdr:colOff>2113643</xdr:colOff>
      <xdr:row>4</xdr:row>
      <xdr:rowOff>76269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/>
      </xdr:nvSpPr>
      <xdr:spPr>
        <a:xfrm>
          <a:off x="0" y="555488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83623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/>
      </xdr:nvSpPr>
      <xdr:spPr>
        <a:xfrm>
          <a:off x="1922" y="18761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157037</xdr:rowOff>
    </xdr:from>
    <xdr:to>
      <xdr:col>1</xdr:col>
      <xdr:colOff>2115658</xdr:colOff>
      <xdr:row>4</xdr:row>
      <xdr:rowOff>98382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62857" y="483608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</xdr:col>
      <xdr:colOff>7257</xdr:colOff>
      <xdr:row>1</xdr:row>
      <xdr:rowOff>0</xdr:rowOff>
    </xdr:from>
    <xdr:to>
      <xdr:col>1</xdr:col>
      <xdr:colOff>2120900</xdr:colOff>
      <xdr:row>2</xdr:row>
      <xdr:rowOff>103622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70114" y="163286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95250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0" y="552024"/>
          <a:ext cx="2113643" cy="27982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181110</xdr:rowOff>
    </xdr:from>
    <xdr:to>
      <xdr:col>0</xdr:col>
      <xdr:colOff>2113643</xdr:colOff>
      <xdr:row>4</xdr:row>
      <xdr:rowOff>78816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0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84472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>
        <a:xfrm>
          <a:off x="1922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39168</xdr:rowOff>
    </xdr:from>
    <xdr:to>
      <xdr:col>1</xdr:col>
      <xdr:colOff>2113643</xdr:colOff>
      <xdr:row>4</xdr:row>
      <xdr:rowOff>146051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>
        <a:xfrm>
          <a:off x="612588" y="53222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</xdr:col>
      <xdr:colOff>1922</xdr:colOff>
      <xdr:row>1</xdr:row>
      <xdr:rowOff>0</xdr:rowOff>
    </xdr:from>
    <xdr:to>
      <xdr:col>1</xdr:col>
      <xdr:colOff>2115565</xdr:colOff>
      <xdr:row>2</xdr:row>
      <xdr:rowOff>106883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/>
      </xdr:nvSpPr>
      <xdr:spPr>
        <a:xfrm>
          <a:off x="614510" y="16435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2113643</xdr:colOff>
      <xdr:row>2</xdr:row>
      <xdr:rowOff>131536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/>
      </xdr:nvSpPr>
      <xdr:spPr>
        <a:xfrm>
          <a:off x="501650" y="13970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Maranhão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Pará</a:t>
          </a:r>
        </a:p>
      </xdr:txBody>
    </xdr:sp>
    <xdr:clientData/>
  </xdr:twoCellAnchor>
  <xdr:twoCellAnchor>
    <xdr:from>
      <xdr:col>3</xdr:col>
      <xdr:colOff>114300</xdr:colOff>
      <xdr:row>14</xdr:row>
      <xdr:rowOff>0</xdr:rowOff>
    </xdr:from>
    <xdr:to>
      <xdr:col>6</xdr:col>
      <xdr:colOff>476250</xdr:colOff>
      <xdr:row>15</xdr:row>
      <xdr:rowOff>139700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/>
      </xdr:nvSpPr>
      <xdr:spPr>
        <a:xfrm>
          <a:off x="14287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Piauí</a:t>
          </a:r>
        </a:p>
      </xdr:txBody>
    </xdr:sp>
    <xdr:clientData/>
  </xdr:twoCellAnchor>
  <xdr:twoCellAnchor>
    <xdr:from>
      <xdr:col>3</xdr:col>
      <xdr:colOff>114300</xdr:colOff>
      <xdr:row>16</xdr:row>
      <xdr:rowOff>117475</xdr:rowOff>
    </xdr:from>
    <xdr:to>
      <xdr:col>6</xdr:col>
      <xdr:colOff>476250</xdr:colOff>
      <xdr:row>18</xdr:row>
      <xdr:rowOff>73025</xdr:rowOff>
    </xdr:to>
    <xdr:sp macro="" textlink="">
      <xdr:nvSpPr>
        <xdr:cNvPr id="6" name="Retângulo: Cantos Arredondado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SpPr/>
      </xdr:nvSpPr>
      <xdr:spPr>
        <a:xfrm>
          <a:off x="1428750" y="34893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Alagoas</a:t>
          </a:r>
        </a:p>
      </xdr:txBody>
    </xdr:sp>
    <xdr:clientData/>
  </xdr:twoCellAnchor>
  <xdr:twoCellAnchor>
    <xdr:from>
      <xdr:col>3</xdr:col>
      <xdr:colOff>114300</xdr:colOff>
      <xdr:row>19</xdr:row>
      <xdr:rowOff>69850</xdr:rowOff>
    </xdr:from>
    <xdr:to>
      <xdr:col>6</xdr:col>
      <xdr:colOff>476250</xdr:colOff>
      <xdr:row>21</xdr:row>
      <xdr:rowOff>25400</xdr:rowOff>
    </xdr:to>
    <xdr:sp macro="" textlink="">
      <xdr:nvSpPr>
        <xdr:cNvPr id="7" name="Retângulo: Cantos Arredondados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>
        <a:xfrm>
          <a:off x="1428750" y="39941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CEEE-D</a:t>
          </a:r>
        </a:p>
      </xdr:txBody>
    </xdr:sp>
    <xdr:clientData/>
  </xdr:twoCellAnchor>
  <xdr:twoCellAnchor>
    <xdr:from>
      <xdr:col>8</xdr:col>
      <xdr:colOff>69850</xdr:colOff>
      <xdr:row>8</xdr:row>
      <xdr:rowOff>133350</xdr:rowOff>
    </xdr:from>
    <xdr:to>
      <xdr:col>11</xdr:col>
      <xdr:colOff>431800</xdr:colOff>
      <xdr:row>10</xdr:row>
      <xdr:rowOff>88900</xdr:rowOff>
    </xdr:to>
    <xdr:sp macro="" textlink="">
      <xdr:nvSpPr>
        <xdr:cNvPr id="8" name="Retângulo: Cantos Arredondados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>
        <a:xfrm>
          <a:off x="396240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EQTT</a:t>
          </a:r>
        </a:p>
      </xdr:txBody>
    </xdr:sp>
    <xdr:clientData/>
  </xdr:twoCellAnchor>
  <xdr:twoCellAnchor>
    <xdr:from>
      <xdr:col>8</xdr:col>
      <xdr:colOff>69850</xdr:colOff>
      <xdr:row>11</xdr:row>
      <xdr:rowOff>66675</xdr:rowOff>
    </xdr:from>
    <xdr:to>
      <xdr:col>11</xdr:col>
      <xdr:colOff>431800</xdr:colOff>
      <xdr:row>13</xdr:row>
      <xdr:rowOff>22225</xdr:rowOff>
    </xdr:to>
    <xdr:sp macro="" textlink="">
      <xdr:nvSpPr>
        <xdr:cNvPr id="9" name="Retângulo: Cantos Arredondados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SpPr/>
      </xdr:nvSpPr>
      <xdr:spPr>
        <a:xfrm>
          <a:off x="396240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INTESA</a:t>
          </a:r>
        </a:p>
      </xdr:txBody>
    </xdr:sp>
    <xdr:clientData/>
  </xdr:twoCellAnchor>
  <xdr:twoCellAnchor>
    <xdr:from>
      <xdr:col>13</xdr:col>
      <xdr:colOff>92214</xdr:colOff>
      <xdr:row>8</xdr:row>
      <xdr:rowOff>149411</xdr:rowOff>
    </xdr:from>
    <xdr:to>
      <xdr:col>16</xdr:col>
      <xdr:colOff>454164</xdr:colOff>
      <xdr:row>10</xdr:row>
      <xdr:rowOff>104961</xdr:rowOff>
    </xdr:to>
    <xdr:sp macro="" textlink="">
      <xdr:nvSpPr>
        <xdr:cNvPr id="12" name="Retângulo: Cantos Arredondados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D00-00000C000000}"/>
            </a:ext>
          </a:extLst>
        </xdr:cNvPr>
        <xdr:cNvSpPr/>
      </xdr:nvSpPr>
      <xdr:spPr>
        <a:xfrm>
          <a:off x="6562864" y="2048061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Echoenergia</a:t>
          </a:r>
        </a:p>
      </xdr:txBody>
    </xdr:sp>
    <xdr:clientData/>
  </xdr:twoCellAnchor>
  <xdr:twoCellAnchor>
    <xdr:from>
      <xdr:col>3</xdr:col>
      <xdr:colOff>114300</xdr:colOff>
      <xdr:row>21</xdr:row>
      <xdr:rowOff>149225</xdr:rowOff>
    </xdr:from>
    <xdr:to>
      <xdr:col>6</xdr:col>
      <xdr:colOff>476250</xdr:colOff>
      <xdr:row>23</xdr:row>
      <xdr:rowOff>104775</xdr:rowOff>
    </xdr:to>
    <xdr:sp macro="" textlink="">
      <xdr:nvSpPr>
        <xdr:cNvPr id="13" name="Retângulo: Cantos Arredondados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D00-00000D000000}"/>
            </a:ext>
          </a:extLst>
        </xdr:cNvPr>
        <xdr:cNvSpPr/>
      </xdr:nvSpPr>
      <xdr:spPr>
        <a:xfrm>
          <a:off x="1428750" y="44418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CEA</a:t>
          </a:r>
        </a:p>
      </xdr:txBody>
    </xdr:sp>
    <xdr:clientData/>
  </xdr:twoCellAnchor>
  <xdr:twoCellAnchor>
    <xdr:from>
      <xdr:col>3</xdr:col>
      <xdr:colOff>114300</xdr:colOff>
      <xdr:row>24</xdr:row>
      <xdr:rowOff>101600</xdr:rowOff>
    </xdr:from>
    <xdr:to>
      <xdr:col>6</xdr:col>
      <xdr:colOff>476250</xdr:colOff>
      <xdr:row>26</xdr:row>
      <xdr:rowOff>57150</xdr:rowOff>
    </xdr:to>
    <xdr:sp macro="" textlink="">
      <xdr:nvSpPr>
        <xdr:cNvPr id="14" name="Retângulo: Cantos Arredondados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2D00-00000E000000}"/>
            </a:ext>
          </a:extLst>
        </xdr:cNvPr>
        <xdr:cNvSpPr/>
      </xdr:nvSpPr>
      <xdr:spPr>
        <a:xfrm>
          <a:off x="1428750" y="49466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Goiás</a:t>
          </a:r>
        </a:p>
      </xdr:txBody>
    </xdr:sp>
    <xdr:clientData/>
  </xdr:twoCellAnchor>
  <xdr:twoCellAnchor>
    <xdr:from>
      <xdr:col>18</xdr:col>
      <xdr:colOff>87732</xdr:colOff>
      <xdr:row>8</xdr:row>
      <xdr:rowOff>152400</xdr:rowOff>
    </xdr:from>
    <xdr:to>
      <xdr:col>21</xdr:col>
      <xdr:colOff>449682</xdr:colOff>
      <xdr:row>10</xdr:row>
      <xdr:rowOff>107950</xdr:rowOff>
    </xdr:to>
    <xdr:sp macro="" textlink="">
      <xdr:nvSpPr>
        <xdr:cNvPr id="15" name="Retângulo: Cantos Arredondados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2D00-00000F000000}"/>
            </a:ext>
          </a:extLst>
        </xdr:cNvPr>
        <xdr:cNvSpPr/>
      </xdr:nvSpPr>
      <xdr:spPr>
        <a:xfrm>
          <a:off x="9136482" y="20510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CSA</a:t>
          </a:r>
        </a:p>
      </xdr:txBody>
    </xdr:sp>
    <xdr:clientData/>
  </xdr:twoCellAnchor>
  <xdr:twoCellAnchor>
    <xdr:from>
      <xdr:col>23</xdr:col>
      <xdr:colOff>110143</xdr:colOff>
      <xdr:row>8</xdr:row>
      <xdr:rowOff>128409</xdr:rowOff>
    </xdr:from>
    <xdr:to>
      <xdr:col>26</xdr:col>
      <xdr:colOff>472094</xdr:colOff>
      <xdr:row>10</xdr:row>
      <xdr:rowOff>83959</xdr:rowOff>
    </xdr:to>
    <xdr:sp macro="" textlink="">
      <xdr:nvSpPr>
        <xdr:cNvPr id="17" name="Retângulo: Cantos Arredondados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2D00-000011000000}"/>
            </a:ext>
          </a:extLst>
        </xdr:cNvPr>
        <xdr:cNvSpPr/>
      </xdr:nvSpPr>
      <xdr:spPr>
        <a:xfrm>
          <a:off x="11694357" y="2015266"/>
          <a:ext cx="2185308" cy="318407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Holding</a:t>
          </a:r>
        </a:p>
      </xdr:txBody>
    </xdr:sp>
    <xdr:clientData/>
  </xdr:twoCellAnchor>
  <xdr:twoCellAnchor>
    <xdr:from>
      <xdr:col>23</xdr:col>
      <xdr:colOff>110143</xdr:colOff>
      <xdr:row>11</xdr:row>
      <xdr:rowOff>62522</xdr:rowOff>
    </xdr:from>
    <xdr:to>
      <xdr:col>26</xdr:col>
      <xdr:colOff>472094</xdr:colOff>
      <xdr:row>13</xdr:row>
      <xdr:rowOff>20005</xdr:rowOff>
    </xdr:to>
    <xdr:sp macro="" textlink="">
      <xdr:nvSpPr>
        <xdr:cNvPr id="18" name="Retângulo: Cantos Arredondados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2D00-000012000000}"/>
            </a:ext>
          </a:extLst>
        </xdr:cNvPr>
        <xdr:cNvSpPr/>
      </xdr:nvSpPr>
      <xdr:spPr>
        <a:xfrm>
          <a:off x="11694357" y="2493665"/>
          <a:ext cx="2185308" cy="32034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Consolidado</a:t>
          </a:r>
        </a:p>
      </xdr:txBody>
    </xdr:sp>
    <xdr:clientData/>
  </xdr:twoCellAnchor>
  <xdr:twoCellAnchor>
    <xdr:from>
      <xdr:col>5</xdr:col>
      <xdr:colOff>22411</xdr:colOff>
      <xdr:row>0</xdr:row>
      <xdr:rowOff>171823</xdr:rowOff>
    </xdr:from>
    <xdr:to>
      <xdr:col>9</xdr:col>
      <xdr:colOff>156349</xdr:colOff>
      <xdr:row>2</xdr:row>
      <xdr:rowOff>64194</xdr:rowOff>
    </xdr:to>
    <xdr:sp macro="" textlink="">
      <xdr:nvSpPr>
        <xdr:cNvPr id="19" name="Retângulo: Cantos Arredondados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2D00-000013000000}"/>
            </a:ext>
          </a:extLst>
        </xdr:cNvPr>
        <xdr:cNvSpPr/>
      </xdr:nvSpPr>
      <xdr:spPr>
        <a:xfrm>
          <a:off x="2556061" y="171823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13</xdr:col>
      <xdr:colOff>85864</xdr:colOff>
      <xdr:row>11</xdr:row>
      <xdr:rowOff>68354</xdr:rowOff>
    </xdr:from>
    <xdr:to>
      <xdr:col>16</xdr:col>
      <xdr:colOff>447814</xdr:colOff>
      <xdr:row>13</xdr:row>
      <xdr:rowOff>23904</xdr:rowOff>
    </xdr:to>
    <xdr:sp macro="" textlink="">
      <xdr:nvSpPr>
        <xdr:cNvPr id="10" name="Retângulo: Cantos Arredondados 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SpPr/>
      </xdr:nvSpPr>
      <xdr:spPr>
        <a:xfrm>
          <a:off x="6600217" y="2541119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 Crescimento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138894</xdr:rowOff>
    </xdr:from>
    <xdr:to>
      <xdr:col>1</xdr:col>
      <xdr:colOff>2115658</xdr:colOff>
      <xdr:row>4</xdr:row>
      <xdr:rowOff>43954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644071" y="501751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</xdr:col>
      <xdr:colOff>7257</xdr:colOff>
      <xdr:row>1</xdr:row>
      <xdr:rowOff>0</xdr:rowOff>
    </xdr:from>
    <xdr:to>
      <xdr:col>1</xdr:col>
      <xdr:colOff>2120900</xdr:colOff>
      <xdr:row>2</xdr:row>
      <xdr:rowOff>85479</xdr:rowOff>
    </xdr:to>
    <xdr:sp macro="" textlink="">
      <xdr:nvSpPr>
        <xdr:cNvPr id="6" name="Retângulo: Cantos Arredondado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51328" y="181429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8" name="Retângulo: Cantos Arredondados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9" name="Retângulo: Cantos Arredondados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985</xdr:rowOff>
    </xdr:from>
    <xdr:to>
      <xdr:col>0</xdr:col>
      <xdr:colOff>2113643</xdr:colOff>
      <xdr:row>4</xdr:row>
      <xdr:rowOff>88776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/>
      </xdr:nvSpPr>
      <xdr:spPr>
        <a:xfrm>
          <a:off x="0" y="551318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87791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/>
      </xdr:nvSpPr>
      <xdr:spPr>
        <a:xfrm>
          <a:off x="1922" y="1834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985</xdr:rowOff>
    </xdr:from>
    <xdr:to>
      <xdr:col>0</xdr:col>
      <xdr:colOff>2113643</xdr:colOff>
      <xdr:row>4</xdr:row>
      <xdr:rowOff>88776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0" y="553435"/>
          <a:ext cx="2113643" cy="27194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87791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/>
      </xdr:nvSpPr>
      <xdr:spPr>
        <a:xfrm>
          <a:off x="1922" y="184150"/>
          <a:ext cx="2113643" cy="27194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985</xdr:rowOff>
    </xdr:from>
    <xdr:to>
      <xdr:col>0</xdr:col>
      <xdr:colOff>2113643</xdr:colOff>
      <xdr:row>4</xdr:row>
      <xdr:rowOff>88776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/>
      </xdr:nvSpPr>
      <xdr:spPr>
        <a:xfrm>
          <a:off x="0" y="551318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87791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/>
      </xdr:nvSpPr>
      <xdr:spPr>
        <a:xfrm>
          <a:off x="1922" y="1834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181110</xdr:rowOff>
    </xdr:from>
    <xdr:to>
      <xdr:col>0</xdr:col>
      <xdr:colOff>2113643</xdr:colOff>
      <xdr:row>4</xdr:row>
      <xdr:rowOff>78816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/>
      </xdr:nvSpPr>
      <xdr:spPr>
        <a:xfrm>
          <a:off x="0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84472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/>
      </xdr:nvSpPr>
      <xdr:spPr>
        <a:xfrm>
          <a:off x="1922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280035</xdr:colOff>
      <xdr:row>24</xdr:row>
      <xdr:rowOff>44450</xdr:rowOff>
    </xdr:from>
    <xdr:to>
      <xdr:col>21</xdr:col>
      <xdr:colOff>386715</xdr:colOff>
      <xdr:row>27</xdr:row>
      <xdr:rowOff>120650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070100" y="4464050"/>
          <a:ext cx="0" cy="62865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Os</a:t>
          </a:r>
          <a:r>
            <a:rPr lang="pt-BR" sz="1100" baseline="0"/>
            <a:t> valores históricos de DEC/FEC de Alagoas foram recalculados retroativamente, desde o 4T18</a:t>
          </a:r>
          <a:endParaRPr lang="pt-BR" sz="1100"/>
        </a:p>
      </xdr:txBody>
    </xdr:sp>
    <xdr:clientData/>
  </xdr:twoCellAnchor>
  <xdr:twoCellAnchor>
    <xdr:from>
      <xdr:col>1</xdr:col>
      <xdr:colOff>0</xdr:colOff>
      <xdr:row>2</xdr:row>
      <xdr:rowOff>138894</xdr:rowOff>
    </xdr:from>
    <xdr:to>
      <xdr:col>1</xdr:col>
      <xdr:colOff>2115658</xdr:colOff>
      <xdr:row>4</xdr:row>
      <xdr:rowOff>43954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644071" y="501751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</xdr:col>
      <xdr:colOff>7257</xdr:colOff>
      <xdr:row>1</xdr:row>
      <xdr:rowOff>0</xdr:rowOff>
    </xdr:from>
    <xdr:to>
      <xdr:col>1</xdr:col>
      <xdr:colOff>2120900</xdr:colOff>
      <xdr:row>2</xdr:row>
      <xdr:rowOff>85479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651328" y="181429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181110</xdr:rowOff>
    </xdr:from>
    <xdr:to>
      <xdr:col>0</xdr:col>
      <xdr:colOff>2113643</xdr:colOff>
      <xdr:row>4</xdr:row>
      <xdr:rowOff>78816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/>
      </xdr:nvSpPr>
      <xdr:spPr>
        <a:xfrm>
          <a:off x="0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84472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/>
      </xdr:nvSpPr>
      <xdr:spPr>
        <a:xfrm>
          <a:off x="1922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Dívida Bruta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Dívida Líquida</a:t>
          </a:r>
          <a:endParaRPr lang="pt-BR" sz="1100" b="1"/>
        </a:p>
      </xdr:txBody>
    </xdr:sp>
    <xdr:clientData/>
  </xdr:twoCellAnchor>
  <xdr:twoCellAnchor>
    <xdr:from>
      <xdr:col>3</xdr:col>
      <xdr:colOff>114300</xdr:colOff>
      <xdr:row>14</xdr:row>
      <xdr:rowOff>0</xdr:rowOff>
    </xdr:from>
    <xdr:to>
      <xdr:col>6</xdr:col>
      <xdr:colOff>476250</xdr:colOff>
      <xdr:row>15</xdr:row>
      <xdr:rowOff>139700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/>
      </xdr:nvSpPr>
      <xdr:spPr>
        <a:xfrm>
          <a:off x="14287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Dívida Detalhada</a:t>
          </a:r>
          <a:endParaRPr lang="pt-BR" sz="1100" b="1"/>
        </a:p>
      </xdr:txBody>
    </xdr:sp>
    <xdr:clientData/>
  </xdr:twoCellAnchor>
  <xdr:twoCellAnchor>
    <xdr:from>
      <xdr:col>8</xdr:col>
      <xdr:colOff>69850</xdr:colOff>
      <xdr:row>8</xdr:row>
      <xdr:rowOff>133350</xdr:rowOff>
    </xdr:from>
    <xdr:to>
      <xdr:col>11</xdr:col>
      <xdr:colOff>431800</xdr:colOff>
      <xdr:row>10</xdr:row>
      <xdr:rowOff>88900</xdr:rowOff>
    </xdr:to>
    <xdr:sp macro="" textlink="">
      <xdr:nvSpPr>
        <xdr:cNvPr id="8" name="Retângulo: Cantos Arredondados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C00-000008000000}"/>
            </a:ext>
          </a:extLst>
        </xdr:cNvPr>
        <xdr:cNvSpPr/>
      </xdr:nvSpPr>
      <xdr:spPr>
        <a:xfrm>
          <a:off x="396240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Investimentos</a:t>
          </a:r>
        </a:p>
      </xdr:txBody>
    </xdr:sp>
    <xdr:clientData/>
  </xdr:twoCellAnchor>
  <xdr:twoCellAnchor>
    <xdr:from>
      <xdr:col>5</xdr:col>
      <xdr:colOff>22411</xdr:colOff>
      <xdr:row>0</xdr:row>
      <xdr:rowOff>171823</xdr:rowOff>
    </xdr:from>
    <xdr:to>
      <xdr:col>9</xdr:col>
      <xdr:colOff>156349</xdr:colOff>
      <xdr:row>2</xdr:row>
      <xdr:rowOff>64194</xdr:rowOff>
    </xdr:to>
    <xdr:sp macro="" textlink="">
      <xdr:nvSpPr>
        <xdr:cNvPr id="17" name="Retângulo: Cantos Arredondados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C00-000011000000}"/>
            </a:ext>
          </a:extLst>
        </xdr:cNvPr>
        <xdr:cNvSpPr/>
      </xdr:nvSpPr>
      <xdr:spPr>
        <a:xfrm>
          <a:off x="2556061" y="171823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313765</xdr:colOff>
      <xdr:row>2</xdr:row>
      <xdr:rowOff>121344</xdr:rowOff>
    </xdr:from>
    <xdr:to>
      <xdr:col>4</xdr:col>
      <xdr:colOff>283349</xdr:colOff>
      <xdr:row>4</xdr:row>
      <xdr:rowOff>19050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/>
      </xdr:nvSpPr>
      <xdr:spPr>
        <a:xfrm>
          <a:off x="1411941" y="49487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315687</xdr:colOff>
      <xdr:row>0</xdr:row>
      <xdr:rowOff>126999</xdr:rowOff>
    </xdr:from>
    <xdr:to>
      <xdr:col>4</xdr:col>
      <xdr:colOff>285271</xdr:colOff>
      <xdr:row>2</xdr:row>
      <xdr:rowOff>24706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/>
      </xdr:nvSpPr>
      <xdr:spPr>
        <a:xfrm>
          <a:off x="1413863" y="12699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Dívida e CAPEX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181110</xdr:rowOff>
    </xdr:from>
    <xdr:to>
      <xdr:col>3</xdr:col>
      <xdr:colOff>305760</xdr:colOff>
      <xdr:row>4</xdr:row>
      <xdr:rowOff>78816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/>
      </xdr:nvSpPr>
      <xdr:spPr>
        <a:xfrm>
          <a:off x="1464235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1922</xdr:colOff>
      <xdr:row>1</xdr:row>
      <xdr:rowOff>0</xdr:rowOff>
    </xdr:from>
    <xdr:to>
      <xdr:col>3</xdr:col>
      <xdr:colOff>307682</xdr:colOff>
      <xdr:row>2</xdr:row>
      <xdr:rowOff>84472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/>
      </xdr:nvSpPr>
      <xdr:spPr>
        <a:xfrm>
          <a:off x="1466157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Dívida e CAPEX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181110</xdr:rowOff>
    </xdr:from>
    <xdr:to>
      <xdr:col>3</xdr:col>
      <xdr:colOff>1090172</xdr:colOff>
      <xdr:row>4</xdr:row>
      <xdr:rowOff>78816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/>
      </xdr:nvSpPr>
      <xdr:spPr>
        <a:xfrm>
          <a:off x="1284941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1922</xdr:colOff>
      <xdr:row>1</xdr:row>
      <xdr:rowOff>0</xdr:rowOff>
    </xdr:from>
    <xdr:to>
      <xdr:col>3</xdr:col>
      <xdr:colOff>1092094</xdr:colOff>
      <xdr:row>2</xdr:row>
      <xdr:rowOff>84472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/>
      </xdr:nvSpPr>
      <xdr:spPr>
        <a:xfrm>
          <a:off x="1286863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Dívida e CAPEX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48420</xdr:colOff>
      <xdr:row>48</xdr:row>
      <xdr:rowOff>84932</xdr:rowOff>
    </xdr:from>
    <xdr:to>
      <xdr:col>36</xdr:col>
      <xdr:colOff>391319</xdr:colOff>
      <xdr:row>51</xdr:row>
      <xdr:rowOff>36512</xdr:rowOff>
    </xdr:to>
    <xdr:sp macro="" textlink="">
      <xdr:nvSpPr>
        <xdr:cNvPr id="3" name="Retângulo: Cantos Arredondados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/>
      </xdr:nvSpPr>
      <xdr:spPr>
        <a:xfrm>
          <a:off x="9240045" y="8847932"/>
          <a:ext cx="2271712" cy="499268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/>
            <a:t>A alienação da Geramar</a:t>
          </a:r>
          <a:r>
            <a:rPr lang="en-US" sz="1100" b="1" baseline="0"/>
            <a:t> foi concluída em maio de 2022</a:t>
          </a:r>
          <a:endParaRPr lang="en-US" sz="1100" b="1"/>
        </a:p>
      </xdr:txBody>
    </xdr:sp>
    <xdr:clientData/>
  </xdr:twoCellAnchor>
  <xdr:twoCellAnchor>
    <xdr:from>
      <xdr:col>0</xdr:col>
      <xdr:colOff>0</xdr:colOff>
      <xdr:row>3</xdr:row>
      <xdr:rowOff>2749</xdr:rowOff>
    </xdr:from>
    <xdr:to>
      <xdr:col>1</xdr:col>
      <xdr:colOff>1470705</xdr:colOff>
      <xdr:row>4</xdr:row>
      <xdr:rowOff>91423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1</xdr:col>
      <xdr:colOff>1472627</xdr:colOff>
      <xdr:row>2</xdr:row>
      <xdr:rowOff>88674</xdr:rowOff>
    </xdr:to>
    <xdr:sp macro="" textlink="">
      <xdr:nvSpPr>
        <xdr:cNvPr id="6" name="Retângulo: Cantos Arredondado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000-000006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Dívida e CAPEX</a:t>
          </a:r>
        </a:p>
      </xdr:txBody>
    </xdr:sp>
    <xdr:clientData/>
  </xdr:twoCellAnchor>
  <xdr:twoCellAnchor>
    <xdr:from>
      <xdr:col>33</xdr:col>
      <xdr:colOff>24607</xdr:colOff>
      <xdr:row>53</xdr:row>
      <xdr:rowOff>4762</xdr:rowOff>
    </xdr:from>
    <xdr:to>
      <xdr:col>36</xdr:col>
      <xdr:colOff>367506</xdr:colOff>
      <xdr:row>55</xdr:row>
      <xdr:rowOff>146049</xdr:rowOff>
    </xdr:to>
    <xdr:sp macro="" textlink="">
      <xdr:nvSpPr>
        <xdr:cNvPr id="2" name="Retângulo: Cantos Arredondados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/>
      </xdr:nvSpPr>
      <xdr:spPr>
        <a:xfrm>
          <a:off x="9216232" y="9680575"/>
          <a:ext cx="2271712" cy="506412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/>
            <a:t>A alienação da Intesa</a:t>
          </a:r>
          <a:r>
            <a:rPr lang="en-US" sz="1100" b="1" baseline="0"/>
            <a:t> foi concluída em março de 2024</a:t>
          </a:r>
          <a:endParaRPr lang="en-US" sz="1100" b="1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2102438</xdr:colOff>
      <xdr:row>2</xdr:row>
      <xdr:rowOff>73907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/>
      </xdr:nvSpPr>
      <xdr:spPr>
        <a:xfrm>
          <a:off x="612588" y="186765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2102438</xdr:colOff>
      <xdr:row>2</xdr:row>
      <xdr:rowOff>73907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/>
      </xdr:nvSpPr>
      <xdr:spPr>
        <a:xfrm>
          <a:off x="612588" y="186765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451438</xdr:colOff>
      <xdr:row>2</xdr:row>
      <xdr:rowOff>79243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/>
      </xdr:nvSpPr>
      <xdr:spPr>
        <a:xfrm>
          <a:off x="607786" y="181429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Dados Regulatórios - D</a:t>
          </a:r>
        </a:p>
      </xdr:txBody>
    </xdr:sp>
    <xdr:clientData/>
  </xdr:twoCellAnchor>
  <xdr:twoCellAnchor>
    <xdr:from>
      <xdr:col>8</xdr:col>
      <xdr:colOff>69850</xdr:colOff>
      <xdr:row>8</xdr:row>
      <xdr:rowOff>133350</xdr:rowOff>
    </xdr:from>
    <xdr:to>
      <xdr:col>11</xdr:col>
      <xdr:colOff>431800</xdr:colOff>
      <xdr:row>10</xdr:row>
      <xdr:rowOff>88900</xdr:rowOff>
    </xdr:to>
    <xdr:sp macro="" textlink="">
      <xdr:nvSpPr>
        <xdr:cNvPr id="6" name="Retângulo: Cantos Arredondado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SpPr/>
      </xdr:nvSpPr>
      <xdr:spPr>
        <a:xfrm>
          <a:off x="396240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Dados Regulatórios - T</a:t>
          </a:r>
          <a:endParaRPr lang="pt-BR" sz="1100" b="1"/>
        </a:p>
      </xdr:txBody>
    </xdr:sp>
    <xdr:clientData/>
  </xdr:twoCellAnchor>
  <xdr:twoCellAnchor>
    <xdr:from>
      <xdr:col>5</xdr:col>
      <xdr:colOff>22411</xdr:colOff>
      <xdr:row>0</xdr:row>
      <xdr:rowOff>171823</xdr:rowOff>
    </xdr:from>
    <xdr:to>
      <xdr:col>9</xdr:col>
      <xdr:colOff>156349</xdr:colOff>
      <xdr:row>2</xdr:row>
      <xdr:rowOff>64194</xdr:rowOff>
    </xdr:to>
    <xdr:sp macro="" textlink="">
      <xdr:nvSpPr>
        <xdr:cNvPr id="7" name="Retângulo: Cantos Arredondado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400-000007000000}"/>
            </a:ext>
          </a:extLst>
        </xdr:cNvPr>
        <xdr:cNvSpPr/>
      </xdr:nvSpPr>
      <xdr:spPr>
        <a:xfrm>
          <a:off x="2556061" y="171823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3</xdr:col>
      <xdr:colOff>107950</xdr:colOff>
      <xdr:row>11</xdr:row>
      <xdr:rowOff>0</xdr:rowOff>
    </xdr:from>
    <xdr:to>
      <xdr:col>6</xdr:col>
      <xdr:colOff>469900</xdr:colOff>
      <xdr:row>12</xdr:row>
      <xdr:rowOff>139700</xdr:rowOff>
    </xdr:to>
    <xdr:sp macro="" textlink="">
      <xdr:nvSpPr>
        <xdr:cNvPr id="4" name="Retângulo: Cantos Arredondados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/>
      </xdr:nvSpPr>
      <xdr:spPr>
        <a:xfrm>
          <a:off x="1422400" y="24511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Dados Concessões - D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627529</xdr:colOff>
      <xdr:row>2</xdr:row>
      <xdr:rowOff>66322</xdr:rowOff>
    </xdr:from>
    <xdr:to>
      <xdr:col>2</xdr:col>
      <xdr:colOff>509481</xdr:colOff>
      <xdr:row>3</xdr:row>
      <xdr:rowOff>147474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27529" y="439851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634786</xdr:colOff>
      <xdr:row>0</xdr:row>
      <xdr:rowOff>119529</xdr:rowOff>
    </xdr:from>
    <xdr:to>
      <xdr:col>2</xdr:col>
      <xdr:colOff>514723</xdr:colOff>
      <xdr:row>2</xdr:row>
      <xdr:rowOff>12907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34786" y="119529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1882619</xdr:colOff>
      <xdr:row>1</xdr:row>
      <xdr:rowOff>1815</xdr:rowOff>
    </xdr:from>
    <xdr:to>
      <xdr:col>4</xdr:col>
      <xdr:colOff>472727</xdr:colOff>
      <xdr:row>2</xdr:row>
      <xdr:rowOff>115455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/>
      </xdr:nvSpPr>
      <xdr:spPr>
        <a:xfrm>
          <a:off x="2525090" y="151227"/>
          <a:ext cx="2123696" cy="263052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298827</xdr:colOff>
      <xdr:row>1</xdr:row>
      <xdr:rowOff>0</xdr:rowOff>
    </xdr:from>
    <xdr:to>
      <xdr:col>1</xdr:col>
      <xdr:colOff>1771948</xdr:colOff>
      <xdr:row>2</xdr:row>
      <xdr:rowOff>113640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/>
      </xdr:nvSpPr>
      <xdr:spPr>
        <a:xfrm>
          <a:off x="298827" y="149412"/>
          <a:ext cx="2115592" cy="263052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Dados Reg.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2230664</xdr:colOff>
      <xdr:row>1</xdr:row>
      <xdr:rowOff>27215</xdr:rowOff>
    </xdr:from>
    <xdr:to>
      <xdr:col>5</xdr:col>
      <xdr:colOff>464457</xdr:colOff>
      <xdr:row>2</xdr:row>
      <xdr:rowOff>146051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/>
      </xdr:nvSpPr>
      <xdr:spPr>
        <a:xfrm>
          <a:off x="2973614" y="17961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6350</xdr:colOff>
      <xdr:row>1</xdr:row>
      <xdr:rowOff>25400</xdr:rowOff>
    </xdr:from>
    <xdr:to>
      <xdr:col>2</xdr:col>
      <xdr:colOff>2119993</xdr:colOff>
      <xdr:row>2</xdr:row>
      <xdr:rowOff>144236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/>
      </xdr:nvSpPr>
      <xdr:spPr>
        <a:xfrm>
          <a:off x="749300" y="17780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Dados Reg.</a:t>
          </a:r>
        </a:p>
      </xdr:txBody>
    </xdr:sp>
    <xdr:clientData/>
  </xdr:twoCellAnchor>
  <xdr:twoCellAnchor>
    <xdr:from>
      <xdr:col>2</xdr:col>
      <xdr:colOff>2230664</xdr:colOff>
      <xdr:row>1</xdr:row>
      <xdr:rowOff>27215</xdr:rowOff>
    </xdr:from>
    <xdr:to>
      <xdr:col>5</xdr:col>
      <xdr:colOff>464457</xdr:colOff>
      <xdr:row>2</xdr:row>
      <xdr:rowOff>146051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/>
      </xdr:nvSpPr>
      <xdr:spPr>
        <a:xfrm>
          <a:off x="2973614" y="17961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6350</xdr:colOff>
      <xdr:row>1</xdr:row>
      <xdr:rowOff>25400</xdr:rowOff>
    </xdr:from>
    <xdr:to>
      <xdr:col>2</xdr:col>
      <xdr:colOff>2119993</xdr:colOff>
      <xdr:row>2</xdr:row>
      <xdr:rowOff>144236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/>
      </xdr:nvSpPr>
      <xdr:spPr>
        <a:xfrm>
          <a:off x="749300" y="17780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Dados Reg.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252079</xdr:colOff>
      <xdr:row>1</xdr:row>
      <xdr:rowOff>1815</xdr:rowOff>
    </xdr:from>
    <xdr:to>
      <xdr:col>5</xdr:col>
      <xdr:colOff>348663</xdr:colOff>
      <xdr:row>2</xdr:row>
      <xdr:rowOff>86287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/>
      </xdr:nvSpPr>
      <xdr:spPr>
        <a:xfrm>
          <a:off x="3509255" y="18858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3</xdr:col>
      <xdr:colOff>141408</xdr:colOff>
      <xdr:row>2</xdr:row>
      <xdr:rowOff>84472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/>
      </xdr:nvSpPr>
      <xdr:spPr>
        <a:xfrm>
          <a:off x="1284941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Dados Reg.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42902</xdr:colOff>
      <xdr:row>1</xdr:row>
      <xdr:rowOff>1815</xdr:rowOff>
    </xdr:from>
    <xdr:to>
      <xdr:col>3</xdr:col>
      <xdr:colOff>184310</xdr:colOff>
      <xdr:row>2</xdr:row>
      <xdr:rowOff>86287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/>
      </xdr:nvSpPr>
      <xdr:spPr>
        <a:xfrm>
          <a:off x="1327843" y="18858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1</xdr:row>
      <xdr:rowOff>85725</xdr:rowOff>
    </xdr:from>
    <xdr:to>
      <xdr:col>2</xdr:col>
      <xdr:colOff>2227383</xdr:colOff>
      <xdr:row>2</xdr:row>
      <xdr:rowOff>170197</xdr:rowOff>
    </xdr:to>
    <xdr:sp macro="" textlink="">
      <xdr:nvSpPr>
        <xdr:cNvPr id="2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/>
      </xdr:nvSpPr>
      <xdr:spPr>
        <a:xfrm>
          <a:off x="1419225" y="276225"/>
          <a:ext cx="2027358" cy="274972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23</xdr:col>
      <xdr:colOff>209177</xdr:colOff>
      <xdr:row>7</xdr:row>
      <xdr:rowOff>104588</xdr:rowOff>
    </xdr:from>
    <xdr:to>
      <xdr:col>26</xdr:col>
      <xdr:colOff>456308</xdr:colOff>
      <xdr:row>23</xdr:row>
      <xdr:rowOff>102668</xdr:rowOff>
    </xdr:to>
    <xdr:grpSp>
      <xdr:nvGrpSpPr>
        <xdr:cNvPr id="3" name="Agrupar 2">
          <a:extLst>
            <a:ext uri="{FF2B5EF4-FFF2-40B4-BE49-F238E27FC236}">
              <a16:creationId xmlns:a16="http://schemas.microsoft.com/office/drawing/2014/main" id="{A0D28C64-32D3-483A-8982-D0756A5D6AE7}"/>
            </a:ext>
          </a:extLst>
        </xdr:cNvPr>
        <xdr:cNvGrpSpPr/>
      </xdr:nvGrpSpPr>
      <xdr:grpSpPr>
        <a:xfrm>
          <a:off x="12602883" y="1362822"/>
          <a:ext cx="2835690" cy="2449367"/>
          <a:chOff x="4552576" y="1055425"/>
          <a:chExt cx="2865257" cy="3003900"/>
        </a:xfrm>
      </xdr:grpSpPr>
      <xdr:cxnSp macro="">
        <xdr:nvCxnSpPr>
          <xdr:cNvPr id="4" name="Conector reto 3">
            <a:extLst>
              <a:ext uri="{FF2B5EF4-FFF2-40B4-BE49-F238E27FC236}">
                <a16:creationId xmlns:a16="http://schemas.microsoft.com/office/drawing/2014/main" id="{4A5F2D21-C9F7-0F4F-FC94-0D0E365BB873}"/>
              </a:ext>
            </a:extLst>
          </xdr:cNvPr>
          <xdr:cNvCxnSpPr/>
        </xdr:nvCxnSpPr>
        <xdr:spPr>
          <a:xfrm>
            <a:off x="4552577" y="3994753"/>
            <a:ext cx="1224000" cy="0"/>
          </a:xfrm>
          <a:prstGeom prst="line">
            <a:avLst/>
          </a:prstGeom>
          <a:noFill/>
          <a:ln w="6350" cap="flat" cmpd="sng" algn="ctr">
            <a:solidFill>
              <a:srgbClr val="002060"/>
            </a:solidFill>
            <a:prstDash val="solid"/>
            <a:miter lim="800000"/>
          </a:ln>
          <a:effectLst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Conector reto 4">
            <a:extLst>
              <a:ext uri="{FF2B5EF4-FFF2-40B4-BE49-F238E27FC236}">
                <a16:creationId xmlns:a16="http://schemas.microsoft.com/office/drawing/2014/main" id="{06CB0625-8A5C-64F2-519F-376F66BE1243}"/>
              </a:ext>
            </a:extLst>
          </xdr:cNvPr>
          <xdr:cNvCxnSpPr/>
        </xdr:nvCxnSpPr>
        <xdr:spPr>
          <a:xfrm>
            <a:off x="5603335" y="3919298"/>
            <a:ext cx="181060" cy="1729"/>
          </a:xfrm>
          <a:prstGeom prst="line">
            <a:avLst/>
          </a:prstGeom>
          <a:noFill/>
          <a:ln w="6350" cap="flat" cmpd="sng" algn="ctr">
            <a:solidFill>
              <a:srgbClr val="00B0F0"/>
            </a:solidFill>
            <a:prstDash val="solid"/>
            <a:miter lim="800000"/>
          </a:ln>
          <a:effectLst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78243DA3-893E-BF07-5B75-198183BCEBFA}"/>
              </a:ext>
            </a:extLst>
          </xdr:cNvPr>
          <xdr:cNvCxnSpPr>
            <a:cxnSpLocks/>
          </xdr:cNvCxnSpPr>
        </xdr:nvCxnSpPr>
        <xdr:spPr>
          <a:xfrm flipV="1">
            <a:off x="5588927" y="1632062"/>
            <a:ext cx="0" cy="576000"/>
          </a:xfrm>
          <a:prstGeom prst="line">
            <a:avLst/>
          </a:prstGeom>
          <a:ln w="6350">
            <a:solidFill>
              <a:srgbClr val="00206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7" name="Agrupar 6">
            <a:extLst>
              <a:ext uri="{FF2B5EF4-FFF2-40B4-BE49-F238E27FC236}">
                <a16:creationId xmlns:a16="http://schemas.microsoft.com/office/drawing/2014/main" id="{B93D7AAA-E711-A793-526B-1700096ADC53}"/>
              </a:ext>
            </a:extLst>
          </xdr:cNvPr>
          <xdr:cNvGrpSpPr/>
        </xdr:nvGrpSpPr>
        <xdr:grpSpPr>
          <a:xfrm>
            <a:off x="4700010" y="1055425"/>
            <a:ext cx="1806540" cy="467003"/>
            <a:chOff x="0" y="0"/>
            <a:chExt cx="1501776" cy="369888"/>
          </a:xfrm>
        </xdr:grpSpPr>
        <xdr:sp macro="" textlink="">
          <xdr:nvSpPr>
            <xdr:cNvPr id="32" name="Freeform 2">
              <a:extLst>
                <a:ext uri="{FF2B5EF4-FFF2-40B4-BE49-F238E27FC236}">
                  <a16:creationId xmlns:a16="http://schemas.microsoft.com/office/drawing/2014/main" id="{705DF136-ACB3-957B-7614-9D48BB7F1903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0" y="0"/>
              <a:ext cx="1501776" cy="215900"/>
            </a:xfrm>
            <a:custGeom>
              <a:avLst/>
              <a:gdLst>
                <a:gd name="T0" fmla="*/ 3061 w 4172"/>
                <a:gd name="T1" fmla="*/ 112 h 601"/>
                <a:gd name="T2" fmla="*/ 2823 w 4172"/>
                <a:gd name="T3" fmla="*/ 378 h 601"/>
                <a:gd name="T4" fmla="*/ 2849 w 4172"/>
                <a:gd name="T5" fmla="*/ 241 h 601"/>
                <a:gd name="T6" fmla="*/ 2823 w 4172"/>
                <a:gd name="T7" fmla="*/ 378 h 601"/>
                <a:gd name="T8" fmla="*/ 2487 w 4172"/>
                <a:gd name="T9" fmla="*/ 269 h 601"/>
                <a:gd name="T10" fmla="*/ 2442 w 4172"/>
                <a:gd name="T11" fmla="*/ 246 h 601"/>
                <a:gd name="T12" fmla="*/ 1706 w 4172"/>
                <a:gd name="T13" fmla="*/ 362 h 601"/>
                <a:gd name="T14" fmla="*/ 1752 w 4172"/>
                <a:gd name="T15" fmla="*/ 246 h 601"/>
                <a:gd name="T16" fmla="*/ 1706 w 4172"/>
                <a:gd name="T17" fmla="*/ 269 h 601"/>
                <a:gd name="T18" fmla="*/ 978 w 4172"/>
                <a:gd name="T19" fmla="*/ 269 h 601"/>
                <a:gd name="T20" fmla="*/ 932 w 4172"/>
                <a:gd name="T21" fmla="*/ 246 h 601"/>
                <a:gd name="T22" fmla="*/ 978 w 4172"/>
                <a:gd name="T23" fmla="*/ 407 h 601"/>
                <a:gd name="T24" fmla="*/ 577 w 4172"/>
                <a:gd name="T25" fmla="*/ 246 h 601"/>
                <a:gd name="T26" fmla="*/ 531 w 4172"/>
                <a:gd name="T27" fmla="*/ 269 h 601"/>
                <a:gd name="T28" fmla="*/ 1365 w 4172"/>
                <a:gd name="T29" fmla="*/ 146 h 601"/>
                <a:gd name="T30" fmla="*/ 1558 w 4172"/>
                <a:gd name="T31" fmla="*/ 367 h 601"/>
                <a:gd name="T32" fmla="*/ 1741 w 4172"/>
                <a:gd name="T33" fmla="*/ 141 h 601"/>
                <a:gd name="T34" fmla="*/ 1912 w 4172"/>
                <a:gd name="T35" fmla="*/ 358 h 601"/>
                <a:gd name="T36" fmla="*/ 1940 w 4172"/>
                <a:gd name="T37" fmla="*/ 238 h 601"/>
                <a:gd name="T38" fmla="*/ 2009 w 4172"/>
                <a:gd name="T39" fmla="*/ 20 h 601"/>
                <a:gd name="T40" fmla="*/ 2244 w 4172"/>
                <a:gd name="T41" fmla="*/ 146 h 601"/>
                <a:gd name="T42" fmla="*/ 2162 w 4172"/>
                <a:gd name="T43" fmla="*/ 357 h 601"/>
                <a:gd name="T44" fmla="*/ 2335 w 4172"/>
                <a:gd name="T45" fmla="*/ 170 h 601"/>
                <a:gd name="T46" fmla="*/ 2640 w 4172"/>
                <a:gd name="T47" fmla="*/ 268 h 601"/>
                <a:gd name="T48" fmla="*/ 2669 w 4172"/>
                <a:gd name="T49" fmla="*/ 146 h 601"/>
                <a:gd name="T50" fmla="*/ 2860 w 4172"/>
                <a:gd name="T51" fmla="*/ 149 h 601"/>
                <a:gd name="T52" fmla="*/ 3028 w 4172"/>
                <a:gd name="T53" fmla="*/ 230 h 601"/>
                <a:gd name="T54" fmla="*/ 3061 w 4172"/>
                <a:gd name="T55" fmla="*/ 146 h 601"/>
                <a:gd name="T56" fmla="*/ 3361 w 4172"/>
                <a:gd name="T57" fmla="*/ 425 h 601"/>
                <a:gd name="T58" fmla="*/ 3444 w 4172"/>
                <a:gd name="T59" fmla="*/ 246 h 601"/>
                <a:gd name="T60" fmla="*/ 3398 w 4172"/>
                <a:gd name="T61" fmla="*/ 269 h 601"/>
                <a:gd name="T62" fmla="*/ 3250 w 4172"/>
                <a:gd name="T63" fmla="*/ 268 h 601"/>
                <a:gd name="T64" fmla="*/ 3555 w 4172"/>
                <a:gd name="T65" fmla="*/ 169 h 601"/>
                <a:gd name="T66" fmla="*/ 3611 w 4172"/>
                <a:gd name="T67" fmla="*/ 459 h 601"/>
                <a:gd name="T68" fmla="*/ 3794 w 4172"/>
                <a:gd name="T69" fmla="*/ 0 h 601"/>
                <a:gd name="T70" fmla="*/ 3357 w 4172"/>
                <a:gd name="T71" fmla="*/ 459 h 601"/>
                <a:gd name="T72" fmla="*/ 0 w 4172"/>
                <a:gd name="T73" fmla="*/ 600 h 601"/>
                <a:gd name="T74" fmla="*/ 429 w 4172"/>
                <a:gd name="T75" fmla="*/ 170 h 601"/>
                <a:gd name="T76" fmla="*/ 736 w 4172"/>
                <a:gd name="T77" fmla="*/ 268 h 601"/>
                <a:gd name="T78" fmla="*/ 772 w 4172"/>
                <a:gd name="T79" fmla="*/ 274 h 601"/>
                <a:gd name="T80" fmla="*/ 1079 w 4172"/>
                <a:gd name="T81" fmla="*/ 175 h 601"/>
                <a:gd name="T82" fmla="*/ 1158 w 4172"/>
                <a:gd name="T83" fmla="*/ 391 h 601"/>
                <a:gd name="T84" fmla="*/ 1311 w 4172"/>
                <a:gd name="T85" fmla="*/ 380 h 60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</a:cxnLst>
              <a:rect l="0" t="0" r="r" b="b"/>
              <a:pathLst>
                <a:path w="4172" h="601">
                  <a:moveTo>
                    <a:pt x="3214" y="0"/>
                  </a:moveTo>
                  <a:lnTo>
                    <a:pt x="3214" y="112"/>
                  </a:lnTo>
                  <a:lnTo>
                    <a:pt x="3061" y="112"/>
                  </a:lnTo>
                  <a:lnTo>
                    <a:pt x="3061" y="0"/>
                  </a:lnTo>
                  <a:lnTo>
                    <a:pt x="3214" y="0"/>
                  </a:lnTo>
                  <a:close/>
                  <a:moveTo>
                    <a:pt x="2823" y="378"/>
                  </a:moveTo>
                  <a:cubicBezTo>
                    <a:pt x="2840" y="379"/>
                    <a:pt x="2858" y="380"/>
                    <a:pt x="2875" y="381"/>
                  </a:cubicBezTo>
                  <a:lnTo>
                    <a:pt x="2875" y="269"/>
                  </a:lnTo>
                  <a:cubicBezTo>
                    <a:pt x="2875" y="250"/>
                    <a:pt x="2867" y="241"/>
                    <a:pt x="2849" y="241"/>
                  </a:cubicBezTo>
                  <a:cubicBezTo>
                    <a:pt x="2840" y="241"/>
                    <a:pt x="2833" y="243"/>
                    <a:pt x="2829" y="247"/>
                  </a:cubicBezTo>
                  <a:cubicBezTo>
                    <a:pt x="2825" y="251"/>
                    <a:pt x="2823" y="258"/>
                    <a:pt x="2823" y="268"/>
                  </a:cubicBezTo>
                  <a:lnTo>
                    <a:pt x="2823" y="378"/>
                  </a:lnTo>
                  <a:close/>
                  <a:moveTo>
                    <a:pt x="2434" y="361"/>
                  </a:moveTo>
                  <a:cubicBezTo>
                    <a:pt x="2451" y="362"/>
                    <a:pt x="2469" y="362"/>
                    <a:pt x="2487" y="363"/>
                  </a:cubicBezTo>
                  <a:lnTo>
                    <a:pt x="2487" y="269"/>
                  </a:lnTo>
                  <a:cubicBezTo>
                    <a:pt x="2487" y="259"/>
                    <a:pt x="2485" y="251"/>
                    <a:pt x="2480" y="246"/>
                  </a:cubicBezTo>
                  <a:cubicBezTo>
                    <a:pt x="2476" y="241"/>
                    <a:pt x="2469" y="238"/>
                    <a:pt x="2460" y="238"/>
                  </a:cubicBezTo>
                  <a:cubicBezTo>
                    <a:pt x="2453" y="238"/>
                    <a:pt x="2447" y="241"/>
                    <a:pt x="2442" y="246"/>
                  </a:cubicBezTo>
                  <a:cubicBezTo>
                    <a:pt x="2437" y="251"/>
                    <a:pt x="2434" y="259"/>
                    <a:pt x="2434" y="269"/>
                  </a:cubicBezTo>
                  <a:lnTo>
                    <a:pt x="2434" y="361"/>
                  </a:lnTo>
                  <a:close/>
                  <a:moveTo>
                    <a:pt x="1706" y="362"/>
                  </a:moveTo>
                  <a:cubicBezTo>
                    <a:pt x="1723" y="361"/>
                    <a:pt x="1741" y="361"/>
                    <a:pt x="1759" y="361"/>
                  </a:cubicBezTo>
                  <a:lnTo>
                    <a:pt x="1759" y="269"/>
                  </a:lnTo>
                  <a:cubicBezTo>
                    <a:pt x="1759" y="259"/>
                    <a:pt x="1756" y="251"/>
                    <a:pt x="1752" y="246"/>
                  </a:cubicBezTo>
                  <a:cubicBezTo>
                    <a:pt x="1747" y="241"/>
                    <a:pt x="1741" y="238"/>
                    <a:pt x="1732" y="238"/>
                  </a:cubicBezTo>
                  <a:cubicBezTo>
                    <a:pt x="1725" y="238"/>
                    <a:pt x="1718" y="241"/>
                    <a:pt x="1713" y="246"/>
                  </a:cubicBezTo>
                  <a:cubicBezTo>
                    <a:pt x="1708" y="251"/>
                    <a:pt x="1706" y="259"/>
                    <a:pt x="1706" y="269"/>
                  </a:cubicBezTo>
                  <a:lnTo>
                    <a:pt x="1706" y="362"/>
                  </a:lnTo>
                  <a:close/>
                  <a:moveTo>
                    <a:pt x="978" y="407"/>
                  </a:moveTo>
                  <a:lnTo>
                    <a:pt x="978" y="269"/>
                  </a:lnTo>
                  <a:cubicBezTo>
                    <a:pt x="978" y="259"/>
                    <a:pt x="975" y="251"/>
                    <a:pt x="971" y="246"/>
                  </a:cubicBezTo>
                  <a:cubicBezTo>
                    <a:pt x="967" y="241"/>
                    <a:pt x="960" y="238"/>
                    <a:pt x="951" y="238"/>
                  </a:cubicBezTo>
                  <a:cubicBezTo>
                    <a:pt x="944" y="238"/>
                    <a:pt x="937" y="241"/>
                    <a:pt x="932" y="246"/>
                  </a:cubicBezTo>
                  <a:cubicBezTo>
                    <a:pt x="927" y="251"/>
                    <a:pt x="925" y="259"/>
                    <a:pt x="925" y="269"/>
                  </a:cubicBezTo>
                  <a:lnTo>
                    <a:pt x="925" y="412"/>
                  </a:lnTo>
                  <a:cubicBezTo>
                    <a:pt x="942" y="410"/>
                    <a:pt x="960" y="408"/>
                    <a:pt x="978" y="407"/>
                  </a:cubicBezTo>
                  <a:close/>
                  <a:moveTo>
                    <a:pt x="583" y="412"/>
                  </a:moveTo>
                  <a:lnTo>
                    <a:pt x="583" y="269"/>
                  </a:lnTo>
                  <a:cubicBezTo>
                    <a:pt x="583" y="259"/>
                    <a:pt x="581" y="251"/>
                    <a:pt x="577" y="246"/>
                  </a:cubicBezTo>
                  <a:cubicBezTo>
                    <a:pt x="572" y="241"/>
                    <a:pt x="566" y="238"/>
                    <a:pt x="557" y="238"/>
                  </a:cubicBezTo>
                  <a:cubicBezTo>
                    <a:pt x="550" y="238"/>
                    <a:pt x="543" y="241"/>
                    <a:pt x="538" y="246"/>
                  </a:cubicBezTo>
                  <a:cubicBezTo>
                    <a:pt x="533" y="251"/>
                    <a:pt x="531" y="259"/>
                    <a:pt x="531" y="269"/>
                  </a:cubicBezTo>
                  <a:lnTo>
                    <a:pt x="531" y="412"/>
                  </a:lnTo>
                  <a:lnTo>
                    <a:pt x="583" y="412"/>
                  </a:lnTo>
                  <a:close/>
                  <a:moveTo>
                    <a:pt x="1365" y="146"/>
                  </a:moveTo>
                  <a:lnTo>
                    <a:pt x="1517" y="146"/>
                  </a:lnTo>
                  <a:lnTo>
                    <a:pt x="1517" y="369"/>
                  </a:lnTo>
                  <a:cubicBezTo>
                    <a:pt x="1531" y="368"/>
                    <a:pt x="1544" y="368"/>
                    <a:pt x="1558" y="367"/>
                  </a:cubicBezTo>
                  <a:lnTo>
                    <a:pt x="1558" y="268"/>
                  </a:lnTo>
                  <a:cubicBezTo>
                    <a:pt x="1558" y="222"/>
                    <a:pt x="1576" y="188"/>
                    <a:pt x="1614" y="167"/>
                  </a:cubicBezTo>
                  <a:cubicBezTo>
                    <a:pt x="1644" y="150"/>
                    <a:pt x="1687" y="141"/>
                    <a:pt x="1741" y="141"/>
                  </a:cubicBezTo>
                  <a:cubicBezTo>
                    <a:pt x="1795" y="141"/>
                    <a:pt x="1836" y="151"/>
                    <a:pt x="1863" y="169"/>
                  </a:cubicBezTo>
                  <a:cubicBezTo>
                    <a:pt x="1895" y="190"/>
                    <a:pt x="1912" y="225"/>
                    <a:pt x="1912" y="274"/>
                  </a:cubicBezTo>
                  <a:lnTo>
                    <a:pt x="1912" y="358"/>
                  </a:lnTo>
                  <a:cubicBezTo>
                    <a:pt x="1944" y="357"/>
                    <a:pt x="1976" y="357"/>
                    <a:pt x="2009" y="357"/>
                  </a:cubicBezTo>
                  <a:lnTo>
                    <a:pt x="2009" y="238"/>
                  </a:lnTo>
                  <a:lnTo>
                    <a:pt x="1940" y="238"/>
                  </a:lnTo>
                  <a:lnTo>
                    <a:pt x="1940" y="146"/>
                  </a:lnTo>
                  <a:lnTo>
                    <a:pt x="2009" y="146"/>
                  </a:lnTo>
                  <a:lnTo>
                    <a:pt x="2009" y="20"/>
                  </a:lnTo>
                  <a:lnTo>
                    <a:pt x="2162" y="20"/>
                  </a:lnTo>
                  <a:lnTo>
                    <a:pt x="2162" y="146"/>
                  </a:lnTo>
                  <a:lnTo>
                    <a:pt x="2244" y="146"/>
                  </a:lnTo>
                  <a:lnTo>
                    <a:pt x="2244" y="238"/>
                  </a:lnTo>
                  <a:lnTo>
                    <a:pt x="2162" y="238"/>
                  </a:lnTo>
                  <a:lnTo>
                    <a:pt x="2162" y="357"/>
                  </a:lnTo>
                  <a:cubicBezTo>
                    <a:pt x="2202" y="357"/>
                    <a:pt x="2242" y="357"/>
                    <a:pt x="2281" y="358"/>
                  </a:cubicBezTo>
                  <a:lnTo>
                    <a:pt x="2281" y="274"/>
                  </a:lnTo>
                  <a:cubicBezTo>
                    <a:pt x="2281" y="227"/>
                    <a:pt x="2299" y="192"/>
                    <a:pt x="2335" y="170"/>
                  </a:cubicBezTo>
                  <a:cubicBezTo>
                    <a:pt x="2366" y="151"/>
                    <a:pt x="2408" y="141"/>
                    <a:pt x="2463" y="141"/>
                  </a:cubicBezTo>
                  <a:cubicBezTo>
                    <a:pt x="2513" y="141"/>
                    <a:pt x="2554" y="153"/>
                    <a:pt x="2588" y="175"/>
                  </a:cubicBezTo>
                  <a:cubicBezTo>
                    <a:pt x="2623" y="196"/>
                    <a:pt x="2640" y="227"/>
                    <a:pt x="2640" y="268"/>
                  </a:cubicBezTo>
                  <a:lnTo>
                    <a:pt x="2640" y="368"/>
                  </a:lnTo>
                  <a:cubicBezTo>
                    <a:pt x="2650" y="369"/>
                    <a:pt x="2660" y="369"/>
                    <a:pt x="2669" y="370"/>
                  </a:cubicBezTo>
                  <a:lnTo>
                    <a:pt x="2669" y="146"/>
                  </a:lnTo>
                  <a:lnTo>
                    <a:pt x="2823" y="146"/>
                  </a:lnTo>
                  <a:lnTo>
                    <a:pt x="2823" y="167"/>
                  </a:lnTo>
                  <a:cubicBezTo>
                    <a:pt x="2831" y="160"/>
                    <a:pt x="2844" y="153"/>
                    <a:pt x="2860" y="149"/>
                  </a:cubicBezTo>
                  <a:cubicBezTo>
                    <a:pt x="2877" y="144"/>
                    <a:pt x="2896" y="141"/>
                    <a:pt x="2918" y="141"/>
                  </a:cubicBezTo>
                  <a:cubicBezTo>
                    <a:pt x="2950" y="141"/>
                    <a:pt x="2976" y="150"/>
                    <a:pt x="2997" y="168"/>
                  </a:cubicBezTo>
                  <a:cubicBezTo>
                    <a:pt x="3018" y="185"/>
                    <a:pt x="3028" y="206"/>
                    <a:pt x="3028" y="230"/>
                  </a:cubicBezTo>
                  <a:lnTo>
                    <a:pt x="3028" y="392"/>
                  </a:lnTo>
                  <a:cubicBezTo>
                    <a:pt x="3039" y="393"/>
                    <a:pt x="3050" y="394"/>
                    <a:pt x="3061" y="395"/>
                  </a:cubicBezTo>
                  <a:lnTo>
                    <a:pt x="3061" y="146"/>
                  </a:lnTo>
                  <a:lnTo>
                    <a:pt x="3214" y="146"/>
                  </a:lnTo>
                  <a:lnTo>
                    <a:pt x="3214" y="409"/>
                  </a:lnTo>
                  <a:cubicBezTo>
                    <a:pt x="3264" y="414"/>
                    <a:pt x="3313" y="419"/>
                    <a:pt x="3361" y="425"/>
                  </a:cubicBezTo>
                  <a:cubicBezTo>
                    <a:pt x="3420" y="395"/>
                    <a:pt x="3450" y="374"/>
                    <a:pt x="3450" y="361"/>
                  </a:cubicBezTo>
                  <a:lnTo>
                    <a:pt x="3450" y="269"/>
                  </a:lnTo>
                  <a:cubicBezTo>
                    <a:pt x="3450" y="259"/>
                    <a:pt x="3448" y="251"/>
                    <a:pt x="3444" y="246"/>
                  </a:cubicBezTo>
                  <a:cubicBezTo>
                    <a:pt x="3440" y="241"/>
                    <a:pt x="3433" y="238"/>
                    <a:pt x="3424" y="238"/>
                  </a:cubicBezTo>
                  <a:cubicBezTo>
                    <a:pt x="3417" y="238"/>
                    <a:pt x="3410" y="241"/>
                    <a:pt x="3405" y="246"/>
                  </a:cubicBezTo>
                  <a:cubicBezTo>
                    <a:pt x="3400" y="251"/>
                    <a:pt x="3398" y="259"/>
                    <a:pt x="3398" y="269"/>
                  </a:cubicBezTo>
                  <a:lnTo>
                    <a:pt x="3398" y="392"/>
                  </a:lnTo>
                  <a:lnTo>
                    <a:pt x="3250" y="392"/>
                  </a:lnTo>
                  <a:lnTo>
                    <a:pt x="3250" y="268"/>
                  </a:lnTo>
                  <a:cubicBezTo>
                    <a:pt x="3250" y="222"/>
                    <a:pt x="3269" y="188"/>
                    <a:pt x="3306" y="167"/>
                  </a:cubicBezTo>
                  <a:cubicBezTo>
                    <a:pt x="3336" y="150"/>
                    <a:pt x="3378" y="141"/>
                    <a:pt x="3433" y="141"/>
                  </a:cubicBezTo>
                  <a:cubicBezTo>
                    <a:pt x="3487" y="141"/>
                    <a:pt x="3527" y="151"/>
                    <a:pt x="3555" y="169"/>
                  </a:cubicBezTo>
                  <a:cubicBezTo>
                    <a:pt x="3587" y="190"/>
                    <a:pt x="3603" y="225"/>
                    <a:pt x="3603" y="274"/>
                  </a:cubicBezTo>
                  <a:lnTo>
                    <a:pt x="3603" y="458"/>
                  </a:lnTo>
                  <a:cubicBezTo>
                    <a:pt x="3606" y="458"/>
                    <a:pt x="3608" y="458"/>
                    <a:pt x="3611" y="459"/>
                  </a:cubicBezTo>
                  <a:cubicBezTo>
                    <a:pt x="3621" y="461"/>
                    <a:pt x="3631" y="462"/>
                    <a:pt x="3641" y="464"/>
                  </a:cubicBezTo>
                  <a:lnTo>
                    <a:pt x="3641" y="0"/>
                  </a:lnTo>
                  <a:lnTo>
                    <a:pt x="3794" y="0"/>
                  </a:lnTo>
                  <a:lnTo>
                    <a:pt x="3794" y="492"/>
                  </a:lnTo>
                  <a:cubicBezTo>
                    <a:pt x="3952" y="524"/>
                    <a:pt x="4080" y="560"/>
                    <a:pt x="4171" y="600"/>
                  </a:cubicBezTo>
                  <a:cubicBezTo>
                    <a:pt x="3967" y="542"/>
                    <a:pt x="3688" y="494"/>
                    <a:pt x="3357" y="459"/>
                  </a:cubicBezTo>
                  <a:cubicBezTo>
                    <a:pt x="2986" y="420"/>
                    <a:pt x="2551" y="397"/>
                    <a:pt x="2087" y="397"/>
                  </a:cubicBezTo>
                  <a:cubicBezTo>
                    <a:pt x="1621" y="397"/>
                    <a:pt x="1185" y="420"/>
                    <a:pt x="814" y="459"/>
                  </a:cubicBezTo>
                  <a:cubicBezTo>
                    <a:pt x="484" y="494"/>
                    <a:pt x="205" y="542"/>
                    <a:pt x="0" y="600"/>
                  </a:cubicBezTo>
                  <a:cubicBezTo>
                    <a:pt x="91" y="560"/>
                    <a:pt x="219" y="524"/>
                    <a:pt x="378" y="492"/>
                  </a:cubicBezTo>
                  <a:lnTo>
                    <a:pt x="378" y="274"/>
                  </a:lnTo>
                  <a:cubicBezTo>
                    <a:pt x="378" y="227"/>
                    <a:pt x="395" y="192"/>
                    <a:pt x="429" y="170"/>
                  </a:cubicBezTo>
                  <a:cubicBezTo>
                    <a:pt x="459" y="151"/>
                    <a:pt x="502" y="141"/>
                    <a:pt x="556" y="141"/>
                  </a:cubicBezTo>
                  <a:cubicBezTo>
                    <a:pt x="610" y="141"/>
                    <a:pt x="651" y="150"/>
                    <a:pt x="681" y="167"/>
                  </a:cubicBezTo>
                  <a:cubicBezTo>
                    <a:pt x="718" y="187"/>
                    <a:pt x="736" y="221"/>
                    <a:pt x="736" y="268"/>
                  </a:cubicBezTo>
                  <a:lnTo>
                    <a:pt x="736" y="434"/>
                  </a:lnTo>
                  <a:cubicBezTo>
                    <a:pt x="748" y="432"/>
                    <a:pt x="760" y="431"/>
                    <a:pt x="772" y="429"/>
                  </a:cubicBezTo>
                  <a:lnTo>
                    <a:pt x="772" y="274"/>
                  </a:lnTo>
                  <a:cubicBezTo>
                    <a:pt x="772" y="227"/>
                    <a:pt x="789" y="192"/>
                    <a:pt x="825" y="170"/>
                  </a:cubicBezTo>
                  <a:cubicBezTo>
                    <a:pt x="856" y="151"/>
                    <a:pt x="899" y="141"/>
                    <a:pt x="953" y="141"/>
                  </a:cubicBezTo>
                  <a:cubicBezTo>
                    <a:pt x="1003" y="141"/>
                    <a:pt x="1045" y="153"/>
                    <a:pt x="1079" y="175"/>
                  </a:cubicBezTo>
                  <a:cubicBezTo>
                    <a:pt x="1113" y="196"/>
                    <a:pt x="1131" y="227"/>
                    <a:pt x="1131" y="268"/>
                  </a:cubicBezTo>
                  <a:lnTo>
                    <a:pt x="1131" y="393"/>
                  </a:lnTo>
                  <a:cubicBezTo>
                    <a:pt x="1140" y="392"/>
                    <a:pt x="1149" y="391"/>
                    <a:pt x="1158" y="391"/>
                  </a:cubicBezTo>
                  <a:lnTo>
                    <a:pt x="1158" y="146"/>
                  </a:lnTo>
                  <a:lnTo>
                    <a:pt x="1311" y="146"/>
                  </a:lnTo>
                  <a:lnTo>
                    <a:pt x="1311" y="380"/>
                  </a:lnTo>
                  <a:cubicBezTo>
                    <a:pt x="1329" y="379"/>
                    <a:pt x="1347" y="378"/>
                    <a:pt x="1365" y="377"/>
                  </a:cubicBezTo>
                  <a:lnTo>
                    <a:pt x="1365" y="146"/>
                  </a:lnTo>
                  <a:close/>
                </a:path>
              </a:pathLst>
            </a:custGeom>
            <a:solidFill>
              <a:srgbClr val="293577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33" name="Freeform 3">
              <a:extLst>
                <a:ext uri="{FF2B5EF4-FFF2-40B4-BE49-F238E27FC236}">
                  <a16:creationId xmlns:a16="http://schemas.microsoft.com/office/drawing/2014/main" id="{51888D10-0D68-127F-7306-D713BB8DE45E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34938" y="180975"/>
              <a:ext cx="128587" cy="98425"/>
            </a:xfrm>
            <a:custGeom>
              <a:avLst/>
              <a:gdLst>
                <a:gd name="T0" fmla="*/ 303 w 359"/>
                <a:gd name="T1" fmla="*/ 248 h 274"/>
                <a:gd name="T2" fmla="*/ 178 w 359"/>
                <a:gd name="T3" fmla="*/ 273 h 274"/>
                <a:gd name="T4" fmla="*/ 52 w 359"/>
                <a:gd name="T5" fmla="*/ 246 h 274"/>
                <a:gd name="T6" fmla="*/ 0 w 359"/>
                <a:gd name="T7" fmla="*/ 141 h 274"/>
                <a:gd name="T8" fmla="*/ 0 w 359"/>
                <a:gd name="T9" fmla="*/ 24 h 274"/>
                <a:gd name="T10" fmla="*/ 153 w 359"/>
                <a:gd name="T11" fmla="*/ 0 h 274"/>
                <a:gd name="T12" fmla="*/ 153 w 359"/>
                <a:gd name="T13" fmla="*/ 145 h 274"/>
                <a:gd name="T14" fmla="*/ 159 w 359"/>
                <a:gd name="T15" fmla="*/ 170 h 274"/>
                <a:gd name="T16" fmla="*/ 179 w 359"/>
                <a:gd name="T17" fmla="*/ 178 h 274"/>
                <a:gd name="T18" fmla="*/ 199 w 359"/>
                <a:gd name="T19" fmla="*/ 170 h 274"/>
                <a:gd name="T20" fmla="*/ 205 w 359"/>
                <a:gd name="T21" fmla="*/ 145 h 274"/>
                <a:gd name="T22" fmla="*/ 205 w 359"/>
                <a:gd name="T23" fmla="*/ 20 h 274"/>
                <a:gd name="T24" fmla="*/ 358 w 359"/>
                <a:gd name="T25" fmla="*/ 20 h 274"/>
                <a:gd name="T26" fmla="*/ 358 w 359"/>
                <a:gd name="T27" fmla="*/ 147 h 274"/>
                <a:gd name="T28" fmla="*/ 303 w 359"/>
                <a:gd name="T29" fmla="*/ 248 h 27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359" h="274">
                  <a:moveTo>
                    <a:pt x="303" y="248"/>
                  </a:moveTo>
                  <a:cubicBezTo>
                    <a:pt x="274" y="265"/>
                    <a:pt x="232" y="273"/>
                    <a:pt x="178" y="273"/>
                  </a:cubicBezTo>
                  <a:cubicBezTo>
                    <a:pt x="124" y="273"/>
                    <a:pt x="82" y="264"/>
                    <a:pt x="52" y="246"/>
                  </a:cubicBezTo>
                  <a:cubicBezTo>
                    <a:pt x="17" y="224"/>
                    <a:pt x="0" y="189"/>
                    <a:pt x="0" y="141"/>
                  </a:cubicBezTo>
                  <a:lnTo>
                    <a:pt x="0" y="24"/>
                  </a:lnTo>
                  <a:cubicBezTo>
                    <a:pt x="48" y="16"/>
                    <a:pt x="153" y="0"/>
                    <a:pt x="153" y="0"/>
                  </a:cubicBezTo>
                  <a:lnTo>
                    <a:pt x="153" y="145"/>
                  </a:lnTo>
                  <a:cubicBezTo>
                    <a:pt x="153" y="155"/>
                    <a:pt x="155" y="164"/>
                    <a:pt x="159" y="170"/>
                  </a:cubicBezTo>
                  <a:cubicBezTo>
                    <a:pt x="163" y="175"/>
                    <a:pt x="170" y="178"/>
                    <a:pt x="179" y="178"/>
                  </a:cubicBezTo>
                  <a:cubicBezTo>
                    <a:pt x="188" y="178"/>
                    <a:pt x="194" y="175"/>
                    <a:pt x="199" y="170"/>
                  </a:cubicBezTo>
                  <a:cubicBezTo>
                    <a:pt x="203" y="164"/>
                    <a:pt x="205" y="155"/>
                    <a:pt x="205" y="145"/>
                  </a:cubicBezTo>
                  <a:lnTo>
                    <a:pt x="205" y="20"/>
                  </a:lnTo>
                  <a:lnTo>
                    <a:pt x="358" y="20"/>
                  </a:lnTo>
                  <a:lnTo>
                    <a:pt x="358" y="147"/>
                  </a:lnTo>
                  <a:cubicBezTo>
                    <a:pt x="358" y="193"/>
                    <a:pt x="340" y="226"/>
                    <a:pt x="303" y="248"/>
                  </a:cubicBezTo>
                </a:path>
              </a:pathLst>
            </a:custGeom>
            <a:solidFill>
              <a:srgbClr val="6869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34" name="Freeform 4">
              <a:extLst>
                <a:ext uri="{FF2B5EF4-FFF2-40B4-BE49-F238E27FC236}">
                  <a16:creationId xmlns:a16="http://schemas.microsoft.com/office/drawing/2014/main" id="{844BB2C1-9190-EC0F-F955-6DA6EE26F6CE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22313" y="149225"/>
              <a:ext cx="87312" cy="127000"/>
            </a:xfrm>
            <a:custGeom>
              <a:avLst/>
              <a:gdLst>
                <a:gd name="T0" fmla="*/ 241 w 242"/>
                <a:gd name="T1" fmla="*/ 353 h 354"/>
                <a:gd name="T2" fmla="*/ 144 w 242"/>
                <a:gd name="T3" fmla="*/ 353 h 354"/>
                <a:gd name="T4" fmla="*/ 22 w 242"/>
                <a:gd name="T5" fmla="*/ 327 h 354"/>
                <a:gd name="T6" fmla="*/ 0 w 242"/>
                <a:gd name="T7" fmla="*/ 203 h 354"/>
                <a:gd name="T8" fmla="*/ 0 w 242"/>
                <a:gd name="T9" fmla="*/ 0 h 354"/>
                <a:gd name="T10" fmla="*/ 79 w 242"/>
                <a:gd name="T11" fmla="*/ 0 h 354"/>
                <a:gd name="T12" fmla="*/ 153 w 242"/>
                <a:gd name="T13" fmla="*/ 0 h 354"/>
                <a:gd name="T14" fmla="*/ 153 w 242"/>
                <a:gd name="T15" fmla="*/ 201 h 354"/>
                <a:gd name="T16" fmla="*/ 171 w 242"/>
                <a:gd name="T17" fmla="*/ 240 h 354"/>
                <a:gd name="T18" fmla="*/ 212 w 242"/>
                <a:gd name="T19" fmla="*/ 248 h 354"/>
                <a:gd name="T20" fmla="*/ 241 w 242"/>
                <a:gd name="T21" fmla="*/ 248 h 354"/>
                <a:gd name="T22" fmla="*/ 241 w 242"/>
                <a:gd name="T23" fmla="*/ 353 h 35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</a:cxnLst>
              <a:rect l="0" t="0" r="r" b="b"/>
              <a:pathLst>
                <a:path w="242" h="354">
                  <a:moveTo>
                    <a:pt x="241" y="353"/>
                  </a:moveTo>
                  <a:lnTo>
                    <a:pt x="144" y="353"/>
                  </a:lnTo>
                  <a:cubicBezTo>
                    <a:pt x="77" y="353"/>
                    <a:pt x="37" y="344"/>
                    <a:pt x="22" y="327"/>
                  </a:cubicBezTo>
                  <a:cubicBezTo>
                    <a:pt x="7" y="308"/>
                    <a:pt x="0" y="267"/>
                    <a:pt x="0" y="203"/>
                  </a:cubicBezTo>
                  <a:lnTo>
                    <a:pt x="0" y="0"/>
                  </a:lnTo>
                  <a:lnTo>
                    <a:pt x="79" y="0"/>
                  </a:lnTo>
                  <a:lnTo>
                    <a:pt x="153" y="0"/>
                  </a:lnTo>
                  <a:lnTo>
                    <a:pt x="153" y="201"/>
                  </a:lnTo>
                  <a:cubicBezTo>
                    <a:pt x="153" y="220"/>
                    <a:pt x="159" y="232"/>
                    <a:pt x="171" y="240"/>
                  </a:cubicBezTo>
                  <a:cubicBezTo>
                    <a:pt x="180" y="245"/>
                    <a:pt x="194" y="248"/>
                    <a:pt x="212" y="248"/>
                  </a:cubicBezTo>
                  <a:lnTo>
                    <a:pt x="241" y="248"/>
                  </a:lnTo>
                  <a:lnTo>
                    <a:pt x="241" y="353"/>
                  </a:lnTo>
                </a:path>
              </a:pathLst>
            </a:custGeom>
            <a:solidFill>
              <a:srgbClr val="6869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35" name="Freeform 5">
              <a:extLst>
                <a:ext uri="{FF2B5EF4-FFF2-40B4-BE49-F238E27FC236}">
                  <a16:creationId xmlns:a16="http://schemas.microsoft.com/office/drawing/2014/main" id="{79996112-C27F-2A10-51E8-372D0FFE0B16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309688" y="182563"/>
              <a:ext cx="55562" cy="95250"/>
            </a:xfrm>
            <a:custGeom>
              <a:avLst/>
              <a:gdLst>
                <a:gd name="T0" fmla="*/ 153 w 154"/>
                <a:gd name="T1" fmla="*/ 263 h 264"/>
                <a:gd name="T2" fmla="*/ 0 w 154"/>
                <a:gd name="T3" fmla="*/ 263 h 264"/>
                <a:gd name="T4" fmla="*/ 0 w 154"/>
                <a:gd name="T5" fmla="*/ 0 h 264"/>
                <a:gd name="T6" fmla="*/ 153 w 154"/>
                <a:gd name="T7" fmla="*/ 23 h 264"/>
                <a:gd name="T8" fmla="*/ 153 w 154"/>
                <a:gd name="T9" fmla="*/ 263 h 26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4" h="264">
                  <a:moveTo>
                    <a:pt x="153" y="263"/>
                  </a:moveTo>
                  <a:lnTo>
                    <a:pt x="0" y="263"/>
                  </a:lnTo>
                  <a:lnTo>
                    <a:pt x="0" y="0"/>
                  </a:lnTo>
                  <a:cubicBezTo>
                    <a:pt x="53" y="7"/>
                    <a:pt x="104" y="15"/>
                    <a:pt x="153" y="23"/>
                  </a:cubicBezTo>
                  <a:lnTo>
                    <a:pt x="153" y="263"/>
                  </a:lnTo>
                </a:path>
              </a:pathLst>
            </a:custGeom>
            <a:solidFill>
              <a:srgbClr val="6869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36" name="Freeform 6">
              <a:extLst>
                <a:ext uri="{FF2B5EF4-FFF2-40B4-BE49-F238E27FC236}">
                  <a16:creationId xmlns:a16="http://schemas.microsoft.com/office/drawing/2014/main" id="{0EB8A962-AAD2-CEAC-D0E8-A6BA9883C38D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15925" y="152400"/>
              <a:ext cx="130175" cy="127000"/>
            </a:xfrm>
            <a:custGeom>
              <a:avLst/>
              <a:gdLst>
                <a:gd name="T0" fmla="*/ 207 w 360"/>
                <a:gd name="T1" fmla="*/ 343 h 353"/>
                <a:gd name="T2" fmla="*/ 207 w 360"/>
                <a:gd name="T3" fmla="*/ 322 h 353"/>
                <a:gd name="T4" fmla="*/ 169 w 360"/>
                <a:gd name="T5" fmla="*/ 343 h 353"/>
                <a:gd name="T6" fmla="*/ 112 w 360"/>
                <a:gd name="T7" fmla="*/ 352 h 353"/>
                <a:gd name="T8" fmla="*/ 31 w 360"/>
                <a:gd name="T9" fmla="*/ 327 h 353"/>
                <a:gd name="T10" fmla="*/ 0 w 360"/>
                <a:gd name="T11" fmla="*/ 265 h 353"/>
                <a:gd name="T12" fmla="*/ 0 w 360"/>
                <a:gd name="T13" fmla="*/ 19 h 353"/>
                <a:gd name="T14" fmla="*/ 153 w 360"/>
                <a:gd name="T15" fmla="*/ 10 h 353"/>
                <a:gd name="T16" fmla="*/ 153 w 360"/>
                <a:gd name="T17" fmla="*/ 227 h 353"/>
                <a:gd name="T18" fmla="*/ 180 w 360"/>
                <a:gd name="T19" fmla="*/ 255 h 353"/>
                <a:gd name="T20" fmla="*/ 200 w 360"/>
                <a:gd name="T21" fmla="*/ 249 h 353"/>
                <a:gd name="T22" fmla="*/ 207 w 360"/>
                <a:gd name="T23" fmla="*/ 227 h 353"/>
                <a:gd name="T24" fmla="*/ 207 w 360"/>
                <a:gd name="T25" fmla="*/ 7 h 353"/>
                <a:gd name="T26" fmla="*/ 359 w 360"/>
                <a:gd name="T27" fmla="*/ 0 h 353"/>
                <a:gd name="T28" fmla="*/ 359 w 360"/>
                <a:gd name="T29" fmla="*/ 343 h 353"/>
                <a:gd name="T30" fmla="*/ 207 w 360"/>
                <a:gd name="T31" fmla="*/ 343 h 35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</a:cxnLst>
              <a:rect l="0" t="0" r="r" b="b"/>
              <a:pathLst>
                <a:path w="360" h="353">
                  <a:moveTo>
                    <a:pt x="207" y="343"/>
                  </a:moveTo>
                  <a:lnTo>
                    <a:pt x="207" y="322"/>
                  </a:lnTo>
                  <a:cubicBezTo>
                    <a:pt x="198" y="331"/>
                    <a:pt x="186" y="337"/>
                    <a:pt x="169" y="343"/>
                  </a:cubicBezTo>
                  <a:cubicBezTo>
                    <a:pt x="153" y="349"/>
                    <a:pt x="134" y="352"/>
                    <a:pt x="112" y="352"/>
                  </a:cubicBezTo>
                  <a:cubicBezTo>
                    <a:pt x="79" y="352"/>
                    <a:pt x="52" y="344"/>
                    <a:pt x="31" y="327"/>
                  </a:cubicBezTo>
                  <a:cubicBezTo>
                    <a:pt x="10" y="310"/>
                    <a:pt x="0" y="289"/>
                    <a:pt x="0" y="265"/>
                  </a:cubicBezTo>
                  <a:lnTo>
                    <a:pt x="0" y="19"/>
                  </a:lnTo>
                  <a:cubicBezTo>
                    <a:pt x="50" y="15"/>
                    <a:pt x="102" y="12"/>
                    <a:pt x="153" y="10"/>
                  </a:cubicBezTo>
                  <a:lnTo>
                    <a:pt x="153" y="227"/>
                  </a:lnTo>
                  <a:cubicBezTo>
                    <a:pt x="153" y="246"/>
                    <a:pt x="162" y="255"/>
                    <a:pt x="180" y="255"/>
                  </a:cubicBezTo>
                  <a:cubicBezTo>
                    <a:pt x="189" y="255"/>
                    <a:pt x="195" y="253"/>
                    <a:pt x="200" y="249"/>
                  </a:cubicBezTo>
                  <a:cubicBezTo>
                    <a:pt x="204" y="243"/>
                    <a:pt x="207" y="236"/>
                    <a:pt x="207" y="227"/>
                  </a:cubicBezTo>
                  <a:lnTo>
                    <a:pt x="207" y="7"/>
                  </a:lnTo>
                  <a:cubicBezTo>
                    <a:pt x="257" y="4"/>
                    <a:pt x="308" y="2"/>
                    <a:pt x="359" y="0"/>
                  </a:cubicBezTo>
                  <a:lnTo>
                    <a:pt x="359" y="343"/>
                  </a:lnTo>
                  <a:lnTo>
                    <a:pt x="207" y="343"/>
                  </a:lnTo>
                </a:path>
              </a:pathLst>
            </a:custGeom>
            <a:solidFill>
              <a:srgbClr val="6869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37" name="Freeform 7">
              <a:extLst>
                <a:ext uri="{FF2B5EF4-FFF2-40B4-BE49-F238E27FC236}">
                  <a16:creationId xmlns:a16="http://schemas.microsoft.com/office/drawing/2014/main" id="{D10E4248-1D51-87F3-DC88-42F74B9C43C5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66813" y="168275"/>
              <a:ext cx="128587" cy="112713"/>
            </a:xfrm>
            <a:custGeom>
              <a:avLst/>
              <a:gdLst>
                <a:gd name="T0" fmla="*/ 45 w 359"/>
                <a:gd name="T1" fmla="*/ 0 h 313"/>
                <a:gd name="T2" fmla="*/ 358 w 359"/>
                <a:gd name="T3" fmla="*/ 35 h 313"/>
                <a:gd name="T4" fmla="*/ 358 w 359"/>
                <a:gd name="T5" fmla="*/ 303 h 313"/>
                <a:gd name="T6" fmla="*/ 223 w 359"/>
                <a:gd name="T7" fmla="*/ 303 h 313"/>
                <a:gd name="T8" fmla="*/ 223 w 359"/>
                <a:gd name="T9" fmla="*/ 279 h 313"/>
                <a:gd name="T10" fmla="*/ 189 w 359"/>
                <a:gd name="T11" fmla="*/ 306 h 313"/>
                <a:gd name="T12" fmla="*/ 125 w 359"/>
                <a:gd name="T13" fmla="*/ 312 h 313"/>
                <a:gd name="T14" fmla="*/ 28 w 359"/>
                <a:gd name="T15" fmla="*/ 288 h 313"/>
                <a:gd name="T16" fmla="*/ 0 w 359"/>
                <a:gd name="T17" fmla="*/ 214 h 313"/>
                <a:gd name="T18" fmla="*/ 0 w 359"/>
                <a:gd name="T19" fmla="*/ 89 h 313"/>
                <a:gd name="T20" fmla="*/ 45 w 359"/>
                <a:gd name="T21" fmla="*/ 0 h 313"/>
                <a:gd name="T22" fmla="*/ 205 w 359"/>
                <a:gd name="T23" fmla="*/ 187 h 313"/>
                <a:gd name="T24" fmla="*/ 205 w 359"/>
                <a:gd name="T25" fmla="*/ 26 h 313"/>
                <a:gd name="T26" fmla="*/ 164 w 359"/>
                <a:gd name="T27" fmla="*/ 44 h 313"/>
                <a:gd name="T28" fmla="*/ 153 w 359"/>
                <a:gd name="T29" fmla="*/ 73 h 313"/>
                <a:gd name="T30" fmla="*/ 153 w 359"/>
                <a:gd name="T31" fmla="*/ 187 h 313"/>
                <a:gd name="T32" fmla="*/ 159 w 359"/>
                <a:gd name="T33" fmla="*/ 209 h 313"/>
                <a:gd name="T34" fmla="*/ 180 w 359"/>
                <a:gd name="T35" fmla="*/ 215 h 313"/>
                <a:gd name="T36" fmla="*/ 198 w 359"/>
                <a:gd name="T37" fmla="*/ 209 h 313"/>
                <a:gd name="T38" fmla="*/ 205 w 359"/>
                <a:gd name="T39" fmla="*/ 187 h 3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</a:cxnLst>
              <a:rect l="0" t="0" r="r" b="b"/>
              <a:pathLst>
                <a:path w="359" h="313">
                  <a:moveTo>
                    <a:pt x="45" y="0"/>
                  </a:moveTo>
                  <a:cubicBezTo>
                    <a:pt x="155" y="10"/>
                    <a:pt x="260" y="22"/>
                    <a:pt x="358" y="35"/>
                  </a:cubicBezTo>
                  <a:lnTo>
                    <a:pt x="358" y="303"/>
                  </a:lnTo>
                  <a:lnTo>
                    <a:pt x="223" y="303"/>
                  </a:lnTo>
                  <a:lnTo>
                    <a:pt x="223" y="279"/>
                  </a:lnTo>
                  <a:cubicBezTo>
                    <a:pt x="215" y="293"/>
                    <a:pt x="204" y="302"/>
                    <a:pt x="189" y="306"/>
                  </a:cubicBezTo>
                  <a:cubicBezTo>
                    <a:pt x="174" y="310"/>
                    <a:pt x="153" y="312"/>
                    <a:pt x="125" y="312"/>
                  </a:cubicBezTo>
                  <a:cubicBezTo>
                    <a:pt x="79" y="312"/>
                    <a:pt x="47" y="304"/>
                    <a:pt x="28" y="288"/>
                  </a:cubicBezTo>
                  <a:cubicBezTo>
                    <a:pt x="9" y="272"/>
                    <a:pt x="0" y="247"/>
                    <a:pt x="0" y="214"/>
                  </a:cubicBezTo>
                  <a:lnTo>
                    <a:pt x="0" y="89"/>
                  </a:lnTo>
                  <a:cubicBezTo>
                    <a:pt x="0" y="55"/>
                    <a:pt x="14" y="26"/>
                    <a:pt x="45" y="0"/>
                  </a:cubicBezTo>
                  <a:close/>
                  <a:moveTo>
                    <a:pt x="205" y="187"/>
                  </a:moveTo>
                  <a:lnTo>
                    <a:pt x="205" y="26"/>
                  </a:lnTo>
                  <a:cubicBezTo>
                    <a:pt x="185" y="31"/>
                    <a:pt x="171" y="37"/>
                    <a:pt x="164" y="44"/>
                  </a:cubicBezTo>
                  <a:cubicBezTo>
                    <a:pt x="156" y="52"/>
                    <a:pt x="153" y="61"/>
                    <a:pt x="153" y="73"/>
                  </a:cubicBezTo>
                  <a:lnTo>
                    <a:pt x="153" y="187"/>
                  </a:lnTo>
                  <a:cubicBezTo>
                    <a:pt x="153" y="196"/>
                    <a:pt x="155" y="203"/>
                    <a:pt x="159" y="209"/>
                  </a:cubicBezTo>
                  <a:cubicBezTo>
                    <a:pt x="164" y="213"/>
                    <a:pt x="171" y="215"/>
                    <a:pt x="180" y="215"/>
                  </a:cubicBezTo>
                  <a:cubicBezTo>
                    <a:pt x="188" y="215"/>
                    <a:pt x="193" y="213"/>
                    <a:pt x="198" y="209"/>
                  </a:cubicBezTo>
                  <a:cubicBezTo>
                    <a:pt x="203" y="203"/>
                    <a:pt x="205" y="196"/>
                    <a:pt x="205" y="187"/>
                  </a:cubicBezTo>
                  <a:close/>
                </a:path>
              </a:pathLst>
            </a:custGeom>
            <a:solidFill>
              <a:srgbClr val="6869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38" name="Freeform 8">
              <a:extLst>
                <a:ext uri="{FF2B5EF4-FFF2-40B4-BE49-F238E27FC236}">
                  <a16:creationId xmlns:a16="http://schemas.microsoft.com/office/drawing/2014/main" id="{0DC2D2C1-7A7B-DF3F-D32E-0ECC7F8FFF28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60438" y="153988"/>
              <a:ext cx="55562" cy="123825"/>
            </a:xfrm>
            <a:custGeom>
              <a:avLst/>
              <a:gdLst>
                <a:gd name="T0" fmla="*/ 153 w 154"/>
                <a:gd name="T1" fmla="*/ 342 h 343"/>
                <a:gd name="T2" fmla="*/ 0 w 154"/>
                <a:gd name="T3" fmla="*/ 342 h 343"/>
                <a:gd name="T4" fmla="*/ 0 w 154"/>
                <a:gd name="T5" fmla="*/ 0 h 343"/>
                <a:gd name="T6" fmla="*/ 153 w 154"/>
                <a:gd name="T7" fmla="*/ 6 h 343"/>
                <a:gd name="T8" fmla="*/ 153 w 154"/>
                <a:gd name="T9" fmla="*/ 342 h 3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4" h="343">
                  <a:moveTo>
                    <a:pt x="153" y="342"/>
                  </a:moveTo>
                  <a:lnTo>
                    <a:pt x="0" y="342"/>
                  </a:lnTo>
                  <a:lnTo>
                    <a:pt x="0" y="0"/>
                  </a:lnTo>
                  <a:cubicBezTo>
                    <a:pt x="51" y="2"/>
                    <a:pt x="102" y="4"/>
                    <a:pt x="153" y="6"/>
                  </a:cubicBezTo>
                  <a:lnTo>
                    <a:pt x="153" y="342"/>
                  </a:lnTo>
                </a:path>
              </a:pathLst>
            </a:custGeom>
            <a:solidFill>
              <a:srgbClr val="6869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39" name="Freeform 9">
              <a:extLst>
                <a:ext uri="{FF2B5EF4-FFF2-40B4-BE49-F238E27FC236}">
                  <a16:creationId xmlns:a16="http://schemas.microsoft.com/office/drawing/2014/main" id="{99794C9B-C6AB-E257-091D-7E0B36F4976B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20738" y="149225"/>
              <a:ext cx="130175" cy="130175"/>
            </a:xfrm>
            <a:custGeom>
              <a:avLst/>
              <a:gdLst>
                <a:gd name="T0" fmla="*/ 306 w 360"/>
                <a:gd name="T1" fmla="*/ 336 h 362"/>
                <a:gd name="T2" fmla="*/ 182 w 360"/>
                <a:gd name="T3" fmla="*/ 361 h 362"/>
                <a:gd name="T4" fmla="*/ 54 w 360"/>
                <a:gd name="T5" fmla="*/ 334 h 362"/>
                <a:gd name="T6" fmla="*/ 0 w 360"/>
                <a:gd name="T7" fmla="*/ 229 h 362"/>
                <a:gd name="T8" fmla="*/ 0 w 360"/>
                <a:gd name="T9" fmla="*/ 0 h 362"/>
                <a:gd name="T10" fmla="*/ 153 w 360"/>
                <a:gd name="T11" fmla="*/ 2 h 362"/>
                <a:gd name="T12" fmla="*/ 153 w 360"/>
                <a:gd name="T13" fmla="*/ 233 h 362"/>
                <a:gd name="T14" fmla="*/ 159 w 360"/>
                <a:gd name="T15" fmla="*/ 258 h 362"/>
                <a:gd name="T16" fmla="*/ 179 w 360"/>
                <a:gd name="T17" fmla="*/ 266 h 362"/>
                <a:gd name="T18" fmla="*/ 199 w 360"/>
                <a:gd name="T19" fmla="*/ 258 h 362"/>
                <a:gd name="T20" fmla="*/ 206 w 360"/>
                <a:gd name="T21" fmla="*/ 233 h 362"/>
                <a:gd name="T22" fmla="*/ 206 w 360"/>
                <a:gd name="T23" fmla="*/ 4 h 362"/>
                <a:gd name="T24" fmla="*/ 359 w 360"/>
                <a:gd name="T25" fmla="*/ 9 h 362"/>
                <a:gd name="T26" fmla="*/ 359 w 360"/>
                <a:gd name="T27" fmla="*/ 235 h 362"/>
                <a:gd name="T28" fmla="*/ 306 w 360"/>
                <a:gd name="T29" fmla="*/ 336 h 36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360" h="362">
                  <a:moveTo>
                    <a:pt x="306" y="336"/>
                  </a:moveTo>
                  <a:cubicBezTo>
                    <a:pt x="277" y="353"/>
                    <a:pt x="236" y="361"/>
                    <a:pt x="182" y="361"/>
                  </a:cubicBezTo>
                  <a:cubicBezTo>
                    <a:pt x="127" y="361"/>
                    <a:pt x="84" y="352"/>
                    <a:pt x="54" y="334"/>
                  </a:cubicBezTo>
                  <a:cubicBezTo>
                    <a:pt x="18" y="312"/>
                    <a:pt x="0" y="277"/>
                    <a:pt x="0" y="229"/>
                  </a:cubicBezTo>
                  <a:lnTo>
                    <a:pt x="0" y="0"/>
                  </a:lnTo>
                  <a:cubicBezTo>
                    <a:pt x="51" y="0"/>
                    <a:pt x="103" y="2"/>
                    <a:pt x="153" y="2"/>
                  </a:cubicBezTo>
                  <a:lnTo>
                    <a:pt x="153" y="233"/>
                  </a:lnTo>
                  <a:cubicBezTo>
                    <a:pt x="153" y="243"/>
                    <a:pt x="155" y="252"/>
                    <a:pt x="159" y="258"/>
                  </a:cubicBezTo>
                  <a:cubicBezTo>
                    <a:pt x="164" y="263"/>
                    <a:pt x="170" y="266"/>
                    <a:pt x="179" y="266"/>
                  </a:cubicBezTo>
                  <a:cubicBezTo>
                    <a:pt x="188" y="266"/>
                    <a:pt x="195" y="263"/>
                    <a:pt x="199" y="258"/>
                  </a:cubicBezTo>
                  <a:cubicBezTo>
                    <a:pt x="204" y="252"/>
                    <a:pt x="206" y="243"/>
                    <a:pt x="206" y="233"/>
                  </a:cubicBezTo>
                  <a:lnTo>
                    <a:pt x="206" y="4"/>
                  </a:lnTo>
                  <a:cubicBezTo>
                    <a:pt x="258" y="5"/>
                    <a:pt x="308" y="7"/>
                    <a:pt x="359" y="9"/>
                  </a:cubicBezTo>
                  <a:lnTo>
                    <a:pt x="359" y="235"/>
                  </a:lnTo>
                  <a:cubicBezTo>
                    <a:pt x="359" y="281"/>
                    <a:pt x="341" y="316"/>
                    <a:pt x="306" y="336"/>
                  </a:cubicBezTo>
                </a:path>
              </a:pathLst>
            </a:custGeom>
            <a:solidFill>
              <a:srgbClr val="6869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40" name="Freeform 10">
              <a:extLst>
                <a:ext uri="{FF2B5EF4-FFF2-40B4-BE49-F238E27FC236}">
                  <a16:creationId xmlns:a16="http://schemas.microsoft.com/office/drawing/2014/main" id="{6EF373AB-BC5A-A49D-2BB8-CF6C824BB9F7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58800" y="149225"/>
              <a:ext cx="130175" cy="130175"/>
            </a:xfrm>
            <a:custGeom>
              <a:avLst/>
              <a:gdLst>
                <a:gd name="T0" fmla="*/ 123 w 361"/>
                <a:gd name="T1" fmla="*/ 4 h 362"/>
                <a:gd name="T2" fmla="*/ 360 w 361"/>
                <a:gd name="T3" fmla="*/ 0 h 362"/>
                <a:gd name="T4" fmla="*/ 360 w 361"/>
                <a:gd name="T5" fmla="*/ 352 h 362"/>
                <a:gd name="T6" fmla="*/ 224 w 361"/>
                <a:gd name="T7" fmla="*/ 352 h 362"/>
                <a:gd name="T8" fmla="*/ 224 w 361"/>
                <a:gd name="T9" fmla="*/ 328 h 362"/>
                <a:gd name="T10" fmla="*/ 190 w 361"/>
                <a:gd name="T11" fmla="*/ 355 h 362"/>
                <a:gd name="T12" fmla="*/ 126 w 361"/>
                <a:gd name="T13" fmla="*/ 361 h 362"/>
                <a:gd name="T14" fmla="*/ 29 w 361"/>
                <a:gd name="T15" fmla="*/ 337 h 362"/>
                <a:gd name="T16" fmla="*/ 0 w 361"/>
                <a:gd name="T17" fmla="*/ 263 h 362"/>
                <a:gd name="T18" fmla="*/ 0 w 361"/>
                <a:gd name="T19" fmla="*/ 138 h 362"/>
                <a:gd name="T20" fmla="*/ 103 w 361"/>
                <a:gd name="T21" fmla="*/ 13 h 362"/>
                <a:gd name="T22" fmla="*/ 123 w 361"/>
                <a:gd name="T23" fmla="*/ 4 h 362"/>
                <a:gd name="T24" fmla="*/ 207 w 361"/>
                <a:gd name="T25" fmla="*/ 236 h 362"/>
                <a:gd name="T26" fmla="*/ 207 w 361"/>
                <a:gd name="T27" fmla="*/ 75 h 362"/>
                <a:gd name="T28" fmla="*/ 165 w 361"/>
                <a:gd name="T29" fmla="*/ 93 h 362"/>
                <a:gd name="T30" fmla="*/ 154 w 361"/>
                <a:gd name="T31" fmla="*/ 122 h 362"/>
                <a:gd name="T32" fmla="*/ 154 w 361"/>
                <a:gd name="T33" fmla="*/ 236 h 362"/>
                <a:gd name="T34" fmla="*/ 161 w 361"/>
                <a:gd name="T35" fmla="*/ 258 h 362"/>
                <a:gd name="T36" fmla="*/ 181 w 361"/>
                <a:gd name="T37" fmla="*/ 264 h 362"/>
                <a:gd name="T38" fmla="*/ 199 w 361"/>
                <a:gd name="T39" fmla="*/ 258 h 362"/>
                <a:gd name="T40" fmla="*/ 207 w 361"/>
                <a:gd name="T41" fmla="*/ 236 h 36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</a:cxnLst>
              <a:rect l="0" t="0" r="r" b="b"/>
              <a:pathLst>
                <a:path w="361" h="362">
                  <a:moveTo>
                    <a:pt x="123" y="4"/>
                  </a:moveTo>
                  <a:cubicBezTo>
                    <a:pt x="201" y="2"/>
                    <a:pt x="280" y="0"/>
                    <a:pt x="360" y="0"/>
                  </a:cubicBezTo>
                  <a:lnTo>
                    <a:pt x="360" y="352"/>
                  </a:lnTo>
                  <a:lnTo>
                    <a:pt x="224" y="352"/>
                  </a:lnTo>
                  <a:lnTo>
                    <a:pt x="224" y="328"/>
                  </a:lnTo>
                  <a:cubicBezTo>
                    <a:pt x="217" y="342"/>
                    <a:pt x="205" y="351"/>
                    <a:pt x="190" y="355"/>
                  </a:cubicBezTo>
                  <a:cubicBezTo>
                    <a:pt x="175" y="359"/>
                    <a:pt x="154" y="361"/>
                    <a:pt x="126" y="361"/>
                  </a:cubicBezTo>
                  <a:cubicBezTo>
                    <a:pt x="81" y="361"/>
                    <a:pt x="49" y="353"/>
                    <a:pt x="29" y="337"/>
                  </a:cubicBezTo>
                  <a:cubicBezTo>
                    <a:pt x="10" y="321"/>
                    <a:pt x="0" y="296"/>
                    <a:pt x="0" y="263"/>
                  </a:cubicBezTo>
                  <a:lnTo>
                    <a:pt x="0" y="138"/>
                  </a:lnTo>
                  <a:cubicBezTo>
                    <a:pt x="0" y="88"/>
                    <a:pt x="35" y="46"/>
                    <a:pt x="103" y="13"/>
                  </a:cubicBezTo>
                  <a:cubicBezTo>
                    <a:pt x="110" y="10"/>
                    <a:pt x="117" y="7"/>
                    <a:pt x="123" y="4"/>
                  </a:cubicBezTo>
                  <a:close/>
                  <a:moveTo>
                    <a:pt x="207" y="236"/>
                  </a:moveTo>
                  <a:lnTo>
                    <a:pt x="207" y="75"/>
                  </a:lnTo>
                  <a:cubicBezTo>
                    <a:pt x="186" y="80"/>
                    <a:pt x="172" y="86"/>
                    <a:pt x="165" y="93"/>
                  </a:cubicBezTo>
                  <a:cubicBezTo>
                    <a:pt x="157" y="101"/>
                    <a:pt x="154" y="110"/>
                    <a:pt x="154" y="122"/>
                  </a:cubicBezTo>
                  <a:lnTo>
                    <a:pt x="154" y="236"/>
                  </a:lnTo>
                  <a:cubicBezTo>
                    <a:pt x="154" y="245"/>
                    <a:pt x="156" y="252"/>
                    <a:pt x="161" y="258"/>
                  </a:cubicBezTo>
                  <a:cubicBezTo>
                    <a:pt x="166" y="262"/>
                    <a:pt x="173" y="264"/>
                    <a:pt x="181" y="264"/>
                  </a:cubicBezTo>
                  <a:cubicBezTo>
                    <a:pt x="188" y="264"/>
                    <a:pt x="195" y="262"/>
                    <a:pt x="199" y="258"/>
                  </a:cubicBezTo>
                  <a:cubicBezTo>
                    <a:pt x="204" y="252"/>
                    <a:pt x="207" y="245"/>
                    <a:pt x="207" y="236"/>
                  </a:cubicBezTo>
                  <a:close/>
                </a:path>
              </a:pathLst>
            </a:custGeom>
            <a:solidFill>
              <a:srgbClr val="6869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41" name="Freeform 11">
              <a:extLst>
                <a:ext uri="{FF2B5EF4-FFF2-40B4-BE49-F238E27FC236}">
                  <a16:creationId xmlns:a16="http://schemas.microsoft.com/office/drawing/2014/main" id="{84763EE4-C9B9-A19A-1312-DC838CF56904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01725" y="160338"/>
              <a:ext cx="55563" cy="115887"/>
            </a:xfrm>
            <a:custGeom>
              <a:avLst/>
              <a:gdLst>
                <a:gd name="T0" fmla="*/ 153 w 154"/>
                <a:gd name="T1" fmla="*/ 321 h 322"/>
                <a:gd name="T2" fmla="*/ 0 w 154"/>
                <a:gd name="T3" fmla="*/ 321 h 322"/>
                <a:gd name="T4" fmla="*/ 0 w 154"/>
                <a:gd name="T5" fmla="*/ 0 h 322"/>
                <a:gd name="T6" fmla="*/ 153 w 154"/>
                <a:gd name="T7" fmla="*/ 11 h 322"/>
                <a:gd name="T8" fmla="*/ 153 w 154"/>
                <a:gd name="T9" fmla="*/ 321 h 32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4" h="322">
                  <a:moveTo>
                    <a:pt x="153" y="321"/>
                  </a:moveTo>
                  <a:lnTo>
                    <a:pt x="0" y="321"/>
                  </a:lnTo>
                  <a:lnTo>
                    <a:pt x="0" y="0"/>
                  </a:lnTo>
                  <a:cubicBezTo>
                    <a:pt x="51" y="3"/>
                    <a:pt x="103" y="7"/>
                    <a:pt x="153" y="11"/>
                  </a:cubicBezTo>
                  <a:lnTo>
                    <a:pt x="153" y="321"/>
                  </a:lnTo>
                </a:path>
              </a:pathLst>
            </a:custGeom>
            <a:solidFill>
              <a:srgbClr val="6869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42" name="Freeform 12">
              <a:extLst>
                <a:ext uri="{FF2B5EF4-FFF2-40B4-BE49-F238E27FC236}">
                  <a16:creationId xmlns:a16="http://schemas.microsoft.com/office/drawing/2014/main" id="{F38F1EE2-EEC9-DFD7-B2DC-E8FF035BA8FB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7813" y="160338"/>
              <a:ext cx="130175" cy="134937"/>
            </a:xfrm>
            <a:custGeom>
              <a:avLst/>
              <a:gdLst>
                <a:gd name="T0" fmla="*/ 320 w 363"/>
                <a:gd name="T1" fmla="*/ 296 h 373"/>
                <a:gd name="T2" fmla="*/ 362 w 363"/>
                <a:gd name="T3" fmla="*/ 372 h 373"/>
                <a:gd name="T4" fmla="*/ 235 w 363"/>
                <a:gd name="T5" fmla="*/ 372 h 373"/>
                <a:gd name="T6" fmla="*/ 213 w 363"/>
                <a:gd name="T7" fmla="*/ 330 h 373"/>
                <a:gd name="T8" fmla="*/ 181 w 363"/>
                <a:gd name="T9" fmla="*/ 331 h 373"/>
                <a:gd name="T10" fmla="*/ 53 w 363"/>
                <a:gd name="T11" fmla="*/ 304 h 373"/>
                <a:gd name="T12" fmla="*/ 0 w 363"/>
                <a:gd name="T13" fmla="*/ 199 h 373"/>
                <a:gd name="T14" fmla="*/ 0 w 363"/>
                <a:gd name="T15" fmla="*/ 31 h 373"/>
                <a:gd name="T16" fmla="*/ 153 w 363"/>
                <a:gd name="T17" fmla="*/ 15 h 373"/>
                <a:gd name="T18" fmla="*/ 153 w 363"/>
                <a:gd name="T19" fmla="*/ 203 h 373"/>
                <a:gd name="T20" fmla="*/ 159 w 363"/>
                <a:gd name="T21" fmla="*/ 228 h 373"/>
                <a:gd name="T22" fmla="*/ 179 w 363"/>
                <a:gd name="T23" fmla="*/ 236 h 373"/>
                <a:gd name="T24" fmla="*/ 199 w 363"/>
                <a:gd name="T25" fmla="*/ 228 h 373"/>
                <a:gd name="T26" fmla="*/ 206 w 363"/>
                <a:gd name="T27" fmla="*/ 203 h 373"/>
                <a:gd name="T28" fmla="*/ 206 w 363"/>
                <a:gd name="T29" fmla="*/ 11 h 373"/>
                <a:gd name="T30" fmla="*/ 359 w 363"/>
                <a:gd name="T31" fmla="*/ 0 h 373"/>
                <a:gd name="T32" fmla="*/ 359 w 363"/>
                <a:gd name="T33" fmla="*/ 205 h 373"/>
                <a:gd name="T34" fmla="*/ 320 w 363"/>
                <a:gd name="T35" fmla="*/ 296 h 37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</a:cxnLst>
              <a:rect l="0" t="0" r="r" b="b"/>
              <a:pathLst>
                <a:path w="363" h="373">
                  <a:moveTo>
                    <a:pt x="320" y="296"/>
                  </a:moveTo>
                  <a:lnTo>
                    <a:pt x="362" y="372"/>
                  </a:lnTo>
                  <a:lnTo>
                    <a:pt x="235" y="372"/>
                  </a:lnTo>
                  <a:lnTo>
                    <a:pt x="213" y="330"/>
                  </a:lnTo>
                  <a:cubicBezTo>
                    <a:pt x="203" y="331"/>
                    <a:pt x="193" y="331"/>
                    <a:pt x="181" y="331"/>
                  </a:cubicBezTo>
                  <a:cubicBezTo>
                    <a:pt x="126" y="331"/>
                    <a:pt x="84" y="322"/>
                    <a:pt x="53" y="304"/>
                  </a:cubicBezTo>
                  <a:cubicBezTo>
                    <a:pt x="17" y="282"/>
                    <a:pt x="0" y="247"/>
                    <a:pt x="0" y="199"/>
                  </a:cubicBezTo>
                  <a:lnTo>
                    <a:pt x="0" y="31"/>
                  </a:lnTo>
                  <a:cubicBezTo>
                    <a:pt x="50" y="25"/>
                    <a:pt x="101" y="20"/>
                    <a:pt x="153" y="15"/>
                  </a:cubicBezTo>
                  <a:lnTo>
                    <a:pt x="153" y="203"/>
                  </a:lnTo>
                  <a:cubicBezTo>
                    <a:pt x="153" y="213"/>
                    <a:pt x="155" y="222"/>
                    <a:pt x="159" y="228"/>
                  </a:cubicBezTo>
                  <a:cubicBezTo>
                    <a:pt x="164" y="233"/>
                    <a:pt x="171" y="236"/>
                    <a:pt x="179" y="236"/>
                  </a:cubicBezTo>
                  <a:cubicBezTo>
                    <a:pt x="188" y="236"/>
                    <a:pt x="195" y="233"/>
                    <a:pt x="199" y="228"/>
                  </a:cubicBezTo>
                  <a:cubicBezTo>
                    <a:pt x="203" y="222"/>
                    <a:pt x="206" y="213"/>
                    <a:pt x="206" y="203"/>
                  </a:cubicBezTo>
                  <a:lnTo>
                    <a:pt x="206" y="11"/>
                  </a:lnTo>
                  <a:cubicBezTo>
                    <a:pt x="256" y="7"/>
                    <a:pt x="307" y="3"/>
                    <a:pt x="359" y="0"/>
                  </a:cubicBezTo>
                  <a:lnTo>
                    <a:pt x="359" y="205"/>
                  </a:lnTo>
                  <a:cubicBezTo>
                    <a:pt x="359" y="244"/>
                    <a:pt x="346" y="275"/>
                    <a:pt x="320" y="296"/>
                  </a:cubicBezTo>
                </a:path>
              </a:pathLst>
            </a:custGeom>
            <a:solidFill>
              <a:srgbClr val="6869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43" name="Freeform 13">
              <a:extLst>
                <a:ext uri="{FF2B5EF4-FFF2-40B4-BE49-F238E27FC236}">
                  <a16:creationId xmlns:a16="http://schemas.microsoft.com/office/drawing/2014/main" id="{E40B8829-2F47-44EA-9438-7E701F314B72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46150" y="296863"/>
              <a:ext cx="65088" cy="71437"/>
            </a:xfrm>
            <a:custGeom>
              <a:avLst/>
              <a:gdLst>
                <a:gd name="T0" fmla="*/ 117 w 179"/>
                <a:gd name="T1" fmla="*/ 0 h 197"/>
                <a:gd name="T2" fmla="*/ 178 w 179"/>
                <a:gd name="T3" fmla="*/ 196 h 197"/>
                <a:gd name="T4" fmla="*/ 131 w 179"/>
                <a:gd name="T5" fmla="*/ 196 h 197"/>
                <a:gd name="T6" fmla="*/ 115 w 179"/>
                <a:gd name="T7" fmla="*/ 145 h 197"/>
                <a:gd name="T8" fmla="*/ 59 w 179"/>
                <a:gd name="T9" fmla="*/ 145 h 197"/>
                <a:gd name="T10" fmla="*/ 46 w 179"/>
                <a:gd name="T11" fmla="*/ 196 h 197"/>
                <a:gd name="T12" fmla="*/ 0 w 179"/>
                <a:gd name="T13" fmla="*/ 196 h 197"/>
                <a:gd name="T14" fmla="*/ 59 w 179"/>
                <a:gd name="T15" fmla="*/ 0 h 197"/>
                <a:gd name="T16" fmla="*/ 117 w 179"/>
                <a:gd name="T17" fmla="*/ 0 h 197"/>
                <a:gd name="T18" fmla="*/ 65 w 179"/>
                <a:gd name="T19" fmla="*/ 112 h 197"/>
                <a:gd name="T20" fmla="*/ 109 w 179"/>
                <a:gd name="T21" fmla="*/ 112 h 197"/>
                <a:gd name="T22" fmla="*/ 97 w 179"/>
                <a:gd name="T23" fmla="*/ 71 h 197"/>
                <a:gd name="T24" fmla="*/ 87 w 179"/>
                <a:gd name="T25" fmla="*/ 33 h 197"/>
                <a:gd name="T26" fmla="*/ 86 w 179"/>
                <a:gd name="T27" fmla="*/ 33 h 197"/>
                <a:gd name="T28" fmla="*/ 77 w 179"/>
                <a:gd name="T29" fmla="*/ 71 h 197"/>
                <a:gd name="T30" fmla="*/ 65 w 179"/>
                <a:gd name="T31" fmla="*/ 112 h 19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</a:cxnLst>
              <a:rect l="0" t="0" r="r" b="b"/>
              <a:pathLst>
                <a:path w="179" h="197">
                  <a:moveTo>
                    <a:pt x="117" y="0"/>
                  </a:moveTo>
                  <a:lnTo>
                    <a:pt x="178" y="196"/>
                  </a:lnTo>
                  <a:lnTo>
                    <a:pt x="131" y="196"/>
                  </a:lnTo>
                  <a:lnTo>
                    <a:pt x="115" y="145"/>
                  </a:lnTo>
                  <a:lnTo>
                    <a:pt x="59" y="145"/>
                  </a:lnTo>
                  <a:lnTo>
                    <a:pt x="46" y="196"/>
                  </a:lnTo>
                  <a:lnTo>
                    <a:pt x="0" y="196"/>
                  </a:lnTo>
                  <a:lnTo>
                    <a:pt x="59" y="0"/>
                  </a:lnTo>
                  <a:lnTo>
                    <a:pt x="117" y="0"/>
                  </a:lnTo>
                  <a:close/>
                  <a:moveTo>
                    <a:pt x="65" y="112"/>
                  </a:moveTo>
                  <a:lnTo>
                    <a:pt x="109" y="112"/>
                  </a:lnTo>
                  <a:lnTo>
                    <a:pt x="97" y="71"/>
                  </a:lnTo>
                  <a:cubicBezTo>
                    <a:pt x="94" y="60"/>
                    <a:pt x="90" y="45"/>
                    <a:pt x="87" y="33"/>
                  </a:cubicBezTo>
                  <a:lnTo>
                    <a:pt x="86" y="33"/>
                  </a:lnTo>
                  <a:cubicBezTo>
                    <a:pt x="83" y="45"/>
                    <a:pt x="80" y="60"/>
                    <a:pt x="77" y="71"/>
                  </a:cubicBezTo>
                  <a:lnTo>
                    <a:pt x="65" y="112"/>
                  </a:lnTo>
                  <a:close/>
                </a:path>
              </a:pathLst>
            </a:custGeom>
            <a:solidFill>
              <a:srgbClr val="94949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44" name="Freeform 14">
              <a:extLst>
                <a:ext uri="{FF2B5EF4-FFF2-40B4-BE49-F238E27FC236}">
                  <a16:creationId xmlns:a16="http://schemas.microsoft.com/office/drawing/2014/main" id="{4EE77101-DA73-90FF-E3EA-AD8469CD05AD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01700" y="296863"/>
              <a:ext cx="15875" cy="71437"/>
            </a:xfrm>
            <a:custGeom>
              <a:avLst/>
              <a:gdLst>
                <a:gd name="T0" fmla="*/ 22 w 45"/>
                <a:gd name="T1" fmla="*/ 196 h 197"/>
                <a:gd name="T2" fmla="*/ 0 w 45"/>
                <a:gd name="T3" fmla="*/ 196 h 197"/>
                <a:gd name="T4" fmla="*/ 0 w 45"/>
                <a:gd name="T5" fmla="*/ 0 h 197"/>
                <a:gd name="T6" fmla="*/ 44 w 45"/>
                <a:gd name="T7" fmla="*/ 0 h 197"/>
                <a:gd name="T8" fmla="*/ 44 w 45"/>
                <a:gd name="T9" fmla="*/ 196 h 197"/>
                <a:gd name="T10" fmla="*/ 22 w 45"/>
                <a:gd name="T11" fmla="*/ 196 h 19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</a:cxnLst>
              <a:rect l="0" t="0" r="r" b="b"/>
              <a:pathLst>
                <a:path w="45" h="197">
                  <a:moveTo>
                    <a:pt x="22" y="196"/>
                  </a:moveTo>
                  <a:lnTo>
                    <a:pt x="0" y="196"/>
                  </a:lnTo>
                  <a:lnTo>
                    <a:pt x="0" y="0"/>
                  </a:lnTo>
                  <a:lnTo>
                    <a:pt x="44" y="0"/>
                  </a:lnTo>
                  <a:lnTo>
                    <a:pt x="44" y="196"/>
                  </a:lnTo>
                  <a:lnTo>
                    <a:pt x="22" y="196"/>
                  </a:lnTo>
                </a:path>
              </a:pathLst>
            </a:custGeom>
            <a:solidFill>
              <a:srgbClr val="94949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45" name="Freeform 15">
              <a:extLst>
                <a:ext uri="{FF2B5EF4-FFF2-40B4-BE49-F238E27FC236}">
                  <a16:creationId xmlns:a16="http://schemas.microsoft.com/office/drawing/2014/main" id="{9820DADD-C188-F522-3772-81E8524A9E48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08038" y="296863"/>
              <a:ext cx="61912" cy="73025"/>
            </a:xfrm>
            <a:custGeom>
              <a:avLst/>
              <a:gdLst>
                <a:gd name="T0" fmla="*/ 172 w 173"/>
                <a:gd name="T1" fmla="*/ 86 h 201"/>
                <a:gd name="T2" fmla="*/ 172 w 173"/>
                <a:gd name="T3" fmla="*/ 189 h 201"/>
                <a:gd name="T4" fmla="*/ 106 w 173"/>
                <a:gd name="T5" fmla="*/ 200 h 201"/>
                <a:gd name="T6" fmla="*/ 28 w 173"/>
                <a:gd name="T7" fmla="*/ 174 h 201"/>
                <a:gd name="T8" fmla="*/ 0 w 173"/>
                <a:gd name="T9" fmla="*/ 102 h 201"/>
                <a:gd name="T10" fmla="*/ 111 w 173"/>
                <a:gd name="T11" fmla="*/ 0 h 201"/>
                <a:gd name="T12" fmla="*/ 166 w 173"/>
                <a:gd name="T13" fmla="*/ 9 h 201"/>
                <a:gd name="T14" fmla="*/ 156 w 173"/>
                <a:gd name="T15" fmla="*/ 45 h 201"/>
                <a:gd name="T16" fmla="*/ 111 w 173"/>
                <a:gd name="T17" fmla="*/ 37 h 201"/>
                <a:gd name="T18" fmla="*/ 45 w 173"/>
                <a:gd name="T19" fmla="*/ 100 h 201"/>
                <a:gd name="T20" fmla="*/ 107 w 173"/>
                <a:gd name="T21" fmla="*/ 164 h 201"/>
                <a:gd name="T22" fmla="*/ 129 w 173"/>
                <a:gd name="T23" fmla="*/ 161 h 201"/>
                <a:gd name="T24" fmla="*/ 129 w 173"/>
                <a:gd name="T25" fmla="*/ 120 h 201"/>
                <a:gd name="T26" fmla="*/ 99 w 173"/>
                <a:gd name="T27" fmla="*/ 120 h 201"/>
                <a:gd name="T28" fmla="*/ 99 w 173"/>
                <a:gd name="T29" fmla="*/ 86 h 201"/>
                <a:gd name="T30" fmla="*/ 172 w 173"/>
                <a:gd name="T31" fmla="*/ 86 h 20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</a:cxnLst>
              <a:rect l="0" t="0" r="r" b="b"/>
              <a:pathLst>
                <a:path w="173" h="201">
                  <a:moveTo>
                    <a:pt x="172" y="86"/>
                  </a:moveTo>
                  <a:lnTo>
                    <a:pt x="172" y="189"/>
                  </a:lnTo>
                  <a:cubicBezTo>
                    <a:pt x="158" y="194"/>
                    <a:pt x="132" y="200"/>
                    <a:pt x="106" y="200"/>
                  </a:cubicBezTo>
                  <a:cubicBezTo>
                    <a:pt x="71" y="200"/>
                    <a:pt x="45" y="191"/>
                    <a:pt x="28" y="174"/>
                  </a:cubicBezTo>
                  <a:cubicBezTo>
                    <a:pt x="10" y="156"/>
                    <a:pt x="0" y="131"/>
                    <a:pt x="0" y="102"/>
                  </a:cubicBezTo>
                  <a:cubicBezTo>
                    <a:pt x="0" y="37"/>
                    <a:pt x="47" y="0"/>
                    <a:pt x="111" y="0"/>
                  </a:cubicBezTo>
                  <a:cubicBezTo>
                    <a:pt x="136" y="0"/>
                    <a:pt x="156" y="5"/>
                    <a:pt x="166" y="9"/>
                  </a:cubicBezTo>
                  <a:lnTo>
                    <a:pt x="156" y="45"/>
                  </a:lnTo>
                  <a:cubicBezTo>
                    <a:pt x="145" y="40"/>
                    <a:pt x="132" y="37"/>
                    <a:pt x="111" y="37"/>
                  </a:cubicBezTo>
                  <a:cubicBezTo>
                    <a:pt x="74" y="37"/>
                    <a:pt x="45" y="58"/>
                    <a:pt x="45" y="100"/>
                  </a:cubicBezTo>
                  <a:cubicBezTo>
                    <a:pt x="45" y="141"/>
                    <a:pt x="71" y="164"/>
                    <a:pt x="107" y="164"/>
                  </a:cubicBezTo>
                  <a:cubicBezTo>
                    <a:pt x="117" y="164"/>
                    <a:pt x="125" y="163"/>
                    <a:pt x="129" y="161"/>
                  </a:cubicBezTo>
                  <a:lnTo>
                    <a:pt x="129" y="120"/>
                  </a:lnTo>
                  <a:lnTo>
                    <a:pt x="99" y="120"/>
                  </a:lnTo>
                  <a:lnTo>
                    <a:pt x="99" y="86"/>
                  </a:lnTo>
                  <a:lnTo>
                    <a:pt x="172" y="86"/>
                  </a:lnTo>
                </a:path>
              </a:pathLst>
            </a:custGeom>
            <a:solidFill>
              <a:srgbClr val="94949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46" name="Freeform 16">
              <a:extLst>
                <a:ext uri="{FF2B5EF4-FFF2-40B4-BE49-F238E27FC236}">
                  <a16:creationId xmlns:a16="http://schemas.microsoft.com/office/drawing/2014/main" id="{227D101E-D816-4EAD-43E0-DC2AE21F1D14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31838" y="296863"/>
              <a:ext cx="53975" cy="71437"/>
            </a:xfrm>
            <a:custGeom>
              <a:avLst/>
              <a:gdLst>
                <a:gd name="T0" fmla="*/ 132 w 149"/>
                <a:gd name="T1" fmla="*/ 141 h 198"/>
                <a:gd name="T2" fmla="*/ 148 w 149"/>
                <a:gd name="T3" fmla="*/ 197 h 198"/>
                <a:gd name="T4" fmla="*/ 102 w 149"/>
                <a:gd name="T5" fmla="*/ 197 h 198"/>
                <a:gd name="T6" fmla="*/ 89 w 149"/>
                <a:gd name="T7" fmla="*/ 151 h 198"/>
                <a:gd name="T8" fmla="*/ 57 w 149"/>
                <a:gd name="T9" fmla="*/ 119 h 198"/>
                <a:gd name="T10" fmla="*/ 44 w 149"/>
                <a:gd name="T11" fmla="*/ 119 h 198"/>
                <a:gd name="T12" fmla="*/ 44 w 149"/>
                <a:gd name="T13" fmla="*/ 197 h 198"/>
                <a:gd name="T14" fmla="*/ 0 w 149"/>
                <a:gd name="T15" fmla="*/ 197 h 198"/>
                <a:gd name="T16" fmla="*/ 0 w 149"/>
                <a:gd name="T17" fmla="*/ 4 h 198"/>
                <a:gd name="T18" fmla="*/ 59 w 149"/>
                <a:gd name="T19" fmla="*/ 0 h 198"/>
                <a:gd name="T20" fmla="*/ 122 w 149"/>
                <a:gd name="T21" fmla="*/ 16 h 198"/>
                <a:gd name="T22" fmla="*/ 141 w 149"/>
                <a:gd name="T23" fmla="*/ 56 h 198"/>
                <a:gd name="T24" fmla="*/ 106 w 149"/>
                <a:gd name="T25" fmla="*/ 104 h 198"/>
                <a:gd name="T26" fmla="*/ 106 w 149"/>
                <a:gd name="T27" fmla="*/ 105 h 198"/>
                <a:gd name="T28" fmla="*/ 132 w 149"/>
                <a:gd name="T29" fmla="*/ 141 h 198"/>
                <a:gd name="T30" fmla="*/ 62 w 149"/>
                <a:gd name="T31" fmla="*/ 88 h 198"/>
                <a:gd name="T32" fmla="*/ 96 w 149"/>
                <a:gd name="T33" fmla="*/ 59 h 198"/>
                <a:gd name="T34" fmla="*/ 64 w 149"/>
                <a:gd name="T35" fmla="*/ 33 h 198"/>
                <a:gd name="T36" fmla="*/ 44 w 149"/>
                <a:gd name="T37" fmla="*/ 34 h 198"/>
                <a:gd name="T38" fmla="*/ 44 w 149"/>
                <a:gd name="T39" fmla="*/ 88 h 198"/>
                <a:gd name="T40" fmla="*/ 62 w 149"/>
                <a:gd name="T41" fmla="*/ 88 h 19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</a:cxnLst>
              <a:rect l="0" t="0" r="r" b="b"/>
              <a:pathLst>
                <a:path w="149" h="198">
                  <a:moveTo>
                    <a:pt x="132" y="141"/>
                  </a:moveTo>
                  <a:cubicBezTo>
                    <a:pt x="138" y="164"/>
                    <a:pt x="144" y="189"/>
                    <a:pt x="148" y="197"/>
                  </a:cubicBezTo>
                  <a:lnTo>
                    <a:pt x="102" y="197"/>
                  </a:lnTo>
                  <a:cubicBezTo>
                    <a:pt x="100" y="191"/>
                    <a:pt x="95" y="175"/>
                    <a:pt x="89" y="151"/>
                  </a:cubicBezTo>
                  <a:cubicBezTo>
                    <a:pt x="84" y="126"/>
                    <a:pt x="75" y="120"/>
                    <a:pt x="57" y="119"/>
                  </a:cubicBezTo>
                  <a:lnTo>
                    <a:pt x="44" y="119"/>
                  </a:lnTo>
                  <a:lnTo>
                    <a:pt x="44" y="197"/>
                  </a:lnTo>
                  <a:lnTo>
                    <a:pt x="0" y="197"/>
                  </a:lnTo>
                  <a:lnTo>
                    <a:pt x="0" y="4"/>
                  </a:lnTo>
                  <a:cubicBezTo>
                    <a:pt x="15" y="1"/>
                    <a:pt x="35" y="0"/>
                    <a:pt x="59" y="0"/>
                  </a:cubicBezTo>
                  <a:cubicBezTo>
                    <a:pt x="88" y="0"/>
                    <a:pt x="108" y="4"/>
                    <a:pt x="122" y="16"/>
                  </a:cubicBezTo>
                  <a:cubicBezTo>
                    <a:pt x="134" y="25"/>
                    <a:pt x="141" y="38"/>
                    <a:pt x="141" y="56"/>
                  </a:cubicBezTo>
                  <a:cubicBezTo>
                    <a:pt x="141" y="81"/>
                    <a:pt x="123" y="98"/>
                    <a:pt x="106" y="104"/>
                  </a:cubicBezTo>
                  <a:lnTo>
                    <a:pt x="106" y="105"/>
                  </a:lnTo>
                  <a:cubicBezTo>
                    <a:pt x="120" y="110"/>
                    <a:pt x="128" y="123"/>
                    <a:pt x="132" y="141"/>
                  </a:cubicBezTo>
                  <a:close/>
                  <a:moveTo>
                    <a:pt x="62" y="88"/>
                  </a:moveTo>
                  <a:cubicBezTo>
                    <a:pt x="84" y="88"/>
                    <a:pt x="96" y="77"/>
                    <a:pt x="96" y="59"/>
                  </a:cubicBezTo>
                  <a:cubicBezTo>
                    <a:pt x="96" y="42"/>
                    <a:pt x="84" y="33"/>
                    <a:pt x="64" y="33"/>
                  </a:cubicBezTo>
                  <a:cubicBezTo>
                    <a:pt x="53" y="33"/>
                    <a:pt x="47" y="34"/>
                    <a:pt x="44" y="34"/>
                  </a:cubicBezTo>
                  <a:lnTo>
                    <a:pt x="44" y="88"/>
                  </a:lnTo>
                  <a:lnTo>
                    <a:pt x="62" y="88"/>
                  </a:lnTo>
                  <a:close/>
                </a:path>
              </a:pathLst>
            </a:custGeom>
            <a:solidFill>
              <a:srgbClr val="94949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47" name="Freeform 17">
              <a:extLst>
                <a:ext uri="{FF2B5EF4-FFF2-40B4-BE49-F238E27FC236}">
                  <a16:creationId xmlns:a16="http://schemas.microsoft.com/office/drawing/2014/main" id="{C9DB2C0E-D7AF-29C0-D330-9E142783CFBB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57225" y="296863"/>
              <a:ext cx="44450" cy="71437"/>
            </a:xfrm>
            <a:custGeom>
              <a:avLst/>
              <a:gdLst>
                <a:gd name="T0" fmla="*/ 116 w 125"/>
                <a:gd name="T1" fmla="*/ 77 h 197"/>
                <a:gd name="T2" fmla="*/ 116 w 125"/>
                <a:gd name="T3" fmla="*/ 113 h 197"/>
                <a:gd name="T4" fmla="*/ 43 w 125"/>
                <a:gd name="T5" fmla="*/ 113 h 197"/>
                <a:gd name="T6" fmla="*/ 43 w 125"/>
                <a:gd name="T7" fmla="*/ 159 h 197"/>
                <a:gd name="T8" fmla="*/ 124 w 125"/>
                <a:gd name="T9" fmla="*/ 159 h 197"/>
                <a:gd name="T10" fmla="*/ 124 w 125"/>
                <a:gd name="T11" fmla="*/ 196 h 197"/>
                <a:gd name="T12" fmla="*/ 0 w 125"/>
                <a:gd name="T13" fmla="*/ 196 h 197"/>
                <a:gd name="T14" fmla="*/ 0 w 125"/>
                <a:gd name="T15" fmla="*/ 0 h 197"/>
                <a:gd name="T16" fmla="*/ 120 w 125"/>
                <a:gd name="T17" fmla="*/ 0 h 197"/>
                <a:gd name="T18" fmla="*/ 120 w 125"/>
                <a:gd name="T19" fmla="*/ 36 h 197"/>
                <a:gd name="T20" fmla="*/ 43 w 125"/>
                <a:gd name="T21" fmla="*/ 36 h 197"/>
                <a:gd name="T22" fmla="*/ 43 w 125"/>
                <a:gd name="T23" fmla="*/ 77 h 197"/>
                <a:gd name="T24" fmla="*/ 116 w 125"/>
                <a:gd name="T25" fmla="*/ 77 h 19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125" h="197">
                  <a:moveTo>
                    <a:pt x="116" y="77"/>
                  </a:moveTo>
                  <a:lnTo>
                    <a:pt x="116" y="113"/>
                  </a:lnTo>
                  <a:lnTo>
                    <a:pt x="43" y="113"/>
                  </a:lnTo>
                  <a:lnTo>
                    <a:pt x="43" y="159"/>
                  </a:lnTo>
                  <a:lnTo>
                    <a:pt x="124" y="159"/>
                  </a:lnTo>
                  <a:lnTo>
                    <a:pt x="124" y="196"/>
                  </a:lnTo>
                  <a:lnTo>
                    <a:pt x="0" y="196"/>
                  </a:lnTo>
                  <a:lnTo>
                    <a:pt x="0" y="0"/>
                  </a:lnTo>
                  <a:lnTo>
                    <a:pt x="120" y="0"/>
                  </a:lnTo>
                  <a:lnTo>
                    <a:pt x="120" y="36"/>
                  </a:lnTo>
                  <a:lnTo>
                    <a:pt x="43" y="36"/>
                  </a:lnTo>
                  <a:lnTo>
                    <a:pt x="43" y="77"/>
                  </a:lnTo>
                  <a:lnTo>
                    <a:pt x="116" y="77"/>
                  </a:lnTo>
                </a:path>
              </a:pathLst>
            </a:custGeom>
            <a:solidFill>
              <a:srgbClr val="94949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48" name="Freeform 18">
              <a:extLst>
                <a:ext uri="{FF2B5EF4-FFF2-40B4-BE49-F238E27FC236}">
                  <a16:creationId xmlns:a16="http://schemas.microsoft.com/office/drawing/2014/main" id="{6BB48217-F11E-953A-DD9D-AA295DBC0A0A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65150" y="296863"/>
              <a:ext cx="58738" cy="71437"/>
            </a:xfrm>
            <a:custGeom>
              <a:avLst/>
              <a:gdLst>
                <a:gd name="T0" fmla="*/ 41 w 163"/>
                <a:gd name="T1" fmla="*/ 137 h 197"/>
                <a:gd name="T2" fmla="*/ 41 w 163"/>
                <a:gd name="T3" fmla="*/ 196 h 197"/>
                <a:gd name="T4" fmla="*/ 0 w 163"/>
                <a:gd name="T5" fmla="*/ 196 h 197"/>
                <a:gd name="T6" fmla="*/ 0 w 163"/>
                <a:gd name="T7" fmla="*/ 0 h 197"/>
                <a:gd name="T8" fmla="*/ 51 w 163"/>
                <a:gd name="T9" fmla="*/ 0 h 197"/>
                <a:gd name="T10" fmla="*/ 92 w 163"/>
                <a:gd name="T11" fmla="*/ 72 h 197"/>
                <a:gd name="T12" fmla="*/ 124 w 163"/>
                <a:gd name="T13" fmla="*/ 139 h 197"/>
                <a:gd name="T14" fmla="*/ 125 w 163"/>
                <a:gd name="T15" fmla="*/ 139 h 197"/>
                <a:gd name="T16" fmla="*/ 121 w 163"/>
                <a:gd name="T17" fmla="*/ 57 h 197"/>
                <a:gd name="T18" fmla="*/ 121 w 163"/>
                <a:gd name="T19" fmla="*/ 0 h 197"/>
                <a:gd name="T20" fmla="*/ 162 w 163"/>
                <a:gd name="T21" fmla="*/ 0 h 197"/>
                <a:gd name="T22" fmla="*/ 162 w 163"/>
                <a:gd name="T23" fmla="*/ 196 h 197"/>
                <a:gd name="T24" fmla="*/ 116 w 163"/>
                <a:gd name="T25" fmla="*/ 196 h 197"/>
                <a:gd name="T26" fmla="*/ 74 w 163"/>
                <a:gd name="T27" fmla="*/ 120 h 197"/>
                <a:gd name="T28" fmla="*/ 39 w 163"/>
                <a:gd name="T29" fmla="*/ 51 h 197"/>
                <a:gd name="T30" fmla="*/ 39 w 163"/>
                <a:gd name="T31" fmla="*/ 51 h 197"/>
                <a:gd name="T32" fmla="*/ 41 w 163"/>
                <a:gd name="T33" fmla="*/ 137 h 19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</a:cxnLst>
              <a:rect l="0" t="0" r="r" b="b"/>
              <a:pathLst>
                <a:path w="163" h="197">
                  <a:moveTo>
                    <a:pt x="41" y="137"/>
                  </a:moveTo>
                  <a:lnTo>
                    <a:pt x="41" y="196"/>
                  </a:lnTo>
                  <a:lnTo>
                    <a:pt x="0" y="196"/>
                  </a:lnTo>
                  <a:lnTo>
                    <a:pt x="0" y="0"/>
                  </a:lnTo>
                  <a:lnTo>
                    <a:pt x="51" y="0"/>
                  </a:lnTo>
                  <a:lnTo>
                    <a:pt x="92" y="72"/>
                  </a:lnTo>
                  <a:cubicBezTo>
                    <a:pt x="104" y="93"/>
                    <a:pt x="115" y="117"/>
                    <a:pt x="124" y="139"/>
                  </a:cubicBezTo>
                  <a:lnTo>
                    <a:pt x="125" y="139"/>
                  </a:lnTo>
                  <a:cubicBezTo>
                    <a:pt x="122" y="113"/>
                    <a:pt x="121" y="87"/>
                    <a:pt x="121" y="57"/>
                  </a:cubicBezTo>
                  <a:lnTo>
                    <a:pt x="121" y="0"/>
                  </a:lnTo>
                  <a:lnTo>
                    <a:pt x="162" y="0"/>
                  </a:lnTo>
                  <a:lnTo>
                    <a:pt x="162" y="196"/>
                  </a:lnTo>
                  <a:lnTo>
                    <a:pt x="116" y="196"/>
                  </a:lnTo>
                  <a:lnTo>
                    <a:pt x="74" y="120"/>
                  </a:lnTo>
                  <a:cubicBezTo>
                    <a:pt x="62" y="99"/>
                    <a:pt x="49" y="74"/>
                    <a:pt x="39" y="51"/>
                  </a:cubicBezTo>
                  <a:lnTo>
                    <a:pt x="39" y="51"/>
                  </a:lnTo>
                  <a:cubicBezTo>
                    <a:pt x="40" y="78"/>
                    <a:pt x="41" y="105"/>
                    <a:pt x="41" y="137"/>
                  </a:cubicBezTo>
                </a:path>
              </a:pathLst>
            </a:custGeom>
            <a:solidFill>
              <a:srgbClr val="94949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49" name="Freeform 19">
              <a:extLst>
                <a:ext uri="{FF2B5EF4-FFF2-40B4-BE49-F238E27FC236}">
                  <a16:creationId xmlns:a16="http://schemas.microsoft.com/office/drawing/2014/main" id="{92A4CB5F-D5CB-A14C-A284-EF5CE0B7BB1B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90538" y="296863"/>
              <a:ext cx="46037" cy="71437"/>
            </a:xfrm>
            <a:custGeom>
              <a:avLst/>
              <a:gdLst>
                <a:gd name="T0" fmla="*/ 117 w 126"/>
                <a:gd name="T1" fmla="*/ 77 h 197"/>
                <a:gd name="T2" fmla="*/ 117 w 126"/>
                <a:gd name="T3" fmla="*/ 113 h 197"/>
                <a:gd name="T4" fmla="*/ 45 w 126"/>
                <a:gd name="T5" fmla="*/ 113 h 197"/>
                <a:gd name="T6" fmla="*/ 45 w 126"/>
                <a:gd name="T7" fmla="*/ 159 h 197"/>
                <a:gd name="T8" fmla="*/ 125 w 126"/>
                <a:gd name="T9" fmla="*/ 159 h 197"/>
                <a:gd name="T10" fmla="*/ 125 w 126"/>
                <a:gd name="T11" fmla="*/ 196 h 197"/>
                <a:gd name="T12" fmla="*/ 0 w 126"/>
                <a:gd name="T13" fmla="*/ 196 h 197"/>
                <a:gd name="T14" fmla="*/ 0 w 126"/>
                <a:gd name="T15" fmla="*/ 0 h 197"/>
                <a:gd name="T16" fmla="*/ 121 w 126"/>
                <a:gd name="T17" fmla="*/ 0 h 197"/>
                <a:gd name="T18" fmla="*/ 121 w 126"/>
                <a:gd name="T19" fmla="*/ 36 h 197"/>
                <a:gd name="T20" fmla="*/ 45 w 126"/>
                <a:gd name="T21" fmla="*/ 36 h 197"/>
                <a:gd name="T22" fmla="*/ 45 w 126"/>
                <a:gd name="T23" fmla="*/ 77 h 197"/>
                <a:gd name="T24" fmla="*/ 117 w 126"/>
                <a:gd name="T25" fmla="*/ 77 h 19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126" h="197">
                  <a:moveTo>
                    <a:pt x="117" y="77"/>
                  </a:moveTo>
                  <a:lnTo>
                    <a:pt x="117" y="113"/>
                  </a:lnTo>
                  <a:lnTo>
                    <a:pt x="45" y="113"/>
                  </a:lnTo>
                  <a:lnTo>
                    <a:pt x="45" y="159"/>
                  </a:lnTo>
                  <a:lnTo>
                    <a:pt x="125" y="159"/>
                  </a:lnTo>
                  <a:lnTo>
                    <a:pt x="125" y="196"/>
                  </a:lnTo>
                  <a:lnTo>
                    <a:pt x="0" y="196"/>
                  </a:lnTo>
                  <a:lnTo>
                    <a:pt x="0" y="0"/>
                  </a:lnTo>
                  <a:lnTo>
                    <a:pt x="121" y="0"/>
                  </a:lnTo>
                  <a:lnTo>
                    <a:pt x="121" y="36"/>
                  </a:lnTo>
                  <a:lnTo>
                    <a:pt x="45" y="36"/>
                  </a:lnTo>
                  <a:lnTo>
                    <a:pt x="45" y="77"/>
                  </a:lnTo>
                  <a:lnTo>
                    <a:pt x="117" y="77"/>
                  </a:lnTo>
                </a:path>
              </a:pathLst>
            </a:custGeom>
            <a:solidFill>
              <a:srgbClr val="94949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</xdr:grpSp>
      <xdr:sp macro="" textlink="">
        <xdr:nvSpPr>
          <xdr:cNvPr id="8" name="Retângulo: Cantos Arredondados 7">
            <a:extLst>
              <a:ext uri="{FF2B5EF4-FFF2-40B4-BE49-F238E27FC236}">
                <a16:creationId xmlns:a16="http://schemas.microsoft.com/office/drawing/2014/main" id="{F63FCE7A-8428-1C09-A28A-B42256D30B5C}"/>
              </a:ext>
            </a:extLst>
          </xdr:cNvPr>
          <xdr:cNvSpPr/>
        </xdr:nvSpPr>
        <xdr:spPr>
          <a:xfrm>
            <a:off x="5764435" y="3450161"/>
            <a:ext cx="1186122" cy="222726"/>
          </a:xfrm>
          <a:prstGeom prst="roundRect">
            <a:avLst/>
          </a:prstGeom>
          <a:solidFill>
            <a:srgbClr val="2C2A70"/>
          </a:solidFill>
          <a:ln>
            <a:noFill/>
          </a:ln>
          <a:effectLst>
            <a:outerShdw blurRad="50800" dist="139700" dir="2400000" sx="95000" sy="95000" algn="ctr" rotWithShape="0">
              <a:srgbClr val="000000">
                <a:alpha val="9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696662">
              <a:lnSpc>
                <a:spcPct val="90000"/>
              </a:lnSpc>
              <a:defRPr/>
            </a:pPr>
            <a:endParaRPr lang="pt-BR" sz="741">
              <a:solidFill>
                <a:prstClr val="white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" name="Retângulo: Cantos Arredondados 8">
            <a:extLst>
              <a:ext uri="{FF2B5EF4-FFF2-40B4-BE49-F238E27FC236}">
                <a16:creationId xmlns:a16="http://schemas.microsoft.com/office/drawing/2014/main" id="{12643887-A931-89FA-0F2F-114337BCF454}"/>
              </a:ext>
            </a:extLst>
          </xdr:cNvPr>
          <xdr:cNvSpPr/>
        </xdr:nvSpPr>
        <xdr:spPr>
          <a:xfrm>
            <a:off x="5764435" y="3415623"/>
            <a:ext cx="1186122" cy="222726"/>
          </a:xfrm>
          <a:prstGeom prst="roundRect">
            <a:avLst/>
          </a:prstGeom>
          <a:solidFill>
            <a:srgbClr val="3B3997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696662">
              <a:lnSpc>
                <a:spcPct val="90000"/>
              </a:lnSpc>
              <a:defRPr/>
            </a:pPr>
            <a:r>
              <a:rPr lang="pt-BR" sz="741">
                <a:solidFill>
                  <a:prstClr val="whit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Equatorial Piauí</a:t>
            </a:r>
          </a:p>
        </xdr:txBody>
      </xdr:sp>
      <xdr:sp macro="" textlink="">
        <xdr:nvSpPr>
          <xdr:cNvPr id="10" name="Retângulo: Cantos Arredondados 9">
            <a:extLst>
              <a:ext uri="{FF2B5EF4-FFF2-40B4-BE49-F238E27FC236}">
                <a16:creationId xmlns:a16="http://schemas.microsoft.com/office/drawing/2014/main" id="{83BE08CD-07E0-CB86-D60F-5CD7A6DC918E}"/>
              </a:ext>
            </a:extLst>
          </xdr:cNvPr>
          <xdr:cNvSpPr/>
        </xdr:nvSpPr>
        <xdr:spPr>
          <a:xfrm>
            <a:off x="5779052" y="3836599"/>
            <a:ext cx="1171501" cy="222726"/>
          </a:xfrm>
          <a:prstGeom prst="roundRect">
            <a:avLst/>
          </a:prstGeom>
          <a:solidFill>
            <a:srgbClr val="2C2A70"/>
          </a:solidFill>
          <a:ln>
            <a:noFill/>
          </a:ln>
          <a:effectLst>
            <a:outerShdw blurRad="50800" dist="139700" dir="2400000" sx="95000" sy="95000" algn="ctr" rotWithShape="0">
              <a:srgbClr val="000000">
                <a:alpha val="9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696662">
              <a:lnSpc>
                <a:spcPct val="90000"/>
              </a:lnSpc>
              <a:defRPr/>
            </a:pPr>
            <a:endParaRPr lang="pt-BR" sz="741">
              <a:solidFill>
                <a:prstClr val="white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1" name="Retângulo: Cantos Arredondados 10">
            <a:extLst>
              <a:ext uri="{FF2B5EF4-FFF2-40B4-BE49-F238E27FC236}">
                <a16:creationId xmlns:a16="http://schemas.microsoft.com/office/drawing/2014/main" id="{85C9EDEB-02C2-9478-8FC3-FE1E62E62B33}"/>
              </a:ext>
            </a:extLst>
          </xdr:cNvPr>
          <xdr:cNvSpPr/>
        </xdr:nvSpPr>
        <xdr:spPr>
          <a:xfrm>
            <a:off x="5779052" y="3802062"/>
            <a:ext cx="1171501" cy="222726"/>
          </a:xfrm>
          <a:prstGeom prst="roundRect">
            <a:avLst/>
          </a:prstGeom>
          <a:solidFill>
            <a:srgbClr val="3B3997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696662">
              <a:lnSpc>
                <a:spcPct val="90000"/>
              </a:lnSpc>
              <a:defRPr/>
            </a:pPr>
            <a:r>
              <a:rPr lang="pt-BR" sz="741">
                <a:solidFill>
                  <a:prstClr val="whit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Equatorial Alagoas</a:t>
            </a:r>
          </a:p>
        </xdr:txBody>
      </xdr:sp>
      <xdr:sp macro="" textlink="">
        <xdr:nvSpPr>
          <xdr:cNvPr id="12" name="Retângulo: Cantos Arredondados 11">
            <a:extLst>
              <a:ext uri="{FF2B5EF4-FFF2-40B4-BE49-F238E27FC236}">
                <a16:creationId xmlns:a16="http://schemas.microsoft.com/office/drawing/2014/main" id="{B712FABB-6808-5202-39ED-D17A7F631ADF}"/>
              </a:ext>
            </a:extLst>
          </xdr:cNvPr>
          <xdr:cNvSpPr/>
        </xdr:nvSpPr>
        <xdr:spPr>
          <a:xfrm>
            <a:off x="5040253" y="2092083"/>
            <a:ext cx="1186122" cy="222726"/>
          </a:xfrm>
          <a:prstGeom prst="roundRect">
            <a:avLst/>
          </a:prstGeom>
          <a:solidFill>
            <a:schemeClr val="accent5"/>
          </a:solidFill>
          <a:ln>
            <a:noFill/>
          </a:ln>
          <a:effectLst>
            <a:outerShdw blurRad="50800" dist="139700" dir="2400000" sx="95000" sy="95000" algn="ctr" rotWithShape="0">
              <a:srgbClr val="000000">
                <a:alpha val="9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696662">
              <a:lnSpc>
                <a:spcPct val="90000"/>
              </a:lnSpc>
              <a:defRPr/>
            </a:pPr>
            <a:endParaRPr lang="pt-BR" sz="741">
              <a:solidFill>
                <a:prstClr val="white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" name="Retângulo: Cantos Arredondados 12">
            <a:extLst>
              <a:ext uri="{FF2B5EF4-FFF2-40B4-BE49-F238E27FC236}">
                <a16:creationId xmlns:a16="http://schemas.microsoft.com/office/drawing/2014/main" id="{79BFBE58-C483-46F5-DE47-A601E537E921}"/>
              </a:ext>
            </a:extLst>
          </xdr:cNvPr>
          <xdr:cNvSpPr/>
        </xdr:nvSpPr>
        <xdr:spPr>
          <a:xfrm>
            <a:off x="5040253" y="2057545"/>
            <a:ext cx="1186122" cy="222726"/>
          </a:xfrm>
          <a:prstGeom prst="roundRect">
            <a:avLst/>
          </a:prstGeom>
          <a:solidFill>
            <a:srgbClr val="00B0F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696662">
              <a:lnSpc>
                <a:spcPct val="90000"/>
              </a:lnSpc>
              <a:defRPr/>
            </a:pPr>
            <a:r>
              <a:rPr lang="pt-BR" sz="741">
                <a:solidFill>
                  <a:prstClr val="whit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Equatorial Distribuição</a:t>
            </a:r>
          </a:p>
        </xdr:txBody>
      </xdr:sp>
      <xdr:cxnSp macro="">
        <xdr:nvCxnSpPr>
          <xdr:cNvPr id="14" name="Conector reto 13">
            <a:extLst>
              <a:ext uri="{FF2B5EF4-FFF2-40B4-BE49-F238E27FC236}">
                <a16:creationId xmlns:a16="http://schemas.microsoft.com/office/drawing/2014/main" id="{25C0D497-09AE-C53F-266C-A490F2235F49}"/>
              </a:ext>
            </a:extLst>
          </xdr:cNvPr>
          <xdr:cNvCxnSpPr>
            <a:cxnSpLocks/>
          </xdr:cNvCxnSpPr>
        </xdr:nvCxnSpPr>
        <xdr:spPr>
          <a:xfrm flipV="1">
            <a:off x="5597476" y="2300519"/>
            <a:ext cx="0" cy="1620000"/>
          </a:xfrm>
          <a:prstGeom prst="line">
            <a:avLst/>
          </a:prstGeom>
          <a:ln w="12700">
            <a:solidFill>
              <a:srgbClr val="00B0F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" name="Retângulo: Cantos Arredondados 14">
            <a:extLst>
              <a:ext uri="{FF2B5EF4-FFF2-40B4-BE49-F238E27FC236}">
                <a16:creationId xmlns:a16="http://schemas.microsoft.com/office/drawing/2014/main" id="{9118B829-99A4-501F-5CDD-9711E14C2252}"/>
              </a:ext>
            </a:extLst>
          </xdr:cNvPr>
          <xdr:cNvSpPr/>
        </xdr:nvSpPr>
        <xdr:spPr>
          <a:xfrm>
            <a:off x="5757249" y="2572852"/>
            <a:ext cx="1186122" cy="222726"/>
          </a:xfrm>
          <a:prstGeom prst="roundRect">
            <a:avLst/>
          </a:prstGeom>
          <a:solidFill>
            <a:srgbClr val="2C2A70"/>
          </a:solidFill>
          <a:ln>
            <a:noFill/>
          </a:ln>
          <a:effectLst>
            <a:outerShdw blurRad="50800" dist="139700" dir="2400000" sx="95000" sy="95000" algn="ctr" rotWithShape="0">
              <a:srgbClr val="000000">
                <a:alpha val="9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696662">
              <a:lnSpc>
                <a:spcPct val="90000"/>
              </a:lnSpc>
              <a:defRPr/>
            </a:pPr>
            <a:endParaRPr lang="pt-BR" sz="741">
              <a:solidFill>
                <a:prstClr val="white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6" name="Retângulo: Cantos Arredondados 15">
            <a:extLst>
              <a:ext uri="{FF2B5EF4-FFF2-40B4-BE49-F238E27FC236}">
                <a16:creationId xmlns:a16="http://schemas.microsoft.com/office/drawing/2014/main" id="{3EFD6834-83FA-A6C2-AAB0-ADF676D6953B}"/>
              </a:ext>
            </a:extLst>
          </xdr:cNvPr>
          <xdr:cNvSpPr/>
        </xdr:nvSpPr>
        <xdr:spPr>
          <a:xfrm>
            <a:off x="5757249" y="2538315"/>
            <a:ext cx="1186122" cy="222726"/>
          </a:xfrm>
          <a:prstGeom prst="roundRect">
            <a:avLst/>
          </a:prstGeom>
          <a:solidFill>
            <a:srgbClr val="3B3997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696662">
              <a:lnSpc>
                <a:spcPct val="90000"/>
              </a:lnSpc>
              <a:defRPr/>
            </a:pPr>
            <a:r>
              <a:rPr lang="pt-BR" sz="741">
                <a:solidFill>
                  <a:prstClr val="whit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Equatorial Maranhão</a:t>
            </a:r>
          </a:p>
        </xdr:txBody>
      </xdr:sp>
      <xdr:sp macro="" textlink="">
        <xdr:nvSpPr>
          <xdr:cNvPr id="17" name="Retângulo: Cantos Arredondados 16">
            <a:extLst>
              <a:ext uri="{FF2B5EF4-FFF2-40B4-BE49-F238E27FC236}">
                <a16:creationId xmlns:a16="http://schemas.microsoft.com/office/drawing/2014/main" id="{0C0897F9-24CC-05EE-A8F5-0F31CAAED17E}"/>
              </a:ext>
            </a:extLst>
          </xdr:cNvPr>
          <xdr:cNvSpPr/>
        </xdr:nvSpPr>
        <xdr:spPr>
          <a:xfrm>
            <a:off x="5757249" y="2997507"/>
            <a:ext cx="1186122" cy="222726"/>
          </a:xfrm>
          <a:prstGeom prst="roundRect">
            <a:avLst/>
          </a:prstGeom>
          <a:solidFill>
            <a:srgbClr val="2C2A70"/>
          </a:solidFill>
          <a:ln>
            <a:noFill/>
          </a:ln>
          <a:effectLst>
            <a:outerShdw blurRad="50800" dist="139700" dir="2400000" sx="95000" sy="95000" algn="ctr" rotWithShape="0">
              <a:srgbClr val="000000">
                <a:alpha val="9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696662">
              <a:lnSpc>
                <a:spcPct val="90000"/>
              </a:lnSpc>
              <a:defRPr/>
            </a:pPr>
            <a:endParaRPr lang="pt-BR" sz="741">
              <a:solidFill>
                <a:prstClr val="white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8" name="Retângulo: Cantos Arredondados 17">
            <a:extLst>
              <a:ext uri="{FF2B5EF4-FFF2-40B4-BE49-F238E27FC236}">
                <a16:creationId xmlns:a16="http://schemas.microsoft.com/office/drawing/2014/main" id="{AFD350D0-3B40-0A3E-1437-7747C84CD645}"/>
              </a:ext>
            </a:extLst>
          </xdr:cNvPr>
          <xdr:cNvSpPr/>
        </xdr:nvSpPr>
        <xdr:spPr>
          <a:xfrm>
            <a:off x="5757249" y="2962971"/>
            <a:ext cx="1186122" cy="222726"/>
          </a:xfrm>
          <a:prstGeom prst="roundRect">
            <a:avLst/>
          </a:prstGeom>
          <a:solidFill>
            <a:srgbClr val="3B3997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696662">
              <a:lnSpc>
                <a:spcPct val="90000"/>
              </a:lnSpc>
              <a:defRPr/>
            </a:pPr>
            <a:r>
              <a:rPr lang="pt-BR" sz="741">
                <a:solidFill>
                  <a:prstClr val="whit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Equatorial Pará</a:t>
            </a:r>
          </a:p>
        </xdr:txBody>
      </xdr:sp>
      <xdr:cxnSp macro="">
        <xdr:nvCxnSpPr>
          <xdr:cNvPr id="19" name="Conector reto 18">
            <a:extLst>
              <a:ext uri="{FF2B5EF4-FFF2-40B4-BE49-F238E27FC236}">
                <a16:creationId xmlns:a16="http://schemas.microsoft.com/office/drawing/2014/main" id="{4C3F3554-F818-9A76-44F6-6D48F69AE709}"/>
              </a:ext>
            </a:extLst>
          </xdr:cNvPr>
          <xdr:cNvCxnSpPr/>
        </xdr:nvCxnSpPr>
        <xdr:spPr>
          <a:xfrm>
            <a:off x="5596863" y="3535681"/>
            <a:ext cx="164600" cy="1729"/>
          </a:xfrm>
          <a:prstGeom prst="line">
            <a:avLst/>
          </a:prstGeom>
          <a:noFill/>
          <a:ln w="6350" cap="flat" cmpd="sng" algn="ctr">
            <a:solidFill>
              <a:srgbClr val="00B0F0"/>
            </a:solidFill>
            <a:prstDash val="solid"/>
            <a:miter lim="800000"/>
          </a:ln>
          <a:effectLst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Conector reto 19">
            <a:extLst>
              <a:ext uri="{FF2B5EF4-FFF2-40B4-BE49-F238E27FC236}">
                <a16:creationId xmlns:a16="http://schemas.microsoft.com/office/drawing/2014/main" id="{D7130F0D-5CA0-1FF3-3DF6-0E472CA208BE}"/>
              </a:ext>
            </a:extLst>
          </xdr:cNvPr>
          <xdr:cNvCxnSpPr/>
        </xdr:nvCxnSpPr>
        <xdr:spPr>
          <a:xfrm>
            <a:off x="5592649" y="2653567"/>
            <a:ext cx="164600" cy="1729"/>
          </a:xfrm>
          <a:prstGeom prst="line">
            <a:avLst/>
          </a:prstGeom>
          <a:noFill/>
          <a:ln w="6350" cap="flat" cmpd="sng" algn="ctr">
            <a:solidFill>
              <a:srgbClr val="00B0F0"/>
            </a:solidFill>
            <a:prstDash val="solid"/>
            <a:miter lim="800000"/>
          </a:ln>
          <a:effectLst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Conector reto 20">
            <a:extLst>
              <a:ext uri="{FF2B5EF4-FFF2-40B4-BE49-F238E27FC236}">
                <a16:creationId xmlns:a16="http://schemas.microsoft.com/office/drawing/2014/main" id="{6D546F48-9891-DAF2-588B-2CECD851D5C1}"/>
              </a:ext>
            </a:extLst>
          </xdr:cNvPr>
          <xdr:cNvCxnSpPr/>
        </xdr:nvCxnSpPr>
        <xdr:spPr>
          <a:xfrm>
            <a:off x="5592649" y="3097330"/>
            <a:ext cx="164600" cy="1729"/>
          </a:xfrm>
          <a:prstGeom prst="line">
            <a:avLst/>
          </a:prstGeom>
          <a:noFill/>
          <a:ln w="6350" cap="flat" cmpd="sng" algn="ctr">
            <a:solidFill>
              <a:srgbClr val="00B0F0"/>
            </a:solidFill>
            <a:prstDash val="solid"/>
            <a:miter lim="800000"/>
          </a:ln>
          <a:effectLst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2" name="Google Shape;220;p19">
            <a:extLst>
              <a:ext uri="{FF2B5EF4-FFF2-40B4-BE49-F238E27FC236}">
                <a16:creationId xmlns:a16="http://schemas.microsoft.com/office/drawing/2014/main" id="{C371F5DC-F00E-E8DB-8C57-201F6EF0BAB5}"/>
              </a:ext>
            </a:extLst>
          </xdr:cNvPr>
          <xdr:cNvSpPr txBox="1"/>
        </xdr:nvSpPr>
        <xdr:spPr>
          <a:xfrm>
            <a:off x="6972769" y="3424052"/>
            <a:ext cx="445064" cy="195984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66392" tIns="33195" rIns="66392" bIns="33195" anchor="t" anchorCtr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817208">
              <a:buClr>
                <a:srgbClr val="FFC000"/>
              </a:buClr>
              <a:buSzPts val="3600"/>
              <a:defRPr/>
            </a:pPr>
            <a:r>
              <a:rPr lang="pt-BR" sz="838" b="1" kern="1600">
                <a:solidFill>
                  <a:srgbClr val="0070C0"/>
                </a:solidFill>
                <a:latin typeface="Arial" panose="020B0604020202020204" pitchFamily="34" charset="0"/>
                <a:ea typeface="Source Sans Pro"/>
                <a:cs typeface="Arial" panose="020B0604020202020204" pitchFamily="34" charset="0"/>
                <a:sym typeface="Source Sans Pro"/>
              </a:rPr>
              <a:t>94,9%</a:t>
            </a:r>
          </a:p>
        </xdr:txBody>
      </xdr:sp>
      <xdr:sp macro="" textlink="">
        <xdr:nvSpPr>
          <xdr:cNvPr id="23" name="Google Shape;220;p19">
            <a:extLst>
              <a:ext uri="{FF2B5EF4-FFF2-40B4-BE49-F238E27FC236}">
                <a16:creationId xmlns:a16="http://schemas.microsoft.com/office/drawing/2014/main" id="{2665A618-4A57-E955-E1E6-DDB07B34F660}"/>
              </a:ext>
            </a:extLst>
          </xdr:cNvPr>
          <xdr:cNvSpPr txBox="1"/>
        </xdr:nvSpPr>
        <xdr:spPr>
          <a:xfrm>
            <a:off x="6972769" y="3825035"/>
            <a:ext cx="445064" cy="195984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66392" tIns="33195" rIns="66392" bIns="33195" anchor="t" anchorCtr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817208">
              <a:buClr>
                <a:srgbClr val="FFC000"/>
              </a:buClr>
              <a:buSzPts val="3600"/>
              <a:defRPr/>
            </a:pPr>
            <a:r>
              <a:rPr lang="pt-BR" sz="838" b="1" kern="1600">
                <a:solidFill>
                  <a:srgbClr val="0070C0"/>
                </a:solidFill>
                <a:latin typeface="Arial" panose="020B0604020202020204" pitchFamily="34" charset="0"/>
                <a:ea typeface="Source Sans Pro"/>
                <a:cs typeface="Arial" panose="020B0604020202020204" pitchFamily="34" charset="0"/>
                <a:sym typeface="Source Sans Pro"/>
              </a:rPr>
              <a:t>19,0%</a:t>
            </a:r>
          </a:p>
        </xdr:txBody>
      </xdr:sp>
      <xdr:sp macro="" textlink="">
        <xdr:nvSpPr>
          <xdr:cNvPr id="24" name="Google Shape;220;p19">
            <a:extLst>
              <a:ext uri="{FF2B5EF4-FFF2-40B4-BE49-F238E27FC236}">
                <a16:creationId xmlns:a16="http://schemas.microsoft.com/office/drawing/2014/main" id="{CEC38F7B-FB39-40A9-2BA6-B1238BF05F30}"/>
              </a:ext>
            </a:extLst>
          </xdr:cNvPr>
          <xdr:cNvSpPr txBox="1"/>
        </xdr:nvSpPr>
        <xdr:spPr>
          <a:xfrm>
            <a:off x="5621421" y="1758038"/>
            <a:ext cx="445064" cy="195984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66392" tIns="33195" rIns="66392" bIns="33195" anchor="t" anchorCtr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817208">
              <a:buClr>
                <a:srgbClr val="FFC000"/>
              </a:buClr>
              <a:buSzPts val="3600"/>
              <a:defRPr/>
            </a:pPr>
            <a:r>
              <a:rPr lang="pt-BR" sz="838" b="1" kern="1600">
                <a:solidFill>
                  <a:srgbClr val="002060"/>
                </a:solidFill>
                <a:latin typeface="Arial" panose="020B0604020202020204" pitchFamily="34" charset="0"/>
                <a:ea typeface="Source Sans Pro"/>
                <a:cs typeface="Arial" panose="020B0604020202020204" pitchFamily="34" charset="0"/>
                <a:sym typeface="Source Sans Pro"/>
              </a:rPr>
              <a:t>74,2%</a:t>
            </a:r>
          </a:p>
        </xdr:txBody>
      </xdr:sp>
      <xdr:sp macro="" textlink="">
        <xdr:nvSpPr>
          <xdr:cNvPr id="25" name="Google Shape;220;p19">
            <a:extLst>
              <a:ext uri="{FF2B5EF4-FFF2-40B4-BE49-F238E27FC236}">
                <a16:creationId xmlns:a16="http://schemas.microsoft.com/office/drawing/2014/main" id="{0B9C05B8-06E1-D979-E80D-396C2B70B67E}"/>
              </a:ext>
            </a:extLst>
          </xdr:cNvPr>
          <xdr:cNvSpPr txBox="1"/>
        </xdr:nvSpPr>
        <xdr:spPr>
          <a:xfrm>
            <a:off x="6972769" y="2554307"/>
            <a:ext cx="445064" cy="195984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66392" tIns="33195" rIns="66392" bIns="33195" anchor="t" anchorCtr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817208">
              <a:buClr>
                <a:srgbClr val="FFC000"/>
              </a:buClr>
              <a:buSzPts val="3600"/>
              <a:defRPr/>
            </a:pPr>
            <a:r>
              <a:rPr lang="pt-BR" sz="838" b="1" kern="1600">
                <a:solidFill>
                  <a:srgbClr val="0070C0"/>
                </a:solidFill>
                <a:latin typeface="Arial" panose="020B0604020202020204" pitchFamily="34" charset="0"/>
                <a:ea typeface="Source Sans Pro"/>
                <a:cs typeface="Arial" panose="020B0604020202020204" pitchFamily="34" charset="0"/>
                <a:sym typeface="Source Sans Pro"/>
              </a:rPr>
              <a:t>65,1%</a:t>
            </a:r>
          </a:p>
        </xdr:txBody>
      </xdr:sp>
      <xdr:sp macro="" textlink="">
        <xdr:nvSpPr>
          <xdr:cNvPr id="26" name="Google Shape;220;p19">
            <a:extLst>
              <a:ext uri="{FF2B5EF4-FFF2-40B4-BE49-F238E27FC236}">
                <a16:creationId xmlns:a16="http://schemas.microsoft.com/office/drawing/2014/main" id="{BCD2246D-ABAC-D790-BB87-118425737345}"/>
              </a:ext>
            </a:extLst>
          </xdr:cNvPr>
          <xdr:cNvSpPr txBox="1"/>
        </xdr:nvSpPr>
        <xdr:spPr>
          <a:xfrm>
            <a:off x="6972769" y="2993909"/>
            <a:ext cx="445064" cy="195984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66392" tIns="33195" rIns="66392" bIns="33195" anchor="t" anchorCtr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817208">
              <a:buClr>
                <a:srgbClr val="FFC000"/>
              </a:buClr>
              <a:buSzPts val="3600"/>
              <a:defRPr/>
            </a:pPr>
            <a:r>
              <a:rPr lang="pt-BR" sz="838" b="1" kern="1600">
                <a:solidFill>
                  <a:srgbClr val="0070C0"/>
                </a:solidFill>
                <a:latin typeface="Arial" panose="020B0604020202020204" pitchFamily="34" charset="0"/>
                <a:ea typeface="Source Sans Pro"/>
                <a:cs typeface="Arial" panose="020B0604020202020204" pitchFamily="34" charset="0"/>
                <a:sym typeface="Source Sans Pro"/>
              </a:rPr>
              <a:t>96,5%</a:t>
            </a:r>
          </a:p>
        </xdr:txBody>
      </xdr:sp>
      <xdr:cxnSp macro="">
        <xdr:nvCxnSpPr>
          <xdr:cNvPr id="27" name="Conector reto 26">
            <a:extLst>
              <a:ext uri="{FF2B5EF4-FFF2-40B4-BE49-F238E27FC236}">
                <a16:creationId xmlns:a16="http://schemas.microsoft.com/office/drawing/2014/main" id="{55D79AC4-84A7-7131-5B25-429427C441F3}"/>
              </a:ext>
            </a:extLst>
          </xdr:cNvPr>
          <xdr:cNvCxnSpPr/>
        </xdr:nvCxnSpPr>
        <xdr:spPr>
          <a:xfrm>
            <a:off x="4553922" y="1297426"/>
            <a:ext cx="144000" cy="0"/>
          </a:xfrm>
          <a:prstGeom prst="line">
            <a:avLst/>
          </a:prstGeom>
          <a:noFill/>
          <a:ln w="6350" cap="flat" cmpd="sng" algn="ctr">
            <a:solidFill>
              <a:srgbClr val="002060"/>
            </a:solidFill>
            <a:prstDash val="solid"/>
            <a:miter lim="800000"/>
          </a:ln>
          <a:effectLst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Conector reto 27">
            <a:extLst>
              <a:ext uri="{FF2B5EF4-FFF2-40B4-BE49-F238E27FC236}">
                <a16:creationId xmlns:a16="http://schemas.microsoft.com/office/drawing/2014/main" id="{83D1CDE2-793E-08A2-D279-EE549BE2264A}"/>
              </a:ext>
            </a:extLst>
          </xdr:cNvPr>
          <xdr:cNvCxnSpPr>
            <a:cxnSpLocks/>
          </xdr:cNvCxnSpPr>
        </xdr:nvCxnSpPr>
        <xdr:spPr>
          <a:xfrm flipV="1">
            <a:off x="4552577" y="1297426"/>
            <a:ext cx="0" cy="2700000"/>
          </a:xfrm>
          <a:prstGeom prst="line">
            <a:avLst/>
          </a:prstGeom>
          <a:ln w="12700">
            <a:solidFill>
              <a:srgbClr val="00206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9" name="Google Shape;220;p19">
            <a:extLst>
              <a:ext uri="{FF2B5EF4-FFF2-40B4-BE49-F238E27FC236}">
                <a16:creationId xmlns:a16="http://schemas.microsoft.com/office/drawing/2014/main" id="{70DDC9F2-2947-AE52-6150-5AE6BBB0AFAD}"/>
              </a:ext>
            </a:extLst>
          </xdr:cNvPr>
          <xdr:cNvSpPr txBox="1"/>
        </xdr:nvSpPr>
        <xdr:spPr>
          <a:xfrm>
            <a:off x="4552576" y="3796097"/>
            <a:ext cx="445064" cy="195984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66392" tIns="33195" rIns="66392" bIns="33195" anchor="t" anchorCtr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817208">
              <a:buClr>
                <a:srgbClr val="FFC000"/>
              </a:buClr>
              <a:buSzPts val="3600"/>
              <a:defRPr/>
            </a:pPr>
            <a:r>
              <a:rPr lang="pt-BR" sz="838" b="1" kern="1600">
                <a:solidFill>
                  <a:srgbClr val="002060"/>
                </a:solidFill>
                <a:latin typeface="Arial" panose="020B0604020202020204" pitchFamily="34" charset="0"/>
                <a:ea typeface="Source Sans Pro"/>
                <a:cs typeface="Arial" panose="020B0604020202020204" pitchFamily="34" charset="0"/>
                <a:sym typeface="Source Sans Pro"/>
              </a:rPr>
              <a:t>77,4%</a:t>
            </a:r>
          </a:p>
        </xdr:txBody>
      </xdr:sp>
      <xdr:sp macro="" textlink="">
        <xdr:nvSpPr>
          <xdr:cNvPr id="30" name="Retângulo: Cantos Arredondados 29">
            <a:extLst>
              <a:ext uri="{FF2B5EF4-FFF2-40B4-BE49-F238E27FC236}">
                <a16:creationId xmlns:a16="http://schemas.microsoft.com/office/drawing/2014/main" id="{440D7827-4106-24D0-0753-57D7DF3FE81D}"/>
              </a:ext>
            </a:extLst>
          </xdr:cNvPr>
          <xdr:cNvSpPr/>
        </xdr:nvSpPr>
        <xdr:spPr>
          <a:xfrm>
            <a:off x="6424277" y="2052285"/>
            <a:ext cx="682954" cy="265839"/>
          </a:xfrm>
          <a:prstGeom prst="roundRect">
            <a:avLst>
              <a:gd name="adj" fmla="val 50000"/>
            </a:avLst>
          </a:prstGeom>
          <a:noFill/>
          <a:ln>
            <a:solidFill>
              <a:srgbClr val="00B0F0"/>
            </a:solidFill>
            <a:prstDash val="sysDot"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700">
                <a:solidFill>
                  <a:srgbClr val="00B0F0"/>
                </a:solidFill>
              </a:rPr>
              <a:t>Veículo da Operação</a:t>
            </a:r>
          </a:p>
        </xdr:txBody>
      </xdr:sp>
      <xdr:sp macro="" textlink="">
        <xdr:nvSpPr>
          <xdr:cNvPr id="31" name="Seta: para Baixo 30">
            <a:extLst>
              <a:ext uri="{FF2B5EF4-FFF2-40B4-BE49-F238E27FC236}">
                <a16:creationId xmlns:a16="http://schemas.microsoft.com/office/drawing/2014/main" id="{C949E499-7BBD-1E56-B60C-884E777472DC}"/>
              </a:ext>
            </a:extLst>
          </xdr:cNvPr>
          <xdr:cNvSpPr/>
        </xdr:nvSpPr>
        <xdr:spPr>
          <a:xfrm rot="16200000">
            <a:off x="6271000" y="2143697"/>
            <a:ext cx="89158" cy="114569"/>
          </a:xfrm>
          <a:prstGeom prst="downArrow">
            <a:avLst>
              <a:gd name="adj1" fmla="val 50000"/>
              <a:gd name="adj2" fmla="val 60683"/>
            </a:avLst>
          </a:prstGeom>
          <a:solidFill>
            <a:srgbClr val="00B0F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157037</xdr:rowOff>
    </xdr:from>
    <xdr:to>
      <xdr:col>4</xdr:col>
      <xdr:colOff>174373</xdr:colOff>
      <xdr:row>4</xdr:row>
      <xdr:rowOff>98382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816429" y="483608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7257</xdr:colOff>
      <xdr:row>1</xdr:row>
      <xdr:rowOff>0</xdr:rowOff>
    </xdr:from>
    <xdr:to>
      <xdr:col>4</xdr:col>
      <xdr:colOff>179615</xdr:colOff>
      <xdr:row>2</xdr:row>
      <xdr:rowOff>103622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823686" y="163286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2822</xdr:rowOff>
    </xdr:from>
    <xdr:to>
      <xdr:col>2</xdr:col>
      <xdr:colOff>2115658</xdr:colOff>
      <xdr:row>4</xdr:row>
      <xdr:rowOff>111989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812800" y="485422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7257</xdr:colOff>
      <xdr:row>1</xdr:row>
      <xdr:rowOff>0</xdr:rowOff>
    </xdr:from>
    <xdr:to>
      <xdr:col>2</xdr:col>
      <xdr:colOff>2120900</xdr:colOff>
      <xdr:row>2</xdr:row>
      <xdr:rowOff>108157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820057" y="165100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1006/Desktop/Divulga&#231;&#227;o%204T19/Regula&#231;&#227;o/CEAL/SPARTA%20Novo%20Contrato%20RTE%202020-04-22-BD20%20LAS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rupoequatorialenergia.sharepoint.com/sites/RelaescomInvestidores/Documentos%20Compartilhados/General/Divulga&#231;&#227;o/2024/2T24/Base%20de%20Dados/Contabilidade/!%20EQTL%20-%20Base%20Consolidada%20%202ITR24_14%2008.xlsx" TargetMode="External"/><Relationship Id="rId1" Type="http://schemas.openxmlformats.org/officeDocument/2006/relationships/externalLinkPath" Target="/sites/RelaescomInvestidores/Documentos%20Compartilhados/General/Divulga&#231;&#227;o/2024/2T24/Base%20de%20Dados/Contabilidade/!%20EQTL%20-%20Base%20Consolidada%20%202ITR24_14%20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SPARTA ADMIN"/>
      <sheetName val="Entrada"/>
      <sheetName val="Resultado"/>
      <sheetName val="BD"/>
      <sheetName val="NT Revisao"/>
      <sheetName val="Apresentação"/>
      <sheetName val="Mercado"/>
      <sheetName val="Mercado_Receita"/>
      <sheetName val="Energia"/>
      <sheetName val="AP x Final"/>
      <sheetName val="Votos e NTs"/>
      <sheetName val="Neutralidade"/>
      <sheetName val="Encargos"/>
      <sheetName val="Fator Q"/>
      <sheetName val="Financeiros"/>
      <sheetName val="VPB1"/>
      <sheetName val="VPB e Fator X"/>
      <sheetName val="Recálculo PB 2019"/>
      <sheetName val="Avaliação Parcela B Nova"/>
      <sheetName val="Avaliação Parcela B Nova (2)"/>
      <sheetName val="Avaliação Parcela B Nova (3)"/>
      <sheetName val="Voto Rev"/>
      <sheetName val="UDEROR"/>
      <sheetName val="Avaliação Parcela B"/>
      <sheetName val="RB e Conexão"/>
      <sheetName val="CUSD"/>
      <sheetName val="CVA"/>
      <sheetName val="Financeiro RTE"/>
      <sheetName val="BD-NET"/>
      <sheetName val="Suprimento"/>
      <sheetName val="Indexador"/>
      <sheetName val="Índices"/>
      <sheetName val="Voto"/>
      <sheetName val="Aj.Subsidio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elaUP"/>
      <sheetName val="TabelaUP SPE"/>
      <sheetName val="MAP_RF"/>
      <sheetName val="Outros Créditos 2"/>
      <sheetName val="EQTL MA"/>
      <sheetName val="EQTL PA"/>
      <sheetName val="EQTL PI"/>
      <sheetName val="EQTL AL"/>
      <sheetName val="EQTL ENG"/>
      <sheetName val="EQTL Telecom"/>
      <sheetName val="EQTL Serviços"/>
      <sheetName val="Enova"/>
      <sheetName val="EQTL GD"/>
      <sheetName val="P1"/>
      <sheetName val="P2"/>
      <sheetName val="P3"/>
      <sheetName val="P4"/>
      <sheetName val="EQTL"/>
      <sheetName val="EQTT"/>
      <sheetName val="EQTD"/>
      <sheetName val="SPEs"/>
      <sheetName val="CEEE"/>
      <sheetName val="EQTL GO"/>
      <sheetName val="CEA"/>
      <sheetName val="CSA"/>
      <sheetName val="O&amp;M"/>
      <sheetName val="EQTL Finanças"/>
      <sheetName val="Status base"/>
      <sheetName val="Status NEs Individuais"/>
      <sheetName val="BP"/>
      <sheetName val="DRE-"/>
      <sheetName val="DRA"/>
      <sheetName val="DMPL"/>
      <sheetName val="DFC"/>
      <sheetName val="DVA-"/>
      <sheetName val="Geração Distribuída"/>
      <sheetName val="Efeito não caixa - Invest. e Fi"/>
      <sheetName val="Efeito não caixa - oper"/>
      <sheetName val="DFC Consol."/>
      <sheetName val="Memória DFC-Ind"/>
      <sheetName val="Mov_Instrum"/>
      <sheetName val="Mudanças no passivo"/>
      <sheetName val="IFRS 16"/>
      <sheetName val="Memória DFC-Cons"/>
      <sheetName val="Ativo"/>
      <sheetName val="Imp. s lucro a Rec"/>
      <sheetName val="Passivo"/>
      <sheetName val="DRE"/>
      <sheetName val="DVA"/>
      <sheetName val="MAP_DVA"/>
      <sheetName val="Caixa"/>
      <sheetName val="Instr. Financeiros"/>
      <sheetName val="Aplicações"/>
      <sheetName val="Contas a Rec."/>
      <sheetName val="(-) PECLD"/>
      <sheetName val="CVA"/>
      <sheetName val="Imp. a Recuperar"/>
      <sheetName val="NE PR"/>
      <sheetName val="Comp. Partes Relacionadas"/>
      <sheetName val="Partes Relacionadas-Relat."/>
      <sheetName val="Outros Créditos"/>
      <sheetName val="Investimentos"/>
      <sheetName val="Mov. Investimentos"/>
      <sheetName val="Info. Investimentos 2"/>
      <sheetName val="Conc. Investimentos 3 "/>
      <sheetName val="IF - Clientes - Aging Parcel."/>
      <sheetName val="IF - Clientes-Risco de crédito"/>
      <sheetName val="IF - PECLD - Gestão de risco"/>
      <sheetName val="NE Remuneração"/>
      <sheetName val="Ativo Financeiro"/>
      <sheetName val="Imobilizado"/>
      <sheetName val="Mov Imobilizado"/>
      <sheetName val="Ativo Intangível"/>
      <sheetName val="Mov. Intangível"/>
      <sheetName val="Ativos de Contrato"/>
      <sheetName val="Ativos de Contrato - Trans"/>
      <sheetName val="Fornecedores"/>
      <sheetName val="Empréstimos"/>
      <sheetName val="Mov. Empréstimos"/>
      <sheetName val="Mov. Debêntures"/>
      <sheetName val="Ingressos Empre. e Debent"/>
      <sheetName val="Venc. Dívida"/>
      <sheetName val="Impostos a recolher"/>
      <sheetName val="Conciliação IR e CS"/>
      <sheetName val="Composição do diferido"/>
      <sheetName val="Movimentação do diferido"/>
      <sheetName val="Expectativa realiz. do diferido"/>
      <sheetName val="PIS e COFINS diferidos"/>
      <sheetName val="Recuperação Jud."/>
      <sheetName val="Contingências"/>
      <sheetName val="Mov. Contingências"/>
      <sheetName val="PIS-COFINS A Restituir"/>
      <sheetName val="Phantom - DFC"/>
      <sheetName val="Outras contas a pag"/>
      <sheetName val="Alterações em PR"/>
      <sheetName val="Lucro por ação"/>
      <sheetName val="Base remuneração Conciliação"/>
      <sheetName val="Mov. Dívida"/>
      <sheetName val="Resumo da dívida"/>
      <sheetName val="Receita Líquida - ROL"/>
      <sheetName val="Margens"/>
      <sheetName val="Custos e Despesas"/>
      <sheetName val="Custos e Desp. SPEs"/>
      <sheetName val="Outras Rec. e Desp."/>
      <sheetName val="EE Revenda"/>
      <sheetName val="Resultado Financeiro"/>
      <sheetName val="Segmento neg. e geo."/>
      <sheetName val="Benefício pós-emprego - ITR"/>
      <sheetName val="IF - Swap"/>
      <sheetName val="Compromissos Futuros"/>
      <sheetName val="Contingências - Processos"/>
      <sheetName val="Reserva Reavaliação"/>
      <sheetName val="Benefício Pós Emprego - DFP"/>
      <sheetName val="IF - Risco Tx Câmbio"/>
      <sheetName val="NE TX CAMBIO E JUROS"/>
      <sheetName val="IF - Swap (2)"/>
      <sheetName val="IF - Risco Liquidez"/>
      <sheetName val="IF - Risco Tx Câmbio e Juros"/>
      <sheetName val="MO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24">
          <cell r="D24">
            <v>392297</v>
          </cell>
          <cell r="G24">
            <v>1679760</v>
          </cell>
          <cell r="L24">
            <v>173315</v>
          </cell>
          <cell r="Z24">
            <v>278908</v>
          </cell>
        </row>
        <row r="81">
          <cell r="D81">
            <v>1605520</v>
          </cell>
          <cell r="G81">
            <v>1711495</v>
          </cell>
          <cell r="L81">
            <v>556046</v>
          </cell>
          <cell r="Z81">
            <v>698693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5.bin"/></Relationships>
</file>

<file path=xl/worksheets/_rels/sheet7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hyperlink" Target="https://www2.aneel.gov.br/aplicacoes/tarifa/arquivo/Nota%20T%C3%A9cnica%20119_2023%20RTP%202023%20EQTL%20GO.pdf" TargetMode="External"/><Relationship Id="rId7" Type="http://schemas.openxmlformats.org/officeDocument/2006/relationships/hyperlink" Target="https://www2.aneel.gov.br/aplicacoes/tarifa/arquivo/Nota%20T%C3%A9cnica%20RTA%202024_Equatorial_PA.pdf" TargetMode="External"/><Relationship Id="rId2" Type="http://schemas.openxmlformats.org/officeDocument/2006/relationships/hyperlink" Target="https://www2.aneel.gov.br/aplicacoes/tarifa/arquivo/nt204%20assinada.pdf" TargetMode="External"/><Relationship Id="rId1" Type="http://schemas.openxmlformats.org/officeDocument/2006/relationships/hyperlink" Target="https://www2.aneel.gov.br/aplicacoes/tarifa/arquivo/NT%20-%20Reajuste%20-%20CEA%202022%20final.pdf" TargetMode="External"/><Relationship Id="rId6" Type="http://schemas.openxmlformats.org/officeDocument/2006/relationships/hyperlink" Target="https://www2.aneel.gov.br/aplicacoes/tarifa/arquivo/NT%2060_2024_STR_RTP%20EQTL%20AL.pdf" TargetMode="External"/><Relationship Id="rId5" Type="http://schemas.openxmlformats.org/officeDocument/2006/relationships/hyperlink" Target="https://www2.aneel.gov.br/aplicacoes/tarifa/arquivo/NT-84-2023-STR.pdf" TargetMode="External"/><Relationship Id="rId4" Type="http://schemas.openxmlformats.org/officeDocument/2006/relationships/hyperlink" Target="https://www2.aneel.gov.br/aplicacoes/tarifa/arquivo/NT%20151%202023%20RTP%20Equatorial%20PI.pdf" TargetMode="External"/><Relationship Id="rId9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4:Q8"/>
  <sheetViews>
    <sheetView showGridLines="0" tabSelected="1" zoomScale="85" zoomScaleNormal="85" workbookViewId="0"/>
  </sheetViews>
  <sheetFormatPr defaultRowHeight="14.5"/>
  <cols>
    <col min="2" max="2" width="1.453125" customWidth="1"/>
    <col min="8" max="8" width="3" customWidth="1"/>
    <col min="13" max="13" width="3" customWidth="1"/>
  </cols>
  <sheetData>
    <row r="4" spans="2:17" s="1" customFormat="1" ht="32.5" customHeight="1">
      <c r="B4" s="2" t="s">
        <v>0</v>
      </c>
    </row>
    <row r="8" spans="2:17" ht="30" customHeight="1">
      <c r="D8" s="35" t="s">
        <v>1</v>
      </c>
      <c r="E8" s="36"/>
      <c r="F8" s="36"/>
      <c r="G8" s="36"/>
      <c r="I8" s="35" t="s">
        <v>2</v>
      </c>
      <c r="J8" s="36"/>
      <c r="K8" s="36"/>
      <c r="L8" s="36"/>
      <c r="N8" s="35" t="s">
        <v>3</v>
      </c>
      <c r="O8" s="36"/>
      <c r="P8" s="36"/>
      <c r="Q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</sheetPr>
  <dimension ref="B4:AA8"/>
  <sheetViews>
    <sheetView showGridLines="0" zoomScale="85" zoomScaleNormal="85" workbookViewId="0"/>
  </sheetViews>
  <sheetFormatPr defaultRowHeight="14.5"/>
  <cols>
    <col min="2" max="2" width="1.453125" customWidth="1"/>
    <col min="8" max="8" width="2" customWidth="1"/>
    <col min="13" max="13" width="2" customWidth="1"/>
    <col min="18" max="18" width="2" customWidth="1"/>
    <col min="23" max="23" width="2" customWidth="1"/>
  </cols>
  <sheetData>
    <row r="4" spans="2:27" s="1" customFormat="1" ht="32.5" customHeight="1">
      <c r="B4" s="2" t="s">
        <v>449</v>
      </c>
    </row>
    <row r="8" spans="2:27" ht="30" customHeight="1">
      <c r="D8" s="35" t="s">
        <v>5</v>
      </c>
      <c r="E8" s="36"/>
      <c r="F8" s="36"/>
      <c r="G8" s="36"/>
      <c r="I8" s="35" t="s">
        <v>450</v>
      </c>
      <c r="J8" s="36"/>
      <c r="K8" s="36"/>
      <c r="L8" s="36"/>
      <c r="N8" s="35" t="s">
        <v>6</v>
      </c>
      <c r="O8" s="36"/>
      <c r="P8" s="36"/>
      <c r="Q8" s="36"/>
      <c r="S8" s="35" t="s">
        <v>7</v>
      </c>
      <c r="T8" s="36"/>
      <c r="U8" s="36"/>
      <c r="V8" s="36"/>
      <c r="X8" s="35" t="s">
        <v>451</v>
      </c>
      <c r="Y8" s="36"/>
      <c r="Z8" s="36"/>
      <c r="AA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79998168889431442"/>
  </sheetPr>
  <dimension ref="A4:U127"/>
  <sheetViews>
    <sheetView showGridLines="0" zoomScale="85" zoomScaleNormal="85" workbookViewId="0">
      <pane xSplit="1" ySplit="4" topLeftCell="B5" activePane="bottomRight" state="frozen"/>
      <selection pane="topRight" activeCell="S35" sqref="S35"/>
      <selection pane="bottomLeft" activeCell="S35" sqref="S35"/>
      <selection pane="bottomRight" activeCell="W13" sqref="W13"/>
    </sheetView>
  </sheetViews>
  <sheetFormatPr defaultRowHeight="14.5" outlineLevelRow="1"/>
  <cols>
    <col min="1" max="1" width="65.7265625" bestFit="1" customWidth="1"/>
    <col min="2" max="2" width="1.54296875" customWidth="1"/>
    <col min="3" max="12" width="15.1796875" customWidth="1"/>
    <col min="13" max="17" width="15.1796875" hidden="1" customWidth="1"/>
    <col min="18" max="18" width="5.1796875" hidden="1" customWidth="1"/>
    <col min="19" max="19" width="1.54296875" customWidth="1"/>
    <col min="20" max="20" width="15.1796875" hidden="1" customWidth="1"/>
    <col min="21" max="21" width="15.1796875" customWidth="1"/>
  </cols>
  <sheetData>
    <row r="4" spans="1:21">
      <c r="A4" s="521" t="s">
        <v>452</v>
      </c>
      <c r="C4" s="520" t="s">
        <v>453</v>
      </c>
      <c r="D4" s="520" t="s">
        <v>454</v>
      </c>
      <c r="E4" s="520" t="s">
        <v>455</v>
      </c>
      <c r="F4" s="520">
        <v>2022</v>
      </c>
      <c r="G4" s="520" t="s">
        <v>456</v>
      </c>
      <c r="H4" s="520" t="s">
        <v>457</v>
      </c>
      <c r="I4" s="520" t="s">
        <v>458</v>
      </c>
      <c r="J4" s="520">
        <v>2023</v>
      </c>
      <c r="K4" s="520" t="s">
        <v>459</v>
      </c>
      <c r="L4" s="520" t="s">
        <v>460</v>
      </c>
      <c r="M4" s="520" t="s">
        <v>461</v>
      </c>
      <c r="N4" s="520">
        <v>2024</v>
      </c>
      <c r="O4" s="520" t="s">
        <v>462</v>
      </c>
      <c r="P4" s="520" t="s">
        <v>463</v>
      </c>
      <c r="Q4" s="520" t="s">
        <v>464</v>
      </c>
      <c r="R4" s="520">
        <v>2025</v>
      </c>
      <c r="T4" s="520" t="s">
        <v>53</v>
      </c>
      <c r="U4" s="520" t="s">
        <v>54</v>
      </c>
    </row>
    <row r="5" spans="1:21" ht="6.65" customHeight="1"/>
    <row r="6" spans="1:21">
      <c r="A6" s="522" t="s">
        <v>465</v>
      </c>
      <c r="C6" s="513">
        <f t="shared" ref="C6:K6" si="0">SUM(C8,C11:C17)</f>
        <v>1512745</v>
      </c>
      <c r="D6" s="513">
        <f t="shared" si="0"/>
        <v>3134492</v>
      </c>
      <c r="E6" s="513">
        <f t="shared" si="0"/>
        <v>4748078</v>
      </c>
      <c r="F6" s="513">
        <f t="shared" si="0"/>
        <v>6630761</v>
      </c>
      <c r="G6" s="513">
        <f t="shared" si="0"/>
        <v>1638412</v>
      </c>
      <c r="H6" s="513">
        <f t="shared" si="0"/>
        <v>3386337</v>
      </c>
      <c r="I6" s="513">
        <f t="shared" si="0"/>
        <v>5360011</v>
      </c>
      <c r="J6" s="513">
        <f t="shared" si="0"/>
        <v>7543575</v>
      </c>
      <c r="K6" s="513">
        <f t="shared" si="0"/>
        <v>1877206</v>
      </c>
      <c r="L6" s="513">
        <f t="shared" ref="L6" si="1">SUM(L8,L11:L17)</f>
        <v>3940437</v>
      </c>
      <c r="M6" s="513"/>
      <c r="N6" s="513"/>
      <c r="O6" s="513"/>
      <c r="P6" s="513"/>
      <c r="Q6" s="513"/>
      <c r="R6" s="513"/>
      <c r="T6" s="513">
        <f t="shared" ref="T6:U6" si="2">SUM(T8,T11:T17)</f>
        <v>1877206</v>
      </c>
      <c r="U6" s="513">
        <f t="shared" si="2"/>
        <v>2063231</v>
      </c>
    </row>
    <row r="7" spans="1:21">
      <c r="A7" s="509"/>
      <c r="C7" s="514"/>
      <c r="D7" s="514"/>
      <c r="E7" s="514"/>
      <c r="F7" s="514"/>
      <c r="G7" s="514"/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514"/>
      <c r="T7" s="514"/>
      <c r="U7" s="514"/>
    </row>
    <row r="8" spans="1:21">
      <c r="A8" s="510" t="s">
        <v>466</v>
      </c>
      <c r="C8" s="515">
        <f t="shared" ref="C8:H8" si="3">SUM(C9:C10)</f>
        <v>1177051</v>
      </c>
      <c r="D8" s="515">
        <f t="shared" si="3"/>
        <v>2418956</v>
      </c>
      <c r="E8" s="515">
        <f t="shared" si="3"/>
        <v>3736583</v>
      </c>
      <c r="F8" s="515">
        <f t="shared" si="3"/>
        <v>5173754</v>
      </c>
      <c r="G8" s="515">
        <f t="shared" si="3"/>
        <v>1336611</v>
      </c>
      <c r="H8" s="515">
        <f t="shared" si="3"/>
        <v>2762331</v>
      </c>
      <c r="I8" s="515">
        <f>SUM(I9:I10)</f>
        <v>4300453</v>
      </c>
      <c r="J8" s="515">
        <f>SUM(J9:J10)</f>
        <v>5948675</v>
      </c>
      <c r="K8" s="515">
        <f>SUM(K9:K10)</f>
        <v>1495093</v>
      </c>
      <c r="L8" s="515">
        <f>SUM(L9:L10)</f>
        <v>3130374</v>
      </c>
      <c r="M8" s="515"/>
      <c r="N8" s="515"/>
      <c r="O8" s="515"/>
      <c r="P8" s="515"/>
      <c r="Q8" s="515"/>
      <c r="R8" s="515"/>
      <c r="T8" s="515">
        <f>SUM(T9:T10)</f>
        <v>1495093</v>
      </c>
      <c r="U8" s="515">
        <f>SUM(U9:U10)</f>
        <v>1635281</v>
      </c>
    </row>
    <row r="9" spans="1:21" outlineLevel="1">
      <c r="A9" s="511" t="s">
        <v>466</v>
      </c>
      <c r="C9" s="516">
        <v>1301885</v>
      </c>
      <c r="D9" s="516">
        <v>2548881</v>
      </c>
      <c r="E9" s="516">
        <v>3819879</v>
      </c>
      <c r="F9" s="516">
        <v>5144572</v>
      </c>
      <c r="G9" s="516">
        <v>1183722</v>
      </c>
      <c r="H9" s="516">
        <v>2483764</v>
      </c>
      <c r="I9" s="516">
        <v>3958150</v>
      </c>
      <c r="J9" s="516">
        <v>5617005</v>
      </c>
      <c r="K9" s="516">
        <v>1498995</v>
      </c>
      <c r="L9" s="516">
        <v>3116559</v>
      </c>
      <c r="M9" s="516"/>
      <c r="N9" s="516"/>
      <c r="O9" s="516"/>
      <c r="P9" s="516"/>
      <c r="Q9" s="516"/>
      <c r="R9" s="516"/>
      <c r="T9" s="516">
        <f>K9</f>
        <v>1498995</v>
      </c>
      <c r="U9" s="516">
        <f>L9-K9</f>
        <v>1617564</v>
      </c>
    </row>
    <row r="10" spans="1:21" outlineLevel="1">
      <c r="A10" s="511" t="s">
        <v>467</v>
      </c>
      <c r="C10" s="516">
        <v>-124834</v>
      </c>
      <c r="D10" s="516">
        <v>-129925</v>
      </c>
      <c r="E10" s="516">
        <v>-83296</v>
      </c>
      <c r="F10" s="516">
        <v>29182</v>
      </c>
      <c r="G10" s="516">
        <v>152889</v>
      </c>
      <c r="H10" s="516">
        <v>278567</v>
      </c>
      <c r="I10" s="516">
        <v>342303</v>
      </c>
      <c r="J10" s="516">
        <v>331670</v>
      </c>
      <c r="K10" s="516">
        <v>-3902</v>
      </c>
      <c r="L10" s="516">
        <v>13815</v>
      </c>
      <c r="M10" s="516"/>
      <c r="N10" s="516"/>
      <c r="O10" s="516"/>
      <c r="P10" s="516"/>
      <c r="Q10" s="516"/>
      <c r="R10" s="516"/>
      <c r="T10" s="516">
        <f t="shared" ref="T10:T25" si="4">K10</f>
        <v>-3902</v>
      </c>
      <c r="U10" s="516">
        <f t="shared" ref="U10:U25" si="5">L10-K10</f>
        <v>17717</v>
      </c>
    </row>
    <row r="11" spans="1:21">
      <c r="A11" s="510" t="s">
        <v>468</v>
      </c>
      <c r="C11" s="515">
        <v>12542</v>
      </c>
      <c r="D11" s="515">
        <v>14792</v>
      </c>
      <c r="E11" s="515">
        <v>15659</v>
      </c>
      <c r="F11" s="515">
        <v>22412</v>
      </c>
      <c r="G11" s="515">
        <v>5126</v>
      </c>
      <c r="H11" s="515">
        <v>5469</v>
      </c>
      <c r="I11" s="515">
        <v>7869</v>
      </c>
      <c r="J11" s="515">
        <v>8005</v>
      </c>
      <c r="K11" s="515">
        <v>460</v>
      </c>
      <c r="L11" s="515">
        <v>4899</v>
      </c>
      <c r="M11" s="515"/>
      <c r="N11" s="515"/>
      <c r="O11" s="515"/>
      <c r="P11" s="515"/>
      <c r="Q11" s="515"/>
      <c r="R11" s="515"/>
      <c r="T11" s="515">
        <f t="shared" si="4"/>
        <v>460</v>
      </c>
      <c r="U11" s="515">
        <f t="shared" si="5"/>
        <v>4439</v>
      </c>
    </row>
    <row r="12" spans="1:21">
      <c r="A12" s="510" t="s">
        <v>469</v>
      </c>
      <c r="C12" s="515">
        <v>0</v>
      </c>
      <c r="D12" s="515">
        <v>0</v>
      </c>
      <c r="E12" s="515">
        <v>0</v>
      </c>
      <c r="F12" s="515">
        <v>0</v>
      </c>
      <c r="G12" s="515">
        <v>0</v>
      </c>
      <c r="H12" s="515">
        <v>0</v>
      </c>
      <c r="I12" s="515">
        <v>0</v>
      </c>
      <c r="J12" s="515">
        <v>0</v>
      </c>
      <c r="K12" s="515">
        <v>0</v>
      </c>
      <c r="L12" s="515">
        <v>0</v>
      </c>
      <c r="M12" s="515"/>
      <c r="N12" s="515"/>
      <c r="O12" s="515"/>
      <c r="P12" s="515"/>
      <c r="Q12" s="515"/>
      <c r="R12" s="515"/>
      <c r="T12" s="515">
        <f t="shared" si="4"/>
        <v>0</v>
      </c>
      <c r="U12" s="515">
        <f t="shared" si="5"/>
        <v>0</v>
      </c>
    </row>
    <row r="13" spans="1:21">
      <c r="A13" s="510" t="s">
        <v>470</v>
      </c>
      <c r="C13" s="515">
        <v>140638</v>
      </c>
      <c r="D13" s="515">
        <v>383409</v>
      </c>
      <c r="E13" s="515">
        <v>669306</v>
      </c>
      <c r="F13" s="515">
        <v>952638</v>
      </c>
      <c r="G13" s="515">
        <v>197896</v>
      </c>
      <c r="H13" s="515">
        <v>430068</v>
      </c>
      <c r="I13" s="515">
        <v>753645</v>
      </c>
      <c r="J13" s="515">
        <v>1044544</v>
      </c>
      <c r="K13" s="515">
        <v>220142</v>
      </c>
      <c r="L13" s="515">
        <v>510627</v>
      </c>
      <c r="M13" s="515"/>
      <c r="N13" s="515"/>
      <c r="O13" s="515"/>
      <c r="P13" s="515"/>
      <c r="Q13" s="515"/>
      <c r="R13" s="515"/>
      <c r="T13" s="515">
        <f t="shared" si="4"/>
        <v>220142</v>
      </c>
      <c r="U13" s="515">
        <f t="shared" si="5"/>
        <v>290485</v>
      </c>
    </row>
    <row r="14" spans="1:21">
      <c r="A14" s="510" t="s">
        <v>471</v>
      </c>
      <c r="C14" s="515">
        <v>0</v>
      </c>
      <c r="D14" s="515">
        <v>0</v>
      </c>
      <c r="E14" s="515">
        <v>0</v>
      </c>
      <c r="F14" s="515">
        <v>0</v>
      </c>
      <c r="G14" s="515">
        <v>0</v>
      </c>
      <c r="H14" s="515">
        <v>0</v>
      </c>
      <c r="I14" s="515">
        <v>0</v>
      </c>
      <c r="J14" s="515">
        <v>0</v>
      </c>
      <c r="K14" s="515">
        <v>0</v>
      </c>
      <c r="L14" s="515">
        <v>0</v>
      </c>
      <c r="M14" s="515"/>
      <c r="N14" s="515"/>
      <c r="O14" s="515"/>
      <c r="P14" s="515"/>
      <c r="Q14" s="515"/>
      <c r="R14" s="515"/>
      <c r="T14" s="515">
        <f t="shared" si="4"/>
        <v>0</v>
      </c>
      <c r="U14" s="515">
        <f t="shared" si="5"/>
        <v>0</v>
      </c>
    </row>
    <row r="15" spans="1:21">
      <c r="A15" s="510" t="s">
        <v>472</v>
      </c>
      <c r="C15" s="515">
        <v>0</v>
      </c>
      <c r="D15" s="515">
        <v>0</v>
      </c>
      <c r="E15" s="515">
        <v>0</v>
      </c>
      <c r="F15" s="515">
        <v>0</v>
      </c>
      <c r="G15" s="515">
        <v>0</v>
      </c>
      <c r="H15" s="515">
        <v>0</v>
      </c>
      <c r="I15" s="515">
        <v>0</v>
      </c>
      <c r="J15" s="515">
        <v>0</v>
      </c>
      <c r="K15" s="515">
        <v>0</v>
      </c>
      <c r="L15" s="515">
        <v>0</v>
      </c>
      <c r="M15" s="515"/>
      <c r="N15" s="515"/>
      <c r="O15" s="515"/>
      <c r="P15" s="515"/>
      <c r="Q15" s="515"/>
      <c r="R15" s="515"/>
      <c r="T15" s="515">
        <f t="shared" si="4"/>
        <v>0</v>
      </c>
      <c r="U15" s="515">
        <f t="shared" si="5"/>
        <v>0</v>
      </c>
    </row>
    <row r="16" spans="1:21">
      <c r="A16" s="510" t="s">
        <v>473</v>
      </c>
      <c r="C16" s="515">
        <v>0</v>
      </c>
      <c r="D16" s="515">
        <v>0</v>
      </c>
      <c r="E16" s="515">
        <v>0</v>
      </c>
      <c r="F16" s="515">
        <v>0</v>
      </c>
      <c r="G16" s="515">
        <v>0</v>
      </c>
      <c r="H16" s="515">
        <v>0</v>
      </c>
      <c r="I16" s="515">
        <v>0</v>
      </c>
      <c r="J16" s="515">
        <v>0</v>
      </c>
      <c r="K16" s="515">
        <v>0</v>
      </c>
      <c r="L16" s="515">
        <v>0</v>
      </c>
      <c r="M16" s="515"/>
      <c r="N16" s="515"/>
      <c r="O16" s="515"/>
      <c r="P16" s="515"/>
      <c r="Q16" s="515"/>
      <c r="R16" s="515"/>
      <c r="T16" s="515">
        <f t="shared" si="4"/>
        <v>0</v>
      </c>
      <c r="U16" s="515">
        <f t="shared" si="5"/>
        <v>0</v>
      </c>
    </row>
    <row r="17" spans="1:21">
      <c r="A17" s="510" t="s">
        <v>474</v>
      </c>
      <c r="C17" s="515">
        <f t="shared" ref="C17:H17" si="6">SUM(C18:C25)</f>
        <v>182514</v>
      </c>
      <c r="D17" s="515">
        <f t="shared" si="6"/>
        <v>317335</v>
      </c>
      <c r="E17" s="515">
        <f t="shared" si="6"/>
        <v>326530</v>
      </c>
      <c r="F17" s="515">
        <f t="shared" si="6"/>
        <v>481957</v>
      </c>
      <c r="G17" s="515">
        <f t="shared" si="6"/>
        <v>98779</v>
      </c>
      <c r="H17" s="515">
        <f t="shared" si="6"/>
        <v>188469</v>
      </c>
      <c r="I17" s="515">
        <f>SUM(I18:I25)</f>
        <v>298044</v>
      </c>
      <c r="J17" s="515">
        <f>SUM(J18:J25)</f>
        <v>542351</v>
      </c>
      <c r="K17" s="515">
        <f>SUM(K18:K25)</f>
        <v>161511</v>
      </c>
      <c r="L17" s="515">
        <f>SUM(L18:L25)</f>
        <v>294537</v>
      </c>
      <c r="M17" s="515"/>
      <c r="N17" s="515"/>
      <c r="O17" s="515"/>
      <c r="P17" s="515"/>
      <c r="Q17" s="515"/>
      <c r="R17" s="515"/>
      <c r="T17" s="515">
        <f>SUM(T18:T25)</f>
        <v>161511</v>
      </c>
      <c r="U17" s="515">
        <f>SUM(U18:U25)</f>
        <v>133026</v>
      </c>
    </row>
    <row r="18" spans="1:21" outlineLevel="1">
      <c r="A18" s="511" t="s">
        <v>475</v>
      </c>
      <c r="C18" s="516">
        <v>32555</v>
      </c>
      <c r="D18" s="516">
        <v>65497</v>
      </c>
      <c r="E18" s="516">
        <v>103021</v>
      </c>
      <c r="F18" s="516">
        <v>142764</v>
      </c>
      <c r="G18" s="516">
        <v>39550</v>
      </c>
      <c r="H18" s="516">
        <v>81710</v>
      </c>
      <c r="I18" s="516">
        <v>127741</v>
      </c>
      <c r="J18" s="516">
        <v>176101</v>
      </c>
      <c r="K18" s="516">
        <v>52814</v>
      </c>
      <c r="L18" s="516">
        <v>108030</v>
      </c>
      <c r="M18" s="516"/>
      <c r="N18" s="516"/>
      <c r="O18" s="516"/>
      <c r="P18" s="516"/>
      <c r="Q18" s="516"/>
      <c r="R18" s="516"/>
      <c r="T18" s="516">
        <f t="shared" si="4"/>
        <v>52814</v>
      </c>
      <c r="U18" s="516">
        <f t="shared" si="5"/>
        <v>55216</v>
      </c>
    </row>
    <row r="19" spans="1:21" outlineLevel="1">
      <c r="A19" s="511" t="s">
        <v>476</v>
      </c>
      <c r="C19" s="516">
        <v>70340</v>
      </c>
      <c r="D19" s="516">
        <v>137779</v>
      </c>
      <c r="E19" s="516">
        <v>84657</v>
      </c>
      <c r="F19" s="516">
        <v>167507</v>
      </c>
      <c r="G19" s="516">
        <v>24595</v>
      </c>
      <c r="H19" s="516">
        <v>35085</v>
      </c>
      <c r="I19" s="516">
        <v>51234</v>
      </c>
      <c r="J19" s="516">
        <v>162545</v>
      </c>
      <c r="K19" s="516">
        <v>60700</v>
      </c>
      <c r="L19" s="516">
        <v>87077</v>
      </c>
      <c r="M19" s="516"/>
      <c r="N19" s="516"/>
      <c r="O19" s="516"/>
      <c r="P19" s="516"/>
      <c r="Q19" s="516"/>
      <c r="R19" s="516"/>
      <c r="T19" s="516">
        <f t="shared" si="4"/>
        <v>60700</v>
      </c>
      <c r="U19" s="516">
        <f t="shared" si="5"/>
        <v>26377</v>
      </c>
    </row>
    <row r="20" spans="1:21" outlineLevel="1">
      <c r="A20" s="511" t="s">
        <v>477</v>
      </c>
      <c r="C20" s="516">
        <v>0</v>
      </c>
      <c r="D20" s="516">
        <v>0</v>
      </c>
      <c r="E20" s="516">
        <v>0</v>
      </c>
      <c r="F20" s="516">
        <v>0</v>
      </c>
      <c r="G20" s="516">
        <v>0</v>
      </c>
      <c r="H20" s="516">
        <v>0</v>
      </c>
      <c r="I20" s="516">
        <v>0</v>
      </c>
      <c r="J20" s="516">
        <v>0</v>
      </c>
      <c r="K20" s="516">
        <v>0</v>
      </c>
      <c r="L20" s="516">
        <v>0</v>
      </c>
      <c r="M20" s="516"/>
      <c r="N20" s="516"/>
      <c r="O20" s="516"/>
      <c r="P20" s="516"/>
      <c r="Q20" s="516"/>
      <c r="R20" s="516"/>
      <c r="T20" s="516">
        <f t="shared" si="4"/>
        <v>0</v>
      </c>
      <c r="U20" s="516">
        <f t="shared" si="5"/>
        <v>0</v>
      </c>
    </row>
    <row r="21" spans="1:21" outlineLevel="1">
      <c r="A21" s="511" t="s">
        <v>478</v>
      </c>
      <c r="C21" s="516">
        <v>0</v>
      </c>
      <c r="D21" s="516">
        <v>0</v>
      </c>
      <c r="E21" s="516">
        <v>0</v>
      </c>
      <c r="F21" s="516">
        <v>0</v>
      </c>
      <c r="G21" s="516">
        <v>0</v>
      </c>
      <c r="H21" s="516">
        <v>0</v>
      </c>
      <c r="I21" s="516">
        <v>0</v>
      </c>
      <c r="J21" s="516">
        <v>0</v>
      </c>
      <c r="K21" s="516">
        <v>0</v>
      </c>
      <c r="L21" s="516">
        <v>0</v>
      </c>
      <c r="M21" s="516"/>
      <c r="N21" s="516"/>
      <c r="O21" s="516"/>
      <c r="P21" s="516"/>
      <c r="Q21" s="516"/>
      <c r="R21" s="516"/>
      <c r="T21" s="516">
        <f t="shared" si="4"/>
        <v>0</v>
      </c>
      <c r="U21" s="516">
        <f t="shared" si="5"/>
        <v>0</v>
      </c>
    </row>
    <row r="22" spans="1:21" outlineLevel="1">
      <c r="A22" s="511" t="s">
        <v>479</v>
      </c>
      <c r="C22" s="516">
        <v>0</v>
      </c>
      <c r="D22" s="516">
        <v>0</v>
      </c>
      <c r="E22" s="516">
        <v>0</v>
      </c>
      <c r="F22" s="516">
        <v>0</v>
      </c>
      <c r="G22" s="516">
        <v>0</v>
      </c>
      <c r="H22" s="516">
        <v>0</v>
      </c>
      <c r="I22" s="516">
        <v>0</v>
      </c>
      <c r="J22" s="516">
        <v>0</v>
      </c>
      <c r="K22" s="516">
        <v>0</v>
      </c>
      <c r="L22" s="516">
        <v>0</v>
      </c>
      <c r="M22" s="516"/>
      <c r="N22" s="516"/>
      <c r="O22" s="516"/>
      <c r="P22" s="516"/>
      <c r="Q22" s="516"/>
      <c r="R22" s="516"/>
      <c r="T22" s="516">
        <f t="shared" si="4"/>
        <v>0</v>
      </c>
      <c r="U22" s="516">
        <f t="shared" si="5"/>
        <v>0</v>
      </c>
    </row>
    <row r="23" spans="1:21" outlineLevel="1">
      <c r="A23" s="511" t="s">
        <v>480</v>
      </c>
      <c r="C23" s="516">
        <v>0</v>
      </c>
      <c r="D23" s="516">
        <v>0</v>
      </c>
      <c r="E23" s="516">
        <v>0</v>
      </c>
      <c r="F23" s="516">
        <v>0</v>
      </c>
      <c r="G23" s="516">
        <v>0</v>
      </c>
      <c r="H23" s="516">
        <v>0</v>
      </c>
      <c r="I23" s="516">
        <v>0</v>
      </c>
      <c r="J23" s="516">
        <v>0</v>
      </c>
      <c r="K23" s="516">
        <v>0</v>
      </c>
      <c r="L23" s="516">
        <v>0</v>
      </c>
      <c r="M23" s="516"/>
      <c r="N23" s="516"/>
      <c r="O23" s="516"/>
      <c r="P23" s="516"/>
      <c r="Q23" s="516"/>
      <c r="R23" s="516"/>
      <c r="T23" s="516">
        <f t="shared" si="4"/>
        <v>0</v>
      </c>
      <c r="U23" s="516">
        <f t="shared" si="5"/>
        <v>0</v>
      </c>
    </row>
    <row r="24" spans="1:21" outlineLevel="1">
      <c r="A24" s="511" t="s">
        <v>481</v>
      </c>
      <c r="C24" s="516">
        <v>0</v>
      </c>
      <c r="D24" s="516">
        <v>0</v>
      </c>
      <c r="E24" s="516">
        <v>0</v>
      </c>
      <c r="F24" s="516">
        <v>0</v>
      </c>
      <c r="G24" s="516">
        <v>0</v>
      </c>
      <c r="H24" s="516">
        <v>0</v>
      </c>
      <c r="I24" s="516">
        <v>0</v>
      </c>
      <c r="J24" s="516">
        <v>0</v>
      </c>
      <c r="K24" s="516">
        <v>0</v>
      </c>
      <c r="L24" s="516">
        <v>0</v>
      </c>
      <c r="M24" s="516"/>
      <c r="N24" s="516"/>
      <c r="O24" s="516"/>
      <c r="P24" s="516"/>
      <c r="Q24" s="516"/>
      <c r="R24" s="516"/>
      <c r="T24" s="516">
        <f t="shared" si="4"/>
        <v>0</v>
      </c>
      <c r="U24" s="516">
        <f t="shared" si="5"/>
        <v>0</v>
      </c>
    </row>
    <row r="25" spans="1:21" outlineLevel="1">
      <c r="A25" s="511" t="s">
        <v>474</v>
      </c>
      <c r="C25" s="516">
        <v>79619</v>
      </c>
      <c r="D25" s="516">
        <v>114059</v>
      </c>
      <c r="E25" s="516">
        <v>138852</v>
      </c>
      <c r="F25" s="516">
        <v>171686</v>
      </c>
      <c r="G25" s="516">
        <v>34634</v>
      </c>
      <c r="H25" s="516">
        <v>71674</v>
      </c>
      <c r="I25" s="516">
        <v>119069</v>
      </c>
      <c r="J25" s="516">
        <v>203705</v>
      </c>
      <c r="K25" s="516">
        <v>47997</v>
      </c>
      <c r="L25" s="516">
        <v>99430</v>
      </c>
      <c r="M25" s="516"/>
      <c r="N25" s="516"/>
      <c r="O25" s="516"/>
      <c r="P25" s="516"/>
      <c r="Q25" s="516"/>
      <c r="R25" s="516"/>
      <c r="T25" s="516">
        <f t="shared" si="4"/>
        <v>47997</v>
      </c>
      <c r="U25" s="516">
        <f t="shared" si="5"/>
        <v>51433</v>
      </c>
    </row>
    <row r="26" spans="1:21">
      <c r="A26" s="510"/>
      <c r="C26" s="510"/>
      <c r="D26" s="510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  <c r="T26" s="510"/>
      <c r="U26" s="510"/>
    </row>
    <row r="27" spans="1:21">
      <c r="A27" s="522" t="s">
        <v>482</v>
      </c>
      <c r="C27" s="513">
        <f t="shared" ref="C27:H27" si="7">SUM(C29:C37)</f>
        <v>-466451</v>
      </c>
      <c r="D27" s="513">
        <f t="shared" si="7"/>
        <v>-962519</v>
      </c>
      <c r="E27" s="513">
        <f t="shared" si="7"/>
        <v>-1367750</v>
      </c>
      <c r="F27" s="513">
        <f t="shared" si="7"/>
        <v>-1788045</v>
      </c>
      <c r="G27" s="513">
        <f t="shared" si="7"/>
        <v>-395545</v>
      </c>
      <c r="H27" s="513">
        <f t="shared" si="7"/>
        <v>-834239</v>
      </c>
      <c r="I27" s="513">
        <f>SUM(I29:I37)</f>
        <v>-1332903</v>
      </c>
      <c r="J27" s="513">
        <f>SUM(J29:J37)</f>
        <v>-1874222</v>
      </c>
      <c r="K27" s="513">
        <f>SUM(K29:K37)</f>
        <v>-526513</v>
      </c>
      <c r="L27" s="513">
        <f>SUM(L29:L37)</f>
        <v>-1109037</v>
      </c>
      <c r="M27" s="513"/>
      <c r="N27" s="513"/>
      <c r="O27" s="513"/>
      <c r="P27" s="513"/>
      <c r="Q27" s="513"/>
      <c r="R27" s="513"/>
      <c r="T27" s="513">
        <f>SUM(T29:T37)</f>
        <v>-526513</v>
      </c>
      <c r="U27" s="513">
        <f>SUM(U29:U37)</f>
        <v>-582524</v>
      </c>
    </row>
    <row r="28" spans="1:21">
      <c r="A28" s="509"/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T28" s="514"/>
      <c r="U28" s="514"/>
    </row>
    <row r="29" spans="1:21" outlineLevel="1">
      <c r="A29" s="511" t="s">
        <v>483</v>
      </c>
      <c r="C29" s="516">
        <v>-256115</v>
      </c>
      <c r="D29" s="516">
        <v>-491946</v>
      </c>
      <c r="E29" s="516">
        <v>-705650</v>
      </c>
      <c r="F29" s="516">
        <v>-922669</v>
      </c>
      <c r="G29" s="516">
        <v>-190298</v>
      </c>
      <c r="H29" s="516">
        <v>-427617</v>
      </c>
      <c r="I29" s="516">
        <v>-693925</v>
      </c>
      <c r="J29" s="516">
        <v>-1006276</v>
      </c>
      <c r="K29" s="516">
        <v>-295644</v>
      </c>
      <c r="L29" s="516">
        <v>-636261</v>
      </c>
      <c r="M29" s="516"/>
      <c r="N29" s="516"/>
      <c r="O29" s="516"/>
      <c r="P29" s="516"/>
      <c r="Q29" s="516"/>
      <c r="R29" s="516"/>
      <c r="T29" s="516">
        <f t="shared" ref="T29:T37" si="8">K29</f>
        <v>-295644</v>
      </c>
      <c r="U29" s="516">
        <f t="shared" ref="U29:U37" si="9">L29-K29</f>
        <v>-340617</v>
      </c>
    </row>
    <row r="30" spans="1:21" outlineLevel="1">
      <c r="A30" s="511" t="s">
        <v>484</v>
      </c>
      <c r="C30" s="516">
        <v>-106839</v>
      </c>
      <c r="D30" s="516">
        <v>-267194</v>
      </c>
      <c r="E30" s="516">
        <v>-369460</v>
      </c>
      <c r="F30" s="516">
        <v>-483247</v>
      </c>
      <c r="G30" s="516">
        <v>-106623</v>
      </c>
      <c r="H30" s="516">
        <v>-211892</v>
      </c>
      <c r="I30" s="516">
        <v>-338607</v>
      </c>
      <c r="J30" s="516">
        <v>-459855</v>
      </c>
      <c r="K30" s="516">
        <v>-111578</v>
      </c>
      <c r="L30" s="516">
        <v>-233243</v>
      </c>
      <c r="M30" s="516"/>
      <c r="N30" s="516"/>
      <c r="O30" s="516"/>
      <c r="P30" s="516"/>
      <c r="Q30" s="516"/>
      <c r="R30" s="516"/>
      <c r="T30" s="516">
        <f t="shared" si="8"/>
        <v>-111578</v>
      </c>
      <c r="U30" s="516">
        <f t="shared" si="9"/>
        <v>-121665</v>
      </c>
    </row>
    <row r="31" spans="1:21" outlineLevel="1">
      <c r="A31" s="511" t="s">
        <v>485</v>
      </c>
      <c r="C31" s="516">
        <v>0</v>
      </c>
      <c r="D31" s="516">
        <v>0</v>
      </c>
      <c r="E31" s="516">
        <v>0</v>
      </c>
      <c r="F31" s="516">
        <v>0</v>
      </c>
      <c r="G31" s="516">
        <v>0</v>
      </c>
      <c r="H31" s="516">
        <v>0</v>
      </c>
      <c r="I31" s="516">
        <v>0</v>
      </c>
      <c r="J31" s="516">
        <v>0</v>
      </c>
      <c r="K31" s="516">
        <v>0</v>
      </c>
      <c r="L31" s="516">
        <v>0</v>
      </c>
      <c r="M31" s="516"/>
      <c r="N31" s="516"/>
      <c r="O31" s="516"/>
      <c r="P31" s="516"/>
      <c r="Q31" s="516"/>
      <c r="R31" s="516"/>
      <c r="T31" s="516">
        <f t="shared" si="8"/>
        <v>0</v>
      </c>
      <c r="U31" s="516">
        <f t="shared" si="9"/>
        <v>0</v>
      </c>
    </row>
    <row r="32" spans="1:21" outlineLevel="1">
      <c r="A32" s="511" t="s">
        <v>486</v>
      </c>
      <c r="C32" s="516">
        <v>0</v>
      </c>
      <c r="D32" s="516">
        <v>0</v>
      </c>
      <c r="E32" s="516">
        <v>0</v>
      </c>
      <c r="F32" s="516">
        <v>0</v>
      </c>
      <c r="G32" s="516">
        <v>0</v>
      </c>
      <c r="H32" s="516">
        <v>0</v>
      </c>
      <c r="I32" s="516">
        <v>0</v>
      </c>
      <c r="J32" s="516">
        <v>0</v>
      </c>
      <c r="K32" s="516">
        <v>0</v>
      </c>
      <c r="L32" s="516">
        <v>0</v>
      </c>
      <c r="M32" s="516"/>
      <c r="N32" s="516"/>
      <c r="O32" s="516"/>
      <c r="P32" s="516"/>
      <c r="Q32" s="516"/>
      <c r="R32" s="516"/>
      <c r="T32" s="516">
        <f t="shared" si="8"/>
        <v>0</v>
      </c>
      <c r="U32" s="516">
        <f t="shared" si="9"/>
        <v>0</v>
      </c>
    </row>
    <row r="33" spans="1:21" outlineLevel="1">
      <c r="A33" s="511" t="s">
        <v>487</v>
      </c>
      <c r="C33" s="516">
        <v>-8133</v>
      </c>
      <c r="D33" s="516">
        <v>-15971</v>
      </c>
      <c r="E33" s="516">
        <v>-25318</v>
      </c>
      <c r="F33" s="516">
        <v>-35835</v>
      </c>
      <c r="G33" s="516">
        <v>-9781</v>
      </c>
      <c r="H33" s="516">
        <v>-19943</v>
      </c>
      <c r="I33" s="516">
        <v>-36165</v>
      </c>
      <c r="J33" s="516">
        <v>-47568</v>
      </c>
      <c r="K33" s="516">
        <v>-10395</v>
      </c>
      <c r="L33" s="516">
        <v>-21679</v>
      </c>
      <c r="M33" s="516"/>
      <c r="N33" s="516"/>
      <c r="O33" s="516"/>
      <c r="P33" s="516"/>
      <c r="Q33" s="516"/>
      <c r="R33" s="516"/>
      <c r="T33" s="516">
        <f t="shared" si="8"/>
        <v>-10395</v>
      </c>
      <c r="U33" s="516">
        <f t="shared" si="9"/>
        <v>-11284</v>
      </c>
    </row>
    <row r="34" spans="1:21" outlineLevel="1">
      <c r="A34" s="511" t="s">
        <v>488</v>
      </c>
      <c r="C34" s="516">
        <v>-1546</v>
      </c>
      <c r="D34" s="516">
        <v>-3093</v>
      </c>
      <c r="E34" s="516">
        <v>-4754</v>
      </c>
      <c r="F34" s="516">
        <v>-6473</v>
      </c>
      <c r="G34" s="516">
        <v>-1719</v>
      </c>
      <c r="H34" s="516">
        <v>-3438</v>
      </c>
      <c r="I34" s="516">
        <v>-5148</v>
      </c>
      <c r="J34" s="516">
        <v>-6855</v>
      </c>
      <c r="K34" s="516">
        <v>-1706</v>
      </c>
      <c r="L34" s="516">
        <v>-3413</v>
      </c>
      <c r="M34" s="516"/>
      <c r="N34" s="516"/>
      <c r="O34" s="516"/>
      <c r="P34" s="516"/>
      <c r="Q34" s="516"/>
      <c r="R34" s="516"/>
      <c r="T34" s="516">
        <f t="shared" si="8"/>
        <v>-1706</v>
      </c>
      <c r="U34" s="516">
        <f t="shared" si="9"/>
        <v>-1707</v>
      </c>
    </row>
    <row r="35" spans="1:21" outlineLevel="1">
      <c r="A35" s="511" t="s">
        <v>489</v>
      </c>
      <c r="C35" s="516">
        <v>-74642</v>
      </c>
      <c r="D35" s="516">
        <v>-148100</v>
      </c>
      <c r="E35" s="516">
        <v>-220966</v>
      </c>
      <c r="F35" s="516">
        <v>-293832</v>
      </c>
      <c r="G35" s="516">
        <v>-77162</v>
      </c>
      <c r="H35" s="516">
        <v>-154049</v>
      </c>
      <c r="I35" s="516">
        <v>-237700</v>
      </c>
      <c r="J35" s="516">
        <v>-324732</v>
      </c>
      <c r="K35" s="516">
        <v>-99898</v>
      </c>
      <c r="L35" s="516">
        <v>-199796</v>
      </c>
      <c r="M35" s="516"/>
      <c r="N35" s="516"/>
      <c r="O35" s="516"/>
      <c r="P35" s="516"/>
      <c r="Q35" s="516"/>
      <c r="R35" s="516"/>
      <c r="T35" s="516">
        <f t="shared" si="8"/>
        <v>-99898</v>
      </c>
      <c r="U35" s="516">
        <f t="shared" si="9"/>
        <v>-99898</v>
      </c>
    </row>
    <row r="36" spans="1:21" outlineLevel="1">
      <c r="A36" s="511" t="s">
        <v>490</v>
      </c>
      <c r="C36" s="516">
        <v>-431</v>
      </c>
      <c r="D36" s="516">
        <v>-849</v>
      </c>
      <c r="E36" s="516">
        <v>-1297</v>
      </c>
      <c r="F36" s="516">
        <v>-1792</v>
      </c>
      <c r="G36" s="516">
        <v>-409</v>
      </c>
      <c r="H36" s="516">
        <v>-877</v>
      </c>
      <c r="I36" s="516">
        <v>-1338</v>
      </c>
      <c r="J36" s="516">
        <v>-1884</v>
      </c>
      <c r="K36" s="516">
        <v>-410</v>
      </c>
      <c r="L36" s="516">
        <v>-1056</v>
      </c>
      <c r="M36" s="516"/>
      <c r="N36" s="516"/>
      <c r="O36" s="516"/>
      <c r="P36" s="516"/>
      <c r="Q36" s="516"/>
      <c r="R36" s="516"/>
      <c r="T36" s="516">
        <f t="shared" si="8"/>
        <v>-410</v>
      </c>
      <c r="U36" s="516">
        <f t="shared" si="9"/>
        <v>-646</v>
      </c>
    </row>
    <row r="37" spans="1:21" outlineLevel="1">
      <c r="A37" s="511" t="s">
        <v>59</v>
      </c>
      <c r="C37" s="516">
        <v>-18745</v>
      </c>
      <c r="D37" s="516">
        <v>-35366</v>
      </c>
      <c r="E37" s="516">
        <v>-40305</v>
      </c>
      <c r="F37" s="516">
        <v>-44197</v>
      </c>
      <c r="G37" s="516">
        <v>-9553</v>
      </c>
      <c r="H37" s="516">
        <v>-16423</v>
      </c>
      <c r="I37" s="516">
        <v>-20020</v>
      </c>
      <c r="J37" s="516">
        <v>-27052</v>
      </c>
      <c r="K37" s="516">
        <v>-6882</v>
      </c>
      <c r="L37" s="516">
        <v>-13589</v>
      </c>
      <c r="M37" s="516"/>
      <c r="N37" s="516"/>
      <c r="O37" s="516"/>
      <c r="P37" s="516"/>
      <c r="Q37" s="516"/>
      <c r="R37" s="516"/>
      <c r="T37" s="516">
        <f t="shared" si="8"/>
        <v>-6882</v>
      </c>
      <c r="U37" s="516">
        <f t="shared" si="9"/>
        <v>-6707</v>
      </c>
    </row>
    <row r="38" spans="1:21">
      <c r="A38" s="510"/>
      <c r="C38" s="510"/>
      <c r="D38" s="510"/>
      <c r="E38" s="510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P38" s="510"/>
      <c r="Q38" s="510"/>
      <c r="R38" s="510"/>
      <c r="T38" s="510"/>
      <c r="U38" s="510"/>
    </row>
    <row r="39" spans="1:21">
      <c r="A39" s="522" t="s">
        <v>491</v>
      </c>
      <c r="C39" s="513">
        <f t="shared" ref="C39:H39" si="10">C27+C6</f>
        <v>1046294</v>
      </c>
      <c r="D39" s="513">
        <f t="shared" si="10"/>
        <v>2171973</v>
      </c>
      <c r="E39" s="513">
        <f t="shared" si="10"/>
        <v>3380328</v>
      </c>
      <c r="F39" s="513">
        <f t="shared" si="10"/>
        <v>4842716</v>
      </c>
      <c r="G39" s="513">
        <f t="shared" si="10"/>
        <v>1242867</v>
      </c>
      <c r="H39" s="513">
        <f t="shared" si="10"/>
        <v>2552098</v>
      </c>
      <c r="I39" s="513">
        <f>I27+I6</f>
        <v>4027108</v>
      </c>
      <c r="J39" s="513">
        <f>J27+J6</f>
        <v>5669353</v>
      </c>
      <c r="K39" s="513">
        <f>K27+K6</f>
        <v>1350693</v>
      </c>
      <c r="L39" s="513">
        <f>L27+L6</f>
        <v>2831400</v>
      </c>
      <c r="M39" s="513"/>
      <c r="N39" s="513"/>
      <c r="O39" s="513"/>
      <c r="P39" s="513"/>
      <c r="Q39" s="513"/>
      <c r="R39" s="513"/>
      <c r="S39" s="513"/>
      <c r="T39" s="513">
        <f>T27+T6</f>
        <v>1350693</v>
      </c>
      <c r="U39" s="513">
        <f>U27+U6</f>
        <v>1480707</v>
      </c>
    </row>
    <row r="40" spans="1:21">
      <c r="A40" s="510"/>
      <c r="C40" s="510"/>
      <c r="D40" s="510"/>
      <c r="E40" s="510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P40" s="510"/>
      <c r="Q40" s="510"/>
      <c r="R40" s="510"/>
      <c r="S40" s="510"/>
      <c r="T40" s="510"/>
      <c r="U40" s="510"/>
    </row>
    <row r="41" spans="1:21">
      <c r="A41" s="509" t="s">
        <v>492</v>
      </c>
      <c r="C41" s="517">
        <f t="shared" ref="C41:H41" si="11">SUM(C43:C48)</f>
        <v>-694592</v>
      </c>
      <c r="D41" s="517">
        <f t="shared" si="11"/>
        <v>-1519458</v>
      </c>
      <c r="E41" s="517">
        <f t="shared" si="11"/>
        <v>-2432973</v>
      </c>
      <c r="F41" s="517">
        <f t="shared" si="11"/>
        <v>-3387405</v>
      </c>
      <c r="G41" s="517">
        <f t="shared" si="11"/>
        <v>-868082</v>
      </c>
      <c r="H41" s="517">
        <f t="shared" si="11"/>
        <v>-1783166</v>
      </c>
      <c r="I41" s="517">
        <f>SUM(I43:I48)</f>
        <v>-2842536</v>
      </c>
      <c r="J41" s="517">
        <f>SUM(J43:J48)</f>
        <v>-3957680</v>
      </c>
      <c r="K41" s="517">
        <f>SUM(K43:K48)</f>
        <v>-934176</v>
      </c>
      <c r="L41" s="517">
        <f>SUM(L43:L48)</f>
        <v>-1976278</v>
      </c>
      <c r="M41" s="517"/>
      <c r="N41" s="517"/>
      <c r="O41" s="517"/>
      <c r="P41" s="517"/>
      <c r="Q41" s="517"/>
      <c r="R41" s="517"/>
      <c r="S41" s="517"/>
      <c r="T41" s="517">
        <f>SUM(T43:T48)</f>
        <v>-934176</v>
      </c>
      <c r="U41" s="517">
        <f>SUM(U43:U48)</f>
        <v>-1042102</v>
      </c>
    </row>
    <row r="42" spans="1:21">
      <c r="A42" s="509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T42" s="514"/>
      <c r="U42" s="514"/>
    </row>
    <row r="43" spans="1:21">
      <c r="A43" s="510" t="s">
        <v>493</v>
      </c>
      <c r="C43" s="515">
        <v>-468986</v>
      </c>
      <c r="D43" s="515">
        <v>-948914</v>
      </c>
      <c r="E43" s="515">
        <v>-1463089</v>
      </c>
      <c r="F43" s="515">
        <v>-2022692</v>
      </c>
      <c r="G43" s="515">
        <v>-551536</v>
      </c>
      <c r="H43" s="515">
        <v>-1114049</v>
      </c>
      <c r="I43" s="515">
        <v>-1722960</v>
      </c>
      <c r="J43" s="515">
        <v>-2396687</v>
      </c>
      <c r="K43" s="515">
        <v>-572846</v>
      </c>
      <c r="L43" s="515">
        <v>-1202660</v>
      </c>
      <c r="M43" s="515"/>
      <c r="N43" s="515"/>
      <c r="O43" s="515"/>
      <c r="P43" s="515"/>
      <c r="Q43" s="515"/>
      <c r="R43" s="515"/>
      <c r="T43" s="515">
        <f t="shared" ref="T43:T47" si="12">K43</f>
        <v>-572846</v>
      </c>
      <c r="U43" s="515">
        <f t="shared" ref="U43:U47" si="13">L43-K43</f>
        <v>-629814</v>
      </c>
    </row>
    <row r="44" spans="1:21">
      <c r="A44" s="510" t="s">
        <v>494</v>
      </c>
      <c r="C44" s="515">
        <v>-140638</v>
      </c>
      <c r="D44" s="515">
        <v>-383409</v>
      </c>
      <c r="E44" s="515">
        <v>-669306</v>
      </c>
      <c r="F44" s="515">
        <v>-952638</v>
      </c>
      <c r="G44" s="515">
        <v>-197896</v>
      </c>
      <c r="H44" s="515">
        <v>-430068</v>
      </c>
      <c r="I44" s="515">
        <v>-753645</v>
      </c>
      <c r="J44" s="515">
        <v>-1044544</v>
      </c>
      <c r="K44" s="515">
        <v>-220142</v>
      </c>
      <c r="L44" s="515">
        <v>-510627</v>
      </c>
      <c r="M44" s="515"/>
      <c r="N44" s="515"/>
      <c r="O44" s="515"/>
      <c r="P44" s="515"/>
      <c r="Q44" s="515"/>
      <c r="R44" s="515"/>
      <c r="T44" s="515">
        <f t="shared" si="12"/>
        <v>-220142</v>
      </c>
      <c r="U44" s="515">
        <f t="shared" si="13"/>
        <v>-290485</v>
      </c>
    </row>
    <row r="45" spans="1:21">
      <c r="A45" s="510" t="s">
        <v>495</v>
      </c>
      <c r="C45" s="515">
        <v>0</v>
      </c>
      <c r="D45" s="515">
        <v>0</v>
      </c>
      <c r="E45" s="515">
        <v>0</v>
      </c>
      <c r="F45" s="515">
        <v>0</v>
      </c>
      <c r="G45" s="515">
        <v>0</v>
      </c>
      <c r="H45" s="515">
        <v>0</v>
      </c>
      <c r="I45" s="515">
        <v>0</v>
      </c>
      <c r="J45" s="515">
        <v>0</v>
      </c>
      <c r="K45" s="515">
        <v>0</v>
      </c>
      <c r="L45" s="515">
        <v>0</v>
      </c>
      <c r="M45" s="515"/>
      <c r="N45" s="515"/>
      <c r="O45" s="515"/>
      <c r="P45" s="515"/>
      <c r="Q45" s="515"/>
      <c r="R45" s="515"/>
      <c r="T45" s="515">
        <f t="shared" si="12"/>
        <v>0</v>
      </c>
      <c r="U45" s="515">
        <f t="shared" si="13"/>
        <v>0</v>
      </c>
    </row>
    <row r="46" spans="1:21">
      <c r="A46" s="510" t="s">
        <v>496</v>
      </c>
      <c r="C46" s="515">
        <v>0</v>
      </c>
      <c r="D46" s="515">
        <v>0</v>
      </c>
      <c r="E46" s="515">
        <v>0</v>
      </c>
      <c r="F46" s="515">
        <v>0</v>
      </c>
      <c r="G46" s="515">
        <v>0</v>
      </c>
      <c r="H46" s="515">
        <v>0</v>
      </c>
      <c r="I46" s="515">
        <v>0</v>
      </c>
      <c r="J46" s="515">
        <v>0</v>
      </c>
      <c r="K46" s="515">
        <v>0</v>
      </c>
      <c r="L46" s="515">
        <v>0</v>
      </c>
      <c r="M46" s="515"/>
      <c r="N46" s="515"/>
      <c r="O46" s="515"/>
      <c r="P46" s="515"/>
      <c r="Q46" s="515"/>
      <c r="R46" s="515"/>
      <c r="T46" s="515">
        <f t="shared" si="12"/>
        <v>0</v>
      </c>
      <c r="U46" s="515">
        <f t="shared" si="13"/>
        <v>0</v>
      </c>
    </row>
    <row r="47" spans="1:21">
      <c r="A47" s="510" t="s">
        <v>497</v>
      </c>
      <c r="C47" s="515">
        <v>0</v>
      </c>
      <c r="D47" s="515">
        <v>0</v>
      </c>
      <c r="E47" s="515">
        <v>0</v>
      </c>
      <c r="F47" s="515">
        <v>0</v>
      </c>
      <c r="G47" s="515">
        <v>0</v>
      </c>
      <c r="H47" s="515">
        <v>0</v>
      </c>
      <c r="I47" s="515">
        <v>0</v>
      </c>
      <c r="J47" s="515">
        <v>0</v>
      </c>
      <c r="K47" s="515">
        <v>0</v>
      </c>
      <c r="L47" s="515">
        <v>0</v>
      </c>
      <c r="M47" s="515"/>
      <c r="N47" s="515"/>
      <c r="O47" s="515"/>
      <c r="P47" s="515"/>
      <c r="Q47" s="515"/>
      <c r="R47" s="515"/>
      <c r="T47" s="515">
        <f t="shared" si="12"/>
        <v>0</v>
      </c>
      <c r="U47" s="515">
        <f t="shared" si="13"/>
        <v>0</v>
      </c>
    </row>
    <row r="48" spans="1:21">
      <c r="A48" s="510" t="s">
        <v>498</v>
      </c>
      <c r="C48" s="515">
        <f t="shared" ref="C48:H48" si="14">SUM(C49:C55)</f>
        <v>-84968</v>
      </c>
      <c r="D48" s="515">
        <f t="shared" si="14"/>
        <v>-187135</v>
      </c>
      <c r="E48" s="515">
        <f t="shared" si="14"/>
        <v>-300578</v>
      </c>
      <c r="F48" s="515">
        <f t="shared" si="14"/>
        <v>-412075</v>
      </c>
      <c r="G48" s="515">
        <f t="shared" si="14"/>
        <v>-118650</v>
      </c>
      <c r="H48" s="515">
        <f t="shared" si="14"/>
        <v>-239049</v>
      </c>
      <c r="I48" s="515">
        <f>SUM(I49:I55)</f>
        <v>-365931</v>
      </c>
      <c r="J48" s="515">
        <f>SUM(J49:J55)</f>
        <v>-516449</v>
      </c>
      <c r="K48" s="515">
        <f>SUM(K49:K55)</f>
        <v>-141188</v>
      </c>
      <c r="L48" s="515">
        <f>SUM(L49:L55)</f>
        <v>-262991</v>
      </c>
      <c r="M48" s="515"/>
      <c r="N48" s="515"/>
      <c r="O48" s="515"/>
      <c r="P48" s="515"/>
      <c r="Q48" s="515"/>
      <c r="R48" s="515"/>
      <c r="T48" s="515">
        <f>SUM(T49:T55)</f>
        <v>-141188</v>
      </c>
      <c r="U48" s="515">
        <f>SUM(U49:U55)</f>
        <v>-121803</v>
      </c>
    </row>
    <row r="49" spans="1:21" outlineLevel="1">
      <c r="A49" s="511" t="s">
        <v>499</v>
      </c>
      <c r="C49" s="516">
        <v>-6002</v>
      </c>
      <c r="D49" s="516">
        <v>-13350</v>
      </c>
      <c r="E49" s="516">
        <v>-21096</v>
      </c>
      <c r="F49" s="516">
        <v>-27303</v>
      </c>
      <c r="G49" s="516">
        <v>-8789</v>
      </c>
      <c r="H49" s="516">
        <v>-18753</v>
      </c>
      <c r="I49" s="516">
        <v>-28543</v>
      </c>
      <c r="J49" s="516">
        <v>-39799</v>
      </c>
      <c r="K49" s="516">
        <v>-10619</v>
      </c>
      <c r="L49" s="516">
        <v>-20300</v>
      </c>
      <c r="M49" s="516"/>
      <c r="N49" s="516"/>
      <c r="O49" s="516"/>
      <c r="P49" s="516"/>
      <c r="Q49" s="516"/>
      <c r="R49" s="516"/>
      <c r="T49" s="516">
        <f t="shared" ref="T49:T55" si="15">K49</f>
        <v>-10619</v>
      </c>
      <c r="U49" s="516">
        <f t="shared" ref="U49:U55" si="16">L49-T49</f>
        <v>-9681</v>
      </c>
    </row>
    <row r="50" spans="1:21" outlineLevel="1">
      <c r="A50" s="511" t="s">
        <v>500</v>
      </c>
      <c r="C50" s="516">
        <v>-3296</v>
      </c>
      <c r="D50" s="516">
        <v>-5505</v>
      </c>
      <c r="E50" s="516">
        <v>-9756</v>
      </c>
      <c r="F50" s="516">
        <v>-11637</v>
      </c>
      <c r="G50" s="516">
        <v>-2317</v>
      </c>
      <c r="H50" s="516">
        <v>-4224</v>
      </c>
      <c r="I50" s="516">
        <v>-8137</v>
      </c>
      <c r="J50" s="516">
        <v>-8848</v>
      </c>
      <c r="K50" s="516">
        <v>-3312</v>
      </c>
      <c r="L50" s="516">
        <v>-4940</v>
      </c>
      <c r="M50" s="516"/>
      <c r="N50" s="516"/>
      <c r="O50" s="516"/>
      <c r="P50" s="516"/>
      <c r="Q50" s="516"/>
      <c r="R50" s="516"/>
      <c r="T50" s="516">
        <f t="shared" si="15"/>
        <v>-3312</v>
      </c>
      <c r="U50" s="516">
        <f t="shared" si="16"/>
        <v>-1628</v>
      </c>
    </row>
    <row r="51" spans="1:21" outlineLevel="1">
      <c r="A51" s="511" t="s">
        <v>501</v>
      </c>
      <c r="C51" s="516">
        <v>-39146</v>
      </c>
      <c r="D51" s="516">
        <v>-84177</v>
      </c>
      <c r="E51" s="516">
        <v>-135652</v>
      </c>
      <c r="F51" s="516">
        <v>-185512</v>
      </c>
      <c r="G51" s="516">
        <v>-52956</v>
      </c>
      <c r="H51" s="516">
        <v>-111262</v>
      </c>
      <c r="I51" s="516">
        <v>-168116</v>
      </c>
      <c r="J51" s="516">
        <v>-246009</v>
      </c>
      <c r="K51" s="516">
        <v>-64307</v>
      </c>
      <c r="L51" s="516">
        <v>-109571</v>
      </c>
      <c r="M51" s="516"/>
      <c r="N51" s="516"/>
      <c r="O51" s="516"/>
      <c r="P51" s="516"/>
      <c r="Q51" s="516"/>
      <c r="R51" s="516"/>
      <c r="T51" s="516">
        <f t="shared" si="15"/>
        <v>-64307</v>
      </c>
      <c r="U51" s="516">
        <f t="shared" si="16"/>
        <v>-45264</v>
      </c>
    </row>
    <row r="52" spans="1:21" outlineLevel="1">
      <c r="A52" s="511" t="s">
        <v>502</v>
      </c>
      <c r="C52" s="516">
        <v>-36367</v>
      </c>
      <c r="D52" s="516">
        <v>-84630</v>
      </c>
      <c r="E52" s="516">
        <v>-134586</v>
      </c>
      <c r="F52" s="516">
        <v>-188077</v>
      </c>
      <c r="G52" s="516">
        <v>-54550</v>
      </c>
      <c r="H52" s="516">
        <v>-105789</v>
      </c>
      <c r="I52" s="516">
        <v>-162135</v>
      </c>
      <c r="J52" s="516">
        <v>-222678</v>
      </c>
      <c r="K52" s="516">
        <v>-62896</v>
      </c>
      <c r="L52" s="516">
        <v>-128131</v>
      </c>
      <c r="M52" s="516"/>
      <c r="N52" s="516"/>
      <c r="O52" s="516"/>
      <c r="P52" s="516"/>
      <c r="Q52" s="516"/>
      <c r="R52" s="516"/>
      <c r="T52" s="516">
        <f t="shared" si="15"/>
        <v>-62896</v>
      </c>
      <c r="U52" s="516">
        <f t="shared" si="16"/>
        <v>-65235</v>
      </c>
    </row>
    <row r="53" spans="1:21" outlineLevel="1">
      <c r="A53" s="511" t="s">
        <v>503</v>
      </c>
      <c r="C53" s="516">
        <v>0</v>
      </c>
      <c r="D53" s="516">
        <v>0</v>
      </c>
      <c r="E53" s="516">
        <v>0</v>
      </c>
      <c r="F53" s="516">
        <v>0</v>
      </c>
      <c r="G53" s="516">
        <v>0</v>
      </c>
      <c r="H53" s="516">
        <v>0</v>
      </c>
      <c r="I53" s="516">
        <v>0</v>
      </c>
      <c r="J53" s="516">
        <v>0</v>
      </c>
      <c r="K53" s="516">
        <v>0</v>
      </c>
      <c r="L53" s="516">
        <v>0</v>
      </c>
      <c r="M53" s="516"/>
      <c r="N53" s="516"/>
      <c r="O53" s="516"/>
      <c r="P53" s="516"/>
      <c r="Q53" s="516"/>
      <c r="R53" s="516"/>
      <c r="T53" s="516">
        <f t="shared" si="15"/>
        <v>0</v>
      </c>
      <c r="U53" s="516">
        <f t="shared" si="16"/>
        <v>0</v>
      </c>
    </row>
    <row r="54" spans="1:21" outlineLevel="1">
      <c r="A54" s="511" t="s">
        <v>504</v>
      </c>
      <c r="C54" s="516">
        <v>-127</v>
      </c>
      <c r="D54" s="516">
        <v>-191</v>
      </c>
      <c r="E54" s="516">
        <v>-341</v>
      </c>
      <c r="F54" s="516">
        <v>-655</v>
      </c>
      <c r="G54" s="516">
        <v>-294</v>
      </c>
      <c r="H54" s="516">
        <v>-144</v>
      </c>
      <c r="I54" s="516">
        <v>-217</v>
      </c>
      <c r="J54" s="516">
        <v>-330</v>
      </c>
      <c r="K54" s="516">
        <v>-170</v>
      </c>
      <c r="L54" s="516">
        <v>-377</v>
      </c>
      <c r="M54" s="516"/>
      <c r="N54" s="516"/>
      <c r="O54" s="516"/>
      <c r="P54" s="516"/>
      <c r="Q54" s="516"/>
      <c r="R54" s="516"/>
      <c r="T54" s="516">
        <f t="shared" si="15"/>
        <v>-170</v>
      </c>
      <c r="U54" s="516">
        <f t="shared" si="16"/>
        <v>-207</v>
      </c>
    </row>
    <row r="55" spans="1:21" outlineLevel="1">
      <c r="A55" s="511" t="s">
        <v>505</v>
      </c>
      <c r="C55" s="516">
        <v>-30</v>
      </c>
      <c r="D55" s="516">
        <v>718</v>
      </c>
      <c r="E55" s="516">
        <v>853</v>
      </c>
      <c r="F55" s="516">
        <v>1109</v>
      </c>
      <c r="G55" s="516">
        <v>256</v>
      </c>
      <c r="H55" s="516">
        <v>1123</v>
      </c>
      <c r="I55" s="516">
        <v>1217</v>
      </c>
      <c r="J55" s="516">
        <v>1215</v>
      </c>
      <c r="K55" s="516">
        <v>116</v>
      </c>
      <c r="L55" s="516">
        <v>328</v>
      </c>
      <c r="M55" s="516"/>
      <c r="N55" s="516"/>
      <c r="O55" s="516"/>
      <c r="P55" s="516"/>
      <c r="Q55" s="516"/>
      <c r="R55" s="516"/>
      <c r="T55" s="516">
        <f t="shared" si="15"/>
        <v>116</v>
      </c>
      <c r="U55" s="516">
        <f t="shared" si="16"/>
        <v>212</v>
      </c>
    </row>
    <row r="56" spans="1:21">
      <c r="A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0"/>
      <c r="T56" s="510"/>
      <c r="U56" s="510"/>
    </row>
    <row r="57" spans="1:21">
      <c r="A57" s="522" t="s">
        <v>506</v>
      </c>
      <c r="C57" s="513">
        <f t="shared" ref="C57:H57" si="17">C39+C41</f>
        <v>351702</v>
      </c>
      <c r="D57" s="513">
        <f t="shared" si="17"/>
        <v>652515</v>
      </c>
      <c r="E57" s="513">
        <f t="shared" si="17"/>
        <v>947355</v>
      </c>
      <c r="F57" s="513">
        <f t="shared" si="17"/>
        <v>1455311</v>
      </c>
      <c r="G57" s="513">
        <f t="shared" si="17"/>
        <v>374785</v>
      </c>
      <c r="H57" s="513">
        <f t="shared" si="17"/>
        <v>768932</v>
      </c>
      <c r="I57" s="513">
        <f>I39+I41</f>
        <v>1184572</v>
      </c>
      <c r="J57" s="513">
        <f>J39+J41</f>
        <v>1711673</v>
      </c>
      <c r="K57" s="513">
        <f>K39+K41</f>
        <v>416517</v>
      </c>
      <c r="L57" s="513">
        <f>L39+L41</f>
        <v>855122</v>
      </c>
      <c r="M57" s="513"/>
      <c r="N57" s="513"/>
      <c r="O57" s="513"/>
      <c r="P57" s="513"/>
      <c r="Q57" s="513"/>
      <c r="R57" s="513"/>
      <c r="T57" s="513">
        <f>T39+T41</f>
        <v>416517</v>
      </c>
      <c r="U57" s="513">
        <f>U39+U41</f>
        <v>438605</v>
      </c>
    </row>
    <row r="58" spans="1:21">
      <c r="A58" s="510"/>
      <c r="C58" s="510"/>
      <c r="D58" s="510"/>
      <c r="E58" s="510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P58" s="510"/>
      <c r="Q58" s="510"/>
      <c r="R58" s="510"/>
      <c r="T58" s="510"/>
      <c r="U58" s="510"/>
    </row>
    <row r="59" spans="1:21">
      <c r="A59" s="509" t="s">
        <v>507</v>
      </c>
      <c r="C59" s="517">
        <f t="shared" ref="C59:H59" si="18">C61+C67+C68+C77+C78</f>
        <v>-173263</v>
      </c>
      <c r="D59" s="517">
        <f t="shared" si="18"/>
        <v>-342738</v>
      </c>
      <c r="E59" s="517">
        <f t="shared" si="18"/>
        <v>-474795</v>
      </c>
      <c r="F59" s="517">
        <f t="shared" si="18"/>
        <v>-505898</v>
      </c>
      <c r="G59" s="517">
        <f t="shared" si="18"/>
        <v>-177230</v>
      </c>
      <c r="H59" s="517">
        <f t="shared" si="18"/>
        <v>-328597</v>
      </c>
      <c r="I59" s="517">
        <f>I61+I67+I68+I77+I78</f>
        <v>-486814</v>
      </c>
      <c r="J59" s="517">
        <f>J61+J67+J68+J77+J78</f>
        <v>-755415</v>
      </c>
      <c r="K59" s="517">
        <f>K61+K67+K68+K77+K78</f>
        <v>-161467</v>
      </c>
      <c r="L59" s="517">
        <f>L61+L67+L68+L77+L78</f>
        <v>-355869</v>
      </c>
      <c r="M59" s="517"/>
      <c r="N59" s="517"/>
      <c r="O59" s="517"/>
      <c r="P59" s="517"/>
      <c r="Q59" s="517"/>
      <c r="R59" s="517"/>
      <c r="T59" s="517">
        <f>T61+T67+T68+T77+T78</f>
        <v>-161467</v>
      </c>
      <c r="U59" s="517">
        <f>U61+U67+U68+U77+U78</f>
        <v>-194402</v>
      </c>
    </row>
    <row r="60" spans="1:21">
      <c r="A60" s="509"/>
      <c r="C60" s="514"/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514"/>
      <c r="R60" s="514"/>
      <c r="T60" s="514"/>
      <c r="U60" s="514"/>
    </row>
    <row r="61" spans="1:21">
      <c r="A61" s="512" t="s">
        <v>508</v>
      </c>
      <c r="C61" s="515">
        <f t="shared" ref="C61:H61" si="19">SUM(C62:C66)</f>
        <v>-38701</v>
      </c>
      <c r="D61" s="515">
        <f t="shared" si="19"/>
        <v>-79621</v>
      </c>
      <c r="E61" s="515">
        <f t="shared" si="19"/>
        <v>-132222</v>
      </c>
      <c r="F61" s="515">
        <f t="shared" si="19"/>
        <v>-171621</v>
      </c>
      <c r="G61" s="515">
        <f t="shared" si="19"/>
        <v>-40503</v>
      </c>
      <c r="H61" s="515">
        <f t="shared" si="19"/>
        <v>-86494</v>
      </c>
      <c r="I61" s="515">
        <f>SUM(I62:I66)</f>
        <v>-132554</v>
      </c>
      <c r="J61" s="515">
        <f>SUM(J62:J66)</f>
        <v>-190425</v>
      </c>
      <c r="K61" s="515">
        <f>SUM(K62:K66)</f>
        <v>-56983</v>
      </c>
      <c r="L61" s="515">
        <f>SUM(L62:L66)</f>
        <v>-137061</v>
      </c>
      <c r="M61" s="515"/>
      <c r="N61" s="515"/>
      <c r="O61" s="515"/>
      <c r="P61" s="515"/>
      <c r="Q61" s="515"/>
      <c r="R61" s="515"/>
      <c r="T61" s="515">
        <f t="shared" ref="T61" si="20">SUM(T62:T66)</f>
        <v>-56983</v>
      </c>
      <c r="U61" s="515">
        <f>SUM(U62:U66)</f>
        <v>-80078</v>
      </c>
    </row>
    <row r="62" spans="1:21" outlineLevel="1">
      <c r="A62" s="511" t="s">
        <v>509</v>
      </c>
      <c r="C62" s="516">
        <v>-9344</v>
      </c>
      <c r="D62" s="516">
        <v>-18932</v>
      </c>
      <c r="E62" s="516">
        <v>-27300</v>
      </c>
      <c r="F62" s="516">
        <v>-34496</v>
      </c>
      <c r="G62" s="516">
        <v>-6980</v>
      </c>
      <c r="H62" s="516">
        <v>-14448</v>
      </c>
      <c r="I62" s="516">
        <v>-22355</v>
      </c>
      <c r="J62" s="516">
        <v>-31244</v>
      </c>
      <c r="K62" s="516">
        <v>-11078</v>
      </c>
      <c r="L62" s="516">
        <v>-27212</v>
      </c>
      <c r="M62" s="516"/>
      <c r="N62" s="516"/>
      <c r="O62" s="516"/>
      <c r="P62" s="516"/>
      <c r="Q62" s="516"/>
      <c r="R62" s="516"/>
      <c r="T62" s="516">
        <f t="shared" ref="T62:T67" si="21">K62</f>
        <v>-11078</v>
      </c>
      <c r="U62" s="516">
        <f t="shared" ref="U62:U67" si="22">L62-T62</f>
        <v>-16134</v>
      </c>
    </row>
    <row r="63" spans="1:21" outlineLevel="1">
      <c r="A63" s="511" t="s">
        <v>510</v>
      </c>
      <c r="C63" s="516">
        <v>-1443</v>
      </c>
      <c r="D63" s="516">
        <v>-2497</v>
      </c>
      <c r="E63" s="516">
        <v>-4155</v>
      </c>
      <c r="F63" s="516">
        <v>-5514</v>
      </c>
      <c r="G63" s="516">
        <v>-1473</v>
      </c>
      <c r="H63" s="516">
        <v>-5823</v>
      </c>
      <c r="I63" s="516">
        <v>-7861</v>
      </c>
      <c r="J63" s="516">
        <v>-13512</v>
      </c>
      <c r="K63" s="516">
        <v>-2540</v>
      </c>
      <c r="L63" s="516">
        <v>-6603</v>
      </c>
      <c r="M63" s="516"/>
      <c r="N63" s="516"/>
      <c r="O63" s="516"/>
      <c r="P63" s="516"/>
      <c r="Q63" s="516"/>
      <c r="R63" s="516"/>
      <c r="T63" s="516">
        <f t="shared" si="21"/>
        <v>-2540</v>
      </c>
      <c r="U63" s="516">
        <f t="shared" si="22"/>
        <v>-4063</v>
      </c>
    </row>
    <row r="64" spans="1:21" outlineLevel="1">
      <c r="A64" s="511" t="s">
        <v>511</v>
      </c>
      <c r="C64" s="516">
        <v>-26379</v>
      </c>
      <c r="D64" s="516">
        <v>-56135</v>
      </c>
      <c r="E64" s="516">
        <v>-97314</v>
      </c>
      <c r="F64" s="516">
        <v>-127080</v>
      </c>
      <c r="G64" s="516">
        <v>-30471</v>
      </c>
      <c r="H64" s="516">
        <v>-63593</v>
      </c>
      <c r="I64" s="516">
        <v>-98378</v>
      </c>
      <c r="J64" s="516">
        <v>-139495</v>
      </c>
      <c r="K64" s="516">
        <v>-41956</v>
      </c>
      <c r="L64" s="516">
        <v>-99955</v>
      </c>
      <c r="M64" s="516"/>
      <c r="N64" s="516"/>
      <c r="O64" s="516"/>
      <c r="P64" s="516"/>
      <c r="Q64" s="516"/>
      <c r="R64" s="516"/>
      <c r="T64" s="516">
        <f t="shared" si="21"/>
        <v>-41956</v>
      </c>
      <c r="U64" s="516">
        <f t="shared" si="22"/>
        <v>-57999</v>
      </c>
    </row>
    <row r="65" spans="1:21" outlineLevel="1">
      <c r="A65" s="511" t="s">
        <v>512</v>
      </c>
      <c r="C65" s="516">
        <v>-594</v>
      </c>
      <c r="D65" s="516">
        <v>-1170</v>
      </c>
      <c r="E65" s="516">
        <v>-1933</v>
      </c>
      <c r="F65" s="516">
        <v>-2894</v>
      </c>
      <c r="G65" s="516">
        <v>-1004</v>
      </c>
      <c r="H65" s="516">
        <v>-1731</v>
      </c>
      <c r="I65" s="516">
        <v>-2633</v>
      </c>
      <c r="J65" s="516">
        <v>-3296</v>
      </c>
      <c r="K65" s="516">
        <v>-1167</v>
      </c>
      <c r="L65" s="516">
        <v>-2311</v>
      </c>
      <c r="M65" s="516"/>
      <c r="N65" s="516"/>
      <c r="O65" s="516"/>
      <c r="P65" s="516"/>
      <c r="Q65" s="516"/>
      <c r="R65" s="516"/>
      <c r="T65" s="516">
        <f t="shared" si="21"/>
        <v>-1167</v>
      </c>
      <c r="U65" s="516">
        <f t="shared" si="22"/>
        <v>-1144</v>
      </c>
    </row>
    <row r="66" spans="1:21" outlineLevel="1">
      <c r="A66" s="511" t="s">
        <v>513</v>
      </c>
      <c r="C66" s="516">
        <v>-941</v>
      </c>
      <c r="D66" s="516">
        <v>-887</v>
      </c>
      <c r="E66" s="516">
        <v>-1520</v>
      </c>
      <c r="F66" s="516">
        <v>-1637</v>
      </c>
      <c r="G66" s="516">
        <v>-575</v>
      </c>
      <c r="H66" s="516">
        <v>-899</v>
      </c>
      <c r="I66" s="516">
        <v>-1327</v>
      </c>
      <c r="J66" s="516">
        <v>-2878</v>
      </c>
      <c r="K66" s="516">
        <v>-242</v>
      </c>
      <c r="L66" s="516">
        <v>-980</v>
      </c>
      <c r="M66" s="516"/>
      <c r="N66" s="516"/>
      <c r="O66" s="516"/>
      <c r="P66" s="516"/>
      <c r="Q66" s="516"/>
      <c r="R66" s="516"/>
      <c r="T66" s="516">
        <f t="shared" si="21"/>
        <v>-242</v>
      </c>
      <c r="U66" s="516">
        <f t="shared" si="22"/>
        <v>-738</v>
      </c>
    </row>
    <row r="67" spans="1:21">
      <c r="A67" s="510" t="s">
        <v>514</v>
      </c>
      <c r="C67" s="518">
        <v>-25229</v>
      </c>
      <c r="D67" s="518">
        <v>-45459</v>
      </c>
      <c r="E67" s="518">
        <v>-67652</v>
      </c>
      <c r="F67" s="518">
        <v>-39235</v>
      </c>
      <c r="G67" s="518">
        <v>-26510</v>
      </c>
      <c r="H67" s="518">
        <v>-37912</v>
      </c>
      <c r="I67" s="518">
        <v>-54330</v>
      </c>
      <c r="J67" s="518">
        <v>-144906</v>
      </c>
      <c r="K67" s="518">
        <v>-25678</v>
      </c>
      <c r="L67" s="518">
        <v>-46947</v>
      </c>
      <c r="M67" s="518"/>
      <c r="N67" s="518"/>
      <c r="O67" s="518"/>
      <c r="P67" s="518"/>
      <c r="Q67" s="518"/>
      <c r="R67" s="518"/>
      <c r="T67" s="518">
        <f t="shared" si="21"/>
        <v>-25678</v>
      </c>
      <c r="U67" s="518">
        <f t="shared" si="22"/>
        <v>-21269</v>
      </c>
    </row>
    <row r="68" spans="1:21">
      <c r="A68" s="510" t="s">
        <v>515</v>
      </c>
      <c r="C68" s="515">
        <f t="shared" ref="C68:H68" si="23">SUM(C69:C76)</f>
        <v>-59882</v>
      </c>
      <c r="D68" s="515">
        <f t="shared" si="23"/>
        <v>-127824</v>
      </c>
      <c r="E68" s="515">
        <f t="shared" si="23"/>
        <v>-154698</v>
      </c>
      <c r="F68" s="515">
        <f t="shared" si="23"/>
        <v>-172019</v>
      </c>
      <c r="G68" s="515">
        <f t="shared" si="23"/>
        <v>-53172</v>
      </c>
      <c r="H68" s="515">
        <f t="shared" si="23"/>
        <v>-123898</v>
      </c>
      <c r="I68" s="515">
        <f>SUM(I69:I76)</f>
        <v>-179990</v>
      </c>
      <c r="J68" s="515">
        <f>SUM(J69:J76)</f>
        <v>-244722</v>
      </c>
      <c r="K68" s="515">
        <f>SUM(K69:K76)</f>
        <v>-51987</v>
      </c>
      <c r="L68" s="515">
        <f>SUM(L69:L76)</f>
        <v>-108193</v>
      </c>
      <c r="M68" s="515"/>
      <c r="N68" s="515"/>
      <c r="O68" s="515"/>
      <c r="P68" s="515"/>
      <c r="Q68" s="515"/>
      <c r="R68" s="515"/>
      <c r="T68" s="515">
        <f>SUM(T69:T76)</f>
        <v>-51987</v>
      </c>
      <c r="U68" s="515">
        <f>SUM(U69:U76)</f>
        <v>-56206</v>
      </c>
    </row>
    <row r="69" spans="1:21" outlineLevel="1">
      <c r="A69" s="511" t="s">
        <v>516</v>
      </c>
      <c r="C69" s="516">
        <v>-13523</v>
      </c>
      <c r="D69" s="516">
        <v>-41203</v>
      </c>
      <c r="E69" s="516">
        <v>-63907</v>
      </c>
      <c r="F69" s="516">
        <v>-91607</v>
      </c>
      <c r="G69" s="516">
        <v>-31321</v>
      </c>
      <c r="H69" s="516">
        <v>-62006</v>
      </c>
      <c r="I69" s="516">
        <v>-98846</v>
      </c>
      <c r="J69" s="516">
        <v>-123384</v>
      </c>
      <c r="K69" s="516">
        <v>-23001</v>
      </c>
      <c r="L69" s="516">
        <v>-56149</v>
      </c>
      <c r="M69" s="516"/>
      <c r="N69" s="516"/>
      <c r="O69" s="516"/>
      <c r="P69" s="516"/>
      <c r="Q69" s="516"/>
      <c r="R69" s="516"/>
      <c r="T69" s="516">
        <f t="shared" ref="T69:T77" si="24">K69</f>
        <v>-23001</v>
      </c>
      <c r="U69" s="516">
        <f t="shared" ref="U69:U77" si="25">L69-T69</f>
        <v>-33148</v>
      </c>
    </row>
    <row r="70" spans="1:21" outlineLevel="1">
      <c r="A70" s="511" t="s">
        <v>517</v>
      </c>
      <c r="C70" s="516">
        <v>-339</v>
      </c>
      <c r="D70" s="516">
        <v>-1389</v>
      </c>
      <c r="E70" s="516">
        <v>-1693</v>
      </c>
      <c r="F70" s="516">
        <v>-2123</v>
      </c>
      <c r="G70" s="516">
        <v>-887</v>
      </c>
      <c r="H70" s="516">
        <v>494</v>
      </c>
      <c r="I70" s="516">
        <v>3320</v>
      </c>
      <c r="J70" s="516">
        <v>-1685</v>
      </c>
      <c r="K70" s="516">
        <v>1313</v>
      </c>
      <c r="L70" s="516">
        <v>1240</v>
      </c>
      <c r="M70" s="516"/>
      <c r="N70" s="516"/>
      <c r="O70" s="516"/>
      <c r="P70" s="516"/>
      <c r="Q70" s="516"/>
      <c r="R70" s="516"/>
      <c r="T70" s="516">
        <f t="shared" si="24"/>
        <v>1313</v>
      </c>
      <c r="U70" s="516">
        <f t="shared" si="25"/>
        <v>-73</v>
      </c>
    </row>
    <row r="71" spans="1:21" outlineLevel="1">
      <c r="A71" s="511" t="s">
        <v>518</v>
      </c>
      <c r="C71" s="516">
        <v>-20208</v>
      </c>
      <c r="D71" s="516">
        <v>-46356</v>
      </c>
      <c r="E71" s="516">
        <v>-39683</v>
      </c>
      <c r="F71" s="516">
        <v>-20229</v>
      </c>
      <c r="G71" s="516">
        <v>-9739</v>
      </c>
      <c r="H71" s="516">
        <v>-37854</v>
      </c>
      <c r="I71" s="516">
        <v>-49442</v>
      </c>
      <c r="J71" s="516">
        <v>-61284</v>
      </c>
      <c r="K71" s="516">
        <v>-17435</v>
      </c>
      <c r="L71" s="516">
        <v>-29162</v>
      </c>
      <c r="M71" s="516"/>
      <c r="N71" s="516"/>
      <c r="O71" s="516"/>
      <c r="P71" s="516"/>
      <c r="Q71" s="516"/>
      <c r="R71" s="516"/>
      <c r="T71" s="516">
        <f t="shared" si="24"/>
        <v>-17435</v>
      </c>
      <c r="U71" s="516">
        <f t="shared" si="25"/>
        <v>-11727</v>
      </c>
    </row>
    <row r="72" spans="1:21" outlineLevel="1">
      <c r="A72" s="511" t="s">
        <v>519</v>
      </c>
      <c r="C72" s="516">
        <v>104</v>
      </c>
      <c r="D72" s="516">
        <v>504</v>
      </c>
      <c r="E72" s="516">
        <v>742</v>
      </c>
      <c r="F72" s="516">
        <v>1040</v>
      </c>
      <c r="G72" s="516">
        <v>-94</v>
      </c>
      <c r="H72" s="516">
        <v>-643</v>
      </c>
      <c r="I72" s="516">
        <v>-824</v>
      </c>
      <c r="J72" s="516">
        <v>-1229</v>
      </c>
      <c r="K72" s="516">
        <v>-286</v>
      </c>
      <c r="L72" s="516">
        <v>-508</v>
      </c>
      <c r="M72" s="516"/>
      <c r="N72" s="516"/>
      <c r="O72" s="516"/>
      <c r="P72" s="516"/>
      <c r="Q72" s="516"/>
      <c r="R72" s="516"/>
      <c r="T72" s="516">
        <f t="shared" si="24"/>
        <v>-286</v>
      </c>
      <c r="U72" s="516">
        <f t="shared" si="25"/>
        <v>-222</v>
      </c>
    </row>
    <row r="73" spans="1:21" outlineLevel="1">
      <c r="A73" s="511" t="s">
        <v>520</v>
      </c>
      <c r="C73" s="516">
        <v>-488</v>
      </c>
      <c r="D73" s="516">
        <v>-997</v>
      </c>
      <c r="E73" s="516">
        <v>-640</v>
      </c>
      <c r="F73" s="516">
        <v>374</v>
      </c>
      <c r="G73" s="516">
        <v>-238</v>
      </c>
      <c r="H73" s="516">
        <v>-2890</v>
      </c>
      <c r="I73" s="516">
        <v>-2867</v>
      </c>
      <c r="J73" s="516">
        <v>-2549</v>
      </c>
      <c r="K73" s="516">
        <v>-1640</v>
      </c>
      <c r="L73" s="516">
        <v>-2077</v>
      </c>
      <c r="M73" s="516"/>
      <c r="N73" s="516"/>
      <c r="O73" s="516"/>
      <c r="P73" s="516"/>
      <c r="Q73" s="516"/>
      <c r="R73" s="516"/>
      <c r="T73" s="516">
        <f t="shared" si="24"/>
        <v>-1640</v>
      </c>
      <c r="U73" s="516">
        <f t="shared" si="25"/>
        <v>-437</v>
      </c>
    </row>
    <row r="74" spans="1:21" outlineLevel="1">
      <c r="A74" s="511" t="s">
        <v>521</v>
      </c>
      <c r="C74" s="516">
        <v>-6004</v>
      </c>
      <c r="D74" s="516">
        <v>-11104</v>
      </c>
      <c r="E74" s="516">
        <v>-15395</v>
      </c>
      <c r="F74" s="516">
        <v>-17228</v>
      </c>
      <c r="G74" s="516">
        <v>-4867</v>
      </c>
      <c r="H74" s="516">
        <v>-8618</v>
      </c>
      <c r="I74" s="516">
        <v>-12823</v>
      </c>
      <c r="J74" s="516">
        <v>-25352</v>
      </c>
      <c r="K74" s="516">
        <v>-4182</v>
      </c>
      <c r="L74" s="516">
        <v>-8028</v>
      </c>
      <c r="M74" s="516"/>
      <c r="N74" s="516"/>
      <c r="O74" s="516"/>
      <c r="P74" s="516"/>
      <c r="Q74" s="516"/>
      <c r="R74" s="516"/>
      <c r="T74" s="516">
        <f t="shared" si="24"/>
        <v>-4182</v>
      </c>
      <c r="U74" s="516">
        <f t="shared" si="25"/>
        <v>-3846</v>
      </c>
    </row>
    <row r="75" spans="1:21" outlineLevel="1">
      <c r="A75" s="511" t="s">
        <v>522</v>
      </c>
      <c r="C75" s="516">
        <v>-19424</v>
      </c>
      <c r="D75" s="516">
        <v>-27279</v>
      </c>
      <c r="E75" s="516">
        <v>-34122</v>
      </c>
      <c r="F75" s="516">
        <v>-42246</v>
      </c>
      <c r="G75" s="516">
        <v>-6026</v>
      </c>
      <c r="H75" s="516">
        <v>-12381</v>
      </c>
      <c r="I75" s="516">
        <v>-18508</v>
      </c>
      <c r="J75" s="516">
        <v>-29239</v>
      </c>
      <c r="K75" s="516">
        <v>-6756</v>
      </c>
      <c r="L75" s="516">
        <v>-13509</v>
      </c>
      <c r="M75" s="516"/>
      <c r="N75" s="516"/>
      <c r="O75" s="516"/>
      <c r="P75" s="516"/>
      <c r="Q75" s="516"/>
      <c r="R75" s="516"/>
      <c r="T75" s="516">
        <f t="shared" si="24"/>
        <v>-6756</v>
      </c>
      <c r="U75" s="516">
        <f t="shared" si="25"/>
        <v>-6753</v>
      </c>
    </row>
    <row r="76" spans="1:21" outlineLevel="1">
      <c r="A76" s="511" t="s">
        <v>523</v>
      </c>
      <c r="C76" s="516">
        <v>0</v>
      </c>
      <c r="D76" s="516">
        <v>0</v>
      </c>
      <c r="E76" s="516">
        <v>0</v>
      </c>
      <c r="F76" s="516">
        <v>0</v>
      </c>
      <c r="G76" s="516">
        <v>0</v>
      </c>
      <c r="H76" s="516">
        <v>0</v>
      </c>
      <c r="I76" s="516">
        <v>0</v>
      </c>
      <c r="J76" s="516">
        <v>0</v>
      </c>
      <c r="K76" s="516">
        <v>0</v>
      </c>
      <c r="L76" s="516">
        <v>0</v>
      </c>
      <c r="M76" s="516"/>
      <c r="N76" s="516"/>
      <c r="O76" s="516"/>
      <c r="P76" s="516"/>
      <c r="Q76" s="516"/>
      <c r="R76" s="516"/>
      <c r="T76" s="516">
        <f t="shared" si="24"/>
        <v>0</v>
      </c>
      <c r="U76" s="516">
        <f t="shared" si="25"/>
        <v>0</v>
      </c>
    </row>
    <row r="77" spans="1:21">
      <c r="A77" s="510" t="s">
        <v>524</v>
      </c>
      <c r="C77" s="515">
        <v>0</v>
      </c>
      <c r="D77" s="515">
        <v>0</v>
      </c>
      <c r="E77" s="515">
        <v>0</v>
      </c>
      <c r="F77" s="515">
        <v>0</v>
      </c>
      <c r="G77" s="515">
        <v>0</v>
      </c>
      <c r="H77" s="515">
        <v>0</v>
      </c>
      <c r="I77" s="515">
        <v>0</v>
      </c>
      <c r="J77" s="515">
        <v>0</v>
      </c>
      <c r="K77" s="515">
        <v>0</v>
      </c>
      <c r="L77" s="515">
        <v>0</v>
      </c>
      <c r="M77" s="515"/>
      <c r="N77" s="515"/>
      <c r="O77" s="515"/>
      <c r="P77" s="515"/>
      <c r="Q77" s="515"/>
      <c r="R77" s="515"/>
      <c r="T77" s="515">
        <f t="shared" si="24"/>
        <v>0</v>
      </c>
      <c r="U77" s="515">
        <f t="shared" si="25"/>
        <v>0</v>
      </c>
    </row>
    <row r="78" spans="1:21">
      <c r="A78" s="510" t="s">
        <v>525</v>
      </c>
      <c r="C78" s="515">
        <f t="shared" ref="C78:J78" si="26">SUM(C79:C81)</f>
        <v>-49451</v>
      </c>
      <c r="D78" s="515">
        <f t="shared" si="26"/>
        <v>-89834</v>
      </c>
      <c r="E78" s="515">
        <f t="shared" si="26"/>
        <v>-120223</v>
      </c>
      <c r="F78" s="515">
        <f t="shared" si="26"/>
        <v>-123023</v>
      </c>
      <c r="G78" s="515">
        <f t="shared" si="26"/>
        <v>-57045</v>
      </c>
      <c r="H78" s="515">
        <f t="shared" si="26"/>
        <v>-80293</v>
      </c>
      <c r="I78" s="515">
        <f t="shared" si="26"/>
        <v>-119940</v>
      </c>
      <c r="J78" s="515">
        <f t="shared" si="26"/>
        <v>-175362</v>
      </c>
      <c r="K78" s="515">
        <f>SUM(K79:K81)</f>
        <v>-26819</v>
      </c>
      <c r="L78" s="515">
        <f>SUM(L79:L81)</f>
        <v>-63668</v>
      </c>
      <c r="M78" s="515"/>
      <c r="N78" s="515"/>
      <c r="O78" s="515"/>
      <c r="P78" s="515"/>
      <c r="Q78" s="515"/>
      <c r="R78" s="515"/>
      <c r="T78" s="515">
        <f t="shared" ref="T78:U78" si="27">SUM(T79:T81)</f>
        <v>-26819</v>
      </c>
      <c r="U78" s="515">
        <f t="shared" si="27"/>
        <v>-36849</v>
      </c>
    </row>
    <row r="79" spans="1:21" outlineLevel="1">
      <c r="A79" s="511" t="s">
        <v>526</v>
      </c>
      <c r="C79" s="516">
        <v>-1390</v>
      </c>
      <c r="D79" s="516">
        <v>-4512</v>
      </c>
      <c r="E79" s="516">
        <v>-28179</v>
      </c>
      <c r="F79" s="516">
        <v>-32982</v>
      </c>
      <c r="G79" s="516">
        <v>-4880</v>
      </c>
      <c r="H79" s="516">
        <v>-5702</v>
      </c>
      <c r="I79" s="516">
        <v>-7953</v>
      </c>
      <c r="J79" s="516">
        <v>-15766</v>
      </c>
      <c r="K79" s="516">
        <v>-2171</v>
      </c>
      <c r="L79" s="516">
        <v>-6768</v>
      </c>
      <c r="M79" s="516"/>
      <c r="N79" s="516"/>
      <c r="O79" s="516"/>
      <c r="P79" s="516"/>
      <c r="Q79" s="516"/>
      <c r="R79" s="516"/>
      <c r="T79" s="516">
        <f t="shared" ref="T79:T80" si="28">K79</f>
        <v>-2171</v>
      </c>
      <c r="U79" s="516">
        <f>L79-T79</f>
        <v>-4597</v>
      </c>
    </row>
    <row r="80" spans="1:21" outlineLevel="1">
      <c r="A80" s="511" t="s">
        <v>527</v>
      </c>
      <c r="C80" s="516">
        <v>-48061</v>
      </c>
      <c r="D80" s="516">
        <v>-85322</v>
      </c>
      <c r="E80" s="516">
        <v>-92044</v>
      </c>
      <c r="F80" s="516">
        <v>-90041</v>
      </c>
      <c r="G80" s="516">
        <v>-52165</v>
      </c>
      <c r="H80" s="516">
        <v>-74591</v>
      </c>
      <c r="I80" s="516">
        <v>-111987</v>
      </c>
      <c r="J80" s="516">
        <v>-159596</v>
      </c>
      <c r="K80" s="516">
        <v>-24648</v>
      </c>
      <c r="L80" s="516">
        <v>-42042</v>
      </c>
      <c r="M80" s="516"/>
      <c r="N80" s="516"/>
      <c r="O80" s="516"/>
      <c r="P80" s="516"/>
      <c r="Q80" s="516"/>
      <c r="R80" s="516"/>
      <c r="T80" s="516">
        <f t="shared" si="28"/>
        <v>-24648</v>
      </c>
      <c r="U80" s="516">
        <f>L80-T80</f>
        <v>-17394</v>
      </c>
    </row>
    <row r="81" spans="1:21" outlineLevel="1">
      <c r="A81" s="511" t="s">
        <v>528</v>
      </c>
      <c r="C81" s="516"/>
      <c r="D81" s="516"/>
      <c r="E81" s="516"/>
      <c r="F81" s="516"/>
      <c r="G81" s="516"/>
      <c r="H81" s="516"/>
      <c r="I81" s="516"/>
      <c r="J81" s="516"/>
      <c r="K81" s="516"/>
      <c r="L81" s="516">
        <v>-14858</v>
      </c>
      <c r="M81" s="516"/>
      <c r="N81" s="516"/>
      <c r="O81" s="516"/>
      <c r="P81" s="516"/>
      <c r="Q81" s="516"/>
      <c r="R81" s="516"/>
      <c r="T81" s="516"/>
      <c r="U81" s="516">
        <f>L81-T81</f>
        <v>-14858</v>
      </c>
    </row>
    <row r="82" spans="1:21">
      <c r="A82" s="510"/>
      <c r="C82" s="510"/>
      <c r="D82" s="510"/>
      <c r="E82" s="510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0"/>
      <c r="T82" s="510"/>
      <c r="U82" s="510"/>
    </row>
    <row r="83" spans="1:21">
      <c r="A83" s="522" t="s">
        <v>529</v>
      </c>
      <c r="C83" s="513">
        <f t="shared" ref="C83:H83" si="29">C85-C75-C52-C76</f>
        <v>234230</v>
      </c>
      <c r="D83" s="513">
        <f t="shared" si="29"/>
        <v>421686</v>
      </c>
      <c r="E83" s="513">
        <f t="shared" si="29"/>
        <v>641268</v>
      </c>
      <c r="F83" s="513">
        <f t="shared" si="29"/>
        <v>1179736</v>
      </c>
      <c r="G83" s="513">
        <f t="shared" si="29"/>
        <v>258131</v>
      </c>
      <c r="H83" s="513">
        <f t="shared" si="29"/>
        <v>558505</v>
      </c>
      <c r="I83" s="513">
        <f>I85-I75-I52-I76</f>
        <v>878401</v>
      </c>
      <c r="J83" s="513">
        <f>J85-J75-J52-J76</f>
        <v>1208175</v>
      </c>
      <c r="K83" s="513">
        <f>K85-K75-K52-K76</f>
        <v>324702</v>
      </c>
      <c r="L83" s="513">
        <f>L85-L75-L52-L76</f>
        <v>640893</v>
      </c>
      <c r="M83" s="513"/>
      <c r="N83" s="513"/>
      <c r="O83" s="513"/>
      <c r="P83" s="513"/>
      <c r="Q83" s="513"/>
      <c r="R83" s="513"/>
      <c r="T83" s="513">
        <f>T85-T75-T52-T76</f>
        <v>324702</v>
      </c>
      <c r="U83" s="513">
        <f>U85-U75-U52-U76</f>
        <v>316191</v>
      </c>
    </row>
    <row r="84" spans="1:21">
      <c r="A84" s="510"/>
      <c r="C84" s="510"/>
      <c r="D84" s="510"/>
      <c r="E84" s="510"/>
      <c r="F84" s="510"/>
      <c r="G84" s="510"/>
      <c r="H84" s="510"/>
      <c r="I84" s="510"/>
      <c r="J84" s="510"/>
      <c r="K84" s="510"/>
      <c r="L84" s="510"/>
      <c r="M84" s="510"/>
      <c r="N84" s="510"/>
      <c r="O84" s="510"/>
      <c r="P84" s="510"/>
      <c r="Q84" s="510"/>
      <c r="R84" s="510"/>
      <c r="T84" s="510"/>
      <c r="U84" s="510"/>
    </row>
    <row r="85" spans="1:21">
      <c r="A85" s="522" t="s">
        <v>530</v>
      </c>
      <c r="C85" s="513">
        <f t="shared" ref="C85:H85" si="30">C57+C59</f>
        <v>178439</v>
      </c>
      <c r="D85" s="513">
        <f t="shared" si="30"/>
        <v>309777</v>
      </c>
      <c r="E85" s="513">
        <f t="shared" si="30"/>
        <v>472560</v>
      </c>
      <c r="F85" s="513">
        <f t="shared" si="30"/>
        <v>949413</v>
      </c>
      <c r="G85" s="513">
        <f t="shared" si="30"/>
        <v>197555</v>
      </c>
      <c r="H85" s="513">
        <f t="shared" si="30"/>
        <v>440335</v>
      </c>
      <c r="I85" s="513">
        <f>I57+I59</f>
        <v>697758</v>
      </c>
      <c r="J85" s="513">
        <f>J57+J59</f>
        <v>956258</v>
      </c>
      <c r="K85" s="513">
        <f>K57+K59</f>
        <v>255050</v>
      </c>
      <c r="L85" s="513">
        <f>L57+L59</f>
        <v>499253</v>
      </c>
      <c r="M85" s="513"/>
      <c r="N85" s="513"/>
      <c r="O85" s="513"/>
      <c r="P85" s="513"/>
      <c r="Q85" s="513"/>
      <c r="R85" s="513"/>
      <c r="T85" s="513">
        <f>T57+T59</f>
        <v>255050</v>
      </c>
      <c r="U85" s="513">
        <f>U57+U59</f>
        <v>244203</v>
      </c>
    </row>
    <row r="86" spans="1:21">
      <c r="A86" s="510"/>
      <c r="C86" s="510"/>
      <c r="D86" s="510"/>
      <c r="E86" s="510"/>
      <c r="F86" s="510"/>
      <c r="G86" s="510"/>
      <c r="H86" s="510"/>
      <c r="I86" s="510"/>
      <c r="J86" s="510"/>
      <c r="K86" s="510"/>
      <c r="L86" s="510"/>
      <c r="M86" s="510"/>
      <c r="N86" s="510"/>
      <c r="O86" s="510"/>
      <c r="P86" s="510"/>
      <c r="Q86" s="510"/>
      <c r="R86" s="510"/>
      <c r="T86" s="510"/>
      <c r="U86" s="510"/>
    </row>
    <row r="87" spans="1:21">
      <c r="A87" s="522" t="s">
        <v>531</v>
      </c>
      <c r="C87" s="513">
        <f t="shared" ref="C87:H87" si="31">C89+C98</f>
        <v>-16502</v>
      </c>
      <c r="D87" s="513">
        <f t="shared" si="31"/>
        <v>-149500</v>
      </c>
      <c r="E87" s="513">
        <f t="shared" si="31"/>
        <v>-201976</v>
      </c>
      <c r="F87" s="513">
        <f t="shared" si="31"/>
        <v>-209216</v>
      </c>
      <c r="G87" s="513">
        <f t="shared" si="31"/>
        <v>-45487</v>
      </c>
      <c r="H87" s="513">
        <f t="shared" si="31"/>
        <v>-90646</v>
      </c>
      <c r="I87" s="513">
        <f>I89+I98</f>
        <v>-107360</v>
      </c>
      <c r="J87" s="513">
        <f>J89+J98</f>
        <v>-137252</v>
      </c>
      <c r="K87" s="513">
        <f>K89+K98</f>
        <v>-62018</v>
      </c>
      <c r="L87" s="513">
        <f>L89+L98</f>
        <v>-120776</v>
      </c>
      <c r="M87" s="513"/>
      <c r="N87" s="513"/>
      <c r="O87" s="513"/>
      <c r="P87" s="513"/>
      <c r="Q87" s="513"/>
      <c r="R87" s="513"/>
      <c r="T87" s="513">
        <f>T89+T98</f>
        <v>-62018</v>
      </c>
      <c r="U87" s="513">
        <f>U89+U98</f>
        <v>-58758</v>
      </c>
    </row>
    <row r="88" spans="1:21">
      <c r="A88" s="509"/>
      <c r="C88" s="510"/>
      <c r="D88" s="510"/>
      <c r="E88" s="510"/>
      <c r="F88" s="510"/>
      <c r="G88" s="510"/>
      <c r="H88" s="510"/>
      <c r="I88" s="510"/>
      <c r="J88" s="510"/>
      <c r="K88" s="510"/>
      <c r="L88" s="510"/>
      <c r="M88" s="510"/>
      <c r="N88" s="510"/>
      <c r="O88" s="510"/>
      <c r="P88" s="510"/>
      <c r="Q88" s="510"/>
      <c r="R88" s="510"/>
      <c r="T88" s="510"/>
      <c r="U88" s="510"/>
    </row>
    <row r="89" spans="1:21">
      <c r="A89" s="510" t="s">
        <v>532</v>
      </c>
      <c r="C89" s="517">
        <f t="shared" ref="C89:H89" si="32">SUM(C90:C97)</f>
        <v>125367</v>
      </c>
      <c r="D89" s="517">
        <f t="shared" si="32"/>
        <v>184991</v>
      </c>
      <c r="E89" s="517">
        <f t="shared" si="32"/>
        <v>264157</v>
      </c>
      <c r="F89" s="517">
        <f t="shared" si="32"/>
        <v>349198</v>
      </c>
      <c r="G89" s="517">
        <f t="shared" si="32"/>
        <v>93580</v>
      </c>
      <c r="H89" s="517">
        <f t="shared" si="32"/>
        <v>197640</v>
      </c>
      <c r="I89" s="517">
        <f>SUM(I90:I97)</f>
        <v>291237</v>
      </c>
      <c r="J89" s="517">
        <f>SUM(J90:J97)</f>
        <v>424036</v>
      </c>
      <c r="K89" s="517">
        <f>SUM(K90:K97)</f>
        <v>141169</v>
      </c>
      <c r="L89" s="517">
        <f>SUM(L90:L97)</f>
        <v>253663</v>
      </c>
      <c r="M89" s="517"/>
      <c r="N89" s="517"/>
      <c r="O89" s="517"/>
      <c r="P89" s="517"/>
      <c r="Q89" s="517"/>
      <c r="R89" s="517"/>
      <c r="T89" s="517">
        <f>SUM(T90:T97)</f>
        <v>141169</v>
      </c>
      <c r="U89" s="517">
        <f>SUM(U90:U97)</f>
        <v>112494</v>
      </c>
    </row>
    <row r="90" spans="1:21" outlineLevel="1">
      <c r="A90" s="511" t="s">
        <v>533</v>
      </c>
      <c r="C90" s="516">
        <v>44691</v>
      </c>
      <c r="D90" s="516">
        <v>109146</v>
      </c>
      <c r="E90" s="516">
        <v>172128</v>
      </c>
      <c r="F90" s="516">
        <v>215770</v>
      </c>
      <c r="G90" s="516">
        <v>68024</v>
      </c>
      <c r="H90" s="516">
        <v>107813</v>
      </c>
      <c r="I90" s="516">
        <v>145212</v>
      </c>
      <c r="J90" s="516">
        <v>210770</v>
      </c>
      <c r="K90" s="516">
        <v>86625</v>
      </c>
      <c r="L90" s="516">
        <v>167292</v>
      </c>
      <c r="M90" s="516"/>
      <c r="N90" s="516"/>
      <c r="O90" s="516"/>
      <c r="P90" s="516"/>
      <c r="Q90" s="516"/>
      <c r="R90" s="516"/>
      <c r="T90" s="516">
        <f t="shared" ref="T90:T97" si="33">K90</f>
        <v>86625</v>
      </c>
      <c r="U90" s="516">
        <f t="shared" ref="U90:U97" si="34">L90-T90</f>
        <v>80667</v>
      </c>
    </row>
    <row r="91" spans="1:21" outlineLevel="1">
      <c r="A91" s="511" t="s">
        <v>534</v>
      </c>
      <c r="C91" s="516">
        <v>-3467</v>
      </c>
      <c r="D91" s="516">
        <v>-7904</v>
      </c>
      <c r="E91" s="516">
        <v>-12190</v>
      </c>
      <c r="F91" s="516">
        <v>-10662</v>
      </c>
      <c r="G91" s="516">
        <v>-2768</v>
      </c>
      <c r="H91" s="516">
        <v>-5472</v>
      </c>
      <c r="I91" s="516">
        <v>-7979</v>
      </c>
      <c r="J91" s="516">
        <v>-11862</v>
      </c>
      <c r="K91" s="516">
        <v>-2256</v>
      </c>
      <c r="L91" s="516">
        <v>-4576</v>
      </c>
      <c r="M91" s="516"/>
      <c r="N91" s="516"/>
      <c r="O91" s="516"/>
      <c r="P91" s="516"/>
      <c r="Q91" s="516"/>
      <c r="R91" s="516"/>
      <c r="T91" s="516">
        <f t="shared" si="33"/>
        <v>-2256</v>
      </c>
      <c r="U91" s="516">
        <f t="shared" si="34"/>
        <v>-2320</v>
      </c>
    </row>
    <row r="92" spans="1:21" outlineLevel="1">
      <c r="A92" s="511" t="s">
        <v>535</v>
      </c>
      <c r="C92" s="516">
        <v>0</v>
      </c>
      <c r="D92" s="516">
        <v>0</v>
      </c>
      <c r="E92" s="516">
        <v>0</v>
      </c>
      <c r="F92" s="516">
        <v>0</v>
      </c>
      <c r="G92" s="516">
        <v>0</v>
      </c>
      <c r="H92" s="516">
        <v>0</v>
      </c>
      <c r="I92" s="516">
        <v>0</v>
      </c>
      <c r="J92" s="516">
        <v>0</v>
      </c>
      <c r="K92" s="516">
        <v>0</v>
      </c>
      <c r="L92" s="516">
        <v>0</v>
      </c>
      <c r="M92" s="516"/>
      <c r="N92" s="516"/>
      <c r="O92" s="516"/>
      <c r="P92" s="516"/>
      <c r="Q92" s="516"/>
      <c r="R92" s="516"/>
      <c r="T92" s="516">
        <f t="shared" si="33"/>
        <v>0</v>
      </c>
      <c r="U92" s="516">
        <f t="shared" si="34"/>
        <v>0</v>
      </c>
    </row>
    <row r="93" spans="1:21" outlineLevel="1">
      <c r="A93" s="511" t="s">
        <v>536</v>
      </c>
      <c r="C93" s="516">
        <v>30185</v>
      </c>
      <c r="D93" s="516">
        <v>61169</v>
      </c>
      <c r="E93" s="516">
        <v>90372</v>
      </c>
      <c r="F93" s="516">
        <v>120180</v>
      </c>
      <c r="G93" s="516">
        <v>17359</v>
      </c>
      <c r="H93" s="516">
        <v>35658</v>
      </c>
      <c r="I93" s="516">
        <v>53426</v>
      </c>
      <c r="J93" s="516">
        <v>72364</v>
      </c>
      <c r="K93" s="516">
        <v>19446</v>
      </c>
      <c r="L93" s="516">
        <v>40350</v>
      </c>
      <c r="M93" s="516"/>
      <c r="N93" s="516"/>
      <c r="O93" s="516"/>
      <c r="P93" s="516"/>
      <c r="Q93" s="516"/>
      <c r="R93" s="516"/>
      <c r="T93" s="516">
        <f t="shared" si="33"/>
        <v>19446</v>
      </c>
      <c r="U93" s="516">
        <f t="shared" si="34"/>
        <v>20904</v>
      </c>
    </row>
    <row r="94" spans="1:21" outlineLevel="1">
      <c r="A94" s="511" t="s">
        <v>537</v>
      </c>
      <c r="C94" s="516">
        <v>0</v>
      </c>
      <c r="D94" s="516">
        <v>0</v>
      </c>
      <c r="E94" s="516">
        <v>0</v>
      </c>
      <c r="F94" s="516">
        <v>0</v>
      </c>
      <c r="G94" s="516">
        <v>0</v>
      </c>
      <c r="H94" s="516">
        <v>0</v>
      </c>
      <c r="I94" s="516">
        <v>0</v>
      </c>
      <c r="J94" s="516">
        <v>0</v>
      </c>
      <c r="K94" s="516">
        <v>0</v>
      </c>
      <c r="L94" s="516">
        <v>0</v>
      </c>
      <c r="M94" s="516"/>
      <c r="N94" s="516"/>
      <c r="O94" s="516"/>
      <c r="P94" s="516"/>
      <c r="Q94" s="516"/>
      <c r="R94" s="516"/>
      <c r="T94" s="516">
        <f t="shared" si="33"/>
        <v>0</v>
      </c>
      <c r="U94" s="516">
        <f t="shared" si="34"/>
        <v>0</v>
      </c>
    </row>
    <row r="95" spans="1:21" outlineLevel="1">
      <c r="A95" s="511" t="s">
        <v>538</v>
      </c>
      <c r="C95" s="516">
        <v>0</v>
      </c>
      <c r="D95" s="516">
        <v>0</v>
      </c>
      <c r="E95" s="516">
        <v>0</v>
      </c>
      <c r="F95" s="516">
        <v>0</v>
      </c>
      <c r="G95" s="516">
        <v>0</v>
      </c>
      <c r="H95" s="516">
        <v>0</v>
      </c>
      <c r="I95" s="516">
        <v>0</v>
      </c>
      <c r="J95" s="516">
        <v>0</v>
      </c>
      <c r="K95" s="516">
        <v>0</v>
      </c>
      <c r="L95" s="516">
        <v>0</v>
      </c>
      <c r="M95" s="516"/>
      <c r="N95" s="516"/>
      <c r="O95" s="516"/>
      <c r="P95" s="516"/>
      <c r="Q95" s="516"/>
      <c r="R95" s="516"/>
      <c r="T95" s="516">
        <f t="shared" si="33"/>
        <v>0</v>
      </c>
      <c r="U95" s="516">
        <f t="shared" si="34"/>
        <v>0</v>
      </c>
    </row>
    <row r="96" spans="1:21" outlineLevel="1">
      <c r="A96" s="511" t="s">
        <v>539</v>
      </c>
      <c r="C96" s="516">
        <v>-348</v>
      </c>
      <c r="D96" s="516">
        <v>-540</v>
      </c>
      <c r="E96" s="516">
        <v>-926</v>
      </c>
      <c r="F96" s="516">
        <v>195</v>
      </c>
      <c r="G96" s="516">
        <v>-248</v>
      </c>
      <c r="H96" s="516">
        <v>-492</v>
      </c>
      <c r="I96" s="516">
        <v>39</v>
      </c>
      <c r="J96" s="516">
        <v>0</v>
      </c>
      <c r="K96" s="516">
        <v>285</v>
      </c>
      <c r="L96" s="516">
        <v>575</v>
      </c>
      <c r="M96" s="516"/>
      <c r="N96" s="516"/>
      <c r="O96" s="516"/>
      <c r="P96" s="516"/>
      <c r="Q96" s="516"/>
      <c r="R96" s="516"/>
      <c r="T96" s="516">
        <f t="shared" si="33"/>
        <v>285</v>
      </c>
      <c r="U96" s="516">
        <f t="shared" si="34"/>
        <v>290</v>
      </c>
    </row>
    <row r="97" spans="1:21" outlineLevel="1">
      <c r="A97" s="511" t="s">
        <v>540</v>
      </c>
      <c r="C97" s="516">
        <v>54306</v>
      </c>
      <c r="D97" s="516">
        <v>23120</v>
      </c>
      <c r="E97" s="516">
        <v>14773</v>
      </c>
      <c r="F97" s="516">
        <v>23715</v>
      </c>
      <c r="G97" s="516">
        <v>11213</v>
      </c>
      <c r="H97" s="516">
        <v>60133</v>
      </c>
      <c r="I97" s="516">
        <v>100539</v>
      </c>
      <c r="J97" s="516">
        <v>152764</v>
      </c>
      <c r="K97" s="516">
        <v>37069</v>
      </c>
      <c r="L97" s="516">
        <v>50022</v>
      </c>
      <c r="M97" s="516"/>
      <c r="N97" s="516"/>
      <c r="O97" s="516"/>
      <c r="P97" s="516"/>
      <c r="Q97" s="516"/>
      <c r="R97" s="516"/>
      <c r="T97" s="516">
        <f t="shared" si="33"/>
        <v>37069</v>
      </c>
      <c r="U97" s="516">
        <f t="shared" si="34"/>
        <v>12953</v>
      </c>
    </row>
    <row r="98" spans="1:21">
      <c r="A98" s="510" t="s">
        <v>541</v>
      </c>
      <c r="C98" s="515">
        <f t="shared" ref="C98:H98" si="35">SUM(C99:C107)</f>
        <v>-141869</v>
      </c>
      <c r="D98" s="515">
        <f t="shared" si="35"/>
        <v>-334491</v>
      </c>
      <c r="E98" s="515">
        <f t="shared" si="35"/>
        <v>-466133</v>
      </c>
      <c r="F98" s="515">
        <f t="shared" si="35"/>
        <v>-558414</v>
      </c>
      <c r="G98" s="515">
        <f t="shared" si="35"/>
        <v>-139067</v>
      </c>
      <c r="H98" s="515">
        <f t="shared" si="35"/>
        <v>-288286</v>
      </c>
      <c r="I98" s="515">
        <f>SUM(I99:I107)</f>
        <v>-398597</v>
      </c>
      <c r="J98" s="515">
        <f>SUM(J99:J107)</f>
        <v>-561288</v>
      </c>
      <c r="K98" s="515">
        <f>SUM(K99:K107)</f>
        <v>-203187</v>
      </c>
      <c r="L98" s="515">
        <f>SUM(L99:L107)</f>
        <v>-374439</v>
      </c>
      <c r="M98" s="515"/>
      <c r="N98" s="515"/>
      <c r="O98" s="515"/>
      <c r="P98" s="515"/>
      <c r="Q98" s="515"/>
      <c r="R98" s="515"/>
      <c r="T98" s="515">
        <f>SUM(T99:T107)</f>
        <v>-203187</v>
      </c>
      <c r="U98" s="515">
        <f>SUM(U99:U107)</f>
        <v>-171252</v>
      </c>
    </row>
    <row r="99" spans="1:21" outlineLevel="1">
      <c r="A99" s="511" t="s">
        <v>542</v>
      </c>
      <c r="C99" s="516">
        <v>-28300</v>
      </c>
      <c r="D99" s="516">
        <v>-63219</v>
      </c>
      <c r="E99" s="516">
        <v>-110265</v>
      </c>
      <c r="F99" s="516">
        <v>-136141</v>
      </c>
      <c r="G99" s="516">
        <v>-36423</v>
      </c>
      <c r="H99" s="516">
        <v>-96376</v>
      </c>
      <c r="I99" s="516">
        <v>-184483</v>
      </c>
      <c r="J99" s="516">
        <v>-255026</v>
      </c>
      <c r="K99" s="516">
        <v>-96468</v>
      </c>
      <c r="L99" s="516">
        <v>-216476</v>
      </c>
      <c r="M99" s="516"/>
      <c r="N99" s="516"/>
      <c r="O99" s="516"/>
      <c r="P99" s="516"/>
      <c r="Q99" s="516"/>
      <c r="R99" s="516"/>
      <c r="T99" s="516">
        <f t="shared" ref="T99:T107" si="36">K99</f>
        <v>-96468</v>
      </c>
      <c r="U99" s="516">
        <f t="shared" ref="U99:U107" si="37">L99-T99</f>
        <v>-120008</v>
      </c>
    </row>
    <row r="100" spans="1:21" outlineLevel="1">
      <c r="A100" s="511" t="s">
        <v>543</v>
      </c>
      <c r="C100" s="516">
        <v>0</v>
      </c>
      <c r="D100" s="516">
        <v>0</v>
      </c>
      <c r="E100" s="516">
        <v>0</v>
      </c>
      <c r="F100" s="516">
        <v>0</v>
      </c>
      <c r="G100" s="516">
        <v>0</v>
      </c>
      <c r="H100" s="516">
        <v>0</v>
      </c>
      <c r="I100" s="516">
        <v>0</v>
      </c>
      <c r="J100" s="516">
        <v>0</v>
      </c>
      <c r="K100" s="516">
        <v>0</v>
      </c>
      <c r="L100" s="516">
        <v>0</v>
      </c>
      <c r="M100" s="516"/>
      <c r="N100" s="516"/>
      <c r="O100" s="516"/>
      <c r="P100" s="516"/>
      <c r="Q100" s="516"/>
      <c r="R100" s="516"/>
      <c r="T100" s="516">
        <f t="shared" si="36"/>
        <v>0</v>
      </c>
      <c r="U100" s="516">
        <f t="shared" si="37"/>
        <v>0</v>
      </c>
    </row>
    <row r="101" spans="1:21" outlineLevel="1">
      <c r="A101" s="511" t="s">
        <v>544</v>
      </c>
      <c r="C101" s="516">
        <v>-91459</v>
      </c>
      <c r="D101" s="516">
        <v>-114804</v>
      </c>
      <c r="E101" s="516">
        <v>-117929</v>
      </c>
      <c r="F101" s="516">
        <v>-144876</v>
      </c>
      <c r="G101" s="516">
        <v>-76734</v>
      </c>
      <c r="H101" s="516">
        <v>-137861</v>
      </c>
      <c r="I101" s="516">
        <v>-142613</v>
      </c>
      <c r="J101" s="516">
        <v>-185198</v>
      </c>
      <c r="K101" s="516">
        <v>-81142</v>
      </c>
      <c r="L101" s="516">
        <v>-99876</v>
      </c>
      <c r="M101" s="516"/>
      <c r="N101" s="516"/>
      <c r="O101" s="516"/>
      <c r="P101" s="516"/>
      <c r="Q101" s="516"/>
      <c r="R101" s="516"/>
      <c r="T101" s="516">
        <f t="shared" si="36"/>
        <v>-81142</v>
      </c>
      <c r="U101" s="516">
        <f t="shared" si="37"/>
        <v>-18734</v>
      </c>
    </row>
    <row r="102" spans="1:21" outlineLevel="1">
      <c r="A102" s="511" t="s">
        <v>545</v>
      </c>
      <c r="C102" s="516">
        <v>0</v>
      </c>
      <c r="D102" s="516">
        <v>0</v>
      </c>
      <c r="E102" s="516">
        <v>0</v>
      </c>
      <c r="F102" s="516">
        <v>0</v>
      </c>
      <c r="G102" s="516">
        <v>0</v>
      </c>
      <c r="H102" s="516">
        <v>0</v>
      </c>
      <c r="I102" s="516">
        <v>0</v>
      </c>
      <c r="J102" s="516">
        <v>0</v>
      </c>
      <c r="K102" s="516">
        <v>0</v>
      </c>
      <c r="L102" s="516">
        <v>0</v>
      </c>
      <c r="M102" s="516"/>
      <c r="N102" s="516"/>
      <c r="O102" s="516"/>
      <c r="P102" s="516"/>
      <c r="Q102" s="516"/>
      <c r="R102" s="516"/>
      <c r="T102" s="516">
        <f t="shared" si="36"/>
        <v>0</v>
      </c>
      <c r="U102" s="516">
        <f t="shared" si="37"/>
        <v>0</v>
      </c>
    </row>
    <row r="103" spans="1:21" outlineLevel="1">
      <c r="A103" s="511" t="s">
        <v>546</v>
      </c>
      <c r="C103" s="516">
        <v>-13139</v>
      </c>
      <c r="D103" s="516">
        <v>-28554</v>
      </c>
      <c r="E103" s="516">
        <v>-36364</v>
      </c>
      <c r="F103" s="516">
        <v>-41750</v>
      </c>
      <c r="G103" s="516">
        <v>-7532</v>
      </c>
      <c r="H103" s="516">
        <v>-16174</v>
      </c>
      <c r="I103" s="516">
        <v>-24876</v>
      </c>
      <c r="J103" s="516">
        <v>-33323</v>
      </c>
      <c r="K103" s="516">
        <v>-9987</v>
      </c>
      <c r="L103" s="516">
        <v>-20821</v>
      </c>
      <c r="M103" s="516"/>
      <c r="N103" s="516"/>
      <c r="O103" s="516"/>
      <c r="P103" s="516"/>
      <c r="Q103" s="516"/>
      <c r="R103" s="516"/>
      <c r="T103" s="516">
        <f t="shared" si="36"/>
        <v>-9987</v>
      </c>
      <c r="U103" s="516">
        <f t="shared" si="37"/>
        <v>-10834</v>
      </c>
    </row>
    <row r="104" spans="1:21" outlineLevel="1">
      <c r="A104" s="511" t="s">
        <v>547</v>
      </c>
      <c r="C104" s="516">
        <v>-425</v>
      </c>
      <c r="D104" s="516">
        <v>-622</v>
      </c>
      <c r="E104" s="516">
        <v>-897</v>
      </c>
      <c r="F104" s="516">
        <v>-1386</v>
      </c>
      <c r="G104" s="516">
        <v>-249</v>
      </c>
      <c r="H104" s="516">
        <v>-394</v>
      </c>
      <c r="I104" s="516">
        <v>-664</v>
      </c>
      <c r="J104" s="516">
        <v>-815</v>
      </c>
      <c r="K104" s="516">
        <v>-96</v>
      </c>
      <c r="L104" s="516">
        <v>-155</v>
      </c>
      <c r="M104" s="516"/>
      <c r="N104" s="516"/>
      <c r="O104" s="516"/>
      <c r="P104" s="516"/>
      <c r="Q104" s="516"/>
      <c r="R104" s="516"/>
      <c r="T104" s="516">
        <f t="shared" si="36"/>
        <v>-96</v>
      </c>
      <c r="U104" s="516">
        <f t="shared" si="37"/>
        <v>-59</v>
      </c>
    </row>
    <row r="105" spans="1:21" outlineLevel="1">
      <c r="A105" s="511" t="s">
        <v>548</v>
      </c>
      <c r="C105" s="516">
        <v>0</v>
      </c>
      <c r="D105" s="516">
        <v>0</v>
      </c>
      <c r="E105" s="516">
        <v>0</v>
      </c>
      <c r="F105" s="516">
        <v>0</v>
      </c>
      <c r="G105" s="516">
        <v>0</v>
      </c>
      <c r="H105" s="516">
        <v>0</v>
      </c>
      <c r="I105" s="516">
        <v>0</v>
      </c>
      <c r="J105" s="516">
        <v>0</v>
      </c>
      <c r="K105" s="516">
        <v>0</v>
      </c>
      <c r="L105" s="516">
        <v>0</v>
      </c>
      <c r="M105" s="516"/>
      <c r="N105" s="516"/>
      <c r="O105" s="516"/>
      <c r="P105" s="516"/>
      <c r="Q105" s="516"/>
      <c r="R105" s="516"/>
      <c r="T105" s="516">
        <f t="shared" si="36"/>
        <v>0</v>
      </c>
      <c r="U105" s="516">
        <f t="shared" si="37"/>
        <v>0</v>
      </c>
    </row>
    <row r="106" spans="1:21" outlineLevel="1">
      <c r="A106" s="511" t="s">
        <v>549</v>
      </c>
      <c r="C106" s="516">
        <v>-978</v>
      </c>
      <c r="D106" s="516">
        <v>-1545</v>
      </c>
      <c r="E106" s="516">
        <v>-1764</v>
      </c>
      <c r="F106" s="516">
        <v>-1731</v>
      </c>
      <c r="G106" s="516">
        <v>-170</v>
      </c>
      <c r="H106" s="516">
        <v>123</v>
      </c>
      <c r="I106" s="516">
        <v>56</v>
      </c>
      <c r="J106" s="516">
        <v>-439</v>
      </c>
      <c r="K106" s="516">
        <v>-153</v>
      </c>
      <c r="L106" s="516">
        <v>-617</v>
      </c>
      <c r="M106" s="516"/>
      <c r="N106" s="516"/>
      <c r="O106" s="516"/>
      <c r="P106" s="516"/>
      <c r="Q106" s="516"/>
      <c r="R106" s="516"/>
      <c r="T106" s="516">
        <f t="shared" si="36"/>
        <v>-153</v>
      </c>
      <c r="U106" s="516">
        <f t="shared" si="37"/>
        <v>-464</v>
      </c>
    </row>
    <row r="107" spans="1:21" outlineLevel="1">
      <c r="A107" s="511" t="s">
        <v>550</v>
      </c>
      <c r="C107" s="516">
        <v>-7568</v>
      </c>
      <c r="D107" s="516">
        <v>-125747</v>
      </c>
      <c r="E107" s="516">
        <v>-198914</v>
      </c>
      <c r="F107" s="516">
        <v>-232530</v>
      </c>
      <c r="G107" s="516">
        <v>-17959</v>
      </c>
      <c r="H107" s="516">
        <v>-37604</v>
      </c>
      <c r="I107" s="516">
        <v>-46017</v>
      </c>
      <c r="J107" s="516">
        <v>-86487</v>
      </c>
      <c r="K107" s="516">
        <v>-15341</v>
      </c>
      <c r="L107" s="516">
        <v>-36494</v>
      </c>
      <c r="M107" s="516"/>
      <c r="N107" s="516"/>
      <c r="O107" s="516"/>
      <c r="P107" s="516"/>
      <c r="Q107" s="516"/>
      <c r="R107" s="516"/>
      <c r="T107" s="516">
        <f t="shared" si="36"/>
        <v>-15341</v>
      </c>
      <c r="U107" s="516">
        <f t="shared" si="37"/>
        <v>-21153</v>
      </c>
    </row>
    <row r="108" spans="1:21">
      <c r="A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T108" s="510"/>
      <c r="U108" s="510"/>
    </row>
    <row r="109" spans="1:21">
      <c r="A109" s="522" t="s">
        <v>551</v>
      </c>
      <c r="C109" s="513">
        <f t="shared" ref="C109:H109" si="38">C85+C87</f>
        <v>161937</v>
      </c>
      <c r="D109" s="513">
        <f t="shared" si="38"/>
        <v>160277</v>
      </c>
      <c r="E109" s="513">
        <f t="shared" si="38"/>
        <v>270584</v>
      </c>
      <c r="F109" s="513">
        <f t="shared" si="38"/>
        <v>740197</v>
      </c>
      <c r="G109" s="513">
        <f t="shared" si="38"/>
        <v>152068</v>
      </c>
      <c r="H109" s="513">
        <f t="shared" si="38"/>
        <v>349689</v>
      </c>
      <c r="I109" s="513">
        <f>I85+I87</f>
        <v>590398</v>
      </c>
      <c r="J109" s="513">
        <f>J85+J87</f>
        <v>819006</v>
      </c>
      <c r="K109" s="513">
        <f>K85+K87</f>
        <v>193032</v>
      </c>
      <c r="L109" s="513">
        <f>L85+L87</f>
        <v>378477</v>
      </c>
      <c r="M109" s="513"/>
      <c r="N109" s="513"/>
      <c r="O109" s="513"/>
      <c r="P109" s="513"/>
      <c r="Q109" s="513"/>
      <c r="R109" s="513"/>
      <c r="T109" s="513">
        <f>T85+T87</f>
        <v>193032</v>
      </c>
      <c r="U109" s="513">
        <f>U85+U87</f>
        <v>185445</v>
      </c>
    </row>
    <row r="110" spans="1:21">
      <c r="A110" s="510"/>
      <c r="C110" s="510"/>
      <c r="D110" s="510"/>
      <c r="E110" s="510"/>
      <c r="F110" s="510"/>
      <c r="G110" s="510"/>
      <c r="H110" s="510"/>
      <c r="I110" s="510"/>
      <c r="J110" s="510"/>
      <c r="K110" s="510"/>
      <c r="L110" s="510"/>
      <c r="M110" s="510"/>
      <c r="N110" s="510"/>
      <c r="O110" s="510"/>
      <c r="P110" s="510"/>
      <c r="Q110" s="510"/>
      <c r="R110" s="510"/>
      <c r="T110" s="510"/>
      <c r="U110" s="510"/>
    </row>
    <row r="111" spans="1:21">
      <c r="A111" s="509" t="s">
        <v>552</v>
      </c>
      <c r="C111" s="517">
        <f t="shared" ref="C111:H111" si="39">SUM(C113:C116)</f>
        <v>-28839</v>
      </c>
      <c r="D111" s="517">
        <f t="shared" si="39"/>
        <v>2910</v>
      </c>
      <c r="E111" s="517">
        <f t="shared" si="39"/>
        <v>-14449</v>
      </c>
      <c r="F111" s="517">
        <f t="shared" si="39"/>
        <v>-92052</v>
      </c>
      <c r="G111" s="517">
        <f t="shared" si="39"/>
        <v>9599</v>
      </c>
      <c r="H111" s="517">
        <f t="shared" si="39"/>
        <v>-18709</v>
      </c>
      <c r="I111" s="517">
        <f>SUM(I113:I116)</f>
        <v>-56784</v>
      </c>
      <c r="J111" s="517">
        <f>SUM(J113:J116)</f>
        <v>-41615</v>
      </c>
      <c r="K111" s="517">
        <f>SUM(K113:K116)</f>
        <v>-37804</v>
      </c>
      <c r="L111" s="517">
        <f>SUM(L113:L116)</f>
        <v>-72618</v>
      </c>
      <c r="M111" s="517"/>
      <c r="N111" s="517"/>
      <c r="O111" s="517"/>
      <c r="P111" s="517"/>
      <c r="Q111" s="517"/>
      <c r="R111" s="517"/>
      <c r="T111" s="517">
        <f>SUM(T113:T116)</f>
        <v>-37804</v>
      </c>
      <c r="U111" s="517">
        <f>SUM(U113:U116)</f>
        <v>-34814</v>
      </c>
    </row>
    <row r="112" spans="1:21">
      <c r="A112" s="510"/>
      <c r="C112" s="510"/>
      <c r="D112" s="510"/>
      <c r="E112" s="510"/>
      <c r="F112" s="510"/>
      <c r="G112" s="510"/>
      <c r="H112" s="510"/>
      <c r="I112" s="510"/>
      <c r="J112" s="510"/>
      <c r="K112" s="510"/>
      <c r="L112" s="510"/>
      <c r="M112" s="510"/>
      <c r="N112" s="510"/>
      <c r="O112" s="510"/>
      <c r="P112" s="510"/>
      <c r="Q112" s="510"/>
      <c r="R112" s="510"/>
      <c r="T112" s="510"/>
      <c r="U112" s="510"/>
    </row>
    <row r="113" spans="1:21">
      <c r="A113" s="510" t="s">
        <v>553</v>
      </c>
      <c r="C113" s="518">
        <v>-11934</v>
      </c>
      <c r="D113" s="518">
        <v>-11934</v>
      </c>
      <c r="E113" s="518">
        <v>-22132</v>
      </c>
      <c r="F113" s="518">
        <v>-51322</v>
      </c>
      <c r="G113" s="518">
        <v>-8430</v>
      </c>
      <c r="H113" s="518">
        <v>-28850</v>
      </c>
      <c r="I113" s="518">
        <v>-47065</v>
      </c>
      <c r="J113" s="518">
        <v>-32619</v>
      </c>
      <c r="K113" s="518">
        <v>-6985</v>
      </c>
      <c r="L113" s="518">
        <v>-14785</v>
      </c>
      <c r="M113" s="518"/>
      <c r="N113" s="518"/>
      <c r="O113" s="518"/>
      <c r="P113" s="518"/>
      <c r="Q113" s="518"/>
      <c r="R113" s="518"/>
      <c r="T113" s="518">
        <f t="shared" ref="T113:T116" si="40">K113</f>
        <v>-6985</v>
      </c>
      <c r="U113" s="518">
        <f>L113-T113</f>
        <v>-7800</v>
      </c>
    </row>
    <row r="114" spans="1:21">
      <c r="A114" s="510" t="s">
        <v>554</v>
      </c>
      <c r="C114" s="518">
        <v>-38334</v>
      </c>
      <c r="D114" s="518">
        <v>-38334</v>
      </c>
      <c r="E114" s="518">
        <v>-67345</v>
      </c>
      <c r="F114" s="518">
        <v>-166188</v>
      </c>
      <c r="G114" s="518">
        <v>-29472</v>
      </c>
      <c r="H114" s="518">
        <v>-92316</v>
      </c>
      <c r="I114" s="518">
        <v>-149234</v>
      </c>
      <c r="J114" s="518">
        <v>-138871</v>
      </c>
      <c r="K114" s="518">
        <v>-24414</v>
      </c>
      <c r="L114" s="518">
        <v>-51543</v>
      </c>
      <c r="M114" s="518"/>
      <c r="N114" s="518"/>
      <c r="O114" s="518"/>
      <c r="P114" s="518"/>
      <c r="Q114" s="518"/>
      <c r="R114" s="518"/>
      <c r="T114" s="518">
        <f t="shared" si="40"/>
        <v>-24414</v>
      </c>
      <c r="U114" s="518">
        <f>L114-T114</f>
        <v>-27129</v>
      </c>
    </row>
    <row r="115" spans="1:21">
      <c r="A115" s="510" t="s">
        <v>555</v>
      </c>
      <c r="C115" s="518">
        <v>25688</v>
      </c>
      <c r="D115" s="518">
        <v>57612</v>
      </c>
      <c r="E115" s="518">
        <v>85077</v>
      </c>
      <c r="F115" s="518">
        <v>165519</v>
      </c>
      <c r="G115" s="518">
        <v>61691</v>
      </c>
      <c r="H115" s="518">
        <v>101961</v>
      </c>
      <c r="I115" s="518">
        <v>146139</v>
      </c>
      <c r="J115" s="518">
        <v>182256</v>
      </c>
      <c r="K115" s="518">
        <v>24414</v>
      </c>
      <c r="L115" s="518">
        <v>50177</v>
      </c>
      <c r="M115" s="518"/>
      <c r="N115" s="518"/>
      <c r="O115" s="518"/>
      <c r="P115" s="518"/>
      <c r="Q115" s="518"/>
      <c r="R115" s="518"/>
      <c r="T115" s="518">
        <f t="shared" si="40"/>
        <v>24414</v>
      </c>
      <c r="U115" s="518">
        <f>L115-T115</f>
        <v>25763</v>
      </c>
    </row>
    <row r="116" spans="1:21">
      <c r="A116" s="510" t="s">
        <v>556</v>
      </c>
      <c r="C116" s="518">
        <v>-4259</v>
      </c>
      <c r="D116" s="518">
        <v>-4434</v>
      </c>
      <c r="E116" s="518">
        <v>-10049</v>
      </c>
      <c r="F116" s="518">
        <v>-40061</v>
      </c>
      <c r="G116" s="518">
        <v>-14190</v>
      </c>
      <c r="H116" s="518">
        <v>496</v>
      </c>
      <c r="I116" s="518">
        <v>-6624</v>
      </c>
      <c r="J116" s="518">
        <v>-52381</v>
      </c>
      <c r="K116" s="518">
        <v>-30819</v>
      </c>
      <c r="L116" s="518">
        <v>-56467</v>
      </c>
      <c r="M116" s="518"/>
      <c r="N116" s="518"/>
      <c r="O116" s="518"/>
      <c r="P116" s="518"/>
      <c r="Q116" s="518"/>
      <c r="R116" s="518"/>
      <c r="T116" s="518">
        <f t="shared" si="40"/>
        <v>-30819</v>
      </c>
      <c r="U116" s="518">
        <f>L116-T116</f>
        <v>-25648</v>
      </c>
    </row>
    <row r="117" spans="1:21">
      <c r="A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  <c r="T117" s="510"/>
      <c r="U117" s="510"/>
    </row>
    <row r="118" spans="1:21" ht="15" thickBot="1">
      <c r="A118" s="523" t="s">
        <v>557</v>
      </c>
      <c r="C118" s="519">
        <f t="shared" ref="C118:H118" si="41">C109+C111</f>
        <v>133098</v>
      </c>
      <c r="D118" s="519">
        <f t="shared" si="41"/>
        <v>163187</v>
      </c>
      <c r="E118" s="519">
        <f t="shared" si="41"/>
        <v>256135</v>
      </c>
      <c r="F118" s="519">
        <f t="shared" si="41"/>
        <v>648145</v>
      </c>
      <c r="G118" s="519">
        <f t="shared" si="41"/>
        <v>161667</v>
      </c>
      <c r="H118" s="519">
        <f t="shared" si="41"/>
        <v>330980</v>
      </c>
      <c r="I118" s="519">
        <f>I109+I111</f>
        <v>533614</v>
      </c>
      <c r="J118" s="519">
        <f>J109+J111</f>
        <v>777391</v>
      </c>
      <c r="K118" s="519">
        <f>K109+K111</f>
        <v>155228</v>
      </c>
      <c r="L118" s="519">
        <f>L109+L111</f>
        <v>305859</v>
      </c>
      <c r="M118" s="519"/>
      <c r="N118" s="519"/>
      <c r="O118" s="519"/>
      <c r="P118" s="519"/>
      <c r="Q118" s="519"/>
      <c r="R118" s="519"/>
      <c r="T118" s="519">
        <f>T109+T111</f>
        <v>155228</v>
      </c>
      <c r="U118" s="519">
        <f>U109+U111</f>
        <v>150631</v>
      </c>
    </row>
    <row r="119" spans="1:21" ht="15" thickTop="1">
      <c r="A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  <c r="T119" s="510"/>
      <c r="U119" s="510"/>
    </row>
    <row r="120" spans="1:21">
      <c r="A120" s="509" t="s">
        <v>558</v>
      </c>
      <c r="C120" s="518"/>
      <c r="D120" s="518"/>
      <c r="E120" s="518"/>
      <c r="F120" s="518"/>
      <c r="G120" s="518"/>
      <c r="H120" s="518"/>
      <c r="I120" s="518"/>
      <c r="J120" s="518"/>
      <c r="K120" s="518"/>
      <c r="L120" s="518"/>
      <c r="M120" s="518"/>
      <c r="N120" s="518"/>
      <c r="O120" s="518"/>
      <c r="P120" s="518"/>
      <c r="Q120" s="518"/>
      <c r="R120" s="518"/>
      <c r="T120" s="518"/>
      <c r="U120" s="518"/>
    </row>
    <row r="121" spans="1:21">
      <c r="A121" s="510" t="s">
        <v>559</v>
      </c>
      <c r="C121" s="518">
        <f t="shared" ref="C121:H121" si="42">C118-C122</f>
        <v>86658.379756775044</v>
      </c>
      <c r="D121" s="518">
        <f t="shared" si="42"/>
        <v>106248.93700407859</v>
      </c>
      <c r="E121" s="518">
        <f t="shared" si="42"/>
        <v>166766.17303792376</v>
      </c>
      <c r="F121" s="518">
        <f t="shared" si="42"/>
        <v>421998.79447816621</v>
      </c>
      <c r="G121" s="518">
        <f t="shared" si="42"/>
        <v>105259.28473860279</v>
      </c>
      <c r="H121" s="518">
        <f t="shared" si="42"/>
        <v>215496.78080735554</v>
      </c>
      <c r="I121" s="518">
        <f>I118-I122</f>
        <v>347429.14736158145</v>
      </c>
      <c r="J121" s="518">
        <f>J118-J122</f>
        <v>506149.18704638025</v>
      </c>
      <c r="K121" s="518">
        <v>101067</v>
      </c>
      <c r="L121" s="518">
        <v>199141</v>
      </c>
      <c r="M121" s="518"/>
      <c r="N121" s="518"/>
      <c r="O121" s="518"/>
      <c r="P121" s="518"/>
      <c r="Q121" s="518"/>
      <c r="R121" s="518"/>
      <c r="T121" s="518">
        <f t="shared" ref="T121:T122" si="43">K121</f>
        <v>101067</v>
      </c>
      <c r="U121" s="518">
        <f>L121-T121</f>
        <v>98074</v>
      </c>
    </row>
    <row r="122" spans="1:21">
      <c r="A122" s="510" t="s">
        <v>560</v>
      </c>
      <c r="C122" s="518">
        <f t="shared" ref="C122:H122" si="44">C118*C127</f>
        <v>46439.620243224948</v>
      </c>
      <c r="D122" s="518">
        <f t="shared" si="44"/>
        <v>56938.06299592142</v>
      </c>
      <c r="E122" s="518">
        <f t="shared" si="44"/>
        <v>89368.826962076229</v>
      </c>
      <c r="F122" s="518">
        <f t="shared" si="44"/>
        <v>226146.20552183379</v>
      </c>
      <c r="G122" s="518">
        <f t="shared" si="44"/>
        <v>56407.715261397221</v>
      </c>
      <c r="H122" s="518">
        <f t="shared" si="44"/>
        <v>115483.21919264446</v>
      </c>
      <c r="I122" s="518">
        <f>I118*I127</f>
        <v>186184.85263841858</v>
      </c>
      <c r="J122" s="518">
        <f>J118*J127</f>
        <v>271241.81295361975</v>
      </c>
      <c r="K122" s="518">
        <v>54161</v>
      </c>
      <c r="L122" s="518">
        <v>106718</v>
      </c>
      <c r="M122" s="518"/>
      <c r="N122" s="518"/>
      <c r="O122" s="518"/>
      <c r="P122" s="518"/>
      <c r="Q122" s="518"/>
      <c r="R122" s="518"/>
      <c r="T122" s="518">
        <f t="shared" si="43"/>
        <v>54161</v>
      </c>
      <c r="U122" s="518">
        <f>L122-T122</f>
        <v>52557</v>
      </c>
    </row>
    <row r="123" spans="1:21">
      <c r="A123" s="510"/>
      <c r="C123" s="510"/>
      <c r="D123" s="510"/>
      <c r="E123" s="510"/>
      <c r="F123" s="510"/>
      <c r="G123" s="510"/>
      <c r="H123" s="510"/>
      <c r="I123" s="510"/>
      <c r="J123" s="510"/>
      <c r="K123" s="510"/>
      <c r="L123" s="510"/>
      <c r="M123" s="510"/>
      <c r="N123" s="510"/>
      <c r="O123" s="510"/>
      <c r="P123" s="510"/>
      <c r="Q123" s="510"/>
      <c r="R123" s="510"/>
      <c r="T123" s="510"/>
      <c r="U123" s="510"/>
    </row>
    <row r="124" spans="1:21" ht="15" thickBot="1">
      <c r="A124" s="523" t="s">
        <v>557</v>
      </c>
      <c r="C124" s="519">
        <f t="shared" ref="C124:H124" si="45">SUM(C121:C122)</f>
        <v>133098</v>
      </c>
      <c r="D124" s="519">
        <f t="shared" si="45"/>
        <v>163187</v>
      </c>
      <c r="E124" s="519">
        <f t="shared" si="45"/>
        <v>256135</v>
      </c>
      <c r="F124" s="519">
        <f t="shared" si="45"/>
        <v>648145</v>
      </c>
      <c r="G124" s="519">
        <f t="shared" si="45"/>
        <v>161667</v>
      </c>
      <c r="H124" s="519">
        <f t="shared" si="45"/>
        <v>330980</v>
      </c>
      <c r="I124" s="519">
        <f>SUM(I121:I122)</f>
        <v>533614</v>
      </c>
      <c r="J124" s="519">
        <f>SUM(J121:J122)</f>
        <v>777391</v>
      </c>
      <c r="K124" s="519">
        <f>SUM(K121:K122)</f>
        <v>155228</v>
      </c>
      <c r="L124" s="519">
        <f>SUM(L121:L122)</f>
        <v>305859</v>
      </c>
      <c r="M124" s="519"/>
      <c r="N124" s="519"/>
      <c r="O124" s="519"/>
      <c r="P124" s="519"/>
      <c r="Q124" s="519"/>
      <c r="R124" s="519"/>
      <c r="T124" s="519">
        <f>SUM(T121:T122)</f>
        <v>155228</v>
      </c>
      <c r="U124" s="519">
        <f>SUM(U121:U122)</f>
        <v>150631</v>
      </c>
    </row>
    <row r="125" spans="1:21" ht="15" thickTop="1"/>
    <row r="126" spans="1:21">
      <c r="A126" s="524" t="s">
        <v>561</v>
      </c>
      <c r="C126" s="526">
        <v>0.65108701676039504</v>
      </c>
      <c r="D126" s="526">
        <v>0.65108701676039504</v>
      </c>
      <c r="E126" s="526">
        <v>0.65108701676039504</v>
      </c>
      <c r="F126" s="526">
        <v>0.65108701676039504</v>
      </c>
      <c r="G126" s="526">
        <v>0.65108701676039504</v>
      </c>
      <c r="H126" s="526">
        <v>0.65108701676039504</v>
      </c>
      <c r="I126" s="526">
        <v>0.65108701676039504</v>
      </c>
      <c r="J126" s="526">
        <f t="shared" ref="J126:L127" si="46">I126</f>
        <v>0.65108701676039504</v>
      </c>
      <c r="K126" s="526">
        <f t="shared" si="46"/>
        <v>0.65108701676039504</v>
      </c>
      <c r="L126" s="526">
        <f t="shared" si="46"/>
        <v>0.65108701676039504</v>
      </c>
      <c r="M126" s="526"/>
      <c r="N126" s="526"/>
      <c r="O126" s="526"/>
      <c r="P126" s="526"/>
      <c r="Q126" s="526"/>
      <c r="R126" s="526"/>
      <c r="S126" s="526"/>
      <c r="T126" s="526">
        <f t="shared" ref="T126:T127" si="47">K126</f>
        <v>0.65108701676039504</v>
      </c>
      <c r="U126" s="526">
        <f>T126</f>
        <v>0.65108701676039504</v>
      </c>
    </row>
    <row r="127" spans="1:21">
      <c r="A127" s="524" t="s">
        <v>562</v>
      </c>
      <c r="C127" s="526">
        <v>0.34891298323960501</v>
      </c>
      <c r="D127" s="526">
        <v>0.34891298323960501</v>
      </c>
      <c r="E127" s="526">
        <v>0.34891298323960501</v>
      </c>
      <c r="F127" s="526">
        <v>0.34891298323960501</v>
      </c>
      <c r="G127" s="526">
        <v>0.34891298323960501</v>
      </c>
      <c r="H127" s="526">
        <v>0.34891298323960501</v>
      </c>
      <c r="I127" s="526">
        <v>0.34891298323960501</v>
      </c>
      <c r="J127" s="526">
        <f t="shared" si="46"/>
        <v>0.34891298323960501</v>
      </c>
      <c r="K127" s="526">
        <f t="shared" si="46"/>
        <v>0.34891298323960501</v>
      </c>
      <c r="L127" s="526">
        <f t="shared" si="46"/>
        <v>0.34891298323960501</v>
      </c>
      <c r="M127" s="526"/>
      <c r="N127" s="526"/>
      <c r="O127" s="526"/>
      <c r="P127" s="526"/>
      <c r="Q127" s="526"/>
      <c r="R127" s="526"/>
      <c r="S127" s="526"/>
      <c r="T127" s="526">
        <f t="shared" si="47"/>
        <v>0.34891298323960501</v>
      </c>
      <c r="U127" s="526">
        <f>T127</f>
        <v>0.34891298323960501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79998168889431442"/>
  </sheetPr>
  <dimension ref="A4:U127"/>
  <sheetViews>
    <sheetView showGridLines="0" zoomScale="85" zoomScaleNormal="85" workbookViewId="0">
      <pane xSplit="1" ySplit="4" topLeftCell="B5" activePane="bottomRight" state="frozen"/>
      <selection pane="topRight" activeCell="A33" activeCellId="1" sqref="U5 A33"/>
      <selection pane="bottomLeft" activeCell="A33" activeCellId="1" sqref="U5 A33"/>
      <selection pane="bottomRight" activeCell="H23" sqref="H23"/>
    </sheetView>
  </sheetViews>
  <sheetFormatPr defaultRowHeight="14.5" outlineLevelRow="1"/>
  <cols>
    <col min="1" max="1" width="65.7265625" bestFit="1" customWidth="1"/>
    <col min="2" max="2" width="1.54296875" customWidth="1"/>
    <col min="3" max="12" width="15.1796875" customWidth="1"/>
    <col min="13" max="18" width="15.1796875" hidden="1" customWidth="1"/>
    <col min="19" max="19" width="1.54296875" customWidth="1"/>
    <col min="20" max="20" width="15.1796875" hidden="1" customWidth="1"/>
    <col min="21" max="21" width="15.1796875" customWidth="1"/>
  </cols>
  <sheetData>
    <row r="4" spans="1:21">
      <c r="A4" s="521" t="s">
        <v>563</v>
      </c>
      <c r="C4" s="520" t="s">
        <v>453</v>
      </c>
      <c r="D4" s="520" t="s">
        <v>454</v>
      </c>
      <c r="E4" s="520" t="s">
        <v>455</v>
      </c>
      <c r="F4" s="520">
        <v>2022</v>
      </c>
      <c r="G4" s="520" t="s">
        <v>456</v>
      </c>
      <c r="H4" s="520" t="s">
        <v>457</v>
      </c>
      <c r="I4" s="520" t="s">
        <v>458</v>
      </c>
      <c r="J4" s="520">
        <v>2023</v>
      </c>
      <c r="K4" s="520" t="s">
        <v>459</v>
      </c>
      <c r="L4" s="520" t="s">
        <v>460</v>
      </c>
      <c r="M4" s="520" t="s">
        <v>461</v>
      </c>
      <c r="N4" s="520">
        <v>2024</v>
      </c>
      <c r="O4" s="520" t="s">
        <v>462</v>
      </c>
      <c r="P4" s="520" t="s">
        <v>463</v>
      </c>
      <c r="Q4" s="520" t="s">
        <v>464</v>
      </c>
      <c r="R4" s="520">
        <v>2025</v>
      </c>
      <c r="T4" s="520" t="s">
        <v>53</v>
      </c>
      <c r="U4" s="520" t="s">
        <v>54</v>
      </c>
    </row>
    <row r="5" spans="1:21" ht="6.65" customHeight="1"/>
    <row r="6" spans="1:21">
      <c r="A6" s="522" t="s">
        <v>465</v>
      </c>
      <c r="C6" s="513">
        <f t="shared" ref="C6:L6" si="0">SUM(C8,C11:C17)</f>
        <v>2620387</v>
      </c>
      <c r="D6" s="513">
        <f t="shared" si="0"/>
        <v>5488593</v>
      </c>
      <c r="E6" s="513">
        <f t="shared" si="0"/>
        <v>8190599</v>
      </c>
      <c r="F6" s="513">
        <f t="shared" si="0"/>
        <v>11261796</v>
      </c>
      <c r="G6" s="513">
        <f t="shared" si="0"/>
        <v>2969980</v>
      </c>
      <c r="H6" s="513">
        <f t="shared" si="0"/>
        <v>6032286</v>
      </c>
      <c r="I6" s="513">
        <f t="shared" si="0"/>
        <v>9619611</v>
      </c>
      <c r="J6" s="513">
        <f t="shared" si="0"/>
        <v>13322660</v>
      </c>
      <c r="K6" s="513">
        <f t="shared" si="0"/>
        <v>3209288</v>
      </c>
      <c r="L6" s="513">
        <f t="shared" si="0"/>
        <v>6619991</v>
      </c>
      <c r="M6" s="513"/>
      <c r="N6" s="513"/>
      <c r="O6" s="513"/>
      <c r="P6" s="513"/>
      <c r="Q6" s="513"/>
      <c r="R6" s="513"/>
      <c r="T6" s="513">
        <f t="shared" ref="T6" si="1">SUM(T8,T11:T17)</f>
        <v>3209288</v>
      </c>
      <c r="U6" s="513">
        <f>L6-T6</f>
        <v>3410703</v>
      </c>
    </row>
    <row r="7" spans="1:21">
      <c r="A7" s="509"/>
      <c r="C7" s="514"/>
      <c r="D7" s="514"/>
      <c r="E7" s="514"/>
      <c r="F7" s="514"/>
      <c r="G7" s="514"/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514"/>
      <c r="T7" s="514"/>
      <c r="U7" s="514"/>
    </row>
    <row r="8" spans="1:21">
      <c r="A8" s="510" t="s">
        <v>466</v>
      </c>
      <c r="C8" s="515">
        <f t="shared" ref="C8:H8" si="2">SUM(C9:C10)</f>
        <v>1994754</v>
      </c>
      <c r="D8" s="515">
        <f t="shared" si="2"/>
        <v>4137301</v>
      </c>
      <c r="E8" s="515">
        <f t="shared" si="2"/>
        <v>6347686</v>
      </c>
      <c r="F8" s="515">
        <f t="shared" si="2"/>
        <v>8651907</v>
      </c>
      <c r="G8" s="515">
        <f t="shared" si="2"/>
        <v>2196070</v>
      </c>
      <c r="H8" s="515">
        <f t="shared" si="2"/>
        <v>4532160</v>
      </c>
      <c r="I8" s="515">
        <f>SUM(I9:I10)</f>
        <v>7054575</v>
      </c>
      <c r="J8" s="515">
        <f>SUM(J9:J10)</f>
        <v>9673149</v>
      </c>
      <c r="K8" s="515">
        <f>SUM(K9:K10)</f>
        <v>2380406</v>
      </c>
      <c r="L8" s="515">
        <f>SUM(L9:L10)</f>
        <v>4885504</v>
      </c>
      <c r="M8" s="515"/>
      <c r="N8" s="515"/>
      <c r="O8" s="515"/>
      <c r="P8" s="515"/>
      <c r="Q8" s="515"/>
      <c r="R8" s="515"/>
      <c r="T8" s="515">
        <f>SUM(T9:T10)</f>
        <v>2380406</v>
      </c>
      <c r="U8" s="515">
        <f>SUM(U9:U10)</f>
        <v>2505098</v>
      </c>
    </row>
    <row r="9" spans="1:21" outlineLevel="1">
      <c r="A9" s="511" t="s">
        <v>466</v>
      </c>
      <c r="C9" s="516">
        <v>1994339</v>
      </c>
      <c r="D9" s="516">
        <v>3969216</v>
      </c>
      <c r="E9" s="516">
        <v>6084513</v>
      </c>
      <c r="F9" s="516">
        <v>8258471</v>
      </c>
      <c r="G9" s="516">
        <v>1988954</v>
      </c>
      <c r="H9" s="516">
        <v>4153291</v>
      </c>
      <c r="I9" s="516">
        <v>6683772</v>
      </c>
      <c r="J9" s="516">
        <v>9423005</v>
      </c>
      <c r="K9" s="516">
        <v>2468195</v>
      </c>
      <c r="L9" s="516">
        <v>5037524</v>
      </c>
      <c r="M9" s="516"/>
      <c r="N9" s="516"/>
      <c r="O9" s="516"/>
      <c r="P9" s="516"/>
      <c r="Q9" s="516"/>
      <c r="R9" s="516"/>
      <c r="T9" s="516">
        <f t="shared" ref="T9:T16" si="3">K9</f>
        <v>2468195</v>
      </c>
      <c r="U9" s="516">
        <f>L9-T9</f>
        <v>2569329</v>
      </c>
    </row>
    <row r="10" spans="1:21" outlineLevel="1">
      <c r="A10" s="511" t="s">
        <v>467</v>
      </c>
      <c r="C10" s="516">
        <v>415</v>
      </c>
      <c r="D10" s="516">
        <v>168085</v>
      </c>
      <c r="E10" s="516">
        <v>263173</v>
      </c>
      <c r="F10" s="516">
        <v>393436</v>
      </c>
      <c r="G10" s="516">
        <v>207116</v>
      </c>
      <c r="H10" s="516">
        <v>378869</v>
      </c>
      <c r="I10" s="516">
        <v>370803</v>
      </c>
      <c r="J10" s="516">
        <v>250144</v>
      </c>
      <c r="K10" s="516">
        <v>-87789</v>
      </c>
      <c r="L10" s="516">
        <v>-152020</v>
      </c>
      <c r="M10" s="516"/>
      <c r="N10" s="516"/>
      <c r="O10" s="516"/>
      <c r="P10" s="516"/>
      <c r="Q10" s="516"/>
      <c r="R10" s="516"/>
      <c r="T10" s="516">
        <f t="shared" si="3"/>
        <v>-87789</v>
      </c>
      <c r="U10" s="516">
        <f t="shared" ref="U10:U16" si="4">L10-T10</f>
        <v>-64231</v>
      </c>
    </row>
    <row r="11" spans="1:21">
      <c r="A11" s="510" t="s">
        <v>468</v>
      </c>
      <c r="C11" s="515">
        <v>15422</v>
      </c>
      <c r="D11" s="515">
        <v>25213</v>
      </c>
      <c r="E11" s="515">
        <v>26397</v>
      </c>
      <c r="F11" s="515">
        <v>33829</v>
      </c>
      <c r="G11" s="515">
        <v>12636</v>
      </c>
      <c r="H11" s="515">
        <v>16073</v>
      </c>
      <c r="I11" s="515">
        <v>22991</v>
      </c>
      <c r="J11" s="515">
        <v>23171</v>
      </c>
      <c r="K11" s="515">
        <v>753</v>
      </c>
      <c r="L11" s="515">
        <v>9255</v>
      </c>
      <c r="M11" s="515"/>
      <c r="N11" s="515"/>
      <c r="O11" s="515"/>
      <c r="P11" s="515"/>
      <c r="Q11" s="515"/>
      <c r="R11" s="515"/>
      <c r="T11" s="515">
        <f t="shared" si="3"/>
        <v>753</v>
      </c>
      <c r="U11" s="515">
        <f t="shared" si="4"/>
        <v>8502</v>
      </c>
    </row>
    <row r="12" spans="1:21">
      <c r="A12" s="510" t="s">
        <v>469</v>
      </c>
      <c r="C12" s="515">
        <v>0</v>
      </c>
      <c r="D12" s="515">
        <v>0</v>
      </c>
      <c r="E12" s="515">
        <v>0</v>
      </c>
      <c r="F12" s="515">
        <v>0</v>
      </c>
      <c r="G12" s="515">
        <v>0</v>
      </c>
      <c r="H12" s="515">
        <v>0</v>
      </c>
      <c r="I12" s="515">
        <v>0</v>
      </c>
      <c r="J12" s="515">
        <v>0</v>
      </c>
      <c r="K12" s="515">
        <v>0</v>
      </c>
      <c r="L12" s="515">
        <v>0</v>
      </c>
      <c r="M12" s="515"/>
      <c r="N12" s="515"/>
      <c r="O12" s="515"/>
      <c r="P12" s="515"/>
      <c r="Q12" s="515"/>
      <c r="R12" s="515"/>
      <c r="T12" s="515">
        <f t="shared" si="3"/>
        <v>0</v>
      </c>
      <c r="U12" s="515">
        <f t="shared" si="4"/>
        <v>0</v>
      </c>
    </row>
    <row r="13" spans="1:21">
      <c r="A13" s="510" t="s">
        <v>470</v>
      </c>
      <c r="C13" s="515">
        <v>334357</v>
      </c>
      <c r="D13" s="515">
        <v>775002</v>
      </c>
      <c r="E13" s="515">
        <v>1272350</v>
      </c>
      <c r="F13" s="515">
        <v>1836399</v>
      </c>
      <c r="G13" s="515">
        <v>614464</v>
      </c>
      <c r="H13" s="515">
        <v>1092161</v>
      </c>
      <c r="I13" s="515">
        <v>1696083</v>
      </c>
      <c r="J13" s="515">
        <v>2469462</v>
      </c>
      <c r="K13" s="515">
        <v>520677</v>
      </c>
      <c r="L13" s="515">
        <v>1083978</v>
      </c>
      <c r="M13" s="515"/>
      <c r="N13" s="515"/>
      <c r="O13" s="515"/>
      <c r="P13" s="515"/>
      <c r="Q13" s="515"/>
      <c r="R13" s="515"/>
      <c r="T13" s="515">
        <f t="shared" si="3"/>
        <v>520677</v>
      </c>
      <c r="U13" s="515">
        <f t="shared" si="4"/>
        <v>563301</v>
      </c>
    </row>
    <row r="14" spans="1:21">
      <c r="A14" s="510" t="s">
        <v>471</v>
      </c>
      <c r="C14" s="515">
        <v>0</v>
      </c>
      <c r="D14" s="515">
        <v>0</v>
      </c>
      <c r="E14" s="515">
        <v>0</v>
      </c>
      <c r="F14" s="515">
        <v>0</v>
      </c>
      <c r="G14" s="515">
        <v>0</v>
      </c>
      <c r="H14" s="515">
        <v>0</v>
      </c>
      <c r="I14" s="515">
        <v>0</v>
      </c>
      <c r="J14" s="515">
        <v>0</v>
      </c>
      <c r="K14" s="515">
        <v>0</v>
      </c>
      <c r="L14" s="515">
        <v>0</v>
      </c>
      <c r="M14" s="515"/>
      <c r="N14" s="515"/>
      <c r="O14" s="515"/>
      <c r="P14" s="515"/>
      <c r="Q14" s="515"/>
      <c r="R14" s="515"/>
      <c r="T14" s="515">
        <f t="shared" si="3"/>
        <v>0</v>
      </c>
      <c r="U14" s="515">
        <f t="shared" si="4"/>
        <v>0</v>
      </c>
    </row>
    <row r="15" spans="1:21">
      <c r="A15" s="510" t="s">
        <v>472</v>
      </c>
      <c r="C15" s="515">
        <v>0</v>
      </c>
      <c r="D15" s="515">
        <v>0</v>
      </c>
      <c r="E15" s="515">
        <v>0</v>
      </c>
      <c r="F15" s="515">
        <v>0</v>
      </c>
      <c r="G15" s="515">
        <v>0</v>
      </c>
      <c r="H15" s="515">
        <v>0</v>
      </c>
      <c r="I15" s="515">
        <v>0</v>
      </c>
      <c r="J15" s="515">
        <v>0</v>
      </c>
      <c r="K15" s="515">
        <v>0</v>
      </c>
      <c r="L15" s="515">
        <v>0</v>
      </c>
      <c r="M15" s="515"/>
      <c r="N15" s="515"/>
      <c r="O15" s="515"/>
      <c r="P15" s="515"/>
      <c r="Q15" s="515"/>
      <c r="R15" s="515"/>
      <c r="T15" s="515">
        <f t="shared" si="3"/>
        <v>0</v>
      </c>
      <c r="U15" s="515">
        <f t="shared" si="4"/>
        <v>0</v>
      </c>
    </row>
    <row r="16" spans="1:21">
      <c r="A16" s="510" t="s">
        <v>473</v>
      </c>
      <c r="C16" s="515">
        <v>0</v>
      </c>
      <c r="D16" s="515">
        <v>0</v>
      </c>
      <c r="E16" s="515">
        <v>0</v>
      </c>
      <c r="F16" s="515">
        <v>0</v>
      </c>
      <c r="G16" s="515">
        <v>0</v>
      </c>
      <c r="H16" s="515">
        <v>0</v>
      </c>
      <c r="I16" s="515">
        <v>0</v>
      </c>
      <c r="J16" s="515">
        <v>0</v>
      </c>
      <c r="K16" s="515">
        <v>0</v>
      </c>
      <c r="L16" s="515">
        <v>0</v>
      </c>
      <c r="M16" s="515"/>
      <c r="N16" s="515"/>
      <c r="O16" s="515"/>
      <c r="P16" s="515"/>
      <c r="Q16" s="515"/>
      <c r="R16" s="515"/>
      <c r="T16" s="515">
        <f t="shared" si="3"/>
        <v>0</v>
      </c>
      <c r="U16" s="515">
        <f t="shared" si="4"/>
        <v>0</v>
      </c>
    </row>
    <row r="17" spans="1:21">
      <c r="A17" s="510" t="s">
        <v>474</v>
      </c>
      <c r="C17" s="515">
        <f t="shared" ref="C17:H17" si="5">SUM(C18:C25)</f>
        <v>275854</v>
      </c>
      <c r="D17" s="515">
        <f t="shared" si="5"/>
        <v>551077</v>
      </c>
      <c r="E17" s="515">
        <f t="shared" si="5"/>
        <v>544166</v>
      </c>
      <c r="F17" s="515">
        <f t="shared" si="5"/>
        <v>739661</v>
      </c>
      <c r="G17" s="515">
        <f t="shared" si="5"/>
        <v>146810</v>
      </c>
      <c r="H17" s="515">
        <f t="shared" si="5"/>
        <v>391892</v>
      </c>
      <c r="I17" s="515">
        <f>SUM(I18:I25)</f>
        <v>845962</v>
      </c>
      <c r="J17" s="515">
        <f>SUM(J18:J25)</f>
        <v>1156878</v>
      </c>
      <c r="K17" s="515">
        <f>SUM(K18:K25)</f>
        <v>307452</v>
      </c>
      <c r="L17" s="515">
        <f>SUM(L18:L25)</f>
        <v>641254</v>
      </c>
      <c r="M17" s="515"/>
      <c r="N17" s="515"/>
      <c r="O17" s="515"/>
      <c r="P17" s="515"/>
      <c r="Q17" s="515"/>
      <c r="R17" s="515"/>
      <c r="T17" s="515">
        <f>SUM(T18:T25)</f>
        <v>307452</v>
      </c>
      <c r="U17" s="515">
        <f>SUM(U18:U25)</f>
        <v>333802</v>
      </c>
    </row>
    <row r="18" spans="1:21" outlineLevel="1">
      <c r="A18" s="511" t="s">
        <v>475</v>
      </c>
      <c r="C18" s="516">
        <v>90771</v>
      </c>
      <c r="D18" s="516">
        <v>180327</v>
      </c>
      <c r="E18" s="516">
        <v>285154</v>
      </c>
      <c r="F18" s="516">
        <v>394180</v>
      </c>
      <c r="G18" s="516">
        <v>120831</v>
      </c>
      <c r="H18" s="516">
        <v>217637</v>
      </c>
      <c r="I18" s="516">
        <v>345458</v>
      </c>
      <c r="J18" s="516">
        <v>480385</v>
      </c>
      <c r="K18" s="516">
        <v>134732</v>
      </c>
      <c r="L18" s="516">
        <v>283404</v>
      </c>
      <c r="M18" s="516"/>
      <c r="N18" s="516"/>
      <c r="O18" s="516"/>
      <c r="P18" s="516"/>
      <c r="Q18" s="516"/>
      <c r="R18" s="516"/>
      <c r="T18" s="516">
        <f t="shared" ref="T18:T25" si="6">K18</f>
        <v>134732</v>
      </c>
      <c r="U18" s="516">
        <f t="shared" ref="U18:U25" si="7">L18-T18</f>
        <v>148672</v>
      </c>
    </row>
    <row r="19" spans="1:21" outlineLevel="1">
      <c r="A19" s="511" t="s">
        <v>476</v>
      </c>
      <c r="C19" s="516">
        <v>83714</v>
      </c>
      <c r="D19" s="516">
        <v>229284</v>
      </c>
      <c r="E19" s="516">
        <v>78426</v>
      </c>
      <c r="F19" s="516">
        <v>123449</v>
      </c>
      <c r="G19" s="516">
        <v>-28603</v>
      </c>
      <c r="H19" s="516">
        <v>54256</v>
      </c>
      <c r="I19" s="516">
        <v>313335</v>
      </c>
      <c r="J19" s="516">
        <v>377407</v>
      </c>
      <c r="K19" s="516">
        <v>100832</v>
      </c>
      <c r="L19" s="516">
        <v>209419</v>
      </c>
      <c r="M19" s="516"/>
      <c r="N19" s="516"/>
      <c r="O19" s="516"/>
      <c r="P19" s="516"/>
      <c r="Q19" s="516"/>
      <c r="R19" s="516"/>
      <c r="T19" s="516">
        <f t="shared" si="6"/>
        <v>100832</v>
      </c>
      <c r="U19" s="516">
        <f t="shared" si="7"/>
        <v>108587</v>
      </c>
    </row>
    <row r="20" spans="1:21" outlineLevel="1">
      <c r="A20" s="511" t="s">
        <v>477</v>
      </c>
      <c r="C20" s="516">
        <v>0</v>
      </c>
      <c r="D20" s="516">
        <v>0</v>
      </c>
      <c r="E20" s="516">
        <v>0</v>
      </c>
      <c r="F20" s="516">
        <v>0</v>
      </c>
      <c r="G20" s="516">
        <v>0</v>
      </c>
      <c r="H20" s="516">
        <v>0</v>
      </c>
      <c r="I20" s="516">
        <v>0</v>
      </c>
      <c r="J20" s="516">
        <v>0</v>
      </c>
      <c r="K20" s="516">
        <v>0</v>
      </c>
      <c r="L20" s="516">
        <v>0</v>
      </c>
      <c r="M20" s="516"/>
      <c r="N20" s="516"/>
      <c r="O20" s="516"/>
      <c r="P20" s="516"/>
      <c r="Q20" s="516"/>
      <c r="R20" s="516"/>
      <c r="T20" s="516">
        <f t="shared" si="6"/>
        <v>0</v>
      </c>
      <c r="U20" s="516">
        <f t="shared" si="7"/>
        <v>0</v>
      </c>
    </row>
    <row r="21" spans="1:21" outlineLevel="1">
      <c r="A21" s="511" t="s">
        <v>478</v>
      </c>
      <c r="C21" s="516">
        <v>0</v>
      </c>
      <c r="D21" s="516">
        <v>0</v>
      </c>
      <c r="E21" s="516">
        <v>0</v>
      </c>
      <c r="F21" s="516">
        <v>0</v>
      </c>
      <c r="G21" s="516">
        <v>0</v>
      </c>
      <c r="H21" s="516">
        <v>0</v>
      </c>
      <c r="I21" s="516">
        <v>0</v>
      </c>
      <c r="J21" s="516">
        <v>0</v>
      </c>
      <c r="K21" s="516">
        <v>0</v>
      </c>
      <c r="L21" s="516">
        <v>0</v>
      </c>
      <c r="M21" s="516"/>
      <c r="N21" s="516"/>
      <c r="O21" s="516"/>
      <c r="P21" s="516"/>
      <c r="Q21" s="516"/>
      <c r="R21" s="516"/>
      <c r="T21" s="516">
        <f t="shared" si="6"/>
        <v>0</v>
      </c>
      <c r="U21" s="516">
        <f t="shared" si="7"/>
        <v>0</v>
      </c>
    </row>
    <row r="22" spans="1:21" outlineLevel="1">
      <c r="A22" s="511" t="s">
        <v>479</v>
      </c>
      <c r="C22" s="516">
        <v>0</v>
      </c>
      <c r="D22" s="516">
        <v>0</v>
      </c>
      <c r="E22" s="516">
        <v>0</v>
      </c>
      <c r="F22" s="516">
        <v>0</v>
      </c>
      <c r="G22" s="516">
        <v>0</v>
      </c>
      <c r="H22" s="516">
        <v>0</v>
      </c>
      <c r="I22" s="516">
        <v>0</v>
      </c>
      <c r="J22" s="516">
        <v>0</v>
      </c>
      <c r="K22" s="516">
        <v>0</v>
      </c>
      <c r="L22" s="516">
        <v>0</v>
      </c>
      <c r="M22" s="516"/>
      <c r="N22" s="516"/>
      <c r="O22" s="516"/>
      <c r="P22" s="516"/>
      <c r="Q22" s="516"/>
      <c r="R22" s="516"/>
      <c r="T22" s="516">
        <f t="shared" si="6"/>
        <v>0</v>
      </c>
      <c r="U22" s="516">
        <f t="shared" si="7"/>
        <v>0</v>
      </c>
    </row>
    <row r="23" spans="1:21" outlineLevel="1">
      <c r="A23" s="511" t="s">
        <v>480</v>
      </c>
      <c r="C23" s="516">
        <v>0</v>
      </c>
      <c r="D23" s="516">
        <v>0</v>
      </c>
      <c r="E23" s="516">
        <v>0</v>
      </c>
      <c r="F23" s="516">
        <v>0</v>
      </c>
      <c r="G23" s="516">
        <v>0</v>
      </c>
      <c r="H23" s="516">
        <v>0</v>
      </c>
      <c r="I23" s="516">
        <v>0</v>
      </c>
      <c r="J23" s="516">
        <v>0</v>
      </c>
      <c r="K23" s="516">
        <v>0</v>
      </c>
      <c r="L23" s="516">
        <v>0</v>
      </c>
      <c r="M23" s="516"/>
      <c r="N23" s="516"/>
      <c r="O23" s="516"/>
      <c r="P23" s="516"/>
      <c r="Q23" s="516"/>
      <c r="R23" s="516"/>
      <c r="T23" s="516">
        <f t="shared" si="6"/>
        <v>0</v>
      </c>
      <c r="U23" s="516">
        <f t="shared" si="7"/>
        <v>0</v>
      </c>
    </row>
    <row r="24" spans="1:21" outlineLevel="1">
      <c r="A24" s="511" t="s">
        <v>481</v>
      </c>
      <c r="C24" s="516">
        <v>0</v>
      </c>
      <c r="D24" s="516">
        <v>0</v>
      </c>
      <c r="E24" s="516">
        <v>0</v>
      </c>
      <c r="F24" s="516">
        <v>0</v>
      </c>
      <c r="G24" s="516">
        <v>0</v>
      </c>
      <c r="H24" s="516">
        <v>0</v>
      </c>
      <c r="I24" s="516">
        <v>0</v>
      </c>
      <c r="J24" s="516">
        <v>0</v>
      </c>
      <c r="K24" s="516">
        <v>0</v>
      </c>
      <c r="L24" s="516">
        <v>0</v>
      </c>
      <c r="M24" s="516"/>
      <c r="N24" s="516"/>
      <c r="O24" s="516"/>
      <c r="P24" s="516"/>
      <c r="Q24" s="516"/>
      <c r="R24" s="516"/>
      <c r="T24" s="516">
        <f t="shared" si="6"/>
        <v>0</v>
      </c>
      <c r="U24" s="516">
        <f t="shared" si="7"/>
        <v>0</v>
      </c>
    </row>
    <row r="25" spans="1:21" outlineLevel="1">
      <c r="A25" s="511" t="s">
        <v>474</v>
      </c>
      <c r="C25" s="516">
        <v>101369</v>
      </c>
      <c r="D25" s="516">
        <v>141466</v>
      </c>
      <c r="E25" s="516">
        <v>180586</v>
      </c>
      <c r="F25" s="516">
        <v>222032</v>
      </c>
      <c r="G25" s="516">
        <v>54582</v>
      </c>
      <c r="H25" s="516">
        <v>119999</v>
      </c>
      <c r="I25" s="516">
        <v>187169</v>
      </c>
      <c r="J25" s="516">
        <v>299086</v>
      </c>
      <c r="K25" s="516">
        <v>71888</v>
      </c>
      <c r="L25" s="516">
        <v>148431</v>
      </c>
      <c r="M25" s="516"/>
      <c r="N25" s="516"/>
      <c r="O25" s="516"/>
      <c r="P25" s="516"/>
      <c r="Q25" s="516"/>
      <c r="R25" s="516"/>
      <c r="T25" s="516">
        <f t="shared" si="6"/>
        <v>71888</v>
      </c>
      <c r="U25" s="516">
        <f t="shared" si="7"/>
        <v>76543</v>
      </c>
    </row>
    <row r="26" spans="1:21">
      <c r="A26" s="510"/>
      <c r="C26" s="510"/>
      <c r="D26" s="510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  <c r="T26" s="510"/>
      <c r="U26" s="510"/>
    </row>
    <row r="27" spans="1:21">
      <c r="A27" s="522" t="s">
        <v>482</v>
      </c>
      <c r="C27" s="513">
        <f t="shared" ref="C27:H27" si="8">SUM(C29:C37)</f>
        <v>-749683</v>
      </c>
      <c r="D27" s="513">
        <f t="shared" si="8"/>
        <v>-1476086</v>
      </c>
      <c r="E27" s="513">
        <f t="shared" si="8"/>
        <v>-2117428</v>
      </c>
      <c r="F27" s="513">
        <f t="shared" si="8"/>
        <v>-2748574</v>
      </c>
      <c r="G27" s="513">
        <f t="shared" si="8"/>
        <v>-636024</v>
      </c>
      <c r="H27" s="513">
        <f t="shared" si="8"/>
        <v>-1288400</v>
      </c>
      <c r="I27" s="513">
        <f>SUM(I29:I37)</f>
        <v>-2096548</v>
      </c>
      <c r="J27" s="513">
        <f>SUM(J29:J37)</f>
        <v>-2944276</v>
      </c>
      <c r="K27" s="513">
        <f>SUM(K29:K37)</f>
        <v>-814859</v>
      </c>
      <c r="L27" s="513">
        <f>SUM(L29:L37)</f>
        <v>-1648679</v>
      </c>
      <c r="M27" s="513"/>
      <c r="N27" s="513"/>
      <c r="O27" s="513"/>
      <c r="P27" s="513"/>
      <c r="Q27" s="513"/>
      <c r="R27" s="513"/>
      <c r="T27" s="513">
        <f>SUM(T29:T37)</f>
        <v>-814859</v>
      </c>
      <c r="U27" s="513">
        <f>SUM(U29:U37)</f>
        <v>-833820</v>
      </c>
    </row>
    <row r="28" spans="1:21">
      <c r="A28" s="509"/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T28" s="514"/>
      <c r="U28" s="514"/>
    </row>
    <row r="29" spans="1:21" outlineLevel="1">
      <c r="A29" s="511" t="s">
        <v>483</v>
      </c>
      <c r="C29" s="516">
        <v>-449368</v>
      </c>
      <c r="D29" s="516">
        <v>-865978</v>
      </c>
      <c r="E29" s="516">
        <v>-1170189</v>
      </c>
      <c r="F29" s="516">
        <v>-1484427</v>
      </c>
      <c r="G29" s="516">
        <v>-291462</v>
      </c>
      <c r="H29" s="516">
        <v>-626994</v>
      </c>
      <c r="I29" s="516">
        <v>-1035631</v>
      </c>
      <c r="J29" s="516">
        <v>-1529778</v>
      </c>
      <c r="K29" s="516">
        <v>-438044</v>
      </c>
      <c r="L29" s="516">
        <v>-895529</v>
      </c>
      <c r="M29" s="516"/>
      <c r="N29" s="516"/>
      <c r="O29" s="516"/>
      <c r="P29" s="516"/>
      <c r="Q29" s="516"/>
      <c r="R29" s="516"/>
      <c r="T29" s="516">
        <f t="shared" ref="T29:T37" si="9">K29</f>
        <v>-438044</v>
      </c>
      <c r="U29" s="516">
        <f t="shared" ref="U29:U37" si="10">L29-T29</f>
        <v>-457485</v>
      </c>
    </row>
    <row r="30" spans="1:21" outlineLevel="1">
      <c r="A30" s="511" t="s">
        <v>484</v>
      </c>
      <c r="C30" s="516">
        <v>-151274</v>
      </c>
      <c r="D30" s="516">
        <v>-312538</v>
      </c>
      <c r="E30" s="516">
        <v>-508694</v>
      </c>
      <c r="F30" s="516">
        <v>-678977</v>
      </c>
      <c r="G30" s="516">
        <v>-192129</v>
      </c>
      <c r="H30" s="516">
        <v>-356095</v>
      </c>
      <c r="I30" s="516">
        <v>-593894</v>
      </c>
      <c r="J30" s="516">
        <v>-769933</v>
      </c>
      <c r="K30" s="516">
        <v>-194176</v>
      </c>
      <c r="L30" s="516">
        <v>-387803</v>
      </c>
      <c r="M30" s="516"/>
      <c r="N30" s="516"/>
      <c r="O30" s="516"/>
      <c r="P30" s="516"/>
      <c r="Q30" s="516"/>
      <c r="R30" s="516"/>
      <c r="T30" s="516">
        <f t="shared" si="9"/>
        <v>-194176</v>
      </c>
      <c r="U30" s="516">
        <f t="shared" si="10"/>
        <v>-193627</v>
      </c>
    </row>
    <row r="31" spans="1:21" outlineLevel="1">
      <c r="A31" s="511" t="s">
        <v>485</v>
      </c>
      <c r="C31" s="516">
        <v>0</v>
      </c>
      <c r="D31" s="516">
        <v>0</v>
      </c>
      <c r="E31" s="516">
        <v>0</v>
      </c>
      <c r="F31" s="516">
        <v>0</v>
      </c>
      <c r="G31" s="516">
        <v>0</v>
      </c>
      <c r="H31" s="516">
        <v>0</v>
      </c>
      <c r="I31" s="516">
        <v>0</v>
      </c>
      <c r="J31" s="516">
        <v>0</v>
      </c>
      <c r="K31" s="516">
        <v>0</v>
      </c>
      <c r="L31" s="516">
        <v>0</v>
      </c>
      <c r="M31" s="516"/>
      <c r="N31" s="516"/>
      <c r="O31" s="516"/>
      <c r="P31" s="516"/>
      <c r="Q31" s="516"/>
      <c r="R31" s="516"/>
      <c r="T31" s="516">
        <f t="shared" si="9"/>
        <v>0</v>
      </c>
      <c r="U31" s="516">
        <f t="shared" si="10"/>
        <v>0</v>
      </c>
    </row>
    <row r="32" spans="1:21" outlineLevel="1">
      <c r="A32" s="511" t="s">
        <v>486</v>
      </c>
      <c r="C32" s="516">
        <v>0</v>
      </c>
      <c r="D32" s="516">
        <v>0</v>
      </c>
      <c r="E32" s="516">
        <v>0</v>
      </c>
      <c r="F32" s="516">
        <v>0</v>
      </c>
      <c r="G32" s="516">
        <v>0</v>
      </c>
      <c r="H32" s="516">
        <v>0</v>
      </c>
      <c r="I32" s="516">
        <v>0</v>
      </c>
      <c r="J32" s="516">
        <v>0</v>
      </c>
      <c r="K32" s="516">
        <v>0</v>
      </c>
      <c r="L32" s="516">
        <v>0</v>
      </c>
      <c r="M32" s="516"/>
      <c r="N32" s="516"/>
      <c r="O32" s="516"/>
      <c r="P32" s="516"/>
      <c r="Q32" s="516"/>
      <c r="R32" s="516"/>
      <c r="T32" s="516">
        <f t="shared" si="9"/>
        <v>0</v>
      </c>
      <c r="U32" s="516">
        <f t="shared" si="10"/>
        <v>0</v>
      </c>
    </row>
    <row r="33" spans="1:21" outlineLevel="1">
      <c r="A33" s="511" t="s">
        <v>487</v>
      </c>
      <c r="C33" s="516">
        <v>-13512</v>
      </c>
      <c r="D33" s="516">
        <v>-27828</v>
      </c>
      <c r="E33" s="516">
        <v>-43568</v>
      </c>
      <c r="F33" s="516">
        <v>-60517</v>
      </c>
      <c r="G33" s="516">
        <v>-16033</v>
      </c>
      <c r="H33" s="516">
        <v>-32841</v>
      </c>
      <c r="I33" s="516">
        <v>-52386</v>
      </c>
      <c r="J33" s="516">
        <v>-79196</v>
      </c>
      <c r="K33" s="516">
        <v>-16473</v>
      </c>
      <c r="L33" s="516">
        <v>-35025</v>
      </c>
      <c r="M33" s="516"/>
      <c r="N33" s="516"/>
      <c r="O33" s="516"/>
      <c r="P33" s="516"/>
      <c r="Q33" s="516"/>
      <c r="R33" s="516"/>
      <c r="T33" s="516">
        <f t="shared" si="9"/>
        <v>-16473</v>
      </c>
      <c r="U33" s="516">
        <f t="shared" si="10"/>
        <v>-18552</v>
      </c>
    </row>
    <row r="34" spans="1:21" outlineLevel="1">
      <c r="A34" s="511" t="s">
        <v>488</v>
      </c>
      <c r="C34" s="516">
        <v>-2402</v>
      </c>
      <c r="D34" s="516">
        <v>-4803</v>
      </c>
      <c r="E34" s="516">
        <v>-7475</v>
      </c>
      <c r="F34" s="516">
        <v>-10281</v>
      </c>
      <c r="G34" s="516">
        <v>-2806</v>
      </c>
      <c r="H34" s="516">
        <v>-5613</v>
      </c>
      <c r="I34" s="516">
        <v>-8338</v>
      </c>
      <c r="J34" s="516">
        <v>-11023</v>
      </c>
      <c r="K34" s="516">
        <v>-2685</v>
      </c>
      <c r="L34" s="516">
        <v>-5370</v>
      </c>
      <c r="M34" s="516"/>
      <c r="N34" s="516"/>
      <c r="O34" s="516"/>
      <c r="P34" s="516"/>
      <c r="Q34" s="516"/>
      <c r="R34" s="516"/>
      <c r="T34" s="516">
        <f t="shared" si="9"/>
        <v>-2685</v>
      </c>
      <c r="U34" s="516">
        <f t="shared" si="10"/>
        <v>-2685</v>
      </c>
    </row>
    <row r="35" spans="1:21" outlineLevel="1">
      <c r="A35" s="511" t="s">
        <v>489</v>
      </c>
      <c r="C35" s="516">
        <v>-119622</v>
      </c>
      <c r="D35" s="516">
        <v>-237651</v>
      </c>
      <c r="E35" s="516">
        <v>-354884</v>
      </c>
      <c r="F35" s="516">
        <v>-472116</v>
      </c>
      <c r="G35" s="516">
        <v>-124744</v>
      </c>
      <c r="H35" s="516">
        <v>-249109</v>
      </c>
      <c r="I35" s="516">
        <v>-381923</v>
      </c>
      <c r="J35" s="516">
        <v>-518961</v>
      </c>
      <c r="K35" s="516">
        <v>-152761</v>
      </c>
      <c r="L35" s="516">
        <v>-305522</v>
      </c>
      <c r="M35" s="516"/>
      <c r="N35" s="516"/>
      <c r="O35" s="516"/>
      <c r="P35" s="516"/>
      <c r="Q35" s="516"/>
      <c r="R35" s="516"/>
      <c r="T35" s="516">
        <f t="shared" si="9"/>
        <v>-152761</v>
      </c>
      <c r="U35" s="516">
        <f t="shared" si="10"/>
        <v>-152761</v>
      </c>
    </row>
    <row r="36" spans="1:21" outlineLevel="1">
      <c r="A36" s="511" t="s">
        <v>490</v>
      </c>
      <c r="C36" s="516">
        <v>-330</v>
      </c>
      <c r="D36" s="516">
        <v>-707</v>
      </c>
      <c r="E36" s="516">
        <v>-1114</v>
      </c>
      <c r="F36" s="516">
        <v>-1572</v>
      </c>
      <c r="G36" s="516">
        <v>-364</v>
      </c>
      <c r="H36" s="516">
        <v>-762</v>
      </c>
      <c r="I36" s="516">
        <v>-1238</v>
      </c>
      <c r="J36" s="516">
        <v>-1712</v>
      </c>
      <c r="K36" s="516">
        <v>-421</v>
      </c>
      <c r="L36" s="516">
        <v>-783</v>
      </c>
      <c r="M36" s="516"/>
      <c r="N36" s="516"/>
      <c r="O36" s="516"/>
      <c r="P36" s="516"/>
      <c r="Q36" s="516"/>
      <c r="R36" s="516"/>
      <c r="T36" s="516">
        <f t="shared" si="9"/>
        <v>-421</v>
      </c>
      <c r="U36" s="516">
        <f t="shared" si="10"/>
        <v>-362</v>
      </c>
    </row>
    <row r="37" spans="1:21" outlineLevel="1">
      <c r="A37" s="511" t="s">
        <v>59</v>
      </c>
      <c r="C37" s="516">
        <v>-13175</v>
      </c>
      <c r="D37" s="516">
        <v>-26581</v>
      </c>
      <c r="E37" s="516">
        <v>-31504</v>
      </c>
      <c r="F37" s="516">
        <v>-40684</v>
      </c>
      <c r="G37" s="516">
        <v>-8486</v>
      </c>
      <c r="H37" s="516">
        <v>-16986</v>
      </c>
      <c r="I37" s="516">
        <v>-23138</v>
      </c>
      <c r="J37" s="516">
        <v>-33673</v>
      </c>
      <c r="K37" s="516">
        <v>-10299</v>
      </c>
      <c r="L37" s="516">
        <v>-18647</v>
      </c>
      <c r="M37" s="516"/>
      <c r="N37" s="516"/>
      <c r="O37" s="516"/>
      <c r="P37" s="516"/>
      <c r="Q37" s="516"/>
      <c r="R37" s="516"/>
      <c r="T37" s="516">
        <f t="shared" si="9"/>
        <v>-10299</v>
      </c>
      <c r="U37" s="516">
        <f t="shared" si="10"/>
        <v>-8348</v>
      </c>
    </row>
    <row r="38" spans="1:21">
      <c r="A38" s="510"/>
      <c r="C38" s="510"/>
      <c r="D38" s="510"/>
      <c r="E38" s="510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P38" s="510"/>
      <c r="Q38" s="510"/>
      <c r="R38" s="510"/>
      <c r="T38" s="510"/>
      <c r="U38" s="510"/>
    </row>
    <row r="39" spans="1:21">
      <c r="A39" s="522" t="s">
        <v>491</v>
      </c>
      <c r="C39" s="513">
        <f t="shared" ref="C39:H39" si="11">C27+C6</f>
        <v>1870704</v>
      </c>
      <c r="D39" s="513">
        <f t="shared" si="11"/>
        <v>4012507</v>
      </c>
      <c r="E39" s="513">
        <f t="shared" si="11"/>
        <v>6073171</v>
      </c>
      <c r="F39" s="513">
        <f t="shared" si="11"/>
        <v>8513222</v>
      </c>
      <c r="G39" s="513">
        <f t="shared" si="11"/>
        <v>2333956</v>
      </c>
      <c r="H39" s="513">
        <f t="shared" si="11"/>
        <v>4743886</v>
      </c>
      <c r="I39" s="513">
        <f>I27+I6</f>
        <v>7523063</v>
      </c>
      <c r="J39" s="513">
        <f>J27+J6</f>
        <v>10378384</v>
      </c>
      <c r="K39" s="513">
        <f>K27+K6</f>
        <v>2394429</v>
      </c>
      <c r="L39" s="513">
        <f>L27+L6</f>
        <v>4971312</v>
      </c>
      <c r="M39" s="513"/>
      <c r="N39" s="513"/>
      <c r="O39" s="513"/>
      <c r="P39" s="513"/>
      <c r="Q39" s="513"/>
      <c r="R39" s="513"/>
      <c r="T39" s="513">
        <f>T27+T6</f>
        <v>2394429</v>
      </c>
      <c r="U39" s="513">
        <f>U27+U6</f>
        <v>2576883</v>
      </c>
    </row>
    <row r="40" spans="1:21">
      <c r="A40" s="510"/>
      <c r="C40" s="510"/>
      <c r="D40" s="510"/>
      <c r="E40" s="510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P40" s="510"/>
      <c r="Q40" s="510"/>
      <c r="R40" s="510"/>
      <c r="T40" s="510"/>
      <c r="U40" s="510"/>
    </row>
    <row r="41" spans="1:21">
      <c r="A41" s="509" t="s">
        <v>492</v>
      </c>
      <c r="C41" s="517">
        <f t="shared" ref="C41:H41" si="12">SUM(C43:C48)</f>
        <v>-1214615</v>
      </c>
      <c r="D41" s="517">
        <f t="shared" si="12"/>
        <v>-2544566</v>
      </c>
      <c r="E41" s="517">
        <f t="shared" si="12"/>
        <v>-4000301</v>
      </c>
      <c r="F41" s="517">
        <f t="shared" si="12"/>
        <v>-5588277</v>
      </c>
      <c r="G41" s="517">
        <f t="shared" si="12"/>
        <v>-1662600</v>
      </c>
      <c r="H41" s="517">
        <f t="shared" si="12"/>
        <v>-3198367</v>
      </c>
      <c r="I41" s="517">
        <f>SUM(I43:I48)</f>
        <v>-4877064</v>
      </c>
      <c r="J41" s="517">
        <f>SUM(J43:J48)</f>
        <v>-6869485</v>
      </c>
      <c r="K41" s="517">
        <f>SUM(K43:K48)</f>
        <v>-1581708</v>
      </c>
      <c r="L41" s="517">
        <f>SUM(L43:L48)</f>
        <v>-3272536</v>
      </c>
      <c r="M41" s="517"/>
      <c r="N41" s="517"/>
      <c r="O41" s="517"/>
      <c r="P41" s="517"/>
      <c r="Q41" s="517"/>
      <c r="R41" s="517"/>
      <c r="T41" s="517">
        <f>SUM(T43:T48)</f>
        <v>-1581708</v>
      </c>
      <c r="U41" s="517">
        <f>SUM(U43:U48)</f>
        <v>-1690828</v>
      </c>
    </row>
    <row r="42" spans="1:21">
      <c r="A42" s="509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T42" s="514"/>
      <c r="U42" s="514"/>
    </row>
    <row r="43" spans="1:21">
      <c r="A43" s="510" t="s">
        <v>493</v>
      </c>
      <c r="C43" s="515">
        <v>-735511</v>
      </c>
      <c r="D43" s="515">
        <v>-1468504</v>
      </c>
      <c r="E43" s="515">
        <v>-2272614</v>
      </c>
      <c r="F43" s="515">
        <v>-3118443</v>
      </c>
      <c r="G43" s="515">
        <v>-853306</v>
      </c>
      <c r="H43" s="515">
        <v>-1725753</v>
      </c>
      <c r="I43" s="515">
        <v>-2621027</v>
      </c>
      <c r="J43" s="515">
        <v>-3627368</v>
      </c>
      <c r="K43" s="515">
        <v>-866641</v>
      </c>
      <c r="L43" s="515">
        <v>-1812782</v>
      </c>
      <c r="M43" s="515"/>
      <c r="N43" s="515"/>
      <c r="O43" s="515"/>
      <c r="P43" s="515"/>
      <c r="Q43" s="515"/>
      <c r="R43" s="515"/>
      <c r="T43" s="515">
        <f>K43</f>
        <v>-866641</v>
      </c>
      <c r="U43" s="515">
        <f t="shared" ref="U43:U47" si="13">L43-T43</f>
        <v>-946141</v>
      </c>
    </row>
    <row r="44" spans="1:21">
      <c r="A44" s="510" t="s">
        <v>494</v>
      </c>
      <c r="C44" s="515">
        <v>-334357</v>
      </c>
      <c r="D44" s="515">
        <v>-775002</v>
      </c>
      <c r="E44" s="515">
        <v>-1272350</v>
      </c>
      <c r="F44" s="515">
        <v>-1836399</v>
      </c>
      <c r="G44" s="515">
        <v>-614464</v>
      </c>
      <c r="H44" s="515">
        <v>-1092161</v>
      </c>
      <c r="I44" s="515">
        <v>-1696083</v>
      </c>
      <c r="J44" s="515">
        <v>-2469462</v>
      </c>
      <c r="K44" s="515">
        <v>-520677</v>
      </c>
      <c r="L44" s="515">
        <v>-1083978</v>
      </c>
      <c r="M44" s="515"/>
      <c r="N44" s="515"/>
      <c r="O44" s="515"/>
      <c r="P44" s="515"/>
      <c r="Q44" s="515"/>
      <c r="R44" s="515"/>
      <c r="T44" s="515">
        <f>K44</f>
        <v>-520677</v>
      </c>
      <c r="U44" s="515">
        <f t="shared" si="13"/>
        <v>-563301</v>
      </c>
    </row>
    <row r="45" spans="1:21">
      <c r="A45" s="510" t="s">
        <v>495</v>
      </c>
      <c r="C45" s="515">
        <v>0</v>
      </c>
      <c r="D45" s="515">
        <v>0</v>
      </c>
      <c r="E45" s="515">
        <v>0</v>
      </c>
      <c r="F45" s="515">
        <v>0</v>
      </c>
      <c r="G45" s="515">
        <v>0</v>
      </c>
      <c r="H45" s="515">
        <v>0</v>
      </c>
      <c r="I45" s="515">
        <v>0</v>
      </c>
      <c r="J45" s="515">
        <v>0</v>
      </c>
      <c r="K45" s="515">
        <v>0</v>
      </c>
      <c r="L45" s="515">
        <v>0</v>
      </c>
      <c r="M45" s="515"/>
      <c r="N45" s="515"/>
      <c r="O45" s="515"/>
      <c r="P45" s="515"/>
      <c r="Q45" s="515"/>
      <c r="R45" s="515"/>
      <c r="T45" s="515">
        <f>K45</f>
        <v>0</v>
      </c>
      <c r="U45" s="515">
        <f t="shared" si="13"/>
        <v>0</v>
      </c>
    </row>
    <row r="46" spans="1:21">
      <c r="A46" s="510" t="s">
        <v>496</v>
      </c>
      <c r="C46" s="515">
        <v>0</v>
      </c>
      <c r="D46" s="515">
        <v>0</v>
      </c>
      <c r="E46" s="515">
        <v>0</v>
      </c>
      <c r="F46" s="515">
        <v>0</v>
      </c>
      <c r="G46" s="515">
        <v>0</v>
      </c>
      <c r="H46" s="515">
        <v>0</v>
      </c>
      <c r="I46" s="515">
        <v>0</v>
      </c>
      <c r="J46" s="515">
        <v>0</v>
      </c>
      <c r="K46" s="515">
        <v>0</v>
      </c>
      <c r="L46" s="515">
        <v>0</v>
      </c>
      <c r="M46" s="515"/>
      <c r="N46" s="515"/>
      <c r="O46" s="515"/>
      <c r="P46" s="515"/>
      <c r="Q46" s="515"/>
      <c r="R46" s="515"/>
      <c r="T46" s="515">
        <f>K46</f>
        <v>0</v>
      </c>
      <c r="U46" s="515">
        <f t="shared" si="13"/>
        <v>0</v>
      </c>
    </row>
    <row r="47" spans="1:21">
      <c r="A47" s="510" t="s">
        <v>497</v>
      </c>
      <c r="C47" s="515">
        <v>0</v>
      </c>
      <c r="D47" s="515">
        <v>0</v>
      </c>
      <c r="E47" s="515">
        <v>0</v>
      </c>
      <c r="F47" s="515">
        <v>0</v>
      </c>
      <c r="G47" s="515">
        <v>0</v>
      </c>
      <c r="H47" s="515">
        <v>0</v>
      </c>
      <c r="I47" s="515">
        <v>0</v>
      </c>
      <c r="J47" s="515">
        <v>0</v>
      </c>
      <c r="K47" s="515">
        <v>0</v>
      </c>
      <c r="L47" s="515">
        <v>0</v>
      </c>
      <c r="M47" s="515"/>
      <c r="N47" s="515"/>
      <c r="O47" s="515"/>
      <c r="P47" s="515"/>
      <c r="Q47" s="515"/>
      <c r="R47" s="515"/>
      <c r="T47" s="515">
        <f>K47</f>
        <v>0</v>
      </c>
      <c r="U47" s="515">
        <f t="shared" si="13"/>
        <v>0</v>
      </c>
    </row>
    <row r="48" spans="1:21">
      <c r="A48" s="510" t="s">
        <v>498</v>
      </c>
      <c r="C48" s="515">
        <f t="shared" ref="C48:H48" si="14">SUM(C49:C55)</f>
        <v>-144747</v>
      </c>
      <c r="D48" s="515">
        <f t="shared" si="14"/>
        <v>-301060</v>
      </c>
      <c r="E48" s="515">
        <f t="shared" si="14"/>
        <v>-455337</v>
      </c>
      <c r="F48" s="515">
        <f t="shared" si="14"/>
        <v>-633435</v>
      </c>
      <c r="G48" s="515">
        <f t="shared" si="14"/>
        <v>-194830</v>
      </c>
      <c r="H48" s="515">
        <f t="shared" si="14"/>
        <v>-380453</v>
      </c>
      <c r="I48" s="515">
        <f>SUM(I49:I55)</f>
        <v>-559954</v>
      </c>
      <c r="J48" s="515">
        <f>SUM(J49:J55)</f>
        <v>-772655</v>
      </c>
      <c r="K48" s="515">
        <f>SUM(K49:K55)</f>
        <v>-194390</v>
      </c>
      <c r="L48" s="515">
        <f>SUM(L49:L55)</f>
        <v>-375776</v>
      </c>
      <c r="M48" s="515"/>
      <c r="N48" s="515"/>
      <c r="O48" s="515"/>
      <c r="P48" s="515"/>
      <c r="Q48" s="515"/>
      <c r="R48" s="515"/>
      <c r="T48" s="515">
        <f>SUM(T49:T55)</f>
        <v>-194390</v>
      </c>
      <c r="U48" s="515">
        <f>SUM(U49:U55)</f>
        <v>-181386</v>
      </c>
    </row>
    <row r="49" spans="1:21" outlineLevel="1">
      <c r="A49" s="511" t="s">
        <v>499</v>
      </c>
      <c r="C49" s="516">
        <v>-12024</v>
      </c>
      <c r="D49" s="516">
        <v>-24257</v>
      </c>
      <c r="E49" s="516">
        <v>-36269</v>
      </c>
      <c r="F49" s="516">
        <v>-49036</v>
      </c>
      <c r="G49" s="516">
        <v>-13589</v>
      </c>
      <c r="H49" s="516">
        <v>-26965</v>
      </c>
      <c r="I49" s="516">
        <v>-39596</v>
      </c>
      <c r="J49" s="516">
        <v>-53450</v>
      </c>
      <c r="K49" s="516">
        <v>-14066</v>
      </c>
      <c r="L49" s="516">
        <v>-23914</v>
      </c>
      <c r="M49" s="516"/>
      <c r="N49" s="516"/>
      <c r="O49" s="516"/>
      <c r="P49" s="516"/>
      <c r="Q49" s="516"/>
      <c r="R49" s="516"/>
      <c r="T49" s="516">
        <f t="shared" ref="T49:T55" si="15">K49</f>
        <v>-14066</v>
      </c>
      <c r="U49" s="516">
        <f t="shared" ref="U49:U55" si="16">L49-T49</f>
        <v>-9848</v>
      </c>
    </row>
    <row r="50" spans="1:21" outlineLevel="1">
      <c r="A50" s="511" t="s">
        <v>500</v>
      </c>
      <c r="C50" s="516">
        <v>-3183</v>
      </c>
      <c r="D50" s="516">
        <v>-7797</v>
      </c>
      <c r="E50" s="516">
        <v>-11461</v>
      </c>
      <c r="F50" s="516">
        <v>-19861</v>
      </c>
      <c r="G50" s="516">
        <v>-4296</v>
      </c>
      <c r="H50" s="516">
        <v>-6540</v>
      </c>
      <c r="I50" s="516">
        <v>-10927</v>
      </c>
      <c r="J50" s="516">
        <v>-16830</v>
      </c>
      <c r="K50" s="516">
        <v>-1670</v>
      </c>
      <c r="L50" s="516">
        <v>-2123</v>
      </c>
      <c r="M50" s="516"/>
      <c r="N50" s="516"/>
      <c r="O50" s="516"/>
      <c r="P50" s="516"/>
      <c r="Q50" s="516"/>
      <c r="R50" s="516"/>
      <c r="T50" s="516">
        <f t="shared" si="15"/>
        <v>-1670</v>
      </c>
      <c r="U50" s="516">
        <f t="shared" si="16"/>
        <v>-453</v>
      </c>
    </row>
    <row r="51" spans="1:21" outlineLevel="1">
      <c r="A51" s="511" t="s">
        <v>501</v>
      </c>
      <c r="C51" s="516">
        <v>-56932</v>
      </c>
      <c r="D51" s="516">
        <v>-118182</v>
      </c>
      <c r="E51" s="516">
        <v>-181474</v>
      </c>
      <c r="F51" s="516">
        <v>-255063</v>
      </c>
      <c r="G51" s="516">
        <v>-67340</v>
      </c>
      <c r="H51" s="516">
        <v>-145914</v>
      </c>
      <c r="I51" s="516">
        <v>-229771</v>
      </c>
      <c r="J51" s="516">
        <v>-318004</v>
      </c>
      <c r="K51" s="516">
        <v>-79761</v>
      </c>
      <c r="L51" s="516">
        <v>-144360</v>
      </c>
      <c r="M51" s="516"/>
      <c r="N51" s="516"/>
      <c r="O51" s="516"/>
      <c r="P51" s="516"/>
      <c r="Q51" s="516"/>
      <c r="R51" s="516"/>
      <c r="T51" s="516">
        <f t="shared" si="15"/>
        <v>-79761</v>
      </c>
      <c r="U51" s="516">
        <f t="shared" si="16"/>
        <v>-64599</v>
      </c>
    </row>
    <row r="52" spans="1:21" outlineLevel="1">
      <c r="A52" s="511" t="s">
        <v>502</v>
      </c>
      <c r="C52" s="516">
        <v>-75275</v>
      </c>
      <c r="D52" s="516">
        <v>-155881</v>
      </c>
      <c r="E52" s="516">
        <v>-234452</v>
      </c>
      <c r="F52" s="516">
        <v>-326574</v>
      </c>
      <c r="G52" s="516">
        <v>-104498</v>
      </c>
      <c r="H52" s="516">
        <v>-198164</v>
      </c>
      <c r="I52" s="516">
        <v>-291990</v>
      </c>
      <c r="J52" s="516">
        <v>-394169</v>
      </c>
      <c r="K52" s="516">
        <v>-104652</v>
      </c>
      <c r="L52" s="516">
        <v>-214715</v>
      </c>
      <c r="M52" s="516"/>
      <c r="N52" s="516"/>
      <c r="O52" s="516"/>
      <c r="P52" s="516"/>
      <c r="Q52" s="516"/>
      <c r="R52" s="516"/>
      <c r="T52" s="516">
        <f t="shared" si="15"/>
        <v>-104652</v>
      </c>
      <c r="U52" s="516">
        <f t="shared" si="16"/>
        <v>-110063</v>
      </c>
    </row>
    <row r="53" spans="1:21" outlineLevel="1">
      <c r="A53" s="511" t="s">
        <v>503</v>
      </c>
      <c r="C53" s="516">
        <v>2871</v>
      </c>
      <c r="D53" s="516">
        <v>5392</v>
      </c>
      <c r="E53" s="516">
        <v>8774</v>
      </c>
      <c r="F53" s="516">
        <v>17631</v>
      </c>
      <c r="G53" s="516">
        <v>-4768</v>
      </c>
      <c r="H53" s="516">
        <v>-2269</v>
      </c>
      <c r="I53" s="516">
        <v>11437</v>
      </c>
      <c r="J53" s="516">
        <v>9384</v>
      </c>
      <c r="K53" s="516">
        <v>5932</v>
      </c>
      <c r="L53" s="516">
        <v>9581</v>
      </c>
      <c r="M53" s="516"/>
      <c r="N53" s="516"/>
      <c r="O53" s="516"/>
      <c r="P53" s="516"/>
      <c r="Q53" s="516"/>
      <c r="R53" s="516"/>
      <c r="T53" s="516">
        <f t="shared" si="15"/>
        <v>5932</v>
      </c>
      <c r="U53" s="516">
        <f t="shared" si="16"/>
        <v>3649</v>
      </c>
    </row>
    <row r="54" spans="1:21" outlineLevel="1">
      <c r="A54" s="511" t="s">
        <v>504</v>
      </c>
      <c r="C54" s="516">
        <v>-387</v>
      </c>
      <c r="D54" s="516">
        <v>-808</v>
      </c>
      <c r="E54" s="516">
        <v>-1373</v>
      </c>
      <c r="F54" s="516">
        <v>-2044</v>
      </c>
      <c r="G54" s="516">
        <v>-634</v>
      </c>
      <c r="H54" s="516">
        <v>-1331</v>
      </c>
      <c r="I54" s="516">
        <v>-2080</v>
      </c>
      <c r="J54" s="516">
        <v>-2801</v>
      </c>
      <c r="K54" s="516">
        <v>-887</v>
      </c>
      <c r="L54" s="516">
        <v>-1201</v>
      </c>
      <c r="M54" s="516"/>
      <c r="N54" s="516"/>
      <c r="O54" s="516"/>
      <c r="P54" s="516"/>
      <c r="Q54" s="516"/>
      <c r="R54" s="516"/>
      <c r="T54" s="516">
        <f t="shared" si="15"/>
        <v>-887</v>
      </c>
      <c r="U54" s="516">
        <f t="shared" si="16"/>
        <v>-314</v>
      </c>
    </row>
    <row r="55" spans="1:21" outlineLevel="1">
      <c r="A55" s="511" t="s">
        <v>505</v>
      </c>
      <c r="C55" s="516">
        <v>183</v>
      </c>
      <c r="D55" s="516">
        <v>473</v>
      </c>
      <c r="E55" s="516">
        <v>918</v>
      </c>
      <c r="F55" s="516">
        <v>1512</v>
      </c>
      <c r="G55" s="516">
        <v>295</v>
      </c>
      <c r="H55" s="516">
        <v>730</v>
      </c>
      <c r="I55" s="516">
        <v>2973</v>
      </c>
      <c r="J55" s="516">
        <v>3215</v>
      </c>
      <c r="K55" s="516">
        <v>714</v>
      </c>
      <c r="L55" s="516">
        <v>956</v>
      </c>
      <c r="M55" s="516"/>
      <c r="N55" s="516"/>
      <c r="O55" s="516"/>
      <c r="P55" s="516"/>
      <c r="Q55" s="516"/>
      <c r="R55" s="516"/>
      <c r="T55" s="516">
        <f t="shared" si="15"/>
        <v>714</v>
      </c>
      <c r="U55" s="516">
        <f t="shared" si="16"/>
        <v>242</v>
      </c>
    </row>
    <row r="56" spans="1:21">
      <c r="A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0"/>
      <c r="T56" s="510"/>
      <c r="U56" s="510"/>
    </row>
    <row r="57" spans="1:21">
      <c r="A57" s="522" t="s">
        <v>506</v>
      </c>
      <c r="C57" s="513">
        <f t="shared" ref="C57:H57" si="17">C39+C41</f>
        <v>656089</v>
      </c>
      <c r="D57" s="513">
        <f t="shared" si="17"/>
        <v>1467941</v>
      </c>
      <c r="E57" s="513">
        <f t="shared" si="17"/>
        <v>2072870</v>
      </c>
      <c r="F57" s="513">
        <f t="shared" si="17"/>
        <v>2924945</v>
      </c>
      <c r="G57" s="513">
        <f t="shared" si="17"/>
        <v>671356</v>
      </c>
      <c r="H57" s="513">
        <f t="shared" si="17"/>
        <v>1545519</v>
      </c>
      <c r="I57" s="513">
        <f>I39+I41</f>
        <v>2645999</v>
      </c>
      <c r="J57" s="513">
        <f>J39+J41</f>
        <v>3508899</v>
      </c>
      <c r="K57" s="513">
        <f>K39+K41</f>
        <v>812721</v>
      </c>
      <c r="L57" s="513">
        <f>L39+L41</f>
        <v>1698776</v>
      </c>
      <c r="M57" s="513"/>
      <c r="N57" s="513"/>
      <c r="O57" s="513"/>
      <c r="P57" s="513"/>
      <c r="Q57" s="513"/>
      <c r="R57" s="513"/>
      <c r="T57" s="513">
        <f>T39+T41</f>
        <v>812721</v>
      </c>
      <c r="U57" s="513">
        <f>U39+U41</f>
        <v>886055</v>
      </c>
    </row>
    <row r="58" spans="1:21">
      <c r="A58" s="510"/>
      <c r="C58" s="510"/>
      <c r="D58" s="510"/>
      <c r="E58" s="510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P58" s="510"/>
      <c r="Q58" s="510"/>
      <c r="R58" s="510"/>
      <c r="T58" s="510"/>
      <c r="U58" s="510"/>
    </row>
    <row r="59" spans="1:21">
      <c r="A59" s="509" t="s">
        <v>507</v>
      </c>
      <c r="C59" s="517">
        <f t="shared" ref="C59:H59" si="18">C61+C67+C68+C77+C78</f>
        <v>-184112</v>
      </c>
      <c r="D59" s="517">
        <f t="shared" si="18"/>
        <v>-410235</v>
      </c>
      <c r="E59" s="517">
        <f t="shared" si="18"/>
        <v>-601123</v>
      </c>
      <c r="F59" s="517">
        <f t="shared" si="18"/>
        <v>-906335</v>
      </c>
      <c r="G59" s="517">
        <f t="shared" si="18"/>
        <v>-94817</v>
      </c>
      <c r="H59" s="517">
        <f t="shared" si="18"/>
        <v>-229755</v>
      </c>
      <c r="I59" s="517">
        <f>I61+I67+I68+I77+I78</f>
        <v>-441607</v>
      </c>
      <c r="J59" s="517">
        <f>J61+J67+J68+J77+J78</f>
        <v>-624448</v>
      </c>
      <c r="K59" s="517">
        <f>K61+K67+K68+K77+K78</f>
        <v>-191010</v>
      </c>
      <c r="L59" s="517">
        <f>L61+L67+L68+L77+L78</f>
        <v>-413730</v>
      </c>
      <c r="M59" s="517"/>
      <c r="N59" s="517"/>
      <c r="O59" s="517"/>
      <c r="P59" s="517"/>
      <c r="Q59" s="517"/>
      <c r="R59" s="517"/>
      <c r="T59" s="517">
        <f>T61+T67+T68+T77+T78</f>
        <v>-191010</v>
      </c>
      <c r="U59" s="517">
        <f>U61+U67+U68+U77+U78</f>
        <v>-222720</v>
      </c>
    </row>
    <row r="60" spans="1:21">
      <c r="A60" s="509"/>
      <c r="C60" s="514"/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514"/>
      <c r="R60" s="514"/>
      <c r="T60" s="514"/>
      <c r="U60" s="514"/>
    </row>
    <row r="61" spans="1:21">
      <c r="A61" s="512" t="s">
        <v>508</v>
      </c>
      <c r="C61" s="515">
        <f t="shared" ref="C61:H61" si="19">SUM(C62:C66)</f>
        <v>-39253</v>
      </c>
      <c r="D61" s="515">
        <f t="shared" si="19"/>
        <v>-85974</v>
      </c>
      <c r="E61" s="515">
        <f t="shared" si="19"/>
        <v>-131866</v>
      </c>
      <c r="F61" s="515">
        <f t="shared" si="19"/>
        <v>-200564</v>
      </c>
      <c r="G61" s="515">
        <f t="shared" si="19"/>
        <v>-50691</v>
      </c>
      <c r="H61" s="515">
        <f t="shared" si="19"/>
        <v>-104926</v>
      </c>
      <c r="I61" s="515">
        <f>SUM(I62:I66)</f>
        <v>-159569</v>
      </c>
      <c r="J61" s="515">
        <f>SUM(J62:J66)</f>
        <v>-226428</v>
      </c>
      <c r="K61" s="515">
        <f t="shared" ref="K61:L61" si="20">SUM(K62:K66)</f>
        <v>-55052</v>
      </c>
      <c r="L61" s="515">
        <f t="shared" si="20"/>
        <v>-136896</v>
      </c>
      <c r="M61" s="515"/>
      <c r="N61" s="515"/>
      <c r="O61" s="515"/>
      <c r="P61" s="515"/>
      <c r="Q61" s="515"/>
      <c r="R61" s="515"/>
      <c r="T61" s="515">
        <f t="shared" ref="T61:U61" si="21">SUM(T62:T66)</f>
        <v>-55052</v>
      </c>
      <c r="U61" s="515">
        <f t="shared" si="21"/>
        <v>-81844</v>
      </c>
    </row>
    <row r="62" spans="1:21" outlineLevel="1">
      <c r="A62" s="511" t="s">
        <v>509</v>
      </c>
      <c r="C62" s="516">
        <v>-6584</v>
      </c>
      <c r="D62" s="516">
        <v>-12888</v>
      </c>
      <c r="E62" s="516">
        <v>-19698</v>
      </c>
      <c r="F62" s="516">
        <v>-24173</v>
      </c>
      <c r="G62" s="516">
        <v>-6554</v>
      </c>
      <c r="H62" s="516">
        <v>-13213</v>
      </c>
      <c r="I62" s="516">
        <v>-20123</v>
      </c>
      <c r="J62" s="516">
        <v>-27616</v>
      </c>
      <c r="K62" s="516">
        <v>-7413</v>
      </c>
      <c r="L62" s="516">
        <v>-19936</v>
      </c>
      <c r="M62" s="516"/>
      <c r="N62" s="516"/>
      <c r="O62" s="516"/>
      <c r="P62" s="516"/>
      <c r="Q62" s="516"/>
      <c r="R62" s="516"/>
      <c r="T62" s="516">
        <f t="shared" ref="T62:T67" si="22">K62</f>
        <v>-7413</v>
      </c>
      <c r="U62" s="516">
        <f t="shared" ref="U62:U67" si="23">L62-T62</f>
        <v>-12523</v>
      </c>
    </row>
    <row r="63" spans="1:21" outlineLevel="1">
      <c r="A63" s="511" t="s">
        <v>510</v>
      </c>
      <c r="C63" s="516">
        <v>-2810</v>
      </c>
      <c r="D63" s="516">
        <v>-5140</v>
      </c>
      <c r="E63" s="516">
        <v>-8194</v>
      </c>
      <c r="F63" s="516">
        <v>-11299</v>
      </c>
      <c r="G63" s="516">
        <v>-2370</v>
      </c>
      <c r="H63" s="516">
        <v>-5082</v>
      </c>
      <c r="I63" s="516">
        <v>-8942</v>
      </c>
      <c r="J63" s="516">
        <v>-14428</v>
      </c>
      <c r="K63" s="516">
        <v>-3870</v>
      </c>
      <c r="L63" s="516">
        <v>-7769</v>
      </c>
      <c r="M63" s="516"/>
      <c r="N63" s="516"/>
      <c r="O63" s="516"/>
      <c r="P63" s="516"/>
      <c r="Q63" s="516"/>
      <c r="R63" s="516"/>
      <c r="T63" s="516">
        <f t="shared" si="22"/>
        <v>-3870</v>
      </c>
      <c r="U63" s="516">
        <f t="shared" si="23"/>
        <v>-3899</v>
      </c>
    </row>
    <row r="64" spans="1:21" outlineLevel="1">
      <c r="A64" s="511" t="s">
        <v>511</v>
      </c>
      <c r="C64" s="516">
        <v>-30299</v>
      </c>
      <c r="D64" s="516">
        <v>-66342</v>
      </c>
      <c r="E64" s="516">
        <v>-103539</v>
      </c>
      <c r="F64" s="516">
        <v>-159206</v>
      </c>
      <c r="G64" s="516">
        <v>-41628</v>
      </c>
      <c r="H64" s="516">
        <v>-84106</v>
      </c>
      <c r="I64" s="516">
        <v>-130044</v>
      </c>
      <c r="J64" s="516">
        <v>-178150</v>
      </c>
      <c r="K64" s="516">
        <v>-44748</v>
      </c>
      <c r="L64" s="516">
        <v>-108591</v>
      </c>
      <c r="M64" s="516"/>
      <c r="N64" s="516"/>
      <c r="O64" s="516"/>
      <c r="P64" s="516"/>
      <c r="Q64" s="516"/>
      <c r="R64" s="516"/>
      <c r="T64" s="516">
        <f t="shared" si="22"/>
        <v>-44748</v>
      </c>
      <c r="U64" s="516">
        <f t="shared" si="23"/>
        <v>-63843</v>
      </c>
    </row>
    <row r="65" spans="1:21" outlineLevel="1">
      <c r="A65" s="511" t="s">
        <v>512</v>
      </c>
      <c r="C65" s="516">
        <v>-905</v>
      </c>
      <c r="D65" s="516">
        <v>-1736</v>
      </c>
      <c r="E65" s="516">
        <v>-2767</v>
      </c>
      <c r="F65" s="516">
        <v>-3866</v>
      </c>
      <c r="G65" s="516">
        <v>-1070</v>
      </c>
      <c r="H65" s="516">
        <v>-2251</v>
      </c>
      <c r="I65" s="516">
        <v>-3416</v>
      </c>
      <c r="J65" s="516">
        <v>-4540</v>
      </c>
      <c r="K65" s="516">
        <v>-1243</v>
      </c>
      <c r="L65" s="516">
        <v>-2129</v>
      </c>
      <c r="M65" s="516"/>
      <c r="N65" s="516"/>
      <c r="O65" s="516"/>
      <c r="P65" s="516"/>
      <c r="Q65" s="516"/>
      <c r="R65" s="516"/>
      <c r="T65" s="516">
        <f t="shared" si="22"/>
        <v>-1243</v>
      </c>
      <c r="U65" s="516">
        <f t="shared" si="23"/>
        <v>-886</v>
      </c>
    </row>
    <row r="66" spans="1:21" outlineLevel="1">
      <c r="A66" s="511" t="s">
        <v>513</v>
      </c>
      <c r="C66" s="516">
        <v>1345</v>
      </c>
      <c r="D66" s="516">
        <v>132</v>
      </c>
      <c r="E66" s="516">
        <v>2332</v>
      </c>
      <c r="F66" s="516">
        <v>-2020</v>
      </c>
      <c r="G66" s="516">
        <v>931</v>
      </c>
      <c r="H66" s="516">
        <v>-274</v>
      </c>
      <c r="I66" s="516">
        <v>2956</v>
      </c>
      <c r="J66" s="516">
        <v>-1694</v>
      </c>
      <c r="K66" s="516">
        <v>2222</v>
      </c>
      <c r="L66" s="516">
        <v>1529</v>
      </c>
      <c r="M66" s="516"/>
      <c r="N66" s="516"/>
      <c r="O66" s="516"/>
      <c r="P66" s="516"/>
      <c r="Q66" s="516"/>
      <c r="R66" s="516"/>
      <c r="T66" s="516">
        <f t="shared" si="22"/>
        <v>2222</v>
      </c>
      <c r="U66" s="516">
        <f t="shared" si="23"/>
        <v>-693</v>
      </c>
    </row>
    <row r="67" spans="1:21">
      <c r="A67" s="510" t="s">
        <v>514</v>
      </c>
      <c r="C67" s="518">
        <v>-44904</v>
      </c>
      <c r="D67" s="518">
        <v>-79478</v>
      </c>
      <c r="E67" s="518">
        <v>-129421</v>
      </c>
      <c r="F67" s="518">
        <v>-95999</v>
      </c>
      <c r="G67" s="518">
        <v>-31861</v>
      </c>
      <c r="H67" s="518">
        <v>-57500</v>
      </c>
      <c r="I67" s="518">
        <v>-111447</v>
      </c>
      <c r="J67" s="518">
        <v>-149535</v>
      </c>
      <c r="K67" s="518">
        <v>-56755</v>
      </c>
      <c r="L67" s="518">
        <v>-105142</v>
      </c>
      <c r="M67" s="518"/>
      <c r="N67" s="518"/>
      <c r="O67" s="518"/>
      <c r="P67" s="518"/>
      <c r="Q67" s="518"/>
      <c r="R67" s="518"/>
      <c r="T67" s="518">
        <f t="shared" si="22"/>
        <v>-56755</v>
      </c>
      <c r="U67" s="518">
        <f t="shared" si="23"/>
        <v>-48387</v>
      </c>
    </row>
    <row r="68" spans="1:21">
      <c r="A68" s="510" t="s">
        <v>515</v>
      </c>
      <c r="C68" s="515">
        <f t="shared" ref="C68:H68" si="24">SUM(C69:C76)</f>
        <v>-58020</v>
      </c>
      <c r="D68" s="515">
        <f t="shared" si="24"/>
        <v>-125780</v>
      </c>
      <c r="E68" s="515">
        <f t="shared" si="24"/>
        <v>-192203</v>
      </c>
      <c r="F68" s="515">
        <f t="shared" si="24"/>
        <v>-261035</v>
      </c>
      <c r="G68" s="515">
        <f t="shared" si="24"/>
        <v>-37263</v>
      </c>
      <c r="H68" s="515">
        <f t="shared" si="24"/>
        <v>-41615</v>
      </c>
      <c r="I68" s="515">
        <f>SUM(I69:I76)</f>
        <v>-80561</v>
      </c>
      <c r="J68" s="515">
        <f>SUM(J69:J76)</f>
        <v>-135218</v>
      </c>
      <c r="K68" s="515">
        <f>SUM(K69:K76)</f>
        <v>-49770</v>
      </c>
      <c r="L68" s="515">
        <f>SUM(L69:L76)</f>
        <v>-97327</v>
      </c>
      <c r="M68" s="515"/>
      <c r="N68" s="515"/>
      <c r="O68" s="515"/>
      <c r="P68" s="515"/>
      <c r="Q68" s="515"/>
      <c r="R68" s="515"/>
      <c r="T68" s="515">
        <f>SUM(T69:T76)</f>
        <v>-49770</v>
      </c>
      <c r="U68" s="515">
        <f>SUM(U69:U76)</f>
        <v>-47557</v>
      </c>
    </row>
    <row r="69" spans="1:21" outlineLevel="1">
      <c r="A69" s="511" t="s">
        <v>516</v>
      </c>
      <c r="C69" s="516">
        <v>-22111</v>
      </c>
      <c r="D69" s="516">
        <v>-47008</v>
      </c>
      <c r="E69" s="516">
        <v>-71763</v>
      </c>
      <c r="F69" s="516">
        <v>-104755</v>
      </c>
      <c r="G69" s="516">
        <v>-27735</v>
      </c>
      <c r="H69" s="516">
        <v>-52759</v>
      </c>
      <c r="I69" s="516">
        <v>-74904</v>
      </c>
      <c r="J69" s="516">
        <v>-111823</v>
      </c>
      <c r="K69" s="516">
        <v>-26364</v>
      </c>
      <c r="L69" s="516">
        <v>-52993</v>
      </c>
      <c r="M69" s="516"/>
      <c r="N69" s="516"/>
      <c r="O69" s="516"/>
      <c r="P69" s="516"/>
      <c r="Q69" s="516"/>
      <c r="R69" s="516"/>
      <c r="T69" s="516">
        <f t="shared" ref="T69:T77" si="25">K69</f>
        <v>-26364</v>
      </c>
      <c r="U69" s="516">
        <f t="shared" ref="U69:U76" si="26">L69-T69</f>
        <v>-26629</v>
      </c>
    </row>
    <row r="70" spans="1:21" outlineLevel="1">
      <c r="A70" s="511" t="s">
        <v>517</v>
      </c>
      <c r="C70" s="516">
        <v>-279</v>
      </c>
      <c r="D70" s="516">
        <v>-594</v>
      </c>
      <c r="E70" s="516">
        <v>-1100</v>
      </c>
      <c r="F70" s="516">
        <v>1016</v>
      </c>
      <c r="G70" s="516">
        <v>103</v>
      </c>
      <c r="H70" s="516">
        <v>1475</v>
      </c>
      <c r="I70" s="516">
        <v>4491</v>
      </c>
      <c r="J70" s="516">
        <v>733</v>
      </c>
      <c r="K70" s="516">
        <v>564</v>
      </c>
      <c r="L70" s="516">
        <v>1143</v>
      </c>
      <c r="M70" s="516"/>
      <c r="N70" s="516"/>
      <c r="O70" s="516"/>
      <c r="P70" s="516"/>
      <c r="Q70" s="516"/>
      <c r="R70" s="516"/>
      <c r="T70" s="516">
        <f t="shared" si="25"/>
        <v>564</v>
      </c>
      <c r="U70" s="516">
        <f t="shared" si="26"/>
        <v>579</v>
      </c>
    </row>
    <row r="71" spans="1:21" outlineLevel="1">
      <c r="A71" s="511" t="s">
        <v>518</v>
      </c>
      <c r="C71" s="516">
        <v>-18907</v>
      </c>
      <c r="D71" s="516">
        <v>-45237</v>
      </c>
      <c r="E71" s="516">
        <v>-65268</v>
      </c>
      <c r="F71" s="516">
        <v>-88874</v>
      </c>
      <c r="G71" s="516">
        <v>7789</v>
      </c>
      <c r="H71" s="516">
        <v>41535</v>
      </c>
      <c r="I71" s="516">
        <v>33958</v>
      </c>
      <c r="J71" s="516">
        <v>27975</v>
      </c>
      <c r="K71" s="516">
        <v>-6254</v>
      </c>
      <c r="L71" s="516">
        <v>-16184</v>
      </c>
      <c r="M71" s="516"/>
      <c r="N71" s="516"/>
      <c r="O71" s="516"/>
      <c r="P71" s="516"/>
      <c r="Q71" s="516"/>
      <c r="R71" s="516"/>
      <c r="T71" s="516">
        <f t="shared" si="25"/>
        <v>-6254</v>
      </c>
      <c r="U71" s="516">
        <f t="shared" si="26"/>
        <v>-9930</v>
      </c>
    </row>
    <row r="72" spans="1:21" outlineLevel="1">
      <c r="A72" s="511" t="s">
        <v>519</v>
      </c>
      <c r="C72" s="516">
        <v>192</v>
      </c>
      <c r="D72" s="516">
        <v>487</v>
      </c>
      <c r="E72" s="516">
        <v>390</v>
      </c>
      <c r="F72" s="516">
        <v>-229</v>
      </c>
      <c r="G72" s="516">
        <v>-78</v>
      </c>
      <c r="H72" s="516">
        <v>-214</v>
      </c>
      <c r="I72" s="516">
        <v>-331</v>
      </c>
      <c r="J72" s="516">
        <v>-48</v>
      </c>
      <c r="K72" s="516">
        <v>487</v>
      </c>
      <c r="L72" s="516">
        <v>238</v>
      </c>
      <c r="M72" s="516"/>
      <c r="N72" s="516"/>
      <c r="O72" s="516"/>
      <c r="P72" s="516"/>
      <c r="Q72" s="516"/>
      <c r="R72" s="516"/>
      <c r="T72" s="516">
        <f t="shared" si="25"/>
        <v>487</v>
      </c>
      <c r="U72" s="516">
        <f t="shared" si="26"/>
        <v>-249</v>
      </c>
    </row>
    <row r="73" spans="1:21" outlineLevel="1">
      <c r="A73" s="511" t="s">
        <v>520</v>
      </c>
      <c r="C73" s="516">
        <v>-958</v>
      </c>
      <c r="D73" s="516">
        <v>-1139</v>
      </c>
      <c r="E73" s="516">
        <v>-1652</v>
      </c>
      <c r="F73" s="516">
        <v>4695</v>
      </c>
      <c r="G73" s="516">
        <v>-1315</v>
      </c>
      <c r="H73" s="516">
        <v>1247</v>
      </c>
      <c r="I73" s="516">
        <v>247</v>
      </c>
      <c r="J73" s="516">
        <v>6275</v>
      </c>
      <c r="K73" s="516">
        <v>-2433</v>
      </c>
      <c r="L73" s="516">
        <v>-480</v>
      </c>
      <c r="M73" s="516"/>
      <c r="N73" s="516"/>
      <c r="O73" s="516"/>
      <c r="P73" s="516"/>
      <c r="Q73" s="516"/>
      <c r="R73" s="516"/>
      <c r="T73" s="516">
        <f t="shared" si="25"/>
        <v>-2433</v>
      </c>
      <c r="U73" s="516">
        <f t="shared" si="26"/>
        <v>1953</v>
      </c>
    </row>
    <row r="74" spans="1:21" outlineLevel="1">
      <c r="A74" s="511" t="s">
        <v>521</v>
      </c>
      <c r="C74" s="516">
        <v>-4486</v>
      </c>
      <c r="D74" s="516">
        <v>-7036</v>
      </c>
      <c r="E74" s="516">
        <v>-12293</v>
      </c>
      <c r="F74" s="516">
        <v>-19057</v>
      </c>
      <c r="G74" s="516">
        <v>-5630</v>
      </c>
      <c r="H74" s="516">
        <v>-11486</v>
      </c>
      <c r="I74" s="516">
        <v>-12653</v>
      </c>
      <c r="J74" s="516">
        <v>-13426</v>
      </c>
      <c r="K74" s="516">
        <v>-4932</v>
      </c>
      <c r="L74" s="516">
        <v>-7628</v>
      </c>
      <c r="M74" s="516"/>
      <c r="N74" s="516"/>
      <c r="O74" s="516"/>
      <c r="P74" s="516"/>
      <c r="Q74" s="516"/>
      <c r="R74" s="516"/>
      <c r="T74" s="516">
        <f t="shared" si="25"/>
        <v>-4932</v>
      </c>
      <c r="U74" s="516">
        <f t="shared" si="26"/>
        <v>-2696</v>
      </c>
    </row>
    <row r="75" spans="1:21" outlineLevel="1">
      <c r="A75" s="511" t="s">
        <v>522</v>
      </c>
      <c r="C75" s="516">
        <v>-11471</v>
      </c>
      <c r="D75" s="516">
        <v>-25253</v>
      </c>
      <c r="E75" s="516">
        <v>-40517</v>
      </c>
      <c r="F75" s="516">
        <v>-53831</v>
      </c>
      <c r="G75" s="516">
        <v>-10397</v>
      </c>
      <c r="H75" s="516">
        <v>-21413</v>
      </c>
      <c r="I75" s="516">
        <v>-31369</v>
      </c>
      <c r="J75" s="516">
        <v>-44904</v>
      </c>
      <c r="K75" s="516">
        <v>-10838</v>
      </c>
      <c r="L75" s="516">
        <v>-21423</v>
      </c>
      <c r="M75" s="516"/>
      <c r="N75" s="516"/>
      <c r="O75" s="516"/>
      <c r="P75" s="516"/>
      <c r="Q75" s="516"/>
      <c r="R75" s="516"/>
      <c r="T75" s="516">
        <f t="shared" si="25"/>
        <v>-10838</v>
      </c>
      <c r="U75" s="516">
        <f t="shared" si="26"/>
        <v>-10585</v>
      </c>
    </row>
    <row r="76" spans="1:21" outlineLevel="1">
      <c r="A76" s="511" t="s">
        <v>523</v>
      </c>
      <c r="C76" s="516">
        <v>0</v>
      </c>
      <c r="D76" s="516">
        <v>0</v>
      </c>
      <c r="E76" s="516">
        <v>0</v>
      </c>
      <c r="F76" s="516">
        <v>0</v>
      </c>
      <c r="G76" s="516">
        <v>0</v>
      </c>
      <c r="H76" s="516">
        <v>0</v>
      </c>
      <c r="I76" s="516">
        <v>0</v>
      </c>
      <c r="J76" s="516">
        <v>0</v>
      </c>
      <c r="K76" s="516">
        <v>0</v>
      </c>
      <c r="L76" s="516">
        <v>0</v>
      </c>
      <c r="M76" s="516"/>
      <c r="N76" s="516"/>
      <c r="O76" s="516"/>
      <c r="P76" s="516"/>
      <c r="Q76" s="516"/>
      <c r="R76" s="516"/>
      <c r="T76" s="516">
        <f t="shared" si="25"/>
        <v>0</v>
      </c>
      <c r="U76" s="516">
        <f t="shared" si="26"/>
        <v>0</v>
      </c>
    </row>
    <row r="77" spans="1:21">
      <c r="A77" s="510" t="s">
        <v>524</v>
      </c>
      <c r="C77" s="515">
        <v>0</v>
      </c>
      <c r="D77" s="515">
        <v>0</v>
      </c>
      <c r="E77" s="515">
        <v>0</v>
      </c>
      <c r="F77" s="515">
        <v>0</v>
      </c>
      <c r="G77" s="515">
        <v>0</v>
      </c>
      <c r="H77" s="515">
        <v>0</v>
      </c>
      <c r="I77" s="515">
        <v>0</v>
      </c>
      <c r="J77" s="515"/>
      <c r="K77" s="515">
        <v>0</v>
      </c>
      <c r="L77" s="515">
        <v>0</v>
      </c>
      <c r="M77" s="515"/>
      <c r="N77" s="515"/>
      <c r="O77" s="515"/>
      <c r="P77" s="515"/>
      <c r="Q77" s="515"/>
      <c r="R77" s="515"/>
      <c r="T77" s="515">
        <f t="shared" si="25"/>
        <v>0</v>
      </c>
      <c r="U77" s="515"/>
    </row>
    <row r="78" spans="1:21">
      <c r="A78" s="510" t="s">
        <v>525</v>
      </c>
      <c r="C78" s="515">
        <f t="shared" ref="C78:K78" si="27">SUM(C79:C81)</f>
        <v>-41935</v>
      </c>
      <c r="D78" s="515">
        <f t="shared" si="27"/>
        <v>-119003</v>
      </c>
      <c r="E78" s="515">
        <f t="shared" si="27"/>
        <v>-147633</v>
      </c>
      <c r="F78" s="515">
        <f t="shared" si="27"/>
        <v>-348737</v>
      </c>
      <c r="G78" s="515">
        <f t="shared" si="27"/>
        <v>24998</v>
      </c>
      <c r="H78" s="515">
        <f t="shared" si="27"/>
        <v>-25714</v>
      </c>
      <c r="I78" s="515">
        <f t="shared" si="27"/>
        <v>-90030</v>
      </c>
      <c r="J78" s="515">
        <f t="shared" si="27"/>
        <v>-113267</v>
      </c>
      <c r="K78" s="515">
        <f t="shared" si="27"/>
        <v>-29433</v>
      </c>
      <c r="L78" s="515">
        <f>SUM(L79:L81)</f>
        <v>-74365</v>
      </c>
      <c r="M78" s="515"/>
      <c r="N78" s="515"/>
      <c r="O78" s="515"/>
      <c r="P78" s="515"/>
      <c r="Q78" s="515"/>
      <c r="R78" s="515"/>
      <c r="T78" s="515">
        <f t="shared" ref="T78:U78" si="28">SUM(T79:T81)</f>
        <v>-29433</v>
      </c>
      <c r="U78" s="515">
        <f t="shared" si="28"/>
        <v>-44932</v>
      </c>
    </row>
    <row r="79" spans="1:21" outlineLevel="1">
      <c r="A79" s="511" t="s">
        <v>526</v>
      </c>
      <c r="C79" s="516">
        <v>-2613</v>
      </c>
      <c r="D79" s="516">
        <v>-5508</v>
      </c>
      <c r="E79" s="516">
        <v>-10537</v>
      </c>
      <c r="F79" s="516">
        <v>-18778</v>
      </c>
      <c r="G79" s="516">
        <v>-3129</v>
      </c>
      <c r="H79" s="516">
        <v>-5210</v>
      </c>
      <c r="I79" s="516">
        <v>-7775</v>
      </c>
      <c r="J79" s="516">
        <v>-16436</v>
      </c>
      <c r="K79" s="516">
        <v>-5438</v>
      </c>
      <c r="L79" s="516">
        <v>-9259</v>
      </c>
      <c r="M79" s="516"/>
      <c r="N79" s="516"/>
      <c r="O79" s="516"/>
      <c r="P79" s="516"/>
      <c r="Q79" s="516"/>
      <c r="R79" s="516"/>
      <c r="T79" s="516">
        <f t="shared" ref="T79:T80" si="29">K79</f>
        <v>-5438</v>
      </c>
      <c r="U79" s="516">
        <f t="shared" ref="U79:U81" si="30">L79-T79</f>
        <v>-3821</v>
      </c>
    </row>
    <row r="80" spans="1:21" outlineLevel="1">
      <c r="A80" s="511" t="s">
        <v>527</v>
      </c>
      <c r="C80" s="516">
        <v>-39322</v>
      </c>
      <c r="D80" s="516">
        <v>-113495</v>
      </c>
      <c r="E80" s="516">
        <v>-137096</v>
      </c>
      <c r="F80" s="516">
        <v>-329959</v>
      </c>
      <c r="G80" s="516">
        <v>28127</v>
      </c>
      <c r="H80" s="516">
        <v>-20504</v>
      </c>
      <c r="I80" s="516">
        <v>-82255</v>
      </c>
      <c r="J80" s="516">
        <v>-96831</v>
      </c>
      <c r="K80" s="516">
        <v>-23995</v>
      </c>
      <c r="L80" s="516">
        <v>-44040</v>
      </c>
      <c r="M80" s="516"/>
      <c r="N80" s="516"/>
      <c r="O80" s="516"/>
      <c r="P80" s="516"/>
      <c r="Q80" s="516"/>
      <c r="R80" s="516"/>
      <c r="T80" s="516">
        <f t="shared" si="29"/>
        <v>-23995</v>
      </c>
      <c r="U80" s="516">
        <f t="shared" si="30"/>
        <v>-20045</v>
      </c>
    </row>
    <row r="81" spans="1:21" outlineLevel="1">
      <c r="A81" s="511" t="s">
        <v>528</v>
      </c>
      <c r="C81" s="516"/>
      <c r="D81" s="516"/>
      <c r="E81" s="516"/>
      <c r="F81" s="516"/>
      <c r="G81" s="516"/>
      <c r="H81" s="516"/>
      <c r="I81" s="516"/>
      <c r="J81" s="516"/>
      <c r="K81" s="516"/>
      <c r="L81" s="516">
        <v>-21066</v>
      </c>
      <c r="M81" s="516"/>
      <c r="N81" s="516"/>
      <c r="O81" s="516"/>
      <c r="P81" s="516"/>
      <c r="Q81" s="516"/>
      <c r="R81" s="516"/>
      <c r="T81" s="516"/>
      <c r="U81" s="516">
        <f t="shared" si="30"/>
        <v>-21066</v>
      </c>
    </row>
    <row r="82" spans="1:21">
      <c r="A82" s="510"/>
      <c r="C82" s="510"/>
      <c r="D82" s="510"/>
      <c r="E82" s="510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0"/>
      <c r="T82" s="510"/>
      <c r="U82" s="510"/>
    </row>
    <row r="83" spans="1:21">
      <c r="A83" s="522" t="s">
        <v>529</v>
      </c>
      <c r="C83" s="513">
        <f t="shared" ref="C83:H83" si="31">C85-C75-C52-C76</f>
        <v>558723</v>
      </c>
      <c r="D83" s="513">
        <f t="shared" si="31"/>
        <v>1238840</v>
      </c>
      <c r="E83" s="513">
        <f t="shared" si="31"/>
        <v>1746716</v>
      </c>
      <c r="F83" s="513">
        <f t="shared" si="31"/>
        <v>2399015</v>
      </c>
      <c r="G83" s="513">
        <f t="shared" si="31"/>
        <v>691434</v>
      </c>
      <c r="H83" s="513">
        <f t="shared" si="31"/>
        <v>1535341</v>
      </c>
      <c r="I83" s="513">
        <f>I85-I75-I52-I76</f>
        <v>2527751</v>
      </c>
      <c r="J83" s="513">
        <f>J85-J75-J52-J76</f>
        <v>3323524</v>
      </c>
      <c r="K83" s="513">
        <f>K85-K75-K52-K76</f>
        <v>737201</v>
      </c>
      <c r="L83" s="513">
        <f>L85-L75-L52-L76</f>
        <v>1521184</v>
      </c>
      <c r="M83" s="513"/>
      <c r="N83" s="513"/>
      <c r="O83" s="513"/>
      <c r="P83" s="513"/>
      <c r="Q83" s="513"/>
      <c r="R83" s="513"/>
      <c r="T83" s="513">
        <f>T85-T75-T52-T76</f>
        <v>737201</v>
      </c>
      <c r="U83" s="513">
        <f>U85-U75-U52-U76</f>
        <v>783983</v>
      </c>
    </row>
    <row r="84" spans="1:21">
      <c r="A84" s="510"/>
      <c r="C84" s="510"/>
      <c r="D84" s="510"/>
      <c r="E84" s="510"/>
      <c r="F84" s="510"/>
      <c r="G84" s="510"/>
      <c r="H84" s="510"/>
      <c r="I84" s="510"/>
      <c r="J84" s="510"/>
      <c r="K84" s="510"/>
      <c r="L84" s="510"/>
      <c r="M84" s="510"/>
      <c r="N84" s="510"/>
      <c r="O84" s="510"/>
      <c r="P84" s="510"/>
      <c r="Q84" s="510"/>
      <c r="R84" s="510"/>
      <c r="T84" s="510"/>
      <c r="U84" s="510"/>
    </row>
    <row r="85" spans="1:21">
      <c r="A85" s="522" t="s">
        <v>530</v>
      </c>
      <c r="C85" s="513">
        <f t="shared" ref="C85:H85" si="32">C57+C59</f>
        <v>471977</v>
      </c>
      <c r="D85" s="513">
        <f t="shared" si="32"/>
        <v>1057706</v>
      </c>
      <c r="E85" s="513">
        <f t="shared" si="32"/>
        <v>1471747</v>
      </c>
      <c r="F85" s="513">
        <f t="shared" si="32"/>
        <v>2018610</v>
      </c>
      <c r="G85" s="513">
        <f t="shared" si="32"/>
        <v>576539</v>
      </c>
      <c r="H85" s="513">
        <f t="shared" si="32"/>
        <v>1315764</v>
      </c>
      <c r="I85" s="513">
        <f>I57+I59</f>
        <v>2204392</v>
      </c>
      <c r="J85" s="513">
        <f>J57+J59</f>
        <v>2884451</v>
      </c>
      <c r="K85" s="513">
        <f>K57+K59</f>
        <v>621711</v>
      </c>
      <c r="L85" s="513">
        <f>L57+L59</f>
        <v>1285046</v>
      </c>
      <c r="M85" s="513"/>
      <c r="N85" s="513"/>
      <c r="O85" s="513"/>
      <c r="P85" s="513"/>
      <c r="Q85" s="513"/>
      <c r="R85" s="513"/>
      <c r="T85" s="513">
        <f>T57+T59</f>
        <v>621711</v>
      </c>
      <c r="U85" s="513">
        <f>U57+U59</f>
        <v>663335</v>
      </c>
    </row>
    <row r="86" spans="1:21">
      <c r="A86" s="510"/>
      <c r="C86" s="510"/>
      <c r="D86" s="510"/>
      <c r="E86" s="510"/>
      <c r="F86" s="510"/>
      <c r="G86" s="510"/>
      <c r="H86" s="510"/>
      <c r="I86" s="510"/>
      <c r="J86" s="510"/>
      <c r="K86" s="510"/>
      <c r="L86" s="510"/>
      <c r="M86" s="510"/>
      <c r="N86" s="510"/>
      <c r="O86" s="510"/>
      <c r="P86" s="510"/>
      <c r="Q86" s="510"/>
      <c r="R86" s="510"/>
      <c r="T86" s="510"/>
      <c r="U86" s="510"/>
    </row>
    <row r="87" spans="1:21">
      <c r="A87" s="522" t="s">
        <v>531</v>
      </c>
      <c r="C87" s="513">
        <f t="shared" ref="C87:H87" si="33">C89+C98</f>
        <v>-90043</v>
      </c>
      <c r="D87" s="513">
        <f t="shared" si="33"/>
        <v>-200252</v>
      </c>
      <c r="E87" s="513">
        <f t="shared" si="33"/>
        <v>-213768</v>
      </c>
      <c r="F87" s="513">
        <f t="shared" si="33"/>
        <v>-282902</v>
      </c>
      <c r="G87" s="513">
        <f t="shared" si="33"/>
        <v>-103294</v>
      </c>
      <c r="H87" s="513">
        <f t="shared" si="33"/>
        <v>-213058</v>
      </c>
      <c r="I87" s="513">
        <f>I89+I98</f>
        <v>-253692</v>
      </c>
      <c r="J87" s="513">
        <f>J89+J98</f>
        <v>-331382</v>
      </c>
      <c r="K87" s="513">
        <f>K89+K98</f>
        <v>-97114</v>
      </c>
      <c r="L87" s="513">
        <f>L89+L98</f>
        <v>-175089</v>
      </c>
      <c r="M87" s="513"/>
      <c r="N87" s="513"/>
      <c r="O87" s="513"/>
      <c r="P87" s="513"/>
      <c r="Q87" s="513"/>
      <c r="R87" s="513"/>
      <c r="T87" s="513">
        <f>T89+T98</f>
        <v>-97114</v>
      </c>
      <c r="U87" s="513">
        <f>U89+U98</f>
        <v>-77975</v>
      </c>
    </row>
    <row r="88" spans="1:21">
      <c r="A88" s="509"/>
      <c r="C88" s="510"/>
      <c r="D88" s="510"/>
      <c r="E88" s="510"/>
      <c r="F88" s="510"/>
      <c r="G88" s="510"/>
      <c r="H88" s="510"/>
      <c r="I88" s="510"/>
      <c r="J88" s="510"/>
      <c r="K88" s="510"/>
      <c r="L88" s="510"/>
      <c r="M88" s="510"/>
      <c r="N88" s="510"/>
      <c r="O88" s="510"/>
      <c r="P88" s="510"/>
      <c r="Q88" s="510"/>
      <c r="R88" s="510"/>
      <c r="T88" s="510"/>
      <c r="U88" s="510"/>
    </row>
    <row r="89" spans="1:21">
      <c r="A89" s="510" t="s">
        <v>532</v>
      </c>
      <c r="C89" s="517">
        <f t="shared" ref="C89:H89" si="34">SUM(C90:C97)</f>
        <v>264290</v>
      </c>
      <c r="D89" s="517">
        <f t="shared" si="34"/>
        <v>494975</v>
      </c>
      <c r="E89" s="517">
        <f t="shared" si="34"/>
        <v>669794</v>
      </c>
      <c r="F89" s="517">
        <f t="shared" si="34"/>
        <v>850279</v>
      </c>
      <c r="G89" s="517">
        <f t="shared" si="34"/>
        <v>147081</v>
      </c>
      <c r="H89" s="517">
        <f t="shared" si="34"/>
        <v>432645</v>
      </c>
      <c r="I89" s="517">
        <f>SUM(I90:I97)</f>
        <v>511423</v>
      </c>
      <c r="J89" s="517">
        <f>SUM(J90:J97)</f>
        <v>679121</v>
      </c>
      <c r="K89" s="517">
        <f>SUM(K90:K97)</f>
        <v>106943</v>
      </c>
      <c r="L89" s="517">
        <f>SUM(L90:L97)</f>
        <v>343067</v>
      </c>
      <c r="M89" s="517"/>
      <c r="N89" s="517"/>
      <c r="O89" s="517"/>
      <c r="P89" s="517"/>
      <c r="Q89" s="517"/>
      <c r="R89" s="517"/>
      <c r="T89" s="517">
        <f>SUM(T90:T97)</f>
        <v>106943</v>
      </c>
      <c r="U89" s="517">
        <f>SUM(U90:U97)</f>
        <v>236124</v>
      </c>
    </row>
    <row r="90" spans="1:21" outlineLevel="1">
      <c r="A90" s="511" t="s">
        <v>533</v>
      </c>
      <c r="C90" s="516">
        <v>108133</v>
      </c>
      <c r="D90" s="516">
        <v>228022</v>
      </c>
      <c r="E90" s="516">
        <v>363286</v>
      </c>
      <c r="F90" s="516">
        <v>471296</v>
      </c>
      <c r="G90" s="516">
        <v>110268</v>
      </c>
      <c r="H90" s="516">
        <v>270731</v>
      </c>
      <c r="I90" s="516">
        <v>361802</v>
      </c>
      <c r="J90" s="516">
        <v>455597</v>
      </c>
      <c r="K90" s="516">
        <v>73850</v>
      </c>
      <c r="L90" s="516">
        <v>281590</v>
      </c>
      <c r="M90" s="516"/>
      <c r="N90" s="516"/>
      <c r="O90" s="516"/>
      <c r="P90" s="516"/>
      <c r="Q90" s="516"/>
      <c r="R90" s="516"/>
      <c r="T90" s="516">
        <f t="shared" ref="T90:T97" si="35">K90</f>
        <v>73850</v>
      </c>
      <c r="U90" s="516">
        <f t="shared" ref="U90:U97" si="36">L90-T90</f>
        <v>207740</v>
      </c>
    </row>
    <row r="91" spans="1:21" outlineLevel="1">
      <c r="A91" s="511" t="s">
        <v>534</v>
      </c>
      <c r="C91" s="516">
        <v>-4961</v>
      </c>
      <c r="D91" s="516">
        <v>-11782</v>
      </c>
      <c r="E91" s="516">
        <v>-18508</v>
      </c>
      <c r="F91" s="516">
        <v>-25847</v>
      </c>
      <c r="G91" s="516">
        <v>-6307</v>
      </c>
      <c r="H91" s="516">
        <v>-11807</v>
      </c>
      <c r="I91" s="516">
        <v>-16980</v>
      </c>
      <c r="J91" s="516">
        <v>-21536</v>
      </c>
      <c r="K91" s="516">
        <v>-4077</v>
      </c>
      <c r="L91" s="516">
        <v>-8850</v>
      </c>
      <c r="M91" s="516"/>
      <c r="N91" s="516"/>
      <c r="O91" s="516"/>
      <c r="P91" s="516"/>
      <c r="Q91" s="516"/>
      <c r="R91" s="516"/>
      <c r="T91" s="516">
        <f t="shared" si="35"/>
        <v>-4077</v>
      </c>
      <c r="U91" s="516">
        <f t="shared" si="36"/>
        <v>-4773</v>
      </c>
    </row>
    <row r="92" spans="1:21" outlineLevel="1">
      <c r="A92" s="511" t="s">
        <v>535</v>
      </c>
      <c r="C92" s="516">
        <v>0</v>
      </c>
      <c r="D92" s="516">
        <v>0</v>
      </c>
      <c r="E92" s="516">
        <v>0</v>
      </c>
      <c r="F92" s="516">
        <v>0</v>
      </c>
      <c r="G92" s="516">
        <v>0</v>
      </c>
      <c r="H92" s="516">
        <v>0</v>
      </c>
      <c r="I92" s="516">
        <v>0</v>
      </c>
      <c r="J92" s="516">
        <v>0</v>
      </c>
      <c r="K92" s="516">
        <v>0</v>
      </c>
      <c r="L92" s="516">
        <v>0</v>
      </c>
      <c r="M92" s="516"/>
      <c r="N92" s="516"/>
      <c r="O92" s="516"/>
      <c r="P92" s="516"/>
      <c r="Q92" s="516"/>
      <c r="R92" s="516"/>
      <c r="T92" s="516">
        <f t="shared" si="35"/>
        <v>0</v>
      </c>
      <c r="U92" s="516">
        <f t="shared" si="36"/>
        <v>0</v>
      </c>
    </row>
    <row r="93" spans="1:21" outlineLevel="1">
      <c r="A93" s="511" t="s">
        <v>536</v>
      </c>
      <c r="C93" s="516">
        <v>46381</v>
      </c>
      <c r="D93" s="516">
        <v>94008</v>
      </c>
      <c r="E93" s="516">
        <v>137923</v>
      </c>
      <c r="F93" s="516">
        <v>187158</v>
      </c>
      <c r="G93" s="516">
        <v>25377</v>
      </c>
      <c r="H93" s="516">
        <v>54488</v>
      </c>
      <c r="I93" s="516">
        <v>82450</v>
      </c>
      <c r="J93" s="516">
        <v>117060</v>
      </c>
      <c r="K93" s="516">
        <v>33638</v>
      </c>
      <c r="L93" s="516">
        <v>66795</v>
      </c>
      <c r="M93" s="516"/>
      <c r="N93" s="516"/>
      <c r="O93" s="516"/>
      <c r="P93" s="516"/>
      <c r="Q93" s="516"/>
      <c r="R93" s="516"/>
      <c r="T93" s="516">
        <f t="shared" si="35"/>
        <v>33638</v>
      </c>
      <c r="U93" s="516">
        <f t="shared" si="36"/>
        <v>33157</v>
      </c>
    </row>
    <row r="94" spans="1:21" outlineLevel="1">
      <c r="A94" s="511" t="s">
        <v>537</v>
      </c>
      <c r="C94" s="516">
        <v>0</v>
      </c>
      <c r="D94" s="516">
        <v>0</v>
      </c>
      <c r="E94" s="516">
        <v>0</v>
      </c>
      <c r="F94" s="516">
        <v>0</v>
      </c>
      <c r="G94" s="516">
        <v>0</v>
      </c>
      <c r="H94" s="516">
        <v>0</v>
      </c>
      <c r="I94" s="516">
        <v>0</v>
      </c>
      <c r="J94" s="516">
        <v>0</v>
      </c>
      <c r="K94" s="516">
        <v>0</v>
      </c>
      <c r="L94" s="516">
        <v>0</v>
      </c>
      <c r="M94" s="516"/>
      <c r="N94" s="516"/>
      <c r="O94" s="516"/>
      <c r="P94" s="516"/>
      <c r="Q94" s="516"/>
      <c r="R94" s="516"/>
      <c r="T94" s="516">
        <f t="shared" si="35"/>
        <v>0</v>
      </c>
      <c r="U94" s="516">
        <f t="shared" si="36"/>
        <v>0</v>
      </c>
    </row>
    <row r="95" spans="1:21" outlineLevel="1">
      <c r="A95" s="511" t="s">
        <v>538</v>
      </c>
      <c r="C95" s="516">
        <v>0</v>
      </c>
      <c r="D95" s="516">
        <v>0</v>
      </c>
      <c r="E95" s="516">
        <v>0</v>
      </c>
      <c r="F95" s="516">
        <v>0</v>
      </c>
      <c r="G95" s="516">
        <v>0</v>
      </c>
      <c r="H95" s="516">
        <v>0</v>
      </c>
      <c r="I95" s="516">
        <v>0</v>
      </c>
      <c r="J95" s="516">
        <v>0</v>
      </c>
      <c r="K95" s="516">
        <v>0</v>
      </c>
      <c r="L95" s="516">
        <v>0</v>
      </c>
      <c r="M95" s="516"/>
      <c r="N95" s="516"/>
      <c r="O95" s="516"/>
      <c r="P95" s="516"/>
      <c r="Q95" s="516"/>
      <c r="R95" s="516"/>
      <c r="T95" s="516">
        <f t="shared" si="35"/>
        <v>0</v>
      </c>
      <c r="U95" s="516">
        <f t="shared" si="36"/>
        <v>0</v>
      </c>
    </row>
    <row r="96" spans="1:21" outlineLevel="1">
      <c r="A96" s="511" t="s">
        <v>539</v>
      </c>
      <c r="C96" s="516">
        <v>4182</v>
      </c>
      <c r="D96" s="516">
        <v>6586</v>
      </c>
      <c r="E96" s="516">
        <v>8934</v>
      </c>
      <c r="F96" s="516">
        <v>9171</v>
      </c>
      <c r="G96" s="516">
        <v>-717</v>
      </c>
      <c r="H96" s="516">
        <v>1057</v>
      </c>
      <c r="I96" s="516">
        <v>-2609</v>
      </c>
      <c r="J96" s="516">
        <v>0</v>
      </c>
      <c r="K96" s="516">
        <v>0</v>
      </c>
      <c r="L96" s="516">
        <v>0</v>
      </c>
      <c r="M96" s="516"/>
      <c r="N96" s="516"/>
      <c r="O96" s="516"/>
      <c r="P96" s="516"/>
      <c r="Q96" s="516"/>
      <c r="R96" s="516"/>
      <c r="T96" s="516">
        <f t="shared" si="35"/>
        <v>0</v>
      </c>
      <c r="U96" s="516">
        <f t="shared" si="36"/>
        <v>0</v>
      </c>
    </row>
    <row r="97" spans="1:21" outlineLevel="1">
      <c r="A97" s="511" t="s">
        <v>540</v>
      </c>
      <c r="C97" s="516">
        <v>110555</v>
      </c>
      <c r="D97" s="516">
        <v>178141</v>
      </c>
      <c r="E97" s="516">
        <v>178159</v>
      </c>
      <c r="F97" s="516">
        <v>208501</v>
      </c>
      <c r="G97" s="516">
        <v>18460</v>
      </c>
      <c r="H97" s="516">
        <v>118176</v>
      </c>
      <c r="I97" s="516">
        <v>86760</v>
      </c>
      <c r="J97" s="516">
        <v>128000</v>
      </c>
      <c r="K97" s="516">
        <v>3532</v>
      </c>
      <c r="L97" s="516">
        <v>3532</v>
      </c>
      <c r="M97" s="516"/>
      <c r="N97" s="516"/>
      <c r="O97" s="516"/>
      <c r="P97" s="516"/>
      <c r="Q97" s="516"/>
      <c r="R97" s="516"/>
      <c r="T97" s="516">
        <f t="shared" si="35"/>
        <v>3532</v>
      </c>
      <c r="U97" s="516">
        <f t="shared" si="36"/>
        <v>0</v>
      </c>
    </row>
    <row r="98" spans="1:21">
      <c r="A98" s="510" t="s">
        <v>541</v>
      </c>
      <c r="C98" s="515">
        <f t="shared" ref="C98:H98" si="37">SUM(C99:C107)</f>
        <v>-354333</v>
      </c>
      <c r="D98" s="515">
        <f t="shared" si="37"/>
        <v>-695227</v>
      </c>
      <c r="E98" s="515">
        <f t="shared" si="37"/>
        <v>-883562</v>
      </c>
      <c r="F98" s="515">
        <f t="shared" si="37"/>
        <v>-1133181</v>
      </c>
      <c r="G98" s="515">
        <f t="shared" si="37"/>
        <v>-250375</v>
      </c>
      <c r="H98" s="515">
        <f t="shared" si="37"/>
        <v>-645703</v>
      </c>
      <c r="I98" s="515">
        <f>SUM(I99:I107)</f>
        <v>-765115</v>
      </c>
      <c r="J98" s="515">
        <f>SUM(J99:J107)</f>
        <v>-1010503</v>
      </c>
      <c r="K98" s="515">
        <f>SUM(K99:K107)</f>
        <v>-204057</v>
      </c>
      <c r="L98" s="515">
        <f>SUM(L99:L107)</f>
        <v>-518156</v>
      </c>
      <c r="M98" s="515"/>
      <c r="N98" s="515"/>
      <c r="O98" s="515"/>
      <c r="P98" s="515"/>
      <c r="Q98" s="515"/>
      <c r="R98" s="515"/>
      <c r="T98" s="515">
        <f>SUM(T99:T107)</f>
        <v>-204057</v>
      </c>
      <c r="U98" s="515">
        <f>SUM(U99:U107)</f>
        <v>-314099</v>
      </c>
    </row>
    <row r="99" spans="1:21" outlineLevel="1">
      <c r="A99" s="511" t="s">
        <v>542</v>
      </c>
      <c r="C99" s="516">
        <v>-67687</v>
      </c>
      <c r="D99" s="516">
        <v>-257034</v>
      </c>
      <c r="E99" s="516">
        <v>-348149</v>
      </c>
      <c r="F99" s="516">
        <v>-420533</v>
      </c>
      <c r="G99" s="516">
        <v>-91611</v>
      </c>
      <c r="H99" s="516">
        <v>-199720</v>
      </c>
      <c r="I99" s="516">
        <v>-286715</v>
      </c>
      <c r="J99" s="516">
        <v>-371132</v>
      </c>
      <c r="K99" s="516">
        <v>-99875</v>
      </c>
      <c r="L99" s="516">
        <v>-253284</v>
      </c>
      <c r="M99" s="516"/>
      <c r="N99" s="516"/>
      <c r="O99" s="516"/>
      <c r="P99" s="516"/>
      <c r="Q99" s="516"/>
      <c r="R99" s="516"/>
      <c r="T99" s="516">
        <f t="shared" ref="T99:T107" si="38">K99</f>
        <v>-99875</v>
      </c>
      <c r="U99" s="516">
        <f t="shared" ref="U99:U107" si="39">L99-T99</f>
        <v>-153409</v>
      </c>
    </row>
    <row r="100" spans="1:21" outlineLevel="1">
      <c r="A100" s="511" t="s">
        <v>543</v>
      </c>
      <c r="C100" s="516">
        <v>-12994</v>
      </c>
      <c r="D100" s="516">
        <v>-25917</v>
      </c>
      <c r="E100" s="516">
        <v>-39073</v>
      </c>
      <c r="F100" s="516">
        <v>-52072</v>
      </c>
      <c r="G100" s="516">
        <v>-12439</v>
      </c>
      <c r="H100" s="516">
        <v>-24618</v>
      </c>
      <c r="I100" s="516">
        <v>-37277</v>
      </c>
      <c r="J100" s="516">
        <v>-49852</v>
      </c>
      <c r="K100" s="516">
        <v>-12437</v>
      </c>
      <c r="L100" s="516">
        <v>-24881</v>
      </c>
      <c r="M100" s="516"/>
      <c r="N100" s="516"/>
      <c r="O100" s="516"/>
      <c r="P100" s="516"/>
      <c r="Q100" s="516"/>
      <c r="R100" s="516"/>
      <c r="T100" s="516">
        <f t="shared" si="38"/>
        <v>-12437</v>
      </c>
      <c r="U100" s="516">
        <f t="shared" si="39"/>
        <v>-12444</v>
      </c>
    </row>
    <row r="101" spans="1:21" outlineLevel="1">
      <c r="A101" s="511" t="s">
        <v>544</v>
      </c>
      <c r="C101" s="516">
        <v>-221345</v>
      </c>
      <c r="D101" s="516">
        <v>-298491</v>
      </c>
      <c r="E101" s="516">
        <v>-328612</v>
      </c>
      <c r="F101" s="516">
        <v>-382710</v>
      </c>
      <c r="G101" s="516">
        <v>-110837</v>
      </c>
      <c r="H101" s="516">
        <v>-313166</v>
      </c>
      <c r="I101" s="516">
        <v>-306955</v>
      </c>
      <c r="J101" s="516">
        <v>-389913</v>
      </c>
      <c r="K101" s="516">
        <v>-37447</v>
      </c>
      <c r="L101" s="516">
        <v>-131787</v>
      </c>
      <c r="M101" s="516"/>
      <c r="N101" s="516"/>
      <c r="O101" s="516"/>
      <c r="P101" s="516"/>
      <c r="Q101" s="516"/>
      <c r="R101" s="516"/>
      <c r="T101" s="516">
        <f t="shared" si="38"/>
        <v>-37447</v>
      </c>
      <c r="U101" s="516">
        <f t="shared" si="39"/>
        <v>-94340</v>
      </c>
    </row>
    <row r="102" spans="1:21" outlineLevel="1">
      <c r="A102" s="511" t="s">
        <v>545</v>
      </c>
      <c r="C102" s="516">
        <v>-2005</v>
      </c>
      <c r="D102" s="516">
        <v>-3420</v>
      </c>
      <c r="E102" s="516">
        <v>-5463</v>
      </c>
      <c r="F102" s="516">
        <v>-6879</v>
      </c>
      <c r="G102" s="516">
        <v>-1984</v>
      </c>
      <c r="H102" s="516">
        <v>-3361</v>
      </c>
      <c r="I102" s="516">
        <v>-5061</v>
      </c>
      <c r="J102" s="516">
        <v>-6738</v>
      </c>
      <c r="K102" s="516">
        <v>-1678</v>
      </c>
      <c r="L102" s="516">
        <v>-3332</v>
      </c>
      <c r="M102" s="516"/>
      <c r="N102" s="516"/>
      <c r="O102" s="516"/>
      <c r="P102" s="516"/>
      <c r="Q102" s="516"/>
      <c r="R102" s="516"/>
      <c r="T102" s="516">
        <f t="shared" si="38"/>
        <v>-1678</v>
      </c>
      <c r="U102" s="516">
        <f t="shared" si="39"/>
        <v>-1654</v>
      </c>
    </row>
    <row r="103" spans="1:21" outlineLevel="1">
      <c r="A103" s="511" t="s">
        <v>546</v>
      </c>
      <c r="C103" s="516">
        <v>-19613</v>
      </c>
      <c r="D103" s="516">
        <v>-44638</v>
      </c>
      <c r="E103" s="516">
        <v>-55989</v>
      </c>
      <c r="F103" s="516">
        <v>-61614</v>
      </c>
      <c r="G103" s="516">
        <v>-9451</v>
      </c>
      <c r="H103" s="516">
        <v>-20734</v>
      </c>
      <c r="I103" s="516">
        <v>-34123</v>
      </c>
      <c r="J103" s="516">
        <v>-46156</v>
      </c>
      <c r="K103" s="516">
        <v>-12424</v>
      </c>
      <c r="L103" s="516">
        <v>-25613</v>
      </c>
      <c r="M103" s="516"/>
      <c r="N103" s="516"/>
      <c r="O103" s="516"/>
      <c r="P103" s="516"/>
      <c r="Q103" s="516"/>
      <c r="R103" s="516"/>
      <c r="T103" s="516">
        <f t="shared" si="38"/>
        <v>-12424</v>
      </c>
      <c r="U103" s="516">
        <f t="shared" si="39"/>
        <v>-13189</v>
      </c>
    </row>
    <row r="104" spans="1:21" outlineLevel="1">
      <c r="A104" s="511" t="s">
        <v>547</v>
      </c>
      <c r="C104" s="516">
        <v>-268</v>
      </c>
      <c r="D104" s="516">
        <v>-3385</v>
      </c>
      <c r="E104" s="516">
        <v>-2061</v>
      </c>
      <c r="F104" s="516">
        <v>-2091</v>
      </c>
      <c r="G104" s="516">
        <v>-107</v>
      </c>
      <c r="H104" s="516">
        <v>-586</v>
      </c>
      <c r="I104" s="516">
        <v>-648</v>
      </c>
      <c r="J104" s="516">
        <v>-1046</v>
      </c>
      <c r="K104" s="516">
        <v>-55</v>
      </c>
      <c r="L104" s="516">
        <v>-81</v>
      </c>
      <c r="M104" s="516"/>
      <c r="N104" s="516"/>
      <c r="O104" s="516"/>
      <c r="P104" s="516"/>
      <c r="Q104" s="516"/>
      <c r="R104" s="516"/>
      <c r="T104" s="516">
        <f t="shared" si="38"/>
        <v>-55</v>
      </c>
      <c r="U104" s="516">
        <f t="shared" si="39"/>
        <v>-26</v>
      </c>
    </row>
    <row r="105" spans="1:21" outlineLevel="1">
      <c r="A105" s="511" t="s">
        <v>548</v>
      </c>
      <c r="C105" s="516">
        <v>0</v>
      </c>
      <c r="D105" s="516">
        <v>0</v>
      </c>
      <c r="E105" s="516">
        <v>0</v>
      </c>
      <c r="F105" s="516">
        <v>0</v>
      </c>
      <c r="G105" s="516">
        <v>0</v>
      </c>
      <c r="H105" s="516">
        <v>0</v>
      </c>
      <c r="I105" s="516">
        <v>0</v>
      </c>
      <c r="J105" s="516">
        <v>0</v>
      </c>
      <c r="K105" s="516">
        <v>0</v>
      </c>
      <c r="L105" s="516">
        <v>0</v>
      </c>
      <c r="M105" s="516"/>
      <c r="N105" s="516"/>
      <c r="O105" s="516"/>
      <c r="P105" s="516"/>
      <c r="Q105" s="516"/>
      <c r="R105" s="516"/>
      <c r="T105" s="516">
        <f t="shared" si="38"/>
        <v>0</v>
      </c>
      <c r="U105" s="516">
        <f t="shared" si="39"/>
        <v>0</v>
      </c>
    </row>
    <row r="106" spans="1:21" outlineLevel="1">
      <c r="A106" s="511" t="s">
        <v>549</v>
      </c>
      <c r="C106" s="516">
        <v>-1301</v>
      </c>
      <c r="D106" s="516">
        <v>-1742</v>
      </c>
      <c r="E106" s="516">
        <v>-2032</v>
      </c>
      <c r="F106" s="516">
        <v>-2302</v>
      </c>
      <c r="G106" s="516">
        <v>-13</v>
      </c>
      <c r="H106" s="516">
        <v>-19</v>
      </c>
      <c r="I106" s="516">
        <v>-126</v>
      </c>
      <c r="J106" s="516">
        <v>-247</v>
      </c>
      <c r="K106" s="516">
        <v>-14</v>
      </c>
      <c r="L106" s="516">
        <v>-657</v>
      </c>
      <c r="M106" s="516"/>
      <c r="N106" s="516"/>
      <c r="O106" s="516"/>
      <c r="P106" s="516"/>
      <c r="Q106" s="516"/>
      <c r="R106" s="516"/>
      <c r="T106" s="516">
        <f t="shared" si="38"/>
        <v>-14</v>
      </c>
      <c r="U106" s="516">
        <f t="shared" si="39"/>
        <v>-643</v>
      </c>
    </row>
    <row r="107" spans="1:21" outlineLevel="1">
      <c r="A107" s="511" t="s">
        <v>550</v>
      </c>
      <c r="C107" s="516">
        <v>-29120</v>
      </c>
      <c r="D107" s="516">
        <v>-60600</v>
      </c>
      <c r="E107" s="516">
        <v>-102183</v>
      </c>
      <c r="F107" s="516">
        <v>-204980</v>
      </c>
      <c r="G107" s="516">
        <v>-23933</v>
      </c>
      <c r="H107" s="516">
        <v>-83499</v>
      </c>
      <c r="I107" s="516">
        <v>-94210</v>
      </c>
      <c r="J107" s="516">
        <v>-145419</v>
      </c>
      <c r="K107" s="516">
        <v>-40127</v>
      </c>
      <c r="L107" s="516">
        <v>-78521</v>
      </c>
      <c r="M107" s="516"/>
      <c r="N107" s="516"/>
      <c r="O107" s="516"/>
      <c r="P107" s="516"/>
      <c r="Q107" s="516"/>
      <c r="R107" s="516"/>
      <c r="T107" s="516">
        <f t="shared" si="38"/>
        <v>-40127</v>
      </c>
      <c r="U107" s="516">
        <f t="shared" si="39"/>
        <v>-38394</v>
      </c>
    </row>
    <row r="108" spans="1:21">
      <c r="A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T108" s="510"/>
      <c r="U108" s="510"/>
    </row>
    <row r="109" spans="1:21">
      <c r="A109" s="522" t="s">
        <v>551</v>
      </c>
      <c r="C109" s="513">
        <f t="shared" ref="C109:H109" si="40">C85+C87</f>
        <v>381934</v>
      </c>
      <c r="D109" s="513">
        <f t="shared" si="40"/>
        <v>857454</v>
      </c>
      <c r="E109" s="513">
        <f t="shared" si="40"/>
        <v>1257979</v>
      </c>
      <c r="F109" s="513">
        <f t="shared" si="40"/>
        <v>1735708</v>
      </c>
      <c r="G109" s="513">
        <f t="shared" si="40"/>
        <v>473245</v>
      </c>
      <c r="H109" s="513">
        <f t="shared" si="40"/>
        <v>1102706</v>
      </c>
      <c r="I109" s="513">
        <f>I85+I87</f>
        <v>1950700</v>
      </c>
      <c r="J109" s="513">
        <f>J85+J87</f>
        <v>2553069</v>
      </c>
      <c r="K109" s="513">
        <f>K85+K87</f>
        <v>524597</v>
      </c>
      <c r="L109" s="513">
        <f>L85+L87</f>
        <v>1109957</v>
      </c>
      <c r="M109" s="513"/>
      <c r="N109" s="513"/>
      <c r="O109" s="513"/>
      <c r="P109" s="513"/>
      <c r="Q109" s="513"/>
      <c r="R109" s="513"/>
      <c r="T109" s="513">
        <f>T85+T87</f>
        <v>524597</v>
      </c>
      <c r="U109" s="513">
        <f>U85+U87</f>
        <v>585360</v>
      </c>
    </row>
    <row r="110" spans="1:21">
      <c r="A110" s="510"/>
      <c r="C110" s="510"/>
      <c r="D110" s="510"/>
      <c r="E110" s="510"/>
      <c r="F110" s="510"/>
      <c r="G110" s="510"/>
      <c r="H110" s="510"/>
      <c r="I110" s="510"/>
      <c r="J110" s="510"/>
      <c r="K110" s="510"/>
      <c r="L110" s="510"/>
      <c r="M110" s="510"/>
      <c r="N110" s="510"/>
      <c r="O110" s="510"/>
      <c r="P110" s="510"/>
      <c r="Q110" s="510"/>
      <c r="R110" s="510"/>
      <c r="T110" s="510"/>
      <c r="U110" s="510"/>
    </row>
    <row r="111" spans="1:21">
      <c r="A111" s="509" t="s">
        <v>552</v>
      </c>
      <c r="C111" s="517">
        <f t="shared" ref="C111:J111" si="41">SUM(C113:C116)</f>
        <v>-67131</v>
      </c>
      <c r="D111" s="517">
        <f t="shared" si="41"/>
        <v>-157398</v>
      </c>
      <c r="E111" s="517">
        <f t="shared" si="41"/>
        <v>-189808</v>
      </c>
      <c r="F111" s="517">
        <f t="shared" si="41"/>
        <v>-179309</v>
      </c>
      <c r="G111" s="517">
        <f t="shared" si="41"/>
        <v>-48273</v>
      </c>
      <c r="H111" s="517">
        <f t="shared" si="41"/>
        <v>-158478</v>
      </c>
      <c r="I111" s="517">
        <f t="shared" si="41"/>
        <v>-328818</v>
      </c>
      <c r="J111" s="517">
        <f t="shared" si="41"/>
        <v>-327258</v>
      </c>
      <c r="K111" s="517">
        <f>SUM(K113:K116)</f>
        <v>-94561</v>
      </c>
      <c r="L111" s="517">
        <f>SUM(L113:L116)</f>
        <v>-196066</v>
      </c>
      <c r="M111" s="517"/>
      <c r="N111" s="517"/>
      <c r="O111" s="517"/>
      <c r="P111" s="517"/>
      <c r="Q111" s="517"/>
      <c r="R111" s="517"/>
      <c r="T111" s="517">
        <f>SUM(T113:T116)</f>
        <v>-94561</v>
      </c>
      <c r="U111" s="517">
        <f>SUM(U113:U116)</f>
        <v>-101505</v>
      </c>
    </row>
    <row r="112" spans="1:21">
      <c r="A112" s="510"/>
      <c r="C112" s="510"/>
      <c r="D112" s="510"/>
      <c r="E112" s="510"/>
      <c r="F112" s="510"/>
      <c r="G112" s="510"/>
      <c r="H112" s="510"/>
      <c r="I112" s="510"/>
      <c r="J112" s="510"/>
      <c r="K112" s="510"/>
      <c r="L112" s="510"/>
      <c r="M112" s="510"/>
      <c r="N112" s="510"/>
      <c r="O112" s="510"/>
      <c r="P112" s="510"/>
      <c r="Q112" s="510"/>
      <c r="R112" s="510"/>
      <c r="T112" s="510"/>
      <c r="U112" s="510"/>
    </row>
    <row r="113" spans="1:21">
      <c r="A113" s="510" t="s">
        <v>553</v>
      </c>
      <c r="C113" s="518">
        <v>-44200</v>
      </c>
      <c r="D113" s="518">
        <v>-75407</v>
      </c>
      <c r="E113" s="518">
        <v>-129288</v>
      </c>
      <c r="F113" s="518">
        <v>-170333</v>
      </c>
      <c r="G113" s="518">
        <v>-49808</v>
      </c>
      <c r="H113" s="518">
        <v>-110431</v>
      </c>
      <c r="I113" s="518">
        <v>-161407</v>
      </c>
      <c r="J113" s="518">
        <v>-143316</v>
      </c>
      <c r="K113" s="518">
        <v>-37599</v>
      </c>
      <c r="L113" s="518">
        <v>-69256</v>
      </c>
      <c r="M113" s="518"/>
      <c r="N113" s="518"/>
      <c r="O113" s="518"/>
      <c r="P113" s="518"/>
      <c r="Q113" s="518"/>
      <c r="R113" s="518"/>
      <c r="T113" s="518">
        <f t="shared" ref="T113:T116" si="42">K113</f>
        <v>-37599</v>
      </c>
      <c r="U113" s="518">
        <f t="shared" ref="U113:U116" si="43">L113-T113</f>
        <v>-31657</v>
      </c>
    </row>
    <row r="114" spans="1:21">
      <c r="A114" s="510" t="s">
        <v>554</v>
      </c>
      <c r="C114" s="518">
        <v>-125980</v>
      </c>
      <c r="D114" s="518">
        <v>-214302</v>
      </c>
      <c r="E114" s="518">
        <v>-368854</v>
      </c>
      <c r="F114" s="518">
        <v>-489309</v>
      </c>
      <c r="G114" s="518">
        <v>-142848</v>
      </c>
      <c r="H114" s="518">
        <v>-314843</v>
      </c>
      <c r="I114" s="518">
        <v>-461312</v>
      </c>
      <c r="J114" s="518">
        <v>-434373</v>
      </c>
      <c r="K114" s="518">
        <v>-107417</v>
      </c>
      <c r="L114" s="518">
        <v>-198478</v>
      </c>
      <c r="M114" s="518"/>
      <c r="N114" s="518"/>
      <c r="O114" s="518"/>
      <c r="P114" s="518"/>
      <c r="Q114" s="518"/>
      <c r="R114" s="518"/>
      <c r="T114" s="518">
        <f t="shared" si="42"/>
        <v>-107417</v>
      </c>
      <c r="U114" s="518">
        <f t="shared" si="43"/>
        <v>-91061</v>
      </c>
    </row>
    <row r="115" spans="1:21">
      <c r="A115" s="510" t="s">
        <v>555</v>
      </c>
      <c r="C115" s="518">
        <v>62623</v>
      </c>
      <c r="D115" s="518">
        <v>134243</v>
      </c>
      <c r="E115" s="518">
        <v>240397</v>
      </c>
      <c r="F115" s="518">
        <v>393033</v>
      </c>
      <c r="G115" s="518">
        <v>109829</v>
      </c>
      <c r="H115" s="518">
        <v>213031</v>
      </c>
      <c r="I115" s="518">
        <v>331041</v>
      </c>
      <c r="J115" s="518">
        <v>473230</v>
      </c>
      <c r="K115" s="518">
        <v>83488</v>
      </c>
      <c r="L115" s="518">
        <v>176126</v>
      </c>
      <c r="M115" s="518"/>
      <c r="N115" s="518"/>
      <c r="O115" s="518"/>
      <c r="P115" s="518"/>
      <c r="Q115" s="518"/>
      <c r="R115" s="518"/>
      <c r="T115" s="518">
        <f t="shared" si="42"/>
        <v>83488</v>
      </c>
      <c r="U115" s="518">
        <f t="shared" si="43"/>
        <v>92638</v>
      </c>
    </row>
    <row r="116" spans="1:21">
      <c r="A116" s="510" t="s">
        <v>556</v>
      </c>
      <c r="C116" s="518">
        <v>40426</v>
      </c>
      <c r="D116" s="518">
        <v>-1932</v>
      </c>
      <c r="E116" s="518">
        <v>67937</v>
      </c>
      <c r="F116" s="518">
        <v>87300</v>
      </c>
      <c r="G116" s="518">
        <v>34554</v>
      </c>
      <c r="H116" s="518">
        <v>53765</v>
      </c>
      <c r="I116" s="518">
        <v>-37140</v>
      </c>
      <c r="J116" s="518">
        <v>-222799</v>
      </c>
      <c r="K116" s="518">
        <v>-33033</v>
      </c>
      <c r="L116" s="518">
        <v>-104458</v>
      </c>
      <c r="M116" s="518"/>
      <c r="N116" s="518"/>
      <c r="O116" s="518"/>
      <c r="P116" s="518"/>
      <c r="Q116" s="518"/>
      <c r="R116" s="518"/>
      <c r="T116" s="518">
        <f t="shared" si="42"/>
        <v>-33033</v>
      </c>
      <c r="U116" s="518">
        <f t="shared" si="43"/>
        <v>-71425</v>
      </c>
    </row>
    <row r="117" spans="1:21">
      <c r="A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  <c r="T117" s="510"/>
      <c r="U117" s="510"/>
    </row>
    <row r="118" spans="1:21" ht="15" thickBot="1">
      <c r="A118" s="523" t="s">
        <v>557</v>
      </c>
      <c r="C118" s="519">
        <f t="shared" ref="C118:J118" si="44">C109+C111</f>
        <v>314803</v>
      </c>
      <c r="D118" s="519">
        <f t="shared" si="44"/>
        <v>700056</v>
      </c>
      <c r="E118" s="519">
        <f t="shared" si="44"/>
        <v>1068171</v>
      </c>
      <c r="F118" s="519">
        <f t="shared" si="44"/>
        <v>1556399</v>
      </c>
      <c r="G118" s="519">
        <f t="shared" si="44"/>
        <v>424972</v>
      </c>
      <c r="H118" s="519">
        <f t="shared" si="44"/>
        <v>944228</v>
      </c>
      <c r="I118" s="519">
        <f t="shared" si="44"/>
        <v>1621882</v>
      </c>
      <c r="J118" s="519">
        <f t="shared" si="44"/>
        <v>2225811</v>
      </c>
      <c r="K118" s="519">
        <f>K109+K111</f>
        <v>430036</v>
      </c>
      <c r="L118" s="519">
        <f>L109+L111</f>
        <v>913891</v>
      </c>
      <c r="M118" s="519"/>
      <c r="N118" s="519"/>
      <c r="O118" s="519"/>
      <c r="P118" s="519"/>
      <c r="Q118" s="519"/>
      <c r="R118" s="519"/>
      <c r="T118" s="519">
        <f>T109+T111</f>
        <v>430036</v>
      </c>
      <c r="U118" s="519">
        <f>U109+U111</f>
        <v>483855</v>
      </c>
    </row>
    <row r="119" spans="1:21" ht="15" thickTop="1">
      <c r="A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  <c r="T119" s="510"/>
      <c r="U119" s="510"/>
    </row>
    <row r="120" spans="1:21">
      <c r="A120" s="509" t="s">
        <v>558</v>
      </c>
      <c r="C120" s="518"/>
      <c r="D120" s="518"/>
      <c r="E120" s="518"/>
      <c r="F120" s="518"/>
      <c r="G120" s="518"/>
      <c r="H120" s="518"/>
      <c r="I120" s="518"/>
      <c r="J120" s="518"/>
      <c r="K120" s="518"/>
      <c r="L120" s="518"/>
      <c r="M120" s="518"/>
      <c r="N120" s="518"/>
      <c r="O120" s="518"/>
      <c r="P120" s="518"/>
      <c r="Q120" s="518"/>
      <c r="R120" s="518"/>
      <c r="T120" s="518"/>
      <c r="U120" s="518"/>
    </row>
    <row r="121" spans="1:21">
      <c r="A121" s="510" t="s">
        <v>559</v>
      </c>
      <c r="C121" s="518">
        <f t="shared" ref="C121:I121" si="45">C118-C122</f>
        <v>303782.37812032929</v>
      </c>
      <c r="D121" s="518">
        <f t="shared" si="45"/>
        <v>675548.44298626517</v>
      </c>
      <c r="E121" s="518">
        <f t="shared" si="45"/>
        <v>1030776.4748721272</v>
      </c>
      <c r="F121" s="518">
        <f t="shared" si="45"/>
        <v>1501912.5914432276</v>
      </c>
      <c r="G121" s="518">
        <f t="shared" si="45"/>
        <v>410094.58230878547</v>
      </c>
      <c r="H121" s="518">
        <f t="shared" si="45"/>
        <v>911172.47080809996</v>
      </c>
      <c r="I121" s="518">
        <f t="shared" si="45"/>
        <v>1565103.1629004676</v>
      </c>
      <c r="J121" s="518">
        <f>J118-J122</f>
        <v>2147889.8194311624</v>
      </c>
      <c r="K121" s="518">
        <v>414981</v>
      </c>
      <c r="L121" s="518">
        <v>881898</v>
      </c>
      <c r="M121" s="518"/>
      <c r="N121" s="518"/>
      <c r="O121" s="518"/>
      <c r="P121" s="518"/>
      <c r="Q121" s="518"/>
      <c r="R121" s="518"/>
      <c r="T121" s="518">
        <f t="shared" ref="T121:T122" si="46">K121</f>
        <v>414981</v>
      </c>
      <c r="U121" s="518">
        <f t="shared" ref="U121:U122" si="47">L121-T121</f>
        <v>466917</v>
      </c>
    </row>
    <row r="122" spans="1:21">
      <c r="A122" s="510" t="s">
        <v>560</v>
      </c>
      <c r="C122" s="518">
        <f t="shared" ref="C122:I122" si="48">C118*C127</f>
        <v>11020.621879670702</v>
      </c>
      <c r="D122" s="518">
        <f t="shared" si="48"/>
        <v>24507.55701373479</v>
      </c>
      <c r="E122" s="518">
        <f t="shared" si="48"/>
        <v>37394.525127872774</v>
      </c>
      <c r="F122" s="518">
        <f t="shared" si="48"/>
        <v>54486.40855677233</v>
      </c>
      <c r="G122" s="518">
        <f t="shared" si="48"/>
        <v>14877.417691214561</v>
      </c>
      <c r="H122" s="518">
        <f t="shared" si="48"/>
        <v>33055.529191900037</v>
      </c>
      <c r="I122" s="518">
        <f t="shared" si="48"/>
        <v>56778.837099532335</v>
      </c>
      <c r="J122" s="518">
        <f>J118*J127</f>
        <v>77921.180568837415</v>
      </c>
      <c r="K122" s="518">
        <v>15055</v>
      </c>
      <c r="L122" s="518">
        <v>31993</v>
      </c>
      <c r="M122" s="518"/>
      <c r="N122" s="518"/>
      <c r="O122" s="518"/>
      <c r="P122" s="518"/>
      <c r="Q122" s="518"/>
      <c r="R122" s="518"/>
      <c r="T122" s="518">
        <f t="shared" si="46"/>
        <v>15055</v>
      </c>
      <c r="U122" s="518">
        <f t="shared" si="47"/>
        <v>16938</v>
      </c>
    </row>
    <row r="123" spans="1:21">
      <c r="A123" s="510"/>
      <c r="C123" s="510"/>
      <c r="D123" s="510"/>
      <c r="E123" s="510"/>
      <c r="F123" s="510"/>
      <c r="G123" s="510"/>
      <c r="H123" s="510"/>
      <c r="I123" s="510"/>
      <c r="J123" s="510"/>
      <c r="K123" s="510"/>
      <c r="L123" s="510"/>
      <c r="M123" s="510"/>
      <c r="N123" s="510"/>
      <c r="O123" s="510"/>
      <c r="P123" s="510"/>
      <c r="Q123" s="510"/>
      <c r="R123" s="510"/>
      <c r="T123" s="510"/>
      <c r="U123" s="510"/>
    </row>
    <row r="124" spans="1:21" ht="15" thickBot="1">
      <c r="A124" s="523" t="s">
        <v>557</v>
      </c>
      <c r="C124" s="519">
        <f t="shared" ref="C124:J124" si="49">SUM(C121:C122)</f>
        <v>314803</v>
      </c>
      <c r="D124" s="519">
        <f t="shared" si="49"/>
        <v>700056</v>
      </c>
      <c r="E124" s="519">
        <f t="shared" si="49"/>
        <v>1068171</v>
      </c>
      <c r="F124" s="519">
        <f t="shared" si="49"/>
        <v>1556399</v>
      </c>
      <c r="G124" s="519">
        <f t="shared" si="49"/>
        <v>424972</v>
      </c>
      <c r="H124" s="519">
        <f t="shared" si="49"/>
        <v>944228</v>
      </c>
      <c r="I124" s="519">
        <f t="shared" si="49"/>
        <v>1621882</v>
      </c>
      <c r="J124" s="519">
        <f t="shared" si="49"/>
        <v>2225811</v>
      </c>
      <c r="K124" s="519">
        <f>SUM(K121:K122)</f>
        <v>430036</v>
      </c>
      <c r="L124" s="519">
        <f>SUM(L121:L122)</f>
        <v>913891</v>
      </c>
      <c r="M124" s="519"/>
      <c r="N124" s="519"/>
      <c r="O124" s="519"/>
      <c r="P124" s="519"/>
      <c r="Q124" s="519"/>
      <c r="R124" s="519"/>
      <c r="T124" s="519">
        <f>SUM(T121:T122)</f>
        <v>430036</v>
      </c>
      <c r="U124" s="519">
        <f>SUM(U121:U122)</f>
        <v>483855</v>
      </c>
    </row>
    <row r="125" spans="1:21" ht="15" thickTop="1"/>
    <row r="126" spans="1:21">
      <c r="A126" s="524" t="s">
        <v>561</v>
      </c>
      <c r="C126" s="526">
        <v>0.96499200490570103</v>
      </c>
      <c r="D126" s="526">
        <v>0.96499200490570103</v>
      </c>
      <c r="E126" s="526">
        <v>0.96499200490570103</v>
      </c>
      <c r="F126" s="526">
        <v>0.96499200490570103</v>
      </c>
      <c r="G126" s="526">
        <v>0.96499200490570103</v>
      </c>
      <c r="H126" s="526">
        <v>0.96499200490570103</v>
      </c>
      <c r="I126" s="526">
        <v>0.96499200490570103</v>
      </c>
      <c r="J126" s="526">
        <f t="shared" ref="J126:L127" si="50">I126</f>
        <v>0.96499200490570103</v>
      </c>
      <c r="K126" s="526">
        <f t="shared" si="50"/>
        <v>0.96499200490570103</v>
      </c>
      <c r="L126" s="526">
        <f t="shared" si="50"/>
        <v>0.96499200490570103</v>
      </c>
      <c r="S126" s="526"/>
      <c r="T126" s="526">
        <f t="shared" ref="T126:T127" si="51">K126</f>
        <v>0.96499200490570103</v>
      </c>
      <c r="U126" s="526">
        <f>T126</f>
        <v>0.96499200490570103</v>
      </c>
    </row>
    <row r="127" spans="1:21">
      <c r="A127" s="524" t="s">
        <v>562</v>
      </c>
      <c r="C127" s="526">
        <v>3.5007995094299298E-2</v>
      </c>
      <c r="D127" s="526">
        <v>3.5007995094299298E-2</v>
      </c>
      <c r="E127" s="526">
        <v>3.5007995094299298E-2</v>
      </c>
      <c r="F127" s="526">
        <v>3.5007995094299298E-2</v>
      </c>
      <c r="G127" s="526">
        <v>3.5007995094299298E-2</v>
      </c>
      <c r="H127" s="526">
        <v>3.5007995094299298E-2</v>
      </c>
      <c r="I127" s="526">
        <v>3.5007995094299298E-2</v>
      </c>
      <c r="J127" s="526">
        <f t="shared" si="50"/>
        <v>3.5007995094299298E-2</v>
      </c>
      <c r="K127" s="526">
        <f t="shared" si="50"/>
        <v>3.5007995094299298E-2</v>
      </c>
      <c r="L127" s="526">
        <f t="shared" si="50"/>
        <v>3.5007995094299298E-2</v>
      </c>
      <c r="S127" s="526"/>
      <c r="T127" s="526">
        <f t="shared" si="51"/>
        <v>3.5007995094299298E-2</v>
      </c>
      <c r="U127" s="526">
        <f>T127</f>
        <v>3.5007995094299298E-2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0.79998168889431442"/>
  </sheetPr>
  <dimension ref="A4:U127"/>
  <sheetViews>
    <sheetView showGridLines="0" zoomScale="85" zoomScaleNormal="85" workbookViewId="0">
      <pane xSplit="1" ySplit="4" topLeftCell="B5" activePane="bottomRight" state="frozen"/>
      <selection pane="topRight"/>
      <selection pane="bottomLeft"/>
      <selection pane="bottomRight" activeCell="L9" sqref="L9"/>
    </sheetView>
  </sheetViews>
  <sheetFormatPr defaultRowHeight="14.5" outlineLevelRow="1"/>
  <cols>
    <col min="1" max="1" width="65.7265625" bestFit="1" customWidth="1"/>
    <col min="2" max="2" width="1.54296875" customWidth="1"/>
    <col min="3" max="12" width="15.1796875" customWidth="1"/>
    <col min="13" max="18" width="15.1796875" hidden="1" customWidth="1"/>
    <col min="19" max="19" width="1.54296875" customWidth="1"/>
    <col min="20" max="20" width="15.1796875" hidden="1" customWidth="1"/>
    <col min="21" max="21" width="15.1796875" customWidth="1"/>
  </cols>
  <sheetData>
    <row r="4" spans="1:21">
      <c r="A4" s="521" t="s">
        <v>564</v>
      </c>
      <c r="C4" s="520" t="s">
        <v>453</v>
      </c>
      <c r="D4" s="520" t="s">
        <v>454</v>
      </c>
      <c r="E4" s="520" t="s">
        <v>455</v>
      </c>
      <c r="F4" s="520">
        <v>2022</v>
      </c>
      <c r="G4" s="520" t="s">
        <v>456</v>
      </c>
      <c r="H4" s="520" t="s">
        <v>457</v>
      </c>
      <c r="I4" s="520" t="s">
        <v>458</v>
      </c>
      <c r="J4" s="520">
        <v>2023</v>
      </c>
      <c r="K4" s="520" t="s">
        <v>459</v>
      </c>
      <c r="L4" s="520" t="s">
        <v>460</v>
      </c>
      <c r="M4" s="520" t="s">
        <v>461</v>
      </c>
      <c r="N4" s="520">
        <v>2024</v>
      </c>
      <c r="O4" s="520" t="s">
        <v>462</v>
      </c>
      <c r="P4" s="520" t="s">
        <v>463</v>
      </c>
      <c r="Q4" s="520" t="s">
        <v>464</v>
      </c>
      <c r="R4" s="520">
        <v>2025</v>
      </c>
      <c r="T4" s="520" t="s">
        <v>53</v>
      </c>
      <c r="U4" s="520" t="s">
        <v>54</v>
      </c>
    </row>
    <row r="5" spans="1:21" ht="6.65" customHeight="1"/>
    <row r="6" spans="1:21">
      <c r="A6" s="522" t="s">
        <v>465</v>
      </c>
      <c r="C6" s="513">
        <f t="shared" ref="C6:L6" si="0">SUM(C8,C11:C17)</f>
        <v>890407</v>
      </c>
      <c r="D6" s="513">
        <f t="shared" si="0"/>
        <v>1883170</v>
      </c>
      <c r="E6" s="513">
        <f t="shared" si="0"/>
        <v>2935071</v>
      </c>
      <c r="F6" s="513">
        <f t="shared" si="0"/>
        <v>4018724</v>
      </c>
      <c r="G6" s="513">
        <f t="shared" si="0"/>
        <v>1038321</v>
      </c>
      <c r="H6" s="513">
        <f t="shared" si="0"/>
        <v>2270917</v>
      </c>
      <c r="I6" s="513">
        <f t="shared" si="0"/>
        <v>3373927</v>
      </c>
      <c r="J6" s="513">
        <f t="shared" si="0"/>
        <v>4757947</v>
      </c>
      <c r="K6" s="513">
        <f t="shared" si="0"/>
        <v>1138172</v>
      </c>
      <c r="L6" s="513">
        <f t="shared" si="0"/>
        <v>2385813</v>
      </c>
      <c r="M6" s="513"/>
      <c r="N6" s="513"/>
      <c r="O6" s="513"/>
      <c r="P6" s="513"/>
      <c r="Q6" s="513"/>
      <c r="R6" s="513"/>
      <c r="T6" s="513">
        <f t="shared" ref="T6:U6" si="1">SUM(T8,T11:T17)</f>
        <v>1138172</v>
      </c>
      <c r="U6" s="513">
        <f t="shared" si="1"/>
        <v>1247641</v>
      </c>
    </row>
    <row r="7" spans="1:21">
      <c r="A7" s="509"/>
      <c r="C7" s="514"/>
      <c r="D7" s="514"/>
      <c r="E7" s="514"/>
      <c r="F7" s="514"/>
      <c r="G7" s="514"/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514"/>
      <c r="T7" s="514"/>
      <c r="U7" s="514"/>
    </row>
    <row r="8" spans="1:21">
      <c r="A8" s="510" t="s">
        <v>466</v>
      </c>
      <c r="C8" s="515">
        <f t="shared" ref="C8:H8" si="2">SUM(C9:C10)</f>
        <v>723232</v>
      </c>
      <c r="D8" s="515">
        <f t="shared" si="2"/>
        <v>1455016</v>
      </c>
      <c r="E8" s="515">
        <f t="shared" si="2"/>
        <v>2235121</v>
      </c>
      <c r="F8" s="515">
        <f t="shared" si="2"/>
        <v>3026897</v>
      </c>
      <c r="G8" s="515">
        <f t="shared" si="2"/>
        <v>797387</v>
      </c>
      <c r="H8" s="515">
        <f t="shared" si="2"/>
        <v>1673221</v>
      </c>
      <c r="I8" s="515">
        <f>SUM(I9:I10)</f>
        <v>2555795</v>
      </c>
      <c r="J8" s="515">
        <f>SUM(J9:J10)</f>
        <v>3585829</v>
      </c>
      <c r="K8" s="515">
        <f>SUM(K9:K10)</f>
        <v>928910</v>
      </c>
      <c r="L8" s="515">
        <f>SUM(L9:L10)</f>
        <v>1899506</v>
      </c>
      <c r="M8" s="515"/>
      <c r="N8" s="515"/>
      <c r="O8" s="515"/>
      <c r="P8" s="515"/>
      <c r="Q8" s="515"/>
      <c r="R8" s="515"/>
      <c r="T8" s="515">
        <f>SUM(T9:T10)</f>
        <v>928910</v>
      </c>
      <c r="U8" s="515">
        <f>SUM(U9:U10)</f>
        <v>970596</v>
      </c>
    </row>
    <row r="9" spans="1:21" outlineLevel="1">
      <c r="A9" s="511" t="s">
        <v>466</v>
      </c>
      <c r="C9" s="516">
        <v>734525</v>
      </c>
      <c r="D9" s="516">
        <v>1427358</v>
      </c>
      <c r="E9" s="516">
        <v>2097918</v>
      </c>
      <c r="F9" s="516">
        <v>2828658</v>
      </c>
      <c r="G9" s="516">
        <v>731621</v>
      </c>
      <c r="H9" s="516">
        <v>1559863</v>
      </c>
      <c r="I9" s="516">
        <v>2432063</v>
      </c>
      <c r="J9" s="516">
        <v>3483418</v>
      </c>
      <c r="K9" s="516">
        <v>919724</v>
      </c>
      <c r="L9" s="516">
        <v>1868318</v>
      </c>
      <c r="M9" s="516"/>
      <c r="N9" s="516"/>
      <c r="O9" s="516"/>
      <c r="P9" s="516"/>
      <c r="Q9" s="516"/>
      <c r="R9" s="516"/>
      <c r="T9" s="516">
        <f>K9</f>
        <v>919724</v>
      </c>
      <c r="U9" s="516">
        <f>L9-T9</f>
        <v>948594</v>
      </c>
    </row>
    <row r="10" spans="1:21" outlineLevel="1">
      <c r="A10" s="511" t="s">
        <v>467</v>
      </c>
      <c r="C10" s="516">
        <v>-11293</v>
      </c>
      <c r="D10" s="516">
        <v>27658</v>
      </c>
      <c r="E10" s="516">
        <v>137203</v>
      </c>
      <c r="F10" s="516">
        <v>198239</v>
      </c>
      <c r="G10" s="516">
        <v>65766</v>
      </c>
      <c r="H10" s="516">
        <v>113358</v>
      </c>
      <c r="I10" s="516">
        <v>123732</v>
      </c>
      <c r="J10" s="516">
        <v>102411</v>
      </c>
      <c r="K10" s="516">
        <v>9186</v>
      </c>
      <c r="L10" s="516">
        <v>31188</v>
      </c>
      <c r="M10" s="516"/>
      <c r="N10" s="516"/>
      <c r="O10" s="516"/>
      <c r="P10" s="516"/>
      <c r="Q10" s="516"/>
      <c r="R10" s="516"/>
      <c r="T10" s="516">
        <f t="shared" ref="T10:T25" si="3">K10</f>
        <v>9186</v>
      </c>
      <c r="U10" s="516">
        <f t="shared" ref="U10:U16" si="4">L10-T10</f>
        <v>22002</v>
      </c>
    </row>
    <row r="11" spans="1:21">
      <c r="A11" s="510" t="s">
        <v>468</v>
      </c>
      <c r="C11" s="515">
        <v>5957</v>
      </c>
      <c r="D11" s="515">
        <v>17053</v>
      </c>
      <c r="E11" s="515">
        <v>22901</v>
      </c>
      <c r="F11" s="515">
        <v>27695</v>
      </c>
      <c r="G11" s="515">
        <v>11032</v>
      </c>
      <c r="H11" s="515">
        <v>19465</v>
      </c>
      <c r="I11" s="515">
        <v>27120</v>
      </c>
      <c r="J11" s="515">
        <v>32016</v>
      </c>
      <c r="K11" s="515">
        <v>4550</v>
      </c>
      <c r="L11" s="515">
        <v>7403</v>
      </c>
      <c r="M11" s="515"/>
      <c r="N11" s="515"/>
      <c r="O11" s="515"/>
      <c r="P11" s="515"/>
      <c r="Q11" s="515"/>
      <c r="R11" s="515"/>
      <c r="T11" s="515">
        <f t="shared" si="3"/>
        <v>4550</v>
      </c>
      <c r="U11" s="515">
        <f t="shared" si="4"/>
        <v>2853</v>
      </c>
    </row>
    <row r="12" spans="1:21">
      <c r="A12" s="510" t="s">
        <v>469</v>
      </c>
      <c r="C12" s="515">
        <v>0</v>
      </c>
      <c r="D12" s="515">
        <v>0</v>
      </c>
      <c r="E12" s="515">
        <v>0</v>
      </c>
      <c r="F12" s="515">
        <v>0</v>
      </c>
      <c r="G12" s="515">
        <v>0</v>
      </c>
      <c r="H12" s="515">
        <v>0</v>
      </c>
      <c r="I12" s="515">
        <v>0</v>
      </c>
      <c r="J12" s="515">
        <v>0</v>
      </c>
      <c r="K12" s="515">
        <v>0</v>
      </c>
      <c r="L12" s="515">
        <v>0</v>
      </c>
      <c r="M12" s="515"/>
      <c r="N12" s="515"/>
      <c r="O12" s="515"/>
      <c r="P12" s="515"/>
      <c r="Q12" s="515"/>
      <c r="R12" s="515"/>
      <c r="T12" s="515">
        <f t="shared" si="3"/>
        <v>0</v>
      </c>
      <c r="U12" s="515">
        <f t="shared" si="4"/>
        <v>0</v>
      </c>
    </row>
    <row r="13" spans="1:21">
      <c r="A13" s="510" t="s">
        <v>470</v>
      </c>
      <c r="C13" s="515">
        <v>90999</v>
      </c>
      <c r="D13" s="515">
        <v>248057</v>
      </c>
      <c r="E13" s="515">
        <v>481311</v>
      </c>
      <c r="F13" s="515">
        <v>732174</v>
      </c>
      <c r="G13" s="515">
        <v>179768</v>
      </c>
      <c r="H13" s="515">
        <v>454778</v>
      </c>
      <c r="I13" s="515">
        <v>605202</v>
      </c>
      <c r="J13" s="515">
        <v>826100</v>
      </c>
      <c r="K13" s="515">
        <v>132093</v>
      </c>
      <c r="L13" s="515">
        <v>328666</v>
      </c>
      <c r="M13" s="515"/>
      <c r="N13" s="515"/>
      <c r="O13" s="515"/>
      <c r="P13" s="515"/>
      <c r="Q13" s="515"/>
      <c r="R13" s="515"/>
      <c r="T13" s="515">
        <f t="shared" si="3"/>
        <v>132093</v>
      </c>
      <c r="U13" s="515">
        <f t="shared" si="4"/>
        <v>196573</v>
      </c>
    </row>
    <row r="14" spans="1:21">
      <c r="A14" s="510" t="s">
        <v>471</v>
      </c>
      <c r="C14" s="515">
        <v>0</v>
      </c>
      <c r="D14" s="515">
        <v>0</v>
      </c>
      <c r="E14" s="515">
        <v>0</v>
      </c>
      <c r="F14" s="515">
        <v>0</v>
      </c>
      <c r="G14" s="515">
        <v>0</v>
      </c>
      <c r="H14" s="515">
        <v>0</v>
      </c>
      <c r="I14" s="515">
        <v>0</v>
      </c>
      <c r="J14" s="515">
        <v>0</v>
      </c>
      <c r="K14" s="515">
        <v>0</v>
      </c>
      <c r="L14" s="515">
        <v>0</v>
      </c>
      <c r="M14" s="515"/>
      <c r="N14" s="515"/>
      <c r="O14" s="515"/>
      <c r="P14" s="515"/>
      <c r="Q14" s="515"/>
      <c r="R14" s="515"/>
      <c r="T14" s="515">
        <f t="shared" si="3"/>
        <v>0</v>
      </c>
      <c r="U14" s="515">
        <f t="shared" si="4"/>
        <v>0</v>
      </c>
    </row>
    <row r="15" spans="1:21">
      <c r="A15" s="510" t="s">
        <v>472</v>
      </c>
      <c r="C15" s="515">
        <v>0</v>
      </c>
      <c r="D15" s="515">
        <v>0</v>
      </c>
      <c r="E15" s="515">
        <v>0</v>
      </c>
      <c r="F15" s="515">
        <v>0</v>
      </c>
      <c r="G15" s="515">
        <v>0</v>
      </c>
      <c r="H15" s="515">
        <v>0</v>
      </c>
      <c r="I15" s="515">
        <v>0</v>
      </c>
      <c r="J15" s="515">
        <v>0</v>
      </c>
      <c r="K15" s="515">
        <v>0</v>
      </c>
      <c r="L15" s="515">
        <v>0</v>
      </c>
      <c r="M15" s="515"/>
      <c r="N15" s="515"/>
      <c r="O15" s="515"/>
      <c r="P15" s="515"/>
      <c r="Q15" s="515"/>
      <c r="R15" s="515"/>
      <c r="T15" s="515">
        <f t="shared" si="3"/>
        <v>0</v>
      </c>
      <c r="U15" s="515">
        <f t="shared" si="4"/>
        <v>0</v>
      </c>
    </row>
    <row r="16" spans="1:21">
      <c r="A16" s="510" t="s">
        <v>473</v>
      </c>
      <c r="C16" s="515">
        <v>0</v>
      </c>
      <c r="D16" s="515">
        <v>0</v>
      </c>
      <c r="E16" s="515">
        <v>0</v>
      </c>
      <c r="F16" s="515">
        <v>0</v>
      </c>
      <c r="G16" s="515">
        <v>0</v>
      </c>
      <c r="H16" s="515">
        <v>0</v>
      </c>
      <c r="I16" s="515">
        <v>0</v>
      </c>
      <c r="J16" s="515">
        <v>0</v>
      </c>
      <c r="K16" s="515">
        <v>0</v>
      </c>
      <c r="L16" s="515">
        <v>0</v>
      </c>
      <c r="M16" s="515"/>
      <c r="N16" s="515"/>
      <c r="O16" s="515"/>
      <c r="P16" s="515"/>
      <c r="Q16" s="515"/>
      <c r="R16" s="515"/>
      <c r="T16" s="515">
        <f t="shared" si="3"/>
        <v>0</v>
      </c>
      <c r="U16" s="515">
        <f t="shared" si="4"/>
        <v>0</v>
      </c>
    </row>
    <row r="17" spans="1:21">
      <c r="A17" s="510" t="s">
        <v>474</v>
      </c>
      <c r="C17" s="515">
        <f t="shared" ref="C17:H17" si="5">SUM(C18:C25)</f>
        <v>70219</v>
      </c>
      <c r="D17" s="515">
        <f t="shared" si="5"/>
        <v>163044</v>
      </c>
      <c r="E17" s="515">
        <f t="shared" si="5"/>
        <v>195738</v>
      </c>
      <c r="F17" s="515">
        <f t="shared" si="5"/>
        <v>231958</v>
      </c>
      <c r="G17" s="515">
        <f t="shared" si="5"/>
        <v>50134</v>
      </c>
      <c r="H17" s="515">
        <f t="shared" si="5"/>
        <v>123453</v>
      </c>
      <c r="I17" s="515">
        <f>SUM(I18:I25)</f>
        <v>185810</v>
      </c>
      <c r="J17" s="515">
        <f>SUM(J18:J25)</f>
        <v>314002</v>
      </c>
      <c r="K17" s="515">
        <f>SUM(K18:K25)</f>
        <v>72619</v>
      </c>
      <c r="L17" s="515">
        <f>SUM(L18:L25)</f>
        <v>150238</v>
      </c>
      <c r="M17" s="515"/>
      <c r="N17" s="515"/>
      <c r="O17" s="515"/>
      <c r="P17" s="515"/>
      <c r="Q17" s="515"/>
      <c r="R17" s="515"/>
      <c r="T17" s="515">
        <f>SUM(T18:T25)</f>
        <v>72619</v>
      </c>
      <c r="U17" s="515">
        <f>SUM(U18:U25)</f>
        <v>77619</v>
      </c>
    </row>
    <row r="18" spans="1:21" outlineLevel="1">
      <c r="A18" s="511" t="s">
        <v>475</v>
      </c>
      <c r="C18" s="516">
        <v>26453</v>
      </c>
      <c r="D18" s="516">
        <v>53892</v>
      </c>
      <c r="E18" s="516">
        <v>76377</v>
      </c>
      <c r="F18" s="516">
        <v>96126</v>
      </c>
      <c r="G18" s="516">
        <v>29496</v>
      </c>
      <c r="H18" s="516">
        <v>60643</v>
      </c>
      <c r="I18" s="516">
        <v>93801</v>
      </c>
      <c r="J18" s="516">
        <v>130397</v>
      </c>
      <c r="K18" s="516">
        <v>35107</v>
      </c>
      <c r="L18" s="516">
        <v>72272</v>
      </c>
      <c r="M18" s="516"/>
      <c r="N18" s="516"/>
      <c r="O18" s="516"/>
      <c r="P18" s="516"/>
      <c r="Q18" s="516"/>
      <c r="R18" s="516"/>
      <c r="T18" s="516">
        <f t="shared" si="3"/>
        <v>35107</v>
      </c>
      <c r="U18" s="516">
        <f t="shared" ref="U18:U25" si="6">L18-T18</f>
        <v>37165</v>
      </c>
    </row>
    <row r="19" spans="1:21" outlineLevel="1">
      <c r="A19" s="511" t="s">
        <v>476</v>
      </c>
      <c r="C19" s="516">
        <v>1214</v>
      </c>
      <c r="D19" s="516">
        <v>3243</v>
      </c>
      <c r="E19" s="516">
        <v>201</v>
      </c>
      <c r="F19" s="516">
        <v>1129</v>
      </c>
      <c r="G19" s="516">
        <v>2219</v>
      </c>
      <c r="H19" s="516">
        <v>3116</v>
      </c>
      <c r="I19" s="516">
        <v>4423</v>
      </c>
      <c r="J19" s="516">
        <v>19057</v>
      </c>
      <c r="K19" s="516">
        <v>2588</v>
      </c>
      <c r="L19" s="516">
        <v>4745</v>
      </c>
      <c r="M19" s="516"/>
      <c r="N19" s="516"/>
      <c r="O19" s="516"/>
      <c r="P19" s="516"/>
      <c r="Q19" s="516"/>
      <c r="R19" s="516"/>
      <c r="T19" s="516">
        <f t="shared" si="3"/>
        <v>2588</v>
      </c>
      <c r="U19" s="516">
        <f t="shared" si="6"/>
        <v>2157</v>
      </c>
    </row>
    <row r="20" spans="1:21" outlineLevel="1">
      <c r="A20" s="511" t="s">
        <v>477</v>
      </c>
      <c r="C20" s="516">
        <v>0</v>
      </c>
      <c r="D20" s="516">
        <v>0</v>
      </c>
      <c r="E20" s="516">
        <v>0</v>
      </c>
      <c r="F20" s="516">
        <v>0</v>
      </c>
      <c r="G20" s="516">
        <v>0</v>
      </c>
      <c r="H20" s="516">
        <v>0</v>
      </c>
      <c r="I20" s="516">
        <v>0</v>
      </c>
      <c r="J20" s="516">
        <v>0</v>
      </c>
      <c r="K20" s="516">
        <v>0</v>
      </c>
      <c r="L20" s="516">
        <v>0</v>
      </c>
      <c r="M20" s="516"/>
      <c r="N20" s="516"/>
      <c r="O20" s="516"/>
      <c r="P20" s="516"/>
      <c r="Q20" s="516"/>
      <c r="R20" s="516"/>
      <c r="T20" s="516">
        <f t="shared" si="3"/>
        <v>0</v>
      </c>
      <c r="U20" s="516">
        <f t="shared" si="6"/>
        <v>0</v>
      </c>
    </row>
    <row r="21" spans="1:21" outlineLevel="1">
      <c r="A21" s="511" t="s">
        <v>478</v>
      </c>
      <c r="C21" s="516">
        <v>0</v>
      </c>
      <c r="D21" s="516">
        <v>0</v>
      </c>
      <c r="E21" s="516">
        <v>0</v>
      </c>
      <c r="F21" s="516">
        <v>0</v>
      </c>
      <c r="G21" s="516">
        <v>0</v>
      </c>
      <c r="H21" s="516">
        <v>0</v>
      </c>
      <c r="I21" s="516">
        <v>0</v>
      </c>
      <c r="J21" s="516">
        <v>0</v>
      </c>
      <c r="K21" s="516">
        <v>0</v>
      </c>
      <c r="L21" s="516">
        <v>0</v>
      </c>
      <c r="M21" s="516"/>
      <c r="N21" s="516"/>
      <c r="O21" s="516"/>
      <c r="P21" s="516"/>
      <c r="Q21" s="516"/>
      <c r="R21" s="516"/>
      <c r="T21" s="516">
        <f t="shared" si="3"/>
        <v>0</v>
      </c>
      <c r="U21" s="516">
        <f t="shared" si="6"/>
        <v>0</v>
      </c>
    </row>
    <row r="22" spans="1:21" outlineLevel="1">
      <c r="A22" s="511" t="s">
        <v>479</v>
      </c>
      <c r="C22" s="516">
        <v>0</v>
      </c>
      <c r="D22" s="516">
        <v>0</v>
      </c>
      <c r="E22" s="516">
        <v>0</v>
      </c>
      <c r="F22" s="516">
        <v>0</v>
      </c>
      <c r="G22" s="516">
        <v>0</v>
      </c>
      <c r="H22" s="516">
        <v>0</v>
      </c>
      <c r="I22" s="516">
        <v>0</v>
      </c>
      <c r="J22" s="516">
        <v>0</v>
      </c>
      <c r="K22" s="516">
        <v>0</v>
      </c>
      <c r="L22" s="516">
        <v>0</v>
      </c>
      <c r="M22" s="516"/>
      <c r="N22" s="516"/>
      <c r="O22" s="516"/>
      <c r="P22" s="516"/>
      <c r="Q22" s="516"/>
      <c r="R22" s="516"/>
      <c r="T22" s="516">
        <f t="shared" si="3"/>
        <v>0</v>
      </c>
      <c r="U22" s="516">
        <f t="shared" si="6"/>
        <v>0</v>
      </c>
    </row>
    <row r="23" spans="1:21" outlineLevel="1">
      <c r="A23" s="511" t="s">
        <v>480</v>
      </c>
      <c r="C23" s="516">
        <v>0</v>
      </c>
      <c r="D23" s="516">
        <v>0</v>
      </c>
      <c r="E23" s="516">
        <v>0</v>
      </c>
      <c r="F23" s="516">
        <v>0</v>
      </c>
      <c r="G23" s="516">
        <v>0</v>
      </c>
      <c r="H23" s="516">
        <v>0</v>
      </c>
      <c r="I23" s="516">
        <v>0</v>
      </c>
      <c r="J23" s="516">
        <v>0</v>
      </c>
      <c r="K23" s="516">
        <v>0</v>
      </c>
      <c r="L23" s="516">
        <v>0</v>
      </c>
      <c r="M23" s="516"/>
      <c r="N23" s="516"/>
      <c r="O23" s="516"/>
      <c r="P23" s="516"/>
      <c r="Q23" s="516"/>
      <c r="R23" s="516"/>
      <c r="T23" s="516">
        <f t="shared" si="3"/>
        <v>0</v>
      </c>
      <c r="U23" s="516">
        <f t="shared" si="6"/>
        <v>0</v>
      </c>
    </row>
    <row r="24" spans="1:21" outlineLevel="1">
      <c r="A24" s="511" t="s">
        <v>481</v>
      </c>
      <c r="C24" s="516">
        <v>0</v>
      </c>
      <c r="D24" s="516">
        <v>0</v>
      </c>
      <c r="E24" s="516">
        <v>0</v>
      </c>
      <c r="F24" s="516">
        <v>0</v>
      </c>
      <c r="G24" s="516">
        <v>0</v>
      </c>
      <c r="H24" s="516">
        <v>0</v>
      </c>
      <c r="I24" s="516">
        <v>0</v>
      </c>
      <c r="J24" s="516">
        <v>0</v>
      </c>
      <c r="K24" s="516">
        <v>0</v>
      </c>
      <c r="L24" s="516">
        <v>0</v>
      </c>
      <c r="M24" s="516"/>
      <c r="N24" s="516"/>
      <c r="O24" s="516"/>
      <c r="P24" s="516"/>
      <c r="Q24" s="516"/>
      <c r="R24" s="516"/>
      <c r="T24" s="516">
        <f t="shared" si="3"/>
        <v>0</v>
      </c>
      <c r="U24" s="516">
        <f t="shared" si="6"/>
        <v>0</v>
      </c>
    </row>
    <row r="25" spans="1:21" outlineLevel="1">
      <c r="A25" s="511" t="s">
        <v>474</v>
      </c>
      <c r="C25" s="516">
        <v>42552</v>
      </c>
      <c r="D25" s="516">
        <v>105909</v>
      </c>
      <c r="E25" s="516">
        <v>119160</v>
      </c>
      <c r="F25" s="516">
        <v>134703</v>
      </c>
      <c r="G25" s="516">
        <v>18419</v>
      </c>
      <c r="H25" s="516">
        <v>59694</v>
      </c>
      <c r="I25" s="516">
        <v>87586</v>
      </c>
      <c r="J25" s="516">
        <v>164548</v>
      </c>
      <c r="K25" s="516">
        <v>34924</v>
      </c>
      <c r="L25" s="516">
        <v>73221</v>
      </c>
      <c r="M25" s="516"/>
      <c r="N25" s="516"/>
      <c r="O25" s="516"/>
      <c r="P25" s="516"/>
      <c r="Q25" s="516"/>
      <c r="R25" s="516"/>
      <c r="T25" s="516">
        <f t="shared" si="3"/>
        <v>34924</v>
      </c>
      <c r="U25" s="516">
        <f t="shared" si="6"/>
        <v>38297</v>
      </c>
    </row>
    <row r="26" spans="1:21">
      <c r="A26" s="510"/>
      <c r="C26" s="510"/>
      <c r="D26" s="510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  <c r="T26" s="510"/>
      <c r="U26" s="510"/>
    </row>
    <row r="27" spans="1:21">
      <c r="A27" s="522" t="s">
        <v>482</v>
      </c>
      <c r="C27" s="513">
        <f t="shared" ref="C27:H27" si="7">SUM(C29:C37)</f>
        <v>-302491</v>
      </c>
      <c r="D27" s="513">
        <f t="shared" si="7"/>
        <v>-581007</v>
      </c>
      <c r="E27" s="513">
        <f t="shared" si="7"/>
        <v>-835521</v>
      </c>
      <c r="F27" s="513">
        <f t="shared" si="7"/>
        <v>-1075047</v>
      </c>
      <c r="G27" s="513">
        <f t="shared" si="7"/>
        <v>-259237</v>
      </c>
      <c r="H27" s="513">
        <f t="shared" si="7"/>
        <v>-585471</v>
      </c>
      <c r="I27" s="513">
        <f>SUM(I29:I37)</f>
        <v>-913148</v>
      </c>
      <c r="J27" s="513">
        <f>SUM(J29:J37)</f>
        <v>-1299120</v>
      </c>
      <c r="K27" s="513">
        <f>SUM(K29:K37)</f>
        <v>-339706</v>
      </c>
      <c r="L27" s="513">
        <f>SUM(L29:L37)</f>
        <v>-694964</v>
      </c>
      <c r="M27" s="513"/>
      <c r="N27" s="513"/>
      <c r="O27" s="513"/>
      <c r="P27" s="513"/>
      <c r="Q27" s="513"/>
      <c r="R27" s="513"/>
      <c r="T27" s="513">
        <f>SUM(T29:T37)</f>
        <v>-339706</v>
      </c>
      <c r="U27" s="513">
        <f>SUM(U29:U37)</f>
        <v>-355258</v>
      </c>
    </row>
    <row r="28" spans="1:21">
      <c r="A28" s="509"/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T28" s="514"/>
      <c r="U28" s="514"/>
    </row>
    <row r="29" spans="1:21" outlineLevel="1">
      <c r="A29" s="511" t="s">
        <v>483</v>
      </c>
      <c r="C29" s="516">
        <v>-181039</v>
      </c>
      <c r="D29" s="516">
        <v>-347249</v>
      </c>
      <c r="E29" s="516">
        <v>-478138</v>
      </c>
      <c r="F29" s="516">
        <v>-598820</v>
      </c>
      <c r="G29" s="516">
        <v>-138211</v>
      </c>
      <c r="H29" s="516">
        <v>-330662</v>
      </c>
      <c r="I29" s="516">
        <v>-541090</v>
      </c>
      <c r="J29" s="516">
        <v>-783081</v>
      </c>
      <c r="K29" s="516">
        <v>-186419</v>
      </c>
      <c r="L29" s="516">
        <v>-380066</v>
      </c>
      <c r="M29" s="516"/>
      <c r="N29" s="516"/>
      <c r="O29" s="516"/>
      <c r="P29" s="516"/>
      <c r="Q29" s="516"/>
      <c r="R29" s="516"/>
      <c r="T29" s="516">
        <f t="shared" ref="T29:T37" si="8">K29</f>
        <v>-186419</v>
      </c>
      <c r="U29" s="516">
        <f t="shared" ref="U29:U37" si="9">L29-T29</f>
        <v>-193647</v>
      </c>
    </row>
    <row r="30" spans="1:21" outlineLevel="1">
      <c r="A30" s="511" t="s">
        <v>484</v>
      </c>
      <c r="C30" s="516">
        <v>-58324</v>
      </c>
      <c r="D30" s="516">
        <v>-111394</v>
      </c>
      <c r="E30" s="516">
        <v>-175965</v>
      </c>
      <c r="F30" s="516">
        <v>-234533</v>
      </c>
      <c r="G30" s="516">
        <v>-59538</v>
      </c>
      <c r="H30" s="516">
        <v>-129112</v>
      </c>
      <c r="I30" s="516">
        <v>-187016</v>
      </c>
      <c r="J30" s="516">
        <v>-262297</v>
      </c>
      <c r="K30" s="516">
        <v>-70159</v>
      </c>
      <c r="L30" s="516">
        <v>-145498</v>
      </c>
      <c r="M30" s="516"/>
      <c r="N30" s="516"/>
      <c r="O30" s="516"/>
      <c r="P30" s="516"/>
      <c r="Q30" s="516"/>
      <c r="R30" s="516"/>
      <c r="T30" s="516">
        <f t="shared" si="8"/>
        <v>-70159</v>
      </c>
      <c r="U30" s="516">
        <f t="shared" si="9"/>
        <v>-75339</v>
      </c>
    </row>
    <row r="31" spans="1:21" outlineLevel="1">
      <c r="A31" s="511" t="s">
        <v>485</v>
      </c>
      <c r="C31" s="516">
        <v>0</v>
      </c>
      <c r="D31" s="516">
        <v>0</v>
      </c>
      <c r="E31" s="516">
        <v>0</v>
      </c>
      <c r="F31" s="516">
        <v>0</v>
      </c>
      <c r="G31" s="516">
        <v>0</v>
      </c>
      <c r="H31" s="516">
        <v>0</v>
      </c>
      <c r="I31" s="516">
        <v>0</v>
      </c>
      <c r="J31" s="516">
        <v>0</v>
      </c>
      <c r="K31" s="516">
        <v>0</v>
      </c>
      <c r="L31" s="516">
        <v>0</v>
      </c>
      <c r="M31" s="516"/>
      <c r="N31" s="516"/>
      <c r="O31" s="516"/>
      <c r="P31" s="516"/>
      <c r="Q31" s="516"/>
      <c r="R31" s="516"/>
      <c r="T31" s="516">
        <f t="shared" si="8"/>
        <v>0</v>
      </c>
      <c r="U31" s="516">
        <f t="shared" si="9"/>
        <v>0</v>
      </c>
    </row>
    <row r="32" spans="1:21" outlineLevel="1">
      <c r="A32" s="511" t="s">
        <v>486</v>
      </c>
      <c r="C32" s="516">
        <v>0</v>
      </c>
      <c r="D32" s="516">
        <v>0</v>
      </c>
      <c r="E32" s="516">
        <v>0</v>
      </c>
      <c r="F32" s="516">
        <v>0</v>
      </c>
      <c r="G32" s="516">
        <v>0</v>
      </c>
      <c r="H32" s="516">
        <v>0</v>
      </c>
      <c r="I32" s="516">
        <v>0</v>
      </c>
      <c r="J32" s="516">
        <v>0</v>
      </c>
      <c r="K32" s="516">
        <v>0</v>
      </c>
      <c r="L32" s="516">
        <v>0</v>
      </c>
      <c r="M32" s="516"/>
      <c r="N32" s="516"/>
      <c r="O32" s="516"/>
      <c r="P32" s="516"/>
      <c r="Q32" s="516"/>
      <c r="R32" s="516"/>
      <c r="T32" s="516">
        <f t="shared" si="8"/>
        <v>0</v>
      </c>
      <c r="U32" s="516">
        <f t="shared" si="9"/>
        <v>0</v>
      </c>
    </row>
    <row r="33" spans="1:21" outlineLevel="1">
      <c r="A33" s="511" t="s">
        <v>487</v>
      </c>
      <c r="C33" s="516">
        <v>-4757</v>
      </c>
      <c r="D33" s="516">
        <v>-10085</v>
      </c>
      <c r="E33" s="516">
        <v>-15509</v>
      </c>
      <c r="F33" s="516">
        <v>-21313</v>
      </c>
      <c r="G33" s="516">
        <v>-5736</v>
      </c>
      <c r="H33" s="516">
        <v>-11603</v>
      </c>
      <c r="I33" s="516">
        <v>-17453</v>
      </c>
      <c r="J33" s="516">
        <v>-24074</v>
      </c>
      <c r="K33" s="516">
        <v>-6476</v>
      </c>
      <c r="L33" s="516">
        <v>-13231</v>
      </c>
      <c r="M33" s="516"/>
      <c r="N33" s="516"/>
      <c r="O33" s="516"/>
      <c r="P33" s="516"/>
      <c r="Q33" s="516"/>
      <c r="R33" s="516"/>
      <c r="T33" s="516">
        <f t="shared" si="8"/>
        <v>-6476</v>
      </c>
      <c r="U33" s="516">
        <f t="shared" si="9"/>
        <v>-6755</v>
      </c>
    </row>
    <row r="34" spans="1:21" outlineLevel="1">
      <c r="A34" s="511" t="s">
        <v>488</v>
      </c>
      <c r="C34" s="516">
        <v>-923</v>
      </c>
      <c r="D34" s="516">
        <v>-1801</v>
      </c>
      <c r="E34" s="516">
        <v>-2678</v>
      </c>
      <c r="F34" s="516">
        <v>-3559</v>
      </c>
      <c r="G34" s="516">
        <v>-889</v>
      </c>
      <c r="H34" s="516">
        <v>-1777</v>
      </c>
      <c r="I34" s="516">
        <v>-2666</v>
      </c>
      <c r="J34" s="516">
        <v>-3554</v>
      </c>
      <c r="K34" s="516">
        <v>-1192</v>
      </c>
      <c r="L34" s="516">
        <v>-2307</v>
      </c>
      <c r="M34" s="516"/>
      <c r="N34" s="516"/>
      <c r="O34" s="516"/>
      <c r="P34" s="516"/>
      <c r="Q34" s="516"/>
      <c r="R34" s="516"/>
      <c r="T34" s="516">
        <f t="shared" si="8"/>
        <v>-1192</v>
      </c>
      <c r="U34" s="516">
        <f t="shared" si="9"/>
        <v>-1115</v>
      </c>
    </row>
    <row r="35" spans="1:21" outlineLevel="1">
      <c r="A35" s="511" t="s">
        <v>489</v>
      </c>
      <c r="C35" s="516">
        <v>-49192</v>
      </c>
      <c r="D35" s="516">
        <v>-97696</v>
      </c>
      <c r="E35" s="516">
        <v>-145855</v>
      </c>
      <c r="F35" s="516">
        <v>-194015</v>
      </c>
      <c r="G35" s="516">
        <v>-48820</v>
      </c>
      <c r="H35" s="516">
        <v>-97490</v>
      </c>
      <c r="I35" s="516">
        <v>-146160</v>
      </c>
      <c r="J35" s="516">
        <v>-199438</v>
      </c>
      <c r="K35" s="516">
        <v>-68209</v>
      </c>
      <c r="L35" s="516">
        <v>-136418</v>
      </c>
      <c r="M35" s="516"/>
      <c r="N35" s="516"/>
      <c r="O35" s="516"/>
      <c r="P35" s="516"/>
      <c r="Q35" s="516"/>
      <c r="R35" s="516"/>
      <c r="T35" s="516">
        <f t="shared" si="8"/>
        <v>-68209</v>
      </c>
      <c r="U35" s="516">
        <f t="shared" si="9"/>
        <v>-68209</v>
      </c>
    </row>
    <row r="36" spans="1:21" outlineLevel="1">
      <c r="A36" s="511" t="s">
        <v>490</v>
      </c>
      <c r="C36" s="516">
        <v>-122</v>
      </c>
      <c r="D36" s="516">
        <v>-296</v>
      </c>
      <c r="E36" s="516">
        <v>-369</v>
      </c>
      <c r="F36" s="516">
        <v>-549</v>
      </c>
      <c r="G36" s="516">
        <v>-50</v>
      </c>
      <c r="H36" s="516">
        <v>-174</v>
      </c>
      <c r="I36" s="516">
        <v>-231</v>
      </c>
      <c r="J36" s="516">
        <v>-402</v>
      </c>
      <c r="K36" s="516">
        <v>-116</v>
      </c>
      <c r="L36" s="516">
        <v>-215</v>
      </c>
      <c r="M36" s="516"/>
      <c r="N36" s="516"/>
      <c r="O36" s="516"/>
      <c r="P36" s="516"/>
      <c r="Q36" s="516"/>
      <c r="R36" s="516"/>
      <c r="T36" s="516">
        <f t="shared" si="8"/>
        <v>-116</v>
      </c>
      <c r="U36" s="516">
        <f t="shared" si="9"/>
        <v>-99</v>
      </c>
    </row>
    <row r="37" spans="1:21" outlineLevel="1">
      <c r="A37" s="511" t="s">
        <v>59</v>
      </c>
      <c r="C37" s="516">
        <v>-8134</v>
      </c>
      <c r="D37" s="516">
        <v>-12486</v>
      </c>
      <c r="E37" s="516">
        <v>-17007</v>
      </c>
      <c r="F37" s="516">
        <v>-22258</v>
      </c>
      <c r="G37" s="516">
        <v>-5993</v>
      </c>
      <c r="H37" s="516">
        <v>-14653</v>
      </c>
      <c r="I37" s="516">
        <v>-18532</v>
      </c>
      <c r="J37" s="516">
        <v>-26274</v>
      </c>
      <c r="K37" s="516">
        <v>-7135</v>
      </c>
      <c r="L37" s="516">
        <v>-17229</v>
      </c>
      <c r="M37" s="516"/>
      <c r="N37" s="516"/>
      <c r="O37" s="516"/>
      <c r="P37" s="516"/>
      <c r="Q37" s="516"/>
      <c r="R37" s="516"/>
      <c r="T37" s="516">
        <f t="shared" si="8"/>
        <v>-7135</v>
      </c>
      <c r="U37" s="516">
        <f t="shared" si="9"/>
        <v>-10094</v>
      </c>
    </row>
    <row r="38" spans="1:21">
      <c r="A38" s="510"/>
      <c r="C38" s="510"/>
      <c r="D38" s="510"/>
      <c r="E38" s="510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P38" s="510"/>
      <c r="Q38" s="510"/>
      <c r="R38" s="510"/>
      <c r="T38" s="510"/>
      <c r="U38" s="510"/>
    </row>
    <row r="39" spans="1:21">
      <c r="A39" s="522" t="s">
        <v>491</v>
      </c>
      <c r="C39" s="513">
        <f t="shared" ref="C39:H39" si="10">C27+C6</f>
        <v>587916</v>
      </c>
      <c r="D39" s="513">
        <f t="shared" si="10"/>
        <v>1302163</v>
      </c>
      <c r="E39" s="513">
        <f t="shared" si="10"/>
        <v>2099550</v>
      </c>
      <c r="F39" s="513">
        <f t="shared" si="10"/>
        <v>2943677</v>
      </c>
      <c r="G39" s="513">
        <f t="shared" si="10"/>
        <v>779084</v>
      </c>
      <c r="H39" s="513">
        <f t="shared" si="10"/>
        <v>1685446</v>
      </c>
      <c r="I39" s="513">
        <f>I27+I6</f>
        <v>2460779</v>
      </c>
      <c r="J39" s="513">
        <f>J27+J6</f>
        <v>3458827</v>
      </c>
      <c r="K39" s="513">
        <f>K27+K6</f>
        <v>798466</v>
      </c>
      <c r="L39" s="513">
        <f>L27+L6</f>
        <v>1690849</v>
      </c>
      <c r="M39" s="513"/>
      <c r="N39" s="513"/>
      <c r="O39" s="513"/>
      <c r="P39" s="513"/>
      <c r="Q39" s="513"/>
      <c r="R39" s="513"/>
      <c r="T39" s="513">
        <f>T27+T6</f>
        <v>798466</v>
      </c>
      <c r="U39" s="513">
        <f>U27+U6</f>
        <v>892383</v>
      </c>
    </row>
    <row r="40" spans="1:21">
      <c r="A40" s="510"/>
      <c r="C40" s="510"/>
      <c r="D40" s="510"/>
      <c r="E40" s="510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P40" s="510"/>
      <c r="Q40" s="510"/>
      <c r="R40" s="510"/>
      <c r="T40" s="510"/>
      <c r="U40" s="510"/>
    </row>
    <row r="41" spans="1:21">
      <c r="A41" s="509" t="s">
        <v>492</v>
      </c>
      <c r="C41" s="517">
        <f t="shared" ref="C41:H41" si="11">SUM(C43:C48)</f>
        <v>-409926</v>
      </c>
      <c r="D41" s="517">
        <f t="shared" si="11"/>
        <v>-918065</v>
      </c>
      <c r="E41" s="517">
        <f t="shared" si="11"/>
        <v>-1521777</v>
      </c>
      <c r="F41" s="517">
        <f t="shared" si="11"/>
        <v>-2163328</v>
      </c>
      <c r="G41" s="517">
        <f t="shared" si="11"/>
        <v>-569208</v>
      </c>
      <c r="H41" s="517">
        <f t="shared" si="11"/>
        <v>-1231632</v>
      </c>
      <c r="I41" s="517">
        <f>SUM(I43:I48)</f>
        <v>-1785154</v>
      </c>
      <c r="J41" s="517">
        <f>SUM(J43:J48)</f>
        <v>-2499122</v>
      </c>
      <c r="K41" s="517">
        <f>SUM(K43:K48)</f>
        <v>-548460</v>
      </c>
      <c r="L41" s="517">
        <f>SUM(L43:L48)</f>
        <v>-1183186</v>
      </c>
      <c r="M41" s="517"/>
      <c r="N41" s="517"/>
      <c r="O41" s="517"/>
      <c r="P41" s="517"/>
      <c r="Q41" s="517"/>
      <c r="R41" s="517"/>
      <c r="T41" s="517">
        <f>SUM(T43:T48)</f>
        <v>-548460</v>
      </c>
      <c r="U41" s="517">
        <f>SUM(U43:U48)</f>
        <v>-634726</v>
      </c>
    </row>
    <row r="42" spans="1:21">
      <c r="A42" s="509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T42" s="514"/>
      <c r="U42" s="514"/>
    </row>
    <row r="43" spans="1:21">
      <c r="A43" s="510" t="s">
        <v>493</v>
      </c>
      <c r="C43" s="515">
        <v>-269185</v>
      </c>
      <c r="D43" s="515">
        <v>-571606</v>
      </c>
      <c r="E43" s="515">
        <v>-890263</v>
      </c>
      <c r="F43" s="515">
        <v>-1208408</v>
      </c>
      <c r="G43" s="515">
        <v>-332629</v>
      </c>
      <c r="H43" s="515">
        <v>-653685</v>
      </c>
      <c r="I43" s="515">
        <v>-991899</v>
      </c>
      <c r="J43" s="515">
        <v>-1407240</v>
      </c>
      <c r="K43" s="515">
        <v>-333675</v>
      </c>
      <c r="L43" s="515">
        <v>-694430</v>
      </c>
      <c r="M43" s="515"/>
      <c r="N43" s="515"/>
      <c r="O43" s="515"/>
      <c r="P43" s="515"/>
      <c r="Q43" s="515"/>
      <c r="R43" s="515"/>
      <c r="T43" s="515">
        <f t="shared" ref="T43:T47" si="12">K43</f>
        <v>-333675</v>
      </c>
      <c r="U43" s="515">
        <f t="shared" ref="U43:U47" si="13">L43-T43</f>
        <v>-360755</v>
      </c>
    </row>
    <row r="44" spans="1:21">
      <c r="A44" s="510" t="s">
        <v>494</v>
      </c>
      <c r="C44" s="515">
        <v>-90999</v>
      </c>
      <c r="D44" s="515">
        <v>-248057</v>
      </c>
      <c r="E44" s="515">
        <v>-481311</v>
      </c>
      <c r="F44" s="515">
        <v>-732174</v>
      </c>
      <c r="G44" s="515">
        <v>-179768</v>
      </c>
      <c r="H44" s="515">
        <v>-454778</v>
      </c>
      <c r="I44" s="515">
        <v>-605202</v>
      </c>
      <c r="J44" s="515">
        <v>-826100</v>
      </c>
      <c r="K44" s="515">
        <v>-132093</v>
      </c>
      <c r="L44" s="515">
        <v>-328666</v>
      </c>
      <c r="M44" s="515"/>
      <c r="N44" s="515"/>
      <c r="O44" s="515"/>
      <c r="P44" s="515"/>
      <c r="Q44" s="515"/>
      <c r="R44" s="515"/>
      <c r="T44" s="515">
        <f t="shared" si="12"/>
        <v>-132093</v>
      </c>
      <c r="U44" s="515">
        <f t="shared" si="13"/>
        <v>-196573</v>
      </c>
    </row>
    <row r="45" spans="1:21">
      <c r="A45" s="510" t="s">
        <v>495</v>
      </c>
      <c r="C45" s="515">
        <v>0</v>
      </c>
      <c r="D45" s="515">
        <v>0</v>
      </c>
      <c r="E45" s="515">
        <v>0</v>
      </c>
      <c r="F45" s="515">
        <v>0</v>
      </c>
      <c r="G45" s="515">
        <v>0</v>
      </c>
      <c r="H45" s="515">
        <v>0</v>
      </c>
      <c r="I45" s="515">
        <v>0</v>
      </c>
      <c r="J45" s="515">
        <v>0</v>
      </c>
      <c r="K45" s="515">
        <v>0</v>
      </c>
      <c r="L45" s="515">
        <v>0</v>
      </c>
      <c r="M45" s="515"/>
      <c r="N45" s="515"/>
      <c r="O45" s="515"/>
      <c r="P45" s="515"/>
      <c r="Q45" s="515"/>
      <c r="R45" s="515"/>
      <c r="T45" s="515">
        <f t="shared" si="12"/>
        <v>0</v>
      </c>
      <c r="U45" s="515">
        <f t="shared" si="13"/>
        <v>0</v>
      </c>
    </row>
    <row r="46" spans="1:21">
      <c r="A46" s="510" t="s">
        <v>496</v>
      </c>
      <c r="C46" s="515">
        <v>0</v>
      </c>
      <c r="D46" s="515">
        <v>0</v>
      </c>
      <c r="E46" s="515">
        <v>0</v>
      </c>
      <c r="F46" s="515">
        <v>0</v>
      </c>
      <c r="G46" s="515">
        <v>0</v>
      </c>
      <c r="H46" s="515">
        <v>0</v>
      </c>
      <c r="I46" s="515">
        <v>0</v>
      </c>
      <c r="J46" s="515">
        <v>0</v>
      </c>
      <c r="K46" s="515">
        <v>0</v>
      </c>
      <c r="L46" s="515">
        <v>0</v>
      </c>
      <c r="M46" s="515"/>
      <c r="N46" s="515"/>
      <c r="O46" s="515"/>
      <c r="P46" s="515"/>
      <c r="Q46" s="515"/>
      <c r="R46" s="515"/>
      <c r="T46" s="515">
        <f t="shared" si="12"/>
        <v>0</v>
      </c>
      <c r="U46" s="515">
        <f t="shared" si="13"/>
        <v>0</v>
      </c>
    </row>
    <row r="47" spans="1:21">
      <c r="A47" s="510" t="s">
        <v>497</v>
      </c>
      <c r="C47" s="515">
        <v>0</v>
      </c>
      <c r="D47" s="515">
        <v>0</v>
      </c>
      <c r="E47" s="515">
        <v>0</v>
      </c>
      <c r="F47" s="515">
        <v>0</v>
      </c>
      <c r="G47" s="515">
        <v>0</v>
      </c>
      <c r="H47" s="515">
        <v>0</v>
      </c>
      <c r="I47" s="515">
        <v>0</v>
      </c>
      <c r="J47" s="515">
        <v>0</v>
      </c>
      <c r="K47" s="515">
        <v>0</v>
      </c>
      <c r="L47" s="515">
        <v>0</v>
      </c>
      <c r="M47" s="515"/>
      <c r="N47" s="515"/>
      <c r="O47" s="515"/>
      <c r="P47" s="515"/>
      <c r="Q47" s="515"/>
      <c r="R47" s="515"/>
      <c r="T47" s="515">
        <f t="shared" si="12"/>
        <v>0</v>
      </c>
      <c r="U47" s="515">
        <f t="shared" si="13"/>
        <v>0</v>
      </c>
    </row>
    <row r="48" spans="1:21">
      <c r="A48" s="510" t="s">
        <v>498</v>
      </c>
      <c r="C48" s="515">
        <f t="shared" ref="C48:H48" si="14">SUM(C49:C55)</f>
        <v>-49742</v>
      </c>
      <c r="D48" s="515">
        <f t="shared" si="14"/>
        <v>-98402</v>
      </c>
      <c r="E48" s="515">
        <f t="shared" si="14"/>
        <v>-150203</v>
      </c>
      <c r="F48" s="515">
        <f t="shared" si="14"/>
        <v>-222746</v>
      </c>
      <c r="G48" s="515">
        <f t="shared" si="14"/>
        <v>-56811</v>
      </c>
      <c r="H48" s="515">
        <f t="shared" si="14"/>
        <v>-123169</v>
      </c>
      <c r="I48" s="515">
        <f>SUM(I49:I55)</f>
        <v>-188053</v>
      </c>
      <c r="J48" s="515">
        <f>SUM(J49:J55)</f>
        <v>-265782</v>
      </c>
      <c r="K48" s="515">
        <f>SUM(K49:K55)</f>
        <v>-82692</v>
      </c>
      <c r="L48" s="515">
        <f>SUM(L49:L55)</f>
        <v>-160090</v>
      </c>
      <c r="M48" s="515"/>
      <c r="N48" s="515"/>
      <c r="O48" s="515"/>
      <c r="P48" s="515"/>
      <c r="Q48" s="515"/>
      <c r="R48" s="515"/>
      <c r="T48" s="515">
        <f>SUM(T49:T55)</f>
        <v>-82692</v>
      </c>
      <c r="U48" s="515">
        <f>SUM(U49:U55)</f>
        <v>-77398</v>
      </c>
    </row>
    <row r="49" spans="1:21" outlineLevel="1">
      <c r="A49" s="511" t="s">
        <v>499</v>
      </c>
      <c r="C49" s="516">
        <v>-4042</v>
      </c>
      <c r="D49" s="516">
        <v>-8630</v>
      </c>
      <c r="E49" s="516">
        <v>-14116</v>
      </c>
      <c r="F49" s="516">
        <v>-20537</v>
      </c>
      <c r="G49" s="516">
        <v>-4929</v>
      </c>
      <c r="H49" s="516">
        <v>-10143</v>
      </c>
      <c r="I49" s="516">
        <v>-15577</v>
      </c>
      <c r="J49" s="516">
        <v>-19361</v>
      </c>
      <c r="K49" s="516">
        <v>-4706</v>
      </c>
      <c r="L49" s="516">
        <v>-9599</v>
      </c>
      <c r="M49" s="516"/>
      <c r="N49" s="516"/>
      <c r="O49" s="516"/>
      <c r="P49" s="516"/>
      <c r="Q49" s="516"/>
      <c r="R49" s="516"/>
      <c r="T49" s="516">
        <f t="shared" ref="T49:T55" si="15">K49</f>
        <v>-4706</v>
      </c>
      <c r="U49" s="516">
        <f t="shared" ref="U49:U55" si="16">L49-T49</f>
        <v>-4893</v>
      </c>
    </row>
    <row r="50" spans="1:21" outlineLevel="1">
      <c r="A50" s="511" t="s">
        <v>500</v>
      </c>
      <c r="C50" s="516">
        <v>-2931</v>
      </c>
      <c r="D50" s="516">
        <v>-4602</v>
      </c>
      <c r="E50" s="516">
        <v>-6066</v>
      </c>
      <c r="F50" s="516">
        <v>-9226</v>
      </c>
      <c r="G50" s="516">
        <v>-1214</v>
      </c>
      <c r="H50" s="516">
        <v>-3034</v>
      </c>
      <c r="I50" s="516">
        <v>-4925</v>
      </c>
      <c r="J50" s="516">
        <v>-7904</v>
      </c>
      <c r="K50" s="516">
        <v>-1468</v>
      </c>
      <c r="L50" s="516">
        <v>-2637</v>
      </c>
      <c r="M50" s="516"/>
      <c r="N50" s="516"/>
      <c r="O50" s="516"/>
      <c r="P50" s="516"/>
      <c r="Q50" s="516"/>
      <c r="R50" s="516"/>
      <c r="T50" s="516">
        <f t="shared" si="15"/>
        <v>-1468</v>
      </c>
      <c r="U50" s="516">
        <f t="shared" si="16"/>
        <v>-1169</v>
      </c>
    </row>
    <row r="51" spans="1:21" outlineLevel="1">
      <c r="A51" s="511" t="s">
        <v>501</v>
      </c>
      <c r="C51" s="516">
        <v>-24288</v>
      </c>
      <c r="D51" s="516">
        <v>-47874</v>
      </c>
      <c r="E51" s="516">
        <v>-73144</v>
      </c>
      <c r="F51" s="516">
        <v>-99482</v>
      </c>
      <c r="G51" s="516">
        <v>-31705</v>
      </c>
      <c r="H51" s="516">
        <v>-63139</v>
      </c>
      <c r="I51" s="516">
        <v>-90166</v>
      </c>
      <c r="J51" s="516">
        <v>-129432</v>
      </c>
      <c r="K51" s="516">
        <v>-43870</v>
      </c>
      <c r="L51" s="516">
        <v>-79640</v>
      </c>
      <c r="M51" s="516"/>
      <c r="N51" s="516"/>
      <c r="O51" s="516"/>
      <c r="P51" s="516"/>
      <c r="Q51" s="516"/>
      <c r="R51" s="516"/>
      <c r="T51" s="516">
        <f t="shared" si="15"/>
        <v>-43870</v>
      </c>
      <c r="U51" s="516">
        <f t="shared" si="16"/>
        <v>-35770</v>
      </c>
    </row>
    <row r="52" spans="1:21" outlineLevel="1">
      <c r="A52" s="511" t="s">
        <v>502</v>
      </c>
      <c r="C52" s="516">
        <v>-18440</v>
      </c>
      <c r="D52" s="516">
        <v>-37327</v>
      </c>
      <c r="E52" s="516">
        <v>-57017</v>
      </c>
      <c r="F52" s="516">
        <v>-93794</v>
      </c>
      <c r="G52" s="516">
        <v>-19078</v>
      </c>
      <c r="H52" s="516">
        <v>-47323</v>
      </c>
      <c r="I52" s="516">
        <v>-78032</v>
      </c>
      <c r="J52" s="516">
        <v>-109897</v>
      </c>
      <c r="K52" s="516">
        <v>-32755</v>
      </c>
      <c r="L52" s="516">
        <v>-68659</v>
      </c>
      <c r="M52" s="516"/>
      <c r="N52" s="516"/>
      <c r="O52" s="516"/>
      <c r="P52" s="516"/>
      <c r="Q52" s="516"/>
      <c r="R52" s="516"/>
      <c r="T52" s="516">
        <f t="shared" si="15"/>
        <v>-32755</v>
      </c>
      <c r="U52" s="516">
        <f t="shared" si="16"/>
        <v>-35904</v>
      </c>
    </row>
    <row r="53" spans="1:21" outlineLevel="1">
      <c r="A53" s="511" t="s">
        <v>503</v>
      </c>
      <c r="C53" s="516">
        <v>0</v>
      </c>
      <c r="D53" s="516">
        <v>0</v>
      </c>
      <c r="E53" s="516">
        <v>0</v>
      </c>
      <c r="F53" s="516">
        <v>0</v>
      </c>
      <c r="G53" s="516">
        <v>0</v>
      </c>
      <c r="H53" s="516">
        <v>0</v>
      </c>
      <c r="I53" s="516">
        <v>0</v>
      </c>
      <c r="J53" s="516">
        <v>0</v>
      </c>
      <c r="K53" s="516">
        <v>0</v>
      </c>
      <c r="L53" s="516">
        <v>0</v>
      </c>
      <c r="M53" s="516"/>
      <c r="N53" s="516"/>
      <c r="O53" s="516"/>
      <c r="P53" s="516"/>
      <c r="Q53" s="516"/>
      <c r="R53" s="516"/>
      <c r="T53" s="516">
        <f t="shared" si="15"/>
        <v>0</v>
      </c>
      <c r="U53" s="516">
        <f t="shared" si="16"/>
        <v>0</v>
      </c>
    </row>
    <row r="54" spans="1:21" outlineLevel="1">
      <c r="A54" s="511" t="s">
        <v>504</v>
      </c>
      <c r="C54" s="516">
        <v>-58</v>
      </c>
      <c r="D54" s="516">
        <v>-32</v>
      </c>
      <c r="E54" s="516">
        <v>-113</v>
      </c>
      <c r="F54" s="516">
        <v>-230</v>
      </c>
      <c r="G54" s="516">
        <v>-53</v>
      </c>
      <c r="H54" s="516">
        <v>-123</v>
      </c>
      <c r="I54" s="516">
        <v>-204</v>
      </c>
      <c r="J54" s="516">
        <v>-267</v>
      </c>
      <c r="K54" s="516">
        <v>-73</v>
      </c>
      <c r="L54" s="516">
        <v>-159</v>
      </c>
      <c r="M54" s="516"/>
      <c r="N54" s="516"/>
      <c r="O54" s="516"/>
      <c r="P54" s="516"/>
      <c r="Q54" s="516"/>
      <c r="R54" s="516"/>
      <c r="T54" s="516">
        <f t="shared" si="15"/>
        <v>-73</v>
      </c>
      <c r="U54" s="516">
        <f t="shared" si="16"/>
        <v>-86</v>
      </c>
    </row>
    <row r="55" spans="1:21" outlineLevel="1">
      <c r="A55" s="511" t="s">
        <v>505</v>
      </c>
      <c r="C55" s="516">
        <v>17</v>
      </c>
      <c r="D55" s="516">
        <v>63</v>
      </c>
      <c r="E55" s="516">
        <v>253</v>
      </c>
      <c r="F55" s="516">
        <v>523</v>
      </c>
      <c r="G55" s="516">
        <v>168</v>
      </c>
      <c r="H55" s="516">
        <v>593</v>
      </c>
      <c r="I55" s="516">
        <v>851</v>
      </c>
      <c r="J55" s="516">
        <v>1079</v>
      </c>
      <c r="K55" s="516">
        <v>180</v>
      </c>
      <c r="L55" s="516">
        <v>604</v>
      </c>
      <c r="M55" s="516"/>
      <c r="N55" s="516"/>
      <c r="O55" s="516"/>
      <c r="P55" s="516"/>
      <c r="Q55" s="516"/>
      <c r="R55" s="516"/>
      <c r="T55" s="516">
        <f t="shared" si="15"/>
        <v>180</v>
      </c>
      <c r="U55" s="516">
        <f t="shared" si="16"/>
        <v>424</v>
      </c>
    </row>
    <row r="56" spans="1:21">
      <c r="A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0"/>
      <c r="T56" s="510"/>
      <c r="U56" s="510"/>
    </row>
    <row r="57" spans="1:21">
      <c r="A57" s="522" t="s">
        <v>506</v>
      </c>
      <c r="C57" s="513">
        <f t="shared" ref="C57:H57" si="17">C39+C41</f>
        <v>177990</v>
      </c>
      <c r="D57" s="513">
        <f t="shared" si="17"/>
        <v>384098</v>
      </c>
      <c r="E57" s="513">
        <f t="shared" si="17"/>
        <v>577773</v>
      </c>
      <c r="F57" s="513">
        <f t="shared" si="17"/>
        <v>780349</v>
      </c>
      <c r="G57" s="513">
        <f t="shared" si="17"/>
        <v>209876</v>
      </c>
      <c r="H57" s="513">
        <f t="shared" si="17"/>
        <v>453814</v>
      </c>
      <c r="I57" s="513">
        <f>I39+I41</f>
        <v>675625</v>
      </c>
      <c r="J57" s="513">
        <f>J39+J41</f>
        <v>959705</v>
      </c>
      <c r="K57" s="513">
        <f>K39+K41</f>
        <v>250006</v>
      </c>
      <c r="L57" s="513">
        <f>L39+L41</f>
        <v>507663</v>
      </c>
      <c r="M57" s="513"/>
      <c r="N57" s="513"/>
      <c r="O57" s="513"/>
      <c r="P57" s="513"/>
      <c r="Q57" s="513"/>
      <c r="R57" s="513"/>
      <c r="T57" s="513">
        <f>T39+T41</f>
        <v>250006</v>
      </c>
      <c r="U57" s="513">
        <f>U39+U41</f>
        <v>257657</v>
      </c>
    </row>
    <row r="58" spans="1:21">
      <c r="A58" s="510"/>
      <c r="C58" s="510"/>
      <c r="D58" s="510"/>
      <c r="E58" s="510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P58" s="510"/>
      <c r="Q58" s="510"/>
      <c r="R58" s="510"/>
      <c r="T58" s="510"/>
      <c r="U58" s="510"/>
    </row>
    <row r="59" spans="1:21">
      <c r="A59" s="509" t="s">
        <v>507</v>
      </c>
      <c r="C59" s="517">
        <f t="shared" ref="C59:H59" si="18">C61+C67+C68+C77+C78</f>
        <v>-70694</v>
      </c>
      <c r="D59" s="517">
        <f t="shared" si="18"/>
        <v>-180559</v>
      </c>
      <c r="E59" s="517">
        <f t="shared" si="18"/>
        <v>-253140</v>
      </c>
      <c r="F59" s="517">
        <f t="shared" si="18"/>
        <v>-368161</v>
      </c>
      <c r="G59" s="517">
        <f t="shared" si="18"/>
        <v>-82936</v>
      </c>
      <c r="H59" s="517">
        <f t="shared" si="18"/>
        <v>-152184</v>
      </c>
      <c r="I59" s="517">
        <f>I61+I67+I68+I77+I78</f>
        <v>-230299</v>
      </c>
      <c r="J59" s="517">
        <f>J61+J67+J68+J77+J78</f>
        <v>-313158</v>
      </c>
      <c r="K59" s="517">
        <f>K61+K67+K68+K77+K78</f>
        <v>-85012</v>
      </c>
      <c r="L59" s="517">
        <f>L61+L67+L68+L77+L78</f>
        <v>-165111</v>
      </c>
      <c r="M59" s="517"/>
      <c r="N59" s="517"/>
      <c r="O59" s="517"/>
      <c r="P59" s="517"/>
      <c r="Q59" s="517"/>
      <c r="R59" s="517"/>
      <c r="T59" s="517">
        <f>T61+T67+T68+T77+T78</f>
        <v>-85012</v>
      </c>
      <c r="U59" s="517">
        <f>U61+U67+U68+U77+U78</f>
        <v>-80099</v>
      </c>
    </row>
    <row r="60" spans="1:21">
      <c r="A60" s="509"/>
      <c r="C60" s="514"/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514"/>
      <c r="R60" s="514"/>
      <c r="T60" s="514"/>
      <c r="U60" s="514"/>
    </row>
    <row r="61" spans="1:21">
      <c r="A61" s="512" t="s">
        <v>508</v>
      </c>
      <c r="C61" s="515">
        <f t="shared" ref="C61:H61" si="19">SUM(C62:C66)</f>
        <v>-25875</v>
      </c>
      <c r="D61" s="515">
        <f t="shared" si="19"/>
        <v>-51062</v>
      </c>
      <c r="E61" s="515">
        <f t="shared" si="19"/>
        <v>-77304</v>
      </c>
      <c r="F61" s="515">
        <f t="shared" si="19"/>
        <v>-104138</v>
      </c>
      <c r="G61" s="515">
        <f t="shared" si="19"/>
        <v>-24315</v>
      </c>
      <c r="H61" s="515">
        <f t="shared" si="19"/>
        <v>-49551</v>
      </c>
      <c r="I61" s="515">
        <f>SUM(I62:I66)</f>
        <v>-74580</v>
      </c>
      <c r="J61" s="515">
        <f>SUM(J62:J66)</f>
        <v>-101329</v>
      </c>
      <c r="K61" s="515">
        <f t="shared" ref="K61:L61" si="20">SUM(K62:K66)</f>
        <v>-27499</v>
      </c>
      <c r="L61" s="515">
        <f t="shared" si="20"/>
        <v>-55077</v>
      </c>
      <c r="M61" s="515"/>
      <c r="N61" s="515"/>
      <c r="O61" s="515"/>
      <c r="P61" s="515"/>
      <c r="Q61" s="515"/>
      <c r="R61" s="515"/>
      <c r="T61" s="515">
        <f t="shared" ref="T61:U61" si="21">SUM(T62:T66)</f>
        <v>-27499</v>
      </c>
      <c r="U61" s="515">
        <f t="shared" si="21"/>
        <v>-27578</v>
      </c>
    </row>
    <row r="62" spans="1:21" outlineLevel="1">
      <c r="A62" s="511" t="s">
        <v>509</v>
      </c>
      <c r="C62" s="516">
        <v>-5443</v>
      </c>
      <c r="D62" s="516">
        <v>-10608</v>
      </c>
      <c r="E62" s="516">
        <v>-13420</v>
      </c>
      <c r="F62" s="516">
        <v>-19582</v>
      </c>
      <c r="G62" s="516">
        <v>-4213</v>
      </c>
      <c r="H62" s="516">
        <v>-8763</v>
      </c>
      <c r="I62" s="516">
        <v>-12882</v>
      </c>
      <c r="J62" s="516">
        <v>-16199</v>
      </c>
      <c r="K62" s="516">
        <v>-4208</v>
      </c>
      <c r="L62" s="516">
        <v>-8631</v>
      </c>
      <c r="M62" s="516"/>
      <c r="N62" s="516"/>
      <c r="O62" s="516"/>
      <c r="P62" s="516"/>
      <c r="Q62" s="516"/>
      <c r="R62" s="516"/>
      <c r="T62" s="516">
        <f t="shared" ref="T62:T67" si="22">K62</f>
        <v>-4208</v>
      </c>
      <c r="U62" s="516">
        <f t="shared" ref="U62:U67" si="23">L62-T62</f>
        <v>-4423</v>
      </c>
    </row>
    <row r="63" spans="1:21" outlineLevel="1">
      <c r="A63" s="511" t="s">
        <v>510</v>
      </c>
      <c r="C63" s="516">
        <v>-555</v>
      </c>
      <c r="D63" s="516">
        <v>-1229</v>
      </c>
      <c r="E63" s="516">
        <v>-2086</v>
      </c>
      <c r="F63" s="516">
        <v>-3320</v>
      </c>
      <c r="G63" s="516">
        <v>-1051</v>
      </c>
      <c r="H63" s="516">
        <v>-3126</v>
      </c>
      <c r="I63" s="516">
        <v>-4388</v>
      </c>
      <c r="J63" s="516">
        <v>-5667</v>
      </c>
      <c r="K63" s="516">
        <v>-1590</v>
      </c>
      <c r="L63" s="516">
        <v>-2701</v>
      </c>
      <c r="M63" s="516"/>
      <c r="N63" s="516"/>
      <c r="O63" s="516"/>
      <c r="P63" s="516"/>
      <c r="Q63" s="516"/>
      <c r="R63" s="516"/>
      <c r="T63" s="516">
        <f t="shared" si="22"/>
        <v>-1590</v>
      </c>
      <c r="U63" s="516">
        <f t="shared" si="23"/>
        <v>-1111</v>
      </c>
    </row>
    <row r="64" spans="1:21" outlineLevel="1">
      <c r="A64" s="511" t="s">
        <v>511</v>
      </c>
      <c r="C64" s="516">
        <v>-18980</v>
      </c>
      <c r="D64" s="516">
        <v>-37732</v>
      </c>
      <c r="E64" s="516">
        <v>-59633</v>
      </c>
      <c r="F64" s="516">
        <v>-78566</v>
      </c>
      <c r="G64" s="516">
        <v>-18431</v>
      </c>
      <c r="H64" s="516">
        <v>-36444</v>
      </c>
      <c r="I64" s="516">
        <v>-55556</v>
      </c>
      <c r="J64" s="516">
        <v>-77148</v>
      </c>
      <c r="K64" s="516">
        <v>-21011</v>
      </c>
      <c r="L64" s="516">
        <v>-42457</v>
      </c>
      <c r="M64" s="516"/>
      <c r="N64" s="516"/>
      <c r="O64" s="516"/>
      <c r="P64" s="516"/>
      <c r="Q64" s="516"/>
      <c r="R64" s="516"/>
      <c r="T64" s="516">
        <f t="shared" si="22"/>
        <v>-21011</v>
      </c>
      <c r="U64" s="516">
        <f t="shared" si="23"/>
        <v>-21446</v>
      </c>
    </row>
    <row r="65" spans="1:21" outlineLevel="1">
      <c r="A65" s="511" t="s">
        <v>512</v>
      </c>
      <c r="C65" s="516">
        <v>-631</v>
      </c>
      <c r="D65" s="516">
        <v>-1131</v>
      </c>
      <c r="E65" s="516">
        <v>-1847</v>
      </c>
      <c r="F65" s="516">
        <v>-2567</v>
      </c>
      <c r="G65" s="516">
        <v>-611</v>
      </c>
      <c r="H65" s="516">
        <v>-1041</v>
      </c>
      <c r="I65" s="516">
        <v>-1748</v>
      </c>
      <c r="J65" s="516">
        <v>-2371</v>
      </c>
      <c r="K65" s="516">
        <v>-648</v>
      </c>
      <c r="L65" s="516">
        <v>-1319</v>
      </c>
      <c r="M65" s="516"/>
      <c r="N65" s="516"/>
      <c r="O65" s="516"/>
      <c r="P65" s="516"/>
      <c r="Q65" s="516"/>
      <c r="R65" s="516"/>
      <c r="T65" s="516">
        <f t="shared" si="22"/>
        <v>-648</v>
      </c>
      <c r="U65" s="516">
        <f t="shared" si="23"/>
        <v>-671</v>
      </c>
    </row>
    <row r="66" spans="1:21" outlineLevel="1">
      <c r="A66" s="511" t="s">
        <v>513</v>
      </c>
      <c r="C66" s="516">
        <v>-266</v>
      </c>
      <c r="D66" s="516">
        <v>-362</v>
      </c>
      <c r="E66" s="516">
        <v>-318</v>
      </c>
      <c r="F66" s="516">
        <v>-103</v>
      </c>
      <c r="G66" s="516">
        <v>-9</v>
      </c>
      <c r="H66" s="516">
        <v>-177</v>
      </c>
      <c r="I66" s="516">
        <v>-6</v>
      </c>
      <c r="J66" s="516">
        <v>56</v>
      </c>
      <c r="K66" s="516">
        <v>-42</v>
      </c>
      <c r="L66" s="516">
        <v>31</v>
      </c>
      <c r="M66" s="516"/>
      <c r="N66" s="516"/>
      <c r="O66" s="516"/>
      <c r="P66" s="516"/>
      <c r="Q66" s="516"/>
      <c r="R66" s="516"/>
      <c r="T66" s="516">
        <f t="shared" si="22"/>
        <v>-42</v>
      </c>
      <c r="U66" s="516">
        <f t="shared" si="23"/>
        <v>73</v>
      </c>
    </row>
    <row r="67" spans="1:21">
      <c r="A67" s="510" t="s">
        <v>514</v>
      </c>
      <c r="C67" s="518">
        <v>-10332</v>
      </c>
      <c r="D67" s="518">
        <v>-22012</v>
      </c>
      <c r="E67" s="518">
        <v>-33891</v>
      </c>
      <c r="F67" s="518">
        <v>-73796</v>
      </c>
      <c r="G67" s="518">
        <v>-18889</v>
      </c>
      <c r="H67" s="518">
        <v>-22928</v>
      </c>
      <c r="I67" s="518">
        <v>-28617</v>
      </c>
      <c r="J67" s="518">
        <v>-41300</v>
      </c>
      <c r="K67" s="518">
        <v>-14794</v>
      </c>
      <c r="L67" s="518">
        <v>-25157</v>
      </c>
      <c r="M67" s="518"/>
      <c r="N67" s="518"/>
      <c r="O67" s="518"/>
      <c r="P67" s="518"/>
      <c r="Q67" s="518"/>
      <c r="R67" s="518"/>
      <c r="T67" s="518">
        <f t="shared" si="22"/>
        <v>-14794</v>
      </c>
      <c r="U67" s="518">
        <f t="shared" si="23"/>
        <v>-10363</v>
      </c>
    </row>
    <row r="68" spans="1:21">
      <c r="A68" s="510" t="s">
        <v>515</v>
      </c>
      <c r="C68" s="515">
        <f t="shared" ref="C68:H68" si="24">SUM(C69:C76)</f>
        <v>-31925</v>
      </c>
      <c r="D68" s="515">
        <f t="shared" si="24"/>
        <v>-68700</v>
      </c>
      <c r="E68" s="515">
        <f t="shared" si="24"/>
        <v>-98245</v>
      </c>
      <c r="F68" s="515">
        <f t="shared" si="24"/>
        <v>-139700</v>
      </c>
      <c r="G68" s="515">
        <f t="shared" si="24"/>
        <v>-22698</v>
      </c>
      <c r="H68" s="515">
        <f t="shared" si="24"/>
        <v>-45830</v>
      </c>
      <c r="I68" s="515">
        <f>SUM(I69:I76)</f>
        <v>-76893</v>
      </c>
      <c r="J68" s="515">
        <f>SUM(J69:J76)</f>
        <v>-113882</v>
      </c>
      <c r="K68" s="515">
        <f>SUM(K69:K76)</f>
        <v>-20364</v>
      </c>
      <c r="L68" s="515">
        <f>SUM(L69:L76)</f>
        <v>-48706</v>
      </c>
      <c r="M68" s="515"/>
      <c r="N68" s="515"/>
      <c r="O68" s="515"/>
      <c r="P68" s="515"/>
      <c r="Q68" s="515"/>
      <c r="R68" s="515"/>
      <c r="T68" s="515">
        <f>SUM(T69:T76)</f>
        <v>-20364</v>
      </c>
      <c r="U68" s="515">
        <f>SUM(U69:U76)</f>
        <v>-28342</v>
      </c>
    </row>
    <row r="69" spans="1:21" outlineLevel="1">
      <c r="A69" s="511" t="s">
        <v>516</v>
      </c>
      <c r="C69" s="516">
        <v>-11305</v>
      </c>
      <c r="D69" s="516">
        <v>-21388</v>
      </c>
      <c r="E69" s="516">
        <v>-32009</v>
      </c>
      <c r="F69" s="516">
        <v>-46787</v>
      </c>
      <c r="G69" s="516">
        <v>-11860</v>
      </c>
      <c r="H69" s="516">
        <v>-28101</v>
      </c>
      <c r="I69" s="516">
        <v>-44920</v>
      </c>
      <c r="J69" s="516">
        <v>-59600</v>
      </c>
      <c r="K69" s="516">
        <v>-7686</v>
      </c>
      <c r="L69" s="516">
        <v>-19909</v>
      </c>
      <c r="M69" s="516"/>
      <c r="N69" s="516"/>
      <c r="O69" s="516"/>
      <c r="P69" s="516"/>
      <c r="Q69" s="516"/>
      <c r="R69" s="516"/>
      <c r="T69" s="516">
        <f t="shared" ref="T69:T77" si="25">K69</f>
        <v>-7686</v>
      </c>
      <c r="U69" s="516">
        <f t="shared" ref="U69:U77" si="26">L69-T69</f>
        <v>-12223</v>
      </c>
    </row>
    <row r="70" spans="1:21" outlineLevel="1">
      <c r="A70" s="511" t="s">
        <v>517</v>
      </c>
      <c r="C70" s="516">
        <v>-150</v>
      </c>
      <c r="D70" s="516">
        <v>-1010</v>
      </c>
      <c r="E70" s="516">
        <v>-3245</v>
      </c>
      <c r="F70" s="516">
        <v>-3559</v>
      </c>
      <c r="G70" s="516">
        <v>-226</v>
      </c>
      <c r="H70" s="516">
        <v>356</v>
      </c>
      <c r="I70" s="516">
        <v>1759</v>
      </c>
      <c r="J70" s="516">
        <v>707</v>
      </c>
      <c r="K70" s="516">
        <v>903</v>
      </c>
      <c r="L70" s="516">
        <v>1205</v>
      </c>
      <c r="M70" s="516"/>
      <c r="N70" s="516"/>
      <c r="O70" s="516"/>
      <c r="P70" s="516"/>
      <c r="Q70" s="516"/>
      <c r="R70" s="516"/>
      <c r="T70" s="516">
        <f t="shared" si="25"/>
        <v>903</v>
      </c>
      <c r="U70" s="516">
        <f t="shared" si="26"/>
        <v>302</v>
      </c>
    </row>
    <row r="71" spans="1:21" outlineLevel="1">
      <c r="A71" s="511" t="s">
        <v>518</v>
      </c>
      <c r="C71" s="516">
        <v>-13589</v>
      </c>
      <c r="D71" s="516">
        <v>-33108</v>
      </c>
      <c r="E71" s="516">
        <v>-41538</v>
      </c>
      <c r="F71" s="516">
        <v>-68798</v>
      </c>
      <c r="G71" s="516">
        <v>-5518</v>
      </c>
      <c r="H71" s="516">
        <v>-2964</v>
      </c>
      <c r="I71" s="516">
        <v>-13218</v>
      </c>
      <c r="J71" s="516">
        <v>-24964</v>
      </c>
      <c r="K71" s="516">
        <v>-7024</v>
      </c>
      <c r="L71" s="516">
        <v>-16007</v>
      </c>
      <c r="M71" s="516"/>
      <c r="N71" s="516"/>
      <c r="O71" s="516"/>
      <c r="P71" s="516"/>
      <c r="Q71" s="516"/>
      <c r="R71" s="516"/>
      <c r="T71" s="516">
        <f t="shared" si="25"/>
        <v>-7024</v>
      </c>
      <c r="U71" s="516">
        <f t="shared" si="26"/>
        <v>-8983</v>
      </c>
    </row>
    <row r="72" spans="1:21" outlineLevel="1">
      <c r="A72" s="511" t="s">
        <v>519</v>
      </c>
      <c r="C72" s="516">
        <v>-184</v>
      </c>
      <c r="D72" s="516">
        <v>-198</v>
      </c>
      <c r="E72" s="516">
        <v>-152</v>
      </c>
      <c r="F72" s="516">
        <v>235</v>
      </c>
      <c r="G72" s="516">
        <v>3</v>
      </c>
      <c r="H72" s="516">
        <v>64</v>
      </c>
      <c r="I72" s="516">
        <v>119</v>
      </c>
      <c r="J72" s="516">
        <v>183</v>
      </c>
      <c r="K72" s="516">
        <v>63</v>
      </c>
      <c r="L72" s="516">
        <v>75</v>
      </c>
      <c r="M72" s="516"/>
      <c r="N72" s="516"/>
      <c r="O72" s="516"/>
      <c r="P72" s="516"/>
      <c r="Q72" s="516"/>
      <c r="R72" s="516"/>
      <c r="T72" s="516">
        <f t="shared" si="25"/>
        <v>63</v>
      </c>
      <c r="U72" s="516">
        <f t="shared" si="26"/>
        <v>12</v>
      </c>
    </row>
    <row r="73" spans="1:21" outlineLevel="1">
      <c r="A73" s="511" t="s">
        <v>520</v>
      </c>
      <c r="C73" s="516">
        <v>362</v>
      </c>
      <c r="D73" s="516">
        <v>445</v>
      </c>
      <c r="E73" s="516">
        <v>452</v>
      </c>
      <c r="F73" s="516">
        <v>199</v>
      </c>
      <c r="G73" s="516">
        <v>-90</v>
      </c>
      <c r="H73" s="516">
        <v>-965</v>
      </c>
      <c r="I73" s="516">
        <v>-913</v>
      </c>
      <c r="J73" s="516">
        <v>65</v>
      </c>
      <c r="K73" s="516">
        <v>-188</v>
      </c>
      <c r="L73" s="516">
        <v>-458</v>
      </c>
      <c r="M73" s="516"/>
      <c r="N73" s="516"/>
      <c r="O73" s="516"/>
      <c r="P73" s="516"/>
      <c r="Q73" s="516"/>
      <c r="R73" s="516"/>
      <c r="T73" s="516">
        <f t="shared" si="25"/>
        <v>-188</v>
      </c>
      <c r="U73" s="516">
        <f t="shared" si="26"/>
        <v>-270</v>
      </c>
    </row>
    <row r="74" spans="1:21" outlineLevel="1">
      <c r="A74" s="511" t="s">
        <v>521</v>
      </c>
      <c r="C74" s="516">
        <v>-2852</v>
      </c>
      <c r="D74" s="516">
        <v>-1153</v>
      </c>
      <c r="E74" s="516">
        <v>-2753</v>
      </c>
      <c r="F74" s="516">
        <v>-3859</v>
      </c>
      <c r="G74" s="516">
        <v>-1653</v>
      </c>
      <c r="H74" s="516">
        <v>-2840</v>
      </c>
      <c r="I74" s="516">
        <v>-2343</v>
      </c>
      <c r="J74" s="516">
        <v>-6694</v>
      </c>
      <c r="K74" s="516">
        <v>-1101</v>
      </c>
      <c r="L74" s="516">
        <v>-2967</v>
      </c>
      <c r="M74" s="516"/>
      <c r="N74" s="516"/>
      <c r="O74" s="516"/>
      <c r="P74" s="516"/>
      <c r="Q74" s="516"/>
      <c r="R74" s="516"/>
      <c r="T74" s="516">
        <f t="shared" si="25"/>
        <v>-1101</v>
      </c>
      <c r="U74" s="516">
        <f t="shared" si="26"/>
        <v>-1866</v>
      </c>
    </row>
    <row r="75" spans="1:21" outlineLevel="1">
      <c r="A75" s="511" t="s">
        <v>522</v>
      </c>
      <c r="C75" s="516">
        <v>-4207</v>
      </c>
      <c r="D75" s="516">
        <v>-12288</v>
      </c>
      <c r="E75" s="516">
        <v>-19000</v>
      </c>
      <c r="F75" s="516">
        <v>-17131</v>
      </c>
      <c r="G75" s="516">
        <v>-3354</v>
      </c>
      <c r="H75" s="516">
        <v>-11380</v>
      </c>
      <c r="I75" s="516">
        <v>-17377</v>
      </c>
      <c r="J75" s="516">
        <v>-23579</v>
      </c>
      <c r="K75" s="516">
        <v>-5331</v>
      </c>
      <c r="L75" s="516">
        <v>-10645</v>
      </c>
      <c r="M75" s="516"/>
      <c r="N75" s="516"/>
      <c r="O75" s="516"/>
      <c r="P75" s="516"/>
      <c r="Q75" s="516"/>
      <c r="R75" s="516"/>
      <c r="T75" s="516">
        <f t="shared" si="25"/>
        <v>-5331</v>
      </c>
      <c r="U75" s="516">
        <f t="shared" si="26"/>
        <v>-5314</v>
      </c>
    </row>
    <row r="76" spans="1:21" outlineLevel="1">
      <c r="A76" s="511" t="s">
        <v>523</v>
      </c>
      <c r="C76" s="516">
        <v>0</v>
      </c>
      <c r="D76" s="516">
        <v>0</v>
      </c>
      <c r="E76" s="516">
        <v>0</v>
      </c>
      <c r="F76" s="516">
        <v>0</v>
      </c>
      <c r="G76" s="516">
        <v>0</v>
      </c>
      <c r="H76" s="516">
        <v>0</v>
      </c>
      <c r="I76" s="516">
        <v>0</v>
      </c>
      <c r="J76" s="516">
        <v>0</v>
      </c>
      <c r="K76" s="516">
        <v>0</v>
      </c>
      <c r="L76" s="516">
        <v>0</v>
      </c>
      <c r="M76" s="516"/>
      <c r="N76" s="516"/>
      <c r="O76" s="516"/>
      <c r="P76" s="516"/>
      <c r="Q76" s="516"/>
      <c r="R76" s="516"/>
      <c r="T76" s="516">
        <f t="shared" si="25"/>
        <v>0</v>
      </c>
      <c r="U76" s="516">
        <f t="shared" si="26"/>
        <v>0</v>
      </c>
    </row>
    <row r="77" spans="1:21">
      <c r="A77" s="510" t="s">
        <v>524</v>
      </c>
      <c r="C77" s="515">
        <v>0</v>
      </c>
      <c r="D77" s="515">
        <v>0</v>
      </c>
      <c r="E77" s="515">
        <v>0</v>
      </c>
      <c r="F77" s="515">
        <v>0</v>
      </c>
      <c r="G77" s="515">
        <v>0</v>
      </c>
      <c r="H77" s="515">
        <v>0</v>
      </c>
      <c r="I77" s="515">
        <v>0</v>
      </c>
      <c r="J77" s="515">
        <v>0</v>
      </c>
      <c r="K77" s="515">
        <v>0</v>
      </c>
      <c r="L77" s="515">
        <v>0</v>
      </c>
      <c r="M77" s="515"/>
      <c r="N77" s="515"/>
      <c r="O77" s="515"/>
      <c r="P77" s="515"/>
      <c r="Q77" s="515"/>
      <c r="R77" s="515"/>
      <c r="T77" s="515">
        <f t="shared" si="25"/>
        <v>0</v>
      </c>
      <c r="U77" s="515">
        <f t="shared" si="26"/>
        <v>0</v>
      </c>
    </row>
    <row r="78" spans="1:21">
      <c r="A78" s="510" t="s">
        <v>525</v>
      </c>
      <c r="C78" s="515">
        <f>SUM(C79:C81)</f>
        <v>-2562</v>
      </c>
      <c r="D78" s="515">
        <f t="shared" ref="D78:L78" si="27">SUM(D79:D81)</f>
        <v>-38785</v>
      </c>
      <c r="E78" s="515">
        <f t="shared" si="27"/>
        <v>-43700</v>
      </c>
      <c r="F78" s="515">
        <f t="shared" si="27"/>
        <v>-50527</v>
      </c>
      <c r="G78" s="515">
        <f t="shared" si="27"/>
        <v>-17034</v>
      </c>
      <c r="H78" s="515">
        <f t="shared" si="27"/>
        <v>-33875</v>
      </c>
      <c r="I78" s="515">
        <f t="shared" si="27"/>
        <v>-50209</v>
      </c>
      <c r="J78" s="515">
        <f t="shared" si="27"/>
        <v>-56647</v>
      </c>
      <c r="K78" s="515">
        <f t="shared" si="27"/>
        <v>-22355</v>
      </c>
      <c r="L78" s="515">
        <f t="shared" si="27"/>
        <v>-36171</v>
      </c>
      <c r="M78" s="515"/>
      <c r="N78" s="515"/>
      <c r="O78" s="515"/>
      <c r="P78" s="515"/>
      <c r="Q78" s="515"/>
      <c r="R78" s="515"/>
      <c r="T78" s="515">
        <f t="shared" ref="T78:U78" si="28">SUM(T79:T81)</f>
        <v>-22355</v>
      </c>
      <c r="U78" s="515">
        <f t="shared" si="28"/>
        <v>-13816</v>
      </c>
    </row>
    <row r="79" spans="1:21" outlineLevel="1">
      <c r="A79" s="511" t="s">
        <v>526</v>
      </c>
      <c r="C79" s="516">
        <v>-970</v>
      </c>
      <c r="D79" s="516">
        <v>-2499</v>
      </c>
      <c r="E79" s="516">
        <v>-4677</v>
      </c>
      <c r="F79" s="516">
        <v>-7444</v>
      </c>
      <c r="G79" s="516">
        <v>-1159</v>
      </c>
      <c r="H79" s="516">
        <v>9395</v>
      </c>
      <c r="I79" s="516">
        <v>7480</v>
      </c>
      <c r="J79" s="516">
        <v>1280</v>
      </c>
      <c r="K79" s="516">
        <v>-1799</v>
      </c>
      <c r="L79" s="516">
        <v>-3627</v>
      </c>
      <c r="M79" s="516"/>
      <c r="N79" s="516"/>
      <c r="O79" s="516"/>
      <c r="P79" s="516"/>
      <c r="Q79" s="516"/>
      <c r="R79" s="516"/>
      <c r="T79" s="516">
        <f t="shared" ref="T79:T80" si="29">K79</f>
        <v>-1799</v>
      </c>
      <c r="U79" s="516">
        <f t="shared" ref="U79:U81" si="30">L79-T79</f>
        <v>-1828</v>
      </c>
    </row>
    <row r="80" spans="1:21" outlineLevel="1">
      <c r="A80" s="511" t="s">
        <v>527</v>
      </c>
      <c r="C80" s="516">
        <v>-1592</v>
      </c>
      <c r="D80" s="516">
        <v>-36286</v>
      </c>
      <c r="E80" s="516">
        <v>-39023</v>
      </c>
      <c r="F80" s="516">
        <v>-43083</v>
      </c>
      <c r="G80" s="516">
        <v>-15875</v>
      </c>
      <c r="H80" s="516">
        <v>-43270</v>
      </c>
      <c r="I80" s="516">
        <v>-57689</v>
      </c>
      <c r="J80" s="516">
        <v>-57927</v>
      </c>
      <c r="K80" s="516">
        <v>-20556</v>
      </c>
      <c r="L80" s="516">
        <v>-18330</v>
      </c>
      <c r="M80" s="516"/>
      <c r="N80" s="516"/>
      <c r="O80" s="516"/>
      <c r="P80" s="516"/>
      <c r="Q80" s="516"/>
      <c r="R80" s="516"/>
      <c r="T80" s="516">
        <f t="shared" si="29"/>
        <v>-20556</v>
      </c>
      <c r="U80" s="516">
        <f t="shared" si="30"/>
        <v>2226</v>
      </c>
    </row>
    <row r="81" spans="1:21" outlineLevel="1">
      <c r="A81" s="511"/>
      <c r="C81" s="516"/>
      <c r="D81" s="516"/>
      <c r="E81" s="516"/>
      <c r="F81" s="516"/>
      <c r="G81" s="516"/>
      <c r="H81" s="516"/>
      <c r="I81" s="516"/>
      <c r="J81" s="516"/>
      <c r="K81" s="516"/>
      <c r="L81" s="516">
        <v>-14214</v>
      </c>
      <c r="M81" s="516"/>
      <c r="N81" s="516"/>
      <c r="O81" s="516"/>
      <c r="P81" s="516"/>
      <c r="Q81" s="516"/>
      <c r="R81" s="516"/>
      <c r="T81" s="516"/>
      <c r="U81" s="516">
        <f t="shared" si="30"/>
        <v>-14214</v>
      </c>
    </row>
    <row r="82" spans="1:21">
      <c r="A82" s="510"/>
      <c r="C82" s="510"/>
      <c r="D82" s="510"/>
      <c r="E82" s="510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0"/>
      <c r="T82" s="510"/>
      <c r="U82" s="510"/>
    </row>
    <row r="83" spans="1:21">
      <c r="A83" s="522" t="s">
        <v>529</v>
      </c>
      <c r="C83" s="513">
        <f t="shared" ref="C83:H83" si="31">C85-C75-C52-C76</f>
        <v>129943</v>
      </c>
      <c r="D83" s="513">
        <f t="shared" si="31"/>
        <v>253154</v>
      </c>
      <c r="E83" s="513">
        <f t="shared" si="31"/>
        <v>400650</v>
      </c>
      <c r="F83" s="513">
        <f t="shared" si="31"/>
        <v>523113</v>
      </c>
      <c r="G83" s="513">
        <f t="shared" si="31"/>
        <v>149372</v>
      </c>
      <c r="H83" s="513">
        <f t="shared" si="31"/>
        <v>360333</v>
      </c>
      <c r="I83" s="513">
        <f>I85-I75-I52-I76</f>
        <v>540735</v>
      </c>
      <c r="J83" s="513">
        <f>J85-J75-J52-J76</f>
        <v>780023</v>
      </c>
      <c r="K83" s="513">
        <f>K85-K75-K52-K76</f>
        <v>203080</v>
      </c>
      <c r="L83" s="513">
        <f>L85-L75-L52-L76</f>
        <v>421856</v>
      </c>
      <c r="M83" s="513"/>
      <c r="N83" s="513"/>
      <c r="O83" s="513"/>
      <c r="P83" s="513"/>
      <c r="Q83" s="513"/>
      <c r="R83" s="513"/>
      <c r="T83" s="513">
        <f>T85-T75-T52-T76</f>
        <v>203080</v>
      </c>
      <c r="U83" s="513">
        <f>U85-U75-U52-U76</f>
        <v>218776</v>
      </c>
    </row>
    <row r="84" spans="1:21">
      <c r="A84" s="510"/>
      <c r="C84" s="510"/>
      <c r="D84" s="510"/>
      <c r="E84" s="510"/>
      <c r="F84" s="510"/>
      <c r="G84" s="510"/>
      <c r="H84" s="510"/>
      <c r="I84" s="510"/>
      <c r="J84" s="510"/>
      <c r="K84" s="510"/>
      <c r="L84" s="510"/>
      <c r="M84" s="510"/>
      <c r="N84" s="510"/>
      <c r="O84" s="510"/>
      <c r="P84" s="510"/>
      <c r="Q84" s="510"/>
      <c r="R84" s="510"/>
      <c r="T84" s="510"/>
      <c r="U84" s="510"/>
    </row>
    <row r="85" spans="1:21">
      <c r="A85" s="522" t="s">
        <v>530</v>
      </c>
      <c r="C85" s="513">
        <f t="shared" ref="C85:H85" si="32">C57+C59</f>
        <v>107296</v>
      </c>
      <c r="D85" s="513">
        <f t="shared" si="32"/>
        <v>203539</v>
      </c>
      <c r="E85" s="513">
        <f t="shared" si="32"/>
        <v>324633</v>
      </c>
      <c r="F85" s="513">
        <f t="shared" si="32"/>
        <v>412188</v>
      </c>
      <c r="G85" s="513">
        <f t="shared" si="32"/>
        <v>126940</v>
      </c>
      <c r="H85" s="513">
        <f t="shared" si="32"/>
        <v>301630</v>
      </c>
      <c r="I85" s="513">
        <f>I57+I59</f>
        <v>445326</v>
      </c>
      <c r="J85" s="513">
        <f>J57+J59</f>
        <v>646547</v>
      </c>
      <c r="K85" s="513">
        <f>K57+K59</f>
        <v>164994</v>
      </c>
      <c r="L85" s="513">
        <f>L57+L59</f>
        <v>342552</v>
      </c>
      <c r="M85" s="513"/>
      <c r="N85" s="513"/>
      <c r="O85" s="513"/>
      <c r="P85" s="513"/>
      <c r="Q85" s="513"/>
      <c r="R85" s="513"/>
      <c r="T85" s="513">
        <f>T57+T59</f>
        <v>164994</v>
      </c>
      <c r="U85" s="513">
        <f>U57+U59</f>
        <v>177558</v>
      </c>
    </row>
    <row r="86" spans="1:21">
      <c r="A86" s="510"/>
      <c r="C86" s="510"/>
      <c r="D86" s="510"/>
      <c r="E86" s="510"/>
      <c r="F86" s="510"/>
      <c r="G86" s="510"/>
      <c r="H86" s="510"/>
      <c r="I86" s="510"/>
      <c r="J86" s="510"/>
      <c r="K86" s="510"/>
      <c r="L86" s="510"/>
      <c r="M86" s="510"/>
      <c r="N86" s="510"/>
      <c r="O86" s="510"/>
      <c r="P86" s="510"/>
      <c r="Q86" s="510"/>
      <c r="R86" s="510"/>
      <c r="T86" s="510"/>
      <c r="U86" s="510"/>
    </row>
    <row r="87" spans="1:21">
      <c r="A87" s="522" t="s">
        <v>531</v>
      </c>
      <c r="C87" s="513">
        <f t="shared" ref="C87:H87" si="33">C89+C98</f>
        <v>-36490</v>
      </c>
      <c r="D87" s="513">
        <f t="shared" si="33"/>
        <v>-101105</v>
      </c>
      <c r="E87" s="513">
        <f t="shared" si="33"/>
        <v>-133339</v>
      </c>
      <c r="F87" s="513">
        <f t="shared" si="33"/>
        <v>-157586</v>
      </c>
      <c r="G87" s="513">
        <f t="shared" si="33"/>
        <v>-94132</v>
      </c>
      <c r="H87" s="513">
        <f t="shared" si="33"/>
        <v>-181742</v>
      </c>
      <c r="I87" s="513">
        <f>I89+I98</f>
        <v>-250870</v>
      </c>
      <c r="J87" s="513">
        <f>J89+J98</f>
        <v>-352757</v>
      </c>
      <c r="K87" s="513">
        <f>K89+K98</f>
        <v>-90055</v>
      </c>
      <c r="L87" s="513">
        <f>L89+L98</f>
        <v>-168265</v>
      </c>
      <c r="M87" s="513"/>
      <c r="N87" s="513"/>
      <c r="O87" s="513"/>
      <c r="P87" s="513"/>
      <c r="Q87" s="513"/>
      <c r="R87" s="513"/>
      <c r="T87" s="513">
        <f>T89+T98</f>
        <v>-90055</v>
      </c>
      <c r="U87" s="513">
        <f>U89+U98</f>
        <v>-78210</v>
      </c>
    </row>
    <row r="88" spans="1:21">
      <c r="A88" s="509"/>
      <c r="C88" s="510"/>
      <c r="D88" s="510"/>
      <c r="E88" s="510"/>
      <c r="F88" s="510"/>
      <c r="G88" s="510"/>
      <c r="H88" s="510"/>
      <c r="I88" s="510"/>
      <c r="J88" s="510"/>
      <c r="K88" s="510"/>
      <c r="L88" s="510"/>
      <c r="M88" s="510"/>
      <c r="N88" s="510"/>
      <c r="O88" s="510"/>
      <c r="P88" s="510"/>
      <c r="Q88" s="510"/>
      <c r="R88" s="510"/>
      <c r="T88" s="510"/>
      <c r="U88" s="510"/>
    </row>
    <row r="89" spans="1:21">
      <c r="A89" s="510" t="s">
        <v>532</v>
      </c>
      <c r="C89" s="517">
        <f t="shared" ref="C89:H89" si="34">SUM(C90:C97)</f>
        <v>226125</v>
      </c>
      <c r="D89" s="517">
        <f t="shared" si="34"/>
        <v>398501</v>
      </c>
      <c r="E89" s="517">
        <f t="shared" si="34"/>
        <v>469753</v>
      </c>
      <c r="F89" s="517">
        <f t="shared" si="34"/>
        <v>565487</v>
      </c>
      <c r="G89" s="517">
        <f t="shared" si="34"/>
        <v>127593</v>
      </c>
      <c r="H89" s="517">
        <f t="shared" si="34"/>
        <v>256053</v>
      </c>
      <c r="I89" s="517">
        <f>SUM(I90:I97)</f>
        <v>355574</v>
      </c>
      <c r="J89" s="517">
        <f>SUM(J90:J97)</f>
        <v>427242</v>
      </c>
      <c r="K89" s="517">
        <f>SUM(K90:K97)</f>
        <v>106781</v>
      </c>
      <c r="L89" s="517">
        <f>SUM(L90:L97)</f>
        <v>208592</v>
      </c>
      <c r="M89" s="517"/>
      <c r="N89" s="517"/>
      <c r="O89" s="517"/>
      <c r="P89" s="517"/>
      <c r="Q89" s="517"/>
      <c r="R89" s="517"/>
      <c r="T89" s="517">
        <f>SUM(T90:T97)</f>
        <v>106781</v>
      </c>
      <c r="U89" s="517">
        <f>SUM(U90:U97)</f>
        <v>101811</v>
      </c>
    </row>
    <row r="90" spans="1:21" outlineLevel="1">
      <c r="A90" s="511" t="s">
        <v>533</v>
      </c>
      <c r="C90" s="516">
        <v>67337</v>
      </c>
      <c r="D90" s="516">
        <v>192661</v>
      </c>
      <c r="E90" s="516">
        <v>248230</v>
      </c>
      <c r="F90" s="516">
        <v>317109</v>
      </c>
      <c r="G90" s="516">
        <v>78904</v>
      </c>
      <c r="H90" s="516">
        <v>109384</v>
      </c>
      <c r="I90" s="516">
        <v>139571</v>
      </c>
      <c r="J90" s="516">
        <v>153720</v>
      </c>
      <c r="K90" s="516">
        <v>98287</v>
      </c>
      <c r="L90" s="516">
        <v>188053</v>
      </c>
      <c r="M90" s="516"/>
      <c r="N90" s="516"/>
      <c r="O90" s="516"/>
      <c r="P90" s="516"/>
      <c r="Q90" s="516"/>
      <c r="R90" s="516"/>
      <c r="T90" s="516">
        <f t="shared" ref="T90:T97" si="35">K90</f>
        <v>98287</v>
      </c>
      <c r="U90" s="516">
        <f t="shared" ref="U90:U107" si="36">L90-T90</f>
        <v>89766</v>
      </c>
    </row>
    <row r="91" spans="1:21" outlineLevel="1">
      <c r="A91" s="511" t="s">
        <v>534</v>
      </c>
      <c r="C91" s="516">
        <v>-4140</v>
      </c>
      <c r="D91" s="516">
        <v>-8149</v>
      </c>
      <c r="E91" s="516">
        <v>-12280</v>
      </c>
      <c r="F91" s="516">
        <v>-15740</v>
      </c>
      <c r="G91" s="516">
        <v>-1894</v>
      </c>
      <c r="H91" s="516">
        <v>-3832</v>
      </c>
      <c r="I91" s="516">
        <v>-5670</v>
      </c>
      <c r="J91" s="516">
        <v>-6758</v>
      </c>
      <c r="K91" s="516">
        <v>-2988</v>
      </c>
      <c r="L91" s="516">
        <v>-3161</v>
      </c>
      <c r="M91" s="516"/>
      <c r="N91" s="516"/>
      <c r="O91" s="516"/>
      <c r="P91" s="516"/>
      <c r="Q91" s="516"/>
      <c r="R91" s="516"/>
      <c r="T91" s="516">
        <f t="shared" si="35"/>
        <v>-2988</v>
      </c>
      <c r="U91" s="516">
        <f t="shared" si="36"/>
        <v>-173</v>
      </c>
    </row>
    <row r="92" spans="1:21" outlineLevel="1">
      <c r="A92" s="511" t="s">
        <v>535</v>
      </c>
      <c r="C92" s="516">
        <v>0</v>
      </c>
      <c r="D92" s="516">
        <v>0</v>
      </c>
      <c r="E92" s="516">
        <v>0</v>
      </c>
      <c r="F92" s="516">
        <v>0</v>
      </c>
      <c r="G92" s="516">
        <v>0</v>
      </c>
      <c r="H92" s="516">
        <v>0</v>
      </c>
      <c r="I92" s="516">
        <v>0</v>
      </c>
      <c r="J92" s="516">
        <v>0</v>
      </c>
      <c r="K92" s="516">
        <v>0</v>
      </c>
      <c r="L92" s="516">
        <v>0</v>
      </c>
      <c r="M92" s="516"/>
      <c r="N92" s="516"/>
      <c r="O92" s="516"/>
      <c r="P92" s="516"/>
      <c r="Q92" s="516"/>
      <c r="R92" s="516"/>
      <c r="T92" s="516">
        <f t="shared" si="35"/>
        <v>0</v>
      </c>
      <c r="U92" s="516">
        <f t="shared" si="36"/>
        <v>0</v>
      </c>
    </row>
    <row r="93" spans="1:21" outlineLevel="1">
      <c r="A93" s="511" t="s">
        <v>536</v>
      </c>
      <c r="C93" s="516">
        <v>21183</v>
      </c>
      <c r="D93" s="516">
        <v>42120</v>
      </c>
      <c r="E93" s="516">
        <v>73513</v>
      </c>
      <c r="F93" s="516">
        <v>88319</v>
      </c>
      <c r="G93" s="516">
        <v>8544</v>
      </c>
      <c r="H93" s="516">
        <v>18230</v>
      </c>
      <c r="I93" s="516">
        <v>31727</v>
      </c>
      <c r="J93" s="516">
        <v>41975</v>
      </c>
      <c r="K93" s="516">
        <v>11482</v>
      </c>
      <c r="L93" s="516">
        <v>23579</v>
      </c>
      <c r="M93" s="516"/>
      <c r="N93" s="516"/>
      <c r="O93" s="516"/>
      <c r="P93" s="516"/>
      <c r="Q93" s="516"/>
      <c r="R93" s="516"/>
      <c r="T93" s="516">
        <f t="shared" si="35"/>
        <v>11482</v>
      </c>
      <c r="U93" s="516">
        <f t="shared" si="36"/>
        <v>12097</v>
      </c>
    </row>
    <row r="94" spans="1:21" outlineLevel="1">
      <c r="A94" s="511" t="s">
        <v>537</v>
      </c>
      <c r="C94" s="516">
        <v>0</v>
      </c>
      <c r="D94" s="516">
        <v>0</v>
      </c>
      <c r="E94" s="516">
        <v>0</v>
      </c>
      <c r="F94" s="516">
        <v>0</v>
      </c>
      <c r="G94" s="516">
        <v>0</v>
      </c>
      <c r="H94" s="516">
        <v>0</v>
      </c>
      <c r="I94" s="516">
        <v>0</v>
      </c>
      <c r="J94" s="516">
        <v>0</v>
      </c>
      <c r="K94" s="516">
        <v>0</v>
      </c>
      <c r="L94" s="516">
        <v>0</v>
      </c>
      <c r="M94" s="516"/>
      <c r="N94" s="516"/>
      <c r="O94" s="516"/>
      <c r="P94" s="516"/>
      <c r="Q94" s="516"/>
      <c r="R94" s="516"/>
      <c r="T94" s="516">
        <f t="shared" si="35"/>
        <v>0</v>
      </c>
      <c r="U94" s="516">
        <f t="shared" si="36"/>
        <v>0</v>
      </c>
    </row>
    <row r="95" spans="1:21" outlineLevel="1">
      <c r="A95" s="511" t="s">
        <v>538</v>
      </c>
      <c r="C95" s="516">
        <v>0</v>
      </c>
      <c r="D95" s="516">
        <v>0</v>
      </c>
      <c r="E95" s="516">
        <v>0</v>
      </c>
      <c r="F95" s="516">
        <v>0</v>
      </c>
      <c r="G95" s="516">
        <v>0</v>
      </c>
      <c r="H95" s="516">
        <v>0</v>
      </c>
      <c r="I95" s="516">
        <v>0</v>
      </c>
      <c r="J95" s="516">
        <v>0</v>
      </c>
      <c r="K95" s="516">
        <v>0</v>
      </c>
      <c r="L95" s="516">
        <v>0</v>
      </c>
      <c r="M95" s="516"/>
      <c r="N95" s="516"/>
      <c r="O95" s="516"/>
      <c r="P95" s="516"/>
      <c r="Q95" s="516"/>
      <c r="R95" s="516"/>
      <c r="T95" s="516">
        <f t="shared" si="35"/>
        <v>0</v>
      </c>
      <c r="U95" s="516">
        <f t="shared" si="36"/>
        <v>0</v>
      </c>
    </row>
    <row r="96" spans="1:21" outlineLevel="1">
      <c r="A96" s="511" t="s">
        <v>539</v>
      </c>
      <c r="C96" s="516">
        <v>2092</v>
      </c>
      <c r="D96" s="516">
        <v>0</v>
      </c>
      <c r="E96" s="516">
        <v>1183</v>
      </c>
      <c r="F96" s="516">
        <v>0</v>
      </c>
      <c r="G96" s="516">
        <v>0</v>
      </c>
      <c r="H96" s="516">
        <v>0</v>
      </c>
      <c r="I96" s="516">
        <v>0</v>
      </c>
      <c r="J96" s="516">
        <v>0</v>
      </c>
      <c r="K96" s="516">
        <v>0</v>
      </c>
      <c r="L96" s="516">
        <v>0</v>
      </c>
      <c r="M96" s="516"/>
      <c r="N96" s="516"/>
      <c r="O96" s="516"/>
      <c r="P96" s="516"/>
      <c r="Q96" s="516"/>
      <c r="R96" s="516"/>
      <c r="T96" s="516">
        <f t="shared" si="35"/>
        <v>0</v>
      </c>
      <c r="U96" s="516">
        <f t="shared" si="36"/>
        <v>0</v>
      </c>
    </row>
    <row r="97" spans="1:21" outlineLevel="1">
      <c r="A97" s="511" t="s">
        <v>540</v>
      </c>
      <c r="C97" s="516">
        <v>139653</v>
      </c>
      <c r="D97" s="516">
        <v>171869</v>
      </c>
      <c r="E97" s="516">
        <v>159107</v>
      </c>
      <c r="F97" s="516">
        <v>175799</v>
      </c>
      <c r="G97" s="516">
        <v>42039</v>
      </c>
      <c r="H97" s="516">
        <v>132271</v>
      </c>
      <c r="I97" s="516">
        <v>189946</v>
      </c>
      <c r="J97" s="516">
        <v>238305</v>
      </c>
      <c r="K97" s="516">
        <v>0</v>
      </c>
      <c r="L97" s="516">
        <v>121</v>
      </c>
      <c r="M97" s="516"/>
      <c r="N97" s="516"/>
      <c r="O97" s="516"/>
      <c r="P97" s="516"/>
      <c r="Q97" s="516"/>
      <c r="R97" s="516"/>
      <c r="T97" s="516">
        <f t="shared" si="35"/>
        <v>0</v>
      </c>
      <c r="U97" s="516">
        <f t="shared" si="36"/>
        <v>121</v>
      </c>
    </row>
    <row r="98" spans="1:21">
      <c r="A98" s="510" t="s">
        <v>541</v>
      </c>
      <c r="C98" s="515">
        <f t="shared" ref="C98:H98" si="37">SUM(C99:C107)</f>
        <v>-262615</v>
      </c>
      <c r="D98" s="515">
        <f t="shared" si="37"/>
        <v>-499606</v>
      </c>
      <c r="E98" s="515">
        <f t="shared" si="37"/>
        <v>-603092</v>
      </c>
      <c r="F98" s="515">
        <f t="shared" si="37"/>
        <v>-723073</v>
      </c>
      <c r="G98" s="515">
        <f t="shared" si="37"/>
        <v>-221725</v>
      </c>
      <c r="H98" s="515">
        <f t="shared" si="37"/>
        <v>-437795</v>
      </c>
      <c r="I98" s="515">
        <f>SUM(I99:I107)</f>
        <v>-606444</v>
      </c>
      <c r="J98" s="515">
        <f>SUM(J99:J107)</f>
        <v>-779999</v>
      </c>
      <c r="K98" s="515">
        <f>SUM(K99:K107)</f>
        <v>-196836</v>
      </c>
      <c r="L98" s="515">
        <f>SUM(L99:L107)</f>
        <v>-376857</v>
      </c>
      <c r="M98" s="515"/>
      <c r="N98" s="515"/>
      <c r="O98" s="515"/>
      <c r="P98" s="515"/>
      <c r="Q98" s="515"/>
      <c r="R98" s="515"/>
      <c r="T98" s="515">
        <f>SUM(T99:T107)</f>
        <v>-196836</v>
      </c>
      <c r="U98" s="515">
        <f>SUM(U99:U107)</f>
        <v>-180021</v>
      </c>
    </row>
    <row r="99" spans="1:21" outlineLevel="1">
      <c r="A99" s="511" t="s">
        <v>542</v>
      </c>
      <c r="C99" s="516">
        <v>-67731</v>
      </c>
      <c r="D99" s="516">
        <v>-207218</v>
      </c>
      <c r="E99" s="516">
        <v>-280779</v>
      </c>
      <c r="F99" s="516">
        <v>-344850</v>
      </c>
      <c r="G99" s="516">
        <v>-77745</v>
      </c>
      <c r="H99" s="516">
        <v>-193830</v>
      </c>
      <c r="I99" s="516">
        <v>-334699</v>
      </c>
      <c r="J99" s="516">
        <v>-408671</v>
      </c>
      <c r="K99" s="516">
        <v>-64055</v>
      </c>
      <c r="L99" s="516">
        <v>-160271</v>
      </c>
      <c r="M99" s="516"/>
      <c r="N99" s="516"/>
      <c r="O99" s="516"/>
      <c r="P99" s="516"/>
      <c r="Q99" s="516"/>
      <c r="R99" s="516"/>
      <c r="T99" s="516">
        <f t="shared" ref="T99:T107" si="38">K99</f>
        <v>-64055</v>
      </c>
      <c r="U99" s="516">
        <f t="shared" si="36"/>
        <v>-96216</v>
      </c>
    </row>
    <row r="100" spans="1:21" outlineLevel="1">
      <c r="A100" s="511" t="s">
        <v>543</v>
      </c>
      <c r="C100" s="516">
        <v>0</v>
      </c>
      <c r="D100" s="516">
        <v>0</v>
      </c>
      <c r="E100" s="516">
        <v>0</v>
      </c>
      <c r="F100" s="516">
        <v>0</v>
      </c>
      <c r="G100" s="516">
        <v>0</v>
      </c>
      <c r="H100" s="516">
        <v>0</v>
      </c>
      <c r="I100" s="516">
        <v>0</v>
      </c>
      <c r="J100" s="516">
        <v>0</v>
      </c>
      <c r="K100" s="516">
        <v>0</v>
      </c>
      <c r="L100" s="516">
        <v>0</v>
      </c>
      <c r="M100" s="516"/>
      <c r="N100" s="516"/>
      <c r="O100" s="516"/>
      <c r="P100" s="516"/>
      <c r="Q100" s="516"/>
      <c r="R100" s="516"/>
      <c r="T100" s="516">
        <f t="shared" si="38"/>
        <v>0</v>
      </c>
      <c r="U100" s="516">
        <f t="shared" si="36"/>
        <v>0</v>
      </c>
    </row>
    <row r="101" spans="1:21" outlineLevel="1">
      <c r="A101" s="511" t="s">
        <v>544</v>
      </c>
      <c r="C101" s="516">
        <v>-177266</v>
      </c>
      <c r="D101" s="516">
        <v>-244564</v>
      </c>
      <c r="E101" s="516">
        <v>-247347</v>
      </c>
      <c r="F101" s="516">
        <v>-284237</v>
      </c>
      <c r="G101" s="516">
        <v>-113461</v>
      </c>
      <c r="H101" s="516">
        <v>-184368</v>
      </c>
      <c r="I101" s="516">
        <v>-184777</v>
      </c>
      <c r="J101" s="516">
        <v>-237236</v>
      </c>
      <c r="K101" s="516">
        <v>-106732</v>
      </c>
      <c r="L101" s="516">
        <v>-166528</v>
      </c>
      <c r="M101" s="516"/>
      <c r="N101" s="516"/>
      <c r="O101" s="516"/>
      <c r="P101" s="516"/>
      <c r="Q101" s="516"/>
      <c r="R101" s="516"/>
      <c r="T101" s="516">
        <f t="shared" si="38"/>
        <v>-106732</v>
      </c>
      <c r="U101" s="516">
        <f t="shared" si="36"/>
        <v>-59796</v>
      </c>
    </row>
    <row r="102" spans="1:21" outlineLevel="1">
      <c r="A102" s="511" t="s">
        <v>545</v>
      </c>
      <c r="C102" s="516">
        <v>0</v>
      </c>
      <c r="D102" s="516">
        <v>0</v>
      </c>
      <c r="E102" s="516">
        <v>0</v>
      </c>
      <c r="F102" s="516">
        <v>0</v>
      </c>
      <c r="G102" s="516">
        <v>0</v>
      </c>
      <c r="H102" s="516">
        <v>0</v>
      </c>
      <c r="I102" s="516">
        <v>0</v>
      </c>
      <c r="J102" s="516">
        <v>0</v>
      </c>
      <c r="K102" s="516">
        <v>0</v>
      </c>
      <c r="L102" s="516">
        <v>0</v>
      </c>
      <c r="M102" s="516"/>
      <c r="N102" s="516"/>
      <c r="O102" s="516"/>
      <c r="P102" s="516"/>
      <c r="Q102" s="516"/>
      <c r="R102" s="516"/>
      <c r="T102" s="516">
        <f t="shared" si="38"/>
        <v>0</v>
      </c>
      <c r="U102" s="516">
        <f t="shared" si="36"/>
        <v>0</v>
      </c>
    </row>
    <row r="103" spans="1:21" outlineLevel="1">
      <c r="A103" s="511" t="s">
        <v>546</v>
      </c>
      <c r="C103" s="516">
        <v>-5535</v>
      </c>
      <c r="D103" s="516">
        <v>-13990</v>
      </c>
      <c r="E103" s="516">
        <v>-29078</v>
      </c>
      <c r="F103" s="516">
        <v>-38889</v>
      </c>
      <c r="G103" s="516">
        <v>-4256</v>
      </c>
      <c r="H103" s="516">
        <v>-8399</v>
      </c>
      <c r="I103" s="516">
        <v>-12012</v>
      </c>
      <c r="J103" s="516">
        <v>-29506</v>
      </c>
      <c r="K103" s="516">
        <v>-4870</v>
      </c>
      <c r="L103" s="516">
        <v>-9401</v>
      </c>
      <c r="M103" s="516"/>
      <c r="N103" s="516"/>
      <c r="O103" s="516"/>
      <c r="P103" s="516"/>
      <c r="Q103" s="516"/>
      <c r="R103" s="516"/>
      <c r="T103" s="516">
        <f t="shared" si="38"/>
        <v>-4870</v>
      </c>
      <c r="U103" s="516">
        <f t="shared" si="36"/>
        <v>-4531</v>
      </c>
    </row>
    <row r="104" spans="1:21" outlineLevel="1">
      <c r="A104" s="511" t="s">
        <v>547</v>
      </c>
      <c r="C104" s="516">
        <v>-492</v>
      </c>
      <c r="D104" s="516">
        <v>-1385</v>
      </c>
      <c r="E104" s="516">
        <v>-2117</v>
      </c>
      <c r="F104" s="516">
        <v>-2830</v>
      </c>
      <c r="G104" s="516">
        <v>-1082</v>
      </c>
      <c r="H104" s="516">
        <v>-2480</v>
      </c>
      <c r="I104" s="516">
        <v>-3432</v>
      </c>
      <c r="J104" s="516">
        <v>-4157</v>
      </c>
      <c r="K104" s="516">
        <v>-694</v>
      </c>
      <c r="L104" s="516">
        <v>-1367</v>
      </c>
      <c r="M104" s="516"/>
      <c r="N104" s="516"/>
      <c r="O104" s="516"/>
      <c r="P104" s="516"/>
      <c r="Q104" s="516"/>
      <c r="R104" s="516"/>
      <c r="T104" s="516">
        <f t="shared" si="38"/>
        <v>-694</v>
      </c>
      <c r="U104" s="516">
        <f t="shared" si="36"/>
        <v>-673</v>
      </c>
    </row>
    <row r="105" spans="1:21" outlineLevel="1">
      <c r="A105" s="511" t="s">
        <v>548</v>
      </c>
      <c r="C105" s="516">
        <v>0</v>
      </c>
      <c r="D105" s="516">
        <v>0</v>
      </c>
      <c r="E105" s="516">
        <v>0</v>
      </c>
      <c r="F105" s="516">
        <v>0</v>
      </c>
      <c r="G105" s="516">
        <v>0</v>
      </c>
      <c r="H105" s="516">
        <v>0</v>
      </c>
      <c r="I105" s="516">
        <v>0</v>
      </c>
      <c r="J105" s="516">
        <v>0</v>
      </c>
      <c r="K105" s="516">
        <v>0</v>
      </c>
      <c r="L105" s="516">
        <v>0</v>
      </c>
      <c r="M105" s="516"/>
      <c r="N105" s="516"/>
      <c r="O105" s="516"/>
      <c r="P105" s="516"/>
      <c r="Q105" s="516"/>
      <c r="R105" s="516"/>
      <c r="T105" s="516">
        <f t="shared" si="38"/>
        <v>0</v>
      </c>
      <c r="U105" s="516">
        <f t="shared" si="36"/>
        <v>0</v>
      </c>
    </row>
    <row r="106" spans="1:21" outlineLevel="1">
      <c r="A106" s="511" t="s">
        <v>549</v>
      </c>
      <c r="C106" s="516">
        <v>-693</v>
      </c>
      <c r="D106" s="516">
        <v>-1329</v>
      </c>
      <c r="E106" s="516">
        <v>-2704</v>
      </c>
      <c r="F106" s="516">
        <v>-2337</v>
      </c>
      <c r="G106" s="516">
        <v>-503</v>
      </c>
      <c r="H106" s="516">
        <v>-816</v>
      </c>
      <c r="I106" s="516">
        <v>-1275</v>
      </c>
      <c r="J106" s="516">
        <v>-1784</v>
      </c>
      <c r="K106" s="516">
        <v>-269</v>
      </c>
      <c r="L106" s="516">
        <v>-710</v>
      </c>
      <c r="M106" s="516"/>
      <c r="N106" s="516"/>
      <c r="O106" s="516"/>
      <c r="P106" s="516"/>
      <c r="Q106" s="516"/>
      <c r="R106" s="516"/>
      <c r="T106" s="516">
        <f t="shared" si="38"/>
        <v>-269</v>
      </c>
      <c r="U106" s="516">
        <f t="shared" si="36"/>
        <v>-441</v>
      </c>
    </row>
    <row r="107" spans="1:21" outlineLevel="1">
      <c r="A107" s="511" t="s">
        <v>550</v>
      </c>
      <c r="C107" s="516">
        <v>-10898</v>
      </c>
      <c r="D107" s="516">
        <v>-31120</v>
      </c>
      <c r="E107" s="516">
        <v>-41067</v>
      </c>
      <c r="F107" s="516">
        <v>-49930</v>
      </c>
      <c r="G107" s="516">
        <v>-24678</v>
      </c>
      <c r="H107" s="516">
        <v>-47902</v>
      </c>
      <c r="I107" s="516">
        <v>-70249</v>
      </c>
      <c r="J107" s="516">
        <v>-98645</v>
      </c>
      <c r="K107" s="516">
        <v>-20216</v>
      </c>
      <c r="L107" s="516">
        <v>-38580</v>
      </c>
      <c r="M107" s="516"/>
      <c r="N107" s="516"/>
      <c r="O107" s="516"/>
      <c r="P107" s="516"/>
      <c r="Q107" s="516"/>
      <c r="R107" s="516"/>
      <c r="T107" s="516">
        <f t="shared" si="38"/>
        <v>-20216</v>
      </c>
      <c r="U107" s="516">
        <f t="shared" si="36"/>
        <v>-18364</v>
      </c>
    </row>
    <row r="108" spans="1:21">
      <c r="A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T108" s="510"/>
      <c r="U108" s="510"/>
    </row>
    <row r="109" spans="1:21">
      <c r="A109" s="522" t="s">
        <v>551</v>
      </c>
      <c r="C109" s="513">
        <f t="shared" ref="C109:H109" si="39">C85+C87</f>
        <v>70806</v>
      </c>
      <c r="D109" s="513">
        <f t="shared" si="39"/>
        <v>102434</v>
      </c>
      <c r="E109" s="513">
        <f t="shared" si="39"/>
        <v>191294</v>
      </c>
      <c r="F109" s="513">
        <f t="shared" si="39"/>
        <v>254602</v>
      </c>
      <c r="G109" s="513">
        <f t="shared" si="39"/>
        <v>32808</v>
      </c>
      <c r="H109" s="513">
        <f t="shared" si="39"/>
        <v>119888</v>
      </c>
      <c r="I109" s="513">
        <f>I85+I87</f>
        <v>194456</v>
      </c>
      <c r="J109" s="513">
        <f>J85+J87</f>
        <v>293790</v>
      </c>
      <c r="K109" s="513">
        <f>K85+K87</f>
        <v>74939</v>
      </c>
      <c r="L109" s="513">
        <f>L85+L87</f>
        <v>174287</v>
      </c>
      <c r="M109" s="513"/>
      <c r="N109" s="513"/>
      <c r="O109" s="513"/>
      <c r="P109" s="513"/>
      <c r="Q109" s="513"/>
      <c r="R109" s="513"/>
      <c r="T109" s="513">
        <f>T85+T87</f>
        <v>74939</v>
      </c>
      <c r="U109" s="513">
        <f>U85+U87</f>
        <v>99348</v>
      </c>
    </row>
    <row r="110" spans="1:21">
      <c r="A110" s="510"/>
      <c r="C110" s="510"/>
      <c r="D110" s="510"/>
      <c r="E110" s="510"/>
      <c r="F110" s="510"/>
      <c r="G110" s="510"/>
      <c r="H110" s="510"/>
      <c r="I110" s="510"/>
      <c r="J110" s="510"/>
      <c r="K110" s="510"/>
      <c r="L110" s="510"/>
      <c r="M110" s="510"/>
      <c r="N110" s="510"/>
      <c r="O110" s="510"/>
      <c r="P110" s="510"/>
      <c r="Q110" s="510"/>
      <c r="R110" s="510"/>
      <c r="T110" s="510"/>
      <c r="U110" s="510"/>
    </row>
    <row r="111" spans="1:21">
      <c r="A111" s="509" t="s">
        <v>552</v>
      </c>
      <c r="C111" s="517">
        <f t="shared" ref="C111:I111" si="40">SUM(C113:C116)</f>
        <v>-3286</v>
      </c>
      <c r="D111" s="517">
        <f t="shared" si="40"/>
        <v>-15154</v>
      </c>
      <c r="E111" s="517">
        <f t="shared" si="40"/>
        <v>-32238</v>
      </c>
      <c r="F111" s="517">
        <f t="shared" si="40"/>
        <v>-29344</v>
      </c>
      <c r="G111" s="517">
        <f t="shared" si="40"/>
        <v>-3836</v>
      </c>
      <c r="H111" s="517">
        <f t="shared" si="40"/>
        <v>-17360</v>
      </c>
      <c r="I111" s="517">
        <f t="shared" si="40"/>
        <v>-30042</v>
      </c>
      <c r="J111" s="517">
        <f t="shared" ref="J111" si="41">SUM(J113:J116)</f>
        <v>-39019</v>
      </c>
      <c r="K111" s="517">
        <f>SUM(K113:K116)</f>
        <v>-10121</v>
      </c>
      <c r="L111" s="517">
        <f>SUM(L113:L116)</f>
        <v>-43450</v>
      </c>
      <c r="M111" s="517"/>
      <c r="N111" s="517"/>
      <c r="O111" s="517"/>
      <c r="P111" s="517"/>
      <c r="Q111" s="517"/>
      <c r="R111" s="517"/>
      <c r="T111" s="517">
        <f>SUM(T113:T116)</f>
        <v>-10121</v>
      </c>
      <c r="U111" s="517">
        <f>SUM(U113:U116)</f>
        <v>-33329</v>
      </c>
    </row>
    <row r="112" spans="1:21">
      <c r="A112" s="510"/>
      <c r="C112" s="510"/>
      <c r="D112" s="510"/>
      <c r="E112" s="510"/>
      <c r="F112" s="510"/>
      <c r="G112" s="510"/>
      <c r="H112" s="510"/>
      <c r="I112" s="510"/>
      <c r="J112" s="510"/>
      <c r="K112" s="510"/>
      <c r="L112" s="510"/>
      <c r="M112" s="510"/>
      <c r="N112" s="510"/>
      <c r="O112" s="510"/>
      <c r="P112" s="510"/>
      <c r="Q112" s="510"/>
      <c r="R112" s="510"/>
      <c r="T112" s="510"/>
      <c r="U112" s="510"/>
    </row>
    <row r="113" spans="1:21">
      <c r="A113" s="510" t="s">
        <v>553</v>
      </c>
      <c r="C113" s="518">
        <v>-10609</v>
      </c>
      <c r="D113" s="518">
        <v>-13348</v>
      </c>
      <c r="E113" s="518">
        <v>-18690</v>
      </c>
      <c r="F113" s="518">
        <v>-22549</v>
      </c>
      <c r="G113" s="518">
        <v>-4491</v>
      </c>
      <c r="H113" s="518">
        <v>-11131</v>
      </c>
      <c r="I113" s="518">
        <v>-15998</v>
      </c>
      <c r="J113" s="518">
        <v>-19073</v>
      </c>
      <c r="K113" s="518">
        <v>-4785</v>
      </c>
      <c r="L113" s="518">
        <v>-4044</v>
      </c>
      <c r="M113" s="518"/>
      <c r="N113" s="518"/>
      <c r="O113" s="518"/>
      <c r="P113" s="518"/>
      <c r="Q113" s="518"/>
      <c r="R113" s="518"/>
      <c r="T113" s="518">
        <f t="shared" ref="T113:T116" si="42">K113</f>
        <v>-4785</v>
      </c>
      <c r="U113" s="518">
        <f t="shared" ref="U113:U116" si="43">L113-T113</f>
        <v>741</v>
      </c>
    </row>
    <row r="114" spans="1:21">
      <c r="A114" s="510" t="s">
        <v>554</v>
      </c>
      <c r="C114" s="518">
        <v>-29620</v>
      </c>
      <c r="D114" s="518">
        <v>-37195</v>
      </c>
      <c r="E114" s="518">
        <v>-52406</v>
      </c>
      <c r="F114" s="518">
        <v>-63552</v>
      </c>
      <c r="G114" s="518">
        <v>-12586</v>
      </c>
      <c r="H114" s="518">
        <v>-31222</v>
      </c>
      <c r="I114" s="518">
        <v>-44924</v>
      </c>
      <c r="J114" s="518">
        <v>-59132</v>
      </c>
      <c r="K114" s="518">
        <v>-15679</v>
      </c>
      <c r="L114" s="518">
        <v>-16255</v>
      </c>
      <c r="M114" s="518"/>
      <c r="N114" s="518"/>
      <c r="O114" s="518"/>
      <c r="P114" s="518"/>
      <c r="Q114" s="518"/>
      <c r="R114" s="518"/>
      <c r="T114" s="518">
        <f t="shared" si="42"/>
        <v>-15679</v>
      </c>
      <c r="U114" s="518">
        <f t="shared" si="43"/>
        <v>-576</v>
      </c>
    </row>
    <row r="115" spans="1:21">
      <c r="A115" s="510" t="s">
        <v>555</v>
      </c>
      <c r="C115" s="518">
        <v>12873</v>
      </c>
      <c r="D115" s="518">
        <v>20358</v>
      </c>
      <c r="E115" s="518">
        <v>34429</v>
      </c>
      <c r="F115" s="518">
        <v>52060</v>
      </c>
      <c r="G115" s="518">
        <v>8602</v>
      </c>
      <c r="H115" s="518">
        <v>25307</v>
      </c>
      <c r="I115" s="518">
        <v>38395</v>
      </c>
      <c r="J115" s="518">
        <v>57972</v>
      </c>
      <c r="K115" s="518">
        <v>15679</v>
      </c>
      <c r="L115" s="518">
        <v>16255</v>
      </c>
      <c r="M115" s="518"/>
      <c r="N115" s="518"/>
      <c r="O115" s="518"/>
      <c r="P115" s="518"/>
      <c r="Q115" s="518"/>
      <c r="R115" s="518"/>
      <c r="T115" s="518">
        <f t="shared" si="42"/>
        <v>15679</v>
      </c>
      <c r="U115" s="518">
        <f t="shared" si="43"/>
        <v>576</v>
      </c>
    </row>
    <row r="116" spans="1:21">
      <c r="A116" s="510" t="s">
        <v>556</v>
      </c>
      <c r="C116" s="518">
        <v>24070</v>
      </c>
      <c r="D116" s="518">
        <v>15031</v>
      </c>
      <c r="E116" s="518">
        <v>4429</v>
      </c>
      <c r="F116" s="518">
        <v>4697</v>
      </c>
      <c r="G116" s="518">
        <v>4639</v>
      </c>
      <c r="H116" s="518">
        <v>-314</v>
      </c>
      <c r="I116" s="518">
        <v>-7515</v>
      </c>
      <c r="J116" s="518">
        <v>-18786</v>
      </c>
      <c r="K116" s="518">
        <v>-5336</v>
      </c>
      <c r="L116" s="518">
        <v>-39406</v>
      </c>
      <c r="M116" s="518"/>
      <c r="N116" s="518"/>
      <c r="O116" s="518"/>
      <c r="P116" s="518"/>
      <c r="Q116" s="518"/>
      <c r="R116" s="518"/>
      <c r="T116" s="518">
        <f t="shared" si="42"/>
        <v>-5336</v>
      </c>
      <c r="U116" s="518">
        <f t="shared" si="43"/>
        <v>-34070</v>
      </c>
    </row>
    <row r="117" spans="1:21">
      <c r="A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  <c r="T117" s="510"/>
      <c r="U117" s="510"/>
    </row>
    <row r="118" spans="1:21" ht="15" thickBot="1">
      <c r="A118" s="523" t="s">
        <v>557</v>
      </c>
      <c r="C118" s="519">
        <f t="shared" ref="C118:J118" si="44">C109+C111</f>
        <v>67520</v>
      </c>
      <c r="D118" s="519">
        <f t="shared" si="44"/>
        <v>87280</v>
      </c>
      <c r="E118" s="519">
        <f t="shared" si="44"/>
        <v>159056</v>
      </c>
      <c r="F118" s="519">
        <f t="shared" si="44"/>
        <v>225258</v>
      </c>
      <c r="G118" s="519">
        <f t="shared" si="44"/>
        <v>28972</v>
      </c>
      <c r="H118" s="519">
        <f t="shared" si="44"/>
        <v>102528</v>
      </c>
      <c r="I118" s="519">
        <f t="shared" si="44"/>
        <v>164414</v>
      </c>
      <c r="J118" s="519">
        <f t="shared" si="44"/>
        <v>254771</v>
      </c>
      <c r="K118" s="519">
        <f>K109+K111</f>
        <v>64818</v>
      </c>
      <c r="L118" s="519">
        <f>L109+L111</f>
        <v>130837</v>
      </c>
      <c r="M118" s="519"/>
      <c r="N118" s="519"/>
      <c r="O118" s="519"/>
      <c r="P118" s="519"/>
      <c r="Q118" s="519"/>
      <c r="R118" s="519"/>
      <c r="T118" s="519">
        <f>T109+T111</f>
        <v>64818</v>
      </c>
      <c r="U118" s="519">
        <f>U109+U111</f>
        <v>66019</v>
      </c>
    </row>
    <row r="119" spans="1:21" ht="15" thickTop="1">
      <c r="A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  <c r="T119" s="510"/>
      <c r="U119" s="510"/>
    </row>
    <row r="120" spans="1:21">
      <c r="A120" s="509" t="s">
        <v>558</v>
      </c>
      <c r="C120" s="518"/>
      <c r="D120" s="518"/>
      <c r="E120" s="518"/>
      <c r="F120" s="518"/>
      <c r="G120" s="518"/>
      <c r="H120" s="518"/>
      <c r="I120" s="518"/>
      <c r="J120" s="518"/>
      <c r="K120" s="518"/>
      <c r="L120" s="518"/>
      <c r="M120" s="518"/>
      <c r="N120" s="518"/>
      <c r="O120" s="518"/>
      <c r="P120" s="518"/>
      <c r="Q120" s="518"/>
      <c r="R120" s="518"/>
      <c r="T120" s="518"/>
      <c r="U120" s="518"/>
    </row>
    <row r="121" spans="1:21">
      <c r="A121" s="510" t="s">
        <v>559</v>
      </c>
      <c r="C121" s="518">
        <f t="shared" ref="C121:I121" si="45">C118-C122</f>
        <v>64100.773885142757</v>
      </c>
      <c r="D121" s="518">
        <f t="shared" si="45"/>
        <v>82860.12358849615</v>
      </c>
      <c r="E121" s="518">
        <f t="shared" si="45"/>
        <v>151001.37279436117</v>
      </c>
      <c r="F121" s="518">
        <f t="shared" si="45"/>
        <v>213850.89045941184</v>
      </c>
      <c r="G121" s="518">
        <f t="shared" si="45"/>
        <v>27504.852206758827</v>
      </c>
      <c r="H121" s="518">
        <f t="shared" si="45"/>
        <v>97335.961861610151</v>
      </c>
      <c r="I121" s="518">
        <f t="shared" si="45"/>
        <v>156088.04261777046</v>
      </c>
      <c r="J121" s="518">
        <f>J118-J122</f>
        <v>241869.34631948618</v>
      </c>
      <c r="K121" s="518">
        <v>61536</v>
      </c>
      <c r="L121" s="518">
        <v>124211</v>
      </c>
      <c r="M121" s="518"/>
      <c r="N121" s="518"/>
      <c r="O121" s="518"/>
      <c r="P121" s="518"/>
      <c r="Q121" s="518"/>
      <c r="R121" s="518"/>
      <c r="T121" s="518">
        <f t="shared" ref="T121:T122" si="46">K121</f>
        <v>61536</v>
      </c>
      <c r="U121" s="518">
        <f t="shared" ref="U121:U122" si="47">L121-T121</f>
        <v>62675</v>
      </c>
    </row>
    <row r="122" spans="1:21">
      <c r="A122" s="510" t="s">
        <v>560</v>
      </c>
      <c r="C122" s="518">
        <f t="shared" ref="C122:I122" si="48">C118*C127</f>
        <v>3419.2261148572397</v>
      </c>
      <c r="D122" s="518">
        <f t="shared" si="48"/>
        <v>4419.8764115038493</v>
      </c>
      <c r="E122" s="518">
        <f t="shared" si="48"/>
        <v>8054.6272056388198</v>
      </c>
      <c r="F122" s="518">
        <f t="shared" si="48"/>
        <v>11407.109540588153</v>
      </c>
      <c r="G122" s="518">
        <f t="shared" si="48"/>
        <v>1467.1477932411722</v>
      </c>
      <c r="H122" s="518">
        <f t="shared" si="48"/>
        <v>5192.0381383898557</v>
      </c>
      <c r="I122" s="518">
        <f t="shared" si="48"/>
        <v>8325.9573822295351</v>
      </c>
      <c r="J122" s="518">
        <f>J118*J127</f>
        <v>12901.653680513829</v>
      </c>
      <c r="K122" s="518">
        <v>3282</v>
      </c>
      <c r="L122" s="518">
        <v>6626</v>
      </c>
      <c r="M122" s="518"/>
      <c r="N122" s="518"/>
      <c r="O122" s="518"/>
      <c r="P122" s="518"/>
      <c r="Q122" s="518"/>
      <c r="R122" s="518"/>
      <c r="T122" s="518">
        <f t="shared" si="46"/>
        <v>3282</v>
      </c>
      <c r="U122" s="518">
        <f t="shared" si="47"/>
        <v>3344</v>
      </c>
    </row>
    <row r="123" spans="1:21">
      <c r="A123" s="510"/>
      <c r="C123" s="510"/>
      <c r="D123" s="510"/>
      <c r="E123" s="510"/>
      <c r="F123" s="510"/>
      <c r="G123" s="510"/>
      <c r="H123" s="510"/>
      <c r="I123" s="510"/>
      <c r="J123" s="510"/>
      <c r="K123" s="510"/>
      <c r="L123" s="510"/>
      <c r="M123" s="510"/>
      <c r="N123" s="510"/>
      <c r="O123" s="510"/>
      <c r="P123" s="510"/>
      <c r="Q123" s="510"/>
      <c r="R123" s="510"/>
      <c r="T123" s="510"/>
      <c r="U123" s="510"/>
    </row>
    <row r="124" spans="1:21" ht="15" thickBot="1">
      <c r="A124" s="523" t="s">
        <v>557</v>
      </c>
      <c r="C124" s="519">
        <f t="shared" ref="C124:I124" si="49">SUM(C121:C122)</f>
        <v>67520</v>
      </c>
      <c r="D124" s="519">
        <f t="shared" si="49"/>
        <v>87280</v>
      </c>
      <c r="E124" s="519">
        <f t="shared" si="49"/>
        <v>159056</v>
      </c>
      <c r="F124" s="519">
        <f t="shared" si="49"/>
        <v>225258</v>
      </c>
      <c r="G124" s="519">
        <f t="shared" si="49"/>
        <v>28972</v>
      </c>
      <c r="H124" s="519">
        <f t="shared" si="49"/>
        <v>102528</v>
      </c>
      <c r="I124" s="519">
        <f t="shared" si="49"/>
        <v>164414</v>
      </c>
      <c r="J124" s="519">
        <f t="shared" ref="J124" si="50">SUM(J121:J122)</f>
        <v>254771</v>
      </c>
      <c r="K124" s="519">
        <f>SUM(K121:K122)</f>
        <v>64818</v>
      </c>
      <c r="L124" s="519">
        <f>SUM(L121:L122)</f>
        <v>130837</v>
      </c>
      <c r="M124" s="519"/>
      <c r="N124" s="519"/>
      <c r="O124" s="519"/>
      <c r="P124" s="519"/>
      <c r="Q124" s="519"/>
      <c r="R124" s="519"/>
      <c r="T124" s="519">
        <f>SUM(T121:T122)</f>
        <v>64818</v>
      </c>
      <c r="U124" s="519">
        <f>SUM(U121:U122)</f>
        <v>66019</v>
      </c>
    </row>
    <row r="125" spans="1:21" ht="15" thickTop="1"/>
    <row r="126" spans="1:21" s="525" customFormat="1" ht="10.5">
      <c r="A126" s="524" t="s">
        <v>561</v>
      </c>
      <c r="C126" s="526">
        <v>0.94935980280128496</v>
      </c>
      <c r="D126" s="526">
        <v>0.94935980280128496</v>
      </c>
      <c r="E126" s="526">
        <v>0.94935980280128496</v>
      </c>
      <c r="F126" s="526">
        <v>0.94935980280128496</v>
      </c>
      <c r="G126" s="526">
        <v>0.94935980280128496</v>
      </c>
      <c r="H126" s="526">
        <v>0.94935980280128496</v>
      </c>
      <c r="I126" s="526">
        <v>0.94935980280128496</v>
      </c>
      <c r="J126" s="526">
        <v>0.94935980280128496</v>
      </c>
      <c r="K126" s="526">
        <v>0.94935980280128496</v>
      </c>
      <c r="L126" s="526">
        <v>0.94935980280128496</v>
      </c>
      <c r="T126" s="526">
        <f t="shared" ref="T126:T127" si="51">K126</f>
        <v>0.94935980280128496</v>
      </c>
      <c r="U126" s="526"/>
    </row>
    <row r="127" spans="1:21" s="525" customFormat="1" ht="10.5">
      <c r="A127" s="524" t="s">
        <v>562</v>
      </c>
      <c r="C127" s="526">
        <v>5.0640197198715042E-2</v>
      </c>
      <c r="D127" s="526">
        <v>5.0640197198715042E-2</v>
      </c>
      <c r="E127" s="526">
        <v>5.0640197198715042E-2</v>
      </c>
      <c r="F127" s="526">
        <v>5.0640197198715042E-2</v>
      </c>
      <c r="G127" s="526">
        <v>5.0640197198715042E-2</v>
      </c>
      <c r="H127" s="526">
        <v>5.0640197198715042E-2</v>
      </c>
      <c r="I127" s="526">
        <v>5.0640197198715042E-2</v>
      </c>
      <c r="J127" s="526">
        <v>5.0640197198715042E-2</v>
      </c>
      <c r="K127" s="526">
        <v>5.0640197198715042E-2</v>
      </c>
      <c r="L127" s="526">
        <v>5.0640197198715042E-2</v>
      </c>
      <c r="T127" s="526">
        <f t="shared" si="51"/>
        <v>5.0640197198715042E-2</v>
      </c>
      <c r="U127" s="526"/>
    </row>
  </sheetData>
  <pageMargins left="0.511811024" right="0.511811024" top="0.78740157499999996" bottom="0.78740157499999996" header="0.31496062000000002" footer="0.31496062000000002"/>
  <ignoredErrors>
    <ignoredError sqref="C8:I8" formulaRange="1"/>
  </ignoredError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79998168889431442"/>
  </sheetPr>
  <dimension ref="A4:U127"/>
  <sheetViews>
    <sheetView showGridLines="0" zoomScale="85" zoomScaleNormal="85" workbookViewId="0">
      <pane xSplit="1" ySplit="4" topLeftCell="B5" activePane="bottomRight" state="frozen"/>
      <selection pane="topRight"/>
      <selection pane="bottomLeft"/>
      <selection pane="bottomRight" activeCell="L10" sqref="L10"/>
    </sheetView>
  </sheetViews>
  <sheetFormatPr defaultRowHeight="14.5" outlineLevelRow="1"/>
  <cols>
    <col min="1" max="1" width="65.7265625" bestFit="1" customWidth="1"/>
    <col min="2" max="2" width="1.54296875" customWidth="1"/>
    <col min="3" max="12" width="15.1796875" customWidth="1"/>
    <col min="13" max="18" width="15.1796875" hidden="1" customWidth="1"/>
    <col min="19" max="19" width="1.54296875" customWidth="1"/>
    <col min="20" max="20" width="15.1796875" hidden="1" customWidth="1"/>
    <col min="21" max="21" width="15.1796875" customWidth="1"/>
  </cols>
  <sheetData>
    <row r="4" spans="1:21">
      <c r="A4" s="521" t="s">
        <v>565</v>
      </c>
      <c r="C4" s="520" t="s">
        <v>453</v>
      </c>
      <c r="D4" s="520" t="s">
        <v>454</v>
      </c>
      <c r="E4" s="520" t="s">
        <v>455</v>
      </c>
      <c r="F4" s="520">
        <v>2022</v>
      </c>
      <c r="G4" s="520" t="s">
        <v>456</v>
      </c>
      <c r="H4" s="520" t="s">
        <v>457</v>
      </c>
      <c r="I4" s="520" t="s">
        <v>458</v>
      </c>
      <c r="J4" s="520">
        <v>2023</v>
      </c>
      <c r="K4" s="520" t="s">
        <v>459</v>
      </c>
      <c r="L4" s="520" t="s">
        <v>460</v>
      </c>
      <c r="M4" s="520" t="s">
        <v>461</v>
      </c>
      <c r="N4" s="520">
        <v>2024</v>
      </c>
      <c r="O4" s="520" t="s">
        <v>462</v>
      </c>
      <c r="P4" s="520" t="s">
        <v>463</v>
      </c>
      <c r="Q4" s="520" t="s">
        <v>464</v>
      </c>
      <c r="R4" s="520">
        <v>2025</v>
      </c>
      <c r="T4" s="520" t="s">
        <v>53</v>
      </c>
      <c r="U4" s="520" t="s">
        <v>54</v>
      </c>
    </row>
    <row r="5" spans="1:21" ht="6.65" customHeight="1"/>
    <row r="6" spans="1:21">
      <c r="A6" s="522" t="s">
        <v>465</v>
      </c>
      <c r="C6" s="513">
        <f t="shared" ref="C6" si="0">SUM(C8,C11:C17)</f>
        <v>912420</v>
      </c>
      <c r="D6" s="513">
        <f t="shared" ref="D6:L6" si="1">SUM(D8,D11:D17)</f>
        <v>1864992</v>
      </c>
      <c r="E6" s="513">
        <f t="shared" si="1"/>
        <v>2717846</v>
      </c>
      <c r="F6" s="513">
        <f t="shared" si="1"/>
        <v>3702051</v>
      </c>
      <c r="G6" s="513">
        <f t="shared" si="1"/>
        <v>965315</v>
      </c>
      <c r="H6" s="513">
        <f t="shared" si="1"/>
        <v>1981897</v>
      </c>
      <c r="I6" s="513">
        <f t="shared" si="1"/>
        <v>3061322</v>
      </c>
      <c r="J6" s="513">
        <f t="shared" si="1"/>
        <v>4294609</v>
      </c>
      <c r="K6" s="513">
        <f t="shared" si="1"/>
        <v>1068099</v>
      </c>
      <c r="L6" s="513">
        <f t="shared" si="1"/>
        <v>2145791</v>
      </c>
      <c r="M6" s="513"/>
      <c r="N6" s="513"/>
      <c r="O6" s="513"/>
      <c r="P6" s="513"/>
      <c r="Q6" s="513"/>
      <c r="R6" s="513"/>
      <c r="T6" s="513">
        <f t="shared" ref="T6:U6" si="2">SUM(T8,T11:T17)</f>
        <v>1068099</v>
      </c>
      <c r="U6" s="513">
        <f t="shared" si="2"/>
        <v>1077692</v>
      </c>
    </row>
    <row r="7" spans="1:21">
      <c r="A7" s="509"/>
      <c r="C7" s="514"/>
      <c r="D7" s="514"/>
      <c r="E7" s="514"/>
      <c r="F7" s="514"/>
      <c r="G7" s="514"/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514"/>
      <c r="T7" s="514"/>
      <c r="U7" s="514"/>
    </row>
    <row r="8" spans="1:21">
      <c r="A8" s="510" t="s">
        <v>466</v>
      </c>
      <c r="C8" s="515">
        <f t="shared" ref="C8" si="3">SUM(C9:C10)</f>
        <v>770238</v>
      </c>
      <c r="D8" s="515">
        <f t="shared" ref="D8:H8" si="4">SUM(D9:D10)</f>
        <v>1532927</v>
      </c>
      <c r="E8" s="515">
        <f t="shared" si="4"/>
        <v>2200279</v>
      </c>
      <c r="F8" s="515">
        <f t="shared" si="4"/>
        <v>2973637</v>
      </c>
      <c r="G8" s="515">
        <f t="shared" si="4"/>
        <v>777512</v>
      </c>
      <c r="H8" s="515">
        <f t="shared" si="4"/>
        <v>1550975</v>
      </c>
      <c r="I8" s="515">
        <f>SUM(I9:I10)</f>
        <v>2365677</v>
      </c>
      <c r="J8" s="515">
        <f>SUM(J9:J10)</f>
        <v>3253993</v>
      </c>
      <c r="K8" s="515">
        <f>SUM(K9:K10)</f>
        <v>867869</v>
      </c>
      <c r="L8" s="515">
        <f>SUM(L9:L10)</f>
        <v>1724069</v>
      </c>
      <c r="M8" s="515"/>
      <c r="N8" s="515"/>
      <c r="O8" s="515"/>
      <c r="P8" s="515"/>
      <c r="Q8" s="515"/>
      <c r="R8" s="515"/>
      <c r="T8" s="515">
        <f>SUM(T9:T10)</f>
        <v>867869</v>
      </c>
      <c r="U8" s="515">
        <f>SUM(U9:U10)</f>
        <v>856200</v>
      </c>
    </row>
    <row r="9" spans="1:21" outlineLevel="1">
      <c r="A9" s="511" t="s">
        <v>466</v>
      </c>
      <c r="C9" s="516">
        <v>787969</v>
      </c>
      <c r="D9" s="516">
        <v>1486340</v>
      </c>
      <c r="E9" s="516">
        <v>2112884</v>
      </c>
      <c r="F9" s="516">
        <v>2866104</v>
      </c>
      <c r="G9" s="516">
        <v>775339</v>
      </c>
      <c r="H9" s="516">
        <v>1552191</v>
      </c>
      <c r="I9" s="516">
        <v>2330175</v>
      </c>
      <c r="J9" s="516">
        <v>3257455</v>
      </c>
      <c r="K9" s="516">
        <v>959108</v>
      </c>
      <c r="L9" s="516">
        <v>1857135</v>
      </c>
      <c r="M9" s="516"/>
      <c r="N9" s="516"/>
      <c r="O9" s="516"/>
      <c r="P9" s="516"/>
      <c r="Q9" s="516"/>
      <c r="R9" s="516"/>
      <c r="T9" s="516">
        <f>K9</f>
        <v>959108</v>
      </c>
      <c r="U9" s="516">
        <f>L9-T9</f>
        <v>898027</v>
      </c>
    </row>
    <row r="10" spans="1:21" outlineLevel="1">
      <c r="A10" s="511" t="s">
        <v>467</v>
      </c>
      <c r="C10" s="516">
        <v>-17731</v>
      </c>
      <c r="D10" s="516">
        <v>46587</v>
      </c>
      <c r="E10" s="516">
        <v>87395</v>
      </c>
      <c r="F10" s="516">
        <v>107533</v>
      </c>
      <c r="G10" s="516">
        <v>2173</v>
      </c>
      <c r="H10" s="516">
        <v>-1216</v>
      </c>
      <c r="I10" s="516">
        <v>35502</v>
      </c>
      <c r="J10" s="516">
        <v>-3462</v>
      </c>
      <c r="K10" s="516">
        <v>-91239</v>
      </c>
      <c r="L10" s="516">
        <v>-133066</v>
      </c>
      <c r="M10" s="516"/>
      <c r="N10" s="516"/>
      <c r="O10" s="516"/>
      <c r="P10" s="516"/>
      <c r="Q10" s="516"/>
      <c r="R10" s="516"/>
      <c r="T10" s="516">
        <f t="shared" ref="T10:T25" si="5">K10</f>
        <v>-91239</v>
      </c>
      <c r="U10" s="516">
        <f t="shared" ref="U10:U16" si="6">L10-T10</f>
        <v>-41827</v>
      </c>
    </row>
    <row r="11" spans="1:21">
      <c r="A11" s="510" t="s">
        <v>468</v>
      </c>
      <c r="C11" s="515">
        <v>13455</v>
      </c>
      <c r="D11" s="515">
        <v>29326</v>
      </c>
      <c r="E11" s="515">
        <v>57572</v>
      </c>
      <c r="F11" s="515">
        <v>76855</v>
      </c>
      <c r="G11" s="515">
        <v>4076</v>
      </c>
      <c r="H11" s="515">
        <v>9064</v>
      </c>
      <c r="I11" s="515">
        <v>25183</v>
      </c>
      <c r="J11" s="515">
        <v>35760</v>
      </c>
      <c r="K11" s="515">
        <v>2455</v>
      </c>
      <c r="L11" s="515">
        <v>7082</v>
      </c>
      <c r="M11" s="515"/>
      <c r="N11" s="515"/>
      <c r="O11" s="515"/>
      <c r="P11" s="515"/>
      <c r="Q11" s="515"/>
      <c r="R11" s="515"/>
      <c r="T11" s="515">
        <f t="shared" si="5"/>
        <v>2455</v>
      </c>
      <c r="U11" s="515">
        <f t="shared" si="6"/>
        <v>4627</v>
      </c>
    </row>
    <row r="12" spans="1:21">
      <c r="A12" s="510" t="s">
        <v>469</v>
      </c>
      <c r="C12" s="515">
        <v>0</v>
      </c>
      <c r="D12" s="515">
        <v>0</v>
      </c>
      <c r="E12" s="515">
        <v>0</v>
      </c>
      <c r="F12" s="515">
        <v>0</v>
      </c>
      <c r="G12" s="515">
        <v>0</v>
      </c>
      <c r="H12" s="515">
        <v>0</v>
      </c>
      <c r="I12" s="515">
        <v>0</v>
      </c>
      <c r="J12" s="515">
        <v>0</v>
      </c>
      <c r="K12" s="515">
        <v>0</v>
      </c>
      <c r="L12" s="515">
        <v>0</v>
      </c>
      <c r="M12" s="515"/>
      <c r="N12" s="515"/>
      <c r="O12" s="515"/>
      <c r="P12" s="515"/>
      <c r="Q12" s="515"/>
      <c r="R12" s="515"/>
      <c r="T12" s="515">
        <f t="shared" si="5"/>
        <v>0</v>
      </c>
      <c r="U12" s="515">
        <f t="shared" si="6"/>
        <v>0</v>
      </c>
    </row>
    <row r="13" spans="1:21">
      <c r="A13" s="510" t="s">
        <v>470</v>
      </c>
      <c r="C13" s="515">
        <v>70196</v>
      </c>
      <c r="D13" s="515">
        <v>174684</v>
      </c>
      <c r="E13" s="515">
        <v>284629</v>
      </c>
      <c r="F13" s="515">
        <v>426115</v>
      </c>
      <c r="G13" s="515">
        <v>120198</v>
      </c>
      <c r="H13" s="515">
        <v>288401</v>
      </c>
      <c r="I13" s="515">
        <v>454369</v>
      </c>
      <c r="J13" s="515">
        <v>671007</v>
      </c>
      <c r="K13" s="515">
        <v>99137</v>
      </c>
      <c r="L13" s="515">
        <v>230705</v>
      </c>
      <c r="M13" s="515"/>
      <c r="N13" s="515"/>
      <c r="O13" s="515"/>
      <c r="P13" s="515"/>
      <c r="Q13" s="515"/>
      <c r="R13" s="515"/>
      <c r="T13" s="515">
        <f t="shared" si="5"/>
        <v>99137</v>
      </c>
      <c r="U13" s="515">
        <f t="shared" si="6"/>
        <v>131568</v>
      </c>
    </row>
    <row r="14" spans="1:21">
      <c r="A14" s="510" t="s">
        <v>471</v>
      </c>
      <c r="C14" s="515">
        <v>0</v>
      </c>
      <c r="D14" s="515">
        <v>0</v>
      </c>
      <c r="E14" s="515">
        <v>0</v>
      </c>
      <c r="F14" s="515">
        <v>0</v>
      </c>
      <c r="G14" s="515">
        <v>0</v>
      </c>
      <c r="H14" s="515">
        <v>0</v>
      </c>
      <c r="I14" s="515">
        <v>0</v>
      </c>
      <c r="J14" s="515">
        <v>0</v>
      </c>
      <c r="K14" s="515">
        <v>0</v>
      </c>
      <c r="L14" s="515">
        <v>0</v>
      </c>
      <c r="M14" s="515"/>
      <c r="N14" s="515"/>
      <c r="O14" s="515"/>
      <c r="P14" s="515"/>
      <c r="Q14" s="515"/>
      <c r="R14" s="515"/>
      <c r="T14" s="515">
        <f t="shared" si="5"/>
        <v>0</v>
      </c>
      <c r="U14" s="515">
        <f t="shared" si="6"/>
        <v>0</v>
      </c>
    </row>
    <row r="15" spans="1:21">
      <c r="A15" s="510" t="s">
        <v>472</v>
      </c>
      <c r="C15" s="515">
        <v>0</v>
      </c>
      <c r="D15" s="515">
        <v>0</v>
      </c>
      <c r="E15" s="515">
        <v>0</v>
      </c>
      <c r="F15" s="515">
        <v>0</v>
      </c>
      <c r="G15" s="515">
        <v>0</v>
      </c>
      <c r="H15" s="515">
        <v>0</v>
      </c>
      <c r="I15" s="515">
        <v>0</v>
      </c>
      <c r="J15" s="515">
        <v>0</v>
      </c>
      <c r="K15" s="515">
        <v>0</v>
      </c>
      <c r="L15" s="515">
        <v>0</v>
      </c>
      <c r="M15" s="515"/>
      <c r="N15" s="515"/>
      <c r="O15" s="515"/>
      <c r="P15" s="515"/>
      <c r="Q15" s="515"/>
      <c r="R15" s="515"/>
      <c r="T15" s="515">
        <f t="shared" si="5"/>
        <v>0</v>
      </c>
      <c r="U15" s="515">
        <f t="shared" si="6"/>
        <v>0</v>
      </c>
    </row>
    <row r="16" spans="1:21">
      <c r="A16" s="510" t="s">
        <v>473</v>
      </c>
      <c r="C16" s="515">
        <v>0</v>
      </c>
      <c r="D16" s="515">
        <v>0</v>
      </c>
      <c r="E16" s="515">
        <v>0</v>
      </c>
      <c r="F16" s="515">
        <v>0</v>
      </c>
      <c r="G16" s="515">
        <v>0</v>
      </c>
      <c r="H16" s="515">
        <v>0</v>
      </c>
      <c r="I16" s="515">
        <v>0</v>
      </c>
      <c r="J16" s="515">
        <v>0</v>
      </c>
      <c r="K16" s="515">
        <v>0</v>
      </c>
      <c r="L16" s="515">
        <v>0</v>
      </c>
      <c r="M16" s="515"/>
      <c r="N16" s="515"/>
      <c r="O16" s="515"/>
      <c r="P16" s="515"/>
      <c r="Q16" s="515"/>
      <c r="R16" s="515"/>
      <c r="T16" s="515">
        <f t="shared" si="5"/>
        <v>0</v>
      </c>
      <c r="U16" s="515">
        <f t="shared" si="6"/>
        <v>0</v>
      </c>
    </row>
    <row r="17" spans="1:21">
      <c r="A17" s="510" t="s">
        <v>474</v>
      </c>
      <c r="C17" s="515">
        <f t="shared" ref="C17" si="7">SUM(C18:C25)</f>
        <v>58531</v>
      </c>
      <c r="D17" s="515">
        <f t="shared" ref="D17:H17" si="8">SUM(D18:D25)</f>
        <v>128055</v>
      </c>
      <c r="E17" s="515">
        <f t="shared" si="8"/>
        <v>175366</v>
      </c>
      <c r="F17" s="515">
        <f t="shared" si="8"/>
        <v>225444</v>
      </c>
      <c r="G17" s="515">
        <f t="shared" si="8"/>
        <v>63529</v>
      </c>
      <c r="H17" s="515">
        <f t="shared" si="8"/>
        <v>133457</v>
      </c>
      <c r="I17" s="515">
        <f>SUM(I18:I25)</f>
        <v>216093</v>
      </c>
      <c r="J17" s="515">
        <f>SUM(J18:J25)</f>
        <v>333849</v>
      </c>
      <c r="K17" s="515">
        <f>SUM(K18:K25)</f>
        <v>98638</v>
      </c>
      <c r="L17" s="515">
        <f>SUM(L18:L25)</f>
        <v>183935</v>
      </c>
      <c r="M17" s="515"/>
      <c r="N17" s="515"/>
      <c r="O17" s="515"/>
      <c r="P17" s="515"/>
      <c r="Q17" s="515"/>
      <c r="R17" s="515"/>
      <c r="T17" s="515">
        <f>SUM(T18:T25)</f>
        <v>98638</v>
      </c>
      <c r="U17" s="515">
        <f>SUM(U18:U25)</f>
        <v>85297</v>
      </c>
    </row>
    <row r="18" spans="1:21" outlineLevel="1">
      <c r="A18" s="511" t="s">
        <v>475</v>
      </c>
      <c r="C18" s="516">
        <v>37310</v>
      </c>
      <c r="D18" s="516">
        <v>79465</v>
      </c>
      <c r="E18" s="516">
        <v>116181</v>
      </c>
      <c r="F18" s="516">
        <v>156213</v>
      </c>
      <c r="G18" s="516">
        <v>41848</v>
      </c>
      <c r="H18" s="516">
        <v>90246</v>
      </c>
      <c r="I18" s="516">
        <v>151509</v>
      </c>
      <c r="J18" s="516">
        <v>216167</v>
      </c>
      <c r="K18" s="516">
        <v>67138</v>
      </c>
      <c r="L18" s="516">
        <v>129706</v>
      </c>
      <c r="M18" s="516"/>
      <c r="N18" s="516"/>
      <c r="O18" s="516"/>
      <c r="P18" s="516"/>
      <c r="Q18" s="516"/>
      <c r="R18" s="516"/>
      <c r="T18" s="516">
        <f t="shared" si="5"/>
        <v>67138</v>
      </c>
      <c r="U18" s="516">
        <f t="shared" ref="U18:U25" si="9">L18-T18</f>
        <v>62568</v>
      </c>
    </row>
    <row r="19" spans="1:21" outlineLevel="1">
      <c r="A19" s="511" t="s">
        <v>476</v>
      </c>
      <c r="C19" s="516">
        <v>313</v>
      </c>
      <c r="D19" s="516">
        <v>2659</v>
      </c>
      <c r="E19" s="516">
        <v>2265</v>
      </c>
      <c r="F19" s="516">
        <v>1587</v>
      </c>
      <c r="G19" s="516">
        <v>2387</v>
      </c>
      <c r="H19" s="516">
        <v>3236</v>
      </c>
      <c r="I19" s="516">
        <v>4189</v>
      </c>
      <c r="J19" s="516">
        <v>6049</v>
      </c>
      <c r="K19" s="516">
        <v>3533</v>
      </c>
      <c r="L19" s="516">
        <v>-628</v>
      </c>
      <c r="M19" s="516"/>
      <c r="N19" s="516"/>
      <c r="O19" s="516"/>
      <c r="P19" s="516"/>
      <c r="Q19" s="516"/>
      <c r="R19" s="516"/>
      <c r="T19" s="516">
        <f t="shared" si="5"/>
        <v>3533</v>
      </c>
      <c r="U19" s="516">
        <f t="shared" si="9"/>
        <v>-4161</v>
      </c>
    </row>
    <row r="20" spans="1:21" outlineLevel="1">
      <c r="A20" s="511" t="s">
        <v>477</v>
      </c>
      <c r="C20" s="516">
        <v>0</v>
      </c>
      <c r="D20" s="516">
        <v>0</v>
      </c>
      <c r="E20" s="516">
        <v>0</v>
      </c>
      <c r="F20" s="516">
        <v>0</v>
      </c>
      <c r="G20" s="516">
        <v>0</v>
      </c>
      <c r="H20" s="516">
        <v>0</v>
      </c>
      <c r="I20" s="516">
        <v>0</v>
      </c>
      <c r="J20" s="516">
        <v>0</v>
      </c>
      <c r="K20" s="516">
        <v>0</v>
      </c>
      <c r="L20" s="516">
        <v>0</v>
      </c>
      <c r="M20" s="516"/>
      <c r="N20" s="516"/>
      <c r="O20" s="516"/>
      <c r="P20" s="516"/>
      <c r="Q20" s="516"/>
      <c r="R20" s="516"/>
      <c r="T20" s="516">
        <f t="shared" si="5"/>
        <v>0</v>
      </c>
      <c r="U20" s="516">
        <f t="shared" si="9"/>
        <v>0</v>
      </c>
    </row>
    <row r="21" spans="1:21" outlineLevel="1">
      <c r="A21" s="511" t="s">
        <v>478</v>
      </c>
      <c r="C21" s="516">
        <v>0</v>
      </c>
      <c r="D21" s="516">
        <v>0</v>
      </c>
      <c r="E21" s="516">
        <v>0</v>
      </c>
      <c r="F21" s="516">
        <v>0</v>
      </c>
      <c r="G21" s="516">
        <v>0</v>
      </c>
      <c r="H21" s="516">
        <v>0</v>
      </c>
      <c r="I21" s="516">
        <v>0</v>
      </c>
      <c r="J21" s="516">
        <v>0</v>
      </c>
      <c r="K21" s="516">
        <v>0</v>
      </c>
      <c r="L21" s="516">
        <v>0</v>
      </c>
      <c r="M21" s="516"/>
      <c r="N21" s="516"/>
      <c r="O21" s="516"/>
      <c r="P21" s="516"/>
      <c r="Q21" s="516"/>
      <c r="R21" s="516"/>
      <c r="T21" s="516">
        <f t="shared" si="5"/>
        <v>0</v>
      </c>
      <c r="U21" s="516">
        <f t="shared" si="9"/>
        <v>0</v>
      </c>
    </row>
    <row r="22" spans="1:21" outlineLevel="1">
      <c r="A22" s="511" t="s">
        <v>479</v>
      </c>
      <c r="C22" s="516">
        <v>0</v>
      </c>
      <c r="D22" s="516">
        <v>0</v>
      </c>
      <c r="E22" s="516">
        <v>0</v>
      </c>
      <c r="F22" s="516">
        <v>0</v>
      </c>
      <c r="G22" s="516">
        <v>0</v>
      </c>
      <c r="H22" s="516">
        <v>0</v>
      </c>
      <c r="I22" s="516">
        <v>0</v>
      </c>
      <c r="J22" s="516">
        <v>0</v>
      </c>
      <c r="K22" s="516">
        <v>0</v>
      </c>
      <c r="L22" s="516">
        <v>0</v>
      </c>
      <c r="M22" s="516"/>
      <c r="N22" s="516"/>
      <c r="O22" s="516"/>
      <c r="P22" s="516"/>
      <c r="Q22" s="516"/>
      <c r="R22" s="516"/>
      <c r="T22" s="516">
        <f t="shared" si="5"/>
        <v>0</v>
      </c>
      <c r="U22" s="516">
        <f t="shared" si="9"/>
        <v>0</v>
      </c>
    </row>
    <row r="23" spans="1:21" outlineLevel="1">
      <c r="A23" s="511" t="s">
        <v>480</v>
      </c>
      <c r="C23" s="516">
        <v>0</v>
      </c>
      <c r="D23" s="516">
        <v>0</v>
      </c>
      <c r="E23" s="516">
        <v>0</v>
      </c>
      <c r="F23" s="516">
        <v>0</v>
      </c>
      <c r="G23" s="516">
        <v>0</v>
      </c>
      <c r="H23" s="516">
        <v>0</v>
      </c>
      <c r="I23" s="516">
        <v>0</v>
      </c>
      <c r="J23" s="516">
        <v>0</v>
      </c>
      <c r="K23" s="516">
        <v>0</v>
      </c>
      <c r="L23" s="516">
        <v>0</v>
      </c>
      <c r="M23" s="516"/>
      <c r="N23" s="516"/>
      <c r="O23" s="516"/>
      <c r="P23" s="516"/>
      <c r="Q23" s="516"/>
      <c r="R23" s="516"/>
      <c r="T23" s="516">
        <f t="shared" si="5"/>
        <v>0</v>
      </c>
      <c r="U23" s="516">
        <f t="shared" si="9"/>
        <v>0</v>
      </c>
    </row>
    <row r="24" spans="1:21" outlineLevel="1">
      <c r="A24" s="511" t="s">
        <v>481</v>
      </c>
      <c r="C24" s="516">
        <v>0</v>
      </c>
      <c r="D24" s="516">
        <v>0</v>
      </c>
      <c r="E24" s="516">
        <v>0</v>
      </c>
      <c r="F24" s="516">
        <v>0</v>
      </c>
      <c r="G24" s="516">
        <v>0</v>
      </c>
      <c r="H24" s="516">
        <v>0</v>
      </c>
      <c r="I24" s="516">
        <v>0</v>
      </c>
      <c r="J24" s="516">
        <v>0</v>
      </c>
      <c r="K24" s="516">
        <v>0</v>
      </c>
      <c r="L24" s="516">
        <v>0</v>
      </c>
      <c r="M24" s="516"/>
      <c r="N24" s="516"/>
      <c r="O24" s="516"/>
      <c r="P24" s="516"/>
      <c r="Q24" s="516"/>
      <c r="R24" s="516"/>
      <c r="T24" s="516">
        <f t="shared" si="5"/>
        <v>0</v>
      </c>
      <c r="U24" s="516">
        <f t="shared" si="9"/>
        <v>0</v>
      </c>
    </row>
    <row r="25" spans="1:21" outlineLevel="1">
      <c r="A25" s="511" t="s">
        <v>474</v>
      </c>
      <c r="C25" s="516">
        <v>20908</v>
      </c>
      <c r="D25" s="516">
        <v>45931</v>
      </c>
      <c r="E25" s="516">
        <v>56920</v>
      </c>
      <c r="F25" s="516">
        <v>67644</v>
      </c>
      <c r="G25" s="516">
        <v>19294</v>
      </c>
      <c r="H25" s="516">
        <v>39975</v>
      </c>
      <c r="I25" s="516">
        <v>60395</v>
      </c>
      <c r="J25" s="516">
        <v>111633</v>
      </c>
      <c r="K25" s="516">
        <v>27967</v>
      </c>
      <c r="L25" s="516">
        <v>54857</v>
      </c>
      <c r="M25" s="516"/>
      <c r="N25" s="516"/>
      <c r="O25" s="516"/>
      <c r="P25" s="516"/>
      <c r="Q25" s="516"/>
      <c r="R25" s="516"/>
      <c r="T25" s="516">
        <f t="shared" si="5"/>
        <v>27967</v>
      </c>
      <c r="U25" s="516">
        <f t="shared" si="9"/>
        <v>26890</v>
      </c>
    </row>
    <row r="26" spans="1:21">
      <c r="A26" s="510"/>
      <c r="C26" s="510"/>
      <c r="D26" s="510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  <c r="T26" s="510"/>
      <c r="U26" s="510"/>
    </row>
    <row r="27" spans="1:21">
      <c r="A27" s="522" t="s">
        <v>482</v>
      </c>
      <c r="C27" s="513">
        <f t="shared" ref="C27" si="10">SUM(C29:C37)</f>
        <v>-330329</v>
      </c>
      <c r="D27" s="513">
        <f t="shared" ref="D27:H27" si="11">SUM(D29:D37)</f>
        <v>-661019</v>
      </c>
      <c r="E27" s="513">
        <f t="shared" si="11"/>
        <v>-890660</v>
      </c>
      <c r="F27" s="513">
        <f t="shared" si="11"/>
        <v>-1145729</v>
      </c>
      <c r="G27" s="513">
        <f t="shared" si="11"/>
        <v>-262443</v>
      </c>
      <c r="H27" s="513">
        <f t="shared" si="11"/>
        <v>-563709</v>
      </c>
      <c r="I27" s="513">
        <f>SUM(I29:I37)</f>
        <v>-870274</v>
      </c>
      <c r="J27" s="513">
        <f>SUM(J29:J37)</f>
        <v>-1231635</v>
      </c>
      <c r="K27" s="513">
        <f>SUM(K29:K37)</f>
        <v>-346691</v>
      </c>
      <c r="L27" s="513">
        <f>SUM(L29:L37)</f>
        <v>-689234</v>
      </c>
      <c r="M27" s="513"/>
      <c r="N27" s="513"/>
      <c r="O27" s="513"/>
      <c r="P27" s="513"/>
      <c r="Q27" s="513"/>
      <c r="R27" s="513"/>
      <c r="T27" s="513">
        <f>SUM(T29:T37)</f>
        <v>-346691</v>
      </c>
      <c r="U27" s="513">
        <f>SUM(U29:U37)</f>
        <v>-342543</v>
      </c>
    </row>
    <row r="28" spans="1:21">
      <c r="A28" s="509"/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T28" s="514"/>
      <c r="U28" s="514"/>
    </row>
    <row r="29" spans="1:21" outlineLevel="1">
      <c r="A29" s="511" t="s">
        <v>483</v>
      </c>
      <c r="C29" s="516">
        <v>-169058</v>
      </c>
      <c r="D29" s="516">
        <v>-325257</v>
      </c>
      <c r="E29" s="516">
        <v>-428417</v>
      </c>
      <c r="F29" s="516">
        <v>-549391</v>
      </c>
      <c r="G29" s="516">
        <v>-126714</v>
      </c>
      <c r="H29" s="516">
        <v>-270854</v>
      </c>
      <c r="I29" s="516">
        <v>-409511</v>
      </c>
      <c r="J29" s="516">
        <v>-579480</v>
      </c>
      <c r="K29" s="516">
        <v>-171838</v>
      </c>
      <c r="L29" s="516">
        <v>-332782</v>
      </c>
      <c r="M29" s="516"/>
      <c r="N29" s="516"/>
      <c r="O29" s="516"/>
      <c r="P29" s="516"/>
      <c r="Q29" s="516"/>
      <c r="R29" s="516"/>
      <c r="T29" s="516">
        <f t="shared" ref="T29:T37" si="12">K29</f>
        <v>-171838</v>
      </c>
      <c r="U29" s="516">
        <f t="shared" ref="U29:U37" si="13">L29-T29</f>
        <v>-160944</v>
      </c>
    </row>
    <row r="30" spans="1:21" outlineLevel="1">
      <c r="A30" s="511" t="s">
        <v>484</v>
      </c>
      <c r="C30" s="516">
        <v>-83730</v>
      </c>
      <c r="D30" s="516">
        <v>-140606</v>
      </c>
      <c r="E30" s="516">
        <v>-196833</v>
      </c>
      <c r="F30" s="516">
        <v>-260714</v>
      </c>
      <c r="G30" s="516">
        <v>-62940</v>
      </c>
      <c r="H30" s="516">
        <v>-123957</v>
      </c>
      <c r="I30" s="516">
        <v>-185882</v>
      </c>
      <c r="J30" s="516">
        <v>-267816</v>
      </c>
      <c r="K30" s="516">
        <v>-60213</v>
      </c>
      <c r="L30" s="516">
        <v>-135442</v>
      </c>
      <c r="M30" s="516"/>
      <c r="N30" s="516"/>
      <c r="O30" s="516"/>
      <c r="P30" s="516"/>
      <c r="Q30" s="516"/>
      <c r="R30" s="516"/>
      <c r="T30" s="516">
        <f t="shared" si="12"/>
        <v>-60213</v>
      </c>
      <c r="U30" s="516">
        <f t="shared" si="13"/>
        <v>-75229</v>
      </c>
    </row>
    <row r="31" spans="1:21" outlineLevel="1">
      <c r="A31" s="511" t="s">
        <v>485</v>
      </c>
      <c r="C31" s="516">
        <v>0</v>
      </c>
      <c r="D31" s="516">
        <v>0</v>
      </c>
      <c r="E31" s="516">
        <v>0</v>
      </c>
      <c r="F31" s="516">
        <v>0</v>
      </c>
      <c r="G31" s="516">
        <v>0</v>
      </c>
      <c r="H31" s="516">
        <v>0</v>
      </c>
      <c r="I31" s="516">
        <v>0</v>
      </c>
      <c r="J31" s="516">
        <v>0</v>
      </c>
      <c r="K31" s="516">
        <v>0</v>
      </c>
      <c r="L31" s="516">
        <v>0</v>
      </c>
      <c r="M31" s="516"/>
      <c r="N31" s="516"/>
      <c r="O31" s="516"/>
      <c r="P31" s="516"/>
      <c r="Q31" s="516"/>
      <c r="R31" s="516"/>
      <c r="T31" s="516">
        <f t="shared" si="12"/>
        <v>0</v>
      </c>
      <c r="U31" s="516">
        <f t="shared" si="13"/>
        <v>0</v>
      </c>
    </row>
    <row r="32" spans="1:21" outlineLevel="1">
      <c r="A32" s="511" t="s">
        <v>486</v>
      </c>
      <c r="C32" s="516">
        <v>0</v>
      </c>
      <c r="D32" s="516">
        <v>0</v>
      </c>
      <c r="E32" s="516">
        <v>0</v>
      </c>
      <c r="F32" s="516">
        <v>0</v>
      </c>
      <c r="G32" s="516">
        <v>0</v>
      </c>
      <c r="H32" s="516">
        <v>0</v>
      </c>
      <c r="I32" s="516">
        <v>0</v>
      </c>
      <c r="J32" s="516">
        <v>0</v>
      </c>
      <c r="K32" s="516">
        <v>0</v>
      </c>
      <c r="L32" s="516">
        <v>0</v>
      </c>
      <c r="M32" s="516"/>
      <c r="N32" s="516"/>
      <c r="O32" s="516"/>
      <c r="P32" s="516"/>
      <c r="Q32" s="516"/>
      <c r="R32" s="516"/>
      <c r="T32" s="516">
        <f t="shared" si="12"/>
        <v>0</v>
      </c>
      <c r="U32" s="516">
        <f t="shared" si="13"/>
        <v>0</v>
      </c>
    </row>
    <row r="33" spans="1:21" outlineLevel="1">
      <c r="A33" s="511" t="s">
        <v>487</v>
      </c>
      <c r="C33" s="516">
        <v>-4947</v>
      </c>
      <c r="D33" s="516">
        <v>-9789</v>
      </c>
      <c r="E33" s="516">
        <v>-14765</v>
      </c>
      <c r="F33" s="516">
        <v>-20374</v>
      </c>
      <c r="G33" s="516">
        <v>-5483</v>
      </c>
      <c r="H33" s="516">
        <v>-10623</v>
      </c>
      <c r="I33" s="516">
        <v>-16343</v>
      </c>
      <c r="J33" s="516">
        <v>-22141</v>
      </c>
      <c r="K33" s="516">
        <v>-5993</v>
      </c>
      <c r="L33" s="516">
        <v>-11888</v>
      </c>
      <c r="M33" s="516"/>
      <c r="N33" s="516"/>
      <c r="O33" s="516"/>
      <c r="P33" s="516"/>
      <c r="Q33" s="516"/>
      <c r="R33" s="516"/>
      <c r="T33" s="516">
        <f t="shared" si="12"/>
        <v>-5993</v>
      </c>
      <c r="U33" s="516">
        <f t="shared" si="13"/>
        <v>-5895</v>
      </c>
    </row>
    <row r="34" spans="1:21" outlineLevel="1">
      <c r="A34" s="511" t="s">
        <v>488</v>
      </c>
      <c r="C34" s="516">
        <v>-612</v>
      </c>
      <c r="D34" s="516">
        <v>-1250</v>
      </c>
      <c r="E34" s="516">
        <v>-1970</v>
      </c>
      <c r="F34" s="516">
        <v>-2662</v>
      </c>
      <c r="G34" s="516">
        <v>-692</v>
      </c>
      <c r="H34" s="516">
        <v>-1401</v>
      </c>
      <c r="I34" s="516">
        <v>-2160</v>
      </c>
      <c r="J34" s="516">
        <v>-2902</v>
      </c>
      <c r="K34" s="516">
        <v>-742</v>
      </c>
      <c r="L34" s="516">
        <v>-1585</v>
      </c>
      <c r="M34" s="516"/>
      <c r="N34" s="516"/>
      <c r="O34" s="516"/>
      <c r="P34" s="516"/>
      <c r="Q34" s="516"/>
      <c r="R34" s="516"/>
      <c r="T34" s="516">
        <f t="shared" si="12"/>
        <v>-742</v>
      </c>
      <c r="U34" s="516">
        <f t="shared" si="13"/>
        <v>-843</v>
      </c>
    </row>
    <row r="35" spans="1:21" outlineLevel="1">
      <c r="A35" s="511" t="s">
        <v>489</v>
      </c>
      <c r="C35" s="516">
        <v>-62615</v>
      </c>
      <c r="D35" s="516">
        <v>-124527</v>
      </c>
      <c r="E35" s="516">
        <v>-186085</v>
      </c>
      <c r="F35" s="516">
        <v>-247644</v>
      </c>
      <c r="G35" s="516">
        <v>-63377</v>
      </c>
      <c r="H35" s="516">
        <v>-148493</v>
      </c>
      <c r="I35" s="516">
        <v>-244558</v>
      </c>
      <c r="J35" s="516">
        <v>-340624</v>
      </c>
      <c r="K35" s="516">
        <v>-102720</v>
      </c>
      <c r="L35" s="516">
        <v>-197253</v>
      </c>
      <c r="M35" s="516"/>
      <c r="N35" s="516"/>
      <c r="O35" s="516"/>
      <c r="P35" s="516"/>
      <c r="Q35" s="516"/>
      <c r="R35" s="516"/>
      <c r="T35" s="516">
        <f t="shared" si="12"/>
        <v>-102720</v>
      </c>
      <c r="U35" s="516">
        <f t="shared" si="13"/>
        <v>-94533</v>
      </c>
    </row>
    <row r="36" spans="1:21" outlineLevel="1">
      <c r="A36" s="511" t="s">
        <v>490</v>
      </c>
      <c r="C36" s="516">
        <v>-369</v>
      </c>
      <c r="D36" s="516">
        <v>-572</v>
      </c>
      <c r="E36" s="516">
        <v>-729</v>
      </c>
      <c r="F36" s="516">
        <v>-904</v>
      </c>
      <c r="G36" s="516">
        <v>-283</v>
      </c>
      <c r="H36" s="516">
        <v>-471</v>
      </c>
      <c r="I36" s="516">
        <v>-678</v>
      </c>
      <c r="J36" s="516">
        <v>-899</v>
      </c>
      <c r="K36" s="516">
        <v>-258</v>
      </c>
      <c r="L36" s="516">
        <v>-509</v>
      </c>
      <c r="M36" s="516"/>
      <c r="N36" s="516"/>
      <c r="O36" s="516"/>
      <c r="P36" s="516"/>
      <c r="Q36" s="516"/>
      <c r="R36" s="516"/>
      <c r="T36" s="516">
        <f t="shared" si="12"/>
        <v>-258</v>
      </c>
      <c r="U36" s="516">
        <f t="shared" si="13"/>
        <v>-251</v>
      </c>
    </row>
    <row r="37" spans="1:21" outlineLevel="1">
      <c r="A37" s="511" t="s">
        <v>59</v>
      </c>
      <c r="C37" s="516">
        <v>-8998</v>
      </c>
      <c r="D37" s="516">
        <v>-59018</v>
      </c>
      <c r="E37" s="516">
        <v>-61861</v>
      </c>
      <c r="F37" s="516">
        <v>-64040</v>
      </c>
      <c r="G37" s="516">
        <v>-2954</v>
      </c>
      <c r="H37" s="516">
        <v>-7910</v>
      </c>
      <c r="I37" s="516">
        <v>-11142</v>
      </c>
      <c r="J37" s="516">
        <v>-17773</v>
      </c>
      <c r="K37" s="516">
        <v>-4927</v>
      </c>
      <c r="L37" s="516">
        <v>-9775</v>
      </c>
      <c r="M37" s="516"/>
      <c r="N37" s="516"/>
      <c r="O37" s="516"/>
      <c r="P37" s="516"/>
      <c r="Q37" s="516"/>
      <c r="R37" s="516"/>
      <c r="T37" s="516">
        <f t="shared" si="12"/>
        <v>-4927</v>
      </c>
      <c r="U37" s="516">
        <f t="shared" si="13"/>
        <v>-4848</v>
      </c>
    </row>
    <row r="38" spans="1:21">
      <c r="A38" s="510"/>
      <c r="C38" s="510"/>
      <c r="D38" s="510"/>
      <c r="E38" s="510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P38" s="510"/>
      <c r="Q38" s="510"/>
      <c r="R38" s="510"/>
      <c r="T38" s="510"/>
      <c r="U38" s="510"/>
    </row>
    <row r="39" spans="1:21">
      <c r="A39" s="522" t="s">
        <v>491</v>
      </c>
      <c r="C39" s="513">
        <f t="shared" ref="C39" si="14">C27+C6</f>
        <v>582091</v>
      </c>
      <c r="D39" s="513">
        <f t="shared" ref="D39:H39" si="15">D27+D6</f>
        <v>1203973</v>
      </c>
      <c r="E39" s="513">
        <f t="shared" si="15"/>
        <v>1827186</v>
      </c>
      <c r="F39" s="513">
        <f t="shared" si="15"/>
        <v>2556322</v>
      </c>
      <c r="G39" s="513">
        <f t="shared" si="15"/>
        <v>702872</v>
      </c>
      <c r="H39" s="513">
        <f t="shared" si="15"/>
        <v>1418188</v>
      </c>
      <c r="I39" s="513">
        <f>I27+I6</f>
        <v>2191048</v>
      </c>
      <c r="J39" s="513">
        <f>J27+J6</f>
        <v>3062974</v>
      </c>
      <c r="K39" s="513">
        <f>K27+K6</f>
        <v>721408</v>
      </c>
      <c r="L39" s="513">
        <f>L27+L6</f>
        <v>1456557</v>
      </c>
      <c r="M39" s="513"/>
      <c r="N39" s="513"/>
      <c r="O39" s="513"/>
      <c r="P39" s="513"/>
      <c r="Q39" s="513"/>
      <c r="R39" s="513"/>
      <c r="T39" s="513">
        <f>T27+T6</f>
        <v>721408</v>
      </c>
      <c r="U39" s="513">
        <f>U27+U6</f>
        <v>735149</v>
      </c>
    </row>
    <row r="40" spans="1:21">
      <c r="A40" s="510"/>
      <c r="C40" s="510"/>
      <c r="D40" s="510"/>
      <c r="E40" s="510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P40" s="510"/>
      <c r="Q40" s="510"/>
      <c r="R40" s="510"/>
      <c r="T40" s="510"/>
      <c r="U40" s="510"/>
    </row>
    <row r="41" spans="1:21">
      <c r="A41" s="509" t="s">
        <v>492</v>
      </c>
      <c r="C41" s="517">
        <f t="shared" ref="C41" si="16">SUM(C43:C48)</f>
        <v>-418272</v>
      </c>
      <c r="D41" s="517">
        <f t="shared" ref="D41:H41" si="17">SUM(D43:D48)</f>
        <v>-857706</v>
      </c>
      <c r="E41" s="517">
        <f t="shared" si="17"/>
        <v>-1318448</v>
      </c>
      <c r="F41" s="517">
        <f t="shared" si="17"/>
        <v>-1837564</v>
      </c>
      <c r="G41" s="517">
        <f t="shared" si="17"/>
        <v>-484274</v>
      </c>
      <c r="H41" s="517">
        <f t="shared" si="17"/>
        <v>-1032457</v>
      </c>
      <c r="I41" s="517">
        <f>SUM(I43:I48)</f>
        <v>-1572314</v>
      </c>
      <c r="J41" s="517">
        <f>SUM(J43:J48)</f>
        <v>-2249339</v>
      </c>
      <c r="K41" s="517">
        <f>SUM(K43:K48)</f>
        <v>-485779</v>
      </c>
      <c r="L41" s="517">
        <f>SUM(L43:L48)</f>
        <v>-979197</v>
      </c>
      <c r="M41" s="517"/>
      <c r="N41" s="517"/>
      <c r="O41" s="517"/>
      <c r="P41" s="517"/>
      <c r="Q41" s="517"/>
      <c r="R41" s="517"/>
      <c r="T41" s="517">
        <f>SUM(T43:T48)</f>
        <v>-485779</v>
      </c>
      <c r="U41" s="517">
        <f>SUM(U43:U48)</f>
        <v>-493418</v>
      </c>
    </row>
    <row r="42" spans="1:21">
      <c r="A42" s="509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T42" s="514"/>
      <c r="U42" s="514"/>
    </row>
    <row r="43" spans="1:21">
      <c r="A43" s="510" t="s">
        <v>493</v>
      </c>
      <c r="C43" s="515">
        <v>-319672</v>
      </c>
      <c r="D43" s="515">
        <v>-625069</v>
      </c>
      <c r="E43" s="515">
        <v>-938703</v>
      </c>
      <c r="F43" s="515">
        <v>-1277954</v>
      </c>
      <c r="G43" s="515">
        <v>-334591</v>
      </c>
      <c r="H43" s="515">
        <v>-664881</v>
      </c>
      <c r="I43" s="515">
        <v>-998819</v>
      </c>
      <c r="J43" s="515">
        <v>-1379405</v>
      </c>
      <c r="K43" s="515">
        <v>-326651</v>
      </c>
      <c r="L43" s="515">
        <v>-654323</v>
      </c>
      <c r="M43" s="515"/>
      <c r="N43" s="515"/>
      <c r="O43" s="515"/>
      <c r="P43" s="515"/>
      <c r="Q43" s="515"/>
      <c r="R43" s="515"/>
      <c r="T43" s="515">
        <f t="shared" ref="T43:T47" si="18">K43</f>
        <v>-326651</v>
      </c>
      <c r="U43" s="515">
        <f t="shared" ref="U43:U47" si="19">L43-T43</f>
        <v>-327672</v>
      </c>
    </row>
    <row r="44" spans="1:21">
      <c r="A44" s="510" t="s">
        <v>494</v>
      </c>
      <c r="C44" s="515">
        <v>-70196</v>
      </c>
      <c r="D44" s="515">
        <v>-174684</v>
      </c>
      <c r="E44" s="515">
        <v>-284629</v>
      </c>
      <c r="F44" s="515">
        <v>-426115</v>
      </c>
      <c r="G44" s="515">
        <v>-120198</v>
      </c>
      <c r="H44" s="515">
        <v>-288401</v>
      </c>
      <c r="I44" s="515">
        <v>-454369</v>
      </c>
      <c r="J44" s="515">
        <v>-671007</v>
      </c>
      <c r="K44" s="515">
        <v>-99137</v>
      </c>
      <c r="L44" s="515">
        <v>-230705</v>
      </c>
      <c r="M44" s="515"/>
      <c r="N44" s="515"/>
      <c r="O44" s="515"/>
      <c r="P44" s="515"/>
      <c r="Q44" s="515"/>
      <c r="R44" s="515"/>
      <c r="T44" s="515">
        <f t="shared" si="18"/>
        <v>-99137</v>
      </c>
      <c r="U44" s="515">
        <f t="shared" si="19"/>
        <v>-131568</v>
      </c>
    </row>
    <row r="45" spans="1:21">
      <c r="A45" s="510" t="s">
        <v>495</v>
      </c>
      <c r="C45" s="515">
        <v>0</v>
      </c>
      <c r="D45" s="515">
        <v>0</v>
      </c>
      <c r="E45" s="515">
        <v>0</v>
      </c>
      <c r="F45" s="515">
        <v>0</v>
      </c>
      <c r="G45" s="515">
        <v>0</v>
      </c>
      <c r="H45" s="515">
        <v>0</v>
      </c>
      <c r="I45" s="515">
        <v>0</v>
      </c>
      <c r="J45" s="515">
        <v>0</v>
      </c>
      <c r="K45" s="515">
        <v>0</v>
      </c>
      <c r="L45" s="515">
        <v>0</v>
      </c>
      <c r="M45" s="515"/>
      <c r="N45" s="515"/>
      <c r="O45" s="515"/>
      <c r="P45" s="515"/>
      <c r="Q45" s="515"/>
      <c r="R45" s="515"/>
      <c r="T45" s="515">
        <f t="shared" si="18"/>
        <v>0</v>
      </c>
      <c r="U45" s="515">
        <f t="shared" si="19"/>
        <v>0</v>
      </c>
    </row>
    <row r="46" spans="1:21">
      <c r="A46" s="510" t="s">
        <v>496</v>
      </c>
      <c r="C46" s="515">
        <v>0</v>
      </c>
      <c r="D46" s="515">
        <v>0</v>
      </c>
      <c r="E46" s="515">
        <v>0</v>
      </c>
      <c r="F46" s="515">
        <v>0</v>
      </c>
      <c r="G46" s="515">
        <v>0</v>
      </c>
      <c r="H46" s="515">
        <v>0</v>
      </c>
      <c r="I46" s="515">
        <v>0</v>
      </c>
      <c r="J46" s="515">
        <v>0</v>
      </c>
      <c r="K46" s="515">
        <v>0</v>
      </c>
      <c r="L46" s="515">
        <v>0</v>
      </c>
      <c r="M46" s="515"/>
      <c r="N46" s="515"/>
      <c r="O46" s="515"/>
      <c r="P46" s="515"/>
      <c r="Q46" s="515"/>
      <c r="R46" s="515"/>
      <c r="T46" s="515">
        <f t="shared" si="18"/>
        <v>0</v>
      </c>
      <c r="U46" s="515">
        <f t="shared" si="19"/>
        <v>0</v>
      </c>
    </row>
    <row r="47" spans="1:21">
      <c r="A47" s="510" t="s">
        <v>497</v>
      </c>
      <c r="C47" s="515">
        <v>0</v>
      </c>
      <c r="D47" s="515">
        <v>0</v>
      </c>
      <c r="E47" s="515">
        <v>0</v>
      </c>
      <c r="F47" s="515">
        <v>0</v>
      </c>
      <c r="G47" s="515">
        <v>0</v>
      </c>
      <c r="H47" s="515">
        <v>0</v>
      </c>
      <c r="I47" s="515">
        <v>0</v>
      </c>
      <c r="J47" s="515">
        <v>0</v>
      </c>
      <c r="K47" s="515">
        <v>0</v>
      </c>
      <c r="L47" s="515">
        <v>0</v>
      </c>
      <c r="M47" s="515"/>
      <c r="N47" s="515"/>
      <c r="O47" s="515"/>
      <c r="P47" s="515"/>
      <c r="Q47" s="515"/>
      <c r="R47" s="515"/>
      <c r="T47" s="515">
        <f t="shared" si="18"/>
        <v>0</v>
      </c>
      <c r="U47" s="515">
        <f t="shared" si="19"/>
        <v>0</v>
      </c>
    </row>
    <row r="48" spans="1:21">
      <c r="A48" s="510" t="s">
        <v>498</v>
      </c>
      <c r="C48" s="515">
        <f t="shared" ref="C48" si="20">SUM(C49:C55)</f>
        <v>-28404</v>
      </c>
      <c r="D48" s="515">
        <f t="shared" ref="D48:H48" si="21">SUM(D49:D55)</f>
        <v>-57953</v>
      </c>
      <c r="E48" s="515">
        <f t="shared" si="21"/>
        <v>-95116</v>
      </c>
      <c r="F48" s="515">
        <f t="shared" si="21"/>
        <v>-133495</v>
      </c>
      <c r="G48" s="515">
        <f t="shared" si="21"/>
        <v>-29485</v>
      </c>
      <c r="H48" s="515">
        <f t="shared" si="21"/>
        <v>-79175</v>
      </c>
      <c r="I48" s="515">
        <f>SUM(I49:I55)</f>
        <v>-119126</v>
      </c>
      <c r="J48" s="515">
        <f>SUM(J49:J55)</f>
        <v>-198927</v>
      </c>
      <c r="K48" s="515">
        <f>SUM(K49:K55)</f>
        <v>-59991</v>
      </c>
      <c r="L48" s="515">
        <f>SUM(L49:L55)</f>
        <v>-94169</v>
      </c>
      <c r="M48" s="515"/>
      <c r="N48" s="515"/>
      <c r="O48" s="515"/>
      <c r="P48" s="515"/>
      <c r="Q48" s="515"/>
      <c r="R48" s="515"/>
      <c r="T48" s="515">
        <f>SUM(T49:T55)</f>
        <v>-59991</v>
      </c>
      <c r="U48" s="515">
        <f>SUM(U49:U55)</f>
        <v>-34178</v>
      </c>
    </row>
    <row r="49" spans="1:21" outlineLevel="1">
      <c r="A49" s="511" t="s">
        <v>499</v>
      </c>
      <c r="C49" s="516">
        <v>-2375</v>
      </c>
      <c r="D49" s="516">
        <v>-5620</v>
      </c>
      <c r="E49" s="516">
        <v>-9333</v>
      </c>
      <c r="F49" s="516">
        <v>-8872</v>
      </c>
      <c r="G49" s="516">
        <v>-4721</v>
      </c>
      <c r="H49" s="516">
        <v>-8722</v>
      </c>
      <c r="I49" s="516">
        <v>-12520</v>
      </c>
      <c r="J49" s="516">
        <v>-16709</v>
      </c>
      <c r="K49" s="516">
        <v>-4106</v>
      </c>
      <c r="L49" s="516">
        <v>-7140</v>
      </c>
      <c r="M49" s="516"/>
      <c r="N49" s="516"/>
      <c r="O49" s="516"/>
      <c r="P49" s="516"/>
      <c r="Q49" s="516"/>
      <c r="R49" s="516"/>
      <c r="T49" s="516">
        <f t="shared" ref="T49:T55" si="22">K49</f>
        <v>-4106</v>
      </c>
      <c r="U49" s="516">
        <f t="shared" ref="U49:U55" si="23">L49-T49</f>
        <v>-3034</v>
      </c>
    </row>
    <row r="50" spans="1:21" outlineLevel="1">
      <c r="A50" s="511" t="s">
        <v>500</v>
      </c>
      <c r="C50" s="516">
        <v>-560</v>
      </c>
      <c r="D50" s="516">
        <v>-1477</v>
      </c>
      <c r="E50" s="516">
        <v>-2395</v>
      </c>
      <c r="F50" s="516">
        <v>-4206</v>
      </c>
      <c r="G50" s="516">
        <v>-1136</v>
      </c>
      <c r="H50" s="516">
        <v>-2583</v>
      </c>
      <c r="I50" s="516">
        <v>-3587</v>
      </c>
      <c r="J50" s="516">
        <v>-4391</v>
      </c>
      <c r="K50" s="516">
        <v>-1359</v>
      </c>
      <c r="L50" s="516">
        <v>-169</v>
      </c>
      <c r="M50" s="516"/>
      <c r="N50" s="516"/>
      <c r="O50" s="516"/>
      <c r="P50" s="516"/>
      <c r="Q50" s="516"/>
      <c r="R50" s="516"/>
      <c r="T50" s="516">
        <f t="shared" si="22"/>
        <v>-1359</v>
      </c>
      <c r="U50" s="516">
        <f t="shared" si="23"/>
        <v>1190</v>
      </c>
    </row>
    <row r="51" spans="1:21" outlineLevel="1">
      <c r="A51" s="511" t="s">
        <v>501</v>
      </c>
      <c r="C51" s="516">
        <v>-8859</v>
      </c>
      <c r="D51" s="516">
        <v>-20203</v>
      </c>
      <c r="E51" s="516">
        <v>-31674</v>
      </c>
      <c r="F51" s="516">
        <v>-48912</v>
      </c>
      <c r="G51" s="516">
        <v>-16720</v>
      </c>
      <c r="H51" s="516">
        <v>-41547</v>
      </c>
      <c r="I51" s="516">
        <v>-62302</v>
      </c>
      <c r="J51" s="516">
        <v>-86658</v>
      </c>
      <c r="K51" s="516">
        <v>-26791</v>
      </c>
      <c r="L51" s="516">
        <v>-31577</v>
      </c>
      <c r="M51" s="516"/>
      <c r="N51" s="516"/>
      <c r="O51" s="516"/>
      <c r="P51" s="516"/>
      <c r="Q51" s="516"/>
      <c r="R51" s="516"/>
      <c r="T51" s="516">
        <f t="shared" si="22"/>
        <v>-26791</v>
      </c>
      <c r="U51" s="516">
        <f t="shared" si="23"/>
        <v>-4786</v>
      </c>
    </row>
    <row r="52" spans="1:21" outlineLevel="1">
      <c r="A52" s="511" t="s">
        <v>502</v>
      </c>
      <c r="C52" s="516">
        <v>-16591</v>
      </c>
      <c r="D52" s="516">
        <v>-30486</v>
      </c>
      <c r="E52" s="516">
        <v>-51620</v>
      </c>
      <c r="F52" s="516">
        <v>-71669</v>
      </c>
      <c r="G52" s="516">
        <v>-7078</v>
      </c>
      <c r="H52" s="516">
        <v>-26646</v>
      </c>
      <c r="I52" s="516">
        <v>-41300</v>
      </c>
      <c r="J52" s="516">
        <v>-91840</v>
      </c>
      <c r="K52" s="516">
        <v>-27926</v>
      </c>
      <c r="L52" s="516">
        <v>-55768</v>
      </c>
      <c r="M52" s="516"/>
      <c r="N52" s="516"/>
      <c r="O52" s="516"/>
      <c r="P52" s="516"/>
      <c r="Q52" s="516"/>
      <c r="R52" s="516"/>
      <c r="T52" s="516">
        <f t="shared" si="22"/>
        <v>-27926</v>
      </c>
      <c r="U52" s="516">
        <f t="shared" si="23"/>
        <v>-27842</v>
      </c>
    </row>
    <row r="53" spans="1:21" outlineLevel="1">
      <c r="A53" s="511" t="s">
        <v>503</v>
      </c>
      <c r="C53" s="516">
        <v>0</v>
      </c>
      <c r="D53" s="516">
        <v>0</v>
      </c>
      <c r="E53" s="516">
        <v>0</v>
      </c>
      <c r="F53" s="516">
        <v>0</v>
      </c>
      <c r="G53" s="516">
        <v>0</v>
      </c>
      <c r="H53" s="516">
        <v>0</v>
      </c>
      <c r="I53" s="516">
        <v>0</v>
      </c>
      <c r="J53" s="516">
        <v>0</v>
      </c>
      <c r="K53" s="516">
        <v>0</v>
      </c>
      <c r="L53" s="516">
        <v>0</v>
      </c>
      <c r="M53" s="516"/>
      <c r="N53" s="516"/>
      <c r="O53" s="516"/>
      <c r="P53" s="516"/>
      <c r="Q53" s="516"/>
      <c r="R53" s="516"/>
      <c r="T53" s="516">
        <f t="shared" si="22"/>
        <v>0</v>
      </c>
      <c r="U53" s="516">
        <f t="shared" si="23"/>
        <v>0</v>
      </c>
    </row>
    <row r="54" spans="1:21" outlineLevel="1">
      <c r="A54" s="511" t="s">
        <v>504</v>
      </c>
      <c r="C54" s="516">
        <v>-18</v>
      </c>
      <c r="D54" s="516">
        <v>-181</v>
      </c>
      <c r="E54" s="516">
        <v>-288</v>
      </c>
      <c r="F54" s="516">
        <v>-388</v>
      </c>
      <c r="G54" s="516">
        <v>-28</v>
      </c>
      <c r="H54" s="516">
        <v>-53</v>
      </c>
      <c r="I54" s="516">
        <v>-79</v>
      </c>
      <c r="J54" s="516">
        <v>-106</v>
      </c>
      <c r="K54" s="516">
        <v>-43</v>
      </c>
      <c r="L54" s="516">
        <v>-90</v>
      </c>
      <c r="M54" s="516"/>
      <c r="N54" s="516"/>
      <c r="O54" s="516"/>
      <c r="P54" s="516"/>
      <c r="Q54" s="516"/>
      <c r="R54" s="516"/>
      <c r="T54" s="516">
        <f t="shared" si="22"/>
        <v>-43</v>
      </c>
      <c r="U54" s="516">
        <f t="shared" si="23"/>
        <v>-47</v>
      </c>
    </row>
    <row r="55" spans="1:21" outlineLevel="1">
      <c r="A55" s="511" t="s">
        <v>505</v>
      </c>
      <c r="C55" s="516">
        <v>-1</v>
      </c>
      <c r="D55" s="516">
        <v>14</v>
      </c>
      <c r="E55" s="516">
        <v>194</v>
      </c>
      <c r="F55" s="516">
        <v>552</v>
      </c>
      <c r="G55" s="516">
        <v>198</v>
      </c>
      <c r="H55" s="516">
        <v>376</v>
      </c>
      <c r="I55" s="516">
        <v>662</v>
      </c>
      <c r="J55" s="516">
        <v>777</v>
      </c>
      <c r="K55" s="516">
        <v>234</v>
      </c>
      <c r="L55" s="516">
        <v>575</v>
      </c>
      <c r="M55" s="516"/>
      <c r="N55" s="516"/>
      <c r="O55" s="516"/>
      <c r="P55" s="516"/>
      <c r="Q55" s="516"/>
      <c r="R55" s="516"/>
      <c r="T55" s="516">
        <f t="shared" si="22"/>
        <v>234</v>
      </c>
      <c r="U55" s="516">
        <f t="shared" si="23"/>
        <v>341</v>
      </c>
    </row>
    <row r="56" spans="1:21">
      <c r="A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0"/>
      <c r="T56" s="510"/>
      <c r="U56" s="510"/>
    </row>
    <row r="57" spans="1:21">
      <c r="A57" s="522" t="s">
        <v>506</v>
      </c>
      <c r="C57" s="513">
        <f t="shared" ref="C57" si="24">C39+C41</f>
        <v>163819</v>
      </c>
      <c r="D57" s="513">
        <f t="shared" ref="D57:H57" si="25">D39+D41</f>
        <v>346267</v>
      </c>
      <c r="E57" s="513">
        <f t="shared" si="25"/>
        <v>508738</v>
      </c>
      <c r="F57" s="513">
        <f t="shared" si="25"/>
        <v>718758</v>
      </c>
      <c r="G57" s="513">
        <f t="shared" si="25"/>
        <v>218598</v>
      </c>
      <c r="H57" s="513">
        <f t="shared" si="25"/>
        <v>385731</v>
      </c>
      <c r="I57" s="513">
        <f>I39+I41</f>
        <v>618734</v>
      </c>
      <c r="J57" s="513">
        <f>J39+J41</f>
        <v>813635</v>
      </c>
      <c r="K57" s="513">
        <f>K39+K41</f>
        <v>235629</v>
      </c>
      <c r="L57" s="513">
        <f>L39+L41</f>
        <v>477360</v>
      </c>
      <c r="M57" s="513"/>
      <c r="N57" s="513"/>
      <c r="O57" s="513"/>
      <c r="P57" s="513"/>
      <c r="Q57" s="513"/>
      <c r="R57" s="513"/>
      <c r="T57" s="513">
        <f>T39+T41</f>
        <v>235629</v>
      </c>
      <c r="U57" s="513">
        <f>U39+U41</f>
        <v>241731</v>
      </c>
    </row>
    <row r="58" spans="1:21">
      <c r="A58" s="510"/>
      <c r="C58" s="510"/>
      <c r="D58" s="510"/>
      <c r="E58" s="510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P58" s="510"/>
      <c r="Q58" s="510"/>
      <c r="R58" s="510"/>
      <c r="T58" s="510"/>
      <c r="U58" s="510"/>
    </row>
    <row r="59" spans="1:21">
      <c r="A59" s="509" t="s">
        <v>507</v>
      </c>
      <c r="C59" s="517">
        <f t="shared" ref="C59" si="26">C61+C67+C68+C77+C78</f>
        <v>-73631</v>
      </c>
      <c r="D59" s="517">
        <f t="shared" ref="D59:H59" si="27">D61+D67+D68+D77+D78</f>
        <v>-138133</v>
      </c>
      <c r="E59" s="517">
        <f t="shared" si="27"/>
        <v>-216470</v>
      </c>
      <c r="F59" s="517">
        <f t="shared" si="27"/>
        <v>-323798</v>
      </c>
      <c r="G59" s="517">
        <f t="shared" si="27"/>
        <v>-69415</v>
      </c>
      <c r="H59" s="517">
        <f t="shared" si="27"/>
        <v>-105742</v>
      </c>
      <c r="I59" s="517">
        <f>I61+I67+I68+I77+I78</f>
        <v>-174395</v>
      </c>
      <c r="J59" s="517">
        <f>J61+J67+J68+J77+J78</f>
        <v>-250601</v>
      </c>
      <c r="K59" s="517">
        <f>K61+K67+K68+K77+K78</f>
        <v>-64661</v>
      </c>
      <c r="L59" s="517">
        <f>L61+L67+L68+L77+L78</f>
        <v>-137248</v>
      </c>
      <c r="M59" s="517"/>
      <c r="N59" s="517"/>
      <c r="O59" s="517"/>
      <c r="P59" s="517"/>
      <c r="Q59" s="517"/>
      <c r="R59" s="517"/>
      <c r="T59" s="517">
        <f>T61+T67+T68+T77+T78</f>
        <v>-64661</v>
      </c>
      <c r="U59" s="517">
        <f>U61+U67+U68+U77+U78</f>
        <v>-72587</v>
      </c>
    </row>
    <row r="60" spans="1:21">
      <c r="A60" s="509"/>
      <c r="C60" s="514"/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514"/>
      <c r="R60" s="514"/>
      <c r="T60" s="514"/>
      <c r="U60" s="514"/>
    </row>
    <row r="61" spans="1:21">
      <c r="A61" s="512" t="s">
        <v>508</v>
      </c>
      <c r="C61" s="515">
        <f t="shared" ref="C61" si="28">SUM(C62:C66)</f>
        <v>-26024</v>
      </c>
      <c r="D61" s="515">
        <f t="shared" ref="D61:H61" si="29">SUM(D62:D66)</f>
        <v>-52184</v>
      </c>
      <c r="E61" s="515">
        <f t="shared" si="29"/>
        <v>-85683</v>
      </c>
      <c r="F61" s="515">
        <f t="shared" si="29"/>
        <v>-123721</v>
      </c>
      <c r="G61" s="515">
        <f t="shared" si="29"/>
        <v>-28087</v>
      </c>
      <c r="H61" s="515">
        <f t="shared" si="29"/>
        <v>-44480</v>
      </c>
      <c r="I61" s="515">
        <f>SUM(I62:I66)</f>
        <v>-66869</v>
      </c>
      <c r="J61" s="515">
        <f>SUM(J62:J66)</f>
        <v>-92460</v>
      </c>
      <c r="K61" s="515">
        <f t="shared" ref="K61:L61" si="30">SUM(K62:K66)</f>
        <v>-22534</v>
      </c>
      <c r="L61" s="515">
        <f t="shared" si="30"/>
        <v>-70296</v>
      </c>
      <c r="M61" s="515"/>
      <c r="N61" s="515"/>
      <c r="O61" s="515"/>
      <c r="P61" s="515"/>
      <c r="Q61" s="515"/>
      <c r="R61" s="515"/>
      <c r="T61" s="515">
        <f t="shared" ref="T61:U61" si="31">SUM(T62:T66)</f>
        <v>-22534</v>
      </c>
      <c r="U61" s="515">
        <f t="shared" si="31"/>
        <v>-47762</v>
      </c>
    </row>
    <row r="62" spans="1:21" outlineLevel="1">
      <c r="A62" s="511" t="s">
        <v>509</v>
      </c>
      <c r="C62" s="516">
        <v>-4395</v>
      </c>
      <c r="D62" s="516">
        <v>-9513</v>
      </c>
      <c r="E62" s="516">
        <v>-13999</v>
      </c>
      <c r="F62" s="516">
        <v>-19555</v>
      </c>
      <c r="G62" s="516">
        <v>-4504</v>
      </c>
      <c r="H62" s="516">
        <v>-7777</v>
      </c>
      <c r="I62" s="516">
        <v>-10805</v>
      </c>
      <c r="J62" s="516">
        <v>-14325</v>
      </c>
      <c r="K62" s="516">
        <v>-2953</v>
      </c>
      <c r="L62" s="516">
        <v>-9248</v>
      </c>
      <c r="M62" s="516"/>
      <c r="N62" s="516"/>
      <c r="O62" s="516"/>
      <c r="P62" s="516"/>
      <c r="Q62" s="516"/>
      <c r="R62" s="516"/>
      <c r="T62" s="516">
        <f t="shared" ref="T62:T67" si="32">K62</f>
        <v>-2953</v>
      </c>
      <c r="U62" s="516">
        <f t="shared" ref="U62:U67" si="33">L62-T62</f>
        <v>-6295</v>
      </c>
    </row>
    <row r="63" spans="1:21" outlineLevel="1">
      <c r="A63" s="511" t="s">
        <v>510</v>
      </c>
      <c r="C63" s="516">
        <v>-602</v>
      </c>
      <c r="D63" s="516">
        <v>-1670</v>
      </c>
      <c r="E63" s="516">
        <v>-3246</v>
      </c>
      <c r="F63" s="516">
        <v>-4479</v>
      </c>
      <c r="G63" s="516">
        <v>-1130</v>
      </c>
      <c r="H63" s="516">
        <v>-2321</v>
      </c>
      <c r="I63" s="516">
        <v>-3639</v>
      </c>
      <c r="J63" s="516">
        <v>-5043</v>
      </c>
      <c r="K63" s="516">
        <v>-1476</v>
      </c>
      <c r="L63" s="516">
        <v>-6928</v>
      </c>
      <c r="M63" s="516"/>
      <c r="N63" s="516"/>
      <c r="O63" s="516"/>
      <c r="P63" s="516"/>
      <c r="Q63" s="516"/>
      <c r="R63" s="516"/>
      <c r="T63" s="516">
        <f t="shared" si="32"/>
        <v>-1476</v>
      </c>
      <c r="U63" s="516">
        <f t="shared" si="33"/>
        <v>-5452</v>
      </c>
    </row>
    <row r="64" spans="1:21" outlineLevel="1">
      <c r="A64" s="511" t="s">
        <v>511</v>
      </c>
      <c r="C64" s="516">
        <v>-20429</v>
      </c>
      <c r="D64" s="516">
        <v>-40057</v>
      </c>
      <c r="E64" s="516">
        <v>-67052</v>
      </c>
      <c r="F64" s="516">
        <v>-98031</v>
      </c>
      <c r="G64" s="516">
        <v>-22160</v>
      </c>
      <c r="H64" s="516">
        <v>-33841</v>
      </c>
      <c r="I64" s="516">
        <v>-51713</v>
      </c>
      <c r="J64" s="516">
        <v>-72029</v>
      </c>
      <c r="K64" s="516">
        <v>-17827</v>
      </c>
      <c r="L64" s="516">
        <v>-53070</v>
      </c>
      <c r="M64" s="516"/>
      <c r="N64" s="516"/>
      <c r="O64" s="516"/>
      <c r="P64" s="516"/>
      <c r="Q64" s="516"/>
      <c r="R64" s="516"/>
      <c r="T64" s="516">
        <f t="shared" si="32"/>
        <v>-17827</v>
      </c>
      <c r="U64" s="516">
        <f t="shared" si="33"/>
        <v>-35243</v>
      </c>
    </row>
    <row r="65" spans="1:21" outlineLevel="1">
      <c r="A65" s="511" t="s">
        <v>512</v>
      </c>
      <c r="C65" s="516">
        <v>-228</v>
      </c>
      <c r="D65" s="516">
        <v>-419</v>
      </c>
      <c r="E65" s="516">
        <v>-801</v>
      </c>
      <c r="F65" s="516">
        <v>-1132</v>
      </c>
      <c r="G65" s="516">
        <v>-305</v>
      </c>
      <c r="H65" s="516">
        <v>-604</v>
      </c>
      <c r="I65" s="516">
        <v>-896</v>
      </c>
      <c r="J65" s="516">
        <v>-1211</v>
      </c>
      <c r="K65" s="516">
        <v>-237</v>
      </c>
      <c r="L65" s="516">
        <v>-660</v>
      </c>
      <c r="M65" s="516"/>
      <c r="N65" s="516"/>
      <c r="O65" s="516"/>
      <c r="P65" s="516"/>
      <c r="Q65" s="516"/>
      <c r="R65" s="516"/>
      <c r="T65" s="516">
        <f t="shared" si="32"/>
        <v>-237</v>
      </c>
      <c r="U65" s="516">
        <f t="shared" si="33"/>
        <v>-423</v>
      </c>
    </row>
    <row r="66" spans="1:21" outlineLevel="1">
      <c r="A66" s="511" t="s">
        <v>513</v>
      </c>
      <c r="C66" s="516">
        <v>-370</v>
      </c>
      <c r="D66" s="516">
        <v>-525</v>
      </c>
      <c r="E66" s="516">
        <v>-585</v>
      </c>
      <c r="F66" s="516">
        <v>-524</v>
      </c>
      <c r="G66" s="516">
        <v>12</v>
      </c>
      <c r="H66" s="516">
        <v>63</v>
      </c>
      <c r="I66" s="516">
        <v>184</v>
      </c>
      <c r="J66" s="516">
        <v>148</v>
      </c>
      <c r="K66" s="516">
        <v>-41</v>
      </c>
      <c r="L66" s="516">
        <v>-390</v>
      </c>
      <c r="M66" s="516"/>
      <c r="N66" s="516"/>
      <c r="O66" s="516"/>
      <c r="P66" s="516"/>
      <c r="Q66" s="516"/>
      <c r="R66" s="516"/>
      <c r="T66" s="516">
        <f t="shared" si="32"/>
        <v>-41</v>
      </c>
      <c r="U66" s="516">
        <f t="shared" si="33"/>
        <v>-349</v>
      </c>
    </row>
    <row r="67" spans="1:21">
      <c r="A67" s="510" t="s">
        <v>514</v>
      </c>
      <c r="C67" s="518">
        <v>-15467</v>
      </c>
      <c r="D67" s="518">
        <v>-20090</v>
      </c>
      <c r="E67" s="518">
        <v>-35044</v>
      </c>
      <c r="F67" s="518">
        <v>-48348</v>
      </c>
      <c r="G67" s="518">
        <v>-12595</v>
      </c>
      <c r="H67" s="518">
        <v>-11796</v>
      </c>
      <c r="I67" s="518">
        <v>-15780</v>
      </c>
      <c r="J67" s="518">
        <v>-23456</v>
      </c>
      <c r="K67" s="518">
        <v>-7082</v>
      </c>
      <c r="L67" s="518">
        <v>-9019</v>
      </c>
      <c r="M67" s="518"/>
      <c r="N67" s="518"/>
      <c r="O67" s="518"/>
      <c r="P67" s="518"/>
      <c r="Q67" s="518"/>
      <c r="R67" s="518"/>
      <c r="T67" s="518">
        <f t="shared" si="32"/>
        <v>-7082</v>
      </c>
      <c r="U67" s="518">
        <f t="shared" si="33"/>
        <v>-1937</v>
      </c>
    </row>
    <row r="68" spans="1:21">
      <c r="A68" s="510" t="s">
        <v>515</v>
      </c>
      <c r="C68" s="515">
        <f t="shared" ref="C68" si="34">SUM(C69:C76)</f>
        <v>-30745</v>
      </c>
      <c r="D68" s="515">
        <f t="shared" ref="D68:H68" si="35">SUM(D69:D76)</f>
        <v>-58843</v>
      </c>
      <c r="E68" s="515">
        <f t="shared" si="35"/>
        <v>-73299</v>
      </c>
      <c r="F68" s="515">
        <f t="shared" si="35"/>
        <v>-123852</v>
      </c>
      <c r="G68" s="515">
        <f t="shared" si="35"/>
        <v>-18876</v>
      </c>
      <c r="H68" s="515">
        <f t="shared" si="35"/>
        <v>-37325</v>
      </c>
      <c r="I68" s="515">
        <f>SUM(I69:I76)</f>
        <v>-68398</v>
      </c>
      <c r="J68" s="515">
        <f>SUM(J69:J76)</f>
        <v>-87650</v>
      </c>
      <c r="K68" s="515">
        <f>SUM(K69:K76)</f>
        <v>-21480</v>
      </c>
      <c r="L68" s="515">
        <f>SUM(L69:L76)</f>
        <v>-45625</v>
      </c>
      <c r="M68" s="515"/>
      <c r="N68" s="515"/>
      <c r="O68" s="515"/>
      <c r="P68" s="515"/>
      <c r="Q68" s="515"/>
      <c r="R68" s="515"/>
      <c r="T68" s="515">
        <f>SUM(T69:T76)</f>
        <v>-21480</v>
      </c>
      <c r="U68" s="515">
        <f>SUM(U69:U76)</f>
        <v>-24145</v>
      </c>
    </row>
    <row r="69" spans="1:21" outlineLevel="1">
      <c r="A69" s="511" t="s">
        <v>516</v>
      </c>
      <c r="C69" s="516">
        <v>-10812</v>
      </c>
      <c r="D69" s="516">
        <v>-19265</v>
      </c>
      <c r="E69" s="516">
        <v>-29618</v>
      </c>
      <c r="F69" s="516">
        <v>-46711</v>
      </c>
      <c r="G69" s="516">
        <v>-9984</v>
      </c>
      <c r="H69" s="516">
        <v>-23448</v>
      </c>
      <c r="I69" s="516">
        <v>-37603</v>
      </c>
      <c r="J69" s="516">
        <v>-42037</v>
      </c>
      <c r="K69" s="516">
        <v>-7728</v>
      </c>
      <c r="L69" s="516">
        <v>-18014</v>
      </c>
      <c r="M69" s="516"/>
      <c r="N69" s="516"/>
      <c r="O69" s="516"/>
      <c r="P69" s="516"/>
      <c r="Q69" s="516"/>
      <c r="R69" s="516"/>
      <c r="T69" s="516">
        <f t="shared" ref="T69:T77" si="36">K69</f>
        <v>-7728</v>
      </c>
      <c r="U69" s="516">
        <f t="shared" ref="U69:U77" si="37">L69-T69</f>
        <v>-10286</v>
      </c>
    </row>
    <row r="70" spans="1:21" outlineLevel="1">
      <c r="A70" s="511" t="s">
        <v>517</v>
      </c>
      <c r="C70" s="516">
        <v>-3641</v>
      </c>
      <c r="D70" s="516">
        <v>-3950</v>
      </c>
      <c r="E70" s="516">
        <v>-3799</v>
      </c>
      <c r="F70" s="516">
        <v>-4329</v>
      </c>
      <c r="G70" s="516">
        <v>-133</v>
      </c>
      <c r="H70" s="516">
        <v>810</v>
      </c>
      <c r="I70" s="516">
        <v>1380</v>
      </c>
      <c r="J70" s="516">
        <v>-371</v>
      </c>
      <c r="K70" s="516">
        <v>463</v>
      </c>
      <c r="L70" s="516">
        <v>185</v>
      </c>
      <c r="M70" s="516"/>
      <c r="N70" s="516"/>
      <c r="O70" s="516"/>
      <c r="P70" s="516"/>
      <c r="Q70" s="516"/>
      <c r="R70" s="516"/>
      <c r="T70" s="516">
        <f t="shared" si="36"/>
        <v>463</v>
      </c>
      <c r="U70" s="516">
        <f t="shared" si="37"/>
        <v>-278</v>
      </c>
    </row>
    <row r="71" spans="1:21" outlineLevel="1">
      <c r="A71" s="511" t="s">
        <v>518</v>
      </c>
      <c r="C71" s="516">
        <v>-10882</v>
      </c>
      <c r="D71" s="516">
        <v>-22761</v>
      </c>
      <c r="E71" s="516">
        <v>-26251</v>
      </c>
      <c r="F71" s="516">
        <v>-52898</v>
      </c>
      <c r="G71" s="516">
        <v>-4380</v>
      </c>
      <c r="H71" s="516">
        <v>-6118</v>
      </c>
      <c r="I71" s="516">
        <v>-13700</v>
      </c>
      <c r="J71" s="516">
        <v>-17549</v>
      </c>
      <c r="K71" s="516">
        <v>-7415</v>
      </c>
      <c r="L71" s="516">
        <v>-15022</v>
      </c>
      <c r="M71" s="516"/>
      <c r="N71" s="516"/>
      <c r="O71" s="516"/>
      <c r="P71" s="516"/>
      <c r="Q71" s="516"/>
      <c r="R71" s="516"/>
      <c r="T71" s="516">
        <f t="shared" si="36"/>
        <v>-7415</v>
      </c>
      <c r="U71" s="516">
        <f t="shared" si="37"/>
        <v>-7607</v>
      </c>
    </row>
    <row r="72" spans="1:21" outlineLevel="1">
      <c r="A72" s="511" t="s">
        <v>519</v>
      </c>
      <c r="C72" s="516">
        <v>-101</v>
      </c>
      <c r="D72" s="516">
        <v>-85</v>
      </c>
      <c r="E72" s="516">
        <v>60</v>
      </c>
      <c r="F72" s="516">
        <v>19</v>
      </c>
      <c r="G72" s="516">
        <v>-66</v>
      </c>
      <c r="H72" s="516">
        <v>-274</v>
      </c>
      <c r="I72" s="516">
        <v>-390</v>
      </c>
      <c r="J72" s="516">
        <v>-508</v>
      </c>
      <c r="K72" s="516">
        <v>-60</v>
      </c>
      <c r="L72" s="516">
        <v>-215</v>
      </c>
      <c r="M72" s="516"/>
      <c r="N72" s="516"/>
      <c r="O72" s="516"/>
      <c r="P72" s="516"/>
      <c r="Q72" s="516"/>
      <c r="R72" s="516"/>
      <c r="T72" s="516">
        <f t="shared" si="36"/>
        <v>-60</v>
      </c>
      <c r="U72" s="516">
        <f t="shared" si="37"/>
        <v>-155</v>
      </c>
    </row>
    <row r="73" spans="1:21" outlineLevel="1">
      <c r="A73" s="511" t="s">
        <v>520</v>
      </c>
      <c r="C73" s="516">
        <v>-183</v>
      </c>
      <c r="D73" s="516">
        <v>998</v>
      </c>
      <c r="E73" s="516">
        <v>1782</v>
      </c>
      <c r="F73" s="516">
        <v>3516</v>
      </c>
      <c r="G73" s="516">
        <v>226</v>
      </c>
      <c r="H73" s="516">
        <v>1391</v>
      </c>
      <c r="I73" s="516">
        <v>2521</v>
      </c>
      <c r="J73" s="516">
        <v>3769</v>
      </c>
      <c r="K73" s="516">
        <v>-126</v>
      </c>
      <c r="L73" s="516">
        <v>627</v>
      </c>
      <c r="M73" s="516"/>
      <c r="N73" s="516"/>
      <c r="O73" s="516"/>
      <c r="P73" s="516"/>
      <c r="Q73" s="516"/>
      <c r="R73" s="516"/>
      <c r="T73" s="516">
        <f t="shared" si="36"/>
        <v>-126</v>
      </c>
      <c r="U73" s="516">
        <f t="shared" si="37"/>
        <v>753</v>
      </c>
    </row>
    <row r="74" spans="1:21" outlineLevel="1">
      <c r="A74" s="511" t="s">
        <v>521</v>
      </c>
      <c r="C74" s="516">
        <v>-2698</v>
      </c>
      <c r="D74" s="516">
        <v>-5664</v>
      </c>
      <c r="E74" s="516">
        <v>-8529</v>
      </c>
      <c r="F74" s="516">
        <v>-11881</v>
      </c>
      <c r="G74" s="516">
        <v>-2061</v>
      </c>
      <c r="H74" s="516">
        <v>-4876</v>
      </c>
      <c r="I74" s="516">
        <v>-6811</v>
      </c>
      <c r="J74" s="516">
        <v>-9075</v>
      </c>
      <c r="K74" s="516">
        <v>-2983</v>
      </c>
      <c r="L74" s="516">
        <v>-6233</v>
      </c>
      <c r="M74" s="516"/>
      <c r="N74" s="516"/>
      <c r="O74" s="516"/>
      <c r="P74" s="516"/>
      <c r="Q74" s="516"/>
      <c r="R74" s="516"/>
      <c r="T74" s="516">
        <f t="shared" si="36"/>
        <v>-2983</v>
      </c>
      <c r="U74" s="516">
        <f t="shared" si="37"/>
        <v>-3250</v>
      </c>
    </row>
    <row r="75" spans="1:21" outlineLevel="1">
      <c r="A75" s="511" t="s">
        <v>522</v>
      </c>
      <c r="C75" s="516">
        <v>-2428</v>
      </c>
      <c r="D75" s="516">
        <v>-8116</v>
      </c>
      <c r="E75" s="516">
        <v>-6944</v>
      </c>
      <c r="F75" s="516">
        <v>-11568</v>
      </c>
      <c r="G75" s="516">
        <v>-2478</v>
      </c>
      <c r="H75" s="516">
        <v>-4810</v>
      </c>
      <c r="I75" s="516">
        <v>-13795</v>
      </c>
      <c r="J75" s="516">
        <v>-21879</v>
      </c>
      <c r="K75" s="516">
        <v>-3631</v>
      </c>
      <c r="L75" s="516">
        <v>-6953</v>
      </c>
      <c r="M75" s="516"/>
      <c r="N75" s="516"/>
      <c r="O75" s="516"/>
      <c r="P75" s="516"/>
      <c r="Q75" s="516"/>
      <c r="R75" s="516"/>
      <c r="T75" s="516">
        <f t="shared" si="36"/>
        <v>-3631</v>
      </c>
      <c r="U75" s="516">
        <f t="shared" si="37"/>
        <v>-3322</v>
      </c>
    </row>
    <row r="76" spans="1:21" outlineLevel="1">
      <c r="A76" s="511" t="s">
        <v>523</v>
      </c>
      <c r="C76" s="516">
        <v>0</v>
      </c>
      <c r="D76" s="516">
        <v>0</v>
      </c>
      <c r="E76" s="516">
        <v>0</v>
      </c>
      <c r="F76" s="516">
        <v>0</v>
      </c>
      <c r="G76" s="516">
        <v>0</v>
      </c>
      <c r="H76" s="516">
        <v>0</v>
      </c>
      <c r="I76" s="516">
        <v>0</v>
      </c>
      <c r="J76" s="516">
        <v>0</v>
      </c>
      <c r="K76" s="516">
        <v>0</v>
      </c>
      <c r="L76" s="516">
        <v>0</v>
      </c>
      <c r="M76" s="516"/>
      <c r="N76" s="516"/>
      <c r="O76" s="516"/>
      <c r="P76" s="516"/>
      <c r="Q76" s="516"/>
      <c r="R76" s="516"/>
      <c r="T76" s="516">
        <f t="shared" si="36"/>
        <v>0</v>
      </c>
      <c r="U76" s="516">
        <f t="shared" si="37"/>
        <v>0</v>
      </c>
    </row>
    <row r="77" spans="1:21">
      <c r="A77" s="510" t="s">
        <v>524</v>
      </c>
      <c r="C77" s="515">
        <v>0</v>
      </c>
      <c r="D77" s="515">
        <v>0</v>
      </c>
      <c r="E77" s="515">
        <v>0</v>
      </c>
      <c r="F77" s="515">
        <v>0</v>
      </c>
      <c r="G77" s="515">
        <v>0</v>
      </c>
      <c r="H77" s="515">
        <v>0</v>
      </c>
      <c r="I77" s="515">
        <v>0</v>
      </c>
      <c r="J77" s="515">
        <v>0</v>
      </c>
      <c r="K77" s="515">
        <v>0</v>
      </c>
      <c r="L77" s="515">
        <v>0</v>
      </c>
      <c r="M77" s="515"/>
      <c r="N77" s="515"/>
      <c r="O77" s="515"/>
      <c r="P77" s="515"/>
      <c r="Q77" s="515"/>
      <c r="R77" s="515"/>
      <c r="T77" s="515">
        <f t="shared" si="36"/>
        <v>0</v>
      </c>
      <c r="U77" s="515">
        <f t="shared" si="37"/>
        <v>0</v>
      </c>
    </row>
    <row r="78" spans="1:21">
      <c r="A78" s="510" t="s">
        <v>525</v>
      </c>
      <c r="C78" s="515">
        <f t="shared" ref="C78:J78" si="38">SUM(C79:C81)</f>
        <v>-1395</v>
      </c>
      <c r="D78" s="515">
        <f t="shared" si="38"/>
        <v>-7016</v>
      </c>
      <c r="E78" s="515">
        <f t="shared" si="38"/>
        <v>-22444</v>
      </c>
      <c r="F78" s="515">
        <f t="shared" si="38"/>
        <v>-27877</v>
      </c>
      <c r="G78" s="515">
        <f t="shared" si="38"/>
        <v>-9857</v>
      </c>
      <c r="H78" s="515">
        <f t="shared" si="38"/>
        <v>-12141</v>
      </c>
      <c r="I78" s="515">
        <f t="shared" si="38"/>
        <v>-23348</v>
      </c>
      <c r="J78" s="515">
        <f t="shared" si="38"/>
        <v>-47035</v>
      </c>
      <c r="K78" s="515">
        <f>SUM(K79:K81)</f>
        <v>-13565</v>
      </c>
      <c r="L78" s="515">
        <f>SUM(L79:L81)</f>
        <v>-12308</v>
      </c>
      <c r="M78" s="515"/>
      <c r="N78" s="515"/>
      <c r="O78" s="515"/>
      <c r="P78" s="515"/>
      <c r="Q78" s="515"/>
      <c r="R78" s="515"/>
      <c r="T78" s="515">
        <f t="shared" ref="T78:U78" si="39">SUM(T79:T81)</f>
        <v>-13565</v>
      </c>
      <c r="U78" s="515">
        <f t="shared" si="39"/>
        <v>1257</v>
      </c>
    </row>
    <row r="79" spans="1:21" outlineLevel="1">
      <c r="A79" s="511" t="s">
        <v>526</v>
      </c>
      <c r="C79" s="516">
        <v>-1048</v>
      </c>
      <c r="D79" s="516">
        <v>-2571</v>
      </c>
      <c r="E79" s="516">
        <v>-4472</v>
      </c>
      <c r="F79" s="516">
        <v>-8143</v>
      </c>
      <c r="G79" s="516">
        <v>-1080</v>
      </c>
      <c r="H79" s="516">
        <v>-2288</v>
      </c>
      <c r="I79" s="516">
        <v>-3704</v>
      </c>
      <c r="J79" s="516">
        <v>-11221</v>
      </c>
      <c r="K79" s="516">
        <v>-1543</v>
      </c>
      <c r="L79" s="516">
        <v>-3475</v>
      </c>
      <c r="M79" s="516"/>
      <c r="N79" s="516"/>
      <c r="O79" s="516"/>
      <c r="P79" s="516"/>
      <c r="Q79" s="516"/>
      <c r="R79" s="516"/>
      <c r="T79" s="516">
        <f t="shared" ref="T79:T80" si="40">K79</f>
        <v>-1543</v>
      </c>
      <c r="U79" s="516">
        <f t="shared" ref="U79:U81" si="41">L79-T79</f>
        <v>-1932</v>
      </c>
    </row>
    <row r="80" spans="1:21" outlineLevel="1">
      <c r="A80" s="511" t="s">
        <v>527</v>
      </c>
      <c r="C80" s="516">
        <v>-347</v>
      </c>
      <c r="D80" s="516">
        <v>-4445</v>
      </c>
      <c r="E80" s="516">
        <v>-17972</v>
      </c>
      <c r="F80" s="516">
        <v>-19734</v>
      </c>
      <c r="G80" s="516">
        <v>-8777</v>
      </c>
      <c r="H80" s="516">
        <v>-9853</v>
      </c>
      <c r="I80" s="516">
        <v>-19644</v>
      </c>
      <c r="J80" s="516">
        <v>-35814</v>
      </c>
      <c r="K80" s="516">
        <v>-12022</v>
      </c>
      <c r="L80" s="516">
        <v>1781</v>
      </c>
      <c r="M80" s="516"/>
      <c r="N80" s="516"/>
      <c r="O80" s="516"/>
      <c r="P80" s="516"/>
      <c r="Q80" s="516"/>
      <c r="R80" s="516"/>
      <c r="T80" s="516">
        <f t="shared" si="40"/>
        <v>-12022</v>
      </c>
      <c r="U80" s="516">
        <f t="shared" si="41"/>
        <v>13803</v>
      </c>
    </row>
    <row r="81" spans="1:21" outlineLevel="1">
      <c r="A81" s="511" t="s">
        <v>528</v>
      </c>
      <c r="C81" s="516"/>
      <c r="D81" s="516"/>
      <c r="E81" s="516"/>
      <c r="F81" s="516"/>
      <c r="G81" s="516"/>
      <c r="H81" s="516"/>
      <c r="I81" s="516"/>
      <c r="J81" s="516"/>
      <c r="K81" s="516"/>
      <c r="L81" s="516">
        <v>-10614</v>
      </c>
      <c r="M81" s="516"/>
      <c r="N81" s="516"/>
      <c r="O81" s="516"/>
      <c r="P81" s="516"/>
      <c r="Q81" s="516"/>
      <c r="R81" s="516"/>
      <c r="T81" s="516"/>
      <c r="U81" s="516">
        <f t="shared" si="41"/>
        <v>-10614</v>
      </c>
    </row>
    <row r="82" spans="1:21">
      <c r="A82" s="510"/>
      <c r="C82" s="510"/>
      <c r="D82" s="510"/>
      <c r="E82" s="510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0"/>
      <c r="T82" s="510"/>
      <c r="U82" s="510"/>
    </row>
    <row r="83" spans="1:21">
      <c r="A83" s="522" t="s">
        <v>529</v>
      </c>
      <c r="C83" s="513">
        <f t="shared" ref="C83" si="42">C85-C75-C52-C76</f>
        <v>109207</v>
      </c>
      <c r="D83" s="513">
        <f t="shared" ref="D83:H83" si="43">D85-D75-D52-D76</f>
        <v>246736</v>
      </c>
      <c r="E83" s="513">
        <f t="shared" si="43"/>
        <v>350832</v>
      </c>
      <c r="F83" s="513">
        <f t="shared" si="43"/>
        <v>478197</v>
      </c>
      <c r="G83" s="513">
        <f t="shared" si="43"/>
        <v>158739</v>
      </c>
      <c r="H83" s="513">
        <f t="shared" si="43"/>
        <v>311445</v>
      </c>
      <c r="I83" s="513">
        <f>I85-I75-I52-I76</f>
        <v>499434</v>
      </c>
      <c r="J83" s="513">
        <f>J85-J75-J52-J76</f>
        <v>676753</v>
      </c>
      <c r="K83" s="513">
        <f>K85-K75-K52-K76</f>
        <v>202525</v>
      </c>
      <c r="L83" s="513">
        <f>L85-L75-L52-L76</f>
        <v>402833</v>
      </c>
      <c r="M83" s="513"/>
      <c r="N83" s="513"/>
      <c r="O83" s="513"/>
      <c r="P83" s="513"/>
      <c r="Q83" s="513"/>
      <c r="R83" s="513"/>
      <c r="T83" s="513">
        <f>T85-T75-T52-T76</f>
        <v>202525</v>
      </c>
      <c r="U83" s="513">
        <f>U85-U75-U52-U76</f>
        <v>200308</v>
      </c>
    </row>
    <row r="84" spans="1:21">
      <c r="A84" s="510"/>
      <c r="C84" s="510"/>
      <c r="D84" s="510"/>
      <c r="E84" s="510"/>
      <c r="F84" s="510"/>
      <c r="G84" s="510"/>
      <c r="H84" s="510"/>
      <c r="I84" s="510"/>
      <c r="J84" s="510"/>
      <c r="K84" s="510"/>
      <c r="L84" s="510"/>
      <c r="M84" s="510"/>
      <c r="N84" s="510"/>
      <c r="O84" s="510"/>
      <c r="P84" s="510"/>
      <c r="Q84" s="510"/>
      <c r="R84" s="510"/>
      <c r="T84" s="510"/>
      <c r="U84" s="510"/>
    </row>
    <row r="85" spans="1:21">
      <c r="A85" s="522" t="s">
        <v>530</v>
      </c>
      <c r="C85" s="513">
        <f t="shared" ref="C85" si="44">C57+C59</f>
        <v>90188</v>
      </c>
      <c r="D85" s="513">
        <f t="shared" ref="D85:H85" si="45">D57+D59</f>
        <v>208134</v>
      </c>
      <c r="E85" s="513">
        <f t="shared" si="45"/>
        <v>292268</v>
      </c>
      <c r="F85" s="513">
        <f t="shared" si="45"/>
        <v>394960</v>
      </c>
      <c r="G85" s="513">
        <f t="shared" si="45"/>
        <v>149183</v>
      </c>
      <c r="H85" s="513">
        <f t="shared" si="45"/>
        <v>279989</v>
      </c>
      <c r="I85" s="513">
        <f>I57+I59</f>
        <v>444339</v>
      </c>
      <c r="J85" s="513">
        <f>J57+J59</f>
        <v>563034</v>
      </c>
      <c r="K85" s="513">
        <f>K57+K59</f>
        <v>170968</v>
      </c>
      <c r="L85" s="513">
        <f>L57+L59</f>
        <v>340112</v>
      </c>
      <c r="M85" s="513"/>
      <c r="N85" s="513"/>
      <c r="O85" s="513"/>
      <c r="P85" s="513"/>
      <c r="Q85" s="513"/>
      <c r="R85" s="513"/>
      <c r="T85" s="513">
        <f>T57+T59</f>
        <v>170968</v>
      </c>
      <c r="U85" s="513">
        <f>U57+U59</f>
        <v>169144</v>
      </c>
    </row>
    <row r="86" spans="1:21">
      <c r="A86" s="510"/>
      <c r="C86" s="510"/>
      <c r="D86" s="510"/>
      <c r="E86" s="510"/>
      <c r="F86" s="510"/>
      <c r="G86" s="510"/>
      <c r="H86" s="510"/>
      <c r="I86" s="510"/>
      <c r="J86" s="510"/>
      <c r="K86" s="510"/>
      <c r="L86" s="510"/>
      <c r="M86" s="510"/>
      <c r="N86" s="510"/>
      <c r="O86" s="510"/>
      <c r="P86" s="510"/>
      <c r="Q86" s="510"/>
      <c r="R86" s="510"/>
      <c r="T86" s="510"/>
      <c r="U86" s="510"/>
    </row>
    <row r="87" spans="1:21">
      <c r="A87" s="522" t="s">
        <v>531</v>
      </c>
      <c r="C87" s="513">
        <f t="shared" ref="C87" si="46">C89+C98</f>
        <v>2149</v>
      </c>
      <c r="D87" s="513">
        <f t="shared" ref="D87:H87" si="47">D89+D98</f>
        <v>7818</v>
      </c>
      <c r="E87" s="513">
        <f t="shared" si="47"/>
        <v>13080</v>
      </c>
      <c r="F87" s="513">
        <f t="shared" si="47"/>
        <v>-5843</v>
      </c>
      <c r="G87" s="513">
        <f t="shared" si="47"/>
        <v>-45066</v>
      </c>
      <c r="H87" s="513">
        <f t="shared" si="47"/>
        <v>-82271</v>
      </c>
      <c r="I87" s="513">
        <f>I89+I98</f>
        <v>-104906</v>
      </c>
      <c r="J87" s="513">
        <f>J89+J98</f>
        <v>-150938</v>
      </c>
      <c r="K87" s="513">
        <f>K89+K98</f>
        <v>-48693</v>
      </c>
      <c r="L87" s="513">
        <f>L89+L98</f>
        <v>-87618</v>
      </c>
      <c r="M87" s="513"/>
      <c r="N87" s="513"/>
      <c r="O87" s="513"/>
      <c r="P87" s="513"/>
      <c r="Q87" s="513"/>
      <c r="R87" s="513"/>
      <c r="T87" s="513">
        <f>T89+T98</f>
        <v>-48693</v>
      </c>
      <c r="U87" s="513">
        <f>U89+U98</f>
        <v>-38925</v>
      </c>
    </row>
    <row r="88" spans="1:21">
      <c r="A88" s="509"/>
      <c r="C88" s="510"/>
      <c r="D88" s="510"/>
      <c r="E88" s="510"/>
      <c r="F88" s="510"/>
      <c r="G88" s="510"/>
      <c r="H88" s="510"/>
      <c r="I88" s="510"/>
      <c r="J88" s="510"/>
      <c r="K88" s="510"/>
      <c r="L88" s="510"/>
      <c r="M88" s="510"/>
      <c r="N88" s="510"/>
      <c r="O88" s="510"/>
      <c r="P88" s="510"/>
      <c r="Q88" s="510"/>
      <c r="R88" s="510"/>
      <c r="T88" s="510"/>
      <c r="U88" s="510"/>
    </row>
    <row r="89" spans="1:21">
      <c r="A89" s="510" t="s">
        <v>532</v>
      </c>
      <c r="C89" s="517">
        <f t="shared" ref="C89" si="48">SUM(C90:C97)</f>
        <v>58418</v>
      </c>
      <c r="D89" s="517">
        <f t="shared" ref="D89:H89" si="49">SUM(D90:D97)</f>
        <v>134329</v>
      </c>
      <c r="E89" s="517">
        <f t="shared" si="49"/>
        <v>188138</v>
      </c>
      <c r="F89" s="517">
        <f t="shared" si="49"/>
        <v>242264</v>
      </c>
      <c r="G89" s="517">
        <f t="shared" si="49"/>
        <v>45786</v>
      </c>
      <c r="H89" s="517">
        <f t="shared" si="49"/>
        <v>92020</v>
      </c>
      <c r="I89" s="517">
        <f>SUM(I90:I97)</f>
        <v>108267</v>
      </c>
      <c r="J89" s="517">
        <f>SUM(J90:J97)</f>
        <v>161745</v>
      </c>
      <c r="K89" s="517">
        <f>SUM(K90:K97)</f>
        <v>64631</v>
      </c>
      <c r="L89" s="517">
        <f>SUM(L90:L97)</f>
        <v>149483</v>
      </c>
      <c r="M89" s="517"/>
      <c r="N89" s="517"/>
      <c r="O89" s="517"/>
      <c r="P89" s="517"/>
      <c r="Q89" s="517"/>
      <c r="R89" s="517"/>
      <c r="T89" s="517">
        <f>SUM(T90:T97)</f>
        <v>64631</v>
      </c>
      <c r="U89" s="517">
        <f>SUM(U90:U97)</f>
        <v>84852</v>
      </c>
    </row>
    <row r="90" spans="1:21" outlineLevel="1">
      <c r="A90" s="511" t="s">
        <v>533</v>
      </c>
      <c r="C90" s="516">
        <v>36123</v>
      </c>
      <c r="D90" s="516">
        <v>80689</v>
      </c>
      <c r="E90" s="516">
        <v>124221</v>
      </c>
      <c r="F90" s="516">
        <v>168283</v>
      </c>
      <c r="G90" s="516">
        <v>36063</v>
      </c>
      <c r="H90" s="516">
        <v>56978</v>
      </c>
      <c r="I90" s="516">
        <v>76543</v>
      </c>
      <c r="J90" s="516">
        <v>98511</v>
      </c>
      <c r="K90" s="516">
        <v>60315</v>
      </c>
      <c r="L90" s="516">
        <v>134454</v>
      </c>
      <c r="M90" s="516"/>
      <c r="N90" s="516"/>
      <c r="O90" s="516"/>
      <c r="P90" s="516"/>
      <c r="Q90" s="516"/>
      <c r="R90" s="516"/>
      <c r="T90" s="516">
        <f t="shared" ref="T90:T97" si="50">K90</f>
        <v>60315</v>
      </c>
      <c r="U90" s="516">
        <f t="shared" ref="U90:U107" si="51">L90-T90</f>
        <v>74139</v>
      </c>
    </row>
    <row r="91" spans="1:21" outlineLevel="1">
      <c r="A91" s="511" t="s">
        <v>534</v>
      </c>
      <c r="C91" s="516">
        <v>-2847</v>
      </c>
      <c r="D91" s="516">
        <v>-6547</v>
      </c>
      <c r="E91" s="516">
        <v>-9148</v>
      </c>
      <c r="F91" s="516">
        <v>-11616</v>
      </c>
      <c r="G91" s="516">
        <v>-1597</v>
      </c>
      <c r="H91" s="516">
        <v>-3026</v>
      </c>
      <c r="I91" s="516">
        <v>-4244</v>
      </c>
      <c r="J91" s="516">
        <v>-5502</v>
      </c>
      <c r="K91" s="516">
        <v>-3188</v>
      </c>
      <c r="L91" s="516">
        <v>-2033</v>
      </c>
      <c r="M91" s="516"/>
      <c r="N91" s="516"/>
      <c r="O91" s="516"/>
      <c r="P91" s="516"/>
      <c r="Q91" s="516"/>
      <c r="R91" s="516"/>
      <c r="T91" s="516">
        <f t="shared" si="50"/>
        <v>-3188</v>
      </c>
      <c r="U91" s="516">
        <f t="shared" si="51"/>
        <v>1155</v>
      </c>
    </row>
    <row r="92" spans="1:21" outlineLevel="1">
      <c r="A92" s="511" t="s">
        <v>535</v>
      </c>
      <c r="C92" s="516">
        <v>0</v>
      </c>
      <c r="D92" s="516">
        <v>0</v>
      </c>
      <c r="E92" s="516">
        <v>0</v>
      </c>
      <c r="F92" s="516">
        <v>0</v>
      </c>
      <c r="G92" s="516">
        <v>0</v>
      </c>
      <c r="H92" s="516">
        <v>0</v>
      </c>
      <c r="I92" s="516">
        <v>0</v>
      </c>
      <c r="J92" s="516">
        <v>0</v>
      </c>
      <c r="K92" s="516">
        <v>0</v>
      </c>
      <c r="L92" s="516">
        <v>0</v>
      </c>
      <c r="M92" s="516"/>
      <c r="N92" s="516"/>
      <c r="O92" s="516"/>
      <c r="P92" s="516"/>
      <c r="Q92" s="516"/>
      <c r="R92" s="516"/>
      <c r="T92" s="516">
        <f t="shared" si="50"/>
        <v>0</v>
      </c>
      <c r="U92" s="516">
        <f t="shared" si="51"/>
        <v>0</v>
      </c>
    </row>
    <row r="93" spans="1:21" outlineLevel="1">
      <c r="A93" s="511" t="s">
        <v>536</v>
      </c>
      <c r="C93" s="516">
        <v>25142</v>
      </c>
      <c r="D93" s="516">
        <v>60187</v>
      </c>
      <c r="E93" s="516">
        <v>73065</v>
      </c>
      <c r="F93" s="516">
        <v>82076</v>
      </c>
      <c r="G93" s="516">
        <v>6491</v>
      </c>
      <c r="H93" s="516">
        <v>16470</v>
      </c>
      <c r="I93" s="516">
        <v>24237</v>
      </c>
      <c r="J93" s="516">
        <v>35531</v>
      </c>
      <c r="K93" s="516">
        <v>6675</v>
      </c>
      <c r="L93" s="516">
        <v>16233</v>
      </c>
      <c r="M93" s="516"/>
      <c r="N93" s="516"/>
      <c r="O93" s="516"/>
      <c r="P93" s="516"/>
      <c r="Q93" s="516"/>
      <c r="R93" s="516"/>
      <c r="T93" s="516">
        <f t="shared" si="50"/>
        <v>6675</v>
      </c>
      <c r="U93" s="516">
        <f t="shared" si="51"/>
        <v>9558</v>
      </c>
    </row>
    <row r="94" spans="1:21" outlineLevel="1">
      <c r="A94" s="511" t="s">
        <v>537</v>
      </c>
      <c r="C94" s="516">
        <v>0</v>
      </c>
      <c r="D94" s="516">
        <v>0</v>
      </c>
      <c r="E94" s="516">
        <v>0</v>
      </c>
      <c r="F94" s="516">
        <v>0</v>
      </c>
      <c r="G94" s="516">
        <v>0</v>
      </c>
      <c r="H94" s="516">
        <v>0</v>
      </c>
      <c r="I94" s="516">
        <v>0</v>
      </c>
      <c r="J94" s="516">
        <v>0</v>
      </c>
      <c r="K94" s="516">
        <v>0</v>
      </c>
      <c r="L94" s="516">
        <v>0</v>
      </c>
      <c r="M94" s="516"/>
      <c r="N94" s="516"/>
      <c r="O94" s="516"/>
      <c r="P94" s="516"/>
      <c r="Q94" s="516"/>
      <c r="R94" s="516"/>
      <c r="T94" s="516">
        <f t="shared" si="50"/>
        <v>0</v>
      </c>
      <c r="U94" s="516">
        <f t="shared" si="51"/>
        <v>0</v>
      </c>
    </row>
    <row r="95" spans="1:21" outlineLevel="1">
      <c r="A95" s="511" t="s">
        <v>538</v>
      </c>
      <c r="C95" s="516">
        <v>0</v>
      </c>
      <c r="D95" s="516">
        <v>0</v>
      </c>
      <c r="E95" s="516">
        <v>0</v>
      </c>
      <c r="F95" s="516">
        <v>0</v>
      </c>
      <c r="G95" s="516">
        <v>0</v>
      </c>
      <c r="H95" s="516">
        <v>0</v>
      </c>
      <c r="I95" s="516">
        <v>0</v>
      </c>
      <c r="J95" s="516">
        <v>0</v>
      </c>
      <c r="K95" s="516">
        <v>0</v>
      </c>
      <c r="L95" s="516">
        <v>0</v>
      </c>
      <c r="M95" s="516"/>
      <c r="N95" s="516"/>
      <c r="O95" s="516"/>
      <c r="P95" s="516"/>
      <c r="Q95" s="516"/>
      <c r="R95" s="516"/>
      <c r="T95" s="516">
        <f t="shared" si="50"/>
        <v>0</v>
      </c>
      <c r="U95" s="516">
        <f t="shared" si="51"/>
        <v>0</v>
      </c>
    </row>
    <row r="96" spans="1:21" outlineLevel="1">
      <c r="A96" s="511" t="s">
        <v>539</v>
      </c>
      <c r="C96" s="516">
        <v>0</v>
      </c>
      <c r="D96" s="516">
        <v>0</v>
      </c>
      <c r="E96" s="516">
        <v>0</v>
      </c>
      <c r="F96" s="516">
        <v>0</v>
      </c>
      <c r="G96" s="516">
        <v>0</v>
      </c>
      <c r="H96" s="516">
        <v>0</v>
      </c>
      <c r="I96" s="516">
        <v>0</v>
      </c>
      <c r="J96" s="516">
        <v>0</v>
      </c>
      <c r="K96" s="516">
        <v>0</v>
      </c>
      <c r="L96" s="516">
        <v>0</v>
      </c>
      <c r="M96" s="516"/>
      <c r="N96" s="516"/>
      <c r="O96" s="516"/>
      <c r="P96" s="516"/>
      <c r="Q96" s="516"/>
      <c r="R96" s="516"/>
      <c r="T96" s="516">
        <f t="shared" si="50"/>
        <v>0</v>
      </c>
      <c r="U96" s="516">
        <f t="shared" si="51"/>
        <v>0</v>
      </c>
    </row>
    <row r="97" spans="1:21" outlineLevel="1">
      <c r="A97" s="511" t="s">
        <v>540</v>
      </c>
      <c r="C97" s="516">
        <v>0</v>
      </c>
      <c r="D97" s="516">
        <v>0</v>
      </c>
      <c r="E97" s="516">
        <v>0</v>
      </c>
      <c r="F97" s="516">
        <v>3521</v>
      </c>
      <c r="G97" s="516">
        <v>4829</v>
      </c>
      <c r="H97" s="516">
        <v>21598</v>
      </c>
      <c r="I97" s="516">
        <v>11731</v>
      </c>
      <c r="J97" s="516">
        <v>33205</v>
      </c>
      <c r="K97" s="516">
        <v>829</v>
      </c>
      <c r="L97" s="516">
        <v>829</v>
      </c>
      <c r="M97" s="516"/>
      <c r="N97" s="516"/>
      <c r="O97" s="516"/>
      <c r="P97" s="516"/>
      <c r="Q97" s="516"/>
      <c r="R97" s="516"/>
      <c r="T97" s="516">
        <f t="shared" si="50"/>
        <v>829</v>
      </c>
      <c r="U97" s="516">
        <f t="shared" si="51"/>
        <v>0</v>
      </c>
    </row>
    <row r="98" spans="1:21">
      <c r="A98" s="510" t="s">
        <v>541</v>
      </c>
      <c r="C98" s="515">
        <f t="shared" ref="C98" si="52">SUM(C99:C107)</f>
        <v>-56269</v>
      </c>
      <c r="D98" s="515">
        <f t="shared" ref="D98:H98" si="53">SUM(D99:D107)</f>
        <v>-126511</v>
      </c>
      <c r="E98" s="515">
        <f t="shared" si="53"/>
        <v>-175058</v>
      </c>
      <c r="F98" s="515">
        <f t="shared" si="53"/>
        <v>-248107</v>
      </c>
      <c r="G98" s="515">
        <f t="shared" si="53"/>
        <v>-90852</v>
      </c>
      <c r="H98" s="515">
        <f t="shared" si="53"/>
        <v>-174291</v>
      </c>
      <c r="I98" s="515">
        <f>SUM(I99:I107)</f>
        <v>-213173</v>
      </c>
      <c r="J98" s="515">
        <f>SUM(J99:J107)</f>
        <v>-312683</v>
      </c>
      <c r="K98" s="515">
        <f>SUM(K99:K107)</f>
        <v>-113324</v>
      </c>
      <c r="L98" s="515">
        <f>SUM(L99:L107)</f>
        <v>-237101</v>
      </c>
      <c r="M98" s="515"/>
      <c r="N98" s="515"/>
      <c r="O98" s="515"/>
      <c r="P98" s="515"/>
      <c r="Q98" s="515"/>
      <c r="R98" s="515"/>
      <c r="T98" s="515">
        <f>SUM(T99:T107)</f>
        <v>-113324</v>
      </c>
      <c r="U98" s="515">
        <f>SUM(U99:U107)</f>
        <v>-123777</v>
      </c>
    </row>
    <row r="99" spans="1:21" outlineLevel="1">
      <c r="A99" s="511" t="s">
        <v>542</v>
      </c>
      <c r="C99" s="516">
        <v>-30083</v>
      </c>
      <c r="D99" s="516">
        <v>-67833</v>
      </c>
      <c r="E99" s="516">
        <v>-110339</v>
      </c>
      <c r="F99" s="516">
        <v>-156986</v>
      </c>
      <c r="G99" s="516">
        <v>-36166</v>
      </c>
      <c r="H99" s="516">
        <v>-69179</v>
      </c>
      <c r="I99" s="516">
        <v>-98095</v>
      </c>
      <c r="J99" s="516">
        <v>-124334</v>
      </c>
      <c r="K99" s="516">
        <v>-29380</v>
      </c>
      <c r="L99" s="516">
        <v>-60716</v>
      </c>
      <c r="M99" s="516"/>
      <c r="N99" s="516"/>
      <c r="O99" s="516"/>
      <c r="P99" s="516"/>
      <c r="Q99" s="516"/>
      <c r="R99" s="516"/>
      <c r="T99" s="516">
        <f t="shared" ref="T99:T107" si="54">K99</f>
        <v>-29380</v>
      </c>
      <c r="U99" s="516">
        <f t="shared" si="51"/>
        <v>-31336</v>
      </c>
    </row>
    <row r="100" spans="1:21" outlineLevel="1">
      <c r="A100" s="511" t="s">
        <v>543</v>
      </c>
      <c r="C100" s="516">
        <v>0</v>
      </c>
      <c r="D100" s="516">
        <v>0</v>
      </c>
      <c r="E100" s="516">
        <v>0</v>
      </c>
      <c r="F100" s="516">
        <v>0</v>
      </c>
      <c r="G100" s="516">
        <v>0</v>
      </c>
      <c r="H100" s="516">
        <v>0</v>
      </c>
      <c r="I100" s="516">
        <v>0</v>
      </c>
      <c r="J100" s="516">
        <v>0</v>
      </c>
      <c r="K100" s="516">
        <v>0</v>
      </c>
      <c r="L100" s="516">
        <v>0</v>
      </c>
      <c r="M100" s="516"/>
      <c r="N100" s="516"/>
      <c r="O100" s="516"/>
      <c r="P100" s="516"/>
      <c r="Q100" s="516"/>
      <c r="R100" s="516"/>
      <c r="T100" s="516">
        <f t="shared" si="54"/>
        <v>0</v>
      </c>
      <c r="U100" s="516">
        <f t="shared" si="51"/>
        <v>0</v>
      </c>
    </row>
    <row r="101" spans="1:21" outlineLevel="1">
      <c r="A101" s="511" t="s">
        <v>544</v>
      </c>
      <c r="C101" s="516">
        <v>-10291</v>
      </c>
      <c r="D101" s="516">
        <v>-29772</v>
      </c>
      <c r="E101" s="516">
        <v>-30035</v>
      </c>
      <c r="F101" s="516">
        <v>-41792</v>
      </c>
      <c r="G101" s="516">
        <v>-34377</v>
      </c>
      <c r="H101" s="516">
        <v>-72893</v>
      </c>
      <c r="I101" s="516">
        <v>-74882</v>
      </c>
      <c r="J101" s="516">
        <v>-113480</v>
      </c>
      <c r="K101" s="516">
        <v>-68509</v>
      </c>
      <c r="L101" s="516">
        <v>-142981</v>
      </c>
      <c r="M101" s="516"/>
      <c r="N101" s="516"/>
      <c r="O101" s="516"/>
      <c r="P101" s="516"/>
      <c r="Q101" s="516"/>
      <c r="R101" s="516"/>
      <c r="T101" s="516">
        <f t="shared" si="54"/>
        <v>-68509</v>
      </c>
      <c r="U101" s="516">
        <f t="shared" si="51"/>
        <v>-74472</v>
      </c>
    </row>
    <row r="102" spans="1:21" outlineLevel="1">
      <c r="A102" s="511" t="s">
        <v>545</v>
      </c>
      <c r="C102" s="516">
        <v>0</v>
      </c>
      <c r="D102" s="516">
        <v>0</v>
      </c>
      <c r="E102" s="516">
        <v>0</v>
      </c>
      <c r="F102" s="516">
        <v>0</v>
      </c>
      <c r="G102" s="516">
        <v>0</v>
      </c>
      <c r="H102" s="516">
        <v>0</v>
      </c>
      <c r="I102" s="516">
        <v>0</v>
      </c>
      <c r="J102" s="516">
        <v>0</v>
      </c>
      <c r="K102" s="516">
        <v>0</v>
      </c>
      <c r="L102" s="516">
        <v>0</v>
      </c>
      <c r="M102" s="516"/>
      <c r="N102" s="516"/>
      <c r="O102" s="516"/>
      <c r="P102" s="516"/>
      <c r="Q102" s="516"/>
      <c r="R102" s="516"/>
      <c r="T102" s="516">
        <f t="shared" si="54"/>
        <v>0</v>
      </c>
      <c r="U102" s="516">
        <f t="shared" si="51"/>
        <v>0</v>
      </c>
    </row>
    <row r="103" spans="1:21" outlineLevel="1">
      <c r="A103" s="511" t="s">
        <v>546</v>
      </c>
      <c r="C103" s="516">
        <v>-8717</v>
      </c>
      <c r="D103" s="516">
        <v>-12686</v>
      </c>
      <c r="E103" s="516">
        <v>-17310</v>
      </c>
      <c r="F103" s="516">
        <v>-20967</v>
      </c>
      <c r="G103" s="516">
        <v>-8702</v>
      </c>
      <c r="H103" s="516">
        <v>-16453</v>
      </c>
      <c r="I103" s="516">
        <v>-18798</v>
      </c>
      <c r="J103" s="516">
        <v>-25345</v>
      </c>
      <c r="K103" s="516">
        <v>-4020</v>
      </c>
      <c r="L103" s="516">
        <v>-6794</v>
      </c>
      <c r="M103" s="516"/>
      <c r="N103" s="516"/>
      <c r="O103" s="516"/>
      <c r="P103" s="516"/>
      <c r="Q103" s="516"/>
      <c r="R103" s="516"/>
      <c r="T103" s="516">
        <f t="shared" si="54"/>
        <v>-4020</v>
      </c>
      <c r="U103" s="516">
        <f t="shared" si="51"/>
        <v>-2774</v>
      </c>
    </row>
    <row r="104" spans="1:21" outlineLevel="1">
      <c r="A104" s="511" t="s">
        <v>547</v>
      </c>
      <c r="C104" s="516">
        <v>-29</v>
      </c>
      <c r="D104" s="516">
        <v>-88</v>
      </c>
      <c r="E104" s="516">
        <v>-271</v>
      </c>
      <c r="F104" s="516">
        <v>-292</v>
      </c>
      <c r="G104" s="516">
        <v>-6</v>
      </c>
      <c r="H104" s="516">
        <v>-11</v>
      </c>
      <c r="I104" s="516">
        <v>-17</v>
      </c>
      <c r="J104" s="516">
        <v>-28</v>
      </c>
      <c r="K104" s="516">
        <v>-3</v>
      </c>
      <c r="L104" s="516">
        <v>-12</v>
      </c>
      <c r="M104" s="516"/>
      <c r="N104" s="516"/>
      <c r="O104" s="516"/>
      <c r="P104" s="516"/>
      <c r="Q104" s="516"/>
      <c r="R104" s="516"/>
      <c r="T104" s="516">
        <f t="shared" si="54"/>
        <v>-3</v>
      </c>
      <c r="U104" s="516">
        <f t="shared" si="51"/>
        <v>-9</v>
      </c>
    </row>
    <row r="105" spans="1:21" outlineLevel="1">
      <c r="A105" s="511" t="s">
        <v>548</v>
      </c>
      <c r="C105" s="516">
        <v>0</v>
      </c>
      <c r="D105" s="516">
        <v>0</v>
      </c>
      <c r="E105" s="516">
        <v>0</v>
      </c>
      <c r="F105" s="516">
        <v>0</v>
      </c>
      <c r="G105" s="516">
        <v>0</v>
      </c>
      <c r="H105" s="516">
        <v>0</v>
      </c>
      <c r="I105" s="516">
        <v>0</v>
      </c>
      <c r="J105" s="516">
        <v>0</v>
      </c>
      <c r="K105" s="516">
        <v>0</v>
      </c>
      <c r="L105" s="516">
        <v>0</v>
      </c>
      <c r="M105" s="516"/>
      <c r="N105" s="516"/>
      <c r="O105" s="516"/>
      <c r="P105" s="516"/>
      <c r="Q105" s="516"/>
      <c r="R105" s="516"/>
      <c r="T105" s="516">
        <f t="shared" si="54"/>
        <v>0</v>
      </c>
      <c r="U105" s="516">
        <f t="shared" si="51"/>
        <v>0</v>
      </c>
    </row>
    <row r="106" spans="1:21" outlineLevel="1">
      <c r="A106" s="511" t="s">
        <v>549</v>
      </c>
      <c r="C106" s="516">
        <v>-258</v>
      </c>
      <c r="D106" s="516">
        <v>-752</v>
      </c>
      <c r="E106" s="516">
        <v>-984</v>
      </c>
      <c r="F106" s="516">
        <v>-1112</v>
      </c>
      <c r="G106" s="516">
        <v>-161</v>
      </c>
      <c r="H106" s="516">
        <v>-225</v>
      </c>
      <c r="I106" s="516">
        <v>-382</v>
      </c>
      <c r="J106" s="516">
        <v>-544</v>
      </c>
      <c r="K106" s="516">
        <v>-48</v>
      </c>
      <c r="L106" s="516">
        <v>-213</v>
      </c>
      <c r="M106" s="516"/>
      <c r="N106" s="516"/>
      <c r="O106" s="516"/>
      <c r="P106" s="516"/>
      <c r="Q106" s="516"/>
      <c r="R106" s="516"/>
      <c r="T106" s="516">
        <f t="shared" si="54"/>
        <v>-48</v>
      </c>
      <c r="U106" s="516">
        <f t="shared" si="51"/>
        <v>-165</v>
      </c>
    </row>
    <row r="107" spans="1:21" outlineLevel="1">
      <c r="A107" s="511" t="s">
        <v>550</v>
      </c>
      <c r="C107" s="516">
        <v>-6891</v>
      </c>
      <c r="D107" s="516">
        <v>-15380</v>
      </c>
      <c r="E107" s="516">
        <v>-16119</v>
      </c>
      <c r="F107" s="516">
        <v>-26958</v>
      </c>
      <c r="G107" s="516">
        <v>-11440</v>
      </c>
      <c r="H107" s="516">
        <v>-15530</v>
      </c>
      <c r="I107" s="516">
        <v>-20999</v>
      </c>
      <c r="J107" s="516">
        <v>-48952</v>
      </c>
      <c r="K107" s="516">
        <v>-11364</v>
      </c>
      <c r="L107" s="516">
        <v>-26385</v>
      </c>
      <c r="M107" s="516"/>
      <c r="N107" s="516"/>
      <c r="O107" s="516"/>
      <c r="P107" s="516"/>
      <c r="Q107" s="516"/>
      <c r="R107" s="516"/>
      <c r="T107" s="516">
        <f t="shared" si="54"/>
        <v>-11364</v>
      </c>
      <c r="U107" s="516">
        <f t="shared" si="51"/>
        <v>-15021</v>
      </c>
    </row>
    <row r="108" spans="1:21">
      <c r="A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T108" s="510"/>
      <c r="U108" s="510"/>
    </row>
    <row r="109" spans="1:21">
      <c r="A109" s="522" t="s">
        <v>551</v>
      </c>
      <c r="C109" s="513">
        <f t="shared" ref="C109" si="55">C85+C87</f>
        <v>92337</v>
      </c>
      <c r="D109" s="513">
        <f t="shared" ref="D109:H109" si="56">D85+D87</f>
        <v>215952</v>
      </c>
      <c r="E109" s="513">
        <f t="shared" si="56"/>
        <v>305348</v>
      </c>
      <c r="F109" s="513">
        <f t="shared" si="56"/>
        <v>389117</v>
      </c>
      <c r="G109" s="513">
        <f t="shared" si="56"/>
        <v>104117</v>
      </c>
      <c r="H109" s="513">
        <f t="shared" si="56"/>
        <v>197718</v>
      </c>
      <c r="I109" s="513">
        <f>I85+I87</f>
        <v>339433</v>
      </c>
      <c r="J109" s="513">
        <f>J85+J87</f>
        <v>412096</v>
      </c>
      <c r="K109" s="513">
        <f>K85+K87</f>
        <v>122275</v>
      </c>
      <c r="L109" s="513">
        <f>L85+L87</f>
        <v>252494</v>
      </c>
      <c r="M109" s="513"/>
      <c r="N109" s="513"/>
      <c r="O109" s="513"/>
      <c r="P109" s="513"/>
      <c r="Q109" s="513"/>
      <c r="R109" s="513"/>
      <c r="T109" s="513">
        <f>T85+T87</f>
        <v>122275</v>
      </c>
      <c r="U109" s="513">
        <f>U85+U87</f>
        <v>130219</v>
      </c>
    </row>
    <row r="110" spans="1:21">
      <c r="A110" s="510"/>
      <c r="C110" s="510"/>
      <c r="D110" s="510"/>
      <c r="E110" s="510"/>
      <c r="F110" s="510"/>
      <c r="G110" s="510"/>
      <c r="H110" s="510"/>
      <c r="I110" s="510"/>
      <c r="J110" s="510"/>
      <c r="K110" s="510"/>
      <c r="L110" s="510"/>
      <c r="M110" s="510"/>
      <c r="N110" s="510"/>
      <c r="O110" s="510"/>
      <c r="P110" s="510"/>
      <c r="Q110" s="510"/>
      <c r="R110" s="510"/>
      <c r="T110" s="510"/>
      <c r="U110" s="510"/>
    </row>
    <row r="111" spans="1:21">
      <c r="A111" s="509" t="s">
        <v>552</v>
      </c>
      <c r="C111" s="517">
        <f t="shared" ref="C111" si="57">SUM(C113:C116)</f>
        <v>-18765</v>
      </c>
      <c r="D111" s="517">
        <f t="shared" ref="D111:I111" si="58">SUM(D113:D116)</f>
        <v>-45131</v>
      </c>
      <c r="E111" s="517">
        <f t="shared" si="58"/>
        <v>-58740</v>
      </c>
      <c r="F111" s="517">
        <f t="shared" si="58"/>
        <v>-69366</v>
      </c>
      <c r="G111" s="517">
        <f t="shared" si="58"/>
        <v>-18423</v>
      </c>
      <c r="H111" s="517">
        <f t="shared" si="58"/>
        <v>-34515</v>
      </c>
      <c r="I111" s="517">
        <f t="shared" si="58"/>
        <v>-59700</v>
      </c>
      <c r="J111" s="517">
        <f t="shared" ref="J111" si="59">SUM(J113:J116)</f>
        <v>-35251</v>
      </c>
      <c r="K111" s="517">
        <f>SUM(K113:K116)</f>
        <v>-16637</v>
      </c>
      <c r="L111" s="517">
        <f>SUM(L113:L116)</f>
        <v>-46434</v>
      </c>
      <c r="M111" s="517"/>
      <c r="N111" s="517"/>
      <c r="O111" s="517"/>
      <c r="P111" s="517"/>
      <c r="Q111" s="517"/>
      <c r="R111" s="517"/>
      <c r="T111" s="517">
        <f>SUM(T113:T116)</f>
        <v>-16637</v>
      </c>
      <c r="U111" s="517">
        <f>SUM(U113:U116)</f>
        <v>-29797</v>
      </c>
    </row>
    <row r="112" spans="1:21">
      <c r="A112" s="510"/>
      <c r="C112" s="510"/>
      <c r="D112" s="510"/>
      <c r="E112" s="510"/>
      <c r="F112" s="510"/>
      <c r="G112" s="510"/>
      <c r="H112" s="510"/>
      <c r="I112" s="510"/>
      <c r="J112" s="510"/>
      <c r="K112" s="510"/>
      <c r="L112" s="510"/>
      <c r="M112" s="510"/>
      <c r="N112" s="510"/>
      <c r="O112" s="510"/>
      <c r="P112" s="510"/>
      <c r="Q112" s="510"/>
      <c r="R112" s="510"/>
      <c r="T112" s="510"/>
      <c r="U112" s="510"/>
    </row>
    <row r="113" spans="1:21">
      <c r="A113" s="510" t="s">
        <v>553</v>
      </c>
      <c r="C113" s="518">
        <v>-3209</v>
      </c>
      <c r="D113" s="518">
        <v>-10337</v>
      </c>
      <c r="E113" s="518">
        <v>-16176</v>
      </c>
      <c r="F113" s="518">
        <v>-23877</v>
      </c>
      <c r="G113" s="518">
        <v>-6750</v>
      </c>
      <c r="H113" s="518">
        <v>-12885</v>
      </c>
      <c r="I113" s="518">
        <v>-20846</v>
      </c>
      <c r="J113" s="518">
        <v>-19142</v>
      </c>
      <c r="K113" s="518">
        <v>-6805</v>
      </c>
      <c r="L113" s="518">
        <v>-9756</v>
      </c>
      <c r="M113" s="518"/>
      <c r="N113" s="518"/>
      <c r="O113" s="518"/>
      <c r="P113" s="518"/>
      <c r="Q113" s="518"/>
      <c r="R113" s="518"/>
      <c r="T113" s="518">
        <f t="shared" ref="T113:T116" si="60">K113</f>
        <v>-6805</v>
      </c>
      <c r="U113" s="518">
        <f t="shared" ref="U113:U116" si="61">L113-T113</f>
        <v>-2951</v>
      </c>
    </row>
    <row r="114" spans="1:21">
      <c r="A114" s="510" t="s">
        <v>554</v>
      </c>
      <c r="C114" s="518">
        <v>-12800</v>
      </c>
      <c r="D114" s="518">
        <v>-28616</v>
      </c>
      <c r="E114" s="518">
        <v>-44937</v>
      </c>
      <c r="F114" s="518">
        <v>-65244</v>
      </c>
      <c r="G114" s="518">
        <v>-18787</v>
      </c>
      <c r="H114" s="518">
        <v>-35825</v>
      </c>
      <c r="I114" s="518">
        <v>-58060</v>
      </c>
      <c r="J114" s="518">
        <v>-71361</v>
      </c>
      <c r="K114" s="518">
        <v>-23700</v>
      </c>
      <c r="L114" s="518">
        <v>-38439</v>
      </c>
      <c r="M114" s="518"/>
      <c r="N114" s="518"/>
      <c r="O114" s="518"/>
      <c r="P114" s="518"/>
      <c r="Q114" s="518"/>
      <c r="R114" s="518"/>
      <c r="T114" s="518">
        <f t="shared" si="60"/>
        <v>-23700</v>
      </c>
      <c r="U114" s="518">
        <f t="shared" si="61"/>
        <v>-14739</v>
      </c>
    </row>
    <row r="115" spans="1:21">
      <c r="A115" s="510" t="s">
        <v>555</v>
      </c>
      <c r="C115" s="518">
        <v>12772</v>
      </c>
      <c r="D115" s="518">
        <v>28616</v>
      </c>
      <c r="E115" s="518">
        <v>44937</v>
      </c>
      <c r="F115" s="518">
        <v>61794</v>
      </c>
      <c r="G115" s="518">
        <v>16820</v>
      </c>
      <c r="H115" s="518">
        <v>32695</v>
      </c>
      <c r="I115" s="518">
        <v>55484</v>
      </c>
      <c r="J115" s="518">
        <v>78696</v>
      </c>
      <c r="K115" s="518">
        <v>23700</v>
      </c>
      <c r="L115" s="518">
        <v>38439</v>
      </c>
      <c r="M115" s="518"/>
      <c r="N115" s="518"/>
      <c r="O115" s="518"/>
      <c r="P115" s="518"/>
      <c r="Q115" s="518"/>
      <c r="R115" s="518"/>
      <c r="T115" s="518">
        <f t="shared" si="60"/>
        <v>23700</v>
      </c>
      <c r="U115" s="518">
        <f t="shared" si="61"/>
        <v>14739</v>
      </c>
    </row>
    <row r="116" spans="1:21">
      <c r="A116" s="510" t="s">
        <v>556</v>
      </c>
      <c r="C116" s="518">
        <v>-15528</v>
      </c>
      <c r="D116" s="518">
        <v>-34794</v>
      </c>
      <c r="E116" s="518">
        <v>-42564</v>
      </c>
      <c r="F116" s="518">
        <v>-42039</v>
      </c>
      <c r="G116" s="518">
        <v>-9706</v>
      </c>
      <c r="H116" s="518">
        <v>-18500</v>
      </c>
      <c r="I116" s="518">
        <v>-36278</v>
      </c>
      <c r="J116" s="518">
        <v>-23444</v>
      </c>
      <c r="K116" s="518">
        <v>-9832</v>
      </c>
      <c r="L116" s="518">
        <v>-36678</v>
      </c>
      <c r="M116" s="518"/>
      <c r="N116" s="518"/>
      <c r="O116" s="518"/>
      <c r="P116" s="518"/>
      <c r="Q116" s="518"/>
      <c r="R116" s="518"/>
      <c r="T116" s="518">
        <f t="shared" si="60"/>
        <v>-9832</v>
      </c>
      <c r="U116" s="518">
        <f t="shared" si="61"/>
        <v>-26846</v>
      </c>
    </row>
    <row r="117" spans="1:21">
      <c r="A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  <c r="T117" s="510"/>
      <c r="U117" s="510"/>
    </row>
    <row r="118" spans="1:21" ht="15" thickBot="1">
      <c r="A118" s="523" t="s">
        <v>557</v>
      </c>
      <c r="C118" s="519">
        <f t="shared" ref="C118" si="62">C109+C111</f>
        <v>73572</v>
      </c>
      <c r="D118" s="519">
        <f t="shared" ref="D118:J118" si="63">D109+D111</f>
        <v>170821</v>
      </c>
      <c r="E118" s="519">
        <f t="shared" si="63"/>
        <v>246608</v>
      </c>
      <c r="F118" s="519">
        <f t="shared" si="63"/>
        <v>319751</v>
      </c>
      <c r="G118" s="519">
        <f t="shared" si="63"/>
        <v>85694</v>
      </c>
      <c r="H118" s="519">
        <f t="shared" si="63"/>
        <v>163203</v>
      </c>
      <c r="I118" s="519">
        <f t="shared" si="63"/>
        <v>279733</v>
      </c>
      <c r="J118" s="519">
        <f t="shared" si="63"/>
        <v>376845</v>
      </c>
      <c r="K118" s="519">
        <f>K109+K111</f>
        <v>105638</v>
      </c>
      <c r="L118" s="519">
        <f>L109+L111</f>
        <v>206060</v>
      </c>
      <c r="M118" s="519"/>
      <c r="N118" s="519"/>
      <c r="O118" s="519"/>
      <c r="P118" s="519"/>
      <c r="Q118" s="519"/>
      <c r="R118" s="519"/>
      <c r="T118" s="519">
        <f>T109+T111</f>
        <v>105638</v>
      </c>
      <c r="U118" s="519">
        <f>U109+U111</f>
        <v>100422</v>
      </c>
    </row>
    <row r="119" spans="1:21" ht="15" thickTop="1">
      <c r="A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  <c r="T119" s="510"/>
      <c r="U119" s="510"/>
    </row>
    <row r="120" spans="1:21">
      <c r="A120" s="509" t="s">
        <v>558</v>
      </c>
      <c r="C120" s="518"/>
      <c r="D120" s="518"/>
      <c r="E120" s="518"/>
      <c r="F120" s="518"/>
      <c r="G120" s="518"/>
      <c r="H120" s="518"/>
      <c r="I120" s="518"/>
      <c r="J120" s="518"/>
      <c r="K120" s="518"/>
      <c r="L120" s="518"/>
      <c r="M120" s="518"/>
      <c r="N120" s="518"/>
      <c r="O120" s="518"/>
      <c r="P120" s="518"/>
      <c r="Q120" s="518"/>
      <c r="R120" s="518"/>
      <c r="T120" s="518"/>
      <c r="U120" s="518"/>
    </row>
    <row r="121" spans="1:21">
      <c r="A121" s="510" t="s">
        <v>559</v>
      </c>
      <c r="C121" s="518">
        <f t="shared" ref="C121" si="64">C118-C122</f>
        <v>70913.735644507207</v>
      </c>
      <c r="D121" s="518">
        <f t="shared" ref="D121:I121" si="65">D118-D122</f>
        <v>164648.98652381837</v>
      </c>
      <c r="E121" s="518">
        <f t="shared" si="65"/>
        <v>237697.69096695256</v>
      </c>
      <c r="F121" s="518">
        <f t="shared" si="65"/>
        <v>308197.92701118393</v>
      </c>
      <c r="G121" s="518">
        <f t="shared" si="65"/>
        <v>82597.749990762793</v>
      </c>
      <c r="H121" s="518">
        <f t="shared" si="65"/>
        <v>157306.23604619296</v>
      </c>
      <c r="I121" s="518">
        <f t="shared" si="65"/>
        <v>269625.83609314595</v>
      </c>
      <c r="J121" s="518">
        <f>J118-J122</f>
        <v>363229.03698355786</v>
      </c>
      <c r="K121" s="518">
        <v>101821.14399519454</v>
      </c>
      <c r="L121" s="518">
        <v>198614.7497268955</v>
      </c>
      <c r="M121" s="518"/>
      <c r="N121" s="518"/>
      <c r="O121" s="518"/>
      <c r="P121" s="518"/>
      <c r="Q121" s="518"/>
      <c r="R121" s="518"/>
      <c r="T121" s="518">
        <f t="shared" ref="T121:T122" si="66">K121</f>
        <v>101821.14399519454</v>
      </c>
      <c r="U121" s="518">
        <f t="shared" ref="U121:U122" si="67">L121-T121</f>
        <v>96793.605731700969</v>
      </c>
    </row>
    <row r="122" spans="1:21">
      <c r="A122" s="510" t="s">
        <v>560</v>
      </c>
      <c r="C122" s="518">
        <f t="shared" ref="C122" si="68">C118*C127</f>
        <v>2658.2643554927931</v>
      </c>
      <c r="D122" s="518">
        <f t="shared" ref="D122:I122" si="69">D118*D127</f>
        <v>6172.0134761816234</v>
      </c>
      <c r="E122" s="518">
        <f t="shared" si="69"/>
        <v>8910.3090330474461</v>
      </c>
      <c r="F122" s="518">
        <f t="shared" si="69"/>
        <v>11553.072988816073</v>
      </c>
      <c r="G122" s="518">
        <f t="shared" si="69"/>
        <v>3096.250009237202</v>
      </c>
      <c r="H122" s="518">
        <f t="shared" si="69"/>
        <v>5896.7639538070234</v>
      </c>
      <c r="I122" s="518">
        <f t="shared" si="69"/>
        <v>10107.163906854041</v>
      </c>
      <c r="J122" s="518">
        <f>J118*J127</f>
        <v>13615.963016442147</v>
      </c>
      <c r="K122" s="518">
        <v>3816.8560048054642</v>
      </c>
      <c r="L122" s="518">
        <v>7445.2502731044951</v>
      </c>
      <c r="M122" s="518"/>
      <c r="N122" s="518"/>
      <c r="O122" s="518"/>
      <c r="P122" s="518"/>
      <c r="Q122" s="518"/>
      <c r="R122" s="518"/>
      <c r="T122" s="518">
        <f t="shared" si="66"/>
        <v>3816.8560048054642</v>
      </c>
      <c r="U122" s="518">
        <f t="shared" si="67"/>
        <v>3628.394268299031</v>
      </c>
    </row>
    <row r="123" spans="1:21">
      <c r="A123" s="510"/>
      <c r="C123" s="510"/>
      <c r="D123" s="510"/>
      <c r="E123" s="510"/>
      <c r="F123" s="510"/>
      <c r="G123" s="510"/>
      <c r="H123" s="510"/>
      <c r="I123" s="510"/>
      <c r="J123" s="510"/>
      <c r="K123" s="510"/>
      <c r="L123" s="510"/>
      <c r="M123" s="510"/>
      <c r="N123" s="510"/>
      <c r="O123" s="510"/>
      <c r="P123" s="510"/>
      <c r="Q123" s="510"/>
      <c r="R123" s="510"/>
      <c r="T123" s="510"/>
      <c r="U123" s="510"/>
    </row>
    <row r="124" spans="1:21" ht="15" thickBot="1">
      <c r="A124" s="523" t="s">
        <v>557</v>
      </c>
      <c r="C124" s="519">
        <f t="shared" ref="C124" si="70">SUM(C121:C122)</f>
        <v>73572</v>
      </c>
      <c r="D124" s="519">
        <f t="shared" ref="D124:I124" si="71">SUM(D121:D122)</f>
        <v>170821</v>
      </c>
      <c r="E124" s="519">
        <f t="shared" si="71"/>
        <v>246608</v>
      </c>
      <c r="F124" s="519">
        <f t="shared" si="71"/>
        <v>319751</v>
      </c>
      <c r="G124" s="519">
        <f t="shared" si="71"/>
        <v>85694</v>
      </c>
      <c r="H124" s="519">
        <f t="shared" si="71"/>
        <v>163203</v>
      </c>
      <c r="I124" s="519">
        <f t="shared" si="71"/>
        <v>279733</v>
      </c>
      <c r="J124" s="519">
        <f t="shared" ref="J124" si="72">SUM(J121:J122)</f>
        <v>376845</v>
      </c>
      <c r="K124" s="519">
        <f>SUM(K121:K122)</f>
        <v>105638</v>
      </c>
      <c r="L124" s="519">
        <f>SUM(L121:L122)</f>
        <v>206060</v>
      </c>
      <c r="M124" s="519"/>
      <c r="N124" s="519"/>
      <c r="O124" s="519"/>
      <c r="P124" s="519"/>
      <c r="Q124" s="519"/>
      <c r="R124" s="519"/>
      <c r="T124" s="519">
        <f>SUM(T121:T122)</f>
        <v>105638</v>
      </c>
      <c r="U124" s="519">
        <f>SUM(U121:U122)</f>
        <v>100422</v>
      </c>
    </row>
    <row r="125" spans="1:21" ht="15" thickTop="1"/>
    <row r="126" spans="1:21" s="525" customFormat="1" ht="10.5">
      <c r="A126" s="524" t="s">
        <v>561</v>
      </c>
      <c r="C126" s="526">
        <v>0.96386853211149903</v>
      </c>
      <c r="D126" s="526">
        <v>0.96386853211149903</v>
      </c>
      <c r="E126" s="526">
        <v>0.96386853211149903</v>
      </c>
      <c r="F126" s="526">
        <v>0.96386853211149903</v>
      </c>
      <c r="G126" s="526">
        <v>0.96386853211149903</v>
      </c>
      <c r="H126" s="526">
        <v>0.96386853211149903</v>
      </c>
      <c r="I126" s="526">
        <v>0.96386853211149903</v>
      </c>
      <c r="J126" s="526">
        <v>0.96386853211149903</v>
      </c>
      <c r="K126" s="526">
        <v>0.96386853211149903</v>
      </c>
      <c r="L126" s="526">
        <v>0.96386853211149903</v>
      </c>
      <c r="T126" s="526">
        <f t="shared" ref="T126:T127" si="73">K126</f>
        <v>0.96386853211149903</v>
      </c>
      <c r="U126" s="526">
        <v>0.96386853211149903</v>
      </c>
    </row>
    <row r="127" spans="1:21" s="525" customFormat="1" ht="10.5">
      <c r="A127" s="524" t="s">
        <v>562</v>
      </c>
      <c r="C127" s="526">
        <v>3.6131467888500968E-2</v>
      </c>
      <c r="D127" s="526">
        <v>3.6131467888500968E-2</v>
      </c>
      <c r="E127" s="526">
        <v>3.6131467888500968E-2</v>
      </c>
      <c r="F127" s="526">
        <v>3.6131467888500968E-2</v>
      </c>
      <c r="G127" s="526">
        <v>3.6131467888500968E-2</v>
      </c>
      <c r="H127" s="526">
        <v>3.6131467888500968E-2</v>
      </c>
      <c r="I127" s="526">
        <v>3.6131467888500968E-2</v>
      </c>
      <c r="J127" s="526">
        <v>3.6131467888500968E-2</v>
      </c>
      <c r="K127" s="526">
        <v>3.6131467888500968E-2</v>
      </c>
      <c r="L127" s="526">
        <v>3.6131467888500968E-2</v>
      </c>
      <c r="T127" s="526">
        <f t="shared" si="73"/>
        <v>3.6131467888500968E-2</v>
      </c>
      <c r="U127" s="526">
        <v>3.6131467888500968E-2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79998168889431442"/>
  </sheetPr>
  <dimension ref="A4:U127"/>
  <sheetViews>
    <sheetView showGridLines="0" zoomScale="85" zoomScaleNormal="85" workbookViewId="0">
      <pane xSplit="1" ySplit="4" topLeftCell="B110" activePane="bottomRight" state="frozen"/>
      <selection pane="topRight"/>
      <selection pane="bottomLeft"/>
      <selection pane="bottomRight" activeCell="L24" sqref="L24"/>
    </sheetView>
  </sheetViews>
  <sheetFormatPr defaultRowHeight="14.5" outlineLevelRow="1"/>
  <cols>
    <col min="1" max="1" width="65.7265625" bestFit="1" customWidth="1"/>
    <col min="2" max="2" width="1.54296875" customWidth="1"/>
    <col min="3" max="12" width="15.1796875" customWidth="1"/>
    <col min="13" max="18" width="15.1796875" hidden="1" customWidth="1"/>
    <col min="19" max="19" width="1.54296875" customWidth="1"/>
    <col min="20" max="20" width="15.1796875" hidden="1" customWidth="1"/>
    <col min="21" max="21" width="15.1796875" customWidth="1"/>
  </cols>
  <sheetData>
    <row r="4" spans="1:21">
      <c r="A4" s="521" t="s">
        <v>566</v>
      </c>
      <c r="C4" s="520" t="s">
        <v>453</v>
      </c>
      <c r="D4" s="520" t="s">
        <v>454</v>
      </c>
      <c r="E4" s="520" t="s">
        <v>455</v>
      </c>
      <c r="F4" s="520">
        <v>2022</v>
      </c>
      <c r="G4" s="520" t="s">
        <v>456</v>
      </c>
      <c r="H4" s="520" t="s">
        <v>457</v>
      </c>
      <c r="I4" s="520" t="s">
        <v>458</v>
      </c>
      <c r="J4" s="520">
        <v>2023</v>
      </c>
      <c r="K4" s="520" t="s">
        <v>459</v>
      </c>
      <c r="L4" s="520" t="s">
        <v>460</v>
      </c>
      <c r="M4" s="520" t="s">
        <v>461</v>
      </c>
      <c r="N4" s="520">
        <v>2024</v>
      </c>
      <c r="O4" s="520" t="s">
        <v>462</v>
      </c>
      <c r="P4" s="520" t="s">
        <v>463</v>
      </c>
      <c r="Q4" s="520" t="s">
        <v>464</v>
      </c>
      <c r="R4" s="520">
        <v>2025</v>
      </c>
      <c r="T4" s="520" t="s">
        <v>53</v>
      </c>
      <c r="U4" s="520" t="s">
        <v>54</v>
      </c>
    </row>
    <row r="5" spans="1:21" ht="6.65" customHeight="1"/>
    <row r="6" spans="1:21">
      <c r="A6" s="522" t="s">
        <v>465</v>
      </c>
      <c r="C6" s="513">
        <f t="shared" ref="C6:I6" si="0">SUM(C8,C11:C17)</f>
        <v>1918672</v>
      </c>
      <c r="D6" s="513">
        <f t="shared" si="0"/>
        <v>3441049</v>
      </c>
      <c r="E6" s="513">
        <f t="shared" si="0"/>
        <v>5160430</v>
      </c>
      <c r="F6" s="513">
        <f t="shared" si="0"/>
        <v>6851135</v>
      </c>
      <c r="G6" s="513">
        <f t="shared" si="0"/>
        <v>1811009</v>
      </c>
      <c r="H6" s="513">
        <f t="shared" si="0"/>
        <v>3434260</v>
      </c>
      <c r="I6" s="513">
        <f t="shared" si="0"/>
        <v>5111894</v>
      </c>
      <c r="J6" s="513">
        <f>SUM(J8,J11:J17)</f>
        <v>6810942</v>
      </c>
      <c r="K6" s="513">
        <f t="shared" ref="K6:L6" si="1">SUM(K8,K11:K17)</f>
        <v>1875792</v>
      </c>
      <c r="L6" s="513">
        <f t="shared" si="1"/>
        <v>3601077</v>
      </c>
      <c r="M6" s="513"/>
      <c r="N6" s="513"/>
      <c r="O6" s="513"/>
      <c r="P6" s="513"/>
      <c r="Q6" s="513"/>
      <c r="R6" s="513"/>
      <c r="T6" s="513">
        <f t="shared" ref="T6:U6" si="2">SUM(T8,T11:T17)</f>
        <v>1875792</v>
      </c>
      <c r="U6" s="513">
        <f t="shared" si="2"/>
        <v>1725285</v>
      </c>
    </row>
    <row r="7" spans="1:21">
      <c r="A7" s="509"/>
      <c r="C7" s="514"/>
      <c r="D7" s="514"/>
      <c r="E7" s="514"/>
      <c r="F7" s="514"/>
      <c r="G7" s="514"/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514"/>
      <c r="T7" s="514"/>
      <c r="U7" s="514"/>
    </row>
    <row r="8" spans="1:21">
      <c r="A8" s="510" t="s">
        <v>466</v>
      </c>
      <c r="C8" s="515">
        <f t="shared" ref="C8:H8" si="3">SUM(C9:C10)</f>
        <v>1636479</v>
      </c>
      <c r="D8" s="515">
        <f t="shared" si="3"/>
        <v>2798490</v>
      </c>
      <c r="E8" s="515">
        <f t="shared" si="3"/>
        <v>3978435</v>
      </c>
      <c r="F8" s="515">
        <f t="shared" si="3"/>
        <v>5215021</v>
      </c>
      <c r="G8" s="515">
        <f t="shared" si="3"/>
        <v>1383209</v>
      </c>
      <c r="H8" s="515">
        <f t="shared" si="3"/>
        <v>2583254</v>
      </c>
      <c r="I8" s="515">
        <f>SUM(I9:I10)</f>
        <v>3849292</v>
      </c>
      <c r="J8" s="515">
        <f>SUM(J9:J10)</f>
        <v>5236498</v>
      </c>
      <c r="K8" s="515">
        <f>SUM(K9:K10)</f>
        <v>1519337</v>
      </c>
      <c r="L8" s="515">
        <f>SUM(L9:L10)</f>
        <v>2804629</v>
      </c>
      <c r="M8" s="515"/>
      <c r="N8" s="515"/>
      <c r="O8" s="515"/>
      <c r="P8" s="515"/>
      <c r="Q8" s="515"/>
      <c r="R8" s="515"/>
      <c r="T8" s="515">
        <f>SUM(T9:T10)</f>
        <v>1519337</v>
      </c>
      <c r="U8" s="515">
        <f>SUM(U9:U10)</f>
        <v>1285292</v>
      </c>
    </row>
    <row r="9" spans="1:21" outlineLevel="1">
      <c r="A9" s="511" t="s">
        <v>466</v>
      </c>
      <c r="C9" s="516">
        <v>1968812</v>
      </c>
      <c r="D9" s="516">
        <v>3175269</v>
      </c>
      <c r="E9" s="516">
        <v>4294212</v>
      </c>
      <c r="F9" s="516">
        <v>5456098</v>
      </c>
      <c r="G9" s="516">
        <v>1551993</v>
      </c>
      <c r="H9" s="516">
        <v>2709322</v>
      </c>
      <c r="I9" s="516">
        <v>3846463</v>
      </c>
      <c r="J9" s="516">
        <v>5083450</v>
      </c>
      <c r="K9" s="516">
        <v>1539812</v>
      </c>
      <c r="L9" s="516">
        <v>2656829</v>
      </c>
      <c r="M9" s="516"/>
      <c r="N9" s="516"/>
      <c r="O9" s="516"/>
      <c r="P9" s="516"/>
      <c r="Q9" s="516"/>
      <c r="R9" s="516"/>
      <c r="T9" s="516">
        <f>K9</f>
        <v>1539812</v>
      </c>
      <c r="U9" s="516">
        <f>L9-T9</f>
        <v>1117017</v>
      </c>
    </row>
    <row r="10" spans="1:21" outlineLevel="1">
      <c r="A10" s="511" t="s">
        <v>467</v>
      </c>
      <c r="C10" s="516">
        <v>-332333</v>
      </c>
      <c r="D10" s="516">
        <v>-376779</v>
      </c>
      <c r="E10" s="516">
        <v>-315777</v>
      </c>
      <c r="F10" s="516">
        <v>-241077</v>
      </c>
      <c r="G10" s="516">
        <v>-168784</v>
      </c>
      <c r="H10" s="516">
        <v>-126068</v>
      </c>
      <c r="I10" s="516">
        <v>2829</v>
      </c>
      <c r="J10" s="516">
        <v>153048</v>
      </c>
      <c r="K10" s="516">
        <v>-20475</v>
      </c>
      <c r="L10" s="516">
        <v>147800</v>
      </c>
      <c r="M10" s="516"/>
      <c r="N10" s="516"/>
      <c r="O10" s="516"/>
      <c r="P10" s="516"/>
      <c r="Q10" s="516"/>
      <c r="R10" s="516"/>
      <c r="T10" s="516">
        <f t="shared" ref="T10:T25" si="4">K10</f>
        <v>-20475</v>
      </c>
      <c r="U10" s="516">
        <f t="shared" ref="U10:U16" si="5">L10-T10</f>
        <v>168275</v>
      </c>
    </row>
    <row r="11" spans="1:21">
      <c r="A11" s="510" t="s">
        <v>468</v>
      </c>
      <c r="C11" s="515">
        <v>23908</v>
      </c>
      <c r="D11" s="515">
        <v>86997</v>
      </c>
      <c r="E11" s="515">
        <v>142620</v>
      </c>
      <c r="F11" s="515">
        <v>194913</v>
      </c>
      <c r="G11" s="515">
        <v>20288</v>
      </c>
      <c r="H11" s="515">
        <v>61521</v>
      </c>
      <c r="I11" s="515">
        <v>109174</v>
      </c>
      <c r="J11" s="515">
        <v>150700</v>
      </c>
      <c r="K11" s="515">
        <v>9725</v>
      </c>
      <c r="L11" s="515">
        <v>35685</v>
      </c>
      <c r="M11" s="515"/>
      <c r="N11" s="515"/>
      <c r="O11" s="515"/>
      <c r="P11" s="515"/>
      <c r="Q11" s="515"/>
      <c r="R11" s="515"/>
      <c r="T11" s="515">
        <f t="shared" si="4"/>
        <v>9725</v>
      </c>
      <c r="U11" s="515">
        <f t="shared" si="5"/>
        <v>25960</v>
      </c>
    </row>
    <row r="12" spans="1:21">
      <c r="A12" s="510" t="s">
        <v>469</v>
      </c>
      <c r="C12" s="515">
        <v>0</v>
      </c>
      <c r="D12" s="515">
        <v>0</v>
      </c>
      <c r="E12" s="515">
        <v>0</v>
      </c>
      <c r="F12" s="515">
        <v>0</v>
      </c>
      <c r="G12" s="515">
        <v>0</v>
      </c>
      <c r="H12" s="515">
        <v>0</v>
      </c>
      <c r="I12" s="515">
        <v>0</v>
      </c>
      <c r="J12" s="515">
        <v>0</v>
      </c>
      <c r="K12" s="515">
        <v>0</v>
      </c>
      <c r="L12" s="515">
        <v>0</v>
      </c>
      <c r="M12" s="515"/>
      <c r="N12" s="515"/>
      <c r="O12" s="515"/>
      <c r="P12" s="515"/>
      <c r="Q12" s="515"/>
      <c r="R12" s="515"/>
      <c r="T12" s="515">
        <f t="shared" si="4"/>
        <v>0</v>
      </c>
      <c r="U12" s="515">
        <f t="shared" si="5"/>
        <v>0</v>
      </c>
    </row>
    <row r="13" spans="1:21">
      <c r="A13" s="510" t="s">
        <v>470</v>
      </c>
      <c r="C13" s="515">
        <v>69161</v>
      </c>
      <c r="D13" s="515">
        <v>165325</v>
      </c>
      <c r="E13" s="515">
        <v>494038</v>
      </c>
      <c r="F13" s="515">
        <v>750927</v>
      </c>
      <c r="G13" s="515">
        <v>207767</v>
      </c>
      <c r="H13" s="515">
        <v>418023</v>
      </c>
      <c r="I13" s="515">
        <v>593091</v>
      </c>
      <c r="J13" s="515">
        <v>630471</v>
      </c>
      <c r="K13" s="515">
        <v>126809</v>
      </c>
      <c r="L13" s="515">
        <v>339892</v>
      </c>
      <c r="M13" s="515"/>
      <c r="N13" s="515"/>
      <c r="O13" s="515"/>
      <c r="P13" s="515"/>
      <c r="Q13" s="515"/>
      <c r="R13" s="515"/>
      <c r="T13" s="515">
        <f t="shared" si="4"/>
        <v>126809</v>
      </c>
      <c r="U13" s="515">
        <f t="shared" si="5"/>
        <v>213083</v>
      </c>
    </row>
    <row r="14" spans="1:21">
      <c r="A14" s="510" t="s">
        <v>471</v>
      </c>
      <c r="C14" s="515">
        <v>0</v>
      </c>
      <c r="D14" s="515">
        <v>0</v>
      </c>
      <c r="E14" s="515">
        <v>0</v>
      </c>
      <c r="F14" s="515">
        <v>0</v>
      </c>
      <c r="G14" s="515">
        <v>0</v>
      </c>
      <c r="H14" s="515">
        <v>0</v>
      </c>
      <c r="I14" s="515">
        <v>0</v>
      </c>
      <c r="J14" s="515">
        <v>0</v>
      </c>
      <c r="K14" s="515">
        <v>0</v>
      </c>
      <c r="L14" s="515">
        <v>0</v>
      </c>
      <c r="M14" s="515"/>
      <c r="N14" s="515"/>
      <c r="O14" s="515"/>
      <c r="P14" s="515"/>
      <c r="Q14" s="515"/>
      <c r="R14" s="515"/>
      <c r="T14" s="515">
        <f t="shared" si="4"/>
        <v>0</v>
      </c>
      <c r="U14" s="515">
        <f t="shared" si="5"/>
        <v>0</v>
      </c>
    </row>
    <row r="15" spans="1:21">
      <c r="A15" s="510" t="s">
        <v>472</v>
      </c>
      <c r="C15" s="515">
        <v>0</v>
      </c>
      <c r="D15" s="515">
        <v>0</v>
      </c>
      <c r="E15" s="515">
        <v>0</v>
      </c>
      <c r="F15" s="515">
        <v>0</v>
      </c>
      <c r="G15" s="515">
        <v>0</v>
      </c>
      <c r="H15" s="515">
        <v>0</v>
      </c>
      <c r="I15" s="515">
        <v>0</v>
      </c>
      <c r="J15" s="515">
        <v>0</v>
      </c>
      <c r="K15" s="515">
        <v>0</v>
      </c>
      <c r="L15" s="515">
        <v>0</v>
      </c>
      <c r="M15" s="515"/>
      <c r="N15" s="515"/>
      <c r="O15" s="515"/>
      <c r="P15" s="515"/>
      <c r="Q15" s="515"/>
      <c r="R15" s="515"/>
      <c r="T15" s="515">
        <f t="shared" si="4"/>
        <v>0</v>
      </c>
      <c r="U15" s="515">
        <f t="shared" si="5"/>
        <v>0</v>
      </c>
    </row>
    <row r="16" spans="1:21">
      <c r="A16" s="510" t="s">
        <v>473</v>
      </c>
      <c r="C16" s="515">
        <v>0</v>
      </c>
      <c r="D16" s="515">
        <v>0</v>
      </c>
      <c r="E16" s="515">
        <v>0</v>
      </c>
      <c r="F16" s="515">
        <v>0</v>
      </c>
      <c r="G16" s="515">
        <v>0</v>
      </c>
      <c r="H16" s="515">
        <v>0</v>
      </c>
      <c r="I16" s="515">
        <v>0</v>
      </c>
      <c r="J16" s="515">
        <v>0</v>
      </c>
      <c r="K16" s="515">
        <v>0</v>
      </c>
      <c r="L16" s="515">
        <v>0</v>
      </c>
      <c r="M16" s="515"/>
      <c r="N16" s="515"/>
      <c r="O16" s="515"/>
      <c r="P16" s="515"/>
      <c r="Q16" s="515"/>
      <c r="R16" s="515"/>
      <c r="T16" s="515">
        <f t="shared" si="4"/>
        <v>0</v>
      </c>
      <c r="U16" s="515">
        <f t="shared" si="5"/>
        <v>0</v>
      </c>
    </row>
    <row r="17" spans="1:21">
      <c r="A17" s="510" t="s">
        <v>474</v>
      </c>
      <c r="C17" s="515">
        <f t="shared" ref="C17:H17" si="6">SUM(C18:C25)</f>
        <v>189124</v>
      </c>
      <c r="D17" s="515">
        <f t="shared" si="6"/>
        <v>390237</v>
      </c>
      <c r="E17" s="515">
        <f t="shared" si="6"/>
        <v>545337</v>
      </c>
      <c r="F17" s="515">
        <f t="shared" si="6"/>
        <v>690274</v>
      </c>
      <c r="G17" s="515">
        <f t="shared" si="6"/>
        <v>199745</v>
      </c>
      <c r="H17" s="515">
        <f t="shared" si="6"/>
        <v>371462</v>
      </c>
      <c r="I17" s="515">
        <f>SUM(I18:I25)</f>
        <v>560337</v>
      </c>
      <c r="J17" s="515">
        <f>SUM(J18:J25)</f>
        <v>793273</v>
      </c>
      <c r="K17" s="515">
        <f>SUM(K18:K25)</f>
        <v>219921</v>
      </c>
      <c r="L17" s="515">
        <f>SUM(L18:L25)</f>
        <v>420871</v>
      </c>
      <c r="M17" s="515"/>
      <c r="N17" s="515"/>
      <c r="O17" s="515"/>
      <c r="P17" s="515"/>
      <c r="Q17" s="515"/>
      <c r="R17" s="515"/>
      <c r="T17" s="515">
        <f>SUM(T18:T25)</f>
        <v>219921</v>
      </c>
      <c r="U17" s="515">
        <f>SUM(U18:U25)</f>
        <v>200950</v>
      </c>
    </row>
    <row r="18" spans="1:21" outlineLevel="1">
      <c r="A18" s="511" t="s">
        <v>475</v>
      </c>
      <c r="C18" s="516">
        <v>127752</v>
      </c>
      <c r="D18" s="516">
        <v>251933</v>
      </c>
      <c r="E18" s="516">
        <v>363643</v>
      </c>
      <c r="F18" s="516">
        <v>456205</v>
      </c>
      <c r="G18" s="516">
        <v>127195</v>
      </c>
      <c r="H18" s="516">
        <v>261618</v>
      </c>
      <c r="I18" s="516">
        <v>405364</v>
      </c>
      <c r="J18" s="516">
        <v>551203</v>
      </c>
      <c r="K18" s="516">
        <v>151653</v>
      </c>
      <c r="L18" s="516">
        <v>309627</v>
      </c>
      <c r="M18" s="516"/>
      <c r="N18" s="516"/>
      <c r="O18" s="516"/>
      <c r="P18" s="516"/>
      <c r="Q18" s="516"/>
      <c r="R18" s="516"/>
      <c r="T18" s="516">
        <f t="shared" si="4"/>
        <v>151653</v>
      </c>
      <c r="U18" s="516">
        <f t="shared" ref="U18:U25" si="7">L18-T18</f>
        <v>157974</v>
      </c>
    </row>
    <row r="19" spans="1:21" outlineLevel="1">
      <c r="A19" s="511" t="s">
        <v>476</v>
      </c>
      <c r="C19" s="516">
        <v>7033</v>
      </c>
      <c r="D19" s="516">
        <v>28521</v>
      </c>
      <c r="E19" s="516">
        <v>26603</v>
      </c>
      <c r="F19" s="516">
        <v>31724</v>
      </c>
      <c r="G19" s="516">
        <v>14650</v>
      </c>
      <c r="H19" s="516">
        <v>10023</v>
      </c>
      <c r="I19" s="516">
        <v>13966</v>
      </c>
      <c r="J19" s="516">
        <v>24796</v>
      </c>
      <c r="K19" s="516">
        <v>10266</v>
      </c>
      <c r="L19" s="516">
        <v>14243</v>
      </c>
      <c r="M19" s="516"/>
      <c r="N19" s="516"/>
      <c r="O19" s="516"/>
      <c r="P19" s="516"/>
      <c r="Q19" s="516"/>
      <c r="R19" s="516"/>
      <c r="T19" s="516">
        <f t="shared" si="4"/>
        <v>10266</v>
      </c>
      <c r="U19" s="516">
        <f t="shared" si="7"/>
        <v>3977</v>
      </c>
    </row>
    <row r="20" spans="1:21" outlineLevel="1">
      <c r="A20" s="511" t="s">
        <v>477</v>
      </c>
      <c r="C20" s="516">
        <v>0</v>
      </c>
      <c r="D20" s="516">
        <v>0</v>
      </c>
      <c r="E20" s="516">
        <v>0</v>
      </c>
      <c r="F20" s="516">
        <v>0</v>
      </c>
      <c r="G20" s="516">
        <v>0</v>
      </c>
      <c r="H20" s="516">
        <v>0</v>
      </c>
      <c r="I20" s="516">
        <v>0</v>
      </c>
      <c r="J20" s="516">
        <v>0</v>
      </c>
      <c r="K20" s="516">
        <v>0</v>
      </c>
      <c r="L20" s="516">
        <v>0</v>
      </c>
      <c r="M20" s="516"/>
      <c r="N20" s="516"/>
      <c r="O20" s="516"/>
      <c r="P20" s="516"/>
      <c r="Q20" s="516"/>
      <c r="R20" s="516"/>
      <c r="T20" s="516">
        <f t="shared" si="4"/>
        <v>0</v>
      </c>
      <c r="U20" s="516">
        <f t="shared" si="7"/>
        <v>0</v>
      </c>
    </row>
    <row r="21" spans="1:21" outlineLevel="1">
      <c r="A21" s="511" t="s">
        <v>478</v>
      </c>
      <c r="C21" s="516">
        <v>0</v>
      </c>
      <c r="D21" s="516">
        <v>0</v>
      </c>
      <c r="E21" s="516">
        <v>0</v>
      </c>
      <c r="F21" s="516">
        <v>0</v>
      </c>
      <c r="G21" s="516">
        <v>0</v>
      </c>
      <c r="H21" s="516">
        <v>0</v>
      </c>
      <c r="I21" s="516">
        <v>0</v>
      </c>
      <c r="J21" s="516">
        <v>0</v>
      </c>
      <c r="K21" s="516">
        <v>0</v>
      </c>
      <c r="L21" s="516">
        <v>0</v>
      </c>
      <c r="M21" s="516"/>
      <c r="N21" s="516"/>
      <c r="O21" s="516"/>
      <c r="P21" s="516"/>
      <c r="Q21" s="516"/>
      <c r="R21" s="516"/>
      <c r="T21" s="516">
        <f t="shared" si="4"/>
        <v>0</v>
      </c>
      <c r="U21" s="516">
        <f t="shared" si="7"/>
        <v>0</v>
      </c>
    </row>
    <row r="22" spans="1:21" outlineLevel="1">
      <c r="A22" s="511" t="s">
        <v>479</v>
      </c>
      <c r="C22" s="516">
        <v>0</v>
      </c>
      <c r="D22" s="516">
        <v>0</v>
      </c>
      <c r="E22" s="516">
        <v>0</v>
      </c>
      <c r="F22" s="516">
        <v>0</v>
      </c>
      <c r="G22" s="516">
        <v>0</v>
      </c>
      <c r="H22" s="516">
        <v>0</v>
      </c>
      <c r="I22" s="516">
        <v>0</v>
      </c>
      <c r="J22" s="516">
        <v>0</v>
      </c>
      <c r="K22" s="516">
        <v>0</v>
      </c>
      <c r="L22" s="516">
        <v>0</v>
      </c>
      <c r="M22" s="516"/>
      <c r="N22" s="516"/>
      <c r="O22" s="516"/>
      <c r="P22" s="516"/>
      <c r="Q22" s="516"/>
      <c r="R22" s="516"/>
      <c r="T22" s="516">
        <f t="shared" si="4"/>
        <v>0</v>
      </c>
      <c r="U22" s="516">
        <f t="shared" si="7"/>
        <v>0</v>
      </c>
    </row>
    <row r="23" spans="1:21" outlineLevel="1">
      <c r="A23" s="511" t="s">
        <v>480</v>
      </c>
      <c r="C23" s="516">
        <v>0</v>
      </c>
      <c r="D23" s="516">
        <v>0</v>
      </c>
      <c r="E23" s="516">
        <v>0</v>
      </c>
      <c r="F23" s="516">
        <v>0</v>
      </c>
      <c r="G23" s="516">
        <v>0</v>
      </c>
      <c r="H23" s="516">
        <v>0</v>
      </c>
      <c r="I23" s="516">
        <v>0</v>
      </c>
      <c r="J23" s="516">
        <v>0</v>
      </c>
      <c r="K23" s="516">
        <v>0</v>
      </c>
      <c r="L23" s="516">
        <v>0</v>
      </c>
      <c r="M23" s="516"/>
      <c r="N23" s="516"/>
      <c r="O23" s="516"/>
      <c r="P23" s="516"/>
      <c r="Q23" s="516"/>
      <c r="R23" s="516"/>
      <c r="T23" s="516">
        <f t="shared" si="4"/>
        <v>0</v>
      </c>
      <c r="U23" s="516">
        <f t="shared" si="7"/>
        <v>0</v>
      </c>
    </row>
    <row r="24" spans="1:21" outlineLevel="1">
      <c r="A24" s="511" t="s">
        <v>481</v>
      </c>
      <c r="C24" s="516">
        <v>0</v>
      </c>
      <c r="D24" s="516">
        <v>0</v>
      </c>
      <c r="E24" s="516">
        <v>0</v>
      </c>
      <c r="F24" s="516">
        <v>0</v>
      </c>
      <c r="G24" s="516">
        <v>0</v>
      </c>
      <c r="H24" s="516">
        <v>0</v>
      </c>
      <c r="I24" s="516">
        <v>0</v>
      </c>
      <c r="J24" s="516">
        <v>0</v>
      </c>
      <c r="K24" s="516">
        <v>0</v>
      </c>
      <c r="L24" s="516">
        <v>0</v>
      </c>
      <c r="M24" s="516"/>
      <c r="N24" s="516"/>
      <c r="O24" s="516"/>
      <c r="P24" s="516"/>
      <c r="Q24" s="516"/>
      <c r="R24" s="516"/>
      <c r="T24" s="516">
        <f t="shared" si="4"/>
        <v>0</v>
      </c>
      <c r="U24" s="516">
        <f t="shared" si="7"/>
        <v>0</v>
      </c>
    </row>
    <row r="25" spans="1:21" outlineLevel="1">
      <c r="A25" s="511" t="s">
        <v>474</v>
      </c>
      <c r="C25" s="516">
        <v>54339</v>
      </c>
      <c r="D25" s="516">
        <v>109783</v>
      </c>
      <c r="E25" s="516">
        <v>155091</v>
      </c>
      <c r="F25" s="516">
        <v>202345</v>
      </c>
      <c r="G25" s="516">
        <v>57900</v>
      </c>
      <c r="H25" s="516">
        <v>99821</v>
      </c>
      <c r="I25" s="516">
        <v>141007</v>
      </c>
      <c r="J25" s="516">
        <v>217274</v>
      </c>
      <c r="K25" s="516">
        <v>58002</v>
      </c>
      <c r="L25" s="516">
        <v>97001</v>
      </c>
      <c r="M25" s="516"/>
      <c r="N25" s="516"/>
      <c r="O25" s="516"/>
      <c r="P25" s="516"/>
      <c r="Q25" s="516"/>
      <c r="R25" s="516"/>
      <c r="T25" s="516">
        <f t="shared" si="4"/>
        <v>58002</v>
      </c>
      <c r="U25" s="516">
        <f t="shared" si="7"/>
        <v>38999</v>
      </c>
    </row>
    <row r="26" spans="1:21">
      <c r="A26" s="510"/>
      <c r="C26" s="510"/>
      <c r="D26" s="510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  <c r="T26" s="510"/>
      <c r="U26" s="510"/>
    </row>
    <row r="27" spans="1:21">
      <c r="A27" s="522" t="s">
        <v>482</v>
      </c>
      <c r="C27" s="513">
        <f t="shared" ref="C27:H27" si="8">SUM(C29:C37)</f>
        <v>-860159</v>
      </c>
      <c r="D27" s="513">
        <f t="shared" si="8"/>
        <v>-1481461</v>
      </c>
      <c r="E27" s="513">
        <f t="shared" si="8"/>
        <v>-1976959</v>
      </c>
      <c r="F27" s="513">
        <f t="shared" si="8"/>
        <v>-2383143</v>
      </c>
      <c r="G27" s="513">
        <f t="shared" si="8"/>
        <v>-515986</v>
      </c>
      <c r="H27" s="513">
        <f t="shared" si="8"/>
        <v>-1019077</v>
      </c>
      <c r="I27" s="513">
        <f>SUM(I29:I37)</f>
        <v>-1495718</v>
      </c>
      <c r="J27" s="513">
        <f>SUM(J29:J37)</f>
        <v>-2018107</v>
      </c>
      <c r="K27" s="513">
        <f>SUM(K29:K37)</f>
        <v>-596054</v>
      </c>
      <c r="L27" s="513">
        <f>SUM(L29:L37)</f>
        <v>-1158443</v>
      </c>
      <c r="M27" s="513"/>
      <c r="N27" s="513"/>
      <c r="O27" s="513"/>
      <c r="P27" s="513"/>
      <c r="Q27" s="513"/>
      <c r="R27" s="513"/>
      <c r="T27" s="513">
        <f>SUM(T29:T37)</f>
        <v>-596054</v>
      </c>
      <c r="U27" s="513">
        <f>SUM(U29:U37)</f>
        <v>-562389</v>
      </c>
    </row>
    <row r="28" spans="1:21">
      <c r="A28" s="509"/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T28" s="514"/>
      <c r="U28" s="514"/>
    </row>
    <row r="29" spans="1:21" outlineLevel="1">
      <c r="A29" s="511" t="s">
        <v>483</v>
      </c>
      <c r="C29" s="516">
        <v>-467494</v>
      </c>
      <c r="D29" s="516">
        <v>-789131</v>
      </c>
      <c r="E29" s="516">
        <v>-992245</v>
      </c>
      <c r="F29" s="516">
        <v>-1080831</v>
      </c>
      <c r="G29" s="516">
        <v>-177980</v>
      </c>
      <c r="H29" s="516">
        <v>-394444</v>
      </c>
      <c r="I29" s="516">
        <v>-596730</v>
      </c>
      <c r="J29" s="516">
        <v>-808595</v>
      </c>
      <c r="K29" s="516">
        <v>-256705</v>
      </c>
      <c r="L29" s="516">
        <v>-462538</v>
      </c>
      <c r="M29" s="516"/>
      <c r="N29" s="516"/>
      <c r="O29" s="516"/>
      <c r="P29" s="516"/>
      <c r="Q29" s="516"/>
      <c r="R29" s="516"/>
      <c r="T29" s="516">
        <f t="shared" ref="T29:T37" si="9">K29</f>
        <v>-256705</v>
      </c>
      <c r="U29" s="516">
        <f t="shared" ref="U29:U37" si="10">L29-T29</f>
        <v>-205833</v>
      </c>
    </row>
    <row r="30" spans="1:21" outlineLevel="1">
      <c r="A30" s="511" t="s">
        <v>484</v>
      </c>
      <c r="C30" s="516">
        <v>-181343</v>
      </c>
      <c r="D30" s="516">
        <v>-273413</v>
      </c>
      <c r="E30" s="516">
        <v>-383162</v>
      </c>
      <c r="F30" s="516">
        <v>-510468</v>
      </c>
      <c r="G30" s="516">
        <v>-153377</v>
      </c>
      <c r="H30" s="516">
        <v>-255411</v>
      </c>
      <c r="I30" s="516">
        <v>-346968</v>
      </c>
      <c r="J30" s="516">
        <v>-461051</v>
      </c>
      <c r="K30" s="516">
        <v>-104611</v>
      </c>
      <c r="L30" s="516">
        <v>-231614</v>
      </c>
      <c r="M30" s="516"/>
      <c r="N30" s="516"/>
      <c r="O30" s="516"/>
      <c r="P30" s="516"/>
      <c r="Q30" s="516"/>
      <c r="R30" s="516"/>
      <c r="T30" s="516">
        <f t="shared" si="9"/>
        <v>-104611</v>
      </c>
      <c r="U30" s="516">
        <f t="shared" si="10"/>
        <v>-127003</v>
      </c>
    </row>
    <row r="31" spans="1:21" outlineLevel="1">
      <c r="A31" s="511" t="s">
        <v>485</v>
      </c>
      <c r="C31" s="516">
        <v>0</v>
      </c>
      <c r="D31" s="516">
        <v>0</v>
      </c>
      <c r="E31" s="516">
        <v>0</v>
      </c>
      <c r="F31" s="516">
        <v>0</v>
      </c>
      <c r="G31" s="516">
        <v>0</v>
      </c>
      <c r="H31" s="516">
        <v>0</v>
      </c>
      <c r="I31" s="516">
        <v>0</v>
      </c>
      <c r="J31" s="516">
        <v>0</v>
      </c>
      <c r="K31" s="516">
        <v>0</v>
      </c>
      <c r="L31" s="516">
        <v>0</v>
      </c>
      <c r="M31" s="516"/>
      <c r="N31" s="516"/>
      <c r="O31" s="516"/>
      <c r="P31" s="516"/>
      <c r="Q31" s="516"/>
      <c r="R31" s="516"/>
      <c r="T31" s="516">
        <f t="shared" si="9"/>
        <v>0</v>
      </c>
      <c r="U31" s="516">
        <f t="shared" si="10"/>
        <v>0</v>
      </c>
    </row>
    <row r="32" spans="1:21" outlineLevel="1">
      <c r="A32" s="511" t="s">
        <v>486</v>
      </c>
      <c r="C32" s="516">
        <v>0</v>
      </c>
      <c r="D32" s="516">
        <v>0</v>
      </c>
      <c r="E32" s="516">
        <v>0</v>
      </c>
      <c r="F32" s="516">
        <v>0</v>
      </c>
      <c r="G32" s="516">
        <v>0</v>
      </c>
      <c r="H32" s="516">
        <v>0</v>
      </c>
      <c r="I32" s="516">
        <v>0</v>
      </c>
      <c r="J32" s="516">
        <v>0</v>
      </c>
      <c r="K32" s="516">
        <v>0</v>
      </c>
      <c r="L32" s="516">
        <v>0</v>
      </c>
      <c r="M32" s="516"/>
      <c r="N32" s="516"/>
      <c r="O32" s="516"/>
      <c r="P32" s="516"/>
      <c r="Q32" s="516"/>
      <c r="R32" s="516"/>
      <c r="T32" s="516">
        <f t="shared" si="9"/>
        <v>0</v>
      </c>
      <c r="U32" s="516">
        <f t="shared" si="10"/>
        <v>0</v>
      </c>
    </row>
    <row r="33" spans="1:21" outlineLevel="1">
      <c r="A33" s="511" t="s">
        <v>487</v>
      </c>
      <c r="C33" s="516">
        <v>-5840</v>
      </c>
      <c r="D33" s="516">
        <v>-10506</v>
      </c>
      <c r="E33" s="516">
        <v>-15804</v>
      </c>
      <c r="F33" s="516">
        <v>-21847</v>
      </c>
      <c r="G33" s="516">
        <v>-5233</v>
      </c>
      <c r="H33" s="516">
        <v>-18964</v>
      </c>
      <c r="I33" s="516">
        <v>-28421</v>
      </c>
      <c r="J33" s="516">
        <v>-38645</v>
      </c>
      <c r="K33" s="516">
        <v>-11172</v>
      </c>
      <c r="L33" s="516">
        <v>-20552</v>
      </c>
      <c r="M33" s="516"/>
      <c r="N33" s="516"/>
      <c r="O33" s="516"/>
      <c r="P33" s="516"/>
      <c r="Q33" s="516"/>
      <c r="R33" s="516"/>
      <c r="T33" s="516">
        <f t="shared" si="9"/>
        <v>-11172</v>
      </c>
      <c r="U33" s="516">
        <f t="shared" si="10"/>
        <v>-9380</v>
      </c>
    </row>
    <row r="34" spans="1:21" outlineLevel="1">
      <c r="A34" s="511" t="s">
        <v>488</v>
      </c>
      <c r="C34" s="516">
        <v>-4874</v>
      </c>
      <c r="D34" s="516">
        <v>-8965</v>
      </c>
      <c r="E34" s="516">
        <v>-13805</v>
      </c>
      <c r="F34" s="516">
        <v>-18848</v>
      </c>
      <c r="G34" s="516">
        <v>-6349</v>
      </c>
      <c r="H34" s="516">
        <v>-2197</v>
      </c>
      <c r="I34" s="516">
        <v>-3284</v>
      </c>
      <c r="J34" s="516">
        <v>-4418</v>
      </c>
      <c r="K34" s="516">
        <v>-1292</v>
      </c>
      <c r="L34" s="516">
        <v>-2532</v>
      </c>
      <c r="M34" s="516"/>
      <c r="N34" s="516"/>
      <c r="O34" s="516"/>
      <c r="P34" s="516"/>
      <c r="Q34" s="516"/>
      <c r="R34" s="516"/>
      <c r="T34" s="516">
        <f t="shared" si="9"/>
        <v>-1292</v>
      </c>
      <c r="U34" s="516">
        <f t="shared" si="10"/>
        <v>-1240</v>
      </c>
    </row>
    <row r="35" spans="1:21" outlineLevel="1">
      <c r="A35" s="511" t="s">
        <v>489</v>
      </c>
      <c r="C35" s="516">
        <v>-186869</v>
      </c>
      <c r="D35" s="516">
        <v>-370229</v>
      </c>
      <c r="E35" s="516">
        <v>-536767</v>
      </c>
      <c r="F35" s="516">
        <v>-710779</v>
      </c>
      <c r="G35" s="516">
        <v>-165648</v>
      </c>
      <c r="H35" s="516">
        <v>-331012</v>
      </c>
      <c r="I35" s="516">
        <v>-496497</v>
      </c>
      <c r="J35" s="516">
        <v>-672172</v>
      </c>
      <c r="K35" s="516">
        <v>-198652</v>
      </c>
      <c r="L35" s="516">
        <v>-397304</v>
      </c>
      <c r="M35" s="516"/>
      <c r="N35" s="516"/>
      <c r="O35" s="516"/>
      <c r="P35" s="516"/>
      <c r="Q35" s="516"/>
      <c r="R35" s="516"/>
      <c r="T35" s="516">
        <f t="shared" si="9"/>
        <v>-198652</v>
      </c>
      <c r="U35" s="516">
        <f t="shared" si="10"/>
        <v>-198652</v>
      </c>
    </row>
    <row r="36" spans="1:21" outlineLevel="1">
      <c r="A36" s="511" t="s">
        <v>490</v>
      </c>
      <c r="C36" s="516">
        <v>0</v>
      </c>
      <c r="D36" s="516">
        <v>0</v>
      </c>
      <c r="E36" s="516">
        <v>0</v>
      </c>
      <c r="F36" s="516">
        <v>0</v>
      </c>
      <c r="G36" s="516">
        <v>0</v>
      </c>
      <c r="H36" s="516">
        <v>0</v>
      </c>
      <c r="I36" s="516">
        <v>0</v>
      </c>
      <c r="J36" s="516">
        <v>-29</v>
      </c>
      <c r="K36" s="516">
        <v>-32</v>
      </c>
      <c r="L36" s="516">
        <v>-110</v>
      </c>
      <c r="M36" s="516"/>
      <c r="N36" s="516"/>
      <c r="O36" s="516"/>
      <c r="P36" s="516"/>
      <c r="Q36" s="516"/>
      <c r="R36" s="516"/>
      <c r="T36" s="516">
        <f t="shared" si="9"/>
        <v>-32</v>
      </c>
      <c r="U36" s="516">
        <f t="shared" si="10"/>
        <v>-78</v>
      </c>
    </row>
    <row r="37" spans="1:21" outlineLevel="1">
      <c r="A37" s="511" t="s">
        <v>59</v>
      </c>
      <c r="C37" s="516">
        <v>-13739</v>
      </c>
      <c r="D37" s="516">
        <v>-29217</v>
      </c>
      <c r="E37" s="516">
        <v>-35176</v>
      </c>
      <c r="F37" s="516">
        <v>-40370</v>
      </c>
      <c r="G37" s="516">
        <v>-7399</v>
      </c>
      <c r="H37" s="516">
        <v>-17049</v>
      </c>
      <c r="I37" s="516">
        <v>-23818</v>
      </c>
      <c r="J37" s="516">
        <v>-33197</v>
      </c>
      <c r="K37" s="516">
        <v>-23590</v>
      </c>
      <c r="L37" s="516">
        <v>-43793</v>
      </c>
      <c r="M37" s="516"/>
      <c r="N37" s="516"/>
      <c r="O37" s="516"/>
      <c r="P37" s="516"/>
      <c r="Q37" s="516"/>
      <c r="R37" s="516"/>
      <c r="T37" s="516">
        <f t="shared" si="9"/>
        <v>-23590</v>
      </c>
      <c r="U37" s="516">
        <f t="shared" si="10"/>
        <v>-20203</v>
      </c>
    </row>
    <row r="38" spans="1:21">
      <c r="A38" s="510"/>
      <c r="C38" s="510"/>
      <c r="D38" s="510"/>
      <c r="E38" s="510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P38" s="510"/>
      <c r="Q38" s="510"/>
      <c r="R38" s="510"/>
      <c r="T38" s="510"/>
      <c r="U38" s="510"/>
    </row>
    <row r="39" spans="1:21">
      <c r="A39" s="522" t="s">
        <v>491</v>
      </c>
      <c r="C39" s="513">
        <f t="shared" ref="C39:H39" si="11">C27+C6</f>
        <v>1058513</v>
      </c>
      <c r="D39" s="513">
        <f t="shared" si="11"/>
        <v>1959588</v>
      </c>
      <c r="E39" s="513">
        <f t="shared" si="11"/>
        <v>3183471</v>
      </c>
      <c r="F39" s="513">
        <f t="shared" si="11"/>
        <v>4467992</v>
      </c>
      <c r="G39" s="513">
        <f t="shared" si="11"/>
        <v>1295023</v>
      </c>
      <c r="H39" s="513">
        <f t="shared" si="11"/>
        <v>2415183</v>
      </c>
      <c r="I39" s="513">
        <f>I27+I6</f>
        <v>3616176</v>
      </c>
      <c r="J39" s="513">
        <f>J27+J6</f>
        <v>4792835</v>
      </c>
      <c r="K39" s="513">
        <f>K27+K6</f>
        <v>1279738</v>
      </c>
      <c r="L39" s="513">
        <f>L27+L6</f>
        <v>2442634</v>
      </c>
      <c r="M39" s="513"/>
      <c r="N39" s="513"/>
      <c r="O39" s="513"/>
      <c r="P39" s="513"/>
      <c r="Q39" s="513"/>
      <c r="R39" s="513"/>
      <c r="T39" s="513">
        <f>T27+T6</f>
        <v>1279738</v>
      </c>
      <c r="U39" s="513">
        <f>U27+U6</f>
        <v>1162896</v>
      </c>
    </row>
    <row r="40" spans="1:21">
      <c r="A40" s="510"/>
      <c r="C40" s="510"/>
      <c r="D40" s="510"/>
      <c r="E40" s="510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P40" s="510"/>
      <c r="Q40" s="510"/>
      <c r="R40" s="510"/>
      <c r="T40" s="510"/>
      <c r="U40" s="510"/>
    </row>
    <row r="41" spans="1:21">
      <c r="A41" s="509" t="s">
        <v>492</v>
      </c>
      <c r="C41" s="517">
        <f t="shared" ref="C41:H41" si="12">SUM(C43:C48)</f>
        <v>-814462</v>
      </c>
      <c r="D41" s="517">
        <f t="shared" si="12"/>
        <v>-1643921</v>
      </c>
      <c r="E41" s="517">
        <f t="shared" si="12"/>
        <v>-2728322</v>
      </c>
      <c r="F41" s="517">
        <f t="shared" si="12"/>
        <v>-3848191</v>
      </c>
      <c r="G41" s="517">
        <f t="shared" si="12"/>
        <v>-1000439</v>
      </c>
      <c r="H41" s="517">
        <f t="shared" si="12"/>
        <v>-1848425</v>
      </c>
      <c r="I41" s="517">
        <f>SUM(I43:I48)</f>
        <v>-2830701</v>
      </c>
      <c r="J41" s="517">
        <f>SUM(J43:J48)</f>
        <v>-3763634</v>
      </c>
      <c r="K41" s="517">
        <f>SUM(K43:K48)</f>
        <v>-952798</v>
      </c>
      <c r="L41" s="517">
        <f>SUM(L43:L48)</f>
        <v>-1952613</v>
      </c>
      <c r="M41" s="517"/>
      <c r="N41" s="517"/>
      <c r="O41" s="517"/>
      <c r="P41" s="517"/>
      <c r="Q41" s="517"/>
      <c r="R41" s="517"/>
      <c r="T41" s="517">
        <f>SUM(T43:T48)</f>
        <v>-952798</v>
      </c>
      <c r="U41" s="517">
        <f>SUM(U43:U48)</f>
        <v>-999815</v>
      </c>
    </row>
    <row r="42" spans="1:21">
      <c r="A42" s="509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T42" s="514"/>
      <c r="U42" s="514"/>
    </row>
    <row r="43" spans="1:21">
      <c r="A43" s="510" t="s">
        <v>493</v>
      </c>
      <c r="C43" s="515">
        <v>-650191</v>
      </c>
      <c r="D43" s="515">
        <v>-1264785</v>
      </c>
      <c r="E43" s="515">
        <v>-1929636</v>
      </c>
      <c r="F43" s="515">
        <v>-2646745</v>
      </c>
      <c r="G43" s="515">
        <v>-658040</v>
      </c>
      <c r="H43" s="515">
        <v>-1320205</v>
      </c>
      <c r="I43" s="515">
        <v>-2037008</v>
      </c>
      <c r="J43" s="515">
        <v>-2826022</v>
      </c>
      <c r="K43" s="515">
        <v>-733267</v>
      </c>
      <c r="L43" s="515">
        <v>-1430741</v>
      </c>
      <c r="M43" s="515"/>
      <c r="N43" s="515"/>
      <c r="O43" s="515"/>
      <c r="P43" s="515"/>
      <c r="Q43" s="515"/>
      <c r="R43" s="515"/>
      <c r="T43" s="515">
        <f t="shared" ref="T43:T47" si="13">K43</f>
        <v>-733267</v>
      </c>
      <c r="U43" s="515">
        <f t="shared" ref="U43:U47" si="14">L43-T43</f>
        <v>-697474</v>
      </c>
    </row>
    <row r="44" spans="1:21">
      <c r="A44" s="510" t="s">
        <v>494</v>
      </c>
      <c r="C44" s="515">
        <v>-69161</v>
      </c>
      <c r="D44" s="515">
        <v>-165325</v>
      </c>
      <c r="E44" s="515">
        <v>-494038</v>
      </c>
      <c r="F44" s="515">
        <v>-750927</v>
      </c>
      <c r="G44" s="515">
        <v>-207767</v>
      </c>
      <c r="H44" s="515">
        <v>-418023</v>
      </c>
      <c r="I44" s="515">
        <v>-593091</v>
      </c>
      <c r="J44" s="515">
        <v>-630471</v>
      </c>
      <c r="K44" s="515">
        <v>-126809</v>
      </c>
      <c r="L44" s="515">
        <v>-339892</v>
      </c>
      <c r="M44" s="515"/>
      <c r="N44" s="515"/>
      <c r="O44" s="515"/>
      <c r="P44" s="515"/>
      <c r="Q44" s="515"/>
      <c r="R44" s="515"/>
      <c r="T44" s="515">
        <f t="shared" si="13"/>
        <v>-126809</v>
      </c>
      <c r="U44" s="515">
        <f t="shared" si="14"/>
        <v>-213083</v>
      </c>
    </row>
    <row r="45" spans="1:21">
      <c r="A45" s="510" t="s">
        <v>495</v>
      </c>
      <c r="C45" s="515">
        <v>0</v>
      </c>
      <c r="D45" s="515">
        <v>0</v>
      </c>
      <c r="E45" s="515">
        <v>0</v>
      </c>
      <c r="F45" s="515">
        <v>0</v>
      </c>
      <c r="G45" s="515">
        <v>0</v>
      </c>
      <c r="H45" s="515">
        <v>0</v>
      </c>
      <c r="I45" s="515">
        <v>0</v>
      </c>
      <c r="J45" s="515">
        <v>0</v>
      </c>
      <c r="K45" s="515">
        <v>0</v>
      </c>
      <c r="L45" s="515">
        <v>0</v>
      </c>
      <c r="M45" s="515"/>
      <c r="N45" s="515"/>
      <c r="O45" s="515"/>
      <c r="P45" s="515"/>
      <c r="Q45" s="515"/>
      <c r="R45" s="515"/>
      <c r="T45" s="515">
        <f t="shared" si="13"/>
        <v>0</v>
      </c>
      <c r="U45" s="515">
        <f t="shared" si="14"/>
        <v>0</v>
      </c>
    </row>
    <row r="46" spans="1:21">
      <c r="A46" s="510" t="s">
        <v>496</v>
      </c>
      <c r="C46" s="515">
        <v>0</v>
      </c>
      <c r="D46" s="515">
        <v>0</v>
      </c>
      <c r="E46" s="515">
        <v>0</v>
      </c>
      <c r="F46" s="515">
        <v>0</v>
      </c>
      <c r="G46" s="515">
        <v>0</v>
      </c>
      <c r="H46" s="515">
        <v>0</v>
      </c>
      <c r="I46" s="515">
        <v>0</v>
      </c>
      <c r="J46" s="515">
        <v>0</v>
      </c>
      <c r="K46" s="515">
        <v>0</v>
      </c>
      <c r="L46" s="515">
        <v>0</v>
      </c>
      <c r="M46" s="515"/>
      <c r="N46" s="515"/>
      <c r="O46" s="515"/>
      <c r="P46" s="515"/>
      <c r="Q46" s="515"/>
      <c r="R46" s="515"/>
      <c r="T46" s="515">
        <f t="shared" si="13"/>
        <v>0</v>
      </c>
      <c r="U46" s="515">
        <f t="shared" si="14"/>
        <v>0</v>
      </c>
    </row>
    <row r="47" spans="1:21">
      <c r="A47" s="510" t="s">
        <v>497</v>
      </c>
      <c r="C47" s="515">
        <v>0</v>
      </c>
      <c r="D47" s="515">
        <v>0</v>
      </c>
      <c r="E47" s="515">
        <v>0</v>
      </c>
      <c r="F47" s="515">
        <v>0</v>
      </c>
      <c r="G47" s="515">
        <v>0</v>
      </c>
      <c r="H47" s="515">
        <v>0</v>
      </c>
      <c r="I47" s="515">
        <v>0</v>
      </c>
      <c r="J47" s="515">
        <v>0</v>
      </c>
      <c r="K47" s="515">
        <v>0</v>
      </c>
      <c r="L47" s="515">
        <v>0</v>
      </c>
      <c r="M47" s="515"/>
      <c r="N47" s="515"/>
      <c r="O47" s="515"/>
      <c r="P47" s="515"/>
      <c r="Q47" s="515"/>
      <c r="R47" s="515"/>
      <c r="T47" s="515">
        <f t="shared" si="13"/>
        <v>0</v>
      </c>
      <c r="U47" s="515">
        <f t="shared" si="14"/>
        <v>0</v>
      </c>
    </row>
    <row r="48" spans="1:21">
      <c r="A48" s="510" t="s">
        <v>498</v>
      </c>
      <c r="C48" s="515">
        <f t="shared" ref="C48:H48" si="15">SUM(C49:C55)</f>
        <v>-95110</v>
      </c>
      <c r="D48" s="515">
        <f t="shared" si="15"/>
        <v>-213811</v>
      </c>
      <c r="E48" s="515">
        <f t="shared" si="15"/>
        <v>-304648</v>
      </c>
      <c r="F48" s="515">
        <f t="shared" si="15"/>
        <v>-450519</v>
      </c>
      <c r="G48" s="515">
        <f t="shared" si="15"/>
        <v>-134632</v>
      </c>
      <c r="H48" s="515">
        <f t="shared" si="15"/>
        <v>-110197</v>
      </c>
      <c r="I48" s="515">
        <f>SUM(I49:I55)</f>
        <v>-200602</v>
      </c>
      <c r="J48" s="515">
        <f>SUM(J49:J55)</f>
        <v>-307141</v>
      </c>
      <c r="K48" s="515">
        <f>SUM(K49:K55)</f>
        <v>-92722</v>
      </c>
      <c r="L48" s="515">
        <f>SUM(L49:L55)</f>
        <v>-181980</v>
      </c>
      <c r="M48" s="515"/>
      <c r="N48" s="515"/>
      <c r="O48" s="515"/>
      <c r="P48" s="515"/>
      <c r="Q48" s="515"/>
      <c r="R48" s="515"/>
      <c r="T48" s="515">
        <f>SUM(T49:T55)</f>
        <v>-92722</v>
      </c>
      <c r="U48" s="515">
        <f>SUM(U49:U55)</f>
        <v>-89258</v>
      </c>
    </row>
    <row r="49" spans="1:21" outlineLevel="1">
      <c r="A49" s="511" t="s">
        <v>499</v>
      </c>
      <c r="C49" s="516">
        <v>-44149</v>
      </c>
      <c r="D49" s="516">
        <v>-108566</v>
      </c>
      <c r="E49" s="516">
        <v>-146492</v>
      </c>
      <c r="F49" s="516">
        <v>-197474</v>
      </c>
      <c r="G49" s="516">
        <v>-36314</v>
      </c>
      <c r="H49" s="516">
        <v>-17997</v>
      </c>
      <c r="I49" s="516">
        <v>-21334</v>
      </c>
      <c r="J49" s="516">
        <v>-35267</v>
      </c>
      <c r="K49" s="516">
        <v>-9398</v>
      </c>
      <c r="L49" s="516">
        <v>-18130</v>
      </c>
      <c r="M49" s="516"/>
      <c r="N49" s="516"/>
      <c r="O49" s="516"/>
      <c r="P49" s="516"/>
      <c r="Q49" s="516"/>
      <c r="R49" s="516"/>
      <c r="T49" s="516">
        <f t="shared" ref="T49:T55" si="16">K49</f>
        <v>-9398</v>
      </c>
      <c r="U49" s="516">
        <f t="shared" ref="U49:U55" si="17">L49-T49</f>
        <v>-8732</v>
      </c>
    </row>
    <row r="50" spans="1:21" outlineLevel="1">
      <c r="A50" s="511" t="s">
        <v>500</v>
      </c>
      <c r="C50" s="516">
        <v>-2878</v>
      </c>
      <c r="D50" s="516">
        <v>-5580</v>
      </c>
      <c r="E50" s="516">
        <v>-8254</v>
      </c>
      <c r="F50" s="516">
        <v>-7597</v>
      </c>
      <c r="G50" s="516">
        <v>-1479</v>
      </c>
      <c r="H50" s="516">
        <v>-2259</v>
      </c>
      <c r="I50" s="516">
        <v>-4362</v>
      </c>
      <c r="J50" s="516">
        <v>-9968</v>
      </c>
      <c r="K50" s="516">
        <v>-2014</v>
      </c>
      <c r="L50" s="516">
        <v>-3415</v>
      </c>
      <c r="M50" s="516"/>
      <c r="N50" s="516"/>
      <c r="O50" s="516"/>
      <c r="P50" s="516"/>
      <c r="Q50" s="516"/>
      <c r="R50" s="516"/>
      <c r="T50" s="516">
        <f t="shared" si="16"/>
        <v>-2014</v>
      </c>
      <c r="U50" s="516">
        <f t="shared" si="17"/>
        <v>-1401</v>
      </c>
    </row>
    <row r="51" spans="1:21" outlineLevel="1">
      <c r="A51" s="511" t="s">
        <v>501</v>
      </c>
      <c r="C51" s="516">
        <v>-12011</v>
      </c>
      <c r="D51" s="516">
        <v>-33607</v>
      </c>
      <c r="E51" s="516">
        <v>-50198</v>
      </c>
      <c r="F51" s="516">
        <v>-115314</v>
      </c>
      <c r="G51" s="516">
        <v>-61770</v>
      </c>
      <c r="H51" s="516">
        <v>-69244</v>
      </c>
      <c r="I51" s="516">
        <v>-97201</v>
      </c>
      <c r="J51" s="516">
        <v>-144421</v>
      </c>
      <c r="K51" s="516">
        <v>-47900</v>
      </c>
      <c r="L51" s="516">
        <v>-91156</v>
      </c>
      <c r="M51" s="516"/>
      <c r="N51" s="516"/>
      <c r="O51" s="516"/>
      <c r="P51" s="516"/>
      <c r="Q51" s="516"/>
      <c r="R51" s="516"/>
      <c r="T51" s="516">
        <f t="shared" si="16"/>
        <v>-47900</v>
      </c>
      <c r="U51" s="516">
        <f t="shared" si="17"/>
        <v>-43256</v>
      </c>
    </row>
    <row r="52" spans="1:21" outlineLevel="1">
      <c r="A52" s="511" t="s">
        <v>502</v>
      </c>
      <c r="C52" s="516">
        <v>-35726</v>
      </c>
      <c r="D52" s="516">
        <v>-71277</v>
      </c>
      <c r="E52" s="516">
        <v>-107000</v>
      </c>
      <c r="F52" s="516">
        <v>-143048</v>
      </c>
      <c r="G52" s="516">
        <v>-35278</v>
      </c>
      <c r="H52" s="516">
        <v>-29574</v>
      </c>
      <c r="I52" s="516">
        <v>-86423</v>
      </c>
      <c r="J52" s="516">
        <v>-119634</v>
      </c>
      <c r="K52" s="516">
        <v>-33159</v>
      </c>
      <c r="L52" s="516">
        <v>-67041</v>
      </c>
      <c r="M52" s="516"/>
      <c r="N52" s="516"/>
      <c r="O52" s="516"/>
      <c r="P52" s="516"/>
      <c r="Q52" s="516"/>
      <c r="R52" s="516"/>
      <c r="T52" s="516">
        <f t="shared" si="16"/>
        <v>-33159</v>
      </c>
      <c r="U52" s="516">
        <f t="shared" si="17"/>
        <v>-33882</v>
      </c>
    </row>
    <row r="53" spans="1:21" outlineLevel="1">
      <c r="A53" s="511" t="s">
        <v>503</v>
      </c>
      <c r="C53" s="516">
        <v>0</v>
      </c>
      <c r="D53" s="516">
        <v>0</v>
      </c>
      <c r="E53" s="516">
        <v>0</v>
      </c>
      <c r="F53" s="516">
        <v>0</v>
      </c>
      <c r="G53" s="516">
        <v>0</v>
      </c>
      <c r="H53" s="516">
        <v>0</v>
      </c>
      <c r="I53" s="516">
        <v>0</v>
      </c>
      <c r="J53" s="516">
        <v>0</v>
      </c>
      <c r="K53" s="516">
        <v>0</v>
      </c>
      <c r="L53" s="516">
        <v>0</v>
      </c>
      <c r="M53" s="516"/>
      <c r="N53" s="516"/>
      <c r="O53" s="516"/>
      <c r="P53" s="516"/>
      <c r="Q53" s="516"/>
      <c r="R53" s="516"/>
      <c r="T53" s="516">
        <f t="shared" si="16"/>
        <v>0</v>
      </c>
      <c r="U53" s="516">
        <f t="shared" si="17"/>
        <v>0</v>
      </c>
    </row>
    <row r="54" spans="1:21" outlineLevel="1">
      <c r="A54" s="511" t="s">
        <v>504</v>
      </c>
      <c r="C54" s="516">
        <v>-725</v>
      </c>
      <c r="D54" s="516">
        <v>2123</v>
      </c>
      <c r="E54" s="516">
        <v>4113</v>
      </c>
      <c r="F54" s="516">
        <v>4934</v>
      </c>
      <c r="G54" s="516">
        <v>1241</v>
      </c>
      <c r="H54" s="516">
        <v>6030</v>
      </c>
      <c r="I54" s="516">
        <v>6088</v>
      </c>
      <c r="J54" s="516">
        <v>-250</v>
      </c>
      <c r="K54" s="516">
        <v>-17</v>
      </c>
      <c r="L54" s="516">
        <v>-494</v>
      </c>
      <c r="M54" s="516"/>
      <c r="N54" s="516"/>
      <c r="O54" s="516"/>
      <c r="P54" s="516"/>
      <c r="Q54" s="516"/>
      <c r="R54" s="516"/>
      <c r="T54" s="516">
        <f t="shared" si="16"/>
        <v>-17</v>
      </c>
      <c r="U54" s="516">
        <f t="shared" si="17"/>
        <v>-477</v>
      </c>
    </row>
    <row r="55" spans="1:21" outlineLevel="1">
      <c r="A55" s="511" t="s">
        <v>505</v>
      </c>
      <c r="C55" s="516">
        <v>379</v>
      </c>
      <c r="D55" s="516">
        <v>3096</v>
      </c>
      <c r="E55" s="516">
        <v>3183</v>
      </c>
      <c r="F55" s="516">
        <v>7980</v>
      </c>
      <c r="G55" s="516">
        <v>-1032</v>
      </c>
      <c r="H55" s="516">
        <v>2847</v>
      </c>
      <c r="I55" s="516">
        <v>2630</v>
      </c>
      <c r="J55" s="516">
        <v>2399</v>
      </c>
      <c r="K55" s="516">
        <v>-234</v>
      </c>
      <c r="L55" s="516">
        <v>-1744</v>
      </c>
      <c r="M55" s="516"/>
      <c r="N55" s="516"/>
      <c r="O55" s="516"/>
      <c r="P55" s="516"/>
      <c r="Q55" s="516"/>
      <c r="R55" s="516"/>
      <c r="T55" s="516">
        <f t="shared" si="16"/>
        <v>-234</v>
      </c>
      <c r="U55" s="516">
        <f t="shared" si="17"/>
        <v>-1510</v>
      </c>
    </row>
    <row r="56" spans="1:21">
      <c r="A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0"/>
      <c r="T56" s="510"/>
      <c r="U56" s="510"/>
    </row>
    <row r="57" spans="1:21">
      <c r="A57" s="522" t="s">
        <v>506</v>
      </c>
      <c r="C57" s="513">
        <f t="shared" ref="C57:H57" si="18">C39+C41</f>
        <v>244051</v>
      </c>
      <c r="D57" s="513">
        <f t="shared" si="18"/>
        <v>315667</v>
      </c>
      <c r="E57" s="513">
        <f t="shared" si="18"/>
        <v>455149</v>
      </c>
      <c r="F57" s="513">
        <f t="shared" si="18"/>
        <v>619801</v>
      </c>
      <c r="G57" s="513">
        <f t="shared" si="18"/>
        <v>294584</v>
      </c>
      <c r="H57" s="513">
        <f t="shared" si="18"/>
        <v>566758</v>
      </c>
      <c r="I57" s="513">
        <f>I39+I41</f>
        <v>785475</v>
      </c>
      <c r="J57" s="513">
        <f>J39+J41</f>
        <v>1029201</v>
      </c>
      <c r="K57" s="513">
        <f>K39+K41</f>
        <v>326940</v>
      </c>
      <c r="L57" s="513">
        <f>L39+L41</f>
        <v>490021</v>
      </c>
      <c r="M57" s="513"/>
      <c r="N57" s="513"/>
      <c r="O57" s="513"/>
      <c r="P57" s="513"/>
      <c r="Q57" s="513"/>
      <c r="R57" s="513"/>
      <c r="T57" s="513">
        <f>T39+T41</f>
        <v>326940</v>
      </c>
      <c r="U57" s="513">
        <f>U39+U41</f>
        <v>163081</v>
      </c>
    </row>
    <row r="58" spans="1:21">
      <c r="A58" s="510"/>
      <c r="C58" s="510"/>
      <c r="D58" s="510"/>
      <c r="E58" s="510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P58" s="510"/>
      <c r="Q58" s="510"/>
      <c r="R58" s="510"/>
      <c r="T58" s="510"/>
      <c r="U58" s="510"/>
    </row>
    <row r="59" spans="1:21">
      <c r="A59" s="509" t="s">
        <v>507</v>
      </c>
      <c r="C59" s="517">
        <f t="shared" ref="C59:H59" si="19">C61+C67+C68+C77+C78</f>
        <v>-113961</v>
      </c>
      <c r="D59" s="517">
        <f t="shared" si="19"/>
        <v>-225161</v>
      </c>
      <c r="E59" s="517">
        <f t="shared" si="19"/>
        <v>-306732</v>
      </c>
      <c r="F59" s="517">
        <f t="shared" si="19"/>
        <v>-365454</v>
      </c>
      <c r="G59" s="517">
        <f t="shared" si="19"/>
        <v>-70993</v>
      </c>
      <c r="H59" s="517">
        <f t="shared" si="19"/>
        <v>-325355</v>
      </c>
      <c r="I59" s="517">
        <f>I61+I67+I68+I77+I78</f>
        <v>-471038</v>
      </c>
      <c r="J59" s="517">
        <f>J61+J67+J68+J77+J78</f>
        <v>-723714</v>
      </c>
      <c r="K59" s="517">
        <f>K61+K67+K68+K77+K78</f>
        <v>-170996</v>
      </c>
      <c r="L59" s="517">
        <f>L61+L67+L68+L77+L78</f>
        <v>-357426</v>
      </c>
      <c r="M59" s="517"/>
      <c r="N59" s="517"/>
      <c r="O59" s="517"/>
      <c r="P59" s="517"/>
      <c r="Q59" s="517"/>
      <c r="R59" s="517"/>
      <c r="T59" s="517">
        <f>T61+T67+T68+T77+T78</f>
        <v>-170996</v>
      </c>
      <c r="U59" s="517">
        <f>U61+U67+U68+U77+U78</f>
        <v>-186430</v>
      </c>
    </row>
    <row r="60" spans="1:21">
      <c r="A60" s="509"/>
      <c r="C60" s="514"/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514"/>
      <c r="R60" s="514"/>
      <c r="T60" s="514"/>
      <c r="U60" s="514"/>
    </row>
    <row r="61" spans="1:21">
      <c r="A61" s="512" t="s">
        <v>508</v>
      </c>
      <c r="C61" s="515">
        <f t="shared" ref="C61:H61" si="20">SUM(C62:C66)</f>
        <v>-47337</v>
      </c>
      <c r="D61" s="515">
        <f t="shared" si="20"/>
        <v>-99899</v>
      </c>
      <c r="E61" s="515">
        <f t="shared" si="20"/>
        <v>-148517</v>
      </c>
      <c r="F61" s="515">
        <f t="shared" si="20"/>
        <v>-173982</v>
      </c>
      <c r="G61" s="515">
        <f t="shared" si="20"/>
        <v>-14400</v>
      </c>
      <c r="H61" s="515">
        <f t="shared" si="20"/>
        <v>-60368</v>
      </c>
      <c r="I61" s="515">
        <f>SUM(I62:I66)</f>
        <v>-95588</v>
      </c>
      <c r="J61" s="515">
        <f>SUM(J62:J66)</f>
        <v>-132087</v>
      </c>
      <c r="K61" s="515">
        <f t="shared" ref="K61:L61" si="21">SUM(K62:K66)</f>
        <v>-40606</v>
      </c>
      <c r="L61" s="515">
        <f t="shared" si="21"/>
        <v>-83013</v>
      </c>
      <c r="M61" s="515"/>
      <c r="N61" s="515"/>
      <c r="O61" s="515"/>
      <c r="P61" s="515"/>
      <c r="Q61" s="515"/>
      <c r="R61" s="515"/>
      <c r="T61" s="515">
        <f t="shared" ref="T61:U61" si="22">SUM(T62:T66)</f>
        <v>-40606</v>
      </c>
      <c r="U61" s="515">
        <f t="shared" si="22"/>
        <v>-42407</v>
      </c>
    </row>
    <row r="62" spans="1:21" outlineLevel="1">
      <c r="A62" s="511" t="s">
        <v>509</v>
      </c>
      <c r="C62" s="516">
        <v>-21010</v>
      </c>
      <c r="D62" s="516">
        <v>-35653</v>
      </c>
      <c r="E62" s="516">
        <v>-46991</v>
      </c>
      <c r="F62" s="516">
        <v>-59739</v>
      </c>
      <c r="G62" s="516">
        <v>-10374</v>
      </c>
      <c r="H62" s="516">
        <v>-14524</v>
      </c>
      <c r="I62" s="516">
        <v>-20293</v>
      </c>
      <c r="J62" s="516">
        <v>-28655</v>
      </c>
      <c r="K62" s="516">
        <v>-9507</v>
      </c>
      <c r="L62" s="516">
        <v>-20066</v>
      </c>
      <c r="M62" s="516"/>
      <c r="N62" s="516"/>
      <c r="O62" s="516"/>
      <c r="P62" s="516"/>
      <c r="Q62" s="516"/>
      <c r="R62" s="516"/>
      <c r="T62" s="516">
        <f t="shared" ref="T62:T67" si="23">K62</f>
        <v>-9507</v>
      </c>
      <c r="U62" s="516">
        <f t="shared" ref="U62:U67" si="24">L62-T62</f>
        <v>-10559</v>
      </c>
    </row>
    <row r="63" spans="1:21" outlineLevel="1">
      <c r="A63" s="511" t="s">
        <v>510</v>
      </c>
      <c r="C63" s="516">
        <v>-1193</v>
      </c>
      <c r="D63" s="516">
        <v>-1295</v>
      </c>
      <c r="E63" s="516">
        <v>-1451</v>
      </c>
      <c r="F63" s="516">
        <v>-3553</v>
      </c>
      <c r="G63" s="516">
        <v>-191</v>
      </c>
      <c r="H63" s="516">
        <v>-307</v>
      </c>
      <c r="I63" s="516">
        <v>-488</v>
      </c>
      <c r="J63" s="516">
        <v>-672</v>
      </c>
      <c r="K63" s="516">
        <v>-235</v>
      </c>
      <c r="L63" s="516">
        <v>-4431</v>
      </c>
      <c r="M63" s="516"/>
      <c r="N63" s="516"/>
      <c r="O63" s="516"/>
      <c r="P63" s="516"/>
      <c r="Q63" s="516"/>
      <c r="R63" s="516"/>
      <c r="T63" s="516">
        <f t="shared" si="23"/>
        <v>-235</v>
      </c>
      <c r="U63" s="516">
        <f t="shared" si="24"/>
        <v>-4196</v>
      </c>
    </row>
    <row r="64" spans="1:21" outlineLevel="1">
      <c r="A64" s="511" t="s">
        <v>511</v>
      </c>
      <c r="C64" s="516">
        <v>-25008</v>
      </c>
      <c r="D64" s="516">
        <v>-61685</v>
      </c>
      <c r="E64" s="516">
        <v>-98379</v>
      </c>
      <c r="F64" s="516">
        <v>-103930</v>
      </c>
      <c r="G64" s="516">
        <v>-3818</v>
      </c>
      <c r="H64" s="516">
        <v>-44760</v>
      </c>
      <c r="I64" s="516">
        <v>-73554</v>
      </c>
      <c r="J64" s="516">
        <v>-100849</v>
      </c>
      <c r="K64" s="516">
        <v>-30217</v>
      </c>
      <c r="L64" s="516">
        <v>-55338</v>
      </c>
      <c r="M64" s="516"/>
      <c r="N64" s="516"/>
      <c r="O64" s="516"/>
      <c r="P64" s="516"/>
      <c r="Q64" s="516"/>
      <c r="R64" s="516"/>
      <c r="T64" s="516">
        <f t="shared" si="23"/>
        <v>-30217</v>
      </c>
      <c r="U64" s="516">
        <f t="shared" si="24"/>
        <v>-25121</v>
      </c>
    </row>
    <row r="65" spans="1:21" outlineLevel="1">
      <c r="A65" s="511" t="s">
        <v>512</v>
      </c>
      <c r="C65" s="516">
        <v>0</v>
      </c>
      <c r="D65" s="516">
        <v>0</v>
      </c>
      <c r="E65" s="516">
        <v>0</v>
      </c>
      <c r="F65" s="516">
        <v>0</v>
      </c>
      <c r="G65" s="516">
        <v>0</v>
      </c>
      <c r="H65" s="516">
        <v>-44</v>
      </c>
      <c r="I65" s="516">
        <v>-72</v>
      </c>
      <c r="J65" s="516">
        <v>-196</v>
      </c>
      <c r="K65" s="516">
        <v>-209</v>
      </c>
      <c r="L65" s="516">
        <v>-1750</v>
      </c>
      <c r="M65" s="516"/>
      <c r="N65" s="516"/>
      <c r="O65" s="516"/>
      <c r="P65" s="516"/>
      <c r="Q65" s="516"/>
      <c r="R65" s="516"/>
      <c r="T65" s="516">
        <f t="shared" si="23"/>
        <v>-209</v>
      </c>
      <c r="U65" s="516">
        <f t="shared" si="24"/>
        <v>-1541</v>
      </c>
    </row>
    <row r="66" spans="1:21" outlineLevel="1">
      <c r="A66" s="511" t="s">
        <v>513</v>
      </c>
      <c r="C66" s="516">
        <v>-126</v>
      </c>
      <c r="D66" s="516">
        <v>-1266</v>
      </c>
      <c r="E66" s="516">
        <v>-1696</v>
      </c>
      <c r="F66" s="516">
        <v>-6760</v>
      </c>
      <c r="G66" s="516">
        <v>-17</v>
      </c>
      <c r="H66" s="516">
        <v>-733</v>
      </c>
      <c r="I66" s="516">
        <v>-1181</v>
      </c>
      <c r="J66" s="516">
        <v>-1715</v>
      </c>
      <c r="K66" s="516">
        <v>-438</v>
      </c>
      <c r="L66" s="516">
        <v>-1428</v>
      </c>
      <c r="M66" s="516"/>
      <c r="N66" s="516"/>
      <c r="O66" s="516"/>
      <c r="P66" s="516"/>
      <c r="Q66" s="516"/>
      <c r="R66" s="516"/>
      <c r="T66" s="516">
        <f t="shared" si="23"/>
        <v>-438</v>
      </c>
      <c r="U66" s="516">
        <f t="shared" si="24"/>
        <v>-990</v>
      </c>
    </row>
    <row r="67" spans="1:21">
      <c r="A67" s="510" t="s">
        <v>514</v>
      </c>
      <c r="C67" s="518">
        <v>-37874</v>
      </c>
      <c r="D67" s="518">
        <v>-55369</v>
      </c>
      <c r="E67" s="518">
        <v>-48242</v>
      </c>
      <c r="F67" s="518">
        <v>-53059</v>
      </c>
      <c r="G67" s="518">
        <v>-27278</v>
      </c>
      <c r="H67" s="518">
        <v>-12544</v>
      </c>
      <c r="I67" s="518">
        <v>-37130</v>
      </c>
      <c r="J67" s="518">
        <v>-33779</v>
      </c>
      <c r="K67" s="518">
        <v>-38703</v>
      </c>
      <c r="L67" s="518">
        <v>-79045</v>
      </c>
      <c r="M67" s="518"/>
      <c r="N67" s="518"/>
      <c r="O67" s="518"/>
      <c r="P67" s="518"/>
      <c r="Q67" s="518"/>
      <c r="R67" s="518"/>
      <c r="T67" s="518">
        <f t="shared" si="23"/>
        <v>-38703</v>
      </c>
      <c r="U67" s="518">
        <f t="shared" si="24"/>
        <v>-40342</v>
      </c>
    </row>
    <row r="68" spans="1:21">
      <c r="A68" s="510" t="s">
        <v>515</v>
      </c>
      <c r="C68" s="515">
        <f t="shared" ref="C68:H68" si="25">SUM(C69:C76)</f>
        <v>-22956</v>
      </c>
      <c r="D68" s="515">
        <f t="shared" si="25"/>
        <v>-63375</v>
      </c>
      <c r="E68" s="515">
        <f t="shared" si="25"/>
        <v>-102907</v>
      </c>
      <c r="F68" s="515">
        <f t="shared" si="25"/>
        <v>-137165</v>
      </c>
      <c r="G68" s="515">
        <f t="shared" si="25"/>
        <v>-31463</v>
      </c>
      <c r="H68" s="515">
        <f t="shared" si="25"/>
        <v>-206782</v>
      </c>
      <c r="I68" s="515">
        <f>SUM(I69:I76)</f>
        <v>-280444</v>
      </c>
      <c r="J68" s="515">
        <f>SUM(J69:J76)</f>
        <v>-389367</v>
      </c>
      <c r="K68" s="515">
        <f>SUM(K69:K76)</f>
        <v>-64852</v>
      </c>
      <c r="L68" s="515">
        <f>SUM(L69:L76)</f>
        <v>-108863</v>
      </c>
      <c r="M68" s="515"/>
      <c r="N68" s="515"/>
      <c r="O68" s="515"/>
      <c r="P68" s="515"/>
      <c r="Q68" s="515"/>
      <c r="R68" s="515"/>
      <c r="T68" s="515">
        <f>SUM(T69:T76)</f>
        <v>-64852</v>
      </c>
      <c r="U68" s="515">
        <f>SUM(U69:U76)</f>
        <v>-44011</v>
      </c>
    </row>
    <row r="69" spans="1:21" outlineLevel="1">
      <c r="A69" s="511" t="s">
        <v>516</v>
      </c>
      <c r="C69" s="516">
        <v>-6041</v>
      </c>
      <c r="D69" s="516">
        <v>-11067</v>
      </c>
      <c r="E69" s="516">
        <v>-15761</v>
      </c>
      <c r="F69" s="516">
        <v>-18659</v>
      </c>
      <c r="G69" s="516">
        <v>-4709</v>
      </c>
      <c r="H69" s="516">
        <v>-82898</v>
      </c>
      <c r="I69" s="516">
        <v>-131627</v>
      </c>
      <c r="J69" s="516">
        <v>-165611</v>
      </c>
      <c r="K69" s="516">
        <v>-11091</v>
      </c>
      <c r="L69" s="516">
        <v>-29654</v>
      </c>
      <c r="M69" s="516"/>
      <c r="N69" s="516"/>
      <c r="O69" s="516"/>
      <c r="P69" s="516"/>
      <c r="Q69" s="516"/>
      <c r="R69" s="516"/>
      <c r="T69" s="516">
        <f t="shared" ref="T69:T77" si="26">K69</f>
        <v>-11091</v>
      </c>
      <c r="U69" s="516">
        <f t="shared" ref="U69:U77" si="27">L69-T69</f>
        <v>-18563</v>
      </c>
    </row>
    <row r="70" spans="1:21" outlineLevel="1">
      <c r="A70" s="511" t="s">
        <v>517</v>
      </c>
      <c r="C70" s="516">
        <v>-504</v>
      </c>
      <c r="D70" s="516">
        <v>-932</v>
      </c>
      <c r="E70" s="516">
        <v>-926</v>
      </c>
      <c r="F70" s="516">
        <v>-932</v>
      </c>
      <c r="G70" s="516">
        <v>-11</v>
      </c>
      <c r="H70" s="516">
        <v>2044</v>
      </c>
      <c r="I70" s="516">
        <v>4243</v>
      </c>
      <c r="J70" s="516">
        <v>1172</v>
      </c>
      <c r="K70" s="516">
        <v>127</v>
      </c>
      <c r="L70" s="516">
        <v>567</v>
      </c>
      <c r="M70" s="516"/>
      <c r="N70" s="516"/>
      <c r="O70" s="516"/>
      <c r="P70" s="516"/>
      <c r="Q70" s="516"/>
      <c r="R70" s="516"/>
      <c r="T70" s="516">
        <f t="shared" si="26"/>
        <v>127</v>
      </c>
      <c r="U70" s="516">
        <f t="shared" si="27"/>
        <v>440</v>
      </c>
    </row>
    <row r="71" spans="1:21" outlineLevel="1">
      <c r="A71" s="511" t="s">
        <v>518</v>
      </c>
      <c r="C71" s="516">
        <v>-4511</v>
      </c>
      <c r="D71" s="516">
        <v>-17176</v>
      </c>
      <c r="E71" s="516">
        <v>-33026</v>
      </c>
      <c r="F71" s="516">
        <v>-50263</v>
      </c>
      <c r="G71" s="516">
        <v>-12119</v>
      </c>
      <c r="H71" s="516">
        <v>-49559</v>
      </c>
      <c r="I71" s="516">
        <v>-71876</v>
      </c>
      <c r="J71" s="516">
        <v>-93544</v>
      </c>
      <c r="K71" s="516">
        <v>-29823</v>
      </c>
      <c r="L71" s="516">
        <v>-43962</v>
      </c>
      <c r="M71" s="516"/>
      <c r="N71" s="516"/>
      <c r="O71" s="516"/>
      <c r="P71" s="516"/>
      <c r="Q71" s="516"/>
      <c r="R71" s="516"/>
      <c r="T71" s="516">
        <f t="shared" si="26"/>
        <v>-29823</v>
      </c>
      <c r="U71" s="516">
        <f t="shared" si="27"/>
        <v>-14139</v>
      </c>
    </row>
    <row r="72" spans="1:21" outlineLevel="1">
      <c r="A72" s="511" t="s">
        <v>519</v>
      </c>
      <c r="C72" s="516">
        <v>-208</v>
      </c>
      <c r="D72" s="516">
        <v>-2660</v>
      </c>
      <c r="E72" s="516">
        <v>-4422</v>
      </c>
      <c r="F72" s="516">
        <v>-6911</v>
      </c>
      <c r="G72" s="516">
        <v>-443</v>
      </c>
      <c r="H72" s="516">
        <v>-4479</v>
      </c>
      <c r="I72" s="516">
        <v>-11325</v>
      </c>
      <c r="J72" s="516">
        <v>-6701</v>
      </c>
      <c r="K72" s="516">
        <v>-563</v>
      </c>
      <c r="L72" s="516">
        <v>266</v>
      </c>
      <c r="M72" s="516"/>
      <c r="N72" s="516"/>
      <c r="O72" s="516"/>
      <c r="P72" s="516"/>
      <c r="Q72" s="516"/>
      <c r="R72" s="516"/>
      <c r="T72" s="516">
        <f t="shared" si="26"/>
        <v>-563</v>
      </c>
      <c r="U72" s="516">
        <f t="shared" si="27"/>
        <v>829</v>
      </c>
    </row>
    <row r="73" spans="1:21" outlineLevel="1">
      <c r="A73" s="511" t="s">
        <v>520</v>
      </c>
      <c r="C73" s="516">
        <v>549</v>
      </c>
      <c r="D73" s="516">
        <v>1588</v>
      </c>
      <c r="E73" s="516">
        <v>1422</v>
      </c>
      <c r="F73" s="516">
        <v>-832</v>
      </c>
      <c r="G73" s="516">
        <v>-179</v>
      </c>
      <c r="H73" s="516">
        <v>1736</v>
      </c>
      <c r="I73" s="516">
        <v>-1192</v>
      </c>
      <c r="J73" s="516">
        <v>-1005</v>
      </c>
      <c r="K73" s="516">
        <v>-1204</v>
      </c>
      <c r="L73" s="516">
        <v>-2688</v>
      </c>
      <c r="M73" s="516"/>
      <c r="N73" s="516"/>
      <c r="O73" s="516"/>
      <c r="P73" s="516"/>
      <c r="Q73" s="516"/>
      <c r="R73" s="516"/>
      <c r="T73" s="516">
        <f t="shared" si="26"/>
        <v>-1204</v>
      </c>
      <c r="U73" s="516">
        <f t="shared" si="27"/>
        <v>-1484</v>
      </c>
    </row>
    <row r="74" spans="1:21" outlineLevel="1">
      <c r="A74" s="511" t="s">
        <v>521</v>
      </c>
      <c r="C74" s="516">
        <v>-6637</v>
      </c>
      <c r="D74" s="516">
        <v>-22073</v>
      </c>
      <c r="E74" s="516">
        <v>-33845</v>
      </c>
      <c r="F74" s="516">
        <v>-38275</v>
      </c>
      <c r="G74" s="516">
        <v>-9058</v>
      </c>
      <c r="H74" s="516">
        <v>-25975</v>
      </c>
      <c r="I74" s="516">
        <v>-46709</v>
      </c>
      <c r="J74" s="516">
        <v>-94446</v>
      </c>
      <c r="K74" s="516">
        <v>-20769</v>
      </c>
      <c r="L74" s="516">
        <v>-30351</v>
      </c>
      <c r="M74" s="516"/>
      <c r="N74" s="516"/>
      <c r="O74" s="516"/>
      <c r="P74" s="516"/>
      <c r="Q74" s="516"/>
      <c r="R74" s="516"/>
      <c r="T74" s="516">
        <f t="shared" si="26"/>
        <v>-20769</v>
      </c>
      <c r="U74" s="516">
        <f t="shared" si="27"/>
        <v>-9582</v>
      </c>
    </row>
    <row r="75" spans="1:21" outlineLevel="1">
      <c r="A75" s="511" t="s">
        <v>522</v>
      </c>
      <c r="C75" s="516">
        <v>-5604</v>
      </c>
      <c r="D75" s="516">
        <v>-11055</v>
      </c>
      <c r="E75" s="516">
        <v>-16349</v>
      </c>
      <c r="F75" s="516">
        <v>-21293</v>
      </c>
      <c r="G75" s="516">
        <v>-4944</v>
      </c>
      <c r="H75" s="516">
        <v>-47651</v>
      </c>
      <c r="I75" s="516">
        <v>-21958</v>
      </c>
      <c r="J75" s="516">
        <v>-29232</v>
      </c>
      <c r="K75" s="516">
        <v>-1529</v>
      </c>
      <c r="L75" s="516">
        <v>-3041</v>
      </c>
      <c r="M75" s="516"/>
      <c r="N75" s="516"/>
      <c r="O75" s="516"/>
      <c r="P75" s="516"/>
      <c r="Q75" s="516"/>
      <c r="R75" s="516"/>
      <c r="T75" s="516">
        <f t="shared" si="26"/>
        <v>-1529</v>
      </c>
      <c r="U75" s="516">
        <f t="shared" si="27"/>
        <v>-1512</v>
      </c>
    </row>
    <row r="76" spans="1:21" outlineLevel="1">
      <c r="A76" s="511" t="s">
        <v>523</v>
      </c>
      <c r="C76" s="516">
        <v>0</v>
      </c>
      <c r="D76" s="516">
        <v>0</v>
      </c>
      <c r="E76" s="516">
        <v>0</v>
      </c>
      <c r="F76" s="516">
        <v>0</v>
      </c>
      <c r="G76" s="516">
        <v>0</v>
      </c>
      <c r="H76" s="516">
        <v>0</v>
      </c>
      <c r="I76" s="516">
        <v>0</v>
      </c>
      <c r="J76" s="516">
        <v>0</v>
      </c>
      <c r="K76" s="516">
        <v>0</v>
      </c>
      <c r="L76" s="516">
        <v>0</v>
      </c>
      <c r="M76" s="516"/>
      <c r="N76" s="516"/>
      <c r="O76" s="516"/>
      <c r="P76" s="516"/>
      <c r="Q76" s="516"/>
      <c r="R76" s="516"/>
      <c r="T76" s="516">
        <f t="shared" si="26"/>
        <v>0</v>
      </c>
      <c r="U76" s="516">
        <f t="shared" si="27"/>
        <v>0</v>
      </c>
    </row>
    <row r="77" spans="1:21">
      <c r="A77" s="510" t="s">
        <v>524</v>
      </c>
      <c r="C77" s="515">
        <v>0</v>
      </c>
      <c r="D77" s="515">
        <v>0</v>
      </c>
      <c r="E77" s="515">
        <v>0</v>
      </c>
      <c r="F77" s="515">
        <v>0</v>
      </c>
      <c r="G77" s="515">
        <v>0</v>
      </c>
      <c r="H77" s="515">
        <v>0</v>
      </c>
      <c r="I77" s="515">
        <v>0</v>
      </c>
      <c r="J77" s="515"/>
      <c r="K77" s="515"/>
      <c r="L77" s="515">
        <v>0</v>
      </c>
      <c r="M77" s="515"/>
      <c r="N77" s="515"/>
      <c r="O77" s="515"/>
      <c r="P77" s="515"/>
      <c r="Q77" s="515"/>
      <c r="R77" s="515"/>
      <c r="T77" s="515">
        <f t="shared" si="26"/>
        <v>0</v>
      </c>
      <c r="U77" s="515">
        <f t="shared" si="27"/>
        <v>0</v>
      </c>
    </row>
    <row r="78" spans="1:21">
      <c r="A78" s="510" t="s">
        <v>525</v>
      </c>
      <c r="C78" s="515">
        <f t="shared" ref="C78:J78" si="28">SUM(C79:C81)</f>
        <v>-5794</v>
      </c>
      <c r="D78" s="515">
        <f t="shared" si="28"/>
        <v>-6518</v>
      </c>
      <c r="E78" s="515">
        <f t="shared" si="28"/>
        <v>-7066</v>
      </c>
      <c r="F78" s="515">
        <f t="shared" si="28"/>
        <v>-1248</v>
      </c>
      <c r="G78" s="515">
        <f t="shared" si="28"/>
        <v>2148</v>
      </c>
      <c r="H78" s="515">
        <f t="shared" si="28"/>
        <v>-45661</v>
      </c>
      <c r="I78" s="515">
        <f t="shared" si="28"/>
        <v>-57876</v>
      </c>
      <c r="J78" s="515">
        <f t="shared" si="28"/>
        <v>-168481</v>
      </c>
      <c r="K78" s="515">
        <f>SUM(K79:K81)</f>
        <v>-26835</v>
      </c>
      <c r="L78" s="515">
        <f>SUM(L79:L81)</f>
        <v>-86505</v>
      </c>
      <c r="M78" s="515"/>
      <c r="N78" s="515"/>
      <c r="O78" s="515"/>
      <c r="P78" s="515"/>
      <c r="Q78" s="515"/>
      <c r="R78" s="515"/>
      <c r="T78" s="515">
        <f t="shared" ref="T78:U78" si="29">SUM(T79:T81)</f>
        <v>-26835</v>
      </c>
      <c r="U78" s="515">
        <f t="shared" si="29"/>
        <v>-59670</v>
      </c>
    </row>
    <row r="79" spans="1:21" outlineLevel="1">
      <c r="A79" s="511" t="s">
        <v>526</v>
      </c>
      <c r="C79" s="516">
        <v>-6322</v>
      </c>
      <c r="D79" s="516">
        <v>-9148</v>
      </c>
      <c r="E79" s="516">
        <v>-10681</v>
      </c>
      <c r="F79" s="516">
        <v>3530</v>
      </c>
      <c r="G79" s="516">
        <v>229</v>
      </c>
      <c r="H79" s="516">
        <v>-3259</v>
      </c>
      <c r="I79" s="516">
        <v>-9209</v>
      </c>
      <c r="J79" s="516">
        <v>-12966</v>
      </c>
      <c r="K79" s="516">
        <v>-6268</v>
      </c>
      <c r="L79" s="516">
        <v>-13466</v>
      </c>
      <c r="M79" s="516"/>
      <c r="N79" s="516"/>
      <c r="O79" s="516"/>
      <c r="P79" s="516"/>
      <c r="Q79" s="516"/>
      <c r="R79" s="516"/>
      <c r="T79" s="516">
        <f t="shared" ref="T79:T80" si="30">K79</f>
        <v>-6268</v>
      </c>
      <c r="U79" s="516">
        <f t="shared" ref="U79:U81" si="31">L79-T79</f>
        <v>-7198</v>
      </c>
    </row>
    <row r="80" spans="1:21" outlineLevel="1">
      <c r="A80" s="511" t="s">
        <v>527</v>
      </c>
      <c r="C80" s="516">
        <v>528</v>
      </c>
      <c r="D80" s="516">
        <v>2630</v>
      </c>
      <c r="E80" s="516">
        <v>3615</v>
      </c>
      <c r="F80" s="516">
        <v>-4778</v>
      </c>
      <c r="G80" s="516">
        <v>1919</v>
      </c>
      <c r="H80" s="516">
        <v>-42402</v>
      </c>
      <c r="I80" s="516">
        <v>-48667</v>
      </c>
      <c r="J80" s="516">
        <v>-155515</v>
      </c>
      <c r="K80" s="516">
        <v>-20567</v>
      </c>
      <c r="L80" s="516">
        <v>-70123</v>
      </c>
      <c r="M80" s="516"/>
      <c r="N80" s="516"/>
      <c r="O80" s="516"/>
      <c r="P80" s="516"/>
      <c r="Q80" s="516"/>
      <c r="R80" s="516"/>
      <c r="T80" s="516">
        <f t="shared" si="30"/>
        <v>-20567</v>
      </c>
      <c r="U80" s="516">
        <f t="shared" si="31"/>
        <v>-49556</v>
      </c>
    </row>
    <row r="81" spans="1:21" outlineLevel="1">
      <c r="A81" s="511" t="s">
        <v>528</v>
      </c>
      <c r="C81" s="516"/>
      <c r="D81" s="516"/>
      <c r="E81" s="516"/>
      <c r="F81" s="516"/>
      <c r="G81" s="516"/>
      <c r="H81" s="516"/>
      <c r="I81" s="516"/>
      <c r="J81" s="516"/>
      <c r="K81" s="516"/>
      <c r="L81" s="516">
        <v>-2916</v>
      </c>
      <c r="M81" s="516"/>
      <c r="N81" s="516"/>
      <c r="O81" s="516"/>
      <c r="P81" s="516"/>
      <c r="Q81" s="516"/>
      <c r="R81" s="516"/>
      <c r="T81" s="516"/>
      <c r="U81" s="516">
        <f t="shared" si="31"/>
        <v>-2916</v>
      </c>
    </row>
    <row r="82" spans="1:21">
      <c r="A82" s="510"/>
      <c r="C82" s="510"/>
      <c r="D82" s="510"/>
      <c r="E82" s="510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0"/>
      <c r="T82" s="510"/>
      <c r="U82" s="510"/>
    </row>
    <row r="83" spans="1:21">
      <c r="A83" s="522" t="s">
        <v>529</v>
      </c>
      <c r="C83" s="513">
        <f t="shared" ref="C83:H83" si="32">C85-C75-C52-C76</f>
        <v>171420</v>
      </c>
      <c r="D83" s="513">
        <f t="shared" si="32"/>
        <v>172838</v>
      </c>
      <c r="E83" s="513">
        <f t="shared" si="32"/>
        <v>271766</v>
      </c>
      <c r="F83" s="513">
        <f t="shared" si="32"/>
        <v>418688</v>
      </c>
      <c r="G83" s="513">
        <f t="shared" si="32"/>
        <v>263813</v>
      </c>
      <c r="H83" s="513">
        <f t="shared" si="32"/>
        <v>318628</v>
      </c>
      <c r="I83" s="513">
        <f>I85-I75-I52-I76</f>
        <v>422818</v>
      </c>
      <c r="J83" s="513">
        <f>J85-J75-J52-J76</f>
        <v>454353</v>
      </c>
      <c r="K83" s="513">
        <f>K85-K75-K52-K76</f>
        <v>190632</v>
      </c>
      <c r="L83" s="513">
        <f>L85-L75-L52-L76</f>
        <v>202677</v>
      </c>
      <c r="M83" s="513"/>
      <c r="N83" s="513"/>
      <c r="O83" s="513"/>
      <c r="P83" s="513"/>
      <c r="Q83" s="513"/>
      <c r="R83" s="513"/>
      <c r="T83" s="513">
        <f>T85-T75-T52-T76</f>
        <v>190632</v>
      </c>
      <c r="U83" s="513">
        <f>U85-U75-U52-U76</f>
        <v>12045</v>
      </c>
    </row>
    <row r="84" spans="1:21">
      <c r="A84" s="510"/>
      <c r="C84" s="510"/>
      <c r="D84" s="510"/>
      <c r="E84" s="510"/>
      <c r="F84" s="510"/>
      <c r="G84" s="510"/>
      <c r="H84" s="510"/>
      <c r="I84" s="510"/>
      <c r="J84" s="510"/>
      <c r="K84" s="510"/>
      <c r="L84" s="510"/>
      <c r="M84" s="510"/>
      <c r="N84" s="510"/>
      <c r="O84" s="510"/>
      <c r="P84" s="510"/>
      <c r="Q84" s="510"/>
      <c r="R84" s="510"/>
      <c r="T84" s="510"/>
      <c r="U84" s="510"/>
    </row>
    <row r="85" spans="1:21">
      <c r="A85" s="522" t="s">
        <v>530</v>
      </c>
      <c r="C85" s="513">
        <f t="shared" ref="C85:H85" si="33">C57+C59</f>
        <v>130090</v>
      </c>
      <c r="D85" s="513">
        <f t="shared" si="33"/>
        <v>90506</v>
      </c>
      <c r="E85" s="513">
        <f t="shared" si="33"/>
        <v>148417</v>
      </c>
      <c r="F85" s="513">
        <f t="shared" si="33"/>
        <v>254347</v>
      </c>
      <c r="G85" s="513">
        <f t="shared" si="33"/>
        <v>223591</v>
      </c>
      <c r="H85" s="513">
        <f t="shared" si="33"/>
        <v>241403</v>
      </c>
      <c r="I85" s="513">
        <f>I57+I59</f>
        <v>314437</v>
      </c>
      <c r="J85" s="513">
        <f>J57+J59</f>
        <v>305487</v>
      </c>
      <c r="K85" s="513">
        <f>K57+K59</f>
        <v>155944</v>
      </c>
      <c r="L85" s="513">
        <f>L57+L59</f>
        <v>132595</v>
      </c>
      <c r="M85" s="513"/>
      <c r="N85" s="513"/>
      <c r="O85" s="513"/>
      <c r="P85" s="513"/>
      <c r="Q85" s="513"/>
      <c r="R85" s="513"/>
      <c r="T85" s="513">
        <f>T57+T59</f>
        <v>155944</v>
      </c>
      <c r="U85" s="513">
        <f>U57+U59</f>
        <v>-23349</v>
      </c>
    </row>
    <row r="86" spans="1:21">
      <c r="A86" s="510"/>
      <c r="C86" s="510"/>
      <c r="D86" s="510"/>
      <c r="E86" s="510"/>
      <c r="F86" s="510"/>
      <c r="G86" s="510"/>
      <c r="H86" s="510"/>
      <c r="I86" s="510"/>
      <c r="J86" s="510"/>
      <c r="K86" s="510"/>
      <c r="L86" s="510"/>
      <c r="M86" s="510"/>
      <c r="N86" s="510"/>
      <c r="O86" s="510"/>
      <c r="P86" s="510"/>
      <c r="Q86" s="510"/>
      <c r="R86" s="510"/>
      <c r="T86" s="510"/>
      <c r="U86" s="510"/>
    </row>
    <row r="87" spans="1:21">
      <c r="A87" s="522" t="s">
        <v>531</v>
      </c>
      <c r="C87" s="513">
        <f t="shared" ref="C87:H87" si="34">C89+C98</f>
        <v>-113664</v>
      </c>
      <c r="D87" s="513">
        <f t="shared" si="34"/>
        <v>-173621</v>
      </c>
      <c r="E87" s="513">
        <f t="shared" si="34"/>
        <v>-241751</v>
      </c>
      <c r="F87" s="513">
        <f t="shared" si="34"/>
        <v>-520519</v>
      </c>
      <c r="G87" s="513">
        <f t="shared" si="34"/>
        <v>-182067</v>
      </c>
      <c r="H87" s="513">
        <f t="shared" si="34"/>
        <v>-359862</v>
      </c>
      <c r="I87" s="513">
        <f>I89+I98</f>
        <v>-535041</v>
      </c>
      <c r="J87" s="513">
        <f>J89+J98</f>
        <v>-757046</v>
      </c>
      <c r="K87" s="513">
        <f>K89+K98</f>
        <v>-171940</v>
      </c>
      <c r="L87" s="513">
        <f>L89+L98</f>
        <v>-364574</v>
      </c>
      <c r="M87" s="513"/>
      <c r="N87" s="513"/>
      <c r="O87" s="513"/>
      <c r="P87" s="513"/>
      <c r="Q87" s="513"/>
      <c r="R87" s="513"/>
      <c r="T87" s="513">
        <f>T89+T98</f>
        <v>-171940</v>
      </c>
      <c r="U87" s="513">
        <f>U89+U98</f>
        <v>-192634</v>
      </c>
    </row>
    <row r="88" spans="1:21">
      <c r="A88" s="509"/>
      <c r="C88" s="510"/>
      <c r="D88" s="510"/>
      <c r="E88" s="510"/>
      <c r="F88" s="510"/>
      <c r="G88" s="510"/>
      <c r="H88" s="510"/>
      <c r="I88" s="510"/>
      <c r="J88" s="510"/>
      <c r="K88" s="510"/>
      <c r="L88" s="510"/>
      <c r="M88" s="510"/>
      <c r="N88" s="510"/>
      <c r="O88" s="510"/>
      <c r="P88" s="510"/>
      <c r="Q88" s="510"/>
      <c r="R88" s="510"/>
      <c r="T88" s="510"/>
      <c r="U88" s="510"/>
    </row>
    <row r="89" spans="1:21">
      <c r="A89" s="510" t="s">
        <v>532</v>
      </c>
      <c r="C89" s="517">
        <f t="shared" ref="C89:H89" si="35">SUM(C90:C97)</f>
        <v>251472</v>
      </c>
      <c r="D89" s="517">
        <f t="shared" si="35"/>
        <v>402393</v>
      </c>
      <c r="E89" s="517">
        <f t="shared" si="35"/>
        <v>601569</v>
      </c>
      <c r="F89" s="517">
        <f t="shared" si="35"/>
        <v>677804</v>
      </c>
      <c r="G89" s="517">
        <f t="shared" si="35"/>
        <v>119109</v>
      </c>
      <c r="H89" s="517">
        <f t="shared" si="35"/>
        <v>222423</v>
      </c>
      <c r="I89" s="517">
        <f>SUM(I90:I97)</f>
        <v>361448</v>
      </c>
      <c r="J89" s="517">
        <f>SUM(J90:J97)</f>
        <v>461392</v>
      </c>
      <c r="K89" s="517">
        <f>SUM(K90:K97)</f>
        <v>169127</v>
      </c>
      <c r="L89" s="517">
        <f>SUM(L90:L97)</f>
        <v>350011</v>
      </c>
      <c r="M89" s="517"/>
      <c r="N89" s="517"/>
      <c r="O89" s="517"/>
      <c r="P89" s="517"/>
      <c r="Q89" s="517"/>
      <c r="R89" s="517"/>
      <c r="T89" s="517">
        <f>SUM(T90:T97)</f>
        <v>169127</v>
      </c>
      <c r="U89" s="517">
        <f>SUM(U90:U97)</f>
        <v>180884</v>
      </c>
    </row>
    <row r="90" spans="1:21" outlineLevel="1">
      <c r="A90" s="511" t="s">
        <v>533</v>
      </c>
      <c r="C90" s="516">
        <v>46612</v>
      </c>
      <c r="D90" s="516">
        <v>47800</v>
      </c>
      <c r="E90" s="516">
        <v>74118</v>
      </c>
      <c r="F90" s="516">
        <v>99962</v>
      </c>
      <c r="G90" s="516">
        <v>29266</v>
      </c>
      <c r="H90" s="516">
        <v>132435</v>
      </c>
      <c r="I90" s="516">
        <v>229060</v>
      </c>
      <c r="J90" s="516">
        <v>274168</v>
      </c>
      <c r="K90" s="516">
        <v>170443</v>
      </c>
      <c r="L90" s="516">
        <v>320647</v>
      </c>
      <c r="M90" s="516"/>
      <c r="N90" s="516"/>
      <c r="O90" s="516"/>
      <c r="P90" s="516"/>
      <c r="Q90" s="516"/>
      <c r="R90" s="516"/>
      <c r="T90" s="516">
        <f t="shared" ref="T90:T97" si="36">K90</f>
        <v>170443</v>
      </c>
      <c r="U90" s="516">
        <f t="shared" ref="U90:U97" si="37">L90-T90</f>
        <v>150204</v>
      </c>
    </row>
    <row r="91" spans="1:21" outlineLevel="1">
      <c r="A91" s="511" t="s">
        <v>534</v>
      </c>
      <c r="C91" s="516">
        <v>-5079</v>
      </c>
      <c r="D91" s="516">
        <v>-10907</v>
      </c>
      <c r="E91" s="516">
        <v>-18973</v>
      </c>
      <c r="F91" s="516">
        <v>-16173</v>
      </c>
      <c r="G91" s="516">
        <v>-3670</v>
      </c>
      <c r="H91" s="516">
        <v>-6912</v>
      </c>
      <c r="I91" s="516">
        <v>-16314</v>
      </c>
      <c r="J91" s="516">
        <v>-18914</v>
      </c>
      <c r="K91" s="516">
        <v>-16391</v>
      </c>
      <c r="L91" s="516">
        <v>-8734</v>
      </c>
      <c r="M91" s="516"/>
      <c r="N91" s="516"/>
      <c r="O91" s="516"/>
      <c r="P91" s="516"/>
      <c r="Q91" s="516"/>
      <c r="R91" s="516"/>
      <c r="T91" s="516">
        <f t="shared" si="36"/>
        <v>-16391</v>
      </c>
      <c r="U91" s="516">
        <f t="shared" si="37"/>
        <v>7657</v>
      </c>
    </row>
    <row r="92" spans="1:21" outlineLevel="1">
      <c r="A92" s="511" t="s">
        <v>535</v>
      </c>
      <c r="C92" s="516">
        <v>5349</v>
      </c>
      <c r="D92" s="516">
        <v>0</v>
      </c>
      <c r="E92" s="516">
        <v>0</v>
      </c>
      <c r="F92" s="516">
        <v>0</v>
      </c>
      <c r="G92" s="516">
        <v>0</v>
      </c>
      <c r="H92" s="516">
        <v>0</v>
      </c>
      <c r="I92" s="516">
        <v>0</v>
      </c>
      <c r="J92" s="516">
        <v>0</v>
      </c>
      <c r="K92" s="516">
        <v>0</v>
      </c>
      <c r="L92" s="516">
        <v>0</v>
      </c>
      <c r="M92" s="516"/>
      <c r="N92" s="516"/>
      <c r="O92" s="516"/>
      <c r="P92" s="516"/>
      <c r="Q92" s="516"/>
      <c r="R92" s="516"/>
      <c r="T92" s="516">
        <f t="shared" si="36"/>
        <v>0</v>
      </c>
      <c r="U92" s="516">
        <f t="shared" si="37"/>
        <v>0</v>
      </c>
    </row>
    <row r="93" spans="1:21" outlineLevel="1">
      <c r="A93" s="511" t="s">
        <v>536</v>
      </c>
      <c r="C93" s="516">
        <v>33479</v>
      </c>
      <c r="D93" s="516">
        <v>124260</v>
      </c>
      <c r="E93" s="516">
        <v>238654</v>
      </c>
      <c r="F93" s="516">
        <v>249059</v>
      </c>
      <c r="G93" s="516">
        <v>24083</v>
      </c>
      <c r="H93" s="516">
        <v>44439</v>
      </c>
      <c r="I93" s="516">
        <v>60963</v>
      </c>
      <c r="J93" s="516">
        <v>75672</v>
      </c>
      <c r="K93" s="516">
        <v>13715</v>
      </c>
      <c r="L93" s="516">
        <v>36738</v>
      </c>
      <c r="M93" s="516"/>
      <c r="N93" s="516"/>
      <c r="O93" s="516"/>
      <c r="P93" s="516"/>
      <c r="Q93" s="516"/>
      <c r="R93" s="516"/>
      <c r="T93" s="516">
        <f t="shared" si="36"/>
        <v>13715</v>
      </c>
      <c r="U93" s="516">
        <f t="shared" si="37"/>
        <v>23023</v>
      </c>
    </row>
    <row r="94" spans="1:21" outlineLevel="1">
      <c r="A94" s="511" t="s">
        <v>537</v>
      </c>
      <c r="C94" s="516">
        <v>0</v>
      </c>
      <c r="D94" s="516">
        <v>0</v>
      </c>
      <c r="E94" s="516">
        <v>0</v>
      </c>
      <c r="F94" s="516">
        <v>0</v>
      </c>
      <c r="G94" s="516">
        <v>0</v>
      </c>
      <c r="H94" s="516">
        <v>0</v>
      </c>
      <c r="I94" s="516">
        <v>0</v>
      </c>
      <c r="J94" s="516">
        <v>0</v>
      </c>
      <c r="K94" s="516">
        <v>0</v>
      </c>
      <c r="L94" s="516">
        <v>0</v>
      </c>
      <c r="M94" s="516"/>
      <c r="N94" s="516"/>
      <c r="O94" s="516"/>
      <c r="P94" s="516"/>
      <c r="Q94" s="516"/>
      <c r="R94" s="516"/>
      <c r="T94" s="516">
        <f t="shared" si="36"/>
        <v>0</v>
      </c>
      <c r="U94" s="516">
        <f t="shared" si="37"/>
        <v>0</v>
      </c>
    </row>
    <row r="95" spans="1:21" outlineLevel="1">
      <c r="A95" s="511" t="s">
        <v>538</v>
      </c>
      <c r="C95" s="516">
        <v>0</v>
      </c>
      <c r="D95" s="516">
        <v>0</v>
      </c>
      <c r="E95" s="516">
        <v>0</v>
      </c>
      <c r="F95" s="516">
        <v>0</v>
      </c>
      <c r="G95" s="516">
        <v>0</v>
      </c>
      <c r="H95" s="516">
        <v>0</v>
      </c>
      <c r="I95" s="516">
        <v>0</v>
      </c>
      <c r="J95" s="516">
        <v>0</v>
      </c>
      <c r="K95" s="516">
        <v>0</v>
      </c>
      <c r="L95" s="516">
        <v>0</v>
      </c>
      <c r="M95" s="516"/>
      <c r="N95" s="516"/>
      <c r="O95" s="516"/>
      <c r="P95" s="516"/>
      <c r="Q95" s="516"/>
      <c r="R95" s="516"/>
      <c r="T95" s="516">
        <f t="shared" si="36"/>
        <v>0</v>
      </c>
      <c r="U95" s="516">
        <f t="shared" si="37"/>
        <v>0</v>
      </c>
    </row>
    <row r="96" spans="1:21" outlineLevel="1">
      <c r="A96" s="511" t="s">
        <v>539</v>
      </c>
      <c r="C96" s="516">
        <v>34807</v>
      </c>
      <c r="D96" s="516">
        <v>77946</v>
      </c>
      <c r="E96" s="516">
        <v>123863</v>
      </c>
      <c r="F96" s="516">
        <v>144789</v>
      </c>
      <c r="G96" s="516">
        <v>49327</v>
      </c>
      <c r="H96" s="516">
        <v>2581</v>
      </c>
      <c r="I96" s="516">
        <v>2581</v>
      </c>
      <c r="J96" s="516">
        <v>2581</v>
      </c>
      <c r="K96" s="516">
        <v>0</v>
      </c>
      <c r="L96" s="516">
        <v>0</v>
      </c>
      <c r="M96" s="516"/>
      <c r="N96" s="516"/>
      <c r="O96" s="516"/>
      <c r="P96" s="516"/>
      <c r="Q96" s="516"/>
      <c r="R96" s="516"/>
      <c r="T96" s="516">
        <f t="shared" si="36"/>
        <v>0</v>
      </c>
      <c r="U96" s="516">
        <f t="shared" si="37"/>
        <v>0</v>
      </c>
    </row>
    <row r="97" spans="1:21" outlineLevel="1">
      <c r="A97" s="511" t="s">
        <v>540</v>
      </c>
      <c r="C97" s="516">
        <v>136304</v>
      </c>
      <c r="D97" s="516">
        <v>163294</v>
      </c>
      <c r="E97" s="516">
        <v>183907</v>
      </c>
      <c r="F97" s="516">
        <v>200167</v>
      </c>
      <c r="G97" s="516">
        <v>20103</v>
      </c>
      <c r="H97" s="516">
        <v>49880</v>
      </c>
      <c r="I97" s="516">
        <v>85158</v>
      </c>
      <c r="J97" s="516">
        <v>127885</v>
      </c>
      <c r="K97" s="516">
        <v>1360</v>
      </c>
      <c r="L97" s="516">
        <v>1360</v>
      </c>
      <c r="M97" s="516"/>
      <c r="N97" s="516"/>
      <c r="O97" s="516"/>
      <c r="P97" s="516"/>
      <c r="Q97" s="516"/>
      <c r="R97" s="516"/>
      <c r="T97" s="516">
        <f t="shared" si="36"/>
        <v>1360</v>
      </c>
      <c r="U97" s="516">
        <f t="shared" si="37"/>
        <v>0</v>
      </c>
    </row>
    <row r="98" spans="1:21">
      <c r="A98" s="510" t="s">
        <v>541</v>
      </c>
      <c r="C98" s="515">
        <f t="shared" ref="C98:H98" si="38">SUM(C99:C107)</f>
        <v>-365136</v>
      </c>
      <c r="D98" s="515">
        <f t="shared" si="38"/>
        <v>-576014</v>
      </c>
      <c r="E98" s="515">
        <f t="shared" si="38"/>
        <v>-843320</v>
      </c>
      <c r="F98" s="515">
        <f t="shared" si="38"/>
        <v>-1198323</v>
      </c>
      <c r="G98" s="515">
        <f t="shared" si="38"/>
        <v>-301176</v>
      </c>
      <c r="H98" s="515">
        <f t="shared" si="38"/>
        <v>-582285</v>
      </c>
      <c r="I98" s="515">
        <f>SUM(I99:I107)</f>
        <v>-896489</v>
      </c>
      <c r="J98" s="515">
        <f>SUM(J99:J107)</f>
        <v>-1218438</v>
      </c>
      <c r="K98" s="515">
        <f>SUM(K99:K107)</f>
        <v>-341067</v>
      </c>
      <c r="L98" s="515">
        <f>SUM(L99:L107)</f>
        <v>-714585</v>
      </c>
      <c r="M98" s="515"/>
      <c r="N98" s="515"/>
      <c r="O98" s="515"/>
      <c r="P98" s="515"/>
      <c r="Q98" s="515"/>
      <c r="R98" s="515"/>
      <c r="T98" s="515">
        <f>SUM(T99:T107)</f>
        <v>-341067</v>
      </c>
      <c r="U98" s="515">
        <f>SUM(U99:U107)</f>
        <v>-373518</v>
      </c>
    </row>
    <row r="99" spans="1:21" outlineLevel="1">
      <c r="A99" s="511" t="s">
        <v>542</v>
      </c>
      <c r="C99" s="516">
        <v>-62091</v>
      </c>
      <c r="D99" s="516">
        <v>-131350</v>
      </c>
      <c r="E99" s="516">
        <v>-206681</v>
      </c>
      <c r="F99" s="516">
        <v>-290026</v>
      </c>
      <c r="G99" s="516">
        <v>-93919</v>
      </c>
      <c r="H99" s="516">
        <v>-190887</v>
      </c>
      <c r="I99" s="516">
        <v>-292149</v>
      </c>
      <c r="J99" s="516">
        <v>-372296</v>
      </c>
      <c r="K99" s="516">
        <v>-132409</v>
      </c>
      <c r="L99" s="516">
        <v>-346928</v>
      </c>
      <c r="M99" s="516"/>
      <c r="N99" s="516"/>
      <c r="O99" s="516"/>
      <c r="P99" s="516"/>
      <c r="Q99" s="516"/>
      <c r="R99" s="516"/>
      <c r="T99" s="516">
        <f t="shared" ref="T99:T107" si="39">K99</f>
        <v>-132409</v>
      </c>
      <c r="U99" s="516">
        <f t="shared" ref="U99:U107" si="40">L99-T99</f>
        <v>-214519</v>
      </c>
    </row>
    <row r="100" spans="1:21" outlineLevel="1">
      <c r="A100" s="511" t="s">
        <v>543</v>
      </c>
      <c r="C100" s="516">
        <v>0</v>
      </c>
      <c r="D100" s="516">
        <v>0</v>
      </c>
      <c r="E100" s="516">
        <v>0</v>
      </c>
      <c r="F100" s="516">
        <v>0</v>
      </c>
      <c r="G100" s="516">
        <v>0</v>
      </c>
      <c r="H100" s="516">
        <v>0</v>
      </c>
      <c r="I100" s="516">
        <v>0</v>
      </c>
      <c r="J100" s="516">
        <v>0</v>
      </c>
      <c r="K100" s="516">
        <v>0</v>
      </c>
      <c r="L100" s="516">
        <v>0</v>
      </c>
      <c r="M100" s="516"/>
      <c r="N100" s="516"/>
      <c r="O100" s="516"/>
      <c r="P100" s="516"/>
      <c r="Q100" s="516"/>
      <c r="R100" s="516"/>
      <c r="T100" s="516">
        <f t="shared" si="39"/>
        <v>0</v>
      </c>
      <c r="U100" s="516">
        <f t="shared" si="40"/>
        <v>0</v>
      </c>
    </row>
    <row r="101" spans="1:21" outlineLevel="1">
      <c r="A101" s="511" t="s">
        <v>544</v>
      </c>
      <c r="C101" s="516">
        <v>-7301</v>
      </c>
      <c r="D101" s="516">
        <v>-88891</v>
      </c>
      <c r="E101" s="516">
        <v>-121607</v>
      </c>
      <c r="F101" s="516">
        <v>-129270</v>
      </c>
      <c r="G101" s="516">
        <v>-24475</v>
      </c>
      <c r="H101" s="516">
        <v>-113338</v>
      </c>
      <c r="I101" s="516">
        <v>-188738</v>
      </c>
      <c r="J101" s="516">
        <v>-255331</v>
      </c>
      <c r="K101" s="516">
        <v>-83627</v>
      </c>
      <c r="L101" s="516">
        <v>-78743</v>
      </c>
      <c r="M101" s="516"/>
      <c r="N101" s="516"/>
      <c r="O101" s="516"/>
      <c r="P101" s="516"/>
      <c r="Q101" s="516"/>
      <c r="R101" s="516"/>
      <c r="T101" s="516">
        <f t="shared" si="39"/>
        <v>-83627</v>
      </c>
      <c r="U101" s="516">
        <f t="shared" si="40"/>
        <v>4884</v>
      </c>
    </row>
    <row r="102" spans="1:21" outlineLevel="1">
      <c r="A102" s="511" t="s">
        <v>545</v>
      </c>
      <c r="C102" s="516">
        <v>0</v>
      </c>
      <c r="D102" s="516">
        <v>0</v>
      </c>
      <c r="E102" s="516">
        <v>0</v>
      </c>
      <c r="F102" s="516">
        <v>0</v>
      </c>
      <c r="G102" s="516">
        <v>0</v>
      </c>
      <c r="H102" s="516">
        <v>0</v>
      </c>
      <c r="I102" s="516">
        <v>0</v>
      </c>
      <c r="J102" s="516">
        <v>0</v>
      </c>
      <c r="K102" s="516">
        <v>0</v>
      </c>
      <c r="L102" s="516">
        <v>0</v>
      </c>
      <c r="M102" s="516"/>
      <c r="N102" s="516"/>
      <c r="O102" s="516"/>
      <c r="P102" s="516"/>
      <c r="Q102" s="516"/>
      <c r="R102" s="516"/>
      <c r="T102" s="516">
        <f t="shared" si="39"/>
        <v>0</v>
      </c>
      <c r="U102" s="516">
        <f t="shared" si="40"/>
        <v>0</v>
      </c>
    </row>
    <row r="103" spans="1:21" outlineLevel="1">
      <c r="A103" s="511" t="s">
        <v>546</v>
      </c>
      <c r="C103" s="516">
        <v>-9283</v>
      </c>
      <c r="D103" s="516">
        <v>-22188</v>
      </c>
      <c r="E103" s="516">
        <v>-48074</v>
      </c>
      <c r="F103" s="516">
        <v>-64627</v>
      </c>
      <c r="G103" s="516">
        <v>-20404</v>
      </c>
      <c r="H103" s="516">
        <v>-43063</v>
      </c>
      <c r="I103" s="516">
        <v>-67020</v>
      </c>
      <c r="J103" s="516">
        <v>-111718</v>
      </c>
      <c r="K103" s="516">
        <v>-24069</v>
      </c>
      <c r="L103" s="516">
        <v>-41177</v>
      </c>
      <c r="M103" s="516"/>
      <c r="N103" s="516"/>
      <c r="O103" s="516"/>
      <c r="P103" s="516"/>
      <c r="Q103" s="516"/>
      <c r="R103" s="516"/>
      <c r="T103" s="516">
        <f t="shared" si="39"/>
        <v>-24069</v>
      </c>
      <c r="U103" s="516">
        <f t="shared" si="40"/>
        <v>-17108</v>
      </c>
    </row>
    <row r="104" spans="1:21" outlineLevel="1">
      <c r="A104" s="511" t="s">
        <v>547</v>
      </c>
      <c r="C104" s="516">
        <v>-3272</v>
      </c>
      <c r="D104" s="516">
        <v>-6706</v>
      </c>
      <c r="E104" s="516">
        <v>-9833</v>
      </c>
      <c r="F104" s="516">
        <v>-13294</v>
      </c>
      <c r="G104" s="516">
        <v>-7979</v>
      </c>
      <c r="H104" s="516">
        <v>-13446</v>
      </c>
      <c r="I104" s="516">
        <v>-18912</v>
      </c>
      <c r="J104" s="516">
        <v>-25134</v>
      </c>
      <c r="K104" s="516">
        <v>-16298</v>
      </c>
      <c r="L104" s="516">
        <v>-23868</v>
      </c>
      <c r="M104" s="516"/>
      <c r="N104" s="516"/>
      <c r="O104" s="516"/>
      <c r="P104" s="516"/>
      <c r="Q104" s="516"/>
      <c r="R104" s="516"/>
      <c r="T104" s="516">
        <f t="shared" si="39"/>
        <v>-16298</v>
      </c>
      <c r="U104" s="516">
        <f t="shared" si="40"/>
        <v>-7570</v>
      </c>
    </row>
    <row r="105" spans="1:21" outlineLevel="1">
      <c r="A105" s="511" t="s">
        <v>548</v>
      </c>
      <c r="C105" s="516">
        <v>0</v>
      </c>
      <c r="D105" s="516">
        <v>0</v>
      </c>
      <c r="E105" s="516">
        <v>0</v>
      </c>
      <c r="F105" s="516">
        <v>0</v>
      </c>
      <c r="G105" s="516">
        <v>0</v>
      </c>
      <c r="H105" s="516">
        <v>0</v>
      </c>
      <c r="I105" s="516">
        <v>0</v>
      </c>
      <c r="J105" s="516">
        <v>0</v>
      </c>
      <c r="K105" s="516">
        <v>0</v>
      </c>
      <c r="L105" s="516">
        <v>0</v>
      </c>
      <c r="M105" s="516"/>
      <c r="N105" s="516"/>
      <c r="O105" s="516"/>
      <c r="P105" s="516"/>
      <c r="Q105" s="516"/>
      <c r="R105" s="516"/>
      <c r="T105" s="516">
        <f t="shared" si="39"/>
        <v>0</v>
      </c>
      <c r="U105" s="516">
        <f t="shared" si="40"/>
        <v>0</v>
      </c>
    </row>
    <row r="106" spans="1:21" outlineLevel="1">
      <c r="A106" s="511" t="s">
        <v>549</v>
      </c>
      <c r="C106" s="516">
        <v>-2269</v>
      </c>
      <c r="D106" s="516">
        <v>-4915</v>
      </c>
      <c r="E106" s="516">
        <v>-7994</v>
      </c>
      <c r="F106" s="516">
        <v>-10864</v>
      </c>
      <c r="G106" s="516">
        <v>-2906</v>
      </c>
      <c r="H106" s="516">
        <v>-5857</v>
      </c>
      <c r="I106" s="516">
        <v>-8926</v>
      </c>
      <c r="J106" s="516">
        <v>-11039</v>
      </c>
      <c r="K106" s="516">
        <v>-844</v>
      </c>
      <c r="L106" s="516">
        <v>-1415</v>
      </c>
      <c r="M106" s="516"/>
      <c r="N106" s="516"/>
      <c r="O106" s="516"/>
      <c r="P106" s="516"/>
      <c r="Q106" s="516"/>
      <c r="R106" s="516"/>
      <c r="T106" s="516">
        <f t="shared" si="39"/>
        <v>-844</v>
      </c>
      <c r="U106" s="516">
        <f t="shared" si="40"/>
        <v>-571</v>
      </c>
    </row>
    <row r="107" spans="1:21" outlineLevel="1">
      <c r="A107" s="511" t="s">
        <v>550</v>
      </c>
      <c r="C107" s="516">
        <v>-280920</v>
      </c>
      <c r="D107" s="516">
        <v>-321964</v>
      </c>
      <c r="E107" s="516">
        <v>-449131</v>
      </c>
      <c r="F107" s="516">
        <v>-690242</v>
      </c>
      <c r="G107" s="516">
        <v>-151493</v>
      </c>
      <c r="H107" s="516">
        <v>-215694</v>
      </c>
      <c r="I107" s="516">
        <v>-320744</v>
      </c>
      <c r="J107" s="516">
        <v>-442920</v>
      </c>
      <c r="K107" s="516">
        <v>-83820</v>
      </c>
      <c r="L107" s="516">
        <v>-222454</v>
      </c>
      <c r="M107" s="516"/>
      <c r="N107" s="516"/>
      <c r="O107" s="516"/>
      <c r="P107" s="516"/>
      <c r="Q107" s="516"/>
      <c r="R107" s="516"/>
      <c r="T107" s="516">
        <f t="shared" si="39"/>
        <v>-83820</v>
      </c>
      <c r="U107" s="516">
        <f t="shared" si="40"/>
        <v>-138634</v>
      </c>
    </row>
    <row r="108" spans="1:21">
      <c r="A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T108" s="510"/>
      <c r="U108" s="510"/>
    </row>
    <row r="109" spans="1:21">
      <c r="A109" s="522" t="s">
        <v>551</v>
      </c>
      <c r="C109" s="513">
        <f t="shared" ref="C109:H109" si="41">C85+C87</f>
        <v>16426</v>
      </c>
      <c r="D109" s="513">
        <f t="shared" si="41"/>
        <v>-83115</v>
      </c>
      <c r="E109" s="513">
        <f t="shared" si="41"/>
        <v>-93334</v>
      </c>
      <c r="F109" s="513">
        <f t="shared" si="41"/>
        <v>-266172</v>
      </c>
      <c r="G109" s="513">
        <f t="shared" si="41"/>
        <v>41524</v>
      </c>
      <c r="H109" s="513">
        <f t="shared" si="41"/>
        <v>-118459</v>
      </c>
      <c r="I109" s="513">
        <f>I85+I87</f>
        <v>-220604</v>
      </c>
      <c r="J109" s="513">
        <f>J85+J87</f>
        <v>-451559</v>
      </c>
      <c r="K109" s="513">
        <f>K85+K87</f>
        <v>-15996</v>
      </c>
      <c r="L109" s="513">
        <f>L85+L87</f>
        <v>-231979</v>
      </c>
      <c r="M109" s="513"/>
      <c r="N109" s="513"/>
      <c r="O109" s="513"/>
      <c r="P109" s="513"/>
      <c r="Q109" s="513"/>
      <c r="R109" s="513"/>
      <c r="T109" s="513">
        <f>T85+T87</f>
        <v>-15996</v>
      </c>
      <c r="U109" s="513">
        <f>U85+U87</f>
        <v>-215983</v>
      </c>
    </row>
    <row r="110" spans="1:21">
      <c r="A110" s="510"/>
      <c r="C110" s="510"/>
      <c r="D110" s="510"/>
      <c r="E110" s="510"/>
      <c r="F110" s="510"/>
      <c r="G110" s="510"/>
      <c r="H110" s="510"/>
      <c r="I110" s="510"/>
      <c r="J110" s="510"/>
      <c r="K110" s="510"/>
      <c r="L110" s="510"/>
      <c r="M110" s="510"/>
      <c r="N110" s="510"/>
      <c r="O110" s="510"/>
      <c r="P110" s="510"/>
      <c r="Q110" s="510"/>
      <c r="R110" s="510"/>
      <c r="T110" s="510"/>
      <c r="U110" s="510"/>
    </row>
    <row r="111" spans="1:21">
      <c r="A111" s="509" t="s">
        <v>552</v>
      </c>
      <c r="C111" s="517">
        <f t="shared" ref="C111:J111" si="42">SUM(C113:C116)</f>
        <v>0</v>
      </c>
      <c r="D111" s="517">
        <f t="shared" si="42"/>
        <v>-1492</v>
      </c>
      <c r="E111" s="517">
        <f t="shared" si="42"/>
        <v>0</v>
      </c>
      <c r="F111" s="517">
        <f t="shared" si="42"/>
        <v>0</v>
      </c>
      <c r="G111" s="517">
        <f t="shared" si="42"/>
        <v>-537</v>
      </c>
      <c r="H111" s="517">
        <f t="shared" si="42"/>
        <v>0</v>
      </c>
      <c r="I111" s="517">
        <f t="shared" si="42"/>
        <v>0</v>
      </c>
      <c r="J111" s="517">
        <f t="shared" si="42"/>
        <v>0</v>
      </c>
      <c r="K111" s="517">
        <f>SUM(K113:K116)</f>
        <v>48989</v>
      </c>
      <c r="L111" s="517">
        <f>SUM(L113:L116)</f>
        <v>48989</v>
      </c>
      <c r="M111" s="517"/>
      <c r="N111" s="517"/>
      <c r="O111" s="517"/>
      <c r="P111" s="517"/>
      <c r="Q111" s="517"/>
      <c r="R111" s="517"/>
      <c r="T111" s="517">
        <f>SUM(T113:T116)</f>
        <v>48989</v>
      </c>
      <c r="U111" s="517">
        <f>SUM(U113:U116)</f>
        <v>0</v>
      </c>
    </row>
    <row r="112" spans="1:21">
      <c r="A112" s="510"/>
      <c r="C112" s="510"/>
      <c r="D112" s="510"/>
      <c r="E112" s="510"/>
      <c r="F112" s="510"/>
      <c r="G112" s="510"/>
      <c r="H112" s="510"/>
      <c r="I112" s="510"/>
      <c r="J112" s="510"/>
      <c r="K112" s="510"/>
      <c r="L112" s="510"/>
      <c r="M112" s="510"/>
      <c r="N112" s="510"/>
      <c r="O112" s="510"/>
      <c r="P112" s="510"/>
      <c r="Q112" s="510"/>
      <c r="R112" s="510"/>
      <c r="T112" s="510"/>
      <c r="U112" s="510"/>
    </row>
    <row r="113" spans="1:21">
      <c r="A113" s="510" t="s">
        <v>553</v>
      </c>
      <c r="C113" s="518">
        <v>0</v>
      </c>
      <c r="D113" s="518">
        <v>-398</v>
      </c>
      <c r="E113" s="518"/>
      <c r="F113" s="518">
        <v>0</v>
      </c>
      <c r="G113" s="518">
        <v>-145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/>
      <c r="N113" s="518"/>
      <c r="O113" s="518"/>
      <c r="P113" s="518"/>
      <c r="Q113" s="518"/>
      <c r="R113" s="518"/>
      <c r="T113" s="518">
        <f t="shared" ref="T113:T116" si="43">K113</f>
        <v>0</v>
      </c>
      <c r="U113" s="518">
        <f t="shared" ref="U113:U116" si="44">L113-T113</f>
        <v>0</v>
      </c>
    </row>
    <row r="114" spans="1:21">
      <c r="A114" s="510" t="s">
        <v>554</v>
      </c>
      <c r="C114" s="518">
        <v>0</v>
      </c>
      <c r="D114" s="518">
        <v>-1094</v>
      </c>
      <c r="E114" s="518"/>
      <c r="F114" s="518">
        <v>0</v>
      </c>
      <c r="G114" s="518">
        <v>-392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/>
      <c r="N114" s="518"/>
      <c r="O114" s="518"/>
      <c r="P114" s="518"/>
      <c r="Q114" s="518"/>
      <c r="R114" s="518"/>
      <c r="T114" s="518">
        <f t="shared" si="43"/>
        <v>0</v>
      </c>
      <c r="U114" s="518">
        <f t="shared" si="44"/>
        <v>0</v>
      </c>
    </row>
    <row r="115" spans="1:21">
      <c r="A115" s="510" t="s">
        <v>555</v>
      </c>
      <c r="C115" s="518">
        <v>0</v>
      </c>
      <c r="D115" s="518">
        <v>0</v>
      </c>
      <c r="E115" s="518"/>
      <c r="F115" s="518">
        <v>0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/>
      <c r="N115" s="518"/>
      <c r="O115" s="518"/>
      <c r="P115" s="518"/>
      <c r="Q115" s="518"/>
      <c r="R115" s="518"/>
      <c r="T115" s="518">
        <f t="shared" si="43"/>
        <v>0</v>
      </c>
      <c r="U115" s="518">
        <f t="shared" si="44"/>
        <v>0</v>
      </c>
    </row>
    <row r="116" spans="1:21">
      <c r="A116" s="510" t="s">
        <v>556</v>
      </c>
      <c r="C116" s="518">
        <v>0</v>
      </c>
      <c r="D116" s="518">
        <v>0</v>
      </c>
      <c r="E116" s="518"/>
      <c r="F116" s="518">
        <v>0</v>
      </c>
      <c r="G116" s="518">
        <v>0</v>
      </c>
      <c r="H116" s="518">
        <v>0</v>
      </c>
      <c r="I116" s="518">
        <v>0</v>
      </c>
      <c r="J116" s="518">
        <v>0</v>
      </c>
      <c r="K116" s="518">
        <v>48989</v>
      </c>
      <c r="L116" s="518">
        <v>48989</v>
      </c>
      <c r="M116" s="518"/>
      <c r="N116" s="518"/>
      <c r="O116" s="518"/>
      <c r="P116" s="518"/>
      <c r="Q116" s="518"/>
      <c r="R116" s="518"/>
      <c r="T116" s="518">
        <f t="shared" si="43"/>
        <v>48989</v>
      </c>
      <c r="U116" s="518">
        <f t="shared" si="44"/>
        <v>0</v>
      </c>
    </row>
    <row r="117" spans="1:21">
      <c r="A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  <c r="T117" s="510"/>
      <c r="U117" s="510"/>
    </row>
    <row r="118" spans="1:21" ht="15" thickBot="1">
      <c r="A118" s="523" t="s">
        <v>557</v>
      </c>
      <c r="C118" s="519">
        <f t="shared" ref="C118:J118" si="45">C109+C111</f>
        <v>16426</v>
      </c>
      <c r="D118" s="519">
        <f t="shared" si="45"/>
        <v>-84607</v>
      </c>
      <c r="E118" s="519">
        <f t="shared" si="45"/>
        <v>-93334</v>
      </c>
      <c r="F118" s="519">
        <f t="shared" si="45"/>
        <v>-266172</v>
      </c>
      <c r="G118" s="519">
        <f t="shared" si="45"/>
        <v>40987</v>
      </c>
      <c r="H118" s="519">
        <f t="shared" si="45"/>
        <v>-118459</v>
      </c>
      <c r="I118" s="519">
        <f t="shared" si="45"/>
        <v>-220604</v>
      </c>
      <c r="J118" s="519">
        <f t="shared" si="45"/>
        <v>-451559</v>
      </c>
      <c r="K118" s="519">
        <f>K109+K111</f>
        <v>32993</v>
      </c>
      <c r="L118" s="519">
        <f>L109+L111</f>
        <v>-182990</v>
      </c>
      <c r="M118" s="519"/>
      <c r="N118" s="519"/>
      <c r="O118" s="519"/>
      <c r="P118" s="519"/>
      <c r="Q118" s="519"/>
      <c r="R118" s="519"/>
      <c r="T118" s="519">
        <f>T109+T111</f>
        <v>32993</v>
      </c>
      <c r="U118" s="519">
        <f>U109+U111</f>
        <v>-215983</v>
      </c>
    </row>
    <row r="119" spans="1:21" ht="15" thickTop="1">
      <c r="A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  <c r="T119" s="510"/>
      <c r="U119" s="510"/>
    </row>
    <row r="120" spans="1:21">
      <c r="A120" s="509" t="s">
        <v>558</v>
      </c>
      <c r="C120" s="518"/>
      <c r="D120" s="518"/>
      <c r="E120" s="518"/>
      <c r="F120" s="518"/>
      <c r="G120" s="518"/>
      <c r="H120" s="518"/>
      <c r="I120" s="518"/>
      <c r="J120" s="518"/>
      <c r="K120" s="518"/>
      <c r="L120" s="518"/>
      <c r="M120" s="518"/>
      <c r="N120" s="518"/>
      <c r="O120" s="518"/>
      <c r="P120" s="518"/>
      <c r="Q120" s="518"/>
      <c r="R120" s="518"/>
      <c r="T120" s="518"/>
      <c r="U120" s="518"/>
    </row>
    <row r="121" spans="1:21">
      <c r="A121" s="510" t="s">
        <v>559</v>
      </c>
      <c r="C121" s="518">
        <f t="shared" ref="C121:I121" si="46">C118-C122</f>
        <v>15625.108522739674</v>
      </c>
      <c r="D121" s="518">
        <f t="shared" si="46"/>
        <v>-80481.770168235453</v>
      </c>
      <c r="E121" s="518">
        <f t="shared" si="46"/>
        <v>-88783.263050126916</v>
      </c>
      <c r="F121" s="518">
        <f t="shared" si="46"/>
        <v>-253194.106034011</v>
      </c>
      <c r="G121" s="518">
        <f t="shared" si="46"/>
        <v>38988.574395563803</v>
      </c>
      <c r="H121" s="518">
        <f t="shared" si="46"/>
        <v>-112683.2296660915</v>
      </c>
      <c r="I121" s="518">
        <f t="shared" si="46"/>
        <v>-209847.88996410952</v>
      </c>
      <c r="J121" s="518">
        <f>J118-J122</f>
        <v>-429542.0905527703</v>
      </c>
      <c r="K121" s="518">
        <v>31384</v>
      </c>
      <c r="L121" s="518">
        <v>-174068</v>
      </c>
      <c r="M121" s="518"/>
      <c r="N121" s="518"/>
      <c r="O121" s="518"/>
      <c r="P121" s="518"/>
      <c r="Q121" s="518"/>
      <c r="R121" s="518"/>
      <c r="T121" s="518">
        <f t="shared" ref="T121:T122" si="47">K121</f>
        <v>31384</v>
      </c>
      <c r="U121" s="518">
        <f t="shared" ref="U121:U122" si="48">L121-T121</f>
        <v>-205452</v>
      </c>
    </row>
    <row r="122" spans="1:21">
      <c r="A122" s="510" t="s">
        <v>560</v>
      </c>
      <c r="C122" s="518">
        <f t="shared" ref="C122:I122" si="49">C118*C127</f>
        <v>800.89147726032547</v>
      </c>
      <c r="D122" s="518">
        <f t="shared" si="49"/>
        <v>-4125.2298317645409</v>
      </c>
      <c r="E122" s="518">
        <f t="shared" si="49"/>
        <v>-4550.7369498730804</v>
      </c>
      <c r="F122" s="518">
        <f t="shared" si="49"/>
        <v>-12977.893965989002</v>
      </c>
      <c r="G122" s="518">
        <f t="shared" si="49"/>
        <v>1998.4256044361962</v>
      </c>
      <c r="H122" s="518">
        <f t="shared" si="49"/>
        <v>-5775.7703339084919</v>
      </c>
      <c r="I122" s="518">
        <f t="shared" si="49"/>
        <v>-10756.110035890468</v>
      </c>
      <c r="J122" s="518">
        <f>J118*J127</f>
        <v>-22016.909447229715</v>
      </c>
      <c r="K122" s="518">
        <v>1609</v>
      </c>
      <c r="L122" s="518">
        <v>-8922</v>
      </c>
      <c r="M122" s="518"/>
      <c r="N122" s="518"/>
      <c r="O122" s="518"/>
      <c r="P122" s="518"/>
      <c r="Q122" s="518"/>
      <c r="R122" s="518"/>
      <c r="T122" s="518">
        <f t="shared" si="47"/>
        <v>1609</v>
      </c>
      <c r="U122" s="518">
        <f t="shared" si="48"/>
        <v>-10531</v>
      </c>
    </row>
    <row r="123" spans="1:21">
      <c r="A123" s="510"/>
      <c r="C123" s="510"/>
      <c r="D123" s="510"/>
      <c r="E123" s="510"/>
      <c r="F123" s="510"/>
      <c r="G123" s="510"/>
      <c r="H123" s="510"/>
      <c r="I123" s="510"/>
      <c r="J123" s="510"/>
      <c r="K123" s="510"/>
      <c r="L123" s="510"/>
      <c r="M123" s="510"/>
      <c r="N123" s="510"/>
      <c r="O123" s="510"/>
      <c r="P123" s="510"/>
      <c r="Q123" s="510"/>
      <c r="R123" s="510"/>
      <c r="T123" s="510"/>
      <c r="U123" s="510"/>
    </row>
    <row r="124" spans="1:21" ht="15" thickBot="1">
      <c r="A124" s="523" t="s">
        <v>557</v>
      </c>
      <c r="C124" s="519">
        <f t="shared" ref="C124:I124" si="50">SUM(C121:C122)</f>
        <v>16426</v>
      </c>
      <c r="D124" s="519">
        <f t="shared" si="50"/>
        <v>-84607</v>
      </c>
      <c r="E124" s="519">
        <f t="shared" si="50"/>
        <v>-93334</v>
      </c>
      <c r="F124" s="519">
        <f t="shared" si="50"/>
        <v>-266172</v>
      </c>
      <c r="G124" s="519">
        <f t="shared" si="50"/>
        <v>40987</v>
      </c>
      <c r="H124" s="519">
        <f t="shared" si="50"/>
        <v>-118459</v>
      </c>
      <c r="I124" s="519">
        <f t="shared" si="50"/>
        <v>-220604</v>
      </c>
      <c r="J124" s="519">
        <f t="shared" ref="J124" si="51">SUM(J121:J122)</f>
        <v>-451559</v>
      </c>
      <c r="K124" s="519">
        <f>SUM(K121:K122)</f>
        <v>32993</v>
      </c>
      <c r="L124" s="519">
        <f>SUM(L121:L122)</f>
        <v>-182990</v>
      </c>
      <c r="M124" s="519"/>
      <c r="N124" s="519"/>
      <c r="O124" s="519"/>
      <c r="P124" s="519"/>
      <c r="Q124" s="519"/>
      <c r="R124" s="519"/>
      <c r="T124" s="519">
        <f>SUM(T121:T122)</f>
        <v>32993</v>
      </c>
      <c r="U124" s="519">
        <f>SUM(U121:U122)</f>
        <v>-215983</v>
      </c>
    </row>
    <row r="125" spans="1:21" ht="15" thickTop="1"/>
    <row r="126" spans="1:21" s="525" customFormat="1" ht="10.5">
      <c r="A126" s="524" t="s">
        <v>561</v>
      </c>
      <c r="C126" s="526">
        <v>0.95124245237670002</v>
      </c>
      <c r="D126" s="526">
        <v>0.95124245237670002</v>
      </c>
      <c r="E126" s="526">
        <v>0.95124245237670002</v>
      </c>
      <c r="F126" s="526">
        <v>0.95124245237670002</v>
      </c>
      <c r="G126" s="526">
        <v>0.95124245237670002</v>
      </c>
      <c r="H126" s="526">
        <v>0.95124245237670002</v>
      </c>
      <c r="I126" s="526">
        <v>0.95124245237670002</v>
      </c>
      <c r="J126" s="526">
        <v>0.95124245237670002</v>
      </c>
      <c r="K126" s="526">
        <v>0.95124245237670002</v>
      </c>
      <c r="L126" s="526">
        <v>0.95124245237670002</v>
      </c>
      <c r="T126" s="526">
        <f t="shared" ref="T126:T127" si="52">K126</f>
        <v>0.95124245237670002</v>
      </c>
      <c r="U126" s="526">
        <v>0.95124245237670002</v>
      </c>
    </row>
    <row r="127" spans="1:21" s="525" customFormat="1" ht="10.5">
      <c r="A127" s="524" t="s">
        <v>562</v>
      </c>
      <c r="C127" s="526">
        <v>4.8757547623299979E-2</v>
      </c>
      <c r="D127" s="526">
        <v>4.8757547623299979E-2</v>
      </c>
      <c r="E127" s="526">
        <v>4.8757547623299979E-2</v>
      </c>
      <c r="F127" s="526">
        <v>4.8757547623299979E-2</v>
      </c>
      <c r="G127" s="526">
        <v>4.8757547623299979E-2</v>
      </c>
      <c r="H127" s="526">
        <v>4.8757547623299979E-2</v>
      </c>
      <c r="I127" s="526">
        <v>4.8757547623299979E-2</v>
      </c>
      <c r="J127" s="526">
        <v>4.8757547623299979E-2</v>
      </c>
      <c r="K127" s="526">
        <v>4.8757547623299979E-2</v>
      </c>
      <c r="L127" s="526">
        <v>4.8757547623299979E-2</v>
      </c>
      <c r="T127" s="526">
        <f t="shared" si="52"/>
        <v>4.8757547623299979E-2</v>
      </c>
      <c r="U127" s="526">
        <v>4.8757547623299979E-2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79998168889431442"/>
  </sheetPr>
  <dimension ref="A4:U127"/>
  <sheetViews>
    <sheetView showGridLines="0" zoomScale="85" zoomScaleNormal="85" workbookViewId="0">
      <pane xSplit="1" ySplit="4" topLeftCell="B5" activePane="bottomRight" state="frozen"/>
      <selection pane="topRight"/>
      <selection pane="bottomLeft"/>
      <selection pane="bottomRight" activeCell="L25" sqref="L25"/>
    </sheetView>
  </sheetViews>
  <sheetFormatPr defaultRowHeight="14.5" outlineLevelRow="1"/>
  <cols>
    <col min="1" max="1" width="65.7265625" bestFit="1" customWidth="1"/>
    <col min="2" max="2" width="1.54296875" customWidth="1"/>
    <col min="3" max="12" width="15.1796875" customWidth="1"/>
    <col min="13" max="18" width="15.1796875" hidden="1" customWidth="1"/>
    <col min="19" max="19" width="1.54296875" customWidth="1"/>
    <col min="20" max="20" width="15.1796875" hidden="1" customWidth="1"/>
    <col min="21" max="21" width="15.1796875" customWidth="1"/>
  </cols>
  <sheetData>
    <row r="4" spans="1:21">
      <c r="A4" s="521" t="s">
        <v>567</v>
      </c>
      <c r="C4" s="520" t="s">
        <v>453</v>
      </c>
      <c r="D4" s="520" t="s">
        <v>454</v>
      </c>
      <c r="E4" s="520" t="s">
        <v>455</v>
      </c>
      <c r="F4" s="520">
        <v>2022</v>
      </c>
      <c r="G4" s="520" t="s">
        <v>456</v>
      </c>
      <c r="H4" s="520" t="s">
        <v>457</v>
      </c>
      <c r="I4" s="520" t="s">
        <v>458</v>
      </c>
      <c r="J4" s="520">
        <v>2023</v>
      </c>
      <c r="K4" s="520" t="s">
        <v>459</v>
      </c>
      <c r="L4" s="520" t="s">
        <v>460</v>
      </c>
      <c r="M4" s="520" t="s">
        <v>461</v>
      </c>
      <c r="N4" s="520">
        <v>2024</v>
      </c>
      <c r="O4" s="520" t="s">
        <v>462</v>
      </c>
      <c r="P4" s="520" t="s">
        <v>463</v>
      </c>
      <c r="Q4" s="520" t="s">
        <v>464</v>
      </c>
      <c r="R4" s="520">
        <v>2025</v>
      </c>
      <c r="T4" s="520" t="s">
        <v>53</v>
      </c>
      <c r="U4" s="520" t="s">
        <v>54</v>
      </c>
    </row>
    <row r="5" spans="1:21" ht="6.65" customHeight="1"/>
    <row r="6" spans="1:21">
      <c r="A6" s="522" t="s">
        <v>465</v>
      </c>
      <c r="C6" s="513">
        <f t="shared" ref="C6:K6" si="0">SUM(C8,C11:C17)</f>
        <v>190940</v>
      </c>
      <c r="D6" s="513">
        <f t="shared" si="0"/>
        <v>657550</v>
      </c>
      <c r="E6" s="513">
        <f t="shared" ref="E6" si="1">SUM(E8,E11:E17)</f>
        <v>909503</v>
      </c>
      <c r="F6" s="513">
        <f t="shared" si="0"/>
        <v>1499871</v>
      </c>
      <c r="G6" s="513">
        <f t="shared" si="0"/>
        <v>389201</v>
      </c>
      <c r="H6" s="513">
        <f t="shared" si="0"/>
        <v>852045</v>
      </c>
      <c r="I6" s="513">
        <f t="shared" si="0"/>
        <v>1283316</v>
      </c>
      <c r="J6" s="513">
        <f t="shared" si="0"/>
        <v>1722382</v>
      </c>
      <c r="K6" s="513">
        <f t="shared" si="0"/>
        <v>420135</v>
      </c>
      <c r="L6" s="513">
        <f t="shared" ref="L6" si="2">SUM(L8,L11:L17)</f>
        <v>982768</v>
      </c>
      <c r="M6" s="513"/>
      <c r="N6" s="513"/>
      <c r="O6" s="513"/>
      <c r="P6" s="513"/>
      <c r="Q6" s="513"/>
      <c r="R6" s="513"/>
      <c r="T6" s="513">
        <f t="shared" ref="T6:U6" si="3">SUM(T8,T11:T17)</f>
        <v>420135</v>
      </c>
      <c r="U6" s="513">
        <f t="shared" si="3"/>
        <v>562633</v>
      </c>
    </row>
    <row r="7" spans="1:21">
      <c r="A7" s="509"/>
      <c r="C7" s="514"/>
      <c r="D7" s="514"/>
      <c r="E7" s="514"/>
      <c r="F7" s="514"/>
      <c r="G7" s="514"/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514"/>
      <c r="T7" s="514"/>
      <c r="U7" s="514"/>
    </row>
    <row r="8" spans="1:21">
      <c r="A8" s="510" t="s">
        <v>466</v>
      </c>
      <c r="C8" s="515">
        <f t="shared" ref="C8:H8" si="4">SUM(C9:C10)</f>
        <v>164989</v>
      </c>
      <c r="D8" s="515">
        <f t="shared" si="4"/>
        <v>452367</v>
      </c>
      <c r="E8" s="515">
        <f t="shared" ref="E8" si="5">SUM(E9:E10)</f>
        <v>596742</v>
      </c>
      <c r="F8" s="515">
        <f t="shared" si="4"/>
        <v>931076</v>
      </c>
      <c r="G8" s="515">
        <f t="shared" si="4"/>
        <v>243268</v>
      </c>
      <c r="H8" s="515">
        <f t="shared" si="4"/>
        <v>512307</v>
      </c>
      <c r="I8" s="515">
        <f>SUM(I9:I10)</f>
        <v>804574</v>
      </c>
      <c r="J8" s="515">
        <f>SUM(J9:J10)</f>
        <v>1112447</v>
      </c>
      <c r="K8" s="515">
        <f>SUM(K9:K10)</f>
        <v>309424</v>
      </c>
      <c r="L8" s="515">
        <f>SUM(L9:L10)</f>
        <v>683570</v>
      </c>
      <c r="M8" s="515"/>
      <c r="N8" s="515"/>
      <c r="O8" s="515"/>
      <c r="P8" s="515"/>
      <c r="Q8" s="515"/>
      <c r="R8" s="515"/>
      <c r="T8" s="515">
        <f>SUM(T9:T10)</f>
        <v>309424</v>
      </c>
      <c r="U8" s="515">
        <f>SUM(U9:U10)</f>
        <v>374146</v>
      </c>
    </row>
    <row r="9" spans="1:21" outlineLevel="1">
      <c r="A9" s="511" t="s">
        <v>466</v>
      </c>
      <c r="C9" s="516">
        <v>185636</v>
      </c>
      <c r="D9" s="516">
        <v>337916</v>
      </c>
      <c r="E9" s="516">
        <v>517658</v>
      </c>
      <c r="F9" s="516">
        <v>747974</v>
      </c>
      <c r="G9" s="516">
        <v>220661</v>
      </c>
      <c r="H9" s="516">
        <v>465377</v>
      </c>
      <c r="I9" s="516">
        <v>738828</v>
      </c>
      <c r="J9" s="516">
        <v>1027671</v>
      </c>
      <c r="K9" s="516">
        <v>257371</v>
      </c>
      <c r="L9" s="516">
        <v>530995</v>
      </c>
      <c r="M9" s="516"/>
      <c r="N9" s="516"/>
      <c r="O9" s="516"/>
      <c r="P9" s="516"/>
      <c r="Q9" s="516"/>
      <c r="R9" s="516"/>
      <c r="T9" s="516">
        <f>K9</f>
        <v>257371</v>
      </c>
      <c r="U9" s="516">
        <f>L9-T9</f>
        <v>273624</v>
      </c>
    </row>
    <row r="10" spans="1:21" outlineLevel="1">
      <c r="A10" s="511" t="s">
        <v>467</v>
      </c>
      <c r="C10" s="516">
        <v>-20647</v>
      </c>
      <c r="D10" s="516">
        <v>114451</v>
      </c>
      <c r="E10" s="516">
        <v>79084</v>
      </c>
      <c r="F10" s="516">
        <v>183102</v>
      </c>
      <c r="G10" s="516">
        <v>22607</v>
      </c>
      <c r="H10" s="516">
        <v>46930</v>
      </c>
      <c r="I10" s="516">
        <v>65746</v>
      </c>
      <c r="J10" s="516">
        <v>84776</v>
      </c>
      <c r="K10" s="516">
        <v>52053</v>
      </c>
      <c r="L10" s="516">
        <v>152575</v>
      </c>
      <c r="M10" s="516"/>
      <c r="N10" s="516"/>
      <c r="O10" s="516"/>
      <c r="P10" s="516"/>
      <c r="Q10" s="516"/>
      <c r="R10" s="516"/>
      <c r="T10" s="516">
        <f t="shared" ref="T10:T25" si="6">K10</f>
        <v>52053</v>
      </c>
      <c r="U10" s="516">
        <f t="shared" ref="U10:U16" si="7">L10-T10</f>
        <v>100522</v>
      </c>
    </row>
    <row r="11" spans="1:21">
      <c r="A11" s="510" t="s">
        <v>468</v>
      </c>
      <c r="C11" s="515">
        <v>-1349</v>
      </c>
      <c r="D11" s="515">
        <v>7040</v>
      </c>
      <c r="E11" s="515">
        <v>9145</v>
      </c>
      <c r="F11" s="515">
        <v>9783</v>
      </c>
      <c r="G11" s="515">
        <v>8013</v>
      </c>
      <c r="H11" s="515">
        <v>14001</v>
      </c>
      <c r="I11" s="515">
        <v>19097</v>
      </c>
      <c r="J11" s="515">
        <v>22620</v>
      </c>
      <c r="K11" s="515">
        <v>5745</v>
      </c>
      <c r="L11" s="515">
        <v>13725</v>
      </c>
      <c r="M11" s="515"/>
      <c r="N11" s="515"/>
      <c r="O11" s="515"/>
      <c r="P11" s="515"/>
      <c r="Q11" s="515"/>
      <c r="R11" s="515"/>
      <c r="T11" s="515">
        <f t="shared" si="6"/>
        <v>5745</v>
      </c>
      <c r="U11" s="515">
        <f t="shared" si="7"/>
        <v>7980</v>
      </c>
    </row>
    <row r="12" spans="1:21">
      <c r="A12" s="510" t="s">
        <v>469</v>
      </c>
      <c r="C12" s="515">
        <v>0</v>
      </c>
      <c r="D12" s="515">
        <v>0</v>
      </c>
      <c r="E12" s="515">
        <v>0</v>
      </c>
      <c r="F12" s="515">
        <v>0</v>
      </c>
      <c r="G12" s="515">
        <v>0</v>
      </c>
      <c r="H12" s="515">
        <v>0</v>
      </c>
      <c r="I12" s="515">
        <v>0</v>
      </c>
      <c r="J12" s="515">
        <v>0</v>
      </c>
      <c r="K12" s="515">
        <v>0</v>
      </c>
      <c r="L12" s="515">
        <v>0</v>
      </c>
      <c r="M12" s="515"/>
      <c r="N12" s="515"/>
      <c r="O12" s="515"/>
      <c r="P12" s="515"/>
      <c r="Q12" s="515"/>
      <c r="R12" s="515"/>
      <c r="T12" s="515">
        <f t="shared" si="6"/>
        <v>0</v>
      </c>
      <c r="U12" s="515">
        <f t="shared" si="7"/>
        <v>0</v>
      </c>
    </row>
    <row r="13" spans="1:21">
      <c r="A13" s="510" t="s">
        <v>470</v>
      </c>
      <c r="C13" s="515">
        <v>17244</v>
      </c>
      <c r="D13" s="515">
        <v>90350</v>
      </c>
      <c r="E13" s="515">
        <v>165684</v>
      </c>
      <c r="F13" s="515">
        <v>387911</v>
      </c>
      <c r="G13" s="515">
        <v>107039</v>
      </c>
      <c r="H13" s="515">
        <v>256550</v>
      </c>
      <c r="I13" s="515">
        <v>355405</v>
      </c>
      <c r="J13" s="515">
        <v>450125</v>
      </c>
      <c r="K13" s="515">
        <v>87894</v>
      </c>
      <c r="L13" s="515">
        <v>171564</v>
      </c>
      <c r="M13" s="515"/>
      <c r="N13" s="515"/>
      <c r="O13" s="515"/>
      <c r="P13" s="515"/>
      <c r="Q13" s="515"/>
      <c r="R13" s="515"/>
      <c r="T13" s="515">
        <f t="shared" si="6"/>
        <v>87894</v>
      </c>
      <c r="U13" s="515">
        <f t="shared" si="7"/>
        <v>83670</v>
      </c>
    </row>
    <row r="14" spans="1:21">
      <c r="A14" s="510" t="s">
        <v>471</v>
      </c>
      <c r="C14" s="515">
        <v>0</v>
      </c>
      <c r="D14" s="515">
        <v>0</v>
      </c>
      <c r="E14" s="515">
        <v>0</v>
      </c>
      <c r="F14" s="515">
        <v>0</v>
      </c>
      <c r="G14" s="515">
        <v>0</v>
      </c>
      <c r="H14" s="515">
        <v>0</v>
      </c>
      <c r="I14" s="515">
        <v>0</v>
      </c>
      <c r="J14" s="515">
        <v>0</v>
      </c>
      <c r="K14" s="515">
        <v>0</v>
      </c>
      <c r="L14" s="515">
        <v>0</v>
      </c>
      <c r="M14" s="515"/>
      <c r="N14" s="515"/>
      <c r="O14" s="515"/>
      <c r="P14" s="515"/>
      <c r="Q14" s="515"/>
      <c r="R14" s="515"/>
      <c r="T14" s="515">
        <f t="shared" si="6"/>
        <v>0</v>
      </c>
      <c r="U14" s="515">
        <f t="shared" si="7"/>
        <v>0</v>
      </c>
    </row>
    <row r="15" spans="1:21">
      <c r="A15" s="510" t="s">
        <v>472</v>
      </c>
      <c r="C15" s="515">
        <v>0</v>
      </c>
      <c r="D15" s="515">
        <v>0</v>
      </c>
      <c r="E15" s="515">
        <v>0</v>
      </c>
      <c r="F15" s="515">
        <v>0</v>
      </c>
      <c r="G15" s="515">
        <v>0</v>
      </c>
      <c r="H15" s="515">
        <v>0</v>
      </c>
      <c r="I15" s="515">
        <v>0</v>
      </c>
      <c r="J15" s="515">
        <v>0</v>
      </c>
      <c r="K15" s="515">
        <v>0</v>
      </c>
      <c r="L15" s="515">
        <v>0</v>
      </c>
      <c r="M15" s="515"/>
      <c r="N15" s="515"/>
      <c r="O15" s="515"/>
      <c r="P15" s="515"/>
      <c r="Q15" s="515"/>
      <c r="R15" s="515"/>
      <c r="T15" s="515">
        <f t="shared" si="6"/>
        <v>0</v>
      </c>
      <c r="U15" s="515">
        <f t="shared" si="7"/>
        <v>0</v>
      </c>
    </row>
    <row r="16" spans="1:21">
      <c r="A16" s="510" t="s">
        <v>473</v>
      </c>
      <c r="C16" s="515">
        <v>0</v>
      </c>
      <c r="D16" s="515">
        <v>0</v>
      </c>
      <c r="E16" s="515">
        <v>0</v>
      </c>
      <c r="F16" s="515">
        <v>0</v>
      </c>
      <c r="G16" s="515">
        <v>0</v>
      </c>
      <c r="H16" s="515">
        <v>0</v>
      </c>
      <c r="I16" s="515">
        <v>0</v>
      </c>
      <c r="J16" s="515">
        <v>0</v>
      </c>
      <c r="K16" s="515">
        <v>0</v>
      </c>
      <c r="L16" s="515">
        <v>0</v>
      </c>
      <c r="M16" s="515"/>
      <c r="N16" s="515"/>
      <c r="O16" s="515"/>
      <c r="P16" s="515"/>
      <c r="Q16" s="515"/>
      <c r="R16" s="515"/>
      <c r="T16" s="515">
        <f t="shared" si="6"/>
        <v>0</v>
      </c>
      <c r="U16" s="515">
        <f t="shared" si="7"/>
        <v>0</v>
      </c>
    </row>
    <row r="17" spans="1:21">
      <c r="A17" s="510" t="s">
        <v>474</v>
      </c>
      <c r="C17" s="515">
        <f t="shared" ref="C17:H17" si="8">SUM(C18:C25)</f>
        <v>10056</v>
      </c>
      <c r="D17" s="515">
        <f t="shared" si="8"/>
        <v>107793</v>
      </c>
      <c r="E17" s="515">
        <f t="shared" ref="E17" si="9">SUM(E18:E25)</f>
        <v>137932</v>
      </c>
      <c r="F17" s="515">
        <f t="shared" si="8"/>
        <v>171101</v>
      </c>
      <c r="G17" s="515">
        <f t="shared" si="8"/>
        <v>30881</v>
      </c>
      <c r="H17" s="515">
        <f t="shared" si="8"/>
        <v>69187</v>
      </c>
      <c r="I17" s="515">
        <f>SUM(I18:I25)</f>
        <v>104240</v>
      </c>
      <c r="J17" s="515">
        <f>SUM(J18:J25)</f>
        <v>137190</v>
      </c>
      <c r="K17" s="515">
        <f>SUM(K18:K25)</f>
        <v>17072</v>
      </c>
      <c r="L17" s="515">
        <f>SUM(L18:L25)</f>
        <v>113909</v>
      </c>
      <c r="M17" s="515"/>
      <c r="N17" s="515"/>
      <c r="O17" s="515"/>
      <c r="P17" s="515"/>
      <c r="Q17" s="515"/>
      <c r="R17" s="515"/>
      <c r="T17" s="515">
        <f>SUM(T18:T25)</f>
        <v>17072</v>
      </c>
      <c r="U17" s="515">
        <f>SUM(U18:U25)</f>
        <v>96837</v>
      </c>
    </row>
    <row r="18" spans="1:21" outlineLevel="1">
      <c r="A18" s="511" t="s">
        <v>475</v>
      </c>
      <c r="C18" s="516">
        <v>1990</v>
      </c>
      <c r="D18" s="516">
        <v>4259</v>
      </c>
      <c r="E18" s="516">
        <v>7111</v>
      </c>
      <c r="F18" s="516">
        <v>9949</v>
      </c>
      <c r="G18" s="516">
        <v>3006</v>
      </c>
      <c r="H18" s="516">
        <v>6362</v>
      </c>
      <c r="I18" s="516">
        <v>12267</v>
      </c>
      <c r="J18" s="516">
        <v>19670</v>
      </c>
      <c r="K18" s="516">
        <v>9148</v>
      </c>
      <c r="L18" s="516">
        <v>18821</v>
      </c>
      <c r="M18" s="516"/>
      <c r="N18" s="516"/>
      <c r="O18" s="516"/>
      <c r="P18" s="516"/>
      <c r="Q18" s="516"/>
      <c r="R18" s="516"/>
      <c r="T18" s="516">
        <f t="shared" si="6"/>
        <v>9148</v>
      </c>
      <c r="U18" s="516">
        <f t="shared" ref="U18:U25" si="10">L18-T18</f>
        <v>9673</v>
      </c>
    </row>
    <row r="19" spans="1:21" outlineLevel="1">
      <c r="A19" s="511" t="s">
        <v>476</v>
      </c>
      <c r="C19" s="516">
        <v>341</v>
      </c>
      <c r="D19" s="516">
        <v>558</v>
      </c>
      <c r="E19" s="516">
        <v>419</v>
      </c>
      <c r="F19" s="516">
        <v>244</v>
      </c>
      <c r="G19" s="516">
        <v>530</v>
      </c>
      <c r="H19" s="516">
        <v>1064</v>
      </c>
      <c r="I19" s="516">
        <v>1201</v>
      </c>
      <c r="J19" s="516">
        <v>850</v>
      </c>
      <c r="K19" s="516">
        <v>477</v>
      </c>
      <c r="L19" s="516">
        <v>16882</v>
      </c>
      <c r="M19" s="516"/>
      <c r="N19" s="516"/>
      <c r="O19" s="516"/>
      <c r="P19" s="516"/>
      <c r="Q19" s="516"/>
      <c r="R19" s="516"/>
      <c r="T19" s="516">
        <f t="shared" si="6"/>
        <v>477</v>
      </c>
      <c r="U19" s="516">
        <f t="shared" si="10"/>
        <v>16405</v>
      </c>
    </row>
    <row r="20" spans="1:21" outlineLevel="1">
      <c r="A20" s="511" t="s">
        <v>477</v>
      </c>
      <c r="C20" s="516">
        <v>0</v>
      </c>
      <c r="D20" s="516">
        <v>0</v>
      </c>
      <c r="E20" s="516">
        <v>0</v>
      </c>
      <c r="F20" s="516">
        <v>0</v>
      </c>
      <c r="G20" s="516">
        <v>0</v>
      </c>
      <c r="H20" s="516">
        <v>0</v>
      </c>
      <c r="I20" s="516">
        <v>0</v>
      </c>
      <c r="J20" s="516">
        <v>0</v>
      </c>
      <c r="K20" s="516">
        <v>0</v>
      </c>
      <c r="L20" s="516">
        <v>0</v>
      </c>
      <c r="M20" s="516"/>
      <c r="N20" s="516"/>
      <c r="O20" s="516"/>
      <c r="P20" s="516"/>
      <c r="Q20" s="516"/>
      <c r="R20" s="516"/>
      <c r="T20" s="516">
        <f t="shared" si="6"/>
        <v>0</v>
      </c>
      <c r="U20" s="516">
        <f t="shared" si="10"/>
        <v>0</v>
      </c>
    </row>
    <row r="21" spans="1:21" outlineLevel="1">
      <c r="A21" s="511" t="s">
        <v>478</v>
      </c>
      <c r="C21" s="516">
        <v>0</v>
      </c>
      <c r="D21" s="516">
        <v>0</v>
      </c>
      <c r="E21" s="516">
        <v>0</v>
      </c>
      <c r="F21" s="516">
        <v>0</v>
      </c>
      <c r="G21" s="516">
        <v>0</v>
      </c>
      <c r="H21" s="516">
        <v>0</v>
      </c>
      <c r="I21" s="516">
        <v>0</v>
      </c>
      <c r="J21" s="516">
        <v>0</v>
      </c>
      <c r="K21" s="516">
        <v>0</v>
      </c>
      <c r="L21" s="516">
        <v>0</v>
      </c>
      <c r="M21" s="516"/>
      <c r="N21" s="516"/>
      <c r="O21" s="516"/>
      <c r="P21" s="516"/>
      <c r="Q21" s="516"/>
      <c r="R21" s="516"/>
      <c r="T21" s="516">
        <f t="shared" si="6"/>
        <v>0</v>
      </c>
      <c r="U21" s="516">
        <f t="shared" si="10"/>
        <v>0</v>
      </c>
    </row>
    <row r="22" spans="1:21" outlineLevel="1">
      <c r="A22" s="511" t="s">
        <v>479</v>
      </c>
      <c r="C22" s="516">
        <v>0</v>
      </c>
      <c r="D22" s="516">
        <v>0</v>
      </c>
      <c r="E22" s="516">
        <v>0</v>
      </c>
      <c r="F22" s="516">
        <v>0</v>
      </c>
      <c r="G22" s="516">
        <v>0</v>
      </c>
      <c r="H22" s="516">
        <v>0</v>
      </c>
      <c r="I22" s="516">
        <v>0</v>
      </c>
      <c r="J22" s="516">
        <v>0</v>
      </c>
      <c r="K22" s="516">
        <v>0</v>
      </c>
      <c r="L22" s="516">
        <v>0</v>
      </c>
      <c r="M22" s="516"/>
      <c r="N22" s="516"/>
      <c r="O22" s="516"/>
      <c r="P22" s="516"/>
      <c r="Q22" s="516"/>
      <c r="R22" s="516"/>
      <c r="T22" s="516">
        <f t="shared" si="6"/>
        <v>0</v>
      </c>
      <c r="U22" s="516">
        <f t="shared" si="10"/>
        <v>0</v>
      </c>
    </row>
    <row r="23" spans="1:21" outlineLevel="1">
      <c r="A23" s="511" t="s">
        <v>480</v>
      </c>
      <c r="C23" s="516">
        <v>0</v>
      </c>
      <c r="D23" s="516">
        <v>0</v>
      </c>
      <c r="E23" s="516">
        <v>0</v>
      </c>
      <c r="F23" s="516">
        <v>0</v>
      </c>
      <c r="G23" s="516">
        <v>0</v>
      </c>
      <c r="H23" s="516">
        <v>0</v>
      </c>
      <c r="I23" s="516">
        <v>0</v>
      </c>
      <c r="J23" s="516">
        <v>0</v>
      </c>
      <c r="K23" s="516">
        <v>0</v>
      </c>
      <c r="L23" s="516">
        <v>0</v>
      </c>
      <c r="M23" s="516"/>
      <c r="N23" s="516"/>
      <c r="O23" s="516"/>
      <c r="P23" s="516"/>
      <c r="Q23" s="516"/>
      <c r="R23" s="516"/>
      <c r="T23" s="516">
        <f t="shared" si="6"/>
        <v>0</v>
      </c>
      <c r="U23" s="516">
        <f t="shared" si="10"/>
        <v>0</v>
      </c>
    </row>
    <row r="24" spans="1:21" outlineLevel="1">
      <c r="A24" s="511" t="s">
        <v>481</v>
      </c>
      <c r="C24" s="516">
        <v>0</v>
      </c>
      <c r="D24" s="516">
        <v>0</v>
      </c>
      <c r="E24" s="516">
        <v>0</v>
      </c>
      <c r="F24" s="516">
        <v>0</v>
      </c>
      <c r="G24" s="516">
        <v>0</v>
      </c>
      <c r="H24" s="516">
        <v>0</v>
      </c>
      <c r="I24" s="516">
        <v>0</v>
      </c>
      <c r="J24" s="516">
        <v>0</v>
      </c>
      <c r="K24" s="516">
        <v>0</v>
      </c>
      <c r="L24" s="516">
        <v>0</v>
      </c>
      <c r="M24" s="516"/>
      <c r="N24" s="516"/>
      <c r="O24" s="516"/>
      <c r="P24" s="516"/>
      <c r="Q24" s="516"/>
      <c r="R24" s="516"/>
      <c r="T24" s="516">
        <f t="shared" si="6"/>
        <v>0</v>
      </c>
      <c r="U24" s="516">
        <f t="shared" si="10"/>
        <v>0</v>
      </c>
    </row>
    <row r="25" spans="1:21" outlineLevel="1">
      <c r="A25" s="511" t="s">
        <v>474</v>
      </c>
      <c r="C25" s="516">
        <v>7725</v>
      </c>
      <c r="D25" s="516">
        <v>102976</v>
      </c>
      <c r="E25" s="516">
        <v>130402</v>
      </c>
      <c r="F25" s="516">
        <v>160908</v>
      </c>
      <c r="G25" s="516">
        <v>27345</v>
      </c>
      <c r="H25" s="516">
        <v>61761</v>
      </c>
      <c r="I25" s="516">
        <v>90772</v>
      </c>
      <c r="J25" s="516">
        <v>116670</v>
      </c>
      <c r="K25" s="516">
        <v>7447</v>
      </c>
      <c r="L25" s="516">
        <v>78206</v>
      </c>
      <c r="M25" s="516"/>
      <c r="N25" s="516"/>
      <c r="O25" s="516"/>
      <c r="P25" s="516"/>
      <c r="Q25" s="516"/>
      <c r="R25" s="516"/>
      <c r="T25" s="516">
        <f t="shared" si="6"/>
        <v>7447</v>
      </c>
      <c r="U25" s="516">
        <f t="shared" si="10"/>
        <v>70759</v>
      </c>
    </row>
    <row r="26" spans="1:21">
      <c r="A26" s="510"/>
      <c r="C26" s="510"/>
      <c r="D26" s="510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  <c r="T26" s="510"/>
      <c r="U26" s="510"/>
    </row>
    <row r="27" spans="1:21">
      <c r="A27" s="522" t="s">
        <v>482</v>
      </c>
      <c r="C27" s="513">
        <f t="shared" ref="C27:H27" si="11">SUM(C29:C37)</f>
        <v>-73588</v>
      </c>
      <c r="D27" s="513">
        <f t="shared" si="11"/>
        <v>-126971</v>
      </c>
      <c r="E27" s="513">
        <f t="shared" ref="E27" si="12">SUM(E29:E37)</f>
        <v>-189766</v>
      </c>
      <c r="F27" s="513">
        <f t="shared" si="11"/>
        <v>-332318</v>
      </c>
      <c r="G27" s="513">
        <f t="shared" si="11"/>
        <v>-71302</v>
      </c>
      <c r="H27" s="513">
        <f t="shared" si="11"/>
        <v>-158551</v>
      </c>
      <c r="I27" s="513">
        <f>SUM(I29:I37)</f>
        <v>-251164</v>
      </c>
      <c r="J27" s="513">
        <f>SUM(J29:J37)</f>
        <v>-303824</v>
      </c>
      <c r="K27" s="513">
        <f>SUM(K29:K37)</f>
        <v>-111528</v>
      </c>
      <c r="L27" s="513">
        <f>SUM(L29:L37)</f>
        <v>-254246</v>
      </c>
      <c r="M27" s="513"/>
      <c r="N27" s="513"/>
      <c r="O27" s="513"/>
      <c r="P27" s="513"/>
      <c r="Q27" s="513"/>
      <c r="R27" s="513"/>
      <c r="T27" s="513">
        <f>SUM(T29:T37)</f>
        <v>-111528</v>
      </c>
      <c r="U27" s="513">
        <f>SUM(U29:U37)</f>
        <v>-142718</v>
      </c>
    </row>
    <row r="28" spans="1:21">
      <c r="A28" s="509"/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T28" s="514"/>
      <c r="U28" s="514"/>
    </row>
    <row r="29" spans="1:21" outlineLevel="1">
      <c r="A29" s="511" t="s">
        <v>483</v>
      </c>
      <c r="C29" s="516">
        <v>-36126</v>
      </c>
      <c r="D29" s="516">
        <v>-62549</v>
      </c>
      <c r="E29" s="516">
        <v>-91147</v>
      </c>
      <c r="F29" s="516">
        <v>-124472</v>
      </c>
      <c r="G29" s="516">
        <v>-28761</v>
      </c>
      <c r="H29" s="516">
        <v>-67065</v>
      </c>
      <c r="I29" s="516">
        <v>-110690</v>
      </c>
      <c r="J29" s="516">
        <v>-156417</v>
      </c>
      <c r="K29" s="516">
        <v>-42315</v>
      </c>
      <c r="L29" s="516">
        <v>-84626</v>
      </c>
      <c r="M29" s="516"/>
      <c r="N29" s="516"/>
      <c r="O29" s="516"/>
      <c r="P29" s="516"/>
      <c r="Q29" s="516"/>
      <c r="R29" s="516"/>
      <c r="T29" s="516">
        <f t="shared" ref="T29:T37" si="13">K29</f>
        <v>-42315</v>
      </c>
      <c r="U29" s="516">
        <f t="shared" ref="U29:U37" si="14">L29-T29</f>
        <v>-42311</v>
      </c>
    </row>
    <row r="30" spans="1:21" outlineLevel="1">
      <c r="A30" s="511" t="s">
        <v>484</v>
      </c>
      <c r="C30" s="516">
        <v>-20677</v>
      </c>
      <c r="D30" s="516">
        <v>-23554</v>
      </c>
      <c r="E30" s="516">
        <v>-39586</v>
      </c>
      <c r="F30" s="516">
        <v>-88723</v>
      </c>
      <c r="G30" s="516">
        <v>-23558</v>
      </c>
      <c r="H30" s="516">
        <v>-50126</v>
      </c>
      <c r="I30" s="516">
        <v>-77972</v>
      </c>
      <c r="J30" s="516">
        <v>-56029</v>
      </c>
      <c r="K30" s="516">
        <v>-25733</v>
      </c>
      <c r="L30" s="516">
        <v>-53599</v>
      </c>
      <c r="M30" s="516"/>
      <c r="N30" s="516"/>
      <c r="O30" s="516"/>
      <c r="P30" s="516"/>
      <c r="Q30" s="516"/>
      <c r="R30" s="516"/>
      <c r="T30" s="516">
        <f t="shared" si="13"/>
        <v>-25733</v>
      </c>
      <c r="U30" s="516">
        <f t="shared" si="14"/>
        <v>-27866</v>
      </c>
    </row>
    <row r="31" spans="1:21" outlineLevel="1">
      <c r="A31" s="511" t="s">
        <v>485</v>
      </c>
      <c r="C31" s="516">
        <v>0</v>
      </c>
      <c r="D31" s="516">
        <v>0</v>
      </c>
      <c r="E31" s="516">
        <v>0</v>
      </c>
      <c r="F31" s="516">
        <v>0</v>
      </c>
      <c r="G31" s="516">
        <v>0</v>
      </c>
      <c r="H31" s="516">
        <v>0</v>
      </c>
      <c r="I31" s="516">
        <v>0</v>
      </c>
      <c r="J31" s="516">
        <v>0</v>
      </c>
      <c r="K31" s="516">
        <v>0</v>
      </c>
      <c r="L31" s="516">
        <v>0</v>
      </c>
      <c r="M31" s="516"/>
      <c r="N31" s="516"/>
      <c r="O31" s="516"/>
      <c r="P31" s="516"/>
      <c r="Q31" s="516"/>
      <c r="R31" s="516"/>
      <c r="T31" s="516">
        <f t="shared" si="13"/>
        <v>0</v>
      </c>
      <c r="U31" s="516">
        <f t="shared" si="14"/>
        <v>0</v>
      </c>
    </row>
    <row r="32" spans="1:21" outlineLevel="1">
      <c r="A32" s="511" t="s">
        <v>486</v>
      </c>
      <c r="C32" s="516">
        <v>0</v>
      </c>
      <c r="D32" s="516">
        <v>0</v>
      </c>
      <c r="E32" s="516">
        <v>0</v>
      </c>
      <c r="F32" s="516">
        <v>0</v>
      </c>
      <c r="G32" s="516">
        <v>0</v>
      </c>
      <c r="H32" s="516">
        <v>0</v>
      </c>
      <c r="I32" s="516">
        <v>0</v>
      </c>
      <c r="J32" s="516">
        <v>0</v>
      </c>
      <c r="K32" s="516">
        <v>0</v>
      </c>
      <c r="L32" s="516">
        <v>0</v>
      </c>
      <c r="M32" s="516"/>
      <c r="N32" s="516"/>
      <c r="O32" s="516"/>
      <c r="P32" s="516"/>
      <c r="Q32" s="516"/>
      <c r="R32" s="516"/>
      <c r="T32" s="516">
        <f t="shared" si="13"/>
        <v>0</v>
      </c>
      <c r="U32" s="516">
        <f t="shared" si="14"/>
        <v>0</v>
      </c>
    </row>
    <row r="33" spans="1:21" outlineLevel="1">
      <c r="A33" s="511" t="s">
        <v>487</v>
      </c>
      <c r="C33" s="516">
        <v>-9975</v>
      </c>
      <c r="D33" s="516">
        <v>-13385</v>
      </c>
      <c r="E33" s="516">
        <v>-4800</v>
      </c>
      <c r="F33" s="516">
        <v>-19800</v>
      </c>
      <c r="G33" s="516">
        <v>-1778</v>
      </c>
      <c r="H33" s="516">
        <v>-3585</v>
      </c>
      <c r="I33" s="516">
        <v>-5665</v>
      </c>
      <c r="J33" s="516">
        <v>-8337</v>
      </c>
      <c r="K33" s="516">
        <v>-2194</v>
      </c>
      <c r="L33" s="516">
        <v>-5198</v>
      </c>
      <c r="M33" s="516"/>
      <c r="N33" s="516"/>
      <c r="O33" s="516"/>
      <c r="P33" s="516"/>
      <c r="Q33" s="516"/>
      <c r="R33" s="516"/>
      <c r="T33" s="516">
        <f t="shared" si="13"/>
        <v>-2194</v>
      </c>
      <c r="U33" s="516">
        <f t="shared" si="14"/>
        <v>-3004</v>
      </c>
    </row>
    <row r="34" spans="1:21" outlineLevel="1">
      <c r="A34" s="511" t="s">
        <v>488</v>
      </c>
      <c r="C34" s="516">
        <v>-588</v>
      </c>
      <c r="D34" s="516">
        <v>-436</v>
      </c>
      <c r="E34" s="516">
        <v>-654</v>
      </c>
      <c r="F34" s="516">
        <v>-875</v>
      </c>
      <c r="G34" s="516">
        <v>-229</v>
      </c>
      <c r="H34" s="516">
        <v>-458</v>
      </c>
      <c r="I34" s="516">
        <v>-688</v>
      </c>
      <c r="J34" s="516">
        <v>-861</v>
      </c>
      <c r="K34" s="516">
        <v>-229</v>
      </c>
      <c r="L34" s="516">
        <v>-555</v>
      </c>
      <c r="M34" s="516"/>
      <c r="N34" s="516"/>
      <c r="O34" s="516"/>
      <c r="P34" s="516"/>
      <c r="Q34" s="516"/>
      <c r="R34" s="516"/>
      <c r="T34" s="516">
        <f t="shared" si="13"/>
        <v>-229</v>
      </c>
      <c r="U34" s="516">
        <f t="shared" si="14"/>
        <v>-326</v>
      </c>
    </row>
    <row r="35" spans="1:21" outlineLevel="1">
      <c r="A35" s="511" t="s">
        <v>489</v>
      </c>
      <c r="C35" s="516">
        <v>-6222</v>
      </c>
      <c r="D35" s="516">
        <v>-27017</v>
      </c>
      <c r="E35" s="516">
        <v>-53543</v>
      </c>
      <c r="F35" s="516">
        <v>-71308</v>
      </c>
      <c r="G35" s="516">
        <v>-18078</v>
      </c>
      <c r="H35" s="516">
        <v>-36108</v>
      </c>
      <c r="I35" s="516">
        <v>-54138</v>
      </c>
      <c r="J35" s="516">
        <v>-78902</v>
      </c>
      <c r="K35" s="516">
        <v>-39532</v>
      </c>
      <c r="L35" s="516">
        <v>-105053</v>
      </c>
      <c r="M35" s="516"/>
      <c r="N35" s="516"/>
      <c r="O35" s="516"/>
      <c r="P35" s="516"/>
      <c r="Q35" s="516"/>
      <c r="R35" s="516"/>
      <c r="T35" s="516">
        <f t="shared" si="13"/>
        <v>-39532</v>
      </c>
      <c r="U35" s="516">
        <f t="shared" si="14"/>
        <v>-65521</v>
      </c>
    </row>
    <row r="36" spans="1:21" outlineLevel="1">
      <c r="A36" s="511" t="s">
        <v>490</v>
      </c>
      <c r="C36" s="516">
        <v>0</v>
      </c>
      <c r="D36" s="516">
        <v>-30</v>
      </c>
      <c r="E36" s="516">
        <v>-36</v>
      </c>
      <c r="F36" s="516">
        <v>-40</v>
      </c>
      <c r="G36" s="516">
        <v>-5</v>
      </c>
      <c r="H36" s="516">
        <v>-42</v>
      </c>
      <c r="I36" s="516">
        <v>-59</v>
      </c>
      <c r="J36" s="516">
        <v>-101</v>
      </c>
      <c r="K36" s="516">
        <v>-18</v>
      </c>
      <c r="L36" s="516">
        <v>-45</v>
      </c>
      <c r="M36" s="516"/>
      <c r="N36" s="516"/>
      <c r="O36" s="516"/>
      <c r="P36" s="516"/>
      <c r="Q36" s="516"/>
      <c r="R36" s="516"/>
      <c r="T36" s="516">
        <f t="shared" si="13"/>
        <v>-18</v>
      </c>
      <c r="U36" s="516">
        <f t="shared" si="14"/>
        <v>-27</v>
      </c>
    </row>
    <row r="37" spans="1:21" outlineLevel="1">
      <c r="A37" s="511" t="s">
        <v>59</v>
      </c>
      <c r="C37" s="516">
        <v>0</v>
      </c>
      <c r="D37" s="516">
        <v>0</v>
      </c>
      <c r="E37" s="516">
        <v>0</v>
      </c>
      <c r="F37" s="516">
        <v>-27100</v>
      </c>
      <c r="G37" s="516">
        <v>1107</v>
      </c>
      <c r="H37" s="516">
        <v>-1167</v>
      </c>
      <c r="I37" s="516">
        <v>-1952</v>
      </c>
      <c r="J37" s="516">
        <v>-3177</v>
      </c>
      <c r="K37" s="516">
        <v>-1507</v>
      </c>
      <c r="L37" s="516">
        <v>-5170</v>
      </c>
      <c r="M37" s="516"/>
      <c r="N37" s="516"/>
      <c r="O37" s="516"/>
      <c r="P37" s="516"/>
      <c r="Q37" s="516"/>
      <c r="R37" s="516"/>
      <c r="T37" s="516">
        <f t="shared" si="13"/>
        <v>-1507</v>
      </c>
      <c r="U37" s="516">
        <f t="shared" si="14"/>
        <v>-3663</v>
      </c>
    </row>
    <row r="38" spans="1:21">
      <c r="A38" s="510"/>
      <c r="C38" s="510"/>
      <c r="D38" s="510"/>
      <c r="E38" s="510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P38" s="510"/>
      <c r="Q38" s="510"/>
      <c r="R38" s="510"/>
      <c r="T38" s="510"/>
      <c r="U38" s="510"/>
    </row>
    <row r="39" spans="1:21">
      <c r="A39" s="522" t="s">
        <v>491</v>
      </c>
      <c r="C39" s="513">
        <f t="shared" ref="C39:H39" si="15">C27+C6</f>
        <v>117352</v>
      </c>
      <c r="D39" s="513">
        <f t="shared" si="15"/>
        <v>530579</v>
      </c>
      <c r="E39" s="513">
        <f t="shared" ref="E39" si="16">E27+E6</f>
        <v>719737</v>
      </c>
      <c r="F39" s="513">
        <f t="shared" si="15"/>
        <v>1167553</v>
      </c>
      <c r="G39" s="513">
        <f t="shared" si="15"/>
        <v>317899</v>
      </c>
      <c r="H39" s="513">
        <f t="shared" si="15"/>
        <v>693494</v>
      </c>
      <c r="I39" s="513">
        <f>I27+I6</f>
        <v>1032152</v>
      </c>
      <c r="J39" s="513">
        <f>J27+J6</f>
        <v>1418558</v>
      </c>
      <c r="K39" s="513">
        <f>K27+K6</f>
        <v>308607</v>
      </c>
      <c r="L39" s="513">
        <f>L27+L6</f>
        <v>728522</v>
      </c>
      <c r="M39" s="513"/>
      <c r="N39" s="513"/>
      <c r="O39" s="513"/>
      <c r="P39" s="513"/>
      <c r="Q39" s="513"/>
      <c r="R39" s="513"/>
      <c r="T39" s="513">
        <f>T27+T6</f>
        <v>308607</v>
      </c>
      <c r="U39" s="513">
        <f>U27+U6</f>
        <v>419915</v>
      </c>
    </row>
    <row r="40" spans="1:21">
      <c r="A40" s="510"/>
      <c r="C40" s="510"/>
      <c r="D40" s="510"/>
      <c r="E40" s="510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P40" s="510"/>
      <c r="Q40" s="510"/>
      <c r="R40" s="510"/>
      <c r="T40" s="510"/>
      <c r="U40" s="510"/>
    </row>
    <row r="41" spans="1:21">
      <c r="A41" s="509" t="s">
        <v>492</v>
      </c>
      <c r="C41" s="517">
        <f t="shared" ref="C41:H41" si="17">SUM(C43:C48)</f>
        <v>-106165</v>
      </c>
      <c r="D41" s="517">
        <f t="shared" si="17"/>
        <v>-339854</v>
      </c>
      <c r="E41" s="517">
        <f t="shared" ref="E41" si="18">SUM(E43:E48)</f>
        <v>-476561</v>
      </c>
      <c r="F41" s="517">
        <f t="shared" si="17"/>
        <v>-816984</v>
      </c>
      <c r="G41" s="517">
        <f t="shared" si="17"/>
        <v>-246357</v>
      </c>
      <c r="H41" s="517">
        <f t="shared" si="17"/>
        <v>-546355</v>
      </c>
      <c r="I41" s="517">
        <f>SUM(I43:I48)</f>
        <v>-791354</v>
      </c>
      <c r="J41" s="517">
        <f>SUM(J43:J48)</f>
        <v>-1042980</v>
      </c>
      <c r="K41" s="517">
        <f>SUM(K43:K48)</f>
        <v>-226168</v>
      </c>
      <c r="L41" s="517">
        <f>SUM(L43:L48)</f>
        <v>-454533</v>
      </c>
      <c r="M41" s="517"/>
      <c r="N41" s="517"/>
      <c r="O41" s="517"/>
      <c r="P41" s="517"/>
      <c r="Q41" s="517"/>
      <c r="R41" s="517"/>
      <c r="T41" s="517">
        <f>SUM(T43:T48)</f>
        <v>-226168</v>
      </c>
      <c r="U41" s="517">
        <f>SUM(U43:U48)</f>
        <v>-228365</v>
      </c>
    </row>
    <row r="42" spans="1:21">
      <c r="A42" s="509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T42" s="514"/>
      <c r="U42" s="514"/>
    </row>
    <row r="43" spans="1:21">
      <c r="A43" s="510" t="s">
        <v>493</v>
      </c>
      <c r="C43" s="515">
        <v>-92690</v>
      </c>
      <c r="D43" s="515">
        <v>-252112</v>
      </c>
      <c r="E43" s="515">
        <v>-344583</v>
      </c>
      <c r="F43" s="515">
        <v>-466266</v>
      </c>
      <c r="G43" s="515">
        <v>-123985</v>
      </c>
      <c r="H43" s="515">
        <v>-253601</v>
      </c>
      <c r="I43" s="515">
        <v>-380818</v>
      </c>
      <c r="J43" s="515">
        <v>-518182</v>
      </c>
      <c r="K43" s="515">
        <v>-119744</v>
      </c>
      <c r="L43" s="515">
        <v>-255859</v>
      </c>
      <c r="M43" s="515"/>
      <c r="N43" s="515"/>
      <c r="O43" s="515"/>
      <c r="P43" s="515"/>
      <c r="Q43" s="515"/>
      <c r="R43" s="515"/>
      <c r="T43" s="515">
        <f t="shared" ref="T43:T47" si="19">K43</f>
        <v>-119744</v>
      </c>
      <c r="U43" s="515">
        <f t="shared" ref="U43:U47" si="20">L43-T43</f>
        <v>-136115</v>
      </c>
    </row>
    <row r="44" spans="1:21">
      <c r="A44" s="510" t="s">
        <v>494</v>
      </c>
      <c r="C44" s="515">
        <v>-17244</v>
      </c>
      <c r="D44" s="515">
        <v>-90350</v>
      </c>
      <c r="E44" s="515">
        <v>-165684</v>
      </c>
      <c r="F44" s="515">
        <v>-387911</v>
      </c>
      <c r="G44" s="515">
        <v>-107039</v>
      </c>
      <c r="H44" s="515">
        <v>-256550</v>
      </c>
      <c r="I44" s="515">
        <v>-355405</v>
      </c>
      <c r="J44" s="515">
        <v>-450125</v>
      </c>
      <c r="K44" s="515">
        <v>-87894</v>
      </c>
      <c r="L44" s="515">
        <v>-171564</v>
      </c>
      <c r="M44" s="515"/>
      <c r="N44" s="515"/>
      <c r="O44" s="515"/>
      <c r="P44" s="515"/>
      <c r="Q44" s="515"/>
      <c r="R44" s="515"/>
      <c r="T44" s="515">
        <f t="shared" si="19"/>
        <v>-87894</v>
      </c>
      <c r="U44" s="515">
        <f t="shared" si="20"/>
        <v>-83670</v>
      </c>
    </row>
    <row r="45" spans="1:21">
      <c r="A45" s="510" t="s">
        <v>495</v>
      </c>
      <c r="C45" s="515">
        <v>0</v>
      </c>
      <c r="D45" s="515">
        <v>0</v>
      </c>
      <c r="E45" s="515">
        <v>0</v>
      </c>
      <c r="F45" s="515">
        <v>0</v>
      </c>
      <c r="G45" s="515">
        <v>0</v>
      </c>
      <c r="H45" s="515">
        <v>0</v>
      </c>
      <c r="I45" s="515">
        <v>0</v>
      </c>
      <c r="J45" s="515">
        <v>0</v>
      </c>
      <c r="K45" s="515">
        <v>0</v>
      </c>
      <c r="L45" s="515">
        <v>0</v>
      </c>
      <c r="M45" s="515"/>
      <c r="N45" s="515"/>
      <c r="O45" s="515"/>
      <c r="P45" s="515"/>
      <c r="Q45" s="515"/>
      <c r="R45" s="515"/>
      <c r="T45" s="515">
        <f t="shared" si="19"/>
        <v>0</v>
      </c>
      <c r="U45" s="515">
        <f t="shared" si="20"/>
        <v>0</v>
      </c>
    </row>
    <row r="46" spans="1:21">
      <c r="A46" s="510" t="s">
        <v>496</v>
      </c>
      <c r="C46" s="515">
        <v>0</v>
      </c>
      <c r="D46" s="515">
        <v>0</v>
      </c>
      <c r="E46" s="515">
        <v>0</v>
      </c>
      <c r="F46" s="515">
        <v>0</v>
      </c>
      <c r="G46" s="515">
        <v>0</v>
      </c>
      <c r="H46" s="515">
        <v>0</v>
      </c>
      <c r="I46" s="515">
        <v>0</v>
      </c>
      <c r="J46" s="515">
        <v>0</v>
      </c>
      <c r="K46" s="515">
        <v>0</v>
      </c>
      <c r="L46" s="515">
        <v>0</v>
      </c>
      <c r="M46" s="515"/>
      <c r="N46" s="515"/>
      <c r="O46" s="515"/>
      <c r="P46" s="515"/>
      <c r="Q46" s="515"/>
      <c r="R46" s="515"/>
      <c r="T46" s="515">
        <f t="shared" si="19"/>
        <v>0</v>
      </c>
      <c r="U46" s="515">
        <f t="shared" si="20"/>
        <v>0</v>
      </c>
    </row>
    <row r="47" spans="1:21">
      <c r="A47" s="510" t="s">
        <v>497</v>
      </c>
      <c r="C47" s="515">
        <v>0</v>
      </c>
      <c r="D47" s="515">
        <v>0</v>
      </c>
      <c r="E47" s="515">
        <v>0</v>
      </c>
      <c r="F47" s="515">
        <v>0</v>
      </c>
      <c r="G47" s="515">
        <v>0</v>
      </c>
      <c r="H47" s="515">
        <v>0</v>
      </c>
      <c r="I47" s="515">
        <v>0</v>
      </c>
      <c r="J47" s="515">
        <v>0</v>
      </c>
      <c r="K47" s="515">
        <v>0</v>
      </c>
      <c r="L47" s="515">
        <v>0</v>
      </c>
      <c r="M47" s="515"/>
      <c r="N47" s="515"/>
      <c r="O47" s="515"/>
      <c r="P47" s="515"/>
      <c r="Q47" s="515"/>
      <c r="R47" s="515"/>
      <c r="T47" s="515">
        <f t="shared" si="19"/>
        <v>0</v>
      </c>
      <c r="U47" s="515">
        <f t="shared" si="20"/>
        <v>0</v>
      </c>
    </row>
    <row r="48" spans="1:21">
      <c r="A48" s="510" t="s">
        <v>498</v>
      </c>
      <c r="C48" s="515">
        <f t="shared" ref="C48:H48" si="21">SUM(C49:C55)</f>
        <v>3769</v>
      </c>
      <c r="D48" s="515">
        <f t="shared" si="21"/>
        <v>2608</v>
      </c>
      <c r="E48" s="515">
        <f t="shared" ref="E48" si="22">SUM(E49:E55)</f>
        <v>33706</v>
      </c>
      <c r="F48" s="515">
        <f t="shared" si="21"/>
        <v>37193</v>
      </c>
      <c r="G48" s="515">
        <f t="shared" si="21"/>
        <v>-15333</v>
      </c>
      <c r="H48" s="515">
        <f t="shared" si="21"/>
        <v>-36204</v>
      </c>
      <c r="I48" s="515">
        <f>SUM(I49:I55)</f>
        <v>-55131</v>
      </c>
      <c r="J48" s="515">
        <f>SUM(J49:J55)</f>
        <v>-74673</v>
      </c>
      <c r="K48" s="515">
        <f>SUM(K49:K55)</f>
        <v>-18530</v>
      </c>
      <c r="L48" s="515">
        <f>SUM(L49:L55)</f>
        <v>-27110</v>
      </c>
      <c r="M48" s="515"/>
      <c r="N48" s="515"/>
      <c r="O48" s="515"/>
      <c r="P48" s="515"/>
      <c r="Q48" s="515"/>
      <c r="R48" s="515"/>
      <c r="T48" s="515">
        <f>SUM(T49:T55)</f>
        <v>-18530</v>
      </c>
      <c r="U48" s="515">
        <f>SUM(U49:U55)</f>
        <v>-8580</v>
      </c>
    </row>
    <row r="49" spans="1:21" outlineLevel="1">
      <c r="A49" s="511" t="s">
        <v>499</v>
      </c>
      <c r="C49" s="516">
        <v>-23341</v>
      </c>
      <c r="D49" s="516">
        <v>-14200</v>
      </c>
      <c r="E49" s="516">
        <v>-4695</v>
      </c>
      <c r="F49" s="516">
        <v>5268</v>
      </c>
      <c r="G49" s="516">
        <v>-1382</v>
      </c>
      <c r="H49" s="516">
        <v>-2770</v>
      </c>
      <c r="I49" s="516">
        <v>-4575</v>
      </c>
      <c r="J49" s="516">
        <v>-6274</v>
      </c>
      <c r="K49" s="516">
        <v>-2374</v>
      </c>
      <c r="L49" s="516">
        <v>-4934</v>
      </c>
      <c r="M49" s="516"/>
      <c r="N49" s="516"/>
      <c r="O49" s="516"/>
      <c r="P49" s="516"/>
      <c r="Q49" s="516"/>
      <c r="R49" s="516"/>
      <c r="T49" s="516">
        <f t="shared" ref="T49:T55" si="23">K49</f>
        <v>-2374</v>
      </c>
      <c r="U49" s="516">
        <f t="shared" ref="U49:U55" si="24">L49-T49</f>
        <v>-2560</v>
      </c>
    </row>
    <row r="50" spans="1:21" outlineLevel="1">
      <c r="A50" s="511" t="s">
        <v>500</v>
      </c>
      <c r="C50" s="516">
        <v>-26</v>
      </c>
      <c r="D50" s="516">
        <v>-758</v>
      </c>
      <c r="E50" s="516">
        <v>-1948</v>
      </c>
      <c r="F50" s="516">
        <v>-1152</v>
      </c>
      <c r="G50" s="516">
        <v>-222</v>
      </c>
      <c r="H50" s="516">
        <v>528</v>
      </c>
      <c r="I50" s="516">
        <v>11</v>
      </c>
      <c r="J50" s="516">
        <v>-35</v>
      </c>
      <c r="K50" s="516">
        <v>-255</v>
      </c>
      <c r="L50" s="516">
        <v>-619</v>
      </c>
      <c r="M50" s="516"/>
      <c r="N50" s="516"/>
      <c r="O50" s="516"/>
      <c r="P50" s="516"/>
      <c r="Q50" s="516"/>
      <c r="R50" s="516"/>
      <c r="T50" s="516">
        <f t="shared" si="23"/>
        <v>-255</v>
      </c>
      <c r="U50" s="516">
        <f t="shared" si="24"/>
        <v>-364</v>
      </c>
    </row>
    <row r="51" spans="1:21" outlineLevel="1">
      <c r="A51" s="511" t="s">
        <v>501</v>
      </c>
      <c r="C51" s="516">
        <v>-2589</v>
      </c>
      <c r="D51" s="516">
        <v>-3667</v>
      </c>
      <c r="E51" s="516">
        <v>43873</v>
      </c>
      <c r="F51" s="516">
        <v>39463</v>
      </c>
      <c r="G51" s="516">
        <v>-5824</v>
      </c>
      <c r="H51" s="516">
        <v>-13190</v>
      </c>
      <c r="I51" s="516">
        <v>-18691</v>
      </c>
      <c r="J51" s="516">
        <v>-26400</v>
      </c>
      <c r="K51" s="516">
        <v>-5619</v>
      </c>
      <c r="L51" s="516">
        <v>-15029</v>
      </c>
      <c r="M51" s="516"/>
      <c r="N51" s="516"/>
      <c r="O51" s="516"/>
      <c r="P51" s="516"/>
      <c r="Q51" s="516"/>
      <c r="R51" s="516"/>
      <c r="T51" s="516">
        <f t="shared" si="23"/>
        <v>-5619</v>
      </c>
      <c r="U51" s="516">
        <f t="shared" si="24"/>
        <v>-9410</v>
      </c>
    </row>
    <row r="52" spans="1:21" outlineLevel="1">
      <c r="A52" s="511" t="s">
        <v>502</v>
      </c>
      <c r="C52" s="516">
        <v>-4214</v>
      </c>
      <c r="D52" s="516">
        <v>-9438</v>
      </c>
      <c r="E52" s="516">
        <v>-14263</v>
      </c>
      <c r="F52" s="516">
        <v>-20771</v>
      </c>
      <c r="G52" s="516">
        <v>-5069</v>
      </c>
      <c r="H52" s="516">
        <v>-14951</v>
      </c>
      <c r="I52" s="516">
        <v>-22732</v>
      </c>
      <c r="J52" s="516">
        <v>-29475</v>
      </c>
      <c r="K52" s="516">
        <v>-9211</v>
      </c>
      <c r="L52" s="516">
        <v>-6407</v>
      </c>
      <c r="M52" s="516"/>
      <c r="N52" s="516"/>
      <c r="O52" s="516"/>
      <c r="P52" s="516"/>
      <c r="Q52" s="516"/>
      <c r="R52" s="516"/>
      <c r="T52" s="516">
        <f t="shared" si="23"/>
        <v>-9211</v>
      </c>
      <c r="U52" s="516">
        <f t="shared" si="24"/>
        <v>2804</v>
      </c>
    </row>
    <row r="53" spans="1:21" outlineLevel="1">
      <c r="A53" s="511" t="s">
        <v>503</v>
      </c>
      <c r="C53" s="516">
        <v>34348</v>
      </c>
      <c r="D53" s="516">
        <v>30675</v>
      </c>
      <c r="E53" s="516">
        <v>10706</v>
      </c>
      <c r="F53" s="516">
        <v>14361</v>
      </c>
      <c r="G53" s="516">
        <v>-2808</v>
      </c>
      <c r="H53" s="516">
        <v>-5803</v>
      </c>
      <c r="I53" s="516">
        <v>-9124</v>
      </c>
      <c r="J53" s="516">
        <v>-12720</v>
      </c>
      <c r="K53" s="516">
        <v>-966</v>
      </c>
      <c r="L53" s="516">
        <v>8</v>
      </c>
      <c r="M53" s="516"/>
      <c r="N53" s="516"/>
      <c r="O53" s="516"/>
      <c r="P53" s="516"/>
      <c r="Q53" s="516"/>
      <c r="R53" s="516"/>
      <c r="T53" s="516">
        <f t="shared" si="23"/>
        <v>-966</v>
      </c>
      <c r="U53" s="516">
        <f t="shared" si="24"/>
        <v>974</v>
      </c>
    </row>
    <row r="54" spans="1:21" outlineLevel="1">
      <c r="A54" s="511" t="s">
        <v>504</v>
      </c>
      <c r="C54" s="516">
        <v>0</v>
      </c>
      <c r="D54" s="516">
        <v>0</v>
      </c>
      <c r="E54" s="516">
        <v>-2</v>
      </c>
      <c r="F54" s="516">
        <v>-10</v>
      </c>
      <c r="G54" s="516">
        <v>-35</v>
      </c>
      <c r="H54" s="516">
        <v>-88</v>
      </c>
      <c r="I54" s="516">
        <v>-126</v>
      </c>
      <c r="J54" s="516">
        <v>-611</v>
      </c>
      <c r="K54" s="516">
        <v>-30</v>
      </c>
      <c r="L54" s="516">
        <v>-65</v>
      </c>
      <c r="M54" s="516"/>
      <c r="N54" s="516"/>
      <c r="O54" s="516"/>
      <c r="P54" s="516"/>
      <c r="Q54" s="516"/>
      <c r="R54" s="516"/>
      <c r="T54" s="516">
        <f t="shared" si="23"/>
        <v>-30</v>
      </c>
      <c r="U54" s="516">
        <f t="shared" si="24"/>
        <v>-35</v>
      </c>
    </row>
    <row r="55" spans="1:21" outlineLevel="1">
      <c r="A55" s="511" t="s">
        <v>505</v>
      </c>
      <c r="C55" s="516">
        <v>-409</v>
      </c>
      <c r="D55" s="516">
        <v>-4</v>
      </c>
      <c r="E55" s="516">
        <v>35</v>
      </c>
      <c r="F55" s="516">
        <v>34</v>
      </c>
      <c r="G55" s="516">
        <v>7</v>
      </c>
      <c r="H55" s="516">
        <v>70</v>
      </c>
      <c r="I55" s="516">
        <v>106</v>
      </c>
      <c r="J55" s="516">
        <v>842</v>
      </c>
      <c r="K55" s="516">
        <v>-75</v>
      </c>
      <c r="L55" s="516">
        <v>-64</v>
      </c>
      <c r="M55" s="516"/>
      <c r="N55" s="516"/>
      <c r="O55" s="516"/>
      <c r="P55" s="516"/>
      <c r="Q55" s="516"/>
      <c r="R55" s="516"/>
      <c r="T55" s="516">
        <f t="shared" si="23"/>
        <v>-75</v>
      </c>
      <c r="U55" s="516">
        <f t="shared" si="24"/>
        <v>11</v>
      </c>
    </row>
    <row r="56" spans="1:21">
      <c r="A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0"/>
      <c r="T56" s="510"/>
      <c r="U56" s="510"/>
    </row>
    <row r="57" spans="1:21">
      <c r="A57" s="522" t="s">
        <v>506</v>
      </c>
      <c r="C57" s="513">
        <f t="shared" ref="C57:H57" si="25">C39+C41</f>
        <v>11187</v>
      </c>
      <c r="D57" s="513">
        <f t="shared" si="25"/>
        <v>190725</v>
      </c>
      <c r="E57" s="513">
        <f t="shared" ref="E57" si="26">E39+E41</f>
        <v>243176</v>
      </c>
      <c r="F57" s="513">
        <f t="shared" si="25"/>
        <v>350569</v>
      </c>
      <c r="G57" s="513">
        <f t="shared" si="25"/>
        <v>71542</v>
      </c>
      <c r="H57" s="513">
        <f t="shared" si="25"/>
        <v>147139</v>
      </c>
      <c r="I57" s="513">
        <f>I39+I41</f>
        <v>240798</v>
      </c>
      <c r="J57" s="513">
        <f>J39+J41</f>
        <v>375578</v>
      </c>
      <c r="K57" s="513">
        <f>K39+K41</f>
        <v>82439</v>
      </c>
      <c r="L57" s="513">
        <f>L39+L41</f>
        <v>273989</v>
      </c>
      <c r="M57" s="513"/>
      <c r="N57" s="513"/>
      <c r="O57" s="513"/>
      <c r="P57" s="513"/>
      <c r="Q57" s="513"/>
      <c r="R57" s="513"/>
      <c r="T57" s="513">
        <f>T39+T41</f>
        <v>82439</v>
      </c>
      <c r="U57" s="513">
        <f>U39+U41</f>
        <v>191550</v>
      </c>
    </row>
    <row r="58" spans="1:21">
      <c r="A58" s="510"/>
      <c r="C58" s="510"/>
      <c r="D58" s="510"/>
      <c r="E58" s="510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P58" s="510"/>
      <c r="Q58" s="510"/>
      <c r="R58" s="510"/>
      <c r="T58" s="510"/>
      <c r="U58" s="510"/>
    </row>
    <row r="59" spans="1:21">
      <c r="A59" s="509" t="s">
        <v>507</v>
      </c>
      <c r="C59" s="517">
        <f t="shared" ref="C59:H59" si="27">C61+C67+C68+C77+C78</f>
        <v>-9450</v>
      </c>
      <c r="D59" s="517">
        <f t="shared" si="27"/>
        <v>-25468</v>
      </c>
      <c r="E59" s="517">
        <f t="shared" ref="E59" si="28">E61+E67+E68+E77+E78</f>
        <v>-62895</v>
      </c>
      <c r="F59" s="517">
        <f t="shared" si="27"/>
        <v>-114235</v>
      </c>
      <c r="G59" s="517">
        <f t="shared" si="27"/>
        <v>-29393</v>
      </c>
      <c r="H59" s="517">
        <f t="shared" si="27"/>
        <v>-66432</v>
      </c>
      <c r="I59" s="517">
        <f>I61+I67+I68+I77+I78</f>
        <v>-91242</v>
      </c>
      <c r="J59" s="517">
        <f>J61+J67+J68+J77+J78</f>
        <v>-145220</v>
      </c>
      <c r="K59" s="517">
        <f>K61+K67+K68+K77+K78</f>
        <v>-37674</v>
      </c>
      <c r="L59" s="517">
        <f>L61+L67+L68+L77+L78</f>
        <v>-68316</v>
      </c>
      <c r="M59" s="517"/>
      <c r="N59" s="517"/>
      <c r="O59" s="517"/>
      <c r="P59" s="517"/>
      <c r="Q59" s="517"/>
      <c r="R59" s="517"/>
      <c r="T59" s="517">
        <f>T61+T67+T68+T77+T78</f>
        <v>-37674</v>
      </c>
      <c r="U59" s="517">
        <f>U61+U67+U68+U77+U78</f>
        <v>-30642</v>
      </c>
    </row>
    <row r="60" spans="1:21">
      <c r="A60" s="509"/>
      <c r="C60" s="514"/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514"/>
      <c r="R60" s="514"/>
      <c r="T60" s="514"/>
      <c r="U60" s="514"/>
    </row>
    <row r="61" spans="1:21">
      <c r="A61" s="512" t="s">
        <v>508</v>
      </c>
      <c r="C61" s="515">
        <f t="shared" ref="C61:H61" si="29">SUM(C62:C66)</f>
        <v>-4650</v>
      </c>
      <c r="D61" s="515">
        <f t="shared" si="29"/>
        <v>-36309</v>
      </c>
      <c r="E61" s="515">
        <f t="shared" ref="E61" si="30">SUM(E62:E66)</f>
        <v>-38800</v>
      </c>
      <c r="F61" s="515">
        <f t="shared" si="29"/>
        <v>-44109</v>
      </c>
      <c r="G61" s="515">
        <f t="shared" si="29"/>
        <v>-15557</v>
      </c>
      <c r="H61" s="515">
        <f t="shared" si="29"/>
        <v>-25261</v>
      </c>
      <c r="I61" s="515">
        <f>SUM(I62:I66)</f>
        <v>-37463</v>
      </c>
      <c r="J61" s="515">
        <f>SUM(J62:J66)</f>
        <v>-52053</v>
      </c>
      <c r="K61" s="515">
        <f t="shared" ref="K61:L61" si="31">SUM(K62:K66)</f>
        <v>-13782</v>
      </c>
      <c r="L61" s="515">
        <f t="shared" si="31"/>
        <v>-28629</v>
      </c>
      <c r="M61" s="515"/>
      <c r="N61" s="515"/>
      <c r="O61" s="515"/>
      <c r="P61" s="515"/>
      <c r="Q61" s="515"/>
      <c r="R61" s="515"/>
      <c r="T61" s="515">
        <f t="shared" ref="T61:U61" si="32">SUM(T62:T66)</f>
        <v>-13782</v>
      </c>
      <c r="U61" s="515">
        <f t="shared" si="32"/>
        <v>-14847</v>
      </c>
    </row>
    <row r="62" spans="1:21" outlineLevel="1">
      <c r="A62" s="511" t="s">
        <v>509</v>
      </c>
      <c r="C62" s="516">
        <v>-3681</v>
      </c>
      <c r="D62" s="516">
        <v>-18574</v>
      </c>
      <c r="E62" s="516">
        <v>-17791</v>
      </c>
      <c r="F62" s="516">
        <v>-11806</v>
      </c>
      <c r="G62" s="516">
        <v>-2634</v>
      </c>
      <c r="H62" s="516">
        <v>-4783</v>
      </c>
      <c r="I62" s="516">
        <v>-6760</v>
      </c>
      <c r="J62" s="516">
        <v>-8686</v>
      </c>
      <c r="K62" s="516">
        <v>-2427</v>
      </c>
      <c r="L62" s="516">
        <v>-4591</v>
      </c>
      <c r="M62" s="516"/>
      <c r="N62" s="516"/>
      <c r="O62" s="516"/>
      <c r="P62" s="516"/>
      <c r="Q62" s="516"/>
      <c r="R62" s="516"/>
      <c r="T62" s="516">
        <f t="shared" ref="T62:T67" si="33">K62</f>
        <v>-2427</v>
      </c>
      <c r="U62" s="516">
        <f t="shared" ref="U62:U67" si="34">L62-T62</f>
        <v>-2164</v>
      </c>
    </row>
    <row r="63" spans="1:21" outlineLevel="1">
      <c r="A63" s="511" t="s">
        <v>510</v>
      </c>
      <c r="C63" s="516">
        <v>-33</v>
      </c>
      <c r="D63" s="516">
        <v>-558</v>
      </c>
      <c r="E63" s="516">
        <v>-1296</v>
      </c>
      <c r="F63" s="516">
        <v>-2028</v>
      </c>
      <c r="G63" s="516">
        <v>-704</v>
      </c>
      <c r="H63" s="516">
        <v>-1328</v>
      </c>
      <c r="I63" s="516">
        <v>-1569</v>
      </c>
      <c r="J63" s="516">
        <v>-2009</v>
      </c>
      <c r="K63" s="516">
        <v>-153</v>
      </c>
      <c r="L63" s="516">
        <v>-599</v>
      </c>
      <c r="M63" s="516"/>
      <c r="N63" s="516"/>
      <c r="O63" s="516"/>
      <c r="P63" s="516"/>
      <c r="Q63" s="516"/>
      <c r="R63" s="516"/>
      <c r="T63" s="516">
        <f t="shared" si="33"/>
        <v>-153</v>
      </c>
      <c r="U63" s="516">
        <f t="shared" si="34"/>
        <v>-446</v>
      </c>
    </row>
    <row r="64" spans="1:21" outlineLevel="1">
      <c r="A64" s="511" t="s">
        <v>511</v>
      </c>
      <c r="C64" s="516">
        <v>-936</v>
      </c>
      <c r="D64" s="516">
        <v>-17354</v>
      </c>
      <c r="E64" s="516">
        <v>-19724</v>
      </c>
      <c r="F64" s="516">
        <v>-30226</v>
      </c>
      <c r="G64" s="516">
        <v>-11994</v>
      </c>
      <c r="H64" s="516">
        <v>-18715</v>
      </c>
      <c r="I64" s="516">
        <v>-28544</v>
      </c>
      <c r="J64" s="516">
        <v>-40550</v>
      </c>
      <c r="K64" s="516">
        <v>-10916</v>
      </c>
      <c r="L64" s="516">
        <v>-22903</v>
      </c>
      <c r="M64" s="516"/>
      <c r="N64" s="516"/>
      <c r="O64" s="516"/>
      <c r="P64" s="516"/>
      <c r="Q64" s="516"/>
      <c r="R64" s="516"/>
      <c r="T64" s="516">
        <f t="shared" si="33"/>
        <v>-10916</v>
      </c>
      <c r="U64" s="516">
        <f t="shared" si="34"/>
        <v>-11987</v>
      </c>
    </row>
    <row r="65" spans="1:21" outlineLevel="1">
      <c r="A65" s="511" t="s">
        <v>512</v>
      </c>
      <c r="C65" s="516">
        <v>0</v>
      </c>
      <c r="D65" s="516">
        <v>0</v>
      </c>
      <c r="E65" s="516">
        <v>-2</v>
      </c>
      <c r="F65" s="516">
        <v>-3</v>
      </c>
      <c r="G65" s="516">
        <v>-75</v>
      </c>
      <c r="H65" s="516">
        <v>-206</v>
      </c>
      <c r="I65" s="516">
        <v>-295</v>
      </c>
      <c r="J65" s="516">
        <v>-520</v>
      </c>
      <c r="K65" s="516">
        <v>-167</v>
      </c>
      <c r="L65" s="516">
        <v>-332</v>
      </c>
      <c r="M65" s="516"/>
      <c r="N65" s="516"/>
      <c r="O65" s="516"/>
      <c r="P65" s="516"/>
      <c r="Q65" s="516"/>
      <c r="R65" s="516"/>
      <c r="T65" s="516">
        <f t="shared" si="33"/>
        <v>-167</v>
      </c>
      <c r="U65" s="516">
        <f t="shared" si="34"/>
        <v>-165</v>
      </c>
    </row>
    <row r="66" spans="1:21" outlineLevel="1">
      <c r="A66" s="511" t="s">
        <v>513</v>
      </c>
      <c r="C66" s="516">
        <v>0</v>
      </c>
      <c r="D66" s="516">
        <v>177</v>
      </c>
      <c r="E66" s="516">
        <v>13</v>
      </c>
      <c r="F66" s="516">
        <v>-46</v>
      </c>
      <c r="G66" s="516">
        <v>-150</v>
      </c>
      <c r="H66" s="516">
        <v>-229</v>
      </c>
      <c r="I66" s="516">
        <v>-295</v>
      </c>
      <c r="J66" s="516">
        <v>-288</v>
      </c>
      <c r="K66" s="516">
        <v>-119</v>
      </c>
      <c r="L66" s="516">
        <v>-204</v>
      </c>
      <c r="M66" s="516"/>
      <c r="N66" s="516"/>
      <c r="O66" s="516"/>
      <c r="P66" s="516"/>
      <c r="Q66" s="516"/>
      <c r="R66" s="516"/>
      <c r="T66" s="516">
        <f t="shared" si="33"/>
        <v>-119</v>
      </c>
      <c r="U66" s="516">
        <f t="shared" si="34"/>
        <v>-85</v>
      </c>
    </row>
    <row r="67" spans="1:21">
      <c r="A67" s="510" t="s">
        <v>514</v>
      </c>
      <c r="C67" s="518">
        <v>8274</v>
      </c>
      <c r="D67" s="518">
        <v>15065</v>
      </c>
      <c r="E67" s="518">
        <v>22983</v>
      </c>
      <c r="F67" s="518">
        <v>45447</v>
      </c>
      <c r="G67" s="518">
        <v>3307</v>
      </c>
      <c r="H67" s="518">
        <v>-17537</v>
      </c>
      <c r="I67" s="518">
        <v>-26440</v>
      </c>
      <c r="J67" s="518">
        <v>-259462</v>
      </c>
      <c r="K67" s="518">
        <v>-6340</v>
      </c>
      <c r="L67" s="518">
        <v>-10276</v>
      </c>
      <c r="M67" s="518"/>
      <c r="N67" s="518"/>
      <c r="O67" s="518"/>
      <c r="P67" s="518"/>
      <c r="Q67" s="518"/>
      <c r="R67" s="518"/>
      <c r="T67" s="518">
        <f t="shared" si="33"/>
        <v>-6340</v>
      </c>
      <c r="U67" s="518">
        <f t="shared" si="34"/>
        <v>-3936</v>
      </c>
    </row>
    <row r="68" spans="1:21">
      <c r="A68" s="510" t="s">
        <v>515</v>
      </c>
      <c r="C68" s="515">
        <f t="shared" ref="C68:H68" si="35">SUM(C69:C76)</f>
        <v>-12526</v>
      </c>
      <c r="D68" s="515">
        <f t="shared" si="35"/>
        <v>-4044</v>
      </c>
      <c r="E68" s="515">
        <f t="shared" ref="E68" si="36">SUM(E69:E76)</f>
        <v>-12126</v>
      </c>
      <c r="F68" s="515">
        <f t="shared" si="35"/>
        <v>-70831</v>
      </c>
      <c r="G68" s="515">
        <f t="shared" si="35"/>
        <v>-14836</v>
      </c>
      <c r="H68" s="515">
        <f t="shared" si="35"/>
        <v>-22197</v>
      </c>
      <c r="I68" s="515">
        <f>SUM(I69:I76)</f>
        <v>-37107</v>
      </c>
      <c r="J68" s="515">
        <f>SUM(J69:J76)</f>
        <v>-47390</v>
      </c>
      <c r="K68" s="515">
        <f>SUM(K69:K76)</f>
        <v>-12668</v>
      </c>
      <c r="L68" s="515">
        <f>SUM(L69:L76)</f>
        <v>-24631</v>
      </c>
      <c r="M68" s="515"/>
      <c r="N68" s="515"/>
      <c r="O68" s="515"/>
      <c r="P68" s="515"/>
      <c r="Q68" s="515"/>
      <c r="R68" s="515"/>
      <c r="T68" s="515">
        <f>SUM(T69:T76)</f>
        <v>-12668</v>
      </c>
      <c r="U68" s="515">
        <f>SUM(U69:U76)</f>
        <v>-11963</v>
      </c>
    </row>
    <row r="69" spans="1:21" outlineLevel="1">
      <c r="A69" s="511" t="s">
        <v>516</v>
      </c>
      <c r="C69" s="516">
        <v>-9181</v>
      </c>
      <c r="D69" s="516">
        <v>-6397</v>
      </c>
      <c r="E69" s="516">
        <v>-4944</v>
      </c>
      <c r="F69" s="516">
        <v>-29522</v>
      </c>
      <c r="G69" s="516">
        <v>-4742</v>
      </c>
      <c r="H69" s="516">
        <v>-10734</v>
      </c>
      <c r="I69" s="516">
        <v>-14373</v>
      </c>
      <c r="J69" s="516">
        <v>-19854</v>
      </c>
      <c r="K69" s="516">
        <v>-5054</v>
      </c>
      <c r="L69" s="516">
        <v>-9278</v>
      </c>
      <c r="M69" s="516"/>
      <c r="N69" s="516"/>
      <c r="O69" s="516"/>
      <c r="P69" s="516"/>
      <c r="Q69" s="516"/>
      <c r="R69" s="516"/>
      <c r="T69" s="516">
        <f t="shared" ref="T69:T77" si="37">K69</f>
        <v>-5054</v>
      </c>
      <c r="U69" s="516">
        <f t="shared" ref="U69:U77" si="38">L69-T69</f>
        <v>-4224</v>
      </c>
    </row>
    <row r="70" spans="1:21" outlineLevel="1">
      <c r="A70" s="511" t="s">
        <v>517</v>
      </c>
      <c r="C70" s="516">
        <v>-72</v>
      </c>
      <c r="D70" s="516">
        <v>-449</v>
      </c>
      <c r="E70" s="516">
        <v>-1313</v>
      </c>
      <c r="F70" s="516">
        <v>-1891</v>
      </c>
      <c r="G70" s="516">
        <v>-116</v>
      </c>
      <c r="H70" s="516">
        <v>335</v>
      </c>
      <c r="I70" s="516">
        <v>1242</v>
      </c>
      <c r="J70" s="516">
        <v>359</v>
      </c>
      <c r="K70" s="516">
        <v>264</v>
      </c>
      <c r="L70" s="516">
        <v>361</v>
      </c>
      <c r="M70" s="516"/>
      <c r="N70" s="516"/>
      <c r="O70" s="516"/>
      <c r="P70" s="516"/>
      <c r="Q70" s="516"/>
      <c r="R70" s="516"/>
      <c r="T70" s="516">
        <f t="shared" si="37"/>
        <v>264</v>
      </c>
      <c r="U70" s="516">
        <f t="shared" si="38"/>
        <v>97</v>
      </c>
    </row>
    <row r="71" spans="1:21" outlineLevel="1">
      <c r="A71" s="511" t="s">
        <v>518</v>
      </c>
      <c r="C71" s="516">
        <v>-4759</v>
      </c>
      <c r="D71" s="516">
        <v>-7935</v>
      </c>
      <c r="E71" s="516">
        <v>-18494</v>
      </c>
      <c r="F71" s="516">
        <v>-25483</v>
      </c>
      <c r="G71" s="516">
        <v>-8663</v>
      </c>
      <c r="H71" s="516">
        <v>-17372</v>
      </c>
      <c r="I71" s="516">
        <v>-27150</v>
      </c>
      <c r="J71" s="516">
        <v>-32744</v>
      </c>
      <c r="K71" s="516">
        <v>-8566</v>
      </c>
      <c r="L71" s="516">
        <v>-13191</v>
      </c>
      <c r="M71" s="516"/>
      <c r="N71" s="516"/>
      <c r="O71" s="516"/>
      <c r="P71" s="516"/>
      <c r="Q71" s="516"/>
      <c r="R71" s="516"/>
      <c r="T71" s="516">
        <f t="shared" si="37"/>
        <v>-8566</v>
      </c>
      <c r="U71" s="516">
        <f t="shared" si="38"/>
        <v>-4625</v>
      </c>
    </row>
    <row r="72" spans="1:21" outlineLevel="1">
      <c r="A72" s="511" t="s">
        <v>519</v>
      </c>
      <c r="C72" s="516">
        <v>319</v>
      </c>
      <c r="D72" s="516">
        <v>292</v>
      </c>
      <c r="E72" s="516">
        <v>277</v>
      </c>
      <c r="F72" s="516">
        <v>-85</v>
      </c>
      <c r="G72" s="516">
        <v>-206</v>
      </c>
      <c r="H72" s="516">
        <v>-367</v>
      </c>
      <c r="I72" s="516">
        <v>-492</v>
      </c>
      <c r="J72" s="516">
        <v>-297</v>
      </c>
      <c r="K72" s="516">
        <v>-18</v>
      </c>
      <c r="L72" s="516">
        <v>-35</v>
      </c>
      <c r="M72" s="516"/>
      <c r="N72" s="516"/>
      <c r="O72" s="516"/>
      <c r="P72" s="516"/>
      <c r="Q72" s="516"/>
      <c r="R72" s="516"/>
      <c r="T72" s="516">
        <f t="shared" si="37"/>
        <v>-18</v>
      </c>
      <c r="U72" s="516">
        <f t="shared" si="38"/>
        <v>-17</v>
      </c>
    </row>
    <row r="73" spans="1:21" outlineLevel="1">
      <c r="A73" s="511" t="s">
        <v>520</v>
      </c>
      <c r="C73" s="516">
        <v>320</v>
      </c>
      <c r="D73" s="516">
        <v>-704</v>
      </c>
      <c r="E73" s="516">
        <v>3453</v>
      </c>
      <c r="F73" s="516">
        <v>4028</v>
      </c>
      <c r="G73" s="516">
        <v>269</v>
      </c>
      <c r="H73" s="516">
        <v>1175</v>
      </c>
      <c r="I73" s="516">
        <v>1631</v>
      </c>
      <c r="J73" s="516">
        <v>2404</v>
      </c>
      <c r="K73" s="516">
        <v>2385</v>
      </c>
      <c r="L73" s="516">
        <v>1212</v>
      </c>
      <c r="M73" s="516"/>
      <c r="N73" s="516"/>
      <c r="O73" s="516"/>
      <c r="P73" s="516"/>
      <c r="Q73" s="516"/>
      <c r="R73" s="516"/>
      <c r="T73" s="516">
        <f t="shared" si="37"/>
        <v>2385</v>
      </c>
      <c r="U73" s="516">
        <f t="shared" si="38"/>
        <v>-1173</v>
      </c>
    </row>
    <row r="74" spans="1:21" outlineLevel="1">
      <c r="A74" s="511" t="s">
        <v>521</v>
      </c>
      <c r="C74" s="516">
        <v>1425</v>
      </c>
      <c r="D74" s="516">
        <v>11377</v>
      </c>
      <c r="E74" s="516">
        <v>9379</v>
      </c>
      <c r="F74" s="516">
        <v>-14942</v>
      </c>
      <c r="G74" s="516">
        <v>-729</v>
      </c>
      <c r="H74" s="516">
        <v>6066</v>
      </c>
      <c r="I74" s="516">
        <v>4792</v>
      </c>
      <c r="J74" s="516">
        <v>6721</v>
      </c>
      <c r="K74" s="516">
        <v>-758</v>
      </c>
      <c r="L74" s="516">
        <v>-1860</v>
      </c>
      <c r="M74" s="516"/>
      <c r="N74" s="516"/>
      <c r="O74" s="516"/>
      <c r="P74" s="516"/>
      <c r="Q74" s="516"/>
      <c r="R74" s="516"/>
      <c r="T74" s="516">
        <f t="shared" si="37"/>
        <v>-758</v>
      </c>
      <c r="U74" s="516">
        <f t="shared" si="38"/>
        <v>-1102</v>
      </c>
    </row>
    <row r="75" spans="1:21" outlineLevel="1">
      <c r="A75" s="511" t="s">
        <v>522</v>
      </c>
      <c r="C75" s="516">
        <v>-578</v>
      </c>
      <c r="D75" s="516">
        <v>-228</v>
      </c>
      <c r="E75" s="516">
        <v>-484</v>
      </c>
      <c r="F75" s="516">
        <v>-2936</v>
      </c>
      <c r="G75" s="516">
        <v>-649</v>
      </c>
      <c r="H75" s="516">
        <v>-1300</v>
      </c>
      <c r="I75" s="516">
        <v>-2757</v>
      </c>
      <c r="J75" s="516">
        <v>-3979</v>
      </c>
      <c r="K75" s="516">
        <v>-921</v>
      </c>
      <c r="L75" s="516">
        <v>-1840</v>
      </c>
      <c r="M75" s="516"/>
      <c r="N75" s="516"/>
      <c r="O75" s="516"/>
      <c r="P75" s="516"/>
      <c r="Q75" s="516"/>
      <c r="R75" s="516"/>
      <c r="T75" s="516">
        <f t="shared" si="37"/>
        <v>-921</v>
      </c>
      <c r="U75" s="516">
        <f t="shared" si="38"/>
        <v>-919</v>
      </c>
    </row>
    <row r="76" spans="1:21" outlineLevel="1">
      <c r="A76" s="511" t="s">
        <v>523</v>
      </c>
      <c r="C76" s="516">
        <v>0</v>
      </c>
      <c r="D76" s="516">
        <v>0</v>
      </c>
      <c r="E76" s="516">
        <v>0</v>
      </c>
      <c r="F76" s="516">
        <v>0</v>
      </c>
      <c r="G76" s="516">
        <v>0</v>
      </c>
      <c r="H76" s="516">
        <v>0</v>
      </c>
      <c r="I76" s="516">
        <v>0</v>
      </c>
      <c r="J76" s="516">
        <v>0</v>
      </c>
      <c r="K76" s="516">
        <v>0</v>
      </c>
      <c r="L76" s="516">
        <v>0</v>
      </c>
      <c r="M76" s="516"/>
      <c r="N76" s="516"/>
      <c r="O76" s="516"/>
      <c r="P76" s="516"/>
      <c r="Q76" s="516"/>
      <c r="R76" s="516"/>
      <c r="T76" s="516">
        <f t="shared" si="37"/>
        <v>0</v>
      </c>
      <c r="U76" s="516">
        <f t="shared" si="38"/>
        <v>0</v>
      </c>
    </row>
    <row r="77" spans="1:21">
      <c r="A77" s="510" t="s">
        <v>524</v>
      </c>
      <c r="C77" s="515">
        <v>0</v>
      </c>
      <c r="D77" s="515">
        <v>0</v>
      </c>
      <c r="E77" s="515">
        <v>0</v>
      </c>
      <c r="F77" s="515">
        <v>0</v>
      </c>
      <c r="G77" s="515">
        <v>0</v>
      </c>
      <c r="H77" s="515">
        <v>0</v>
      </c>
      <c r="I77" s="515">
        <v>0</v>
      </c>
      <c r="J77" s="515"/>
      <c r="K77" s="515"/>
      <c r="L77" s="515"/>
      <c r="M77" s="515"/>
      <c r="N77" s="515"/>
      <c r="O77" s="515"/>
      <c r="P77" s="515"/>
      <c r="Q77" s="515"/>
      <c r="R77" s="515"/>
      <c r="T77" s="515">
        <f t="shared" si="37"/>
        <v>0</v>
      </c>
      <c r="U77" s="515">
        <f t="shared" si="38"/>
        <v>0</v>
      </c>
    </row>
    <row r="78" spans="1:21">
      <c r="A78" s="510" t="s">
        <v>525</v>
      </c>
      <c r="C78" s="515">
        <f t="shared" ref="C78:I78" si="39">SUM(C79:C81)</f>
        <v>-548</v>
      </c>
      <c r="D78" s="515">
        <f t="shared" si="39"/>
        <v>-180</v>
      </c>
      <c r="E78" s="515">
        <f t="shared" si="39"/>
        <v>-34952</v>
      </c>
      <c r="F78" s="515">
        <f t="shared" si="39"/>
        <v>-44742</v>
      </c>
      <c r="G78" s="515">
        <f t="shared" si="39"/>
        <v>-2307</v>
      </c>
      <c r="H78" s="515">
        <f t="shared" si="39"/>
        <v>-1437</v>
      </c>
      <c r="I78" s="515">
        <f t="shared" si="39"/>
        <v>9768</v>
      </c>
      <c r="J78" s="515">
        <f>SUM(J79:J81)</f>
        <v>213685</v>
      </c>
      <c r="K78" s="515">
        <f t="shared" ref="K78:L78" si="40">SUM(K79:K81)</f>
        <v>-4884</v>
      </c>
      <c r="L78" s="515">
        <f t="shared" si="40"/>
        <v>-4780</v>
      </c>
      <c r="M78" s="515"/>
      <c r="N78" s="515"/>
      <c r="O78" s="515"/>
      <c r="P78" s="515"/>
      <c r="Q78" s="515"/>
      <c r="R78" s="515"/>
      <c r="T78" s="515">
        <f t="shared" ref="T78:U78" si="41">SUM(T79:T81)</f>
        <v>-4884</v>
      </c>
      <c r="U78" s="515">
        <f t="shared" si="41"/>
        <v>104</v>
      </c>
    </row>
    <row r="79" spans="1:21" outlineLevel="1">
      <c r="A79" s="511" t="s">
        <v>526</v>
      </c>
      <c r="C79" s="516">
        <v>-1198</v>
      </c>
      <c r="D79" s="516">
        <v>-651</v>
      </c>
      <c r="E79" s="516">
        <v>-1354</v>
      </c>
      <c r="F79" s="516">
        <v>-2117</v>
      </c>
      <c r="G79" s="516">
        <v>-493</v>
      </c>
      <c r="H79" s="516">
        <v>-903</v>
      </c>
      <c r="I79" s="516">
        <v>-1131</v>
      </c>
      <c r="J79" s="516">
        <v>-2220</v>
      </c>
      <c r="K79" s="516">
        <v>-2418</v>
      </c>
      <c r="L79" s="516">
        <v>-3001</v>
      </c>
      <c r="M79" s="516"/>
      <c r="N79" s="516"/>
      <c r="O79" s="516"/>
      <c r="P79" s="516"/>
      <c r="Q79" s="516"/>
      <c r="R79" s="516"/>
      <c r="T79" s="516">
        <f t="shared" ref="T79:T80" si="42">K79</f>
        <v>-2418</v>
      </c>
      <c r="U79" s="516">
        <f t="shared" ref="U79:U81" si="43">L79-T79</f>
        <v>-583</v>
      </c>
    </row>
    <row r="80" spans="1:21" outlineLevel="1">
      <c r="A80" s="511" t="s">
        <v>527</v>
      </c>
      <c r="C80" s="516">
        <v>650</v>
      </c>
      <c r="D80" s="516">
        <v>471</v>
      </c>
      <c r="E80" s="516">
        <v>-33598</v>
      </c>
      <c r="F80" s="516">
        <v>-42625</v>
      </c>
      <c r="G80" s="516">
        <v>-1814</v>
      </c>
      <c r="H80" s="516">
        <v>-534</v>
      </c>
      <c r="I80" s="516">
        <v>10899</v>
      </c>
      <c r="J80" s="516">
        <v>215905</v>
      </c>
      <c r="K80" s="516">
        <v>-2466</v>
      </c>
      <c r="L80" s="516">
        <v>1939</v>
      </c>
      <c r="M80" s="516"/>
      <c r="N80" s="516"/>
      <c r="O80" s="516"/>
      <c r="P80" s="516"/>
      <c r="Q80" s="516"/>
      <c r="R80" s="516"/>
      <c r="T80" s="516">
        <f t="shared" si="42"/>
        <v>-2466</v>
      </c>
      <c r="U80" s="516">
        <f t="shared" si="43"/>
        <v>4405</v>
      </c>
    </row>
    <row r="81" spans="1:21" outlineLevel="1">
      <c r="A81" s="511" t="s">
        <v>528</v>
      </c>
      <c r="C81" s="516"/>
      <c r="D81" s="516"/>
      <c r="E81" s="516"/>
      <c r="F81" s="516"/>
      <c r="G81" s="516"/>
      <c r="H81" s="516"/>
      <c r="I81" s="516"/>
      <c r="J81" s="516"/>
      <c r="K81" s="516"/>
      <c r="L81" s="516">
        <v>-3718</v>
      </c>
      <c r="M81" s="516"/>
      <c r="N81" s="516"/>
      <c r="O81" s="516"/>
      <c r="P81" s="516"/>
      <c r="Q81" s="516"/>
      <c r="R81" s="516"/>
      <c r="T81" s="516"/>
      <c r="U81" s="516">
        <f t="shared" si="43"/>
        <v>-3718</v>
      </c>
    </row>
    <row r="82" spans="1:21">
      <c r="A82" s="510"/>
      <c r="C82" s="510"/>
      <c r="D82" s="510"/>
      <c r="E82" s="510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0"/>
      <c r="T82" s="510"/>
      <c r="U82" s="510"/>
    </row>
    <row r="83" spans="1:21">
      <c r="A83" s="522" t="s">
        <v>529</v>
      </c>
      <c r="C83" s="513">
        <f t="shared" ref="C83:H83" si="44">C85-C75-C52-C76</f>
        <v>6529</v>
      </c>
      <c r="D83" s="513">
        <f t="shared" si="44"/>
        <v>174923</v>
      </c>
      <c r="E83" s="513">
        <f t="shared" ref="E83" si="45">E85-E75-E52-E76</f>
        <v>195028</v>
      </c>
      <c r="F83" s="513">
        <f t="shared" si="44"/>
        <v>260041</v>
      </c>
      <c r="G83" s="513">
        <f t="shared" si="44"/>
        <v>47867</v>
      </c>
      <c r="H83" s="513">
        <f t="shared" si="44"/>
        <v>96958</v>
      </c>
      <c r="I83" s="513">
        <f>I85-I75-I52-I76</f>
        <v>175045</v>
      </c>
      <c r="J83" s="513">
        <f>J85-J75-J52-J76</f>
        <v>263812</v>
      </c>
      <c r="K83" s="513">
        <f>K85-K75-K52-K76</f>
        <v>54897</v>
      </c>
      <c r="L83" s="513">
        <f>L85-L75-L52-L76</f>
        <v>213920</v>
      </c>
      <c r="M83" s="513"/>
      <c r="N83" s="513"/>
      <c r="O83" s="513"/>
      <c r="P83" s="513"/>
      <c r="Q83" s="513"/>
      <c r="R83" s="513"/>
      <c r="T83" s="513">
        <f>T85-T75-T52-T76</f>
        <v>54897</v>
      </c>
      <c r="U83" s="513">
        <f>U85-U75-U52-U76</f>
        <v>159023</v>
      </c>
    </row>
    <row r="84" spans="1:21">
      <c r="A84" s="510"/>
      <c r="C84" s="510"/>
      <c r="D84" s="510"/>
      <c r="E84" s="510"/>
      <c r="F84" s="510"/>
      <c r="G84" s="510"/>
      <c r="H84" s="510"/>
      <c r="I84" s="510"/>
      <c r="J84" s="510"/>
      <c r="K84" s="510"/>
      <c r="L84" s="510"/>
      <c r="M84" s="510"/>
      <c r="N84" s="510"/>
      <c r="O84" s="510"/>
      <c r="P84" s="510"/>
      <c r="Q84" s="510"/>
      <c r="R84" s="510"/>
      <c r="T84" s="510"/>
      <c r="U84" s="510"/>
    </row>
    <row r="85" spans="1:21">
      <c r="A85" s="522" t="s">
        <v>530</v>
      </c>
      <c r="C85" s="513">
        <f t="shared" ref="C85:H85" si="46">C57+C59</f>
        <v>1737</v>
      </c>
      <c r="D85" s="513">
        <f t="shared" si="46"/>
        <v>165257</v>
      </c>
      <c r="E85" s="513">
        <f t="shared" ref="E85" si="47">E57+E59</f>
        <v>180281</v>
      </c>
      <c r="F85" s="513">
        <f t="shared" si="46"/>
        <v>236334</v>
      </c>
      <c r="G85" s="513">
        <f t="shared" si="46"/>
        <v>42149</v>
      </c>
      <c r="H85" s="513">
        <f t="shared" si="46"/>
        <v>80707</v>
      </c>
      <c r="I85" s="513">
        <f>I57+I59</f>
        <v>149556</v>
      </c>
      <c r="J85" s="513">
        <f>J57+J59</f>
        <v>230358</v>
      </c>
      <c r="K85" s="513">
        <f>K57+K59</f>
        <v>44765</v>
      </c>
      <c r="L85" s="513">
        <f>L57+L59</f>
        <v>205673</v>
      </c>
      <c r="M85" s="513"/>
      <c r="N85" s="513"/>
      <c r="O85" s="513"/>
      <c r="P85" s="513"/>
      <c r="Q85" s="513"/>
      <c r="R85" s="513"/>
      <c r="T85" s="513">
        <f>T57+T59</f>
        <v>44765</v>
      </c>
      <c r="U85" s="513">
        <f>U57+U59</f>
        <v>160908</v>
      </c>
    </row>
    <row r="86" spans="1:21">
      <c r="A86" s="510"/>
      <c r="C86" s="510"/>
      <c r="D86" s="510"/>
      <c r="E86" s="510"/>
      <c r="F86" s="510"/>
      <c r="G86" s="510"/>
      <c r="H86" s="510"/>
      <c r="I86" s="510"/>
      <c r="J86" s="510"/>
      <c r="K86" s="510"/>
      <c r="L86" s="510"/>
      <c r="M86" s="510"/>
      <c r="N86" s="510"/>
      <c r="O86" s="510"/>
      <c r="P86" s="510"/>
      <c r="Q86" s="510"/>
      <c r="R86" s="510"/>
      <c r="T86" s="510"/>
      <c r="U86" s="510"/>
    </row>
    <row r="87" spans="1:21">
      <c r="A87" s="522" t="s">
        <v>531</v>
      </c>
      <c r="C87" s="513">
        <f t="shared" ref="C87:H87" si="48">C89+C98</f>
        <v>169202</v>
      </c>
      <c r="D87" s="513">
        <f t="shared" si="48"/>
        <v>170019</v>
      </c>
      <c r="E87" s="513">
        <f t="shared" ref="E87" si="49">E89+E98</f>
        <v>320574</v>
      </c>
      <c r="F87" s="513">
        <f t="shared" si="48"/>
        <v>263758</v>
      </c>
      <c r="G87" s="513">
        <f t="shared" si="48"/>
        <v>-46465</v>
      </c>
      <c r="H87" s="513">
        <f t="shared" si="48"/>
        <v>-91486</v>
      </c>
      <c r="I87" s="513">
        <f>I89+I98</f>
        <v>-157321</v>
      </c>
      <c r="J87" s="513">
        <f>J89+J98</f>
        <v>-175273</v>
      </c>
      <c r="K87" s="513">
        <f>K89+K98</f>
        <v>-66812</v>
      </c>
      <c r="L87" s="513">
        <f>L89+L98</f>
        <v>-131478</v>
      </c>
      <c r="M87" s="513"/>
      <c r="N87" s="513"/>
      <c r="O87" s="513"/>
      <c r="P87" s="513"/>
      <c r="Q87" s="513"/>
      <c r="R87" s="513"/>
      <c r="T87" s="513">
        <f>T89+T98</f>
        <v>-66812</v>
      </c>
      <c r="U87" s="513">
        <f>U89+U98</f>
        <v>-64666</v>
      </c>
    </row>
    <row r="88" spans="1:21">
      <c r="A88" s="509"/>
      <c r="C88" s="510"/>
      <c r="D88" s="510"/>
      <c r="E88" s="510"/>
      <c r="F88" s="510"/>
      <c r="G88" s="510"/>
      <c r="H88" s="510"/>
      <c r="I88" s="510"/>
      <c r="J88" s="510"/>
      <c r="K88" s="510"/>
      <c r="L88" s="510"/>
      <c r="M88" s="510"/>
      <c r="N88" s="510"/>
      <c r="O88" s="510"/>
      <c r="P88" s="510"/>
      <c r="Q88" s="510"/>
      <c r="R88" s="510"/>
      <c r="T88" s="510"/>
      <c r="U88" s="510"/>
    </row>
    <row r="89" spans="1:21">
      <c r="A89" s="510" t="s">
        <v>532</v>
      </c>
      <c r="C89" s="517">
        <f t="shared" ref="C89:H89" si="50">SUM(C90:C97)</f>
        <v>287731</v>
      </c>
      <c r="D89" s="517">
        <f t="shared" si="50"/>
        <v>400545</v>
      </c>
      <c r="E89" s="517">
        <f t="shared" ref="E89" si="51">SUM(E90:E97)</f>
        <v>635563</v>
      </c>
      <c r="F89" s="517">
        <f t="shared" si="50"/>
        <v>659650</v>
      </c>
      <c r="G89" s="517">
        <f t="shared" si="50"/>
        <v>71214</v>
      </c>
      <c r="H89" s="517">
        <f t="shared" si="50"/>
        <v>125119</v>
      </c>
      <c r="I89" s="517">
        <f>SUM(I90:I97)</f>
        <v>106814</v>
      </c>
      <c r="J89" s="517">
        <f>SUM(J90:J97)</f>
        <v>197678</v>
      </c>
      <c r="K89" s="517">
        <f>SUM(K90:K97)</f>
        <v>131460</v>
      </c>
      <c r="L89" s="517">
        <f>SUM(L90:L97)</f>
        <v>170618</v>
      </c>
      <c r="M89" s="517"/>
      <c r="N89" s="517"/>
      <c r="O89" s="517"/>
      <c r="P89" s="517"/>
      <c r="Q89" s="517"/>
      <c r="R89" s="517"/>
      <c r="T89" s="517">
        <f>SUM(T90:T97)</f>
        <v>131460</v>
      </c>
      <c r="U89" s="517">
        <f>SUM(U90:U97)</f>
        <v>39158</v>
      </c>
    </row>
    <row r="90" spans="1:21" outlineLevel="1">
      <c r="A90" s="511" t="s">
        <v>533</v>
      </c>
      <c r="C90" s="516">
        <v>19174</v>
      </c>
      <c r="D90" s="516">
        <v>84920</v>
      </c>
      <c r="E90" s="516">
        <v>139031</v>
      </c>
      <c r="F90" s="516">
        <v>161097</v>
      </c>
      <c r="G90" s="516">
        <v>53662</v>
      </c>
      <c r="H90" s="516">
        <v>62773</v>
      </c>
      <c r="I90" s="516">
        <v>71306</v>
      </c>
      <c r="J90" s="516">
        <v>129135</v>
      </c>
      <c r="K90" s="516">
        <v>115623</v>
      </c>
      <c r="L90" s="516">
        <v>160900</v>
      </c>
      <c r="M90" s="516"/>
      <c r="N90" s="516"/>
      <c r="O90" s="516"/>
      <c r="P90" s="516"/>
      <c r="Q90" s="516"/>
      <c r="R90" s="516"/>
      <c r="T90" s="516">
        <f t="shared" ref="T90:T97" si="52">K90</f>
        <v>115623</v>
      </c>
      <c r="U90" s="516">
        <f t="shared" ref="U90:U97" si="53">L90-T90</f>
        <v>45277</v>
      </c>
    </row>
    <row r="91" spans="1:21" outlineLevel="1">
      <c r="A91" s="511" t="s">
        <v>534</v>
      </c>
      <c r="C91" s="516">
        <v>-11699</v>
      </c>
      <c r="D91" s="516">
        <v>-15524</v>
      </c>
      <c r="E91" s="516">
        <v>-26681</v>
      </c>
      <c r="F91" s="516">
        <v>-28028</v>
      </c>
      <c r="G91" s="516">
        <v>-784</v>
      </c>
      <c r="H91" s="516">
        <v>-1575</v>
      </c>
      <c r="I91" s="516">
        <v>-2076</v>
      </c>
      <c r="J91" s="516">
        <v>-2682</v>
      </c>
      <c r="K91" s="516">
        <v>-661</v>
      </c>
      <c r="L91" s="516">
        <v>-887</v>
      </c>
      <c r="M91" s="516"/>
      <c r="N91" s="516"/>
      <c r="O91" s="516"/>
      <c r="P91" s="516"/>
      <c r="Q91" s="516"/>
      <c r="R91" s="516"/>
      <c r="T91" s="516">
        <f t="shared" si="52"/>
        <v>-661</v>
      </c>
      <c r="U91" s="516">
        <f t="shared" si="53"/>
        <v>-226</v>
      </c>
    </row>
    <row r="92" spans="1:21" outlineLevel="1">
      <c r="A92" s="511" t="s">
        <v>535</v>
      </c>
      <c r="C92" s="516">
        <v>0</v>
      </c>
      <c r="D92" s="516">
        <v>0</v>
      </c>
      <c r="E92" s="516">
        <v>0</v>
      </c>
      <c r="F92" s="516">
        <v>0</v>
      </c>
      <c r="G92" s="516">
        <v>0</v>
      </c>
      <c r="H92" s="516">
        <v>0</v>
      </c>
      <c r="I92" s="516">
        <v>0</v>
      </c>
      <c r="J92" s="516">
        <v>0</v>
      </c>
      <c r="K92" s="516">
        <v>0</v>
      </c>
      <c r="L92" s="516">
        <v>0</v>
      </c>
      <c r="M92" s="516"/>
      <c r="N92" s="516"/>
      <c r="O92" s="516"/>
      <c r="P92" s="516"/>
      <c r="Q92" s="516"/>
      <c r="R92" s="516"/>
      <c r="T92" s="516">
        <f t="shared" si="52"/>
        <v>0</v>
      </c>
      <c r="U92" s="516">
        <f t="shared" si="53"/>
        <v>0</v>
      </c>
    </row>
    <row r="93" spans="1:21" outlineLevel="1">
      <c r="A93" s="511" t="s">
        <v>536</v>
      </c>
      <c r="C93" s="516">
        <v>0</v>
      </c>
      <c r="D93" s="516">
        <v>4901</v>
      </c>
      <c r="E93" s="516">
        <v>9453</v>
      </c>
      <c r="F93" s="516">
        <v>16366</v>
      </c>
      <c r="G93" s="516">
        <v>5688</v>
      </c>
      <c r="H93" s="516">
        <v>8237</v>
      </c>
      <c r="I93" s="516">
        <v>10490</v>
      </c>
      <c r="J93" s="516">
        <v>12956</v>
      </c>
      <c r="K93" s="516">
        <v>3113</v>
      </c>
      <c r="L93" s="516">
        <v>6322</v>
      </c>
      <c r="M93" s="516"/>
      <c r="N93" s="516"/>
      <c r="O93" s="516"/>
      <c r="P93" s="516"/>
      <c r="Q93" s="516"/>
      <c r="R93" s="516"/>
      <c r="T93" s="516">
        <f t="shared" si="52"/>
        <v>3113</v>
      </c>
      <c r="U93" s="516">
        <f t="shared" si="53"/>
        <v>3209</v>
      </c>
    </row>
    <row r="94" spans="1:21" outlineLevel="1">
      <c r="A94" s="511" t="s">
        <v>537</v>
      </c>
      <c r="C94" s="516">
        <v>0</v>
      </c>
      <c r="D94" s="516">
        <v>0</v>
      </c>
      <c r="E94" s="516">
        <v>0</v>
      </c>
      <c r="F94" s="516">
        <v>0</v>
      </c>
      <c r="G94" s="516">
        <v>0</v>
      </c>
      <c r="H94" s="516">
        <v>0</v>
      </c>
      <c r="I94" s="516">
        <v>0</v>
      </c>
      <c r="J94" s="516">
        <v>0</v>
      </c>
      <c r="K94" s="516">
        <v>0</v>
      </c>
      <c r="L94" s="516">
        <v>0</v>
      </c>
      <c r="M94" s="516"/>
      <c r="N94" s="516"/>
      <c r="O94" s="516"/>
      <c r="P94" s="516"/>
      <c r="Q94" s="516"/>
      <c r="R94" s="516"/>
      <c r="T94" s="516">
        <f t="shared" si="52"/>
        <v>0</v>
      </c>
      <c r="U94" s="516">
        <f t="shared" si="53"/>
        <v>0</v>
      </c>
    </row>
    <row r="95" spans="1:21" outlineLevel="1">
      <c r="A95" s="511" t="s">
        <v>538</v>
      </c>
      <c r="C95" s="516">
        <v>0</v>
      </c>
      <c r="D95" s="516">
        <v>0</v>
      </c>
      <c r="E95" s="516">
        <v>0</v>
      </c>
      <c r="F95" s="516">
        <v>0</v>
      </c>
      <c r="G95" s="516">
        <v>0</v>
      </c>
      <c r="H95" s="516">
        <v>0</v>
      </c>
      <c r="I95" s="516">
        <v>0</v>
      </c>
      <c r="J95" s="516">
        <v>0</v>
      </c>
      <c r="K95" s="516">
        <v>0</v>
      </c>
      <c r="L95" s="516">
        <v>0</v>
      </c>
      <c r="M95" s="516"/>
      <c r="N95" s="516"/>
      <c r="O95" s="516"/>
      <c r="P95" s="516"/>
      <c r="Q95" s="516"/>
      <c r="R95" s="516"/>
      <c r="T95" s="516">
        <f t="shared" si="52"/>
        <v>0</v>
      </c>
      <c r="U95" s="516">
        <f t="shared" si="53"/>
        <v>0</v>
      </c>
    </row>
    <row r="96" spans="1:21" outlineLevel="1">
      <c r="A96" s="511" t="s">
        <v>539</v>
      </c>
      <c r="C96" s="516">
        <v>217432</v>
      </c>
      <c r="D96" s="516">
        <v>259265</v>
      </c>
      <c r="E96" s="516">
        <v>446233</v>
      </c>
      <c r="F96" s="516">
        <v>430714</v>
      </c>
      <c r="G96" s="516">
        <v>0</v>
      </c>
      <c r="H96" s="516">
        <v>0</v>
      </c>
      <c r="I96" s="516">
        <v>0</v>
      </c>
      <c r="J96" s="516">
        <v>0</v>
      </c>
      <c r="K96" s="516">
        <v>0</v>
      </c>
      <c r="L96" s="516">
        <v>0</v>
      </c>
      <c r="M96" s="516"/>
      <c r="N96" s="516"/>
      <c r="O96" s="516"/>
      <c r="P96" s="516"/>
      <c r="Q96" s="516"/>
      <c r="R96" s="516"/>
      <c r="T96" s="516">
        <f t="shared" si="52"/>
        <v>0</v>
      </c>
      <c r="U96" s="516">
        <f t="shared" si="53"/>
        <v>0</v>
      </c>
    </row>
    <row r="97" spans="1:21" outlineLevel="1">
      <c r="A97" s="511" t="s">
        <v>540</v>
      </c>
      <c r="C97" s="516">
        <v>62824</v>
      </c>
      <c r="D97" s="516">
        <v>66983</v>
      </c>
      <c r="E97" s="516">
        <v>67527</v>
      </c>
      <c r="F97" s="516">
        <v>79501</v>
      </c>
      <c r="G97" s="516">
        <v>12648</v>
      </c>
      <c r="H97" s="516">
        <v>55684</v>
      </c>
      <c r="I97" s="516">
        <v>27094</v>
      </c>
      <c r="J97" s="516">
        <v>58269</v>
      </c>
      <c r="K97" s="516">
        <v>13385</v>
      </c>
      <c r="L97" s="516">
        <v>4283</v>
      </c>
      <c r="M97" s="516"/>
      <c r="N97" s="516"/>
      <c r="O97" s="516"/>
      <c r="P97" s="516"/>
      <c r="Q97" s="516"/>
      <c r="R97" s="516"/>
      <c r="T97" s="516">
        <f t="shared" si="52"/>
        <v>13385</v>
      </c>
      <c r="U97" s="516">
        <f t="shared" si="53"/>
        <v>-9102</v>
      </c>
    </row>
    <row r="98" spans="1:21">
      <c r="A98" s="510" t="s">
        <v>541</v>
      </c>
      <c r="C98" s="515">
        <f t="shared" ref="C98:H98" si="54">SUM(C99:C107)</f>
        <v>-118529</v>
      </c>
      <c r="D98" s="515">
        <f t="shared" si="54"/>
        <v>-230526</v>
      </c>
      <c r="E98" s="515">
        <f t="shared" ref="E98" si="55">SUM(E99:E107)</f>
        <v>-314989</v>
      </c>
      <c r="F98" s="515">
        <f t="shared" si="54"/>
        <v>-395892</v>
      </c>
      <c r="G98" s="515">
        <f t="shared" si="54"/>
        <v>-117679</v>
      </c>
      <c r="H98" s="515">
        <f t="shared" si="54"/>
        <v>-216605</v>
      </c>
      <c r="I98" s="515">
        <f>SUM(I99:I107)</f>
        <v>-264135</v>
      </c>
      <c r="J98" s="515">
        <f>SUM(J99:J107)</f>
        <v>-372951</v>
      </c>
      <c r="K98" s="515">
        <f>SUM(K99:K107)</f>
        <v>-198272</v>
      </c>
      <c r="L98" s="515">
        <f>SUM(L99:L107)</f>
        <v>-302096</v>
      </c>
      <c r="M98" s="515"/>
      <c r="N98" s="515"/>
      <c r="O98" s="515"/>
      <c r="P98" s="515"/>
      <c r="Q98" s="515"/>
      <c r="R98" s="515"/>
      <c r="T98" s="515">
        <f>SUM(T99:T107)</f>
        <v>-198272</v>
      </c>
      <c r="U98" s="515">
        <f>SUM(U99:U107)</f>
        <v>-103824</v>
      </c>
    </row>
    <row r="99" spans="1:21" outlineLevel="1">
      <c r="A99" s="511" t="s">
        <v>542</v>
      </c>
      <c r="C99" s="516">
        <v>-16027</v>
      </c>
      <c r="D99" s="516">
        <v>-83771</v>
      </c>
      <c r="E99" s="516">
        <v>-59051</v>
      </c>
      <c r="F99" s="516">
        <v>-81714</v>
      </c>
      <c r="G99" s="516">
        <v>-26540</v>
      </c>
      <c r="H99" s="516">
        <v>-54894</v>
      </c>
      <c r="I99" s="516">
        <v>-87219</v>
      </c>
      <c r="J99" s="516">
        <v>-122319</v>
      </c>
      <c r="K99" s="516">
        <v>-55745</v>
      </c>
      <c r="L99" s="516">
        <v>-168505</v>
      </c>
      <c r="M99" s="516"/>
      <c r="N99" s="516"/>
      <c r="O99" s="516"/>
      <c r="P99" s="516"/>
      <c r="Q99" s="516"/>
      <c r="R99" s="516"/>
      <c r="T99" s="516">
        <f t="shared" ref="T99:T107" si="56">K99</f>
        <v>-55745</v>
      </c>
      <c r="U99" s="516">
        <f t="shared" ref="U99:U107" si="57">L99-T99</f>
        <v>-112760</v>
      </c>
    </row>
    <row r="100" spans="1:21" outlineLevel="1">
      <c r="A100" s="511" t="s">
        <v>543</v>
      </c>
      <c r="C100" s="516">
        <v>0</v>
      </c>
      <c r="D100" s="516">
        <v>0</v>
      </c>
      <c r="E100" s="516">
        <v>0</v>
      </c>
      <c r="F100" s="516">
        <v>0</v>
      </c>
      <c r="G100" s="516">
        <v>0</v>
      </c>
      <c r="H100" s="516">
        <v>0</v>
      </c>
      <c r="I100" s="516">
        <v>0</v>
      </c>
      <c r="J100" s="516">
        <v>0</v>
      </c>
      <c r="K100" s="516">
        <v>0</v>
      </c>
      <c r="L100" s="516">
        <v>0</v>
      </c>
      <c r="M100" s="516"/>
      <c r="N100" s="516"/>
      <c r="O100" s="516"/>
      <c r="P100" s="516"/>
      <c r="Q100" s="516"/>
      <c r="R100" s="516"/>
      <c r="T100" s="516">
        <f t="shared" si="56"/>
        <v>0</v>
      </c>
      <c r="U100" s="516">
        <f t="shared" si="57"/>
        <v>0</v>
      </c>
    </row>
    <row r="101" spans="1:21" outlineLevel="1">
      <c r="A101" s="511" t="s">
        <v>544</v>
      </c>
      <c r="C101" s="516">
        <v>-77394</v>
      </c>
      <c r="D101" s="516">
        <v>-47423</v>
      </c>
      <c r="E101" s="516">
        <v>-110914</v>
      </c>
      <c r="F101" s="516">
        <v>-138218</v>
      </c>
      <c r="G101" s="516">
        <v>-73815</v>
      </c>
      <c r="H101" s="516">
        <v>-132571</v>
      </c>
      <c r="I101" s="516">
        <v>-125299</v>
      </c>
      <c r="J101" s="516">
        <v>-176192</v>
      </c>
      <c r="K101" s="516">
        <v>-121171</v>
      </c>
      <c r="L101" s="516">
        <v>-87286</v>
      </c>
      <c r="M101" s="516"/>
      <c r="N101" s="516"/>
      <c r="O101" s="516"/>
      <c r="P101" s="516"/>
      <c r="Q101" s="516"/>
      <c r="R101" s="516"/>
      <c r="T101" s="516">
        <f t="shared" si="56"/>
        <v>-121171</v>
      </c>
      <c r="U101" s="516">
        <f t="shared" si="57"/>
        <v>33885</v>
      </c>
    </row>
    <row r="102" spans="1:21" outlineLevel="1">
      <c r="A102" s="511" t="s">
        <v>545</v>
      </c>
      <c r="C102" s="516">
        <v>0</v>
      </c>
      <c r="D102" s="516">
        <v>0</v>
      </c>
      <c r="E102" s="516">
        <v>0</v>
      </c>
      <c r="F102" s="516">
        <v>0</v>
      </c>
      <c r="G102" s="516">
        <v>0</v>
      </c>
      <c r="H102" s="516">
        <v>0</v>
      </c>
      <c r="I102" s="516">
        <v>0</v>
      </c>
      <c r="J102" s="516">
        <v>0</v>
      </c>
      <c r="K102" s="516">
        <v>0</v>
      </c>
      <c r="L102" s="516">
        <v>0</v>
      </c>
      <c r="M102" s="516"/>
      <c r="N102" s="516"/>
      <c r="O102" s="516"/>
      <c r="P102" s="516"/>
      <c r="Q102" s="516"/>
      <c r="R102" s="516"/>
      <c r="T102" s="516">
        <f t="shared" si="56"/>
        <v>0</v>
      </c>
      <c r="U102" s="516">
        <f t="shared" si="57"/>
        <v>0</v>
      </c>
    </row>
    <row r="103" spans="1:21" outlineLevel="1">
      <c r="A103" s="511" t="s">
        <v>546</v>
      </c>
      <c r="C103" s="516">
        <v>-2170</v>
      </c>
      <c r="D103" s="516">
        <v>-5855</v>
      </c>
      <c r="E103" s="516">
        <v>-29018</v>
      </c>
      <c r="F103" s="516">
        <v>-36155</v>
      </c>
      <c r="G103" s="516">
        <v>-894</v>
      </c>
      <c r="H103" s="516">
        <v>-3561</v>
      </c>
      <c r="I103" s="516">
        <v>-4780</v>
      </c>
      <c r="J103" s="516">
        <v>-8162</v>
      </c>
      <c r="K103" s="516">
        <v>-885</v>
      </c>
      <c r="L103" s="516">
        <v>-2949</v>
      </c>
      <c r="M103" s="516"/>
      <c r="N103" s="516"/>
      <c r="O103" s="516"/>
      <c r="P103" s="516"/>
      <c r="Q103" s="516"/>
      <c r="R103" s="516"/>
      <c r="T103" s="516">
        <f t="shared" si="56"/>
        <v>-885</v>
      </c>
      <c r="U103" s="516">
        <f t="shared" si="57"/>
        <v>-2064</v>
      </c>
    </row>
    <row r="104" spans="1:21" outlineLevel="1">
      <c r="A104" s="511" t="s">
        <v>547</v>
      </c>
      <c r="C104" s="516">
        <v>0</v>
      </c>
      <c r="D104" s="516">
        <v>-51</v>
      </c>
      <c r="E104" s="516">
        <v>-59</v>
      </c>
      <c r="F104" s="516">
        <v>-6626</v>
      </c>
      <c r="G104" s="516">
        <v>-10</v>
      </c>
      <c r="H104" s="516">
        <v>-12</v>
      </c>
      <c r="I104" s="516">
        <v>-19</v>
      </c>
      <c r="J104" s="516">
        <v>-40</v>
      </c>
      <c r="K104" s="516">
        <v>-286</v>
      </c>
      <c r="L104" s="516">
        <v>-441</v>
      </c>
      <c r="M104" s="516"/>
      <c r="N104" s="516"/>
      <c r="O104" s="516"/>
      <c r="P104" s="516"/>
      <c r="Q104" s="516"/>
      <c r="R104" s="516"/>
      <c r="T104" s="516">
        <f t="shared" si="56"/>
        <v>-286</v>
      </c>
      <c r="U104" s="516">
        <f t="shared" si="57"/>
        <v>-155</v>
      </c>
    </row>
    <row r="105" spans="1:21" outlineLevel="1">
      <c r="A105" s="511" t="s">
        <v>548</v>
      </c>
      <c r="C105" s="516">
        <v>0</v>
      </c>
      <c r="D105" s="516">
        <v>0</v>
      </c>
      <c r="E105" s="516">
        <v>0</v>
      </c>
      <c r="F105" s="516">
        <v>0</v>
      </c>
      <c r="G105" s="516">
        <v>0</v>
      </c>
      <c r="H105" s="516">
        <v>0</v>
      </c>
      <c r="I105" s="516">
        <v>0</v>
      </c>
      <c r="J105" s="516">
        <v>0</v>
      </c>
      <c r="K105" s="516">
        <v>0</v>
      </c>
      <c r="L105" s="516">
        <v>0</v>
      </c>
      <c r="M105" s="516"/>
      <c r="N105" s="516"/>
      <c r="O105" s="516"/>
      <c r="P105" s="516"/>
      <c r="Q105" s="516"/>
      <c r="R105" s="516"/>
      <c r="T105" s="516">
        <f t="shared" si="56"/>
        <v>0</v>
      </c>
      <c r="U105" s="516">
        <f t="shared" si="57"/>
        <v>0</v>
      </c>
    </row>
    <row r="106" spans="1:21" outlineLevel="1">
      <c r="A106" s="511" t="s">
        <v>549</v>
      </c>
      <c r="C106" s="516">
        <v>-129</v>
      </c>
      <c r="D106" s="516">
        <v>-308</v>
      </c>
      <c r="E106" s="516">
        <v>-672</v>
      </c>
      <c r="F106" s="516">
        <v>-13984</v>
      </c>
      <c r="G106" s="516">
        <v>-1607</v>
      </c>
      <c r="H106" s="516">
        <v>-3375</v>
      </c>
      <c r="I106" s="516">
        <v>-5194</v>
      </c>
      <c r="J106" s="516">
        <v>-6875</v>
      </c>
      <c r="K106" s="516">
        <v>-1538</v>
      </c>
      <c r="L106" s="516">
        <v>-3105</v>
      </c>
      <c r="M106" s="516"/>
      <c r="N106" s="516"/>
      <c r="O106" s="516"/>
      <c r="P106" s="516"/>
      <c r="Q106" s="516"/>
      <c r="R106" s="516"/>
      <c r="T106" s="516">
        <f t="shared" si="56"/>
        <v>-1538</v>
      </c>
      <c r="U106" s="516">
        <f t="shared" si="57"/>
        <v>-1567</v>
      </c>
    </row>
    <row r="107" spans="1:21" outlineLevel="1">
      <c r="A107" s="511" t="s">
        <v>550</v>
      </c>
      <c r="C107" s="516">
        <v>-22809</v>
      </c>
      <c r="D107" s="516">
        <v>-93118</v>
      </c>
      <c r="E107" s="516">
        <v>-115275</v>
      </c>
      <c r="F107" s="516">
        <v>-119195</v>
      </c>
      <c r="G107" s="516">
        <v>-14813</v>
      </c>
      <c r="H107" s="516">
        <v>-22192</v>
      </c>
      <c r="I107" s="516">
        <v>-41624</v>
      </c>
      <c r="J107" s="516">
        <v>-59363</v>
      </c>
      <c r="K107" s="516">
        <v>-18647</v>
      </c>
      <c r="L107" s="516">
        <v>-39810</v>
      </c>
      <c r="M107" s="516"/>
      <c r="N107" s="516"/>
      <c r="O107" s="516"/>
      <c r="P107" s="516"/>
      <c r="Q107" s="516"/>
      <c r="R107" s="516"/>
      <c r="T107" s="516">
        <f t="shared" si="56"/>
        <v>-18647</v>
      </c>
      <c r="U107" s="516">
        <f t="shared" si="57"/>
        <v>-21163</v>
      </c>
    </row>
    <row r="108" spans="1:21">
      <c r="A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T108" s="510"/>
      <c r="U108" s="510"/>
    </row>
    <row r="109" spans="1:21">
      <c r="A109" s="522" t="s">
        <v>551</v>
      </c>
      <c r="C109" s="513">
        <f t="shared" ref="C109:H109" si="58">C85+C87</f>
        <v>170939</v>
      </c>
      <c r="D109" s="513">
        <f t="shared" si="58"/>
        <v>335276</v>
      </c>
      <c r="E109" s="513">
        <f t="shared" ref="E109" si="59">E85+E87</f>
        <v>500855</v>
      </c>
      <c r="F109" s="513">
        <f t="shared" si="58"/>
        <v>500092</v>
      </c>
      <c r="G109" s="513">
        <f t="shared" si="58"/>
        <v>-4316</v>
      </c>
      <c r="H109" s="513">
        <f t="shared" si="58"/>
        <v>-10779</v>
      </c>
      <c r="I109" s="513">
        <f>I85+I87</f>
        <v>-7765</v>
      </c>
      <c r="J109" s="513">
        <f>J85+J87</f>
        <v>55085</v>
      </c>
      <c r="K109" s="513">
        <f>K85+K87</f>
        <v>-22047</v>
      </c>
      <c r="L109" s="513">
        <f>L85+L87</f>
        <v>74195</v>
      </c>
      <c r="M109" s="513"/>
      <c r="N109" s="513"/>
      <c r="O109" s="513"/>
      <c r="P109" s="513"/>
      <c r="Q109" s="513"/>
      <c r="R109" s="513"/>
      <c r="T109" s="513">
        <f>T85+T87</f>
        <v>-22047</v>
      </c>
      <c r="U109" s="513">
        <f>U85+U87</f>
        <v>96242</v>
      </c>
    </row>
    <row r="110" spans="1:21">
      <c r="A110" s="510"/>
      <c r="C110" s="510"/>
      <c r="D110" s="510"/>
      <c r="E110" s="510"/>
      <c r="F110" s="510"/>
      <c r="G110" s="510"/>
      <c r="H110" s="510"/>
      <c r="I110" s="510"/>
      <c r="J110" s="510"/>
      <c r="K110" s="510"/>
      <c r="L110" s="510"/>
      <c r="M110" s="510"/>
      <c r="N110" s="510"/>
      <c r="O110" s="510"/>
      <c r="P110" s="510"/>
      <c r="Q110" s="510"/>
      <c r="R110" s="510"/>
      <c r="T110" s="510"/>
      <c r="U110" s="510"/>
    </row>
    <row r="111" spans="1:21">
      <c r="A111" s="509" t="s">
        <v>552</v>
      </c>
      <c r="C111" s="517">
        <f t="shared" ref="C111:I111" si="60">SUM(C113:C116)</f>
        <v>-42746</v>
      </c>
      <c r="D111" s="517">
        <f t="shared" si="60"/>
        <v>-68800</v>
      </c>
      <c r="E111" s="517">
        <f t="shared" ref="E111" si="61">SUM(E113:E116)</f>
        <v>-111560</v>
      </c>
      <c r="F111" s="517">
        <f t="shared" si="60"/>
        <v>-111023</v>
      </c>
      <c r="G111" s="517">
        <f t="shared" si="60"/>
        <v>0</v>
      </c>
      <c r="H111" s="517">
        <f t="shared" si="60"/>
        <v>-6231</v>
      </c>
      <c r="I111" s="517">
        <f t="shared" si="60"/>
        <v>-1911</v>
      </c>
      <c r="J111" s="517">
        <f t="shared" ref="J111" si="62">SUM(J113:J116)</f>
        <v>21897</v>
      </c>
      <c r="K111" s="517">
        <f>SUM(K113:K116)</f>
        <v>296</v>
      </c>
      <c r="L111" s="517">
        <f>SUM(L113:L116)</f>
        <v>296</v>
      </c>
      <c r="M111" s="517"/>
      <c r="N111" s="517"/>
      <c r="O111" s="517"/>
      <c r="P111" s="517"/>
      <c r="Q111" s="517"/>
      <c r="R111" s="517"/>
      <c r="T111" s="517">
        <f>SUM(T113:T116)</f>
        <v>296</v>
      </c>
      <c r="U111" s="517">
        <f>SUM(U113:U116)</f>
        <v>0</v>
      </c>
    </row>
    <row r="112" spans="1:21">
      <c r="A112" s="510"/>
      <c r="C112" s="510"/>
      <c r="D112" s="510"/>
      <c r="E112" s="510"/>
      <c r="F112" s="510"/>
      <c r="G112" s="510"/>
      <c r="H112" s="510"/>
      <c r="I112" s="510"/>
      <c r="J112" s="510"/>
      <c r="K112" s="510"/>
      <c r="L112" s="510"/>
      <c r="M112" s="510"/>
      <c r="N112" s="510"/>
      <c r="O112" s="510"/>
      <c r="P112" s="510"/>
      <c r="Q112" s="510"/>
      <c r="R112" s="510"/>
      <c r="T112" s="510"/>
      <c r="U112" s="510"/>
    </row>
    <row r="113" spans="1:21">
      <c r="A113" s="510" t="s">
        <v>553</v>
      </c>
      <c r="C113" s="518">
        <v>-11317</v>
      </c>
      <c r="D113" s="518">
        <v>-23748</v>
      </c>
      <c r="E113" s="518">
        <v>-31102</v>
      </c>
      <c r="F113" s="518">
        <v>-29642</v>
      </c>
      <c r="G113" s="518">
        <v>0</v>
      </c>
      <c r="H113" s="518">
        <v>-1634</v>
      </c>
      <c r="I113" s="518">
        <v>-458</v>
      </c>
      <c r="J113" s="518">
        <v>3972</v>
      </c>
      <c r="K113" s="518">
        <v>0</v>
      </c>
      <c r="L113" s="518">
        <v>0</v>
      </c>
      <c r="M113" s="518"/>
      <c r="N113" s="518"/>
      <c r="O113" s="518"/>
      <c r="P113" s="518"/>
      <c r="Q113" s="518"/>
      <c r="R113" s="518"/>
      <c r="T113" s="518">
        <f t="shared" ref="T113:T116" si="63">K113</f>
        <v>0</v>
      </c>
      <c r="U113" s="518">
        <f t="shared" ref="U113:U116" si="64">L113-T113</f>
        <v>0</v>
      </c>
    </row>
    <row r="114" spans="1:21">
      <c r="A114" s="510" t="s">
        <v>554</v>
      </c>
      <c r="C114" s="518">
        <v>-31429</v>
      </c>
      <c r="D114" s="518">
        <v>-73124</v>
      </c>
      <c r="E114" s="518">
        <v>-80458</v>
      </c>
      <c r="F114" s="518">
        <v>-81381</v>
      </c>
      <c r="G114" s="518">
        <v>0</v>
      </c>
      <c r="H114" s="518">
        <v>-4597</v>
      </c>
      <c r="I114" s="518">
        <v>-1453</v>
      </c>
      <c r="J114" s="518">
        <v>8455</v>
      </c>
      <c r="K114" s="518">
        <v>0</v>
      </c>
      <c r="L114" s="518">
        <v>0</v>
      </c>
      <c r="M114" s="518"/>
      <c r="N114" s="518"/>
      <c r="O114" s="518"/>
      <c r="P114" s="518"/>
      <c r="Q114" s="518"/>
      <c r="R114" s="518"/>
      <c r="T114" s="518">
        <f t="shared" si="63"/>
        <v>0</v>
      </c>
      <c r="U114" s="518">
        <f t="shared" si="64"/>
        <v>0</v>
      </c>
    </row>
    <row r="115" spans="1:21">
      <c r="A115" s="510" t="s">
        <v>555</v>
      </c>
      <c r="C115" s="518">
        <v>0</v>
      </c>
      <c r="D115" s="518">
        <v>28072</v>
      </c>
      <c r="E115" s="518">
        <v>0</v>
      </c>
      <c r="F115" s="518">
        <v>0</v>
      </c>
      <c r="G115" s="518">
        <v>0</v>
      </c>
      <c r="H115" s="518">
        <v>0</v>
      </c>
      <c r="I115" s="518">
        <v>0</v>
      </c>
      <c r="J115" s="518">
        <v>9470</v>
      </c>
      <c r="K115" s="518">
        <v>0</v>
      </c>
      <c r="L115" s="518">
        <v>0</v>
      </c>
      <c r="M115" s="518"/>
      <c r="N115" s="518"/>
      <c r="O115" s="518"/>
      <c r="P115" s="518"/>
      <c r="Q115" s="518"/>
      <c r="R115" s="518"/>
      <c r="T115" s="518">
        <f t="shared" si="63"/>
        <v>0</v>
      </c>
      <c r="U115" s="518">
        <f t="shared" si="64"/>
        <v>0</v>
      </c>
    </row>
    <row r="116" spans="1:21">
      <c r="A116" s="510" t="s">
        <v>556</v>
      </c>
      <c r="C116" s="518">
        <v>0</v>
      </c>
      <c r="D116" s="518">
        <v>0</v>
      </c>
      <c r="E116" s="518">
        <v>0</v>
      </c>
      <c r="F116" s="518">
        <v>0</v>
      </c>
      <c r="G116" s="518">
        <v>0</v>
      </c>
      <c r="H116" s="518">
        <v>0</v>
      </c>
      <c r="I116" s="518">
        <v>0</v>
      </c>
      <c r="J116" s="518">
        <v>0</v>
      </c>
      <c r="K116" s="518">
        <v>296</v>
      </c>
      <c r="L116" s="518">
        <v>296</v>
      </c>
      <c r="M116" s="518"/>
      <c r="N116" s="518"/>
      <c r="O116" s="518"/>
      <c r="P116" s="518"/>
      <c r="Q116" s="518"/>
      <c r="R116" s="518"/>
      <c r="T116" s="518">
        <f t="shared" si="63"/>
        <v>296</v>
      </c>
      <c r="U116" s="518">
        <f t="shared" si="64"/>
        <v>0</v>
      </c>
    </row>
    <row r="117" spans="1:21">
      <c r="A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  <c r="T117" s="510"/>
      <c r="U117" s="510"/>
    </row>
    <row r="118" spans="1:21" ht="15" thickBot="1">
      <c r="A118" s="523" t="s">
        <v>557</v>
      </c>
      <c r="C118" s="519">
        <f t="shared" ref="C118:J118" si="65">C109+C111</f>
        <v>128193</v>
      </c>
      <c r="D118" s="519">
        <f t="shared" si="65"/>
        <v>266476</v>
      </c>
      <c r="E118" s="519">
        <f t="shared" ref="E118" si="66">E109+E111</f>
        <v>389295</v>
      </c>
      <c r="F118" s="519">
        <f t="shared" si="65"/>
        <v>389069</v>
      </c>
      <c r="G118" s="519">
        <f t="shared" si="65"/>
        <v>-4316</v>
      </c>
      <c r="H118" s="519">
        <f t="shared" si="65"/>
        <v>-17010</v>
      </c>
      <c r="I118" s="519">
        <f t="shared" si="65"/>
        <v>-9676</v>
      </c>
      <c r="J118" s="519">
        <f t="shared" si="65"/>
        <v>76982</v>
      </c>
      <c r="K118" s="519">
        <f>K109+K111</f>
        <v>-21751</v>
      </c>
      <c r="L118" s="519">
        <f>L109+L111</f>
        <v>74491</v>
      </c>
      <c r="M118" s="519"/>
      <c r="N118" s="519"/>
      <c r="O118" s="519"/>
      <c r="P118" s="519"/>
      <c r="Q118" s="519"/>
      <c r="R118" s="519"/>
      <c r="T118" s="519">
        <f>T109+T111</f>
        <v>-21751</v>
      </c>
      <c r="U118" s="519">
        <f>U109+U111</f>
        <v>96242</v>
      </c>
    </row>
    <row r="119" spans="1:21" ht="15" thickTop="1">
      <c r="A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  <c r="T119" s="510"/>
      <c r="U119" s="510"/>
    </row>
    <row r="120" spans="1:21">
      <c r="A120" s="509" t="s">
        <v>558</v>
      </c>
      <c r="C120" s="518"/>
      <c r="D120" s="518"/>
      <c r="E120" s="518"/>
      <c r="F120" s="518"/>
      <c r="G120" s="518"/>
      <c r="H120" s="518"/>
      <c r="I120" s="518"/>
      <c r="J120" s="518"/>
      <c r="K120" s="518"/>
      <c r="L120" s="518"/>
      <c r="M120" s="518"/>
      <c r="N120" s="518"/>
      <c r="O120" s="518"/>
      <c r="P120" s="518"/>
      <c r="Q120" s="518"/>
      <c r="R120" s="518"/>
      <c r="T120" s="518"/>
      <c r="U120" s="518"/>
    </row>
    <row r="121" spans="1:21">
      <c r="A121" s="510" t="s">
        <v>559</v>
      </c>
      <c r="C121" s="518">
        <f t="shared" ref="C121:I121" si="67">C118-C122</f>
        <v>128170.99410663395</v>
      </c>
      <c r="D121" s="518">
        <f t="shared" si="67"/>
        <v>266430.25614159426</v>
      </c>
      <c r="E121" s="518">
        <f t="shared" ref="E121" si="68">E118-E122</f>
        <v>389228.17276093131</v>
      </c>
      <c r="F121" s="518">
        <f t="shared" si="67"/>
        <v>389002.21155659016</v>
      </c>
      <c r="G121" s="518">
        <f t="shared" si="67"/>
        <v>-4315.2591059124297</v>
      </c>
      <c r="H121" s="518">
        <f t="shared" si="67"/>
        <v>-17007.080025850424</v>
      </c>
      <c r="I121" s="518">
        <f t="shared" si="67"/>
        <v>-9674.33899648023</v>
      </c>
      <c r="J121" s="518">
        <f>J118-J122</f>
        <v>76968.785099942237</v>
      </c>
      <c r="K121" s="518">
        <v>-21747</v>
      </c>
      <c r="L121" s="518">
        <v>74478</v>
      </c>
      <c r="M121" s="518"/>
      <c r="N121" s="518"/>
      <c r="O121" s="518"/>
      <c r="P121" s="518"/>
      <c r="Q121" s="518"/>
      <c r="R121" s="518"/>
      <c r="T121" s="518">
        <f t="shared" ref="T121:T122" si="69">K121</f>
        <v>-21747</v>
      </c>
      <c r="U121" s="518">
        <f t="shared" ref="U121:U122" si="70">L121-T121</f>
        <v>96225</v>
      </c>
    </row>
    <row r="122" spans="1:21">
      <c r="A122" s="510" t="s">
        <v>560</v>
      </c>
      <c r="C122" s="518">
        <f t="shared" ref="C122:I122" si="71">C118*C127</f>
        <v>22.005893366044745</v>
      </c>
      <c r="D122" s="518">
        <f t="shared" si="71"/>
        <v>45.743858405764271</v>
      </c>
      <c r="E122" s="518">
        <f t="shared" ref="E122" si="72">E118*E127</f>
        <v>66.827239068704131</v>
      </c>
      <c r="F122" s="518">
        <f t="shared" si="71"/>
        <v>66.788443409809148</v>
      </c>
      <c r="G122" s="518">
        <f t="shared" si="71"/>
        <v>-0.74089408756990727</v>
      </c>
      <c r="H122" s="518">
        <f t="shared" si="71"/>
        <v>-2.9199741495746343</v>
      </c>
      <c r="I122" s="518">
        <f t="shared" si="71"/>
        <v>-1.6610035197697921</v>
      </c>
      <c r="J122" s="518">
        <f>J118*J127</f>
        <v>13.214900057763346</v>
      </c>
      <c r="K122" s="518">
        <v>-4</v>
      </c>
      <c r="L122" s="518">
        <v>13</v>
      </c>
      <c r="M122" s="518"/>
      <c r="N122" s="518"/>
      <c r="O122" s="518"/>
      <c r="P122" s="518"/>
      <c r="Q122" s="518"/>
      <c r="R122" s="518"/>
      <c r="T122" s="518">
        <f t="shared" si="69"/>
        <v>-4</v>
      </c>
      <c r="U122" s="518">
        <f t="shared" si="70"/>
        <v>17</v>
      </c>
    </row>
    <row r="123" spans="1:21">
      <c r="A123" s="510"/>
      <c r="C123" s="510"/>
      <c r="D123" s="510"/>
      <c r="E123" s="510"/>
      <c r="F123" s="510"/>
      <c r="G123" s="510"/>
      <c r="H123" s="510"/>
      <c r="I123" s="510"/>
      <c r="J123" s="510"/>
      <c r="K123" s="510"/>
      <c r="L123" s="510"/>
      <c r="M123" s="510"/>
      <c r="N123" s="510"/>
      <c r="O123" s="510"/>
      <c r="P123" s="510"/>
      <c r="Q123" s="510"/>
      <c r="R123" s="510"/>
      <c r="T123" s="510"/>
      <c r="U123" s="510"/>
    </row>
    <row r="124" spans="1:21" ht="15" thickBot="1">
      <c r="A124" s="523" t="s">
        <v>557</v>
      </c>
      <c r="C124" s="519">
        <f t="shared" ref="C124:I124" si="73">SUM(C121:C122)</f>
        <v>128193</v>
      </c>
      <c r="D124" s="519">
        <f t="shared" si="73"/>
        <v>266476</v>
      </c>
      <c r="E124" s="519">
        <f t="shared" ref="E124" si="74">SUM(E121:E122)</f>
        <v>389295</v>
      </c>
      <c r="F124" s="519">
        <f t="shared" si="73"/>
        <v>389069</v>
      </c>
      <c r="G124" s="519">
        <f t="shared" si="73"/>
        <v>-4316</v>
      </c>
      <c r="H124" s="519">
        <f t="shared" si="73"/>
        <v>-17010</v>
      </c>
      <c r="I124" s="519">
        <f t="shared" si="73"/>
        <v>-9676</v>
      </c>
      <c r="J124" s="519">
        <f t="shared" ref="J124" si="75">SUM(J121:J122)</f>
        <v>76982</v>
      </c>
      <c r="K124" s="519">
        <f>SUM(K121:K122)</f>
        <v>-21751</v>
      </c>
      <c r="L124" s="519">
        <f>SUM(L121:L122)</f>
        <v>74491</v>
      </c>
      <c r="M124" s="519"/>
      <c r="N124" s="519"/>
      <c r="O124" s="519"/>
      <c r="P124" s="519"/>
      <c r="Q124" s="519"/>
      <c r="R124" s="519"/>
      <c r="T124" s="519">
        <f>SUM(T121:T122)</f>
        <v>-21751</v>
      </c>
      <c r="U124" s="519">
        <f>SUM(U121:U122)</f>
        <v>96242</v>
      </c>
    </row>
    <row r="125" spans="1:21" ht="15" thickTop="1"/>
    <row r="126" spans="1:21" s="525" customFormat="1" ht="10.5">
      <c r="A126" s="524" t="s">
        <v>561</v>
      </c>
      <c r="C126" s="526">
        <v>0.99982833779250002</v>
      </c>
      <c r="D126" s="526">
        <v>0.99982833779250002</v>
      </c>
      <c r="E126" s="526">
        <v>0.99982833779250002</v>
      </c>
      <c r="F126" s="526">
        <v>0.99982833779250002</v>
      </c>
      <c r="G126" s="526">
        <v>0.99982833779250002</v>
      </c>
      <c r="H126" s="526">
        <v>0.99982833779250002</v>
      </c>
      <c r="I126" s="526">
        <v>0.99982833779250002</v>
      </c>
      <c r="J126" s="526">
        <v>0.99982833779250002</v>
      </c>
      <c r="K126" s="526">
        <v>0.99982833779250002</v>
      </c>
      <c r="L126" s="526">
        <v>0.99982833779250002</v>
      </c>
      <c r="T126" s="526">
        <f t="shared" ref="T126:T127" si="76">K126</f>
        <v>0.99982833779250002</v>
      </c>
      <c r="U126" s="526">
        <v>0.99982833779250002</v>
      </c>
    </row>
    <row r="127" spans="1:21" s="525" customFormat="1" ht="10.5">
      <c r="A127" s="524" t="s">
        <v>562</v>
      </c>
      <c r="C127" s="526">
        <v>1.7166220749997851E-4</v>
      </c>
      <c r="D127" s="526">
        <v>1.7166220749997851E-4</v>
      </c>
      <c r="E127" s="526">
        <v>1.7166220749997851E-4</v>
      </c>
      <c r="F127" s="526">
        <v>1.7166220749997851E-4</v>
      </c>
      <c r="G127" s="526">
        <v>1.7166220749997851E-4</v>
      </c>
      <c r="H127" s="526">
        <v>1.7166220749997851E-4</v>
      </c>
      <c r="I127" s="526">
        <v>1.7166220749997851E-4</v>
      </c>
      <c r="J127" s="526">
        <v>1.7166220749997851E-4</v>
      </c>
      <c r="K127" s="526">
        <v>1.7166220749997851E-4</v>
      </c>
      <c r="L127" s="526">
        <v>1.7166220749997851E-4</v>
      </c>
      <c r="T127" s="526">
        <f t="shared" si="76"/>
        <v>1.7166220749997851E-4</v>
      </c>
      <c r="U127" s="526">
        <v>1.7166220749997851E-4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79998168889431442"/>
  </sheetPr>
  <dimension ref="A3:U127"/>
  <sheetViews>
    <sheetView showGridLines="0" zoomScale="85" zoomScaleNormal="85" workbookViewId="0">
      <pane xSplit="1" ySplit="4" topLeftCell="B5" activePane="bottomRight" state="frozen"/>
      <selection pane="topRight"/>
      <selection pane="bottomLeft"/>
      <selection pane="bottomRight" activeCell="L13" sqref="L13"/>
    </sheetView>
  </sheetViews>
  <sheetFormatPr defaultRowHeight="14.5" outlineLevelRow="1"/>
  <cols>
    <col min="1" max="1" width="65.7265625" bestFit="1" customWidth="1"/>
    <col min="2" max="2" width="1.54296875" customWidth="1"/>
    <col min="3" max="12" width="15.1796875" customWidth="1"/>
    <col min="13" max="18" width="15.1796875" hidden="1" customWidth="1"/>
    <col min="19" max="19" width="1.54296875" customWidth="1"/>
    <col min="20" max="20" width="15.1796875" hidden="1" customWidth="1"/>
    <col min="21" max="21" width="15.1796875" customWidth="1"/>
  </cols>
  <sheetData>
    <row r="3" spans="1:21">
      <c r="C3" s="530" t="s">
        <v>568</v>
      </c>
      <c r="D3" s="530"/>
      <c r="E3" s="530"/>
      <c r="F3" s="530"/>
    </row>
    <row r="4" spans="1:21">
      <c r="A4" s="521" t="s">
        <v>569</v>
      </c>
      <c r="C4" s="529" t="s">
        <v>453</v>
      </c>
      <c r="D4" s="529" t="s">
        <v>454</v>
      </c>
      <c r="E4" s="529" t="s">
        <v>455</v>
      </c>
      <c r="F4" s="529">
        <v>2022</v>
      </c>
      <c r="G4" s="520" t="s">
        <v>456</v>
      </c>
      <c r="H4" s="520" t="s">
        <v>457</v>
      </c>
      <c r="I4" s="520" t="s">
        <v>458</v>
      </c>
      <c r="J4" s="520">
        <v>2023</v>
      </c>
      <c r="K4" s="520" t="s">
        <v>459</v>
      </c>
      <c r="L4" s="520" t="s">
        <v>460</v>
      </c>
      <c r="M4" s="520" t="s">
        <v>461</v>
      </c>
      <c r="N4" s="520">
        <v>2024</v>
      </c>
      <c r="O4" s="520" t="s">
        <v>462</v>
      </c>
      <c r="P4" s="520" t="s">
        <v>463</v>
      </c>
      <c r="Q4" s="520" t="s">
        <v>464</v>
      </c>
      <c r="R4" s="520">
        <v>2025</v>
      </c>
      <c r="T4" s="520" t="s">
        <v>53</v>
      </c>
      <c r="U4" s="520" t="s">
        <v>54</v>
      </c>
    </row>
    <row r="5" spans="1:21" ht="6.65" customHeight="1"/>
    <row r="6" spans="1:21">
      <c r="A6" s="522" t="s">
        <v>465</v>
      </c>
      <c r="C6" s="513">
        <f t="shared" ref="C6:I6" si="0">SUM(C8,C11:C17)</f>
        <v>0</v>
      </c>
      <c r="D6" s="513">
        <f t="shared" si="0"/>
        <v>0</v>
      </c>
      <c r="E6" s="513">
        <f t="shared" si="0"/>
        <v>0</v>
      </c>
      <c r="F6" s="513">
        <f t="shared" si="0"/>
        <v>0</v>
      </c>
      <c r="G6" s="513">
        <f t="shared" si="0"/>
        <v>3600946</v>
      </c>
      <c r="H6" s="513">
        <f t="shared" si="0"/>
        <v>6515594</v>
      </c>
      <c r="I6" s="513">
        <f t="shared" si="0"/>
        <v>9322543</v>
      </c>
      <c r="J6" s="513">
        <f t="shared" ref="J6:K6" si="1">SUM(J8,J11:J17)</f>
        <v>13140859</v>
      </c>
      <c r="K6" s="513">
        <f t="shared" si="1"/>
        <v>3447376</v>
      </c>
      <c r="L6" s="513">
        <f t="shared" ref="L6" si="2">SUM(L8,L11:L17)</f>
        <v>7103330</v>
      </c>
      <c r="M6" s="513"/>
      <c r="N6" s="513"/>
      <c r="O6" s="513"/>
      <c r="P6" s="513"/>
      <c r="Q6" s="513"/>
      <c r="R6" s="513"/>
      <c r="T6" s="513">
        <f t="shared" ref="T6:U6" si="3">SUM(T8,T11:T17)</f>
        <v>3447376</v>
      </c>
      <c r="U6" s="513">
        <f t="shared" si="3"/>
        <v>3655954</v>
      </c>
    </row>
    <row r="7" spans="1:21">
      <c r="A7" s="509"/>
      <c r="C7" s="514"/>
      <c r="D7" s="514"/>
      <c r="E7" s="514"/>
      <c r="F7" s="514"/>
      <c r="G7" s="514"/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514"/>
      <c r="T7" s="514"/>
      <c r="U7" s="514"/>
    </row>
    <row r="8" spans="1:21">
      <c r="A8" s="510" t="s">
        <v>466</v>
      </c>
      <c r="C8" s="515">
        <f t="shared" ref="C8:H8" si="4">SUM(C9:C10)</f>
        <v>0</v>
      </c>
      <c r="D8" s="515">
        <f t="shared" si="4"/>
        <v>0</v>
      </c>
      <c r="E8" s="515">
        <f t="shared" si="4"/>
        <v>0</v>
      </c>
      <c r="F8" s="515">
        <f t="shared" si="4"/>
        <v>0</v>
      </c>
      <c r="G8" s="515">
        <f t="shared" si="4"/>
        <v>2265091</v>
      </c>
      <c r="H8" s="515">
        <f t="shared" si="4"/>
        <v>4209853</v>
      </c>
      <c r="I8" s="515">
        <f>SUM(I9:I10)</f>
        <v>6393072</v>
      </c>
      <c r="J8" s="515">
        <f>SUM(J9:J10)</f>
        <v>9195489</v>
      </c>
      <c r="K8" s="515">
        <f>SUM(K9:K10)</f>
        <v>2586909</v>
      </c>
      <c r="L8" s="515">
        <f>SUM(L9:L10)</f>
        <v>5247381</v>
      </c>
      <c r="M8" s="515"/>
      <c r="N8" s="515"/>
      <c r="O8" s="515"/>
      <c r="P8" s="515"/>
      <c r="Q8" s="515"/>
      <c r="R8" s="515"/>
      <c r="T8" s="515">
        <f>SUM(T9:T10)</f>
        <v>2586909</v>
      </c>
      <c r="U8" s="515">
        <f>SUM(U9:U10)</f>
        <v>2660472</v>
      </c>
    </row>
    <row r="9" spans="1:21" outlineLevel="1">
      <c r="A9" s="511" t="s">
        <v>466</v>
      </c>
      <c r="C9" s="516"/>
      <c r="D9" s="516"/>
      <c r="E9" s="516"/>
      <c r="F9" s="516"/>
      <c r="G9" s="516">
        <v>2218999</v>
      </c>
      <c r="H9" s="516">
        <v>4149944</v>
      </c>
      <c r="I9" s="516">
        <v>6339402</v>
      </c>
      <c r="J9" s="516">
        <v>8906870</v>
      </c>
      <c r="K9" s="516">
        <v>2400759</v>
      </c>
      <c r="L9" s="516">
        <v>4822643</v>
      </c>
      <c r="M9" s="516"/>
      <c r="N9" s="516"/>
      <c r="O9" s="516"/>
      <c r="P9" s="516"/>
      <c r="Q9" s="516"/>
      <c r="R9" s="516"/>
      <c r="T9" s="516">
        <f>K9</f>
        <v>2400759</v>
      </c>
      <c r="U9" s="516">
        <f>L9-T9</f>
        <v>2421884</v>
      </c>
    </row>
    <row r="10" spans="1:21" outlineLevel="1">
      <c r="A10" s="511" t="s">
        <v>467</v>
      </c>
      <c r="C10" s="516"/>
      <c r="D10" s="516"/>
      <c r="E10" s="516"/>
      <c r="F10" s="516"/>
      <c r="G10" s="516">
        <v>46092</v>
      </c>
      <c r="H10" s="516">
        <v>59909</v>
      </c>
      <c r="I10" s="516">
        <v>53670</v>
      </c>
      <c r="J10" s="516">
        <v>288619</v>
      </c>
      <c r="K10" s="516">
        <v>186150</v>
      </c>
      <c r="L10" s="516">
        <v>424738</v>
      </c>
      <c r="M10" s="516"/>
      <c r="N10" s="516"/>
      <c r="O10" s="516"/>
      <c r="P10" s="516"/>
      <c r="Q10" s="516"/>
      <c r="R10" s="516"/>
      <c r="T10" s="516">
        <f t="shared" ref="T10:T25" si="5">K10</f>
        <v>186150</v>
      </c>
      <c r="U10" s="516">
        <f t="shared" ref="U10:U16" si="6">L10-T10</f>
        <v>238588</v>
      </c>
    </row>
    <row r="11" spans="1:21">
      <c r="A11" s="510" t="s">
        <v>468</v>
      </c>
      <c r="C11" s="515"/>
      <c r="D11" s="515"/>
      <c r="E11" s="515"/>
      <c r="F11" s="515"/>
      <c r="G11" s="515">
        <v>35569</v>
      </c>
      <c r="H11" s="515">
        <v>95213</v>
      </c>
      <c r="I11" s="515">
        <v>119710</v>
      </c>
      <c r="J11" s="515">
        <v>238774</v>
      </c>
      <c r="K11" s="515">
        <v>39080</v>
      </c>
      <c r="L11" s="515">
        <v>75152</v>
      </c>
      <c r="M11" s="515"/>
      <c r="N11" s="515"/>
      <c r="O11" s="515"/>
      <c r="P11" s="515"/>
      <c r="Q11" s="515"/>
      <c r="R11" s="515"/>
      <c r="T11" s="515">
        <f t="shared" si="5"/>
        <v>39080</v>
      </c>
      <c r="U11" s="515">
        <f t="shared" si="6"/>
        <v>36072</v>
      </c>
    </row>
    <row r="12" spans="1:21">
      <c r="A12" s="510" t="s">
        <v>469</v>
      </c>
      <c r="C12" s="515"/>
      <c r="D12" s="515"/>
      <c r="E12" s="515"/>
      <c r="F12" s="515"/>
      <c r="G12" s="515">
        <v>0</v>
      </c>
      <c r="H12" s="515">
        <v>0</v>
      </c>
      <c r="I12" s="515">
        <v>0</v>
      </c>
      <c r="J12" s="515">
        <v>0</v>
      </c>
      <c r="K12" s="515">
        <v>0</v>
      </c>
      <c r="L12" s="515">
        <v>0</v>
      </c>
      <c r="M12" s="515"/>
      <c r="N12" s="515"/>
      <c r="O12" s="515"/>
      <c r="P12" s="515"/>
      <c r="Q12" s="515"/>
      <c r="R12" s="515"/>
      <c r="T12" s="515">
        <f t="shared" si="5"/>
        <v>0</v>
      </c>
      <c r="U12" s="515">
        <f t="shared" si="6"/>
        <v>0</v>
      </c>
    </row>
    <row r="13" spans="1:21">
      <c r="A13" s="510" t="s">
        <v>470</v>
      </c>
      <c r="C13" s="515"/>
      <c r="D13" s="515"/>
      <c r="E13" s="515"/>
      <c r="F13" s="515"/>
      <c r="G13" s="515">
        <v>902134</v>
      </c>
      <c r="H13" s="515">
        <v>1401597</v>
      </c>
      <c r="I13" s="515">
        <v>1533674</v>
      </c>
      <c r="J13" s="515">
        <v>1899604</v>
      </c>
      <c r="K13" s="515">
        <v>351833</v>
      </c>
      <c r="L13" s="515">
        <v>831910</v>
      </c>
      <c r="M13" s="515"/>
      <c r="N13" s="515"/>
      <c r="O13" s="515"/>
      <c r="P13" s="515"/>
      <c r="Q13" s="515"/>
      <c r="R13" s="515"/>
      <c r="T13" s="515">
        <f t="shared" si="5"/>
        <v>351833</v>
      </c>
      <c r="U13" s="515">
        <f t="shared" si="6"/>
        <v>480077</v>
      </c>
    </row>
    <row r="14" spans="1:21">
      <c r="A14" s="510" t="s">
        <v>471</v>
      </c>
      <c r="C14" s="515"/>
      <c r="D14" s="515"/>
      <c r="E14" s="515"/>
      <c r="F14" s="515"/>
      <c r="G14" s="515">
        <v>0</v>
      </c>
      <c r="H14" s="515">
        <v>0</v>
      </c>
      <c r="I14" s="515">
        <v>0</v>
      </c>
      <c r="J14" s="515">
        <v>0</v>
      </c>
      <c r="K14" s="515">
        <v>0</v>
      </c>
      <c r="L14" s="515">
        <v>0</v>
      </c>
      <c r="M14" s="515"/>
      <c r="N14" s="515"/>
      <c r="O14" s="515"/>
      <c r="P14" s="515"/>
      <c r="Q14" s="515"/>
      <c r="R14" s="515"/>
      <c r="T14" s="515">
        <f t="shared" si="5"/>
        <v>0</v>
      </c>
      <c r="U14" s="515">
        <f t="shared" si="6"/>
        <v>0</v>
      </c>
    </row>
    <row r="15" spans="1:21">
      <c r="A15" s="510" t="s">
        <v>472</v>
      </c>
      <c r="C15" s="515"/>
      <c r="D15" s="515"/>
      <c r="E15" s="515"/>
      <c r="F15" s="515"/>
      <c r="G15" s="515">
        <v>0</v>
      </c>
      <c r="H15" s="515">
        <v>0</v>
      </c>
      <c r="I15" s="515">
        <v>0</v>
      </c>
      <c r="J15" s="515">
        <v>0</v>
      </c>
      <c r="K15" s="515">
        <v>0</v>
      </c>
      <c r="L15" s="515">
        <v>0</v>
      </c>
      <c r="M15" s="515"/>
      <c r="N15" s="515"/>
      <c r="O15" s="515"/>
      <c r="P15" s="515"/>
      <c r="Q15" s="515"/>
      <c r="R15" s="515"/>
      <c r="T15" s="515">
        <f t="shared" si="5"/>
        <v>0</v>
      </c>
      <c r="U15" s="515">
        <f t="shared" si="6"/>
        <v>0</v>
      </c>
    </row>
    <row r="16" spans="1:21">
      <c r="A16" s="510" t="s">
        <v>473</v>
      </c>
      <c r="C16" s="515"/>
      <c r="D16" s="515"/>
      <c r="E16" s="515"/>
      <c r="F16" s="515"/>
      <c r="G16" s="515">
        <v>0</v>
      </c>
      <c r="H16" s="515">
        <v>0</v>
      </c>
      <c r="I16" s="515">
        <v>0</v>
      </c>
      <c r="J16" s="515">
        <v>0</v>
      </c>
      <c r="K16" s="515">
        <v>0</v>
      </c>
      <c r="L16" s="515">
        <v>0</v>
      </c>
      <c r="M16" s="515"/>
      <c r="N16" s="515"/>
      <c r="O16" s="515"/>
      <c r="P16" s="515"/>
      <c r="Q16" s="515"/>
      <c r="R16" s="515"/>
      <c r="T16" s="515">
        <f t="shared" si="5"/>
        <v>0</v>
      </c>
      <c r="U16" s="515">
        <f t="shared" si="6"/>
        <v>0</v>
      </c>
    </row>
    <row r="17" spans="1:21">
      <c r="A17" s="510" t="s">
        <v>474</v>
      </c>
      <c r="C17" s="515">
        <f t="shared" ref="C17:H17" si="7">SUM(C18:C25)</f>
        <v>0</v>
      </c>
      <c r="D17" s="515">
        <f t="shared" si="7"/>
        <v>0</v>
      </c>
      <c r="E17" s="515">
        <f t="shared" si="7"/>
        <v>0</v>
      </c>
      <c r="F17" s="515">
        <f t="shared" si="7"/>
        <v>0</v>
      </c>
      <c r="G17" s="515">
        <f t="shared" si="7"/>
        <v>398152</v>
      </c>
      <c r="H17" s="515">
        <f t="shared" si="7"/>
        <v>808931</v>
      </c>
      <c r="I17" s="515">
        <f>SUM(I18:I25)</f>
        <v>1276087</v>
      </c>
      <c r="J17" s="515">
        <f>SUM(J18:J25)</f>
        <v>1806992</v>
      </c>
      <c r="K17" s="515">
        <f>SUM(K18:K25)</f>
        <v>469554</v>
      </c>
      <c r="L17" s="515">
        <f>SUM(L18:L25)</f>
        <v>948887</v>
      </c>
      <c r="M17" s="515"/>
      <c r="N17" s="515"/>
      <c r="O17" s="515"/>
      <c r="P17" s="515"/>
      <c r="Q17" s="515"/>
      <c r="R17" s="515"/>
      <c r="T17" s="515">
        <f>SUM(T18:T25)</f>
        <v>469554</v>
      </c>
      <c r="U17" s="515">
        <f>SUM(U18:U25)</f>
        <v>479333</v>
      </c>
    </row>
    <row r="18" spans="1:21" outlineLevel="1">
      <c r="A18" s="511" t="s">
        <v>475</v>
      </c>
      <c r="C18" s="516"/>
      <c r="D18" s="516"/>
      <c r="E18" s="516"/>
      <c r="F18" s="516"/>
      <c r="G18" s="516">
        <v>223593</v>
      </c>
      <c r="H18" s="516">
        <v>467262</v>
      </c>
      <c r="I18" s="516">
        <v>713747</v>
      </c>
      <c r="J18" s="516">
        <v>955420</v>
      </c>
      <c r="K18" s="516">
        <v>236383</v>
      </c>
      <c r="L18" s="516">
        <v>491981</v>
      </c>
      <c r="M18" s="516"/>
      <c r="N18" s="516"/>
      <c r="O18" s="516"/>
      <c r="P18" s="516"/>
      <c r="Q18" s="516"/>
      <c r="R18" s="516"/>
      <c r="T18" s="516">
        <f t="shared" si="5"/>
        <v>236383</v>
      </c>
      <c r="U18" s="516">
        <f t="shared" ref="U18:U25" si="8">L18-T18</f>
        <v>255598</v>
      </c>
    </row>
    <row r="19" spans="1:21" outlineLevel="1">
      <c r="A19" s="511" t="s">
        <v>476</v>
      </c>
      <c r="C19" s="516"/>
      <c r="D19" s="516"/>
      <c r="E19" s="516"/>
      <c r="F19" s="516"/>
      <c r="G19" s="516">
        <v>16792</v>
      </c>
      <c r="H19" s="516">
        <v>22052</v>
      </c>
      <c r="I19" s="516">
        <v>32952</v>
      </c>
      <c r="J19" s="516">
        <v>28226</v>
      </c>
      <c r="K19" s="516">
        <v>22331</v>
      </c>
      <c r="L19" s="516">
        <v>38568</v>
      </c>
      <c r="M19" s="516"/>
      <c r="N19" s="516"/>
      <c r="O19" s="516"/>
      <c r="P19" s="516"/>
      <c r="Q19" s="516"/>
      <c r="R19" s="516"/>
      <c r="T19" s="516">
        <f t="shared" si="5"/>
        <v>22331</v>
      </c>
      <c r="U19" s="516">
        <f t="shared" si="8"/>
        <v>16237</v>
      </c>
    </row>
    <row r="20" spans="1:21" outlineLevel="1">
      <c r="A20" s="511" t="s">
        <v>477</v>
      </c>
      <c r="C20" s="516"/>
      <c r="D20" s="516"/>
      <c r="E20" s="516"/>
      <c r="F20" s="516"/>
      <c r="G20" s="516">
        <v>0</v>
      </c>
      <c r="H20" s="516">
        <v>0</v>
      </c>
      <c r="I20" s="516">
        <v>0</v>
      </c>
      <c r="J20" s="516">
        <v>0</v>
      </c>
      <c r="K20" s="516">
        <v>0</v>
      </c>
      <c r="L20" s="516">
        <v>0</v>
      </c>
      <c r="M20" s="516"/>
      <c r="N20" s="516"/>
      <c r="O20" s="516"/>
      <c r="P20" s="516"/>
      <c r="Q20" s="516"/>
      <c r="R20" s="516"/>
      <c r="T20" s="516">
        <f t="shared" si="5"/>
        <v>0</v>
      </c>
      <c r="U20" s="516">
        <f t="shared" si="8"/>
        <v>0</v>
      </c>
    </row>
    <row r="21" spans="1:21" outlineLevel="1">
      <c r="A21" s="511" t="s">
        <v>478</v>
      </c>
      <c r="C21" s="516"/>
      <c r="D21" s="516"/>
      <c r="E21" s="516"/>
      <c r="F21" s="516"/>
      <c r="G21" s="516">
        <v>0</v>
      </c>
      <c r="H21" s="516">
        <v>0</v>
      </c>
      <c r="I21" s="516">
        <v>0</v>
      </c>
      <c r="J21" s="516">
        <v>0</v>
      </c>
      <c r="K21" s="516">
        <v>0</v>
      </c>
      <c r="L21" s="516">
        <v>0</v>
      </c>
      <c r="M21" s="516"/>
      <c r="N21" s="516"/>
      <c r="O21" s="516"/>
      <c r="P21" s="516"/>
      <c r="Q21" s="516"/>
      <c r="R21" s="516"/>
      <c r="T21" s="516">
        <f t="shared" si="5"/>
        <v>0</v>
      </c>
      <c r="U21" s="516">
        <f t="shared" si="8"/>
        <v>0</v>
      </c>
    </row>
    <row r="22" spans="1:21" outlineLevel="1">
      <c r="A22" s="511" t="s">
        <v>479</v>
      </c>
      <c r="C22" s="516"/>
      <c r="D22" s="516"/>
      <c r="E22" s="516"/>
      <c r="F22" s="516"/>
      <c r="G22" s="516">
        <v>0</v>
      </c>
      <c r="H22" s="516">
        <v>0</v>
      </c>
      <c r="I22" s="516">
        <v>0</v>
      </c>
      <c r="J22" s="516">
        <v>0</v>
      </c>
      <c r="K22" s="516">
        <v>0</v>
      </c>
      <c r="L22" s="516">
        <v>0</v>
      </c>
      <c r="M22" s="516"/>
      <c r="N22" s="516"/>
      <c r="O22" s="516"/>
      <c r="P22" s="516"/>
      <c r="Q22" s="516"/>
      <c r="R22" s="516"/>
      <c r="T22" s="516">
        <f t="shared" si="5"/>
        <v>0</v>
      </c>
      <c r="U22" s="516">
        <f t="shared" si="8"/>
        <v>0</v>
      </c>
    </row>
    <row r="23" spans="1:21" outlineLevel="1">
      <c r="A23" s="511" t="s">
        <v>480</v>
      </c>
      <c r="C23" s="516"/>
      <c r="D23" s="516"/>
      <c r="E23" s="516"/>
      <c r="F23" s="516"/>
      <c r="G23" s="516">
        <v>0</v>
      </c>
      <c r="H23" s="516">
        <v>0</v>
      </c>
      <c r="I23" s="516">
        <v>0</v>
      </c>
      <c r="J23" s="516">
        <v>0</v>
      </c>
      <c r="K23" s="516">
        <v>0</v>
      </c>
      <c r="L23" s="516">
        <v>0</v>
      </c>
      <c r="M23" s="516"/>
      <c r="N23" s="516"/>
      <c r="O23" s="516"/>
      <c r="P23" s="516"/>
      <c r="Q23" s="516"/>
      <c r="R23" s="516"/>
      <c r="T23" s="516">
        <f t="shared" si="5"/>
        <v>0</v>
      </c>
      <c r="U23" s="516">
        <f t="shared" si="8"/>
        <v>0</v>
      </c>
    </row>
    <row r="24" spans="1:21" outlineLevel="1">
      <c r="A24" s="511" t="s">
        <v>481</v>
      </c>
      <c r="C24" s="516"/>
      <c r="D24" s="516"/>
      <c r="E24" s="516"/>
      <c r="F24" s="516"/>
      <c r="G24" s="516">
        <v>0</v>
      </c>
      <c r="H24" s="516">
        <v>0</v>
      </c>
      <c r="I24" s="516">
        <v>0</v>
      </c>
      <c r="J24" s="516">
        <v>0</v>
      </c>
      <c r="K24" s="516">
        <v>0</v>
      </c>
      <c r="L24" s="516">
        <v>0</v>
      </c>
      <c r="M24" s="516"/>
      <c r="N24" s="516"/>
      <c r="O24" s="516"/>
      <c r="P24" s="516"/>
      <c r="Q24" s="516"/>
      <c r="R24" s="516"/>
      <c r="T24" s="516">
        <f t="shared" si="5"/>
        <v>0</v>
      </c>
      <c r="U24" s="516">
        <f t="shared" si="8"/>
        <v>0</v>
      </c>
    </row>
    <row r="25" spans="1:21" outlineLevel="1">
      <c r="A25" s="511" t="s">
        <v>474</v>
      </c>
      <c r="C25" s="516"/>
      <c r="D25" s="516"/>
      <c r="E25" s="516"/>
      <c r="F25" s="516"/>
      <c r="G25" s="516">
        <v>157767</v>
      </c>
      <c r="H25" s="516">
        <v>319617</v>
      </c>
      <c r="I25" s="516">
        <v>529388</v>
      </c>
      <c r="J25" s="516">
        <v>823346</v>
      </c>
      <c r="K25" s="516">
        <v>210840</v>
      </c>
      <c r="L25" s="516">
        <v>418338</v>
      </c>
      <c r="M25" s="516"/>
      <c r="N25" s="516"/>
      <c r="O25" s="516"/>
      <c r="P25" s="516"/>
      <c r="Q25" s="516"/>
      <c r="R25" s="516"/>
      <c r="T25" s="516">
        <f t="shared" si="5"/>
        <v>210840</v>
      </c>
      <c r="U25" s="516">
        <f t="shared" si="8"/>
        <v>207498</v>
      </c>
    </row>
    <row r="26" spans="1:21">
      <c r="A26" s="510"/>
      <c r="C26" s="510"/>
      <c r="D26" s="510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  <c r="T26" s="510"/>
      <c r="U26" s="510"/>
    </row>
    <row r="27" spans="1:21">
      <c r="A27" s="522" t="s">
        <v>482</v>
      </c>
      <c r="C27" s="513">
        <f t="shared" ref="C27:H27" si="9">SUM(C29:C37)</f>
        <v>0</v>
      </c>
      <c r="D27" s="513">
        <f t="shared" si="9"/>
        <v>0</v>
      </c>
      <c r="E27" s="513">
        <f t="shared" si="9"/>
        <v>0</v>
      </c>
      <c r="F27" s="513">
        <f t="shared" si="9"/>
        <v>0</v>
      </c>
      <c r="G27" s="513">
        <f t="shared" si="9"/>
        <v>-854262</v>
      </c>
      <c r="H27" s="513">
        <f t="shared" si="9"/>
        <v>-1834721</v>
      </c>
      <c r="I27" s="513">
        <f>SUM(I29:I37)</f>
        <v>-2737450</v>
      </c>
      <c r="J27" s="513">
        <f>SUM(J29:J37)</f>
        <v>-3927658</v>
      </c>
      <c r="K27" s="513">
        <f>SUM(K29:K37)</f>
        <v>-1127632</v>
      </c>
      <c r="L27" s="513">
        <f>SUM(L29:L37)</f>
        <v>-2276403</v>
      </c>
      <c r="M27" s="513"/>
      <c r="N27" s="513"/>
      <c r="O27" s="513"/>
      <c r="P27" s="513"/>
      <c r="Q27" s="513"/>
      <c r="R27" s="513"/>
      <c r="T27" s="513">
        <f>SUM(T29:T37)</f>
        <v>-1127632</v>
      </c>
      <c r="U27" s="513">
        <f>SUM(U29:U37)</f>
        <v>-1148771</v>
      </c>
    </row>
    <row r="28" spans="1:21">
      <c r="A28" s="509"/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T28" s="514"/>
      <c r="U28" s="514"/>
    </row>
    <row r="29" spans="1:21" outlineLevel="1">
      <c r="A29" s="511" t="s">
        <v>483</v>
      </c>
      <c r="C29" s="516"/>
      <c r="D29" s="516"/>
      <c r="E29" s="516"/>
      <c r="F29" s="516"/>
      <c r="G29" s="516">
        <v>-328292</v>
      </c>
      <c r="H29" s="516">
        <v>-678082</v>
      </c>
      <c r="I29" s="516">
        <v>-1021070</v>
      </c>
      <c r="J29" s="516">
        <v>-1466693</v>
      </c>
      <c r="K29" s="516">
        <v>-396258</v>
      </c>
      <c r="L29" s="516">
        <v>-841509</v>
      </c>
      <c r="M29" s="516"/>
      <c r="N29" s="516"/>
      <c r="O29" s="516"/>
      <c r="P29" s="516"/>
      <c r="Q29" s="516"/>
      <c r="R29" s="516"/>
      <c r="T29" s="516">
        <f t="shared" ref="T29:T37" si="10">K29</f>
        <v>-396258</v>
      </c>
      <c r="U29" s="516">
        <f t="shared" ref="U29:U37" si="11">L29-T29</f>
        <v>-445251</v>
      </c>
    </row>
    <row r="30" spans="1:21" outlineLevel="1">
      <c r="A30" s="511" t="s">
        <v>484</v>
      </c>
      <c r="C30" s="516"/>
      <c r="D30" s="516"/>
      <c r="E30" s="516"/>
      <c r="F30" s="516"/>
      <c r="G30" s="516">
        <v>-177368</v>
      </c>
      <c r="H30" s="516">
        <v>-427024</v>
      </c>
      <c r="I30" s="516">
        <v>-632267</v>
      </c>
      <c r="J30" s="516">
        <v>-954467</v>
      </c>
      <c r="K30" s="516">
        <v>-256598</v>
      </c>
      <c r="L30" s="516">
        <v>-521126</v>
      </c>
      <c r="M30" s="516"/>
      <c r="N30" s="516"/>
      <c r="O30" s="516"/>
      <c r="P30" s="516"/>
      <c r="Q30" s="516"/>
      <c r="R30" s="516"/>
      <c r="T30" s="516">
        <f t="shared" si="10"/>
        <v>-256598</v>
      </c>
      <c r="U30" s="516">
        <f t="shared" si="11"/>
        <v>-264528</v>
      </c>
    </row>
    <row r="31" spans="1:21" outlineLevel="1">
      <c r="A31" s="511" t="s">
        <v>485</v>
      </c>
      <c r="C31" s="516"/>
      <c r="D31" s="516"/>
      <c r="E31" s="516"/>
      <c r="F31" s="516"/>
      <c r="G31" s="516">
        <v>0</v>
      </c>
      <c r="H31" s="516">
        <v>0</v>
      </c>
      <c r="I31" s="516">
        <v>0</v>
      </c>
      <c r="J31" s="516">
        <v>0</v>
      </c>
      <c r="K31" s="516">
        <v>0</v>
      </c>
      <c r="L31" s="516">
        <v>0</v>
      </c>
      <c r="M31" s="516"/>
      <c r="N31" s="516"/>
      <c r="O31" s="516"/>
      <c r="P31" s="516"/>
      <c r="Q31" s="516"/>
      <c r="R31" s="516"/>
      <c r="T31" s="516">
        <f t="shared" si="10"/>
        <v>0</v>
      </c>
      <c r="U31" s="516">
        <f t="shared" si="11"/>
        <v>0</v>
      </c>
    </row>
    <row r="32" spans="1:21" outlineLevel="1">
      <c r="A32" s="511" t="s">
        <v>486</v>
      </c>
      <c r="C32" s="516"/>
      <c r="D32" s="516"/>
      <c r="E32" s="516"/>
      <c r="F32" s="516"/>
      <c r="G32" s="516">
        <v>0</v>
      </c>
      <c r="H32" s="516">
        <v>0</v>
      </c>
      <c r="I32" s="516">
        <v>0</v>
      </c>
      <c r="J32" s="516">
        <v>0</v>
      </c>
      <c r="K32" s="516">
        <v>0</v>
      </c>
      <c r="L32" s="516">
        <v>0</v>
      </c>
      <c r="M32" s="516"/>
      <c r="N32" s="516"/>
      <c r="O32" s="516"/>
      <c r="P32" s="516"/>
      <c r="Q32" s="516"/>
      <c r="R32" s="516"/>
      <c r="T32" s="516">
        <f t="shared" si="10"/>
        <v>0</v>
      </c>
      <c r="U32" s="516">
        <f t="shared" si="11"/>
        <v>0</v>
      </c>
    </row>
    <row r="33" spans="1:21" outlineLevel="1">
      <c r="A33" s="511" t="s">
        <v>487</v>
      </c>
      <c r="C33" s="516"/>
      <c r="D33" s="516"/>
      <c r="E33" s="516"/>
      <c r="F33" s="516"/>
      <c r="G33" s="516">
        <v>-18098</v>
      </c>
      <c r="H33" s="516">
        <v>-36008</v>
      </c>
      <c r="I33" s="516">
        <v>-55550</v>
      </c>
      <c r="J33" s="516">
        <v>-79210</v>
      </c>
      <c r="K33" s="516">
        <v>-22296</v>
      </c>
      <c r="L33" s="516">
        <v>-39555</v>
      </c>
      <c r="M33" s="516"/>
      <c r="N33" s="516"/>
      <c r="O33" s="516"/>
      <c r="P33" s="516"/>
      <c r="Q33" s="516"/>
      <c r="R33" s="516"/>
      <c r="T33" s="516">
        <f t="shared" si="10"/>
        <v>-22296</v>
      </c>
      <c r="U33" s="516">
        <f t="shared" si="11"/>
        <v>-17259</v>
      </c>
    </row>
    <row r="34" spans="1:21" outlineLevel="1">
      <c r="A34" s="511" t="s">
        <v>488</v>
      </c>
      <c r="C34" s="516"/>
      <c r="D34" s="516"/>
      <c r="E34" s="516"/>
      <c r="F34" s="516"/>
      <c r="G34" s="516">
        <v>-2445</v>
      </c>
      <c r="H34" s="516">
        <v>-4889</v>
      </c>
      <c r="I34" s="516">
        <v>-7334</v>
      </c>
      <c r="J34" s="516">
        <v>-10555</v>
      </c>
      <c r="K34" s="516">
        <v>-3221</v>
      </c>
      <c r="L34" s="516">
        <v>-6442</v>
      </c>
      <c r="M34" s="516"/>
      <c r="N34" s="516"/>
      <c r="O34" s="516"/>
      <c r="P34" s="516"/>
      <c r="Q34" s="516"/>
      <c r="R34" s="516"/>
      <c r="T34" s="516">
        <f t="shared" si="10"/>
        <v>-3221</v>
      </c>
      <c r="U34" s="516">
        <f t="shared" si="11"/>
        <v>-3221</v>
      </c>
    </row>
    <row r="35" spans="1:21" outlineLevel="1">
      <c r="A35" s="511" t="s">
        <v>489</v>
      </c>
      <c r="C35" s="516"/>
      <c r="D35" s="516"/>
      <c r="E35" s="516"/>
      <c r="F35" s="516"/>
      <c r="G35" s="516">
        <v>-303127</v>
      </c>
      <c r="H35" s="516">
        <v>-639689</v>
      </c>
      <c r="I35" s="516">
        <v>-958838</v>
      </c>
      <c r="J35" s="516">
        <v>-1306298</v>
      </c>
      <c r="K35" s="516">
        <v>-369584</v>
      </c>
      <c r="L35" s="516">
        <v>-739168</v>
      </c>
      <c r="M35" s="516"/>
      <c r="N35" s="516"/>
      <c r="O35" s="516"/>
      <c r="P35" s="516"/>
      <c r="Q35" s="516"/>
      <c r="R35" s="516"/>
      <c r="T35" s="516">
        <f t="shared" si="10"/>
        <v>-369584</v>
      </c>
      <c r="U35" s="516">
        <f t="shared" si="11"/>
        <v>-369584</v>
      </c>
    </row>
    <row r="36" spans="1:21" outlineLevel="1">
      <c r="A36" s="511" t="s">
        <v>490</v>
      </c>
      <c r="C36" s="516"/>
      <c r="D36" s="516"/>
      <c r="E36" s="516"/>
      <c r="F36" s="516"/>
      <c r="G36" s="516">
        <v>-1114</v>
      </c>
      <c r="H36" s="516">
        <v>-1207</v>
      </c>
      <c r="I36" s="516">
        <v>-1295</v>
      </c>
      <c r="J36" s="516">
        <v>-1387</v>
      </c>
      <c r="K36" s="516">
        <v>-122</v>
      </c>
      <c r="L36" s="516">
        <v>-245</v>
      </c>
      <c r="M36" s="516"/>
      <c r="N36" s="516"/>
      <c r="O36" s="516"/>
      <c r="P36" s="516"/>
      <c r="Q36" s="516"/>
      <c r="R36" s="516"/>
      <c r="T36" s="516">
        <f t="shared" si="10"/>
        <v>-122</v>
      </c>
      <c r="U36" s="516">
        <f t="shared" si="11"/>
        <v>-123</v>
      </c>
    </row>
    <row r="37" spans="1:21" outlineLevel="1">
      <c r="A37" s="511" t="s">
        <v>59</v>
      </c>
      <c r="C37" s="516"/>
      <c r="D37" s="516"/>
      <c r="E37" s="516"/>
      <c r="F37" s="516"/>
      <c r="G37" s="516">
        <v>-23818</v>
      </c>
      <c r="H37" s="516">
        <v>-47822</v>
      </c>
      <c r="I37" s="516">
        <v>-61096</v>
      </c>
      <c r="J37" s="516">
        <v>-109048</v>
      </c>
      <c r="K37" s="516">
        <v>-79553</v>
      </c>
      <c r="L37" s="516">
        <v>-128358</v>
      </c>
      <c r="M37" s="516"/>
      <c r="N37" s="516"/>
      <c r="O37" s="516"/>
      <c r="P37" s="516"/>
      <c r="Q37" s="516"/>
      <c r="R37" s="516"/>
      <c r="T37" s="516">
        <f t="shared" si="10"/>
        <v>-79553</v>
      </c>
      <c r="U37" s="516">
        <f t="shared" si="11"/>
        <v>-48805</v>
      </c>
    </row>
    <row r="38" spans="1:21">
      <c r="A38" s="510"/>
      <c r="C38" s="510"/>
      <c r="D38" s="510"/>
      <c r="E38" s="510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P38" s="510"/>
      <c r="Q38" s="510"/>
      <c r="R38" s="510"/>
      <c r="T38" s="510"/>
      <c r="U38" s="510"/>
    </row>
    <row r="39" spans="1:21">
      <c r="A39" s="522" t="s">
        <v>491</v>
      </c>
      <c r="C39" s="513">
        <f t="shared" ref="C39:H39" si="12">C27+C6</f>
        <v>0</v>
      </c>
      <c r="D39" s="513">
        <f t="shared" si="12"/>
        <v>0</v>
      </c>
      <c r="E39" s="513">
        <f t="shared" si="12"/>
        <v>0</v>
      </c>
      <c r="F39" s="513">
        <f t="shared" si="12"/>
        <v>0</v>
      </c>
      <c r="G39" s="513">
        <f t="shared" si="12"/>
        <v>2746684</v>
      </c>
      <c r="H39" s="513">
        <f t="shared" si="12"/>
        <v>4680873</v>
      </c>
      <c r="I39" s="513">
        <f>I27+I6</f>
        <v>6585093</v>
      </c>
      <c r="J39" s="513">
        <f>J27+J6</f>
        <v>9213201</v>
      </c>
      <c r="K39" s="513">
        <f>K27+K6</f>
        <v>2319744</v>
      </c>
      <c r="L39" s="513">
        <f>L27+L6</f>
        <v>4826927</v>
      </c>
      <c r="M39" s="513"/>
      <c r="N39" s="513"/>
      <c r="O39" s="513"/>
      <c r="P39" s="513"/>
      <c r="Q39" s="513"/>
      <c r="R39" s="513"/>
      <c r="T39" s="513">
        <f>T27+T6</f>
        <v>2319744</v>
      </c>
      <c r="U39" s="513">
        <f>U27+U6</f>
        <v>2507183</v>
      </c>
    </row>
    <row r="40" spans="1:21">
      <c r="A40" s="510"/>
      <c r="C40" s="510"/>
      <c r="D40" s="510"/>
      <c r="E40" s="510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P40" s="510"/>
      <c r="Q40" s="510"/>
      <c r="R40" s="510"/>
      <c r="T40" s="510"/>
      <c r="U40" s="510"/>
    </row>
    <row r="41" spans="1:21">
      <c r="A41" s="509" t="s">
        <v>492</v>
      </c>
      <c r="C41" s="517">
        <f t="shared" ref="C41:H41" si="13">SUM(C43:C48)</f>
        <v>0</v>
      </c>
      <c r="D41" s="517">
        <f t="shared" si="13"/>
        <v>0</v>
      </c>
      <c r="E41" s="517">
        <f t="shared" si="13"/>
        <v>0</v>
      </c>
      <c r="F41" s="517">
        <f t="shared" si="13"/>
        <v>0</v>
      </c>
      <c r="G41" s="517">
        <f t="shared" si="13"/>
        <v>-2323443</v>
      </c>
      <c r="H41" s="517">
        <f t="shared" si="13"/>
        <v>-3980887</v>
      </c>
      <c r="I41" s="517">
        <f>SUM(I43:I48)</f>
        <v>-5412761</v>
      </c>
      <c r="J41" s="517">
        <f>SUM(J43:J48)</f>
        <v>-7513445</v>
      </c>
      <c r="K41" s="517">
        <f>SUM(K43:K48)</f>
        <v>-1788348</v>
      </c>
      <c r="L41" s="517">
        <f>SUM(L43:L48)</f>
        <v>-3759664</v>
      </c>
      <c r="M41" s="517"/>
      <c r="N41" s="517"/>
      <c r="O41" s="517"/>
      <c r="P41" s="517"/>
      <c r="Q41" s="517"/>
      <c r="R41" s="517"/>
      <c r="T41" s="517">
        <f>SUM(T43:T48)</f>
        <v>-1788348</v>
      </c>
      <c r="U41" s="517">
        <f>SUM(U43:U48)</f>
        <v>-1971316</v>
      </c>
    </row>
    <row r="42" spans="1:21">
      <c r="A42" s="509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T42" s="514"/>
      <c r="U42" s="514"/>
    </row>
    <row r="43" spans="1:21">
      <c r="A43" s="510" t="s">
        <v>493</v>
      </c>
      <c r="C43" s="515"/>
      <c r="D43" s="515"/>
      <c r="E43" s="515"/>
      <c r="F43" s="515"/>
      <c r="G43" s="515">
        <v>-1106337</v>
      </c>
      <c r="H43" s="515">
        <v>-2083384</v>
      </c>
      <c r="I43" s="515">
        <v>-3120803</v>
      </c>
      <c r="J43" s="515">
        <v>-4611426</v>
      </c>
      <c r="K43" s="515">
        <v>-1101785</v>
      </c>
      <c r="L43" s="515">
        <v>-2261061</v>
      </c>
      <c r="M43" s="515"/>
      <c r="N43" s="515"/>
      <c r="O43" s="515"/>
      <c r="P43" s="515"/>
      <c r="Q43" s="515"/>
      <c r="R43" s="515"/>
      <c r="T43" s="515">
        <f t="shared" ref="T43:T47" si="14">K43</f>
        <v>-1101785</v>
      </c>
      <c r="U43" s="515">
        <f t="shared" ref="U43:U47" si="15">L43-T43</f>
        <v>-1159276</v>
      </c>
    </row>
    <row r="44" spans="1:21">
      <c r="A44" s="510" t="s">
        <v>494</v>
      </c>
      <c r="C44" s="515"/>
      <c r="D44" s="515"/>
      <c r="E44" s="515"/>
      <c r="F44" s="515"/>
      <c r="G44" s="515">
        <v>-902134</v>
      </c>
      <c r="H44" s="515">
        <v>-1401597</v>
      </c>
      <c r="I44" s="515">
        <v>-1533674</v>
      </c>
      <c r="J44" s="515">
        <v>-1899604</v>
      </c>
      <c r="K44" s="515">
        <v>-351833</v>
      </c>
      <c r="L44" s="515">
        <v>-831910</v>
      </c>
      <c r="M44" s="515"/>
      <c r="N44" s="515"/>
      <c r="O44" s="515"/>
      <c r="P44" s="515"/>
      <c r="Q44" s="515"/>
      <c r="R44" s="515"/>
      <c r="T44" s="515">
        <f t="shared" si="14"/>
        <v>-351833</v>
      </c>
      <c r="U44" s="515">
        <f t="shared" si="15"/>
        <v>-480077</v>
      </c>
    </row>
    <row r="45" spans="1:21">
      <c r="A45" s="510" t="s">
        <v>495</v>
      </c>
      <c r="C45" s="515"/>
      <c r="D45" s="515"/>
      <c r="E45" s="515"/>
      <c r="F45" s="515"/>
      <c r="G45" s="515">
        <v>0</v>
      </c>
      <c r="H45" s="515">
        <v>0</v>
      </c>
      <c r="I45" s="515">
        <v>0</v>
      </c>
      <c r="J45" s="515">
        <v>0</v>
      </c>
      <c r="K45" s="515">
        <v>0</v>
      </c>
      <c r="L45" s="515">
        <v>0</v>
      </c>
      <c r="M45" s="515"/>
      <c r="N45" s="515"/>
      <c r="O45" s="515"/>
      <c r="P45" s="515"/>
      <c r="Q45" s="515"/>
      <c r="R45" s="515"/>
      <c r="T45" s="515">
        <f t="shared" si="14"/>
        <v>0</v>
      </c>
      <c r="U45" s="515">
        <f t="shared" si="15"/>
        <v>0</v>
      </c>
    </row>
    <row r="46" spans="1:21">
      <c r="A46" s="510" t="s">
        <v>496</v>
      </c>
      <c r="C46" s="515"/>
      <c r="D46" s="515"/>
      <c r="E46" s="515"/>
      <c r="F46" s="515"/>
      <c r="G46" s="515">
        <v>0</v>
      </c>
      <c r="H46" s="515">
        <v>0</v>
      </c>
      <c r="I46" s="515">
        <v>0</v>
      </c>
      <c r="J46" s="515">
        <v>0</v>
      </c>
      <c r="K46" s="515">
        <v>0</v>
      </c>
      <c r="L46" s="515">
        <v>0</v>
      </c>
      <c r="M46" s="515"/>
      <c r="N46" s="515"/>
      <c r="O46" s="515"/>
      <c r="P46" s="515"/>
      <c r="Q46" s="515"/>
      <c r="R46" s="515"/>
      <c r="T46" s="515">
        <f t="shared" si="14"/>
        <v>0</v>
      </c>
      <c r="U46" s="515">
        <f t="shared" si="15"/>
        <v>0</v>
      </c>
    </row>
    <row r="47" spans="1:21">
      <c r="A47" s="510" t="s">
        <v>497</v>
      </c>
      <c r="C47" s="515"/>
      <c r="D47" s="515"/>
      <c r="E47" s="515"/>
      <c r="F47" s="515"/>
      <c r="G47" s="515">
        <v>0</v>
      </c>
      <c r="H47" s="515">
        <v>0</v>
      </c>
      <c r="I47" s="515">
        <v>0</v>
      </c>
      <c r="J47" s="515">
        <v>0</v>
      </c>
      <c r="K47" s="515">
        <v>0</v>
      </c>
      <c r="L47" s="515">
        <v>0</v>
      </c>
      <c r="M47" s="515"/>
      <c r="N47" s="515"/>
      <c r="O47" s="515"/>
      <c r="P47" s="515"/>
      <c r="Q47" s="515"/>
      <c r="R47" s="515"/>
      <c r="T47" s="515">
        <f t="shared" si="14"/>
        <v>0</v>
      </c>
      <c r="U47" s="515">
        <f t="shared" si="15"/>
        <v>0</v>
      </c>
    </row>
    <row r="48" spans="1:21">
      <c r="A48" s="510" t="s">
        <v>498</v>
      </c>
      <c r="C48" s="515">
        <f t="shared" ref="C48:H48" si="16">SUM(C49:C55)</f>
        <v>0</v>
      </c>
      <c r="D48" s="515">
        <f t="shared" si="16"/>
        <v>0</v>
      </c>
      <c r="E48" s="515">
        <f t="shared" si="16"/>
        <v>0</v>
      </c>
      <c r="F48" s="515">
        <f t="shared" si="16"/>
        <v>0</v>
      </c>
      <c r="G48" s="515">
        <f t="shared" si="16"/>
        <v>-314972</v>
      </c>
      <c r="H48" s="515">
        <f t="shared" si="16"/>
        <v>-495906</v>
      </c>
      <c r="I48" s="515">
        <f>SUM(I49:I55)</f>
        <v>-758284</v>
      </c>
      <c r="J48" s="515">
        <f>SUM(J49:J55)</f>
        <v>-1002415</v>
      </c>
      <c r="K48" s="515">
        <f>SUM(K49:K55)</f>
        <v>-334730</v>
      </c>
      <c r="L48" s="515">
        <f>SUM(L49:L55)</f>
        <v>-666693</v>
      </c>
      <c r="M48" s="515"/>
      <c r="N48" s="515"/>
      <c r="O48" s="515"/>
      <c r="P48" s="515"/>
      <c r="Q48" s="515"/>
      <c r="R48" s="515"/>
      <c r="T48" s="515">
        <f>SUM(T49:T55)</f>
        <v>-334730</v>
      </c>
      <c r="U48" s="515">
        <f>SUM(U49:U55)</f>
        <v>-331963</v>
      </c>
    </row>
    <row r="49" spans="1:21" outlineLevel="1">
      <c r="A49" s="511" t="s">
        <v>499</v>
      </c>
      <c r="C49" s="516"/>
      <c r="D49" s="516"/>
      <c r="E49" s="516"/>
      <c r="F49" s="516"/>
      <c r="G49" s="516">
        <v>-14246</v>
      </c>
      <c r="H49" s="516">
        <v>-25326</v>
      </c>
      <c r="I49" s="516">
        <v>-36720</v>
      </c>
      <c r="J49" s="516">
        <v>-74981</v>
      </c>
      <c r="K49" s="516">
        <v>-38846</v>
      </c>
      <c r="L49" s="516">
        <v>-66290</v>
      </c>
      <c r="M49" s="516"/>
      <c r="N49" s="516"/>
      <c r="O49" s="516"/>
      <c r="P49" s="516"/>
      <c r="Q49" s="516"/>
      <c r="R49" s="516"/>
      <c r="T49" s="516">
        <f t="shared" ref="T49:T55" si="17">K49</f>
        <v>-38846</v>
      </c>
      <c r="U49" s="516">
        <f t="shared" ref="U49:U55" si="18">L49-T49</f>
        <v>-27444</v>
      </c>
    </row>
    <row r="50" spans="1:21" outlineLevel="1">
      <c r="A50" s="511" t="s">
        <v>500</v>
      </c>
      <c r="C50" s="516"/>
      <c r="D50" s="516"/>
      <c r="E50" s="516"/>
      <c r="F50" s="516"/>
      <c r="G50" s="516">
        <v>-6349</v>
      </c>
      <c r="H50" s="516">
        <v>-4616</v>
      </c>
      <c r="I50" s="516">
        <v>-19374</v>
      </c>
      <c r="J50" s="516">
        <v>-30318</v>
      </c>
      <c r="K50" s="516">
        <v>-12445</v>
      </c>
      <c r="L50" s="516">
        <v>-27583</v>
      </c>
      <c r="M50" s="516"/>
      <c r="N50" s="516"/>
      <c r="O50" s="516"/>
      <c r="P50" s="516"/>
      <c r="Q50" s="516"/>
      <c r="R50" s="516"/>
      <c r="T50" s="516">
        <f t="shared" si="17"/>
        <v>-12445</v>
      </c>
      <c r="U50" s="516">
        <f t="shared" si="18"/>
        <v>-15138</v>
      </c>
    </row>
    <row r="51" spans="1:21" outlineLevel="1">
      <c r="A51" s="511" t="s">
        <v>501</v>
      </c>
      <c r="C51" s="516"/>
      <c r="D51" s="516"/>
      <c r="E51" s="516"/>
      <c r="F51" s="516"/>
      <c r="G51" s="516">
        <v>-189958</v>
      </c>
      <c r="H51" s="516">
        <v>-262535</v>
      </c>
      <c r="I51" s="516">
        <v>-364505</v>
      </c>
      <c r="J51" s="516">
        <v>-405094</v>
      </c>
      <c r="K51" s="516">
        <v>-140498</v>
      </c>
      <c r="L51" s="516">
        <v>-292665</v>
      </c>
      <c r="M51" s="516"/>
      <c r="N51" s="516"/>
      <c r="O51" s="516"/>
      <c r="P51" s="516"/>
      <c r="Q51" s="516"/>
      <c r="R51" s="516"/>
      <c r="T51" s="516">
        <f t="shared" si="17"/>
        <v>-140498</v>
      </c>
      <c r="U51" s="516">
        <f t="shared" si="18"/>
        <v>-152167</v>
      </c>
    </row>
    <row r="52" spans="1:21" outlineLevel="1">
      <c r="A52" s="511" t="s">
        <v>502</v>
      </c>
      <c r="C52" s="516"/>
      <c r="D52" s="516"/>
      <c r="E52" s="516"/>
      <c r="F52" s="516"/>
      <c r="G52" s="516">
        <v>-97488</v>
      </c>
      <c r="H52" s="516">
        <v>-200067</v>
      </c>
      <c r="I52" s="516">
        <v>-333070</v>
      </c>
      <c r="J52" s="516">
        <v>-496359</v>
      </c>
      <c r="K52" s="516">
        <v>-139718</v>
      </c>
      <c r="L52" s="516">
        <v>-285565</v>
      </c>
      <c r="M52" s="516"/>
      <c r="N52" s="516"/>
      <c r="O52" s="516"/>
      <c r="P52" s="516"/>
      <c r="Q52" s="516"/>
      <c r="R52" s="516"/>
      <c r="T52" s="516">
        <f t="shared" si="17"/>
        <v>-139718</v>
      </c>
      <c r="U52" s="516">
        <f t="shared" si="18"/>
        <v>-145847</v>
      </c>
    </row>
    <row r="53" spans="1:21" outlineLevel="1">
      <c r="A53" s="511" t="s">
        <v>503</v>
      </c>
      <c r="C53" s="516"/>
      <c r="D53" s="516"/>
      <c r="E53" s="516"/>
      <c r="F53" s="516"/>
      <c r="G53" s="516">
        <v>0</v>
      </c>
      <c r="H53" s="516">
        <v>0</v>
      </c>
      <c r="I53" s="516">
        <v>0</v>
      </c>
      <c r="J53" s="516">
        <v>0</v>
      </c>
      <c r="K53" s="516">
        <v>0</v>
      </c>
      <c r="L53" s="516">
        <v>0</v>
      </c>
      <c r="M53" s="516"/>
      <c r="N53" s="516"/>
      <c r="O53" s="516"/>
      <c r="P53" s="516"/>
      <c r="Q53" s="516"/>
      <c r="R53" s="516"/>
      <c r="T53" s="516">
        <f t="shared" si="17"/>
        <v>0</v>
      </c>
      <c r="U53" s="516">
        <f t="shared" si="18"/>
        <v>0</v>
      </c>
    </row>
    <row r="54" spans="1:21" outlineLevel="1">
      <c r="A54" s="511" t="s">
        <v>504</v>
      </c>
      <c r="C54" s="516"/>
      <c r="D54" s="516"/>
      <c r="E54" s="516"/>
      <c r="F54" s="516"/>
      <c r="G54" s="516">
        <v>-1232</v>
      </c>
      <c r="H54" s="516">
        <v>-1752</v>
      </c>
      <c r="I54" s="516">
        <v>-1767</v>
      </c>
      <c r="J54" s="516">
        <v>12260</v>
      </c>
      <c r="K54" s="516">
        <v>3989</v>
      </c>
      <c r="L54" s="516">
        <v>6662</v>
      </c>
      <c r="M54" s="516"/>
      <c r="N54" s="516"/>
      <c r="O54" s="516"/>
      <c r="P54" s="516"/>
      <c r="Q54" s="516"/>
      <c r="R54" s="516"/>
      <c r="T54" s="516">
        <f t="shared" si="17"/>
        <v>3989</v>
      </c>
      <c r="U54" s="516">
        <f t="shared" si="18"/>
        <v>2673</v>
      </c>
    </row>
    <row r="55" spans="1:21" outlineLevel="1">
      <c r="A55" s="511" t="s">
        <v>505</v>
      </c>
      <c r="C55" s="516"/>
      <c r="D55" s="516"/>
      <c r="E55" s="516"/>
      <c r="F55" s="516"/>
      <c r="G55" s="516">
        <v>-5699</v>
      </c>
      <c r="H55" s="516">
        <v>-1610</v>
      </c>
      <c r="I55" s="516">
        <v>-2848</v>
      </c>
      <c r="J55" s="516">
        <v>-7923</v>
      </c>
      <c r="K55" s="516">
        <v>-7212</v>
      </c>
      <c r="L55" s="516">
        <v>-1252</v>
      </c>
      <c r="M55" s="516"/>
      <c r="N55" s="516"/>
      <c r="O55" s="516"/>
      <c r="P55" s="516"/>
      <c r="Q55" s="516"/>
      <c r="R55" s="516"/>
      <c r="T55" s="516">
        <f t="shared" si="17"/>
        <v>-7212</v>
      </c>
      <c r="U55" s="516">
        <f t="shared" si="18"/>
        <v>5960</v>
      </c>
    </row>
    <row r="56" spans="1:21">
      <c r="A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0"/>
      <c r="T56" s="510"/>
      <c r="U56" s="510"/>
    </row>
    <row r="57" spans="1:21">
      <c r="A57" s="522" t="s">
        <v>506</v>
      </c>
      <c r="C57" s="513">
        <f t="shared" ref="C57:H57" si="19">C39+C41</f>
        <v>0</v>
      </c>
      <c r="D57" s="513">
        <f t="shared" si="19"/>
        <v>0</v>
      </c>
      <c r="E57" s="513">
        <f t="shared" si="19"/>
        <v>0</v>
      </c>
      <c r="F57" s="513">
        <f t="shared" si="19"/>
        <v>0</v>
      </c>
      <c r="G57" s="513">
        <f t="shared" si="19"/>
        <v>423241</v>
      </c>
      <c r="H57" s="513">
        <f t="shared" si="19"/>
        <v>699986</v>
      </c>
      <c r="I57" s="513">
        <f>I39+I41</f>
        <v>1172332</v>
      </c>
      <c r="J57" s="513">
        <f>J39+J41</f>
        <v>1699756</v>
      </c>
      <c r="K57" s="513">
        <f>K39+K41</f>
        <v>531396</v>
      </c>
      <c r="L57" s="513">
        <f>L39+L41</f>
        <v>1067263</v>
      </c>
      <c r="M57" s="513"/>
      <c r="N57" s="513"/>
      <c r="O57" s="513"/>
      <c r="P57" s="513"/>
      <c r="Q57" s="513"/>
      <c r="R57" s="513"/>
      <c r="T57" s="513">
        <f>T39+T41</f>
        <v>531396</v>
      </c>
      <c r="U57" s="513">
        <f>U39+U41</f>
        <v>535867</v>
      </c>
    </row>
    <row r="58" spans="1:21">
      <c r="A58" s="510"/>
      <c r="C58" s="510"/>
      <c r="D58" s="510"/>
      <c r="E58" s="510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P58" s="510"/>
      <c r="Q58" s="510"/>
      <c r="R58" s="510"/>
      <c r="T58" s="510"/>
      <c r="U58" s="510"/>
    </row>
    <row r="59" spans="1:21">
      <c r="A59" s="509" t="s">
        <v>507</v>
      </c>
      <c r="C59" s="517">
        <f t="shared" ref="C59:H59" si="20">C61+C67+C68+C77+C78</f>
        <v>0</v>
      </c>
      <c r="D59" s="517">
        <f t="shared" si="20"/>
        <v>0</v>
      </c>
      <c r="E59" s="517">
        <f t="shared" si="20"/>
        <v>0</v>
      </c>
      <c r="F59" s="517">
        <f t="shared" si="20"/>
        <v>0</v>
      </c>
      <c r="G59" s="517">
        <f t="shared" si="20"/>
        <v>-176139</v>
      </c>
      <c r="H59" s="517">
        <f t="shared" si="20"/>
        <v>-573186</v>
      </c>
      <c r="I59" s="517">
        <f>I61+I67+I68+I77+I78</f>
        <v>-836318</v>
      </c>
      <c r="J59" s="517">
        <f>J61+J67+J68+J77+J78</f>
        <v>-1286817</v>
      </c>
      <c r="K59" s="517">
        <f>K61+K67+K68+K77+K78</f>
        <v>-229326</v>
      </c>
      <c r="L59" s="517">
        <f>L61+L67+L68+L77+L78</f>
        <v>-484028</v>
      </c>
      <c r="M59" s="517"/>
      <c r="N59" s="517"/>
      <c r="O59" s="517"/>
      <c r="P59" s="517"/>
      <c r="Q59" s="517"/>
      <c r="R59" s="517"/>
      <c r="T59" s="517">
        <f>T61+T67+T68+T77+T78</f>
        <v>-229326</v>
      </c>
      <c r="U59" s="517">
        <f>U61+U67+U68+U77+U78</f>
        <v>-254702</v>
      </c>
    </row>
    <row r="60" spans="1:21">
      <c r="A60" s="509"/>
      <c r="C60" s="514"/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514"/>
      <c r="R60" s="514"/>
      <c r="T60" s="514"/>
      <c r="U60" s="514"/>
    </row>
    <row r="61" spans="1:21">
      <c r="A61" s="512" t="s">
        <v>508</v>
      </c>
      <c r="C61" s="515">
        <f t="shared" ref="C61:H61" si="21">SUM(C62:C66)</f>
        <v>0</v>
      </c>
      <c r="D61" s="515">
        <f t="shared" si="21"/>
        <v>0</v>
      </c>
      <c r="E61" s="515">
        <f t="shared" si="21"/>
        <v>0</v>
      </c>
      <c r="F61" s="515">
        <f t="shared" si="21"/>
        <v>0</v>
      </c>
      <c r="G61" s="515">
        <f t="shared" si="21"/>
        <v>-82909</v>
      </c>
      <c r="H61" s="515">
        <f t="shared" si="21"/>
        <v>-148961</v>
      </c>
      <c r="I61" s="515">
        <f>SUM(I62:I66)</f>
        <v>-216436</v>
      </c>
      <c r="J61" s="515">
        <f>SUM(J62:J66)</f>
        <v>-140698</v>
      </c>
      <c r="K61" s="515">
        <f t="shared" ref="K61:L61" si="22">SUM(K62:K66)</f>
        <v>-26746</v>
      </c>
      <c r="L61" s="515">
        <f t="shared" si="22"/>
        <v>-24825</v>
      </c>
      <c r="M61" s="515"/>
      <c r="N61" s="515"/>
      <c r="O61" s="515"/>
      <c r="P61" s="515"/>
      <c r="Q61" s="515"/>
      <c r="R61" s="515"/>
      <c r="T61" s="515">
        <f t="shared" ref="T61:U61" si="23">SUM(T62:T66)</f>
        <v>-26746</v>
      </c>
      <c r="U61" s="515">
        <f t="shared" si="23"/>
        <v>1921</v>
      </c>
    </row>
    <row r="62" spans="1:21" outlineLevel="1">
      <c r="A62" s="511" t="s">
        <v>509</v>
      </c>
      <c r="C62" s="516"/>
      <c r="D62" s="516"/>
      <c r="E62" s="516"/>
      <c r="F62" s="516"/>
      <c r="G62" s="516">
        <v>-22469</v>
      </c>
      <c r="H62" s="516">
        <v>-25672</v>
      </c>
      <c r="I62" s="516">
        <v>-28727</v>
      </c>
      <c r="J62" s="516">
        <v>-59401</v>
      </c>
      <c r="K62" s="516">
        <v>-8051</v>
      </c>
      <c r="L62" s="516">
        <v>-17797</v>
      </c>
      <c r="M62" s="516"/>
      <c r="N62" s="516"/>
      <c r="O62" s="516"/>
      <c r="P62" s="516"/>
      <c r="Q62" s="516"/>
      <c r="R62" s="516"/>
      <c r="T62" s="516">
        <f t="shared" ref="T62:T67" si="24">K62</f>
        <v>-8051</v>
      </c>
      <c r="U62" s="516">
        <f t="shared" ref="U62:U67" si="25">L62-T62</f>
        <v>-9746</v>
      </c>
    </row>
    <row r="63" spans="1:21" outlineLevel="1">
      <c r="A63" s="511" t="s">
        <v>510</v>
      </c>
      <c r="C63" s="516"/>
      <c r="D63" s="516"/>
      <c r="E63" s="516"/>
      <c r="F63" s="516"/>
      <c r="G63" s="516">
        <v>-119</v>
      </c>
      <c r="H63" s="516">
        <v>-655</v>
      </c>
      <c r="I63" s="516">
        <v>-3004</v>
      </c>
      <c r="J63" s="516">
        <v>-464</v>
      </c>
      <c r="K63" s="516">
        <v>-995</v>
      </c>
      <c r="L63" s="516">
        <v>-1428</v>
      </c>
      <c r="M63" s="516"/>
      <c r="N63" s="516"/>
      <c r="O63" s="516"/>
      <c r="P63" s="516"/>
      <c r="Q63" s="516"/>
      <c r="R63" s="516"/>
      <c r="T63" s="516">
        <f t="shared" si="24"/>
        <v>-995</v>
      </c>
      <c r="U63" s="516">
        <f t="shared" si="25"/>
        <v>-433</v>
      </c>
    </row>
    <row r="64" spans="1:21" outlineLevel="1">
      <c r="A64" s="511" t="s">
        <v>511</v>
      </c>
      <c r="C64" s="516"/>
      <c r="D64" s="516"/>
      <c r="E64" s="516"/>
      <c r="F64" s="516"/>
      <c r="G64" s="516">
        <v>-51820</v>
      </c>
      <c r="H64" s="516">
        <v>-121598</v>
      </c>
      <c r="I64" s="516">
        <v>-183109</v>
      </c>
      <c r="J64" s="516">
        <v>-73263</v>
      </c>
      <c r="K64" s="516">
        <v>-15926</v>
      </c>
      <c r="L64" s="516">
        <v>-3783</v>
      </c>
      <c r="M64" s="516"/>
      <c r="N64" s="516"/>
      <c r="O64" s="516"/>
      <c r="P64" s="516"/>
      <c r="Q64" s="516"/>
      <c r="R64" s="516"/>
      <c r="T64" s="516">
        <f t="shared" si="24"/>
        <v>-15926</v>
      </c>
      <c r="U64" s="516">
        <f t="shared" si="25"/>
        <v>12143</v>
      </c>
    </row>
    <row r="65" spans="1:21" outlineLevel="1">
      <c r="A65" s="511" t="s">
        <v>512</v>
      </c>
      <c r="C65" s="516"/>
      <c r="D65" s="516"/>
      <c r="E65" s="516"/>
      <c r="F65" s="516"/>
      <c r="G65" s="516">
        <v>-162</v>
      </c>
      <c r="H65" s="516">
        <v>-162</v>
      </c>
      <c r="I65" s="516">
        <v>-164</v>
      </c>
      <c r="J65" s="516">
        <v>-4262</v>
      </c>
      <c r="K65" s="516">
        <v>-716</v>
      </c>
      <c r="L65" s="516">
        <v>-716</v>
      </c>
      <c r="M65" s="516"/>
      <c r="N65" s="516"/>
      <c r="O65" s="516"/>
      <c r="P65" s="516"/>
      <c r="Q65" s="516"/>
      <c r="R65" s="516"/>
      <c r="T65" s="516">
        <f t="shared" si="24"/>
        <v>-716</v>
      </c>
      <c r="U65" s="516">
        <f t="shared" si="25"/>
        <v>0</v>
      </c>
    </row>
    <row r="66" spans="1:21" outlineLevel="1">
      <c r="A66" s="511" t="s">
        <v>513</v>
      </c>
      <c r="C66" s="516"/>
      <c r="D66" s="516"/>
      <c r="E66" s="516"/>
      <c r="F66" s="516"/>
      <c r="G66" s="516">
        <v>-8339</v>
      </c>
      <c r="H66" s="516">
        <v>-874</v>
      </c>
      <c r="I66" s="516">
        <v>-1432</v>
      </c>
      <c r="J66" s="516">
        <v>-3308</v>
      </c>
      <c r="K66" s="516">
        <v>-1058</v>
      </c>
      <c r="L66" s="516">
        <v>-1101</v>
      </c>
      <c r="M66" s="516"/>
      <c r="N66" s="516"/>
      <c r="O66" s="516"/>
      <c r="P66" s="516"/>
      <c r="Q66" s="516"/>
      <c r="R66" s="516"/>
      <c r="T66" s="516">
        <f t="shared" si="24"/>
        <v>-1058</v>
      </c>
      <c r="U66" s="516">
        <f t="shared" si="25"/>
        <v>-43</v>
      </c>
    </row>
    <row r="67" spans="1:21">
      <c r="A67" s="510" t="s">
        <v>514</v>
      </c>
      <c r="C67" s="518"/>
      <c r="D67" s="518"/>
      <c r="E67" s="518"/>
      <c r="F67" s="518"/>
      <c r="G67" s="518">
        <v>-10312</v>
      </c>
      <c r="H67" s="518">
        <v>123506</v>
      </c>
      <c r="I67" s="518">
        <v>120212</v>
      </c>
      <c r="J67" s="518">
        <v>45619</v>
      </c>
      <c r="K67" s="518">
        <v>2632</v>
      </c>
      <c r="L67" s="518">
        <v>1185</v>
      </c>
      <c r="M67" s="518"/>
      <c r="N67" s="518"/>
      <c r="O67" s="518"/>
      <c r="P67" s="518"/>
      <c r="Q67" s="518"/>
      <c r="R67" s="518"/>
      <c r="T67" s="518">
        <f t="shared" si="24"/>
        <v>2632</v>
      </c>
      <c r="U67" s="518">
        <f t="shared" si="25"/>
        <v>-1447</v>
      </c>
    </row>
    <row r="68" spans="1:21">
      <c r="A68" s="510" t="s">
        <v>515</v>
      </c>
      <c r="C68" s="515">
        <f t="shared" ref="C68:H68" si="26">SUM(C69:C76)</f>
        <v>0</v>
      </c>
      <c r="D68" s="515">
        <f t="shared" si="26"/>
        <v>0</v>
      </c>
      <c r="E68" s="515">
        <f t="shared" si="26"/>
        <v>0</v>
      </c>
      <c r="F68" s="515">
        <f t="shared" si="26"/>
        <v>0</v>
      </c>
      <c r="G68" s="515">
        <f t="shared" si="26"/>
        <v>-130321</v>
      </c>
      <c r="H68" s="515">
        <f t="shared" si="26"/>
        <v>-515917</v>
      </c>
      <c r="I68" s="515">
        <f>SUM(I69:I76)</f>
        <v>-677310</v>
      </c>
      <c r="J68" s="515">
        <f>SUM(J69:J76)</f>
        <v>-980333</v>
      </c>
      <c r="K68" s="515">
        <f>SUM(K69:K76)</f>
        <v>-174502</v>
      </c>
      <c r="L68" s="515">
        <f>SUM(L69:L76)</f>
        <v>-335449</v>
      </c>
      <c r="M68" s="515"/>
      <c r="N68" s="515"/>
      <c r="O68" s="515"/>
      <c r="P68" s="515"/>
      <c r="Q68" s="515"/>
      <c r="R68" s="515"/>
      <c r="T68" s="515">
        <f>SUM(T69:T76)</f>
        <v>-174502</v>
      </c>
      <c r="U68" s="515">
        <f>SUM(U69:U76)</f>
        <v>-160947</v>
      </c>
    </row>
    <row r="69" spans="1:21" outlineLevel="1">
      <c r="A69" s="511" t="s">
        <v>516</v>
      </c>
      <c r="C69" s="516"/>
      <c r="D69" s="516"/>
      <c r="E69" s="516"/>
      <c r="F69" s="516"/>
      <c r="G69" s="516">
        <v>-33691</v>
      </c>
      <c r="H69" s="516">
        <v>-76179</v>
      </c>
      <c r="I69" s="516">
        <v>-98246</v>
      </c>
      <c r="J69" s="516">
        <v>-58700</v>
      </c>
      <c r="K69" s="516">
        <v>-13130</v>
      </c>
      <c r="L69" s="516">
        <v>-13757</v>
      </c>
      <c r="M69" s="516"/>
      <c r="N69" s="516"/>
      <c r="O69" s="516"/>
      <c r="P69" s="516"/>
      <c r="Q69" s="516"/>
      <c r="R69" s="516"/>
      <c r="T69" s="516">
        <f t="shared" ref="T69:T77" si="27">K69</f>
        <v>-13130</v>
      </c>
      <c r="U69" s="516">
        <f t="shared" ref="U69:U77" si="28">L69-T69</f>
        <v>-627</v>
      </c>
    </row>
    <row r="70" spans="1:21" outlineLevel="1">
      <c r="A70" s="511" t="s">
        <v>517</v>
      </c>
      <c r="C70" s="516"/>
      <c r="D70" s="516"/>
      <c r="E70" s="516"/>
      <c r="F70" s="516"/>
      <c r="G70" s="516">
        <v>-11003</v>
      </c>
      <c r="H70" s="516">
        <v>-3755</v>
      </c>
      <c r="I70" s="516">
        <v>-5988</v>
      </c>
      <c r="J70" s="516">
        <v>-18598</v>
      </c>
      <c r="K70" s="516">
        <v>-3718</v>
      </c>
      <c r="L70" s="516">
        <v>-7187</v>
      </c>
      <c r="M70" s="516"/>
      <c r="N70" s="516"/>
      <c r="O70" s="516"/>
      <c r="P70" s="516"/>
      <c r="Q70" s="516"/>
      <c r="R70" s="516"/>
      <c r="T70" s="516">
        <f t="shared" si="27"/>
        <v>-3718</v>
      </c>
      <c r="U70" s="516">
        <f t="shared" si="28"/>
        <v>-3469</v>
      </c>
    </row>
    <row r="71" spans="1:21" outlineLevel="1">
      <c r="A71" s="511" t="s">
        <v>518</v>
      </c>
      <c r="C71" s="516"/>
      <c r="D71" s="516"/>
      <c r="E71" s="516"/>
      <c r="F71" s="516"/>
      <c r="G71" s="516">
        <v>-31704</v>
      </c>
      <c r="H71" s="516">
        <v>-68793</v>
      </c>
      <c r="I71" s="516">
        <v>-134994</v>
      </c>
      <c r="J71" s="516">
        <v>-393203</v>
      </c>
      <c r="K71" s="516">
        <v>-96742</v>
      </c>
      <c r="L71" s="516">
        <v>-194410</v>
      </c>
      <c r="M71" s="516"/>
      <c r="N71" s="516"/>
      <c r="O71" s="516"/>
      <c r="P71" s="516"/>
      <c r="Q71" s="516"/>
      <c r="R71" s="516"/>
      <c r="T71" s="516">
        <f t="shared" si="27"/>
        <v>-96742</v>
      </c>
      <c r="U71" s="516">
        <f t="shared" si="28"/>
        <v>-97668</v>
      </c>
    </row>
    <row r="72" spans="1:21" outlineLevel="1">
      <c r="A72" s="511" t="s">
        <v>519</v>
      </c>
      <c r="C72" s="516"/>
      <c r="D72" s="516"/>
      <c r="E72" s="516"/>
      <c r="F72" s="516"/>
      <c r="G72" s="516">
        <v>3331</v>
      </c>
      <c r="H72" s="516">
        <v>1787</v>
      </c>
      <c r="I72" s="516">
        <v>2919</v>
      </c>
      <c r="J72" s="516">
        <v>-5293</v>
      </c>
      <c r="K72" s="516">
        <v>-1100</v>
      </c>
      <c r="L72" s="516">
        <v>-1492</v>
      </c>
      <c r="M72" s="516"/>
      <c r="N72" s="516"/>
      <c r="O72" s="516"/>
      <c r="P72" s="516"/>
      <c r="Q72" s="516"/>
      <c r="R72" s="516"/>
      <c r="T72" s="516">
        <f t="shared" si="27"/>
        <v>-1100</v>
      </c>
      <c r="U72" s="516">
        <f t="shared" si="28"/>
        <v>-392</v>
      </c>
    </row>
    <row r="73" spans="1:21" outlineLevel="1">
      <c r="A73" s="511" t="s">
        <v>520</v>
      </c>
      <c r="C73" s="516"/>
      <c r="D73" s="516"/>
      <c r="E73" s="516"/>
      <c r="F73" s="516"/>
      <c r="G73" s="516">
        <v>-17776</v>
      </c>
      <c r="H73" s="516">
        <v>-170479</v>
      </c>
      <c r="I73" s="516">
        <v>-202774</v>
      </c>
      <c r="J73" s="516">
        <v>-235873</v>
      </c>
      <c r="K73" s="516">
        <v>-32404</v>
      </c>
      <c r="L73" s="516">
        <v>-68588</v>
      </c>
      <c r="M73" s="516"/>
      <c r="N73" s="516"/>
      <c r="O73" s="516"/>
      <c r="P73" s="516"/>
      <c r="Q73" s="516"/>
      <c r="R73" s="516"/>
      <c r="T73" s="516">
        <f t="shared" si="27"/>
        <v>-32404</v>
      </c>
      <c r="U73" s="516">
        <f t="shared" si="28"/>
        <v>-36184</v>
      </c>
    </row>
    <row r="74" spans="1:21" outlineLevel="1">
      <c r="A74" s="511" t="s">
        <v>521</v>
      </c>
      <c r="C74" s="516"/>
      <c r="D74" s="516"/>
      <c r="E74" s="516"/>
      <c r="F74" s="516"/>
      <c r="G74" s="516">
        <v>-17938</v>
      </c>
      <c r="H74" s="516">
        <v>-183571</v>
      </c>
      <c r="I74" s="516">
        <v>-203037</v>
      </c>
      <c r="J74" s="516">
        <v>-242265</v>
      </c>
      <c r="K74" s="516">
        <v>-13205</v>
      </c>
      <c r="L74" s="516">
        <v>-24460</v>
      </c>
      <c r="M74" s="516"/>
      <c r="N74" s="516"/>
      <c r="O74" s="516"/>
      <c r="P74" s="516"/>
      <c r="Q74" s="516"/>
      <c r="R74" s="516"/>
      <c r="T74" s="516">
        <f t="shared" si="27"/>
        <v>-13205</v>
      </c>
      <c r="U74" s="516">
        <f t="shared" si="28"/>
        <v>-11255</v>
      </c>
    </row>
    <row r="75" spans="1:21" outlineLevel="1">
      <c r="A75" s="511" t="s">
        <v>522</v>
      </c>
      <c r="C75" s="516"/>
      <c r="D75" s="516"/>
      <c r="E75" s="516"/>
      <c r="F75" s="516"/>
      <c r="G75" s="516">
        <v>-21540</v>
      </c>
      <c r="H75" s="516">
        <v>-14927</v>
      </c>
      <c r="I75" s="516">
        <v>-35190</v>
      </c>
      <c r="J75" s="516">
        <v>-26401</v>
      </c>
      <c r="K75" s="516">
        <v>-14203</v>
      </c>
      <c r="L75" s="516">
        <v>-25555</v>
      </c>
      <c r="M75" s="516"/>
      <c r="N75" s="516"/>
      <c r="O75" s="516"/>
      <c r="P75" s="516"/>
      <c r="Q75" s="516"/>
      <c r="R75" s="516"/>
      <c r="T75" s="516">
        <f t="shared" si="27"/>
        <v>-14203</v>
      </c>
      <c r="U75" s="516">
        <f t="shared" si="28"/>
        <v>-11352</v>
      </c>
    </row>
    <row r="76" spans="1:21" outlineLevel="1">
      <c r="A76" s="511" t="s">
        <v>523</v>
      </c>
      <c r="C76" s="516"/>
      <c r="D76" s="516"/>
      <c r="E76" s="516"/>
      <c r="F76" s="516"/>
      <c r="G76" s="516">
        <v>0</v>
      </c>
      <c r="H76" s="516">
        <v>0</v>
      </c>
      <c r="I76" s="516">
        <v>0</v>
      </c>
      <c r="J76" s="516">
        <v>0</v>
      </c>
      <c r="K76" s="516">
        <v>0</v>
      </c>
      <c r="L76" s="516">
        <v>0</v>
      </c>
      <c r="M76" s="516"/>
      <c r="N76" s="516"/>
      <c r="O76" s="516"/>
      <c r="P76" s="516"/>
      <c r="Q76" s="516"/>
      <c r="R76" s="516"/>
      <c r="T76" s="516">
        <f t="shared" si="27"/>
        <v>0</v>
      </c>
      <c r="U76" s="516">
        <f t="shared" si="28"/>
        <v>0</v>
      </c>
    </row>
    <row r="77" spans="1:21">
      <c r="A77" s="510" t="s">
        <v>524</v>
      </c>
      <c r="C77" s="515">
        <v>0</v>
      </c>
      <c r="D77" s="515">
        <v>0</v>
      </c>
      <c r="E77" s="515">
        <v>0</v>
      </c>
      <c r="F77" s="515">
        <v>0</v>
      </c>
      <c r="G77" s="515">
        <v>0</v>
      </c>
      <c r="H77" s="515">
        <v>0</v>
      </c>
      <c r="I77" s="515">
        <v>0</v>
      </c>
      <c r="J77" s="515"/>
      <c r="K77" s="515"/>
      <c r="L77" s="515">
        <v>0</v>
      </c>
      <c r="M77" s="515"/>
      <c r="N77" s="515"/>
      <c r="O77" s="515"/>
      <c r="P77" s="515"/>
      <c r="Q77" s="515"/>
      <c r="R77" s="515"/>
      <c r="T77" s="515">
        <f t="shared" si="27"/>
        <v>0</v>
      </c>
      <c r="U77" s="515">
        <f t="shared" si="28"/>
        <v>0</v>
      </c>
    </row>
    <row r="78" spans="1:21">
      <c r="A78" s="510" t="s">
        <v>525</v>
      </c>
      <c r="C78" s="515">
        <f t="shared" ref="C78:K78" si="29">SUM(C79:C81)</f>
        <v>0</v>
      </c>
      <c r="D78" s="515">
        <f t="shared" si="29"/>
        <v>0</v>
      </c>
      <c r="E78" s="515">
        <f t="shared" si="29"/>
        <v>0</v>
      </c>
      <c r="F78" s="515">
        <f t="shared" si="29"/>
        <v>0</v>
      </c>
      <c r="G78" s="515">
        <f t="shared" si="29"/>
        <v>47403</v>
      </c>
      <c r="H78" s="515">
        <f t="shared" si="29"/>
        <v>-31814</v>
      </c>
      <c r="I78" s="515">
        <f t="shared" si="29"/>
        <v>-62784</v>
      </c>
      <c r="J78" s="515">
        <f t="shared" si="29"/>
        <v>-211405</v>
      </c>
      <c r="K78" s="515">
        <f t="shared" si="29"/>
        <v>-30710</v>
      </c>
      <c r="L78" s="515">
        <f>SUM(L79:L81)</f>
        <v>-124939</v>
      </c>
      <c r="M78" s="515"/>
      <c r="N78" s="515"/>
      <c r="O78" s="515"/>
      <c r="P78" s="515"/>
      <c r="Q78" s="515"/>
      <c r="R78" s="515"/>
      <c r="T78" s="515">
        <f t="shared" ref="T78" si="30">SUM(T79:T81)</f>
        <v>-30710</v>
      </c>
      <c r="U78" s="515">
        <f>SUM(U79:U81)</f>
        <v>-94229</v>
      </c>
    </row>
    <row r="79" spans="1:21" outlineLevel="1">
      <c r="A79" s="511" t="s">
        <v>526</v>
      </c>
      <c r="C79" s="516"/>
      <c r="D79" s="516"/>
      <c r="E79" s="516"/>
      <c r="F79" s="516"/>
      <c r="G79" s="516">
        <v>-1067</v>
      </c>
      <c r="H79" s="516">
        <v>-21875</v>
      </c>
      <c r="I79" s="516">
        <v>-32563</v>
      </c>
      <c r="J79" s="516">
        <v>-62368</v>
      </c>
      <c r="K79" s="516">
        <v>-29464</v>
      </c>
      <c r="L79" s="516">
        <v>-12115</v>
      </c>
      <c r="M79" s="516"/>
      <c r="N79" s="516"/>
      <c r="O79" s="516"/>
      <c r="P79" s="516"/>
      <c r="Q79" s="516"/>
      <c r="R79" s="516"/>
      <c r="T79" s="516">
        <f t="shared" ref="T79:T80" si="31">K79</f>
        <v>-29464</v>
      </c>
      <c r="U79" s="516">
        <f t="shared" ref="U79:U81" si="32">L79-T79</f>
        <v>17349</v>
      </c>
    </row>
    <row r="80" spans="1:21" outlineLevel="1">
      <c r="A80" s="511" t="s">
        <v>527</v>
      </c>
      <c r="C80" s="516"/>
      <c r="D80" s="516"/>
      <c r="E80" s="516"/>
      <c r="F80" s="516"/>
      <c r="G80" s="516">
        <v>48470</v>
      </c>
      <c r="H80" s="516">
        <v>-9939</v>
      </c>
      <c r="I80" s="516">
        <v>-30221</v>
      </c>
      <c r="J80" s="516">
        <v>-149037</v>
      </c>
      <c r="K80" s="516">
        <v>-1246</v>
      </c>
      <c r="L80" s="516">
        <v>-61993</v>
      </c>
      <c r="M80" s="516"/>
      <c r="N80" s="516"/>
      <c r="O80" s="516"/>
      <c r="P80" s="516"/>
      <c r="Q80" s="516"/>
      <c r="R80" s="516"/>
      <c r="T80" s="516">
        <f t="shared" si="31"/>
        <v>-1246</v>
      </c>
      <c r="U80" s="516">
        <f t="shared" si="32"/>
        <v>-60747</v>
      </c>
    </row>
    <row r="81" spans="1:21" outlineLevel="1">
      <c r="A81" s="511" t="s">
        <v>528</v>
      </c>
      <c r="C81" s="516"/>
      <c r="D81" s="516"/>
      <c r="E81" s="516"/>
      <c r="F81" s="516"/>
      <c r="G81" s="516"/>
      <c r="H81" s="516"/>
      <c r="I81" s="516"/>
      <c r="J81" s="516"/>
      <c r="K81" s="516"/>
      <c r="L81" s="516">
        <v>-50831</v>
      </c>
      <c r="M81" s="516"/>
      <c r="N81" s="516"/>
      <c r="O81" s="516"/>
      <c r="P81" s="516"/>
      <c r="Q81" s="516"/>
      <c r="R81" s="516"/>
      <c r="T81" s="516"/>
      <c r="U81" s="516">
        <f t="shared" si="32"/>
        <v>-50831</v>
      </c>
    </row>
    <row r="82" spans="1:21">
      <c r="A82" s="510"/>
      <c r="C82" s="510"/>
      <c r="D82" s="510"/>
      <c r="E82" s="510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0"/>
      <c r="T82" s="510"/>
      <c r="U82" s="510"/>
    </row>
    <row r="83" spans="1:21">
      <c r="A83" s="522" t="s">
        <v>529</v>
      </c>
      <c r="C83" s="513">
        <f t="shared" ref="C83:H83" si="33">C85-C75-C52-C76</f>
        <v>0</v>
      </c>
      <c r="D83" s="513">
        <f t="shared" si="33"/>
        <v>0</v>
      </c>
      <c r="E83" s="513">
        <f t="shared" si="33"/>
        <v>0</v>
      </c>
      <c r="F83" s="513">
        <f t="shared" si="33"/>
        <v>0</v>
      </c>
      <c r="G83" s="513">
        <f t="shared" si="33"/>
        <v>366130</v>
      </c>
      <c r="H83" s="513">
        <f t="shared" si="33"/>
        <v>341794</v>
      </c>
      <c r="I83" s="513">
        <f>I85-I75-I52-I76</f>
        <v>704274</v>
      </c>
      <c r="J83" s="513">
        <f>J85-J75-J52-J76</f>
        <v>935699</v>
      </c>
      <c r="K83" s="513">
        <f>K85-K75-K52-K76</f>
        <v>455991</v>
      </c>
      <c r="L83" s="513">
        <f>L85-L75-L52-L76</f>
        <v>894355</v>
      </c>
      <c r="M83" s="513"/>
      <c r="N83" s="513"/>
      <c r="O83" s="513"/>
      <c r="P83" s="513"/>
      <c r="Q83" s="513"/>
      <c r="R83" s="513"/>
      <c r="T83" s="513">
        <f>T85-T75-T52-T76</f>
        <v>455991</v>
      </c>
      <c r="U83" s="513">
        <f>U85-U75-U52-U76</f>
        <v>438364</v>
      </c>
    </row>
    <row r="84" spans="1:21">
      <c r="A84" s="510"/>
      <c r="C84" s="510"/>
      <c r="D84" s="510"/>
      <c r="E84" s="510"/>
      <c r="F84" s="510"/>
      <c r="G84" s="510"/>
      <c r="H84" s="510"/>
      <c r="I84" s="510"/>
      <c r="J84" s="510"/>
      <c r="K84" s="510"/>
      <c r="L84" s="510"/>
      <c r="M84" s="510"/>
      <c r="N84" s="510"/>
      <c r="O84" s="510"/>
      <c r="P84" s="510"/>
      <c r="Q84" s="510"/>
      <c r="R84" s="510"/>
      <c r="T84" s="510"/>
      <c r="U84" s="510"/>
    </row>
    <row r="85" spans="1:21">
      <c r="A85" s="522" t="s">
        <v>530</v>
      </c>
      <c r="C85" s="513">
        <f t="shared" ref="C85:H85" si="34">C57+C59</f>
        <v>0</v>
      </c>
      <c r="D85" s="513">
        <f t="shared" si="34"/>
        <v>0</v>
      </c>
      <c r="E85" s="513">
        <f t="shared" si="34"/>
        <v>0</v>
      </c>
      <c r="F85" s="513">
        <f t="shared" si="34"/>
        <v>0</v>
      </c>
      <c r="G85" s="513">
        <f t="shared" si="34"/>
        <v>247102</v>
      </c>
      <c r="H85" s="513">
        <f t="shared" si="34"/>
        <v>126800</v>
      </c>
      <c r="I85" s="513">
        <f>I57+I59</f>
        <v>336014</v>
      </c>
      <c r="J85" s="513">
        <f>J57+J59</f>
        <v>412939</v>
      </c>
      <c r="K85" s="513">
        <f>K57+K59</f>
        <v>302070</v>
      </c>
      <c r="L85" s="513">
        <f>L57+L59</f>
        <v>583235</v>
      </c>
      <c r="M85" s="513"/>
      <c r="N85" s="513"/>
      <c r="O85" s="513"/>
      <c r="P85" s="513"/>
      <c r="Q85" s="513"/>
      <c r="R85" s="513"/>
      <c r="T85" s="513">
        <f>T57+T59</f>
        <v>302070</v>
      </c>
      <c r="U85" s="513">
        <f>U57+U59</f>
        <v>281165</v>
      </c>
    </row>
    <row r="86" spans="1:21">
      <c r="A86" s="510"/>
      <c r="C86" s="510"/>
      <c r="D86" s="510"/>
      <c r="E86" s="510"/>
      <c r="F86" s="510"/>
      <c r="G86" s="510"/>
      <c r="H86" s="510"/>
      <c r="I86" s="510"/>
      <c r="J86" s="510"/>
      <c r="K86" s="510"/>
      <c r="L86" s="510"/>
      <c r="M86" s="510"/>
      <c r="N86" s="510"/>
      <c r="O86" s="510"/>
      <c r="P86" s="510"/>
      <c r="Q86" s="510"/>
      <c r="R86" s="510"/>
      <c r="T86" s="510"/>
      <c r="U86" s="510"/>
    </row>
    <row r="87" spans="1:21">
      <c r="A87" s="522" t="s">
        <v>531</v>
      </c>
      <c r="C87" s="513">
        <f t="shared" ref="C87:H87" si="35">C89+C98</f>
        <v>0</v>
      </c>
      <c r="D87" s="513">
        <f t="shared" si="35"/>
        <v>0</v>
      </c>
      <c r="E87" s="513">
        <f t="shared" si="35"/>
        <v>0</v>
      </c>
      <c r="F87" s="513">
        <f t="shared" si="35"/>
        <v>0</v>
      </c>
      <c r="G87" s="513">
        <f t="shared" si="35"/>
        <v>-276987</v>
      </c>
      <c r="H87" s="513">
        <f t="shared" si="35"/>
        <v>-783699</v>
      </c>
      <c r="I87" s="513">
        <f>I89+I98</f>
        <v>-1111563</v>
      </c>
      <c r="J87" s="513">
        <f>J89+J98</f>
        <v>-1479859</v>
      </c>
      <c r="K87" s="513">
        <f>K89+K98</f>
        <v>-379425</v>
      </c>
      <c r="L87" s="513">
        <f>L89+L98</f>
        <v>-741788</v>
      </c>
      <c r="M87" s="513"/>
      <c r="N87" s="513"/>
      <c r="O87" s="513"/>
      <c r="P87" s="513"/>
      <c r="Q87" s="513"/>
      <c r="R87" s="513"/>
      <c r="T87" s="513">
        <f>T89+T98</f>
        <v>-379425</v>
      </c>
      <c r="U87" s="513">
        <f>U89+U98</f>
        <v>-362363</v>
      </c>
    </row>
    <row r="88" spans="1:21">
      <c r="A88" s="509"/>
      <c r="C88" s="510"/>
      <c r="D88" s="510"/>
      <c r="E88" s="510"/>
      <c r="F88" s="510"/>
      <c r="G88" s="510"/>
      <c r="H88" s="510"/>
      <c r="I88" s="510"/>
      <c r="J88" s="510"/>
      <c r="K88" s="510"/>
      <c r="L88" s="510"/>
      <c r="M88" s="510"/>
      <c r="N88" s="510"/>
      <c r="O88" s="510"/>
      <c r="P88" s="510"/>
      <c r="Q88" s="510"/>
      <c r="R88" s="510"/>
      <c r="T88" s="510"/>
      <c r="U88" s="510"/>
    </row>
    <row r="89" spans="1:21">
      <c r="A89" s="510" t="s">
        <v>532</v>
      </c>
      <c r="C89" s="517">
        <f t="shared" ref="C89:H89" si="36">SUM(C90:C97)</f>
        <v>0</v>
      </c>
      <c r="D89" s="517">
        <f t="shared" si="36"/>
        <v>0</v>
      </c>
      <c r="E89" s="517">
        <f t="shared" si="36"/>
        <v>0</v>
      </c>
      <c r="F89" s="517">
        <f t="shared" si="36"/>
        <v>0</v>
      </c>
      <c r="G89" s="517">
        <f t="shared" si="36"/>
        <v>165582</v>
      </c>
      <c r="H89" s="517">
        <f t="shared" si="36"/>
        <v>278893</v>
      </c>
      <c r="I89" s="517">
        <f>SUM(I90:I97)</f>
        <v>337113</v>
      </c>
      <c r="J89" s="517">
        <f>SUM(J90:J97)</f>
        <v>361664</v>
      </c>
      <c r="K89" s="517">
        <f>SUM(K90:K97)</f>
        <v>45641</v>
      </c>
      <c r="L89" s="517">
        <f>SUM(L90:L97)</f>
        <v>173660</v>
      </c>
      <c r="M89" s="517"/>
      <c r="N89" s="517"/>
      <c r="O89" s="517"/>
      <c r="P89" s="517"/>
      <c r="Q89" s="517"/>
      <c r="R89" s="517"/>
      <c r="T89" s="517">
        <f>SUM(T90:T97)</f>
        <v>45641</v>
      </c>
      <c r="U89" s="517">
        <f>SUM(U90:U97)</f>
        <v>128019</v>
      </c>
    </row>
    <row r="90" spans="1:21" outlineLevel="1">
      <c r="A90" s="511" t="s">
        <v>533</v>
      </c>
      <c r="C90" s="516"/>
      <c r="D90" s="516"/>
      <c r="E90" s="516"/>
      <c r="F90" s="516"/>
      <c r="G90" s="516">
        <v>55417</v>
      </c>
      <c r="H90" s="516">
        <v>153735</v>
      </c>
      <c r="I90" s="516">
        <v>199304</v>
      </c>
      <c r="J90" s="516">
        <v>212106</v>
      </c>
      <c r="K90" s="516">
        <v>32748</v>
      </c>
      <c r="L90" s="516">
        <v>149686</v>
      </c>
      <c r="M90" s="516"/>
      <c r="N90" s="516"/>
      <c r="O90" s="516"/>
      <c r="P90" s="516"/>
      <c r="Q90" s="516"/>
      <c r="R90" s="516"/>
      <c r="T90" s="516">
        <f t="shared" ref="T90:T97" si="37">K90</f>
        <v>32748</v>
      </c>
      <c r="U90" s="516">
        <f t="shared" ref="U90:U97" si="38">L90-T90</f>
        <v>116938</v>
      </c>
    </row>
    <row r="91" spans="1:21" outlineLevel="1">
      <c r="A91" s="511" t="s">
        <v>534</v>
      </c>
      <c r="C91" s="516"/>
      <c r="D91" s="516"/>
      <c r="E91" s="516"/>
      <c r="F91" s="516"/>
      <c r="G91" s="516">
        <v>-7554</v>
      </c>
      <c r="H91" s="516">
        <v>-13012</v>
      </c>
      <c r="I91" s="516">
        <v>-15805</v>
      </c>
      <c r="J91" s="516">
        <v>-16978</v>
      </c>
      <c r="K91" s="516">
        <v>-2177</v>
      </c>
      <c r="L91" s="516">
        <v>-8351</v>
      </c>
      <c r="M91" s="516"/>
      <c r="N91" s="516"/>
      <c r="O91" s="516"/>
      <c r="P91" s="516"/>
      <c r="Q91" s="516"/>
      <c r="R91" s="516"/>
      <c r="T91" s="516">
        <f t="shared" si="37"/>
        <v>-2177</v>
      </c>
      <c r="U91" s="516">
        <f t="shared" si="38"/>
        <v>-6174</v>
      </c>
    </row>
    <row r="92" spans="1:21" outlineLevel="1">
      <c r="A92" s="511" t="s">
        <v>535</v>
      </c>
      <c r="C92" s="516"/>
      <c r="D92" s="516"/>
      <c r="E92" s="516"/>
      <c r="F92" s="516"/>
      <c r="G92" s="516">
        <v>0</v>
      </c>
      <c r="H92" s="516">
        <v>0</v>
      </c>
      <c r="I92" s="516">
        <v>0</v>
      </c>
      <c r="J92" s="516">
        <v>0</v>
      </c>
      <c r="K92" s="516">
        <v>0</v>
      </c>
      <c r="L92" s="516">
        <v>0</v>
      </c>
      <c r="M92" s="516"/>
      <c r="N92" s="516"/>
      <c r="O92" s="516"/>
      <c r="P92" s="516"/>
      <c r="Q92" s="516"/>
      <c r="R92" s="516"/>
      <c r="T92" s="516">
        <f t="shared" si="37"/>
        <v>0</v>
      </c>
      <c r="U92" s="516">
        <f t="shared" si="38"/>
        <v>0</v>
      </c>
    </row>
    <row r="93" spans="1:21" outlineLevel="1">
      <c r="A93" s="511" t="s">
        <v>536</v>
      </c>
      <c r="C93" s="516"/>
      <c r="D93" s="516"/>
      <c r="E93" s="516"/>
      <c r="F93" s="516"/>
      <c r="G93" s="516">
        <v>15689</v>
      </c>
      <c r="H93" s="516">
        <v>34738</v>
      </c>
      <c r="I93" s="516">
        <v>49243</v>
      </c>
      <c r="J93" s="516">
        <v>61665</v>
      </c>
      <c r="K93" s="516">
        <v>15594</v>
      </c>
      <c r="L93" s="516">
        <v>32050</v>
      </c>
      <c r="M93" s="516"/>
      <c r="N93" s="516"/>
      <c r="O93" s="516"/>
      <c r="P93" s="516"/>
      <c r="Q93" s="516"/>
      <c r="R93" s="516"/>
      <c r="T93" s="516">
        <f t="shared" si="37"/>
        <v>15594</v>
      </c>
      <c r="U93" s="516">
        <f t="shared" si="38"/>
        <v>16456</v>
      </c>
    </row>
    <row r="94" spans="1:21" outlineLevel="1">
      <c r="A94" s="511" t="s">
        <v>537</v>
      </c>
      <c r="C94" s="516"/>
      <c r="D94" s="516"/>
      <c r="E94" s="516"/>
      <c r="F94" s="516"/>
      <c r="G94" s="516">
        <v>0</v>
      </c>
      <c r="H94" s="516">
        <v>0</v>
      </c>
      <c r="I94" s="516">
        <v>0</v>
      </c>
      <c r="J94" s="516">
        <v>0</v>
      </c>
      <c r="K94" s="516">
        <v>0</v>
      </c>
      <c r="L94" s="516">
        <v>0</v>
      </c>
      <c r="M94" s="516"/>
      <c r="N94" s="516"/>
      <c r="O94" s="516"/>
      <c r="P94" s="516"/>
      <c r="Q94" s="516"/>
      <c r="R94" s="516"/>
      <c r="T94" s="516">
        <f t="shared" si="37"/>
        <v>0</v>
      </c>
      <c r="U94" s="516">
        <f t="shared" si="38"/>
        <v>0</v>
      </c>
    </row>
    <row r="95" spans="1:21" outlineLevel="1">
      <c r="A95" s="511" t="s">
        <v>538</v>
      </c>
      <c r="C95" s="516"/>
      <c r="D95" s="516"/>
      <c r="E95" s="516"/>
      <c r="F95" s="516"/>
      <c r="G95" s="516">
        <v>0</v>
      </c>
      <c r="H95" s="516">
        <v>0</v>
      </c>
      <c r="I95" s="516">
        <v>0</v>
      </c>
      <c r="J95" s="516">
        <v>0</v>
      </c>
      <c r="K95" s="516">
        <v>0</v>
      </c>
      <c r="L95" s="516">
        <v>0</v>
      </c>
      <c r="M95" s="516"/>
      <c r="N95" s="516"/>
      <c r="O95" s="516"/>
      <c r="P95" s="516"/>
      <c r="Q95" s="516"/>
      <c r="R95" s="516"/>
      <c r="T95" s="516">
        <f t="shared" si="37"/>
        <v>0</v>
      </c>
      <c r="U95" s="516">
        <f t="shared" si="38"/>
        <v>0</v>
      </c>
    </row>
    <row r="96" spans="1:21" outlineLevel="1">
      <c r="A96" s="511" t="s">
        <v>539</v>
      </c>
      <c r="C96" s="516"/>
      <c r="D96" s="516"/>
      <c r="E96" s="516"/>
      <c r="F96" s="516"/>
      <c r="G96" s="516">
        <v>91350</v>
      </c>
      <c r="H96" s="516">
        <v>91350</v>
      </c>
      <c r="I96" s="516">
        <v>91350</v>
      </c>
      <c r="J96" s="516">
        <v>91350</v>
      </c>
      <c r="K96" s="516">
        <v>-524</v>
      </c>
      <c r="L96" s="516">
        <v>275</v>
      </c>
      <c r="M96" s="516"/>
      <c r="N96" s="516"/>
      <c r="O96" s="516"/>
      <c r="P96" s="516"/>
      <c r="Q96" s="516"/>
      <c r="R96" s="516"/>
      <c r="T96" s="516">
        <f t="shared" si="37"/>
        <v>-524</v>
      </c>
      <c r="U96" s="516">
        <f t="shared" si="38"/>
        <v>799</v>
      </c>
    </row>
    <row r="97" spans="1:21" outlineLevel="1">
      <c r="A97" s="511" t="s">
        <v>540</v>
      </c>
      <c r="C97" s="516"/>
      <c r="D97" s="516"/>
      <c r="E97" s="516"/>
      <c r="F97" s="516"/>
      <c r="G97" s="516">
        <v>10680</v>
      </c>
      <c r="H97" s="516">
        <v>12082</v>
      </c>
      <c r="I97" s="516">
        <v>13021</v>
      </c>
      <c r="J97" s="516">
        <v>13521</v>
      </c>
      <c r="K97" s="516">
        <v>0</v>
      </c>
      <c r="L97" s="516">
        <v>0</v>
      </c>
      <c r="M97" s="516"/>
      <c r="N97" s="516"/>
      <c r="O97" s="516"/>
      <c r="P97" s="516"/>
      <c r="Q97" s="516"/>
      <c r="R97" s="516"/>
      <c r="T97" s="516">
        <f t="shared" si="37"/>
        <v>0</v>
      </c>
      <c r="U97" s="516">
        <f t="shared" si="38"/>
        <v>0</v>
      </c>
    </row>
    <row r="98" spans="1:21">
      <c r="A98" s="510" t="s">
        <v>541</v>
      </c>
      <c r="C98" s="515">
        <f t="shared" ref="C98:H98" si="39">SUM(C99:C107)</f>
        <v>0</v>
      </c>
      <c r="D98" s="515">
        <f t="shared" si="39"/>
        <v>0</v>
      </c>
      <c r="E98" s="515">
        <f t="shared" si="39"/>
        <v>0</v>
      </c>
      <c r="F98" s="515">
        <f t="shared" si="39"/>
        <v>0</v>
      </c>
      <c r="G98" s="515">
        <f t="shared" si="39"/>
        <v>-442569</v>
      </c>
      <c r="H98" s="515">
        <f t="shared" si="39"/>
        <v>-1062592</v>
      </c>
      <c r="I98" s="515">
        <f>SUM(I99:I107)</f>
        <v>-1448676</v>
      </c>
      <c r="J98" s="515">
        <f>SUM(J99:J107)</f>
        <v>-1841523</v>
      </c>
      <c r="K98" s="515">
        <f>SUM(K99:K107)</f>
        <v>-425066</v>
      </c>
      <c r="L98" s="515">
        <f>SUM(L99:L107)</f>
        <v>-915448</v>
      </c>
      <c r="M98" s="515"/>
      <c r="N98" s="515"/>
      <c r="O98" s="515"/>
      <c r="P98" s="515"/>
      <c r="Q98" s="515"/>
      <c r="R98" s="515"/>
      <c r="T98" s="515">
        <f>SUM(T99:T107)</f>
        <v>-425066</v>
      </c>
      <c r="U98" s="515">
        <f>SUM(U99:U107)</f>
        <v>-490382</v>
      </c>
    </row>
    <row r="99" spans="1:21" outlineLevel="1">
      <c r="A99" s="511" t="s">
        <v>542</v>
      </c>
      <c r="C99" s="516"/>
      <c r="D99" s="516"/>
      <c r="E99" s="516"/>
      <c r="F99" s="516"/>
      <c r="G99" s="516">
        <v>-326063</v>
      </c>
      <c r="H99" s="516">
        <v>-628405</v>
      </c>
      <c r="I99" s="516">
        <v>-951006</v>
      </c>
      <c r="J99" s="516">
        <v>-1240568</v>
      </c>
      <c r="K99" s="516">
        <v>-284988</v>
      </c>
      <c r="L99" s="516">
        <v>-584601</v>
      </c>
      <c r="M99" s="516"/>
      <c r="N99" s="516"/>
      <c r="O99" s="516"/>
      <c r="P99" s="516"/>
      <c r="Q99" s="516"/>
      <c r="R99" s="516"/>
      <c r="T99" s="516">
        <f t="shared" ref="T99:T107" si="40">K99</f>
        <v>-284988</v>
      </c>
      <c r="U99" s="516">
        <f t="shared" ref="U99:U107" si="41">L99-T99</f>
        <v>-299613</v>
      </c>
    </row>
    <row r="100" spans="1:21" outlineLevel="1">
      <c r="A100" s="511" t="s">
        <v>543</v>
      </c>
      <c r="C100" s="516"/>
      <c r="D100" s="516"/>
      <c r="E100" s="516"/>
      <c r="F100" s="516"/>
      <c r="G100" s="516">
        <v>0</v>
      </c>
      <c r="H100" s="516">
        <v>0</v>
      </c>
      <c r="I100" s="516">
        <v>0</v>
      </c>
      <c r="J100" s="516">
        <v>0</v>
      </c>
      <c r="K100" s="516">
        <v>0</v>
      </c>
      <c r="L100" s="516">
        <v>0</v>
      </c>
      <c r="M100" s="516"/>
      <c r="N100" s="516"/>
      <c r="O100" s="516"/>
      <c r="P100" s="516"/>
      <c r="Q100" s="516"/>
      <c r="R100" s="516"/>
      <c r="T100" s="516">
        <f t="shared" si="40"/>
        <v>0</v>
      </c>
      <c r="U100" s="516">
        <f t="shared" si="41"/>
        <v>0</v>
      </c>
    </row>
    <row r="101" spans="1:21" outlineLevel="1">
      <c r="A101" s="511" t="s">
        <v>544</v>
      </c>
      <c r="C101" s="516"/>
      <c r="D101" s="516"/>
      <c r="E101" s="516"/>
      <c r="F101" s="516"/>
      <c r="G101" s="516">
        <v>-2213</v>
      </c>
      <c r="H101" s="516">
        <v>-13640</v>
      </c>
      <c r="I101" s="516">
        <v>-25533</v>
      </c>
      <c r="J101" s="516">
        <v>-40882</v>
      </c>
      <c r="K101" s="516">
        <v>-46587</v>
      </c>
      <c r="L101" s="516">
        <v>-68634</v>
      </c>
      <c r="M101" s="516"/>
      <c r="N101" s="516"/>
      <c r="O101" s="516"/>
      <c r="P101" s="516"/>
      <c r="Q101" s="516"/>
      <c r="R101" s="516"/>
      <c r="T101" s="516">
        <f t="shared" si="40"/>
        <v>-46587</v>
      </c>
      <c r="U101" s="516">
        <f t="shared" si="41"/>
        <v>-22047</v>
      </c>
    </row>
    <row r="102" spans="1:21" outlineLevel="1">
      <c r="A102" s="511" t="s">
        <v>545</v>
      </c>
      <c r="C102" s="516"/>
      <c r="D102" s="516"/>
      <c r="E102" s="516"/>
      <c r="F102" s="516"/>
      <c r="G102" s="516">
        <v>0</v>
      </c>
      <c r="H102" s="516">
        <v>0</v>
      </c>
      <c r="I102" s="516">
        <v>0</v>
      </c>
      <c r="J102" s="516">
        <v>0</v>
      </c>
      <c r="K102" s="516">
        <v>0</v>
      </c>
      <c r="L102" s="516">
        <v>0</v>
      </c>
      <c r="M102" s="516"/>
      <c r="N102" s="516"/>
      <c r="O102" s="516"/>
      <c r="P102" s="516"/>
      <c r="Q102" s="516"/>
      <c r="R102" s="516"/>
      <c r="T102" s="516">
        <f t="shared" si="40"/>
        <v>0</v>
      </c>
      <c r="U102" s="516">
        <f t="shared" si="41"/>
        <v>0</v>
      </c>
    </row>
    <row r="103" spans="1:21" outlineLevel="1">
      <c r="A103" s="511" t="s">
        <v>546</v>
      </c>
      <c r="C103" s="516"/>
      <c r="D103" s="516"/>
      <c r="E103" s="516"/>
      <c r="F103" s="516"/>
      <c r="G103" s="516">
        <v>-14453</v>
      </c>
      <c r="H103" s="516">
        <v>-39975</v>
      </c>
      <c r="I103" s="516">
        <v>-38509</v>
      </c>
      <c r="J103" s="516">
        <v>-86538</v>
      </c>
      <c r="K103" s="516">
        <v>-26071</v>
      </c>
      <c r="L103" s="516">
        <v>-45299</v>
      </c>
      <c r="M103" s="516"/>
      <c r="N103" s="516"/>
      <c r="O103" s="516"/>
      <c r="P103" s="516"/>
      <c r="Q103" s="516"/>
      <c r="R103" s="516"/>
      <c r="T103" s="516">
        <f t="shared" si="40"/>
        <v>-26071</v>
      </c>
      <c r="U103" s="516">
        <f t="shared" si="41"/>
        <v>-19228</v>
      </c>
    </row>
    <row r="104" spans="1:21" outlineLevel="1">
      <c r="A104" s="511" t="s">
        <v>547</v>
      </c>
      <c r="C104" s="516"/>
      <c r="D104" s="516"/>
      <c r="E104" s="516"/>
      <c r="F104" s="516"/>
      <c r="G104" s="516">
        <v>-5304</v>
      </c>
      <c r="H104" s="516">
        <v>-2861</v>
      </c>
      <c r="I104" s="516">
        <v>-5303</v>
      </c>
      <c r="J104" s="516">
        <v>-10937</v>
      </c>
      <c r="K104" s="516">
        <v>-2803</v>
      </c>
      <c r="L104" s="516">
        <v>-5529</v>
      </c>
      <c r="M104" s="516"/>
      <c r="N104" s="516"/>
      <c r="O104" s="516"/>
      <c r="P104" s="516"/>
      <c r="Q104" s="516"/>
      <c r="R104" s="516"/>
      <c r="T104" s="516">
        <f t="shared" si="40"/>
        <v>-2803</v>
      </c>
      <c r="U104" s="516">
        <f t="shared" si="41"/>
        <v>-2726</v>
      </c>
    </row>
    <row r="105" spans="1:21" outlineLevel="1">
      <c r="A105" s="511" t="s">
        <v>548</v>
      </c>
      <c r="C105" s="516"/>
      <c r="D105" s="516"/>
      <c r="E105" s="516"/>
      <c r="F105" s="516"/>
      <c r="G105" s="516">
        <v>0</v>
      </c>
      <c r="H105" s="516">
        <v>0</v>
      </c>
      <c r="I105" s="516">
        <v>0</v>
      </c>
      <c r="J105" s="516">
        <v>0</v>
      </c>
      <c r="K105" s="516">
        <v>0</v>
      </c>
      <c r="L105" s="516">
        <v>0</v>
      </c>
      <c r="M105" s="516"/>
      <c r="N105" s="516"/>
      <c r="O105" s="516"/>
      <c r="P105" s="516"/>
      <c r="Q105" s="516"/>
      <c r="R105" s="516"/>
      <c r="T105" s="516">
        <f t="shared" si="40"/>
        <v>0</v>
      </c>
      <c r="U105" s="516">
        <f t="shared" si="41"/>
        <v>0</v>
      </c>
    </row>
    <row r="106" spans="1:21" outlineLevel="1">
      <c r="A106" s="511" t="s">
        <v>549</v>
      </c>
      <c r="C106" s="516"/>
      <c r="D106" s="516"/>
      <c r="E106" s="516"/>
      <c r="F106" s="516"/>
      <c r="G106" s="516">
        <v>-1764</v>
      </c>
      <c r="H106" s="516">
        <v>-3957</v>
      </c>
      <c r="I106" s="516">
        <v>-6035</v>
      </c>
      <c r="J106" s="516">
        <v>-8060</v>
      </c>
      <c r="K106" s="516">
        <v>-1437</v>
      </c>
      <c r="L106" s="516">
        <v>-3125</v>
      </c>
      <c r="M106" s="516"/>
      <c r="N106" s="516"/>
      <c r="O106" s="516"/>
      <c r="P106" s="516"/>
      <c r="Q106" s="516"/>
      <c r="R106" s="516"/>
      <c r="T106" s="516">
        <f t="shared" si="40"/>
        <v>-1437</v>
      </c>
      <c r="U106" s="516">
        <f t="shared" si="41"/>
        <v>-1688</v>
      </c>
    </row>
    <row r="107" spans="1:21" outlineLevel="1">
      <c r="A107" s="511" t="s">
        <v>550</v>
      </c>
      <c r="C107" s="516"/>
      <c r="D107" s="516"/>
      <c r="E107" s="516"/>
      <c r="F107" s="516"/>
      <c r="G107" s="516">
        <v>-92772</v>
      </c>
      <c r="H107" s="516">
        <v>-373754</v>
      </c>
      <c r="I107" s="516">
        <v>-422290</v>
      </c>
      <c r="J107" s="516">
        <v>-454538</v>
      </c>
      <c r="K107" s="516">
        <v>-63180</v>
      </c>
      <c r="L107" s="516">
        <v>-208260</v>
      </c>
      <c r="M107" s="516"/>
      <c r="N107" s="516"/>
      <c r="O107" s="516"/>
      <c r="P107" s="516"/>
      <c r="Q107" s="516"/>
      <c r="R107" s="516"/>
      <c r="T107" s="516">
        <f t="shared" si="40"/>
        <v>-63180</v>
      </c>
      <c r="U107" s="516">
        <f t="shared" si="41"/>
        <v>-145080</v>
      </c>
    </row>
    <row r="108" spans="1:21">
      <c r="A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T108" s="510"/>
      <c r="U108" s="510"/>
    </row>
    <row r="109" spans="1:21">
      <c r="A109" s="522" t="s">
        <v>551</v>
      </c>
      <c r="C109" s="513">
        <f t="shared" ref="C109:H109" si="42">C85+C87</f>
        <v>0</v>
      </c>
      <c r="D109" s="513">
        <f t="shared" si="42"/>
        <v>0</v>
      </c>
      <c r="E109" s="513">
        <f t="shared" si="42"/>
        <v>0</v>
      </c>
      <c r="F109" s="513">
        <f t="shared" si="42"/>
        <v>0</v>
      </c>
      <c r="G109" s="513">
        <f t="shared" si="42"/>
        <v>-29885</v>
      </c>
      <c r="H109" s="513">
        <f t="shared" si="42"/>
        <v>-656899</v>
      </c>
      <c r="I109" s="513">
        <f>I85+I87</f>
        <v>-775549</v>
      </c>
      <c r="J109" s="513">
        <f>J85+J87</f>
        <v>-1066920</v>
      </c>
      <c r="K109" s="513">
        <f>K85+K87</f>
        <v>-77355</v>
      </c>
      <c r="L109" s="513">
        <f>L85+L87</f>
        <v>-158553</v>
      </c>
      <c r="M109" s="513"/>
      <c r="N109" s="513"/>
      <c r="O109" s="513"/>
      <c r="P109" s="513"/>
      <c r="Q109" s="513"/>
      <c r="R109" s="513"/>
      <c r="T109" s="513">
        <f>T85+T87</f>
        <v>-77355</v>
      </c>
      <c r="U109" s="513">
        <f>U85+U87</f>
        <v>-81198</v>
      </c>
    </row>
    <row r="110" spans="1:21">
      <c r="A110" s="510"/>
      <c r="C110" s="510"/>
      <c r="D110" s="510"/>
      <c r="E110" s="510"/>
      <c r="F110" s="510"/>
      <c r="G110" s="510"/>
      <c r="H110" s="510"/>
      <c r="I110" s="510"/>
      <c r="J110" s="510"/>
      <c r="K110" s="510"/>
      <c r="L110" s="510"/>
      <c r="M110" s="510"/>
      <c r="N110" s="510"/>
      <c r="O110" s="510"/>
      <c r="P110" s="510"/>
      <c r="Q110" s="510"/>
      <c r="R110" s="510"/>
      <c r="T110" s="510"/>
      <c r="U110" s="510"/>
    </row>
    <row r="111" spans="1:21">
      <c r="A111" s="509" t="s">
        <v>552</v>
      </c>
      <c r="C111" s="517">
        <f t="shared" ref="C111:I111" si="43">SUM(C113:C116)</f>
        <v>0</v>
      </c>
      <c r="D111" s="517">
        <f t="shared" si="43"/>
        <v>0</v>
      </c>
      <c r="E111" s="517">
        <f t="shared" si="43"/>
        <v>0</v>
      </c>
      <c r="F111" s="517">
        <f t="shared" si="43"/>
        <v>0</v>
      </c>
      <c r="G111" s="517">
        <f t="shared" si="43"/>
        <v>-30239</v>
      </c>
      <c r="H111" s="517">
        <f t="shared" si="43"/>
        <v>174103</v>
      </c>
      <c r="I111" s="517">
        <f t="shared" si="43"/>
        <v>214057</v>
      </c>
      <c r="J111" s="517">
        <f t="shared" ref="J111" si="44">SUM(J113:J116)</f>
        <v>452973</v>
      </c>
      <c r="K111" s="517">
        <f>SUM(K113:K116)</f>
        <v>18544</v>
      </c>
      <c r="L111" s="517">
        <f>SUM(L113:L116)</f>
        <v>6130</v>
      </c>
      <c r="M111" s="517"/>
      <c r="N111" s="517"/>
      <c r="O111" s="517"/>
      <c r="P111" s="517"/>
      <c r="Q111" s="517"/>
      <c r="R111" s="517"/>
      <c r="T111" s="517">
        <f>SUM(T113:T116)</f>
        <v>18544</v>
      </c>
      <c r="U111" s="517">
        <f>SUM(U113:U116)</f>
        <v>-12414</v>
      </c>
    </row>
    <row r="112" spans="1:21">
      <c r="A112" s="510"/>
      <c r="C112" s="510"/>
      <c r="D112" s="510"/>
      <c r="E112" s="510"/>
      <c r="F112" s="510"/>
      <c r="G112" s="510"/>
      <c r="H112" s="510"/>
      <c r="I112" s="510"/>
      <c r="J112" s="510"/>
      <c r="K112" s="510"/>
      <c r="L112" s="510"/>
      <c r="M112" s="510"/>
      <c r="N112" s="510"/>
      <c r="O112" s="510"/>
      <c r="P112" s="510"/>
      <c r="Q112" s="510"/>
      <c r="R112" s="510"/>
      <c r="T112" s="510"/>
      <c r="U112" s="510"/>
    </row>
    <row r="113" spans="1:21">
      <c r="A113" s="510" t="s">
        <v>553</v>
      </c>
      <c r="C113" s="518"/>
      <c r="D113" s="518"/>
      <c r="E113" s="518"/>
      <c r="F113" s="518"/>
      <c r="G113" s="518">
        <v>-10934</v>
      </c>
      <c r="H113" s="518">
        <v>-5795</v>
      </c>
      <c r="I113" s="518">
        <v>-5795</v>
      </c>
      <c r="J113" s="518">
        <v>3384</v>
      </c>
      <c r="K113" s="518">
        <v>0</v>
      </c>
      <c r="L113" s="518">
        <v>-15043</v>
      </c>
      <c r="M113" s="518"/>
      <c r="N113" s="518"/>
      <c r="O113" s="518"/>
      <c r="P113" s="518"/>
      <c r="Q113" s="518"/>
      <c r="R113" s="518"/>
      <c r="T113" s="518">
        <f t="shared" ref="T113:T116" si="45">K113</f>
        <v>0</v>
      </c>
      <c r="U113" s="518">
        <f t="shared" ref="U113:U116" si="46">L113-T113</f>
        <v>-15043</v>
      </c>
    </row>
    <row r="114" spans="1:21">
      <c r="A114" s="510" t="s">
        <v>554</v>
      </c>
      <c r="C114" s="518"/>
      <c r="D114" s="518"/>
      <c r="E114" s="518"/>
      <c r="F114" s="518"/>
      <c r="G114" s="518">
        <v>-30339</v>
      </c>
      <c r="H114" s="518">
        <v>-16098</v>
      </c>
      <c r="I114" s="518">
        <v>-16098</v>
      </c>
      <c r="J114" s="518">
        <v>13244</v>
      </c>
      <c r="K114" s="518">
        <v>0</v>
      </c>
      <c r="L114" s="518">
        <v>-41787</v>
      </c>
      <c r="M114" s="518"/>
      <c r="N114" s="518"/>
      <c r="O114" s="518"/>
      <c r="P114" s="518"/>
      <c r="Q114" s="518"/>
      <c r="R114" s="518"/>
      <c r="T114" s="518">
        <f t="shared" si="45"/>
        <v>0</v>
      </c>
      <c r="U114" s="518">
        <f t="shared" si="46"/>
        <v>-41787</v>
      </c>
    </row>
    <row r="115" spans="1:21">
      <c r="A115" s="510" t="s">
        <v>555</v>
      </c>
      <c r="C115" s="518"/>
      <c r="D115" s="518"/>
      <c r="E115" s="518"/>
      <c r="F115" s="518"/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/>
      <c r="N115" s="518"/>
      <c r="O115" s="518"/>
      <c r="P115" s="518"/>
      <c r="Q115" s="518"/>
      <c r="R115" s="518"/>
      <c r="T115" s="518">
        <f t="shared" si="45"/>
        <v>0</v>
      </c>
      <c r="U115" s="518">
        <f t="shared" si="46"/>
        <v>0</v>
      </c>
    </row>
    <row r="116" spans="1:21">
      <c r="A116" s="510" t="s">
        <v>556</v>
      </c>
      <c r="C116" s="518"/>
      <c r="D116" s="518"/>
      <c r="E116" s="518"/>
      <c r="F116" s="518"/>
      <c r="G116" s="518">
        <v>11034</v>
      </c>
      <c r="H116" s="518">
        <v>195996</v>
      </c>
      <c r="I116" s="518">
        <v>235950</v>
      </c>
      <c r="J116" s="518">
        <v>436345</v>
      </c>
      <c r="K116" s="518">
        <v>18544</v>
      </c>
      <c r="L116" s="518">
        <v>62960</v>
      </c>
      <c r="M116" s="518"/>
      <c r="N116" s="518"/>
      <c r="O116" s="518"/>
      <c r="P116" s="518"/>
      <c r="Q116" s="518"/>
      <c r="R116" s="518"/>
      <c r="T116" s="518">
        <f t="shared" si="45"/>
        <v>18544</v>
      </c>
      <c r="U116" s="518">
        <f t="shared" si="46"/>
        <v>44416</v>
      </c>
    </row>
    <row r="117" spans="1:21">
      <c r="A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  <c r="T117" s="510"/>
      <c r="U117" s="510"/>
    </row>
    <row r="118" spans="1:21" ht="15" thickBot="1">
      <c r="A118" s="523" t="s">
        <v>557</v>
      </c>
      <c r="C118" s="519">
        <f t="shared" ref="C118:J118" si="47">C109+C111</f>
        <v>0</v>
      </c>
      <c r="D118" s="519">
        <f t="shared" si="47"/>
        <v>0</v>
      </c>
      <c r="E118" s="519">
        <f t="shared" si="47"/>
        <v>0</v>
      </c>
      <c r="F118" s="519">
        <f t="shared" si="47"/>
        <v>0</v>
      </c>
      <c r="G118" s="519">
        <f t="shared" si="47"/>
        <v>-60124</v>
      </c>
      <c r="H118" s="519">
        <f t="shared" si="47"/>
        <v>-482796</v>
      </c>
      <c r="I118" s="519">
        <f t="shared" si="47"/>
        <v>-561492</v>
      </c>
      <c r="J118" s="519">
        <f t="shared" si="47"/>
        <v>-613947</v>
      </c>
      <c r="K118" s="519">
        <f>K109+K111</f>
        <v>-58811</v>
      </c>
      <c r="L118" s="519">
        <f>L109+L111</f>
        <v>-152423</v>
      </c>
      <c r="M118" s="519"/>
      <c r="N118" s="519"/>
      <c r="O118" s="519"/>
      <c r="P118" s="519"/>
      <c r="Q118" s="519"/>
      <c r="R118" s="519"/>
      <c r="T118" s="519">
        <f>T109+T111</f>
        <v>-58811</v>
      </c>
      <c r="U118" s="519">
        <f>U109+U111</f>
        <v>-93612</v>
      </c>
    </row>
    <row r="119" spans="1:21" ht="15" thickTop="1">
      <c r="A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  <c r="T119" s="510"/>
      <c r="U119" s="510"/>
    </row>
    <row r="120" spans="1:21">
      <c r="A120" s="509" t="s">
        <v>558</v>
      </c>
      <c r="C120" s="518"/>
      <c r="D120" s="518"/>
      <c r="E120" s="518"/>
      <c r="F120" s="518"/>
      <c r="G120" s="518"/>
      <c r="H120" s="518"/>
      <c r="I120" s="518"/>
      <c r="J120" s="518"/>
      <c r="K120" s="518"/>
      <c r="L120" s="518"/>
      <c r="M120" s="518"/>
      <c r="N120" s="518"/>
      <c r="O120" s="518"/>
      <c r="P120" s="518"/>
      <c r="Q120" s="518"/>
      <c r="R120" s="518"/>
      <c r="T120" s="518"/>
      <c r="U120" s="518"/>
    </row>
    <row r="121" spans="1:21">
      <c r="A121" s="510" t="s">
        <v>559</v>
      </c>
      <c r="C121" s="518"/>
      <c r="D121" s="518"/>
      <c r="E121" s="518"/>
      <c r="F121" s="518"/>
      <c r="G121" s="518">
        <v>-482623</v>
      </c>
      <c r="H121" s="518">
        <v>-482623</v>
      </c>
      <c r="I121" s="518">
        <f>I118-I122</f>
        <v>-561289.62923469744</v>
      </c>
      <c r="J121" s="518">
        <f>J118-J122</f>
        <v>-613725.72360737971</v>
      </c>
      <c r="K121" s="518">
        <v>-58790</v>
      </c>
      <c r="L121" s="518">
        <v>-152368</v>
      </c>
      <c r="M121" s="518"/>
      <c r="N121" s="518"/>
      <c r="O121" s="518"/>
      <c r="P121" s="518"/>
      <c r="Q121" s="518"/>
      <c r="R121" s="518"/>
      <c r="T121" s="518">
        <f t="shared" ref="T121:T122" si="48">K121</f>
        <v>-58790</v>
      </c>
      <c r="U121" s="518">
        <f t="shared" ref="U121:U122" si="49">L121-T121</f>
        <v>-93578</v>
      </c>
    </row>
    <row r="122" spans="1:21">
      <c r="A122" s="510" t="s">
        <v>560</v>
      </c>
      <c r="C122" s="518"/>
      <c r="D122" s="518"/>
      <c r="E122" s="518"/>
      <c r="F122" s="518"/>
      <c r="G122" s="518">
        <v>-173</v>
      </c>
      <c r="H122" s="518">
        <v>-173</v>
      </c>
      <c r="I122" s="518">
        <f>I118*I127</f>
        <v>-202.37076530251176</v>
      </c>
      <c r="J122" s="518">
        <f>J118*J127</f>
        <v>-221.27639262034219</v>
      </c>
      <c r="K122" s="518">
        <v>-21</v>
      </c>
      <c r="L122" s="518">
        <v>-55</v>
      </c>
      <c r="M122" s="518"/>
      <c r="N122" s="518"/>
      <c r="O122" s="518"/>
      <c r="P122" s="518"/>
      <c r="Q122" s="518"/>
      <c r="R122" s="518"/>
      <c r="T122" s="518">
        <f t="shared" si="48"/>
        <v>-21</v>
      </c>
      <c r="U122" s="518">
        <f t="shared" si="49"/>
        <v>-34</v>
      </c>
    </row>
    <row r="123" spans="1:21">
      <c r="A123" s="510"/>
      <c r="C123" s="510"/>
      <c r="D123" s="510"/>
      <c r="E123" s="510"/>
      <c r="F123" s="510"/>
      <c r="G123" s="510"/>
      <c r="H123" s="510"/>
      <c r="I123" s="510"/>
      <c r="J123" s="510"/>
      <c r="K123" s="510"/>
      <c r="L123" s="510"/>
      <c r="M123" s="510"/>
      <c r="N123" s="510"/>
      <c r="O123" s="510"/>
      <c r="P123" s="510"/>
      <c r="Q123" s="510"/>
      <c r="R123" s="510"/>
      <c r="T123" s="510"/>
      <c r="U123" s="510"/>
    </row>
    <row r="124" spans="1:21" ht="15" thickBot="1">
      <c r="A124" s="523" t="s">
        <v>557</v>
      </c>
      <c r="C124" s="519">
        <f t="shared" ref="C124:I124" si="50">SUM(C121:C122)</f>
        <v>0</v>
      </c>
      <c r="D124" s="519">
        <f t="shared" si="50"/>
        <v>0</v>
      </c>
      <c r="E124" s="519">
        <f t="shared" si="50"/>
        <v>0</v>
      </c>
      <c r="F124" s="519">
        <f t="shared" si="50"/>
        <v>0</v>
      </c>
      <c r="G124" s="519">
        <f t="shared" si="50"/>
        <v>-482796</v>
      </c>
      <c r="H124" s="519">
        <f t="shared" si="50"/>
        <v>-482796</v>
      </c>
      <c r="I124" s="519">
        <f t="shared" si="50"/>
        <v>-561492</v>
      </c>
      <c r="J124" s="519">
        <f t="shared" ref="J124" si="51">SUM(J121:J122)</f>
        <v>-613947</v>
      </c>
      <c r="K124" s="519">
        <f>SUM(K121:K122)</f>
        <v>-58811</v>
      </c>
      <c r="L124" s="519">
        <f>SUM(L121:L122)</f>
        <v>-152423</v>
      </c>
      <c r="M124" s="519"/>
      <c r="N124" s="519"/>
      <c r="O124" s="519"/>
      <c r="P124" s="519"/>
      <c r="Q124" s="519"/>
      <c r="R124" s="519"/>
      <c r="T124" s="519">
        <f>SUM(T121:T122)</f>
        <v>-58811</v>
      </c>
      <c r="U124" s="519">
        <f>SUM(U121:U122)</f>
        <v>-93612</v>
      </c>
    </row>
    <row r="125" spans="1:21" ht="15" thickTop="1"/>
    <row r="126" spans="1:21" s="525" customFormat="1" ht="10.5">
      <c r="A126" s="524" t="s">
        <v>561</v>
      </c>
      <c r="C126" s="526"/>
      <c r="D126" s="526"/>
      <c r="E126" s="526"/>
      <c r="F126" s="526"/>
      <c r="G126" s="526">
        <v>0.99963958388489504</v>
      </c>
      <c r="H126" s="526">
        <v>0.99963958388489504</v>
      </c>
      <c r="I126" s="526">
        <v>0.99963958388489504</v>
      </c>
      <c r="J126" s="526">
        <v>0.99963958388489504</v>
      </c>
      <c r="K126" s="526">
        <v>0.99963958388489504</v>
      </c>
      <c r="L126" s="526">
        <v>0.99963958388489504</v>
      </c>
      <c r="T126" s="526">
        <f t="shared" ref="T126:T127" si="52">K126</f>
        <v>0.99963958388489504</v>
      </c>
      <c r="U126" s="526">
        <v>0.99963958388489504</v>
      </c>
    </row>
    <row r="127" spans="1:21" s="525" customFormat="1" ht="10.5">
      <c r="A127" s="524" t="s">
        <v>562</v>
      </c>
      <c r="C127" s="526"/>
      <c r="D127" s="526"/>
      <c r="E127" s="526"/>
      <c r="F127" s="526"/>
      <c r="G127" s="526">
        <v>3.6041611510495564E-4</v>
      </c>
      <c r="H127" s="526">
        <v>3.6041611510495564E-4</v>
      </c>
      <c r="I127" s="526">
        <v>3.6041611510495564E-4</v>
      </c>
      <c r="J127" s="526">
        <v>3.6041611510495564E-4</v>
      </c>
      <c r="K127" s="526">
        <v>3.6041611510495564E-4</v>
      </c>
      <c r="L127" s="526">
        <v>3.6041611510495564E-4</v>
      </c>
      <c r="T127" s="526">
        <f t="shared" si="52"/>
        <v>3.6041611510495564E-4</v>
      </c>
      <c r="U127" s="526">
        <v>3.6041611510495564E-4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0.79998168889431442"/>
  </sheetPr>
  <dimension ref="A3:U127"/>
  <sheetViews>
    <sheetView showGridLines="0" zoomScale="85" zoomScaleNormal="85" workbookViewId="0">
      <pane xSplit="1" ySplit="4" topLeftCell="B5" activePane="bottomRight" state="frozen"/>
      <selection pane="topRight"/>
      <selection pane="bottomLeft"/>
      <selection pane="bottomRight" activeCell="L12" sqref="L12"/>
    </sheetView>
  </sheetViews>
  <sheetFormatPr defaultRowHeight="14.5" outlineLevelRow="1"/>
  <cols>
    <col min="1" max="1" width="65.7265625" bestFit="1" customWidth="1"/>
    <col min="2" max="2" width="1.54296875" customWidth="1"/>
    <col min="3" max="12" width="15.1796875" customWidth="1"/>
    <col min="13" max="18" width="15.1796875" hidden="1" customWidth="1"/>
    <col min="19" max="19" width="1.54296875" customWidth="1"/>
    <col min="20" max="20" width="15.1796875" hidden="1" customWidth="1"/>
    <col min="21" max="21" width="15.1796875" customWidth="1"/>
  </cols>
  <sheetData>
    <row r="3" spans="1:21">
      <c r="C3" s="540" t="s">
        <v>570</v>
      </c>
    </row>
    <row r="4" spans="1:21">
      <c r="A4" s="521" t="s">
        <v>571</v>
      </c>
      <c r="C4" s="520" t="s">
        <v>572</v>
      </c>
      <c r="D4" s="520" t="s">
        <v>454</v>
      </c>
      <c r="E4" s="520" t="s">
        <v>455</v>
      </c>
      <c r="F4" s="520">
        <v>2022</v>
      </c>
      <c r="G4" s="520" t="s">
        <v>456</v>
      </c>
      <c r="H4" s="520" t="s">
        <v>457</v>
      </c>
      <c r="I4" s="520" t="s">
        <v>458</v>
      </c>
      <c r="J4" s="520">
        <v>2023</v>
      </c>
      <c r="K4" s="520" t="s">
        <v>459</v>
      </c>
      <c r="L4" s="520" t="s">
        <v>460</v>
      </c>
      <c r="M4" s="520" t="s">
        <v>461</v>
      </c>
      <c r="N4" s="520">
        <v>2024</v>
      </c>
      <c r="O4" s="520" t="s">
        <v>462</v>
      </c>
      <c r="P4" s="520" t="s">
        <v>463</v>
      </c>
      <c r="Q4" s="520" t="s">
        <v>464</v>
      </c>
      <c r="R4" s="520">
        <v>2025</v>
      </c>
      <c r="T4" s="520" t="s">
        <v>53</v>
      </c>
      <c r="U4" s="520" t="s">
        <v>54</v>
      </c>
    </row>
    <row r="5" spans="1:21" ht="6.65" customHeight="1"/>
    <row r="6" spans="1:21">
      <c r="A6" s="522" t="s">
        <v>465</v>
      </c>
      <c r="C6" s="513">
        <f t="shared" ref="C6:I6" si="0">SUM(C8,C11:C17)</f>
        <v>67086</v>
      </c>
      <c r="D6" s="513">
        <f t="shared" si="0"/>
        <v>271077</v>
      </c>
      <c r="E6" s="513">
        <f t="shared" si="0"/>
        <v>582227</v>
      </c>
      <c r="F6" s="513">
        <f t="shared" si="0"/>
        <v>871697</v>
      </c>
      <c r="G6" s="513">
        <f t="shared" si="0"/>
        <v>250573</v>
      </c>
      <c r="H6" s="513">
        <f t="shared" si="0"/>
        <v>467925</v>
      </c>
      <c r="I6" s="513">
        <f t="shared" si="0"/>
        <v>761293</v>
      </c>
      <c r="J6" s="513">
        <f t="shared" ref="J6:K6" si="1">SUM(J8,J11:J17)</f>
        <v>1058695</v>
      </c>
      <c r="K6" s="513">
        <f t="shared" si="1"/>
        <v>212024</v>
      </c>
      <c r="L6" s="513">
        <f t="shared" ref="L6" si="2">SUM(L8,L11:L17)</f>
        <v>426573</v>
      </c>
      <c r="M6" s="513"/>
      <c r="N6" s="513"/>
      <c r="O6" s="513"/>
      <c r="P6" s="513"/>
      <c r="Q6" s="513"/>
      <c r="R6" s="513"/>
      <c r="T6" s="513">
        <f t="shared" ref="T6:U6" si="3">SUM(T8,T11:T17)</f>
        <v>212024</v>
      </c>
      <c r="U6" s="513">
        <f t="shared" si="3"/>
        <v>214549</v>
      </c>
    </row>
    <row r="7" spans="1:21">
      <c r="A7" s="509"/>
      <c r="C7" s="514"/>
      <c r="D7" s="514"/>
      <c r="E7" s="514"/>
      <c r="F7" s="514"/>
      <c r="G7" s="514"/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514"/>
      <c r="T7" s="514"/>
      <c r="U7" s="514"/>
    </row>
    <row r="8" spans="1:21">
      <c r="A8" s="510" t="s">
        <v>466</v>
      </c>
      <c r="C8" s="515">
        <f t="shared" ref="C8:H8" si="4">SUM(C9:C10)</f>
        <v>0</v>
      </c>
      <c r="D8" s="515">
        <f t="shared" si="4"/>
        <v>0</v>
      </c>
      <c r="E8" s="515">
        <f t="shared" si="4"/>
        <v>0</v>
      </c>
      <c r="F8" s="515">
        <f t="shared" si="4"/>
        <v>0</v>
      </c>
      <c r="G8" s="515">
        <f t="shared" si="4"/>
        <v>0</v>
      </c>
      <c r="H8" s="515">
        <f t="shared" si="4"/>
        <v>0</v>
      </c>
      <c r="I8" s="515">
        <f>SUM(I9:I10)</f>
        <v>0</v>
      </c>
      <c r="J8" s="515">
        <f>SUM(J9:J10)</f>
        <v>0</v>
      </c>
      <c r="K8" s="515">
        <f>SUM(K9:K10)</f>
        <v>0</v>
      </c>
      <c r="L8" s="515">
        <f>SUM(L9:L10)</f>
        <v>0</v>
      </c>
      <c r="M8" s="515"/>
      <c r="N8" s="515"/>
      <c r="O8" s="515"/>
      <c r="P8" s="515"/>
      <c r="Q8" s="515"/>
      <c r="R8" s="515"/>
      <c r="T8" s="515">
        <f>SUM(T9:T10)</f>
        <v>0</v>
      </c>
      <c r="U8" s="515">
        <f>SUM(U9:U10)</f>
        <v>0</v>
      </c>
    </row>
    <row r="9" spans="1:21" outlineLevel="1">
      <c r="A9" s="511" t="s">
        <v>466</v>
      </c>
      <c r="C9" s="516">
        <v>0</v>
      </c>
      <c r="D9" s="516">
        <v>0</v>
      </c>
      <c r="E9" s="516">
        <v>0</v>
      </c>
      <c r="F9" s="516">
        <v>0</v>
      </c>
      <c r="G9" s="516">
        <v>0</v>
      </c>
      <c r="H9" s="516">
        <v>0</v>
      </c>
      <c r="I9" s="516">
        <v>0</v>
      </c>
      <c r="J9" s="516">
        <v>0</v>
      </c>
      <c r="K9" s="516">
        <v>0</v>
      </c>
      <c r="L9" s="516">
        <v>0</v>
      </c>
      <c r="M9" s="516"/>
      <c r="N9" s="516"/>
      <c r="O9" s="516"/>
      <c r="P9" s="516"/>
      <c r="Q9" s="516"/>
      <c r="R9" s="516"/>
      <c r="T9" s="516">
        <f>K9</f>
        <v>0</v>
      </c>
      <c r="U9" s="516">
        <f>L9-T9</f>
        <v>0</v>
      </c>
    </row>
    <row r="10" spans="1:21" outlineLevel="1">
      <c r="A10" s="511" t="s">
        <v>467</v>
      </c>
      <c r="C10" s="516">
        <v>0</v>
      </c>
      <c r="D10" s="516">
        <v>0</v>
      </c>
      <c r="E10" s="516">
        <v>0</v>
      </c>
      <c r="F10" s="516">
        <v>0</v>
      </c>
      <c r="G10" s="516">
        <v>0</v>
      </c>
      <c r="H10" s="516">
        <v>0</v>
      </c>
      <c r="I10" s="516">
        <v>0</v>
      </c>
      <c r="J10" s="516">
        <v>0</v>
      </c>
      <c r="K10" s="516">
        <v>0</v>
      </c>
      <c r="L10" s="516">
        <v>0</v>
      </c>
      <c r="M10" s="516"/>
      <c r="N10" s="516"/>
      <c r="O10" s="516"/>
      <c r="P10" s="516"/>
      <c r="Q10" s="516"/>
      <c r="R10" s="516"/>
      <c r="T10" s="516">
        <f t="shared" ref="T10:T25" si="5">K10</f>
        <v>0</v>
      </c>
      <c r="U10" s="516">
        <f t="shared" ref="U10:U16" si="6">L10-T10</f>
        <v>0</v>
      </c>
    </row>
    <row r="11" spans="1:21">
      <c r="A11" s="510" t="s">
        <v>468</v>
      </c>
      <c r="C11" s="515">
        <v>0</v>
      </c>
      <c r="D11" s="515">
        <v>0</v>
      </c>
      <c r="E11" s="515">
        <v>0</v>
      </c>
      <c r="F11" s="515">
        <v>0</v>
      </c>
      <c r="G11" s="515">
        <v>0</v>
      </c>
      <c r="H11" s="515">
        <v>0</v>
      </c>
      <c r="I11" s="515">
        <v>0</v>
      </c>
      <c r="J11" s="515">
        <v>0</v>
      </c>
      <c r="K11" s="515">
        <v>0</v>
      </c>
      <c r="L11" s="515">
        <v>0</v>
      </c>
      <c r="M11" s="515"/>
      <c r="N11" s="515"/>
      <c r="O11" s="515"/>
      <c r="P11" s="515"/>
      <c r="Q11" s="515"/>
      <c r="R11" s="515"/>
      <c r="T11" s="515">
        <f t="shared" si="5"/>
        <v>0</v>
      </c>
      <c r="U11" s="515">
        <f t="shared" si="6"/>
        <v>0</v>
      </c>
    </row>
    <row r="12" spans="1:21">
      <c r="A12" s="510" t="s">
        <v>469</v>
      </c>
      <c r="C12" s="515">
        <v>66744</v>
      </c>
      <c r="D12" s="515">
        <v>265619</v>
      </c>
      <c r="E12" s="515">
        <v>573582</v>
      </c>
      <c r="F12" s="515">
        <v>862231</v>
      </c>
      <c r="G12" s="515">
        <v>250025</v>
      </c>
      <c r="H12" s="515">
        <v>465137</v>
      </c>
      <c r="I12" s="515">
        <v>746949</v>
      </c>
      <c r="J12" s="515">
        <v>1057938</v>
      </c>
      <c r="K12" s="515">
        <v>205711</v>
      </c>
      <c r="L12" s="515">
        <v>416779</v>
      </c>
      <c r="M12" s="515"/>
      <c r="N12" s="515"/>
      <c r="O12" s="515"/>
      <c r="P12" s="515"/>
      <c r="Q12" s="515"/>
      <c r="R12" s="515"/>
      <c r="T12" s="515">
        <f t="shared" si="5"/>
        <v>205711</v>
      </c>
      <c r="U12" s="515">
        <f t="shared" si="6"/>
        <v>211068</v>
      </c>
    </row>
    <row r="13" spans="1:21">
      <c r="A13" s="510" t="s">
        <v>470</v>
      </c>
      <c r="C13" s="515">
        <v>0</v>
      </c>
      <c r="D13" s="515">
        <v>0</v>
      </c>
      <c r="E13" s="515">
        <v>0</v>
      </c>
      <c r="F13" s="515">
        <v>0</v>
      </c>
      <c r="G13" s="515">
        <v>0</v>
      </c>
      <c r="H13" s="515">
        <v>0</v>
      </c>
      <c r="I13" s="515">
        <v>0</v>
      </c>
      <c r="J13" s="515">
        <v>0</v>
      </c>
      <c r="K13" s="515">
        <v>0</v>
      </c>
      <c r="L13" s="515">
        <v>0</v>
      </c>
      <c r="M13" s="515"/>
      <c r="N13" s="515"/>
      <c r="O13" s="515"/>
      <c r="P13" s="515"/>
      <c r="Q13" s="515"/>
      <c r="R13" s="515"/>
      <c r="T13" s="515">
        <f t="shared" si="5"/>
        <v>0</v>
      </c>
      <c r="U13" s="515">
        <f t="shared" si="6"/>
        <v>0</v>
      </c>
    </row>
    <row r="14" spans="1:21">
      <c r="A14" s="510" t="s">
        <v>471</v>
      </c>
      <c r="C14" s="515">
        <v>0</v>
      </c>
      <c r="D14" s="515">
        <v>0</v>
      </c>
      <c r="E14" s="515">
        <v>0</v>
      </c>
      <c r="F14" s="515">
        <v>0</v>
      </c>
      <c r="G14" s="515">
        <v>0</v>
      </c>
      <c r="H14" s="515">
        <v>0</v>
      </c>
      <c r="I14" s="515">
        <v>0</v>
      </c>
      <c r="J14" s="515">
        <v>0</v>
      </c>
      <c r="K14" s="515">
        <v>0</v>
      </c>
      <c r="L14" s="515">
        <v>0</v>
      </c>
      <c r="M14" s="515"/>
      <c r="N14" s="515"/>
      <c r="O14" s="515"/>
      <c r="P14" s="515"/>
      <c r="Q14" s="515"/>
      <c r="R14" s="515"/>
      <c r="T14" s="515">
        <f t="shared" si="5"/>
        <v>0</v>
      </c>
      <c r="U14" s="515">
        <f t="shared" si="6"/>
        <v>0</v>
      </c>
    </row>
    <row r="15" spans="1:21">
      <c r="A15" s="510" t="s">
        <v>472</v>
      </c>
      <c r="C15" s="515">
        <v>0</v>
      </c>
      <c r="D15" s="515">
        <v>0</v>
      </c>
      <c r="E15" s="515">
        <v>0</v>
      </c>
      <c r="F15" s="515">
        <v>0</v>
      </c>
      <c r="G15" s="515">
        <v>0</v>
      </c>
      <c r="H15" s="515">
        <v>0</v>
      </c>
      <c r="I15" s="515">
        <v>0</v>
      </c>
      <c r="J15" s="515">
        <v>0</v>
      </c>
      <c r="K15" s="515">
        <v>0</v>
      </c>
      <c r="L15" s="515">
        <v>0</v>
      </c>
      <c r="M15" s="515"/>
      <c r="N15" s="515"/>
      <c r="O15" s="515"/>
      <c r="P15" s="515"/>
      <c r="Q15" s="515"/>
      <c r="R15" s="515"/>
      <c r="T15" s="515">
        <f t="shared" si="5"/>
        <v>0</v>
      </c>
      <c r="U15" s="515">
        <f t="shared" si="6"/>
        <v>0</v>
      </c>
    </row>
    <row r="16" spans="1:21">
      <c r="A16" s="510" t="s">
        <v>473</v>
      </c>
      <c r="C16" s="515">
        <v>0</v>
      </c>
      <c r="D16" s="515">
        <v>0</v>
      </c>
      <c r="E16" s="515">
        <v>0</v>
      </c>
      <c r="F16" s="515">
        <v>0</v>
      </c>
      <c r="G16" s="515">
        <v>0</v>
      </c>
      <c r="H16" s="515">
        <v>0</v>
      </c>
      <c r="I16" s="515">
        <v>0</v>
      </c>
      <c r="J16" s="515">
        <v>0</v>
      </c>
      <c r="K16" s="515">
        <v>0</v>
      </c>
      <c r="L16" s="515">
        <v>0</v>
      </c>
      <c r="M16" s="515"/>
      <c r="N16" s="515"/>
      <c r="O16" s="515"/>
      <c r="P16" s="515"/>
      <c r="Q16" s="515"/>
      <c r="R16" s="515"/>
      <c r="T16" s="515">
        <f t="shared" si="5"/>
        <v>0</v>
      </c>
      <c r="U16" s="515">
        <f t="shared" si="6"/>
        <v>0</v>
      </c>
    </row>
    <row r="17" spans="1:21">
      <c r="A17" s="510" t="s">
        <v>474</v>
      </c>
      <c r="C17" s="515">
        <f t="shared" ref="C17:H17" si="7">SUM(C18:C25)</f>
        <v>342</v>
      </c>
      <c r="D17" s="515">
        <f t="shared" si="7"/>
        <v>5458</v>
      </c>
      <c r="E17" s="515">
        <f t="shared" si="7"/>
        <v>8645</v>
      </c>
      <c r="F17" s="515">
        <f t="shared" si="7"/>
        <v>9466</v>
      </c>
      <c r="G17" s="515">
        <f t="shared" si="7"/>
        <v>548</v>
      </c>
      <c r="H17" s="515">
        <f t="shared" si="7"/>
        <v>2788</v>
      </c>
      <c r="I17" s="515">
        <f>SUM(I18:I25)</f>
        <v>14344</v>
      </c>
      <c r="J17" s="515">
        <f>SUM(J18:J25)</f>
        <v>757</v>
      </c>
      <c r="K17" s="515">
        <f>SUM(K18:K25)</f>
        <v>6313</v>
      </c>
      <c r="L17" s="515">
        <f>SUM(L18:L25)</f>
        <v>9794</v>
      </c>
      <c r="M17" s="515"/>
      <c r="N17" s="515"/>
      <c r="O17" s="515"/>
      <c r="P17" s="515"/>
      <c r="Q17" s="515"/>
      <c r="R17" s="515"/>
      <c r="T17" s="515">
        <f>SUM(T18:T25)</f>
        <v>6313</v>
      </c>
      <c r="U17" s="515">
        <f>SUM(U18:U25)</f>
        <v>3481</v>
      </c>
    </row>
    <row r="18" spans="1:21" outlineLevel="1">
      <c r="A18" s="511" t="s">
        <v>475</v>
      </c>
      <c r="C18" s="516">
        <v>0</v>
      </c>
      <c r="D18" s="516">
        <v>0</v>
      </c>
      <c r="E18" s="516">
        <v>0</v>
      </c>
      <c r="F18" s="516">
        <v>0</v>
      </c>
      <c r="G18" s="516">
        <v>0</v>
      </c>
      <c r="H18" s="516">
        <v>0</v>
      </c>
      <c r="I18" s="516">
        <v>0</v>
      </c>
      <c r="J18" s="516">
        <v>0</v>
      </c>
      <c r="K18" s="516">
        <v>0</v>
      </c>
      <c r="L18" s="516">
        <v>0</v>
      </c>
      <c r="M18" s="516"/>
      <c r="N18" s="516"/>
      <c r="O18" s="516"/>
      <c r="P18" s="516"/>
      <c r="Q18" s="516"/>
      <c r="R18" s="516"/>
      <c r="T18" s="516">
        <f t="shared" si="5"/>
        <v>0</v>
      </c>
      <c r="U18" s="516">
        <f t="shared" ref="U18:U25" si="8">L18-T18</f>
        <v>0</v>
      </c>
    </row>
    <row r="19" spans="1:21" outlineLevel="1">
      <c r="A19" s="511" t="s">
        <v>476</v>
      </c>
      <c r="C19" s="516">
        <v>0</v>
      </c>
      <c r="D19" s="516">
        <v>0</v>
      </c>
      <c r="E19" s="516">
        <v>0</v>
      </c>
      <c r="F19" s="516">
        <v>0</v>
      </c>
      <c r="G19" s="516">
        <v>0</v>
      </c>
      <c r="H19" s="516">
        <v>0</v>
      </c>
      <c r="I19" s="516">
        <v>0</v>
      </c>
      <c r="J19" s="516">
        <v>0</v>
      </c>
      <c r="K19" s="516">
        <v>0</v>
      </c>
      <c r="L19" s="516">
        <v>0</v>
      </c>
      <c r="M19" s="516"/>
      <c r="N19" s="516"/>
      <c r="O19" s="516"/>
      <c r="P19" s="516"/>
      <c r="Q19" s="516"/>
      <c r="R19" s="516"/>
      <c r="T19" s="516">
        <f t="shared" si="5"/>
        <v>0</v>
      </c>
      <c r="U19" s="516">
        <f t="shared" si="8"/>
        <v>0</v>
      </c>
    </row>
    <row r="20" spans="1:21" outlineLevel="1">
      <c r="A20" s="511" t="s">
        <v>477</v>
      </c>
      <c r="C20" s="516">
        <v>0</v>
      </c>
      <c r="D20" s="516">
        <v>0</v>
      </c>
      <c r="E20" s="516">
        <v>0</v>
      </c>
      <c r="F20" s="516">
        <v>0</v>
      </c>
      <c r="G20" s="516">
        <v>0</v>
      </c>
      <c r="H20" s="516">
        <v>0</v>
      </c>
      <c r="I20" s="516">
        <v>0</v>
      </c>
      <c r="J20" s="516">
        <v>0</v>
      </c>
      <c r="K20" s="516">
        <v>0</v>
      </c>
      <c r="L20" s="516">
        <v>0</v>
      </c>
      <c r="M20" s="516"/>
      <c r="N20" s="516"/>
      <c r="O20" s="516"/>
      <c r="P20" s="516"/>
      <c r="Q20" s="516"/>
      <c r="R20" s="516"/>
      <c r="T20" s="516">
        <f t="shared" si="5"/>
        <v>0</v>
      </c>
      <c r="U20" s="516">
        <f t="shared" si="8"/>
        <v>0</v>
      </c>
    </row>
    <row r="21" spans="1:21" outlineLevel="1">
      <c r="A21" s="511" t="s">
        <v>478</v>
      </c>
      <c r="C21" s="516">
        <v>0</v>
      </c>
      <c r="D21" s="516">
        <v>0</v>
      </c>
      <c r="E21" s="516">
        <v>0</v>
      </c>
      <c r="F21" s="516">
        <v>0</v>
      </c>
      <c r="G21" s="516">
        <v>0</v>
      </c>
      <c r="H21" s="516">
        <v>0</v>
      </c>
      <c r="I21" s="516">
        <v>0</v>
      </c>
      <c r="J21" s="516">
        <v>0</v>
      </c>
      <c r="K21" s="516">
        <v>0</v>
      </c>
      <c r="L21" s="516">
        <v>0</v>
      </c>
      <c r="M21" s="516"/>
      <c r="N21" s="516"/>
      <c r="O21" s="516"/>
      <c r="P21" s="516"/>
      <c r="Q21" s="516"/>
      <c r="R21" s="516"/>
      <c r="T21" s="516">
        <f t="shared" si="5"/>
        <v>0</v>
      </c>
      <c r="U21" s="516">
        <f t="shared" si="8"/>
        <v>0</v>
      </c>
    </row>
    <row r="22" spans="1:21" outlineLevel="1">
      <c r="A22" s="511" t="s">
        <v>479</v>
      </c>
      <c r="C22" s="516">
        <v>0</v>
      </c>
      <c r="D22" s="516">
        <v>0</v>
      </c>
      <c r="E22" s="516">
        <v>0</v>
      </c>
      <c r="F22" s="516">
        <v>0</v>
      </c>
      <c r="G22" s="516">
        <v>0</v>
      </c>
      <c r="H22" s="516">
        <v>0</v>
      </c>
      <c r="I22" s="516">
        <v>0</v>
      </c>
      <c r="J22" s="516">
        <v>0</v>
      </c>
      <c r="K22" s="516">
        <v>0</v>
      </c>
      <c r="L22" s="516">
        <v>0</v>
      </c>
      <c r="M22" s="516"/>
      <c r="N22" s="516"/>
      <c r="O22" s="516"/>
      <c r="P22" s="516"/>
      <c r="Q22" s="516"/>
      <c r="R22" s="516"/>
      <c r="T22" s="516">
        <f t="shared" si="5"/>
        <v>0</v>
      </c>
      <c r="U22" s="516">
        <f t="shared" si="8"/>
        <v>0</v>
      </c>
    </row>
    <row r="23" spans="1:21" outlineLevel="1">
      <c r="A23" s="511" t="s">
        <v>480</v>
      </c>
      <c r="C23" s="516">
        <v>0</v>
      </c>
      <c r="D23" s="516">
        <v>0</v>
      </c>
      <c r="E23" s="516">
        <v>0</v>
      </c>
      <c r="F23" s="516">
        <v>0</v>
      </c>
      <c r="G23" s="516">
        <v>0</v>
      </c>
      <c r="H23" s="516">
        <v>0</v>
      </c>
      <c r="I23" s="516">
        <v>0</v>
      </c>
      <c r="J23" s="516">
        <v>0</v>
      </c>
      <c r="K23" s="516">
        <v>0</v>
      </c>
      <c r="L23" s="516">
        <v>0</v>
      </c>
      <c r="M23" s="516"/>
      <c r="N23" s="516"/>
      <c r="O23" s="516"/>
      <c r="P23" s="516"/>
      <c r="Q23" s="516"/>
      <c r="R23" s="516"/>
      <c r="T23" s="516">
        <f t="shared" si="5"/>
        <v>0</v>
      </c>
      <c r="U23" s="516">
        <f t="shared" si="8"/>
        <v>0</v>
      </c>
    </row>
    <row r="24" spans="1:21" outlineLevel="1">
      <c r="A24" s="511" t="s">
        <v>481</v>
      </c>
      <c r="C24" s="516">
        <v>0</v>
      </c>
      <c r="D24" s="516">
        <v>0</v>
      </c>
      <c r="E24" s="516">
        <v>0</v>
      </c>
      <c r="F24" s="516">
        <v>0</v>
      </c>
      <c r="G24" s="516">
        <v>0</v>
      </c>
      <c r="H24" s="516">
        <v>0</v>
      </c>
      <c r="I24" s="516">
        <v>0</v>
      </c>
      <c r="J24" s="516">
        <v>-167</v>
      </c>
      <c r="K24" s="516">
        <v>0</v>
      </c>
      <c r="L24" s="516">
        <v>0</v>
      </c>
      <c r="M24" s="516"/>
      <c r="N24" s="516"/>
      <c r="O24" s="516"/>
      <c r="P24" s="516"/>
      <c r="Q24" s="516"/>
      <c r="R24" s="516"/>
      <c r="T24" s="516">
        <f t="shared" si="5"/>
        <v>0</v>
      </c>
      <c r="U24" s="516">
        <f t="shared" si="8"/>
        <v>0</v>
      </c>
    </row>
    <row r="25" spans="1:21" outlineLevel="1">
      <c r="A25" s="511" t="s">
        <v>474</v>
      </c>
      <c r="C25" s="516">
        <v>342</v>
      </c>
      <c r="D25" s="516">
        <v>5458</v>
      </c>
      <c r="E25" s="516">
        <v>8645</v>
      </c>
      <c r="F25" s="516">
        <v>9466</v>
      </c>
      <c r="G25" s="516">
        <v>548</v>
      </c>
      <c r="H25" s="516">
        <v>2788</v>
      </c>
      <c r="I25" s="516">
        <v>14344</v>
      </c>
      <c r="J25" s="516">
        <v>924</v>
      </c>
      <c r="K25" s="516">
        <v>6313</v>
      </c>
      <c r="L25" s="516">
        <v>9794</v>
      </c>
      <c r="M25" s="516"/>
      <c r="N25" s="516"/>
      <c r="O25" s="516"/>
      <c r="P25" s="516"/>
      <c r="Q25" s="516"/>
      <c r="R25" s="516"/>
      <c r="T25" s="516">
        <f t="shared" si="5"/>
        <v>6313</v>
      </c>
      <c r="U25" s="516">
        <f t="shared" si="8"/>
        <v>3481</v>
      </c>
    </row>
    <row r="26" spans="1:21">
      <c r="A26" s="510"/>
      <c r="C26" s="510"/>
      <c r="D26" s="510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  <c r="T26" s="510"/>
      <c r="U26" s="510"/>
    </row>
    <row r="27" spans="1:21">
      <c r="A27" s="522" t="s">
        <v>482</v>
      </c>
      <c r="C27" s="513">
        <f t="shared" ref="C27:H27" si="9">SUM(C29:C37)</f>
        <v>-2541</v>
      </c>
      <c r="D27" s="513">
        <f t="shared" si="9"/>
        <v>-9790</v>
      </c>
      <c r="E27" s="513">
        <f t="shared" si="9"/>
        <v>-21107</v>
      </c>
      <c r="F27" s="513">
        <f t="shared" si="9"/>
        <v>-32140</v>
      </c>
      <c r="G27" s="513">
        <f t="shared" si="9"/>
        <v>-9949</v>
      </c>
      <c r="H27" s="513">
        <f t="shared" si="9"/>
        <v>-17671</v>
      </c>
      <c r="I27" s="513">
        <f>SUM(I29:I37)</f>
        <v>-27812</v>
      </c>
      <c r="J27" s="513">
        <f>SUM(J29:J37)</f>
        <v>-39164</v>
      </c>
      <c r="K27" s="513">
        <f>SUM(K29:K37)</f>
        <v>-10408</v>
      </c>
      <c r="L27" s="513">
        <f>SUM(L29:L37)</f>
        <v>-19354</v>
      </c>
      <c r="M27" s="513"/>
      <c r="N27" s="513"/>
      <c r="O27" s="513"/>
      <c r="P27" s="513"/>
      <c r="Q27" s="513"/>
      <c r="R27" s="513"/>
      <c r="T27" s="513">
        <f>SUM(T29:T37)</f>
        <v>-10408</v>
      </c>
      <c r="U27" s="513">
        <f>SUM(U29:U37)</f>
        <v>-8946</v>
      </c>
    </row>
    <row r="28" spans="1:21">
      <c r="A28" s="509"/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T28" s="514"/>
      <c r="U28" s="514"/>
    </row>
    <row r="29" spans="1:21" outlineLevel="1">
      <c r="A29" s="511" t="s">
        <v>483</v>
      </c>
      <c r="C29" s="516">
        <v>0</v>
      </c>
      <c r="D29" s="516">
        <v>0</v>
      </c>
      <c r="E29" s="516">
        <v>0</v>
      </c>
      <c r="F29" s="516">
        <v>0</v>
      </c>
      <c r="G29" s="516">
        <v>0</v>
      </c>
      <c r="H29" s="516">
        <v>-15</v>
      </c>
      <c r="I29" s="516">
        <v>-15</v>
      </c>
      <c r="J29" s="516">
        <v>-15</v>
      </c>
      <c r="K29" s="516">
        <v>-1250</v>
      </c>
      <c r="L29" s="516">
        <v>-2036</v>
      </c>
      <c r="M29" s="516"/>
      <c r="N29" s="516"/>
      <c r="O29" s="516"/>
      <c r="P29" s="516"/>
      <c r="Q29" s="516"/>
      <c r="R29" s="516"/>
      <c r="T29" s="516">
        <f t="shared" ref="T29:T37" si="10">K29</f>
        <v>-1250</v>
      </c>
      <c r="U29" s="516">
        <f t="shared" ref="U29:U37" si="11">L29-T29</f>
        <v>-786</v>
      </c>
    </row>
    <row r="30" spans="1:21" outlineLevel="1">
      <c r="A30" s="511" t="s">
        <v>484</v>
      </c>
      <c r="C30" s="516">
        <v>-2541</v>
      </c>
      <c r="D30" s="516">
        <v>-9790</v>
      </c>
      <c r="E30" s="516">
        <v>-21107</v>
      </c>
      <c r="F30" s="516">
        <v>-32140</v>
      </c>
      <c r="G30" s="516">
        <v>-9949</v>
      </c>
      <c r="H30" s="516">
        <v>-17656</v>
      </c>
      <c r="I30" s="516">
        <v>-27557</v>
      </c>
      <c r="J30" s="516">
        <v>-39138</v>
      </c>
      <c r="K30" s="516">
        <v>-9158</v>
      </c>
      <c r="L30" s="516">
        <v>-17318</v>
      </c>
      <c r="M30" s="516"/>
      <c r="N30" s="516"/>
      <c r="O30" s="516"/>
      <c r="P30" s="516"/>
      <c r="Q30" s="516"/>
      <c r="R30" s="516"/>
      <c r="T30" s="516">
        <f t="shared" si="10"/>
        <v>-9158</v>
      </c>
      <c r="U30" s="516">
        <f t="shared" si="11"/>
        <v>-8160</v>
      </c>
    </row>
    <row r="31" spans="1:21" outlineLevel="1">
      <c r="A31" s="511" t="s">
        <v>485</v>
      </c>
      <c r="C31" s="516">
        <v>0</v>
      </c>
      <c r="D31" s="516">
        <v>0</v>
      </c>
      <c r="E31" s="516">
        <v>0</v>
      </c>
      <c r="F31" s="516">
        <v>0</v>
      </c>
      <c r="G31" s="516">
        <v>0</v>
      </c>
      <c r="H31" s="516">
        <v>0</v>
      </c>
      <c r="I31" s="516">
        <v>-240</v>
      </c>
      <c r="J31" s="516">
        <v>-11</v>
      </c>
      <c r="K31" s="516">
        <v>0</v>
      </c>
      <c r="L31" s="516">
        <v>0</v>
      </c>
      <c r="M31" s="516"/>
      <c r="N31" s="516"/>
      <c r="O31" s="516"/>
      <c r="P31" s="516"/>
      <c r="Q31" s="516"/>
      <c r="R31" s="516"/>
      <c r="T31" s="516">
        <f t="shared" si="10"/>
        <v>0</v>
      </c>
      <c r="U31" s="516">
        <f t="shared" si="11"/>
        <v>0</v>
      </c>
    </row>
    <row r="32" spans="1:21" outlineLevel="1">
      <c r="A32" s="511" t="s">
        <v>486</v>
      </c>
      <c r="C32" s="516">
        <v>0</v>
      </c>
      <c r="D32" s="516">
        <v>0</v>
      </c>
      <c r="E32" s="516">
        <v>0</v>
      </c>
      <c r="F32" s="516">
        <v>0</v>
      </c>
      <c r="G32" s="516">
        <v>0</v>
      </c>
      <c r="H32" s="516">
        <v>0</v>
      </c>
      <c r="I32" s="516">
        <v>0</v>
      </c>
      <c r="J32" s="516">
        <v>0</v>
      </c>
      <c r="K32" s="516">
        <v>0</v>
      </c>
      <c r="L32" s="516">
        <v>0</v>
      </c>
      <c r="M32" s="516"/>
      <c r="N32" s="516"/>
      <c r="O32" s="516"/>
      <c r="P32" s="516"/>
      <c r="Q32" s="516"/>
      <c r="R32" s="516"/>
      <c r="T32" s="516">
        <f t="shared" si="10"/>
        <v>0</v>
      </c>
      <c r="U32" s="516">
        <f t="shared" si="11"/>
        <v>0</v>
      </c>
    </row>
    <row r="33" spans="1:21" outlineLevel="1">
      <c r="A33" s="511" t="s">
        <v>487</v>
      </c>
      <c r="C33" s="516">
        <v>0</v>
      </c>
      <c r="D33" s="516">
        <v>0</v>
      </c>
      <c r="E33" s="516">
        <v>0</v>
      </c>
      <c r="F33" s="516">
        <v>0</v>
      </c>
      <c r="G33" s="516">
        <v>0</v>
      </c>
      <c r="H33" s="516">
        <v>0</v>
      </c>
      <c r="I33" s="516">
        <v>0</v>
      </c>
      <c r="J33" s="516">
        <v>0</v>
      </c>
      <c r="K33" s="516">
        <v>0</v>
      </c>
      <c r="L33" s="516">
        <v>0</v>
      </c>
      <c r="M33" s="516"/>
      <c r="N33" s="516"/>
      <c r="O33" s="516"/>
      <c r="P33" s="516"/>
      <c r="Q33" s="516"/>
      <c r="R33" s="516"/>
      <c r="T33" s="516">
        <f t="shared" si="10"/>
        <v>0</v>
      </c>
      <c r="U33" s="516">
        <f t="shared" si="11"/>
        <v>0</v>
      </c>
    </row>
    <row r="34" spans="1:21" outlineLevel="1">
      <c r="A34" s="511" t="s">
        <v>488</v>
      </c>
      <c r="C34" s="516">
        <v>0</v>
      </c>
      <c r="D34" s="516">
        <v>0</v>
      </c>
      <c r="E34" s="516">
        <v>0</v>
      </c>
      <c r="F34" s="516">
        <v>0</v>
      </c>
      <c r="G34" s="516">
        <v>0</v>
      </c>
      <c r="H34" s="516">
        <v>0</v>
      </c>
      <c r="I34" s="516">
        <v>0</v>
      </c>
      <c r="J34" s="516">
        <v>0</v>
      </c>
      <c r="K34" s="516">
        <v>0</v>
      </c>
      <c r="L34" s="516">
        <v>0</v>
      </c>
      <c r="M34" s="516"/>
      <c r="N34" s="516"/>
      <c r="O34" s="516"/>
      <c r="P34" s="516"/>
      <c r="Q34" s="516"/>
      <c r="R34" s="516"/>
      <c r="T34" s="516">
        <f t="shared" si="10"/>
        <v>0</v>
      </c>
      <c r="U34" s="516">
        <f t="shared" si="11"/>
        <v>0</v>
      </c>
    </row>
    <row r="35" spans="1:21" outlineLevel="1">
      <c r="A35" s="511" t="s">
        <v>489</v>
      </c>
      <c r="C35" s="516">
        <v>0</v>
      </c>
      <c r="D35" s="516">
        <v>0</v>
      </c>
      <c r="E35" s="516">
        <v>0</v>
      </c>
      <c r="F35" s="516">
        <v>0</v>
      </c>
      <c r="G35" s="516">
        <v>0</v>
      </c>
      <c r="H35" s="516">
        <v>0</v>
      </c>
      <c r="I35" s="516">
        <v>0</v>
      </c>
      <c r="J35" s="516">
        <v>0</v>
      </c>
      <c r="K35" s="516">
        <v>0</v>
      </c>
      <c r="L35" s="516">
        <v>0</v>
      </c>
      <c r="M35" s="516"/>
      <c r="N35" s="516"/>
      <c r="O35" s="516"/>
      <c r="P35" s="516"/>
      <c r="Q35" s="516"/>
      <c r="R35" s="516"/>
      <c r="T35" s="516">
        <f t="shared" si="10"/>
        <v>0</v>
      </c>
      <c r="U35" s="516">
        <f t="shared" si="11"/>
        <v>0</v>
      </c>
    </row>
    <row r="36" spans="1:21" outlineLevel="1">
      <c r="A36" s="511" t="s">
        <v>490</v>
      </c>
      <c r="C36" s="516">
        <v>0</v>
      </c>
      <c r="D36" s="516">
        <v>0</v>
      </c>
      <c r="E36" s="516">
        <v>0</v>
      </c>
      <c r="F36" s="516">
        <v>0</v>
      </c>
      <c r="G36" s="516">
        <v>0</v>
      </c>
      <c r="H36" s="516">
        <v>0</v>
      </c>
      <c r="I36" s="516">
        <v>0</v>
      </c>
      <c r="J36" s="516">
        <v>0</v>
      </c>
      <c r="K36" s="516">
        <v>0</v>
      </c>
      <c r="L36" s="516">
        <v>0</v>
      </c>
      <c r="M36" s="516"/>
      <c r="N36" s="516"/>
      <c r="O36" s="516"/>
      <c r="P36" s="516"/>
      <c r="Q36" s="516"/>
      <c r="R36" s="516"/>
      <c r="T36" s="516">
        <f t="shared" si="10"/>
        <v>0</v>
      </c>
      <c r="U36" s="516">
        <f t="shared" si="11"/>
        <v>0</v>
      </c>
    </row>
    <row r="37" spans="1:21" outlineLevel="1">
      <c r="A37" s="511" t="s">
        <v>59</v>
      </c>
      <c r="C37" s="516">
        <v>0</v>
      </c>
      <c r="D37" s="516">
        <v>0</v>
      </c>
      <c r="E37" s="516">
        <v>0</v>
      </c>
      <c r="F37" s="516">
        <v>0</v>
      </c>
      <c r="G37" s="516">
        <v>0</v>
      </c>
      <c r="H37" s="516">
        <v>0</v>
      </c>
      <c r="I37" s="516">
        <v>0</v>
      </c>
      <c r="J37" s="516">
        <v>0</v>
      </c>
      <c r="K37" s="516">
        <v>0</v>
      </c>
      <c r="L37" s="516">
        <v>0</v>
      </c>
      <c r="M37" s="516"/>
      <c r="N37" s="516"/>
      <c r="O37" s="516"/>
      <c r="P37" s="516"/>
      <c r="Q37" s="516"/>
      <c r="R37" s="516"/>
      <c r="T37" s="516">
        <f t="shared" si="10"/>
        <v>0</v>
      </c>
      <c r="U37" s="516">
        <f t="shared" si="11"/>
        <v>0</v>
      </c>
    </row>
    <row r="38" spans="1:21">
      <c r="A38" s="510"/>
      <c r="C38" s="510"/>
      <c r="D38" s="510"/>
      <c r="E38" s="510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P38" s="510"/>
      <c r="Q38" s="510"/>
      <c r="R38" s="510"/>
      <c r="T38" s="510"/>
      <c r="U38" s="510"/>
    </row>
    <row r="39" spans="1:21">
      <c r="A39" s="522" t="s">
        <v>491</v>
      </c>
      <c r="C39" s="513">
        <f t="shared" ref="C39:H39" si="12">C27+C6</f>
        <v>64545</v>
      </c>
      <c r="D39" s="513">
        <f t="shared" si="12"/>
        <v>261287</v>
      </c>
      <c r="E39" s="513">
        <f t="shared" si="12"/>
        <v>561120</v>
      </c>
      <c r="F39" s="513">
        <f t="shared" si="12"/>
        <v>839557</v>
      </c>
      <c r="G39" s="513">
        <f t="shared" si="12"/>
        <v>240624</v>
      </c>
      <c r="H39" s="513">
        <f t="shared" si="12"/>
        <v>450254</v>
      </c>
      <c r="I39" s="513">
        <f>I27+I6</f>
        <v>733481</v>
      </c>
      <c r="J39" s="513">
        <f>J27+J6</f>
        <v>1019531</v>
      </c>
      <c r="K39" s="513">
        <f>K27+K6</f>
        <v>201616</v>
      </c>
      <c r="L39" s="513">
        <f>L27+L6</f>
        <v>407219</v>
      </c>
      <c r="M39" s="513"/>
      <c r="N39" s="513"/>
      <c r="O39" s="513"/>
      <c r="P39" s="513"/>
      <c r="Q39" s="513"/>
      <c r="R39" s="513"/>
      <c r="T39" s="513">
        <f>T27+T6</f>
        <v>201616</v>
      </c>
      <c r="U39" s="513">
        <f>U27+U6</f>
        <v>205603</v>
      </c>
    </row>
    <row r="40" spans="1:21">
      <c r="A40" s="510"/>
      <c r="C40" s="510"/>
      <c r="D40" s="510"/>
      <c r="E40" s="510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P40" s="510"/>
      <c r="Q40" s="510"/>
      <c r="R40" s="510"/>
      <c r="T40" s="510"/>
      <c r="U40" s="510"/>
    </row>
    <row r="41" spans="1:21">
      <c r="A41" s="509" t="s">
        <v>492</v>
      </c>
      <c r="C41" s="517">
        <f t="shared" ref="C41:H41" si="13">SUM(C43:C48)</f>
        <v>-43056</v>
      </c>
      <c r="D41" s="517">
        <f t="shared" si="13"/>
        <v>-175059</v>
      </c>
      <c r="E41" s="517">
        <f t="shared" si="13"/>
        <v>-307570</v>
      </c>
      <c r="F41" s="517">
        <f t="shared" si="13"/>
        <v>-440843</v>
      </c>
      <c r="G41" s="517">
        <f t="shared" si="13"/>
        <v>-149145</v>
      </c>
      <c r="H41" s="517">
        <f t="shared" si="13"/>
        <v>-303574</v>
      </c>
      <c r="I41" s="517">
        <f>SUM(I43:I48)</f>
        <v>-440208</v>
      </c>
      <c r="J41" s="517">
        <f>SUM(J43:J48)</f>
        <v>-497945</v>
      </c>
      <c r="K41" s="517">
        <f>SUM(K43:K48)</f>
        <v>-132764</v>
      </c>
      <c r="L41" s="517">
        <f>SUM(L43:L48)</f>
        <v>-262920</v>
      </c>
      <c r="M41" s="517"/>
      <c r="N41" s="517"/>
      <c r="O41" s="517"/>
      <c r="P41" s="517"/>
      <c r="Q41" s="517"/>
      <c r="R41" s="517"/>
      <c r="T41" s="517">
        <f>SUM(T43:T48)</f>
        <v>-132764</v>
      </c>
      <c r="U41" s="517">
        <f>SUM(U43:U48)</f>
        <v>-130156</v>
      </c>
    </row>
    <row r="42" spans="1:21">
      <c r="A42" s="509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T42" s="514"/>
      <c r="U42" s="514"/>
    </row>
    <row r="43" spans="1:21">
      <c r="A43" s="510" t="s">
        <v>493</v>
      </c>
      <c r="C43" s="515">
        <v>-2745</v>
      </c>
      <c r="D43" s="515">
        <v>-3459</v>
      </c>
      <c r="E43" s="515">
        <v>-4124</v>
      </c>
      <c r="F43" s="515">
        <v>-5659</v>
      </c>
      <c r="G43" s="515">
        <v>-12504</v>
      </c>
      <c r="H43" s="515">
        <v>-21129</v>
      </c>
      <c r="I43" s="515">
        <v>-23807</v>
      </c>
      <c r="J43" s="515">
        <v>-26429</v>
      </c>
      <c r="K43" s="515">
        <v>-6242</v>
      </c>
      <c r="L43" s="515">
        <v>-10609</v>
      </c>
      <c r="M43" s="515"/>
      <c r="N43" s="515"/>
      <c r="O43" s="515"/>
      <c r="P43" s="515"/>
      <c r="Q43" s="515"/>
      <c r="R43" s="515"/>
      <c r="T43" s="515">
        <f t="shared" ref="T43:T47" si="14">K43</f>
        <v>-6242</v>
      </c>
      <c r="U43" s="515">
        <f t="shared" ref="U43:U47" si="15">L43-T43</f>
        <v>-4367</v>
      </c>
    </row>
    <row r="44" spans="1:21">
      <c r="A44" s="510" t="s">
        <v>494</v>
      </c>
      <c r="C44" s="515">
        <v>0</v>
      </c>
      <c r="D44" s="515">
        <v>0</v>
      </c>
      <c r="E44" s="515">
        <v>0</v>
      </c>
      <c r="F44" s="515">
        <v>0</v>
      </c>
      <c r="G44" s="515">
        <v>0</v>
      </c>
      <c r="H44" s="515">
        <v>0</v>
      </c>
      <c r="I44" s="515">
        <v>0</v>
      </c>
      <c r="J44" s="515">
        <v>0</v>
      </c>
      <c r="K44" s="515">
        <v>0</v>
      </c>
      <c r="L44" s="515">
        <v>0</v>
      </c>
      <c r="M44" s="515"/>
      <c r="N44" s="515"/>
      <c r="O44" s="515"/>
      <c r="P44" s="515"/>
      <c r="Q44" s="515"/>
      <c r="R44" s="515"/>
      <c r="T44" s="515">
        <f t="shared" si="14"/>
        <v>0</v>
      </c>
      <c r="U44" s="515">
        <f t="shared" si="15"/>
        <v>0</v>
      </c>
    </row>
    <row r="45" spans="1:21">
      <c r="A45" s="510" t="s">
        <v>495</v>
      </c>
      <c r="C45" s="515">
        <v>0</v>
      </c>
      <c r="D45" s="515">
        <v>0</v>
      </c>
      <c r="E45" s="515">
        <v>0</v>
      </c>
      <c r="F45" s="515">
        <v>0</v>
      </c>
      <c r="G45" s="515">
        <v>0</v>
      </c>
      <c r="H45" s="515">
        <v>0</v>
      </c>
      <c r="I45" s="515">
        <v>0</v>
      </c>
      <c r="J45" s="515">
        <v>0</v>
      </c>
      <c r="K45" s="515">
        <v>0</v>
      </c>
      <c r="L45" s="515">
        <v>0</v>
      </c>
      <c r="M45" s="515"/>
      <c r="N45" s="515"/>
      <c r="O45" s="515"/>
      <c r="P45" s="515"/>
      <c r="Q45" s="515"/>
      <c r="R45" s="515"/>
      <c r="T45" s="515">
        <f t="shared" si="14"/>
        <v>0</v>
      </c>
      <c r="U45" s="515">
        <f t="shared" si="15"/>
        <v>0</v>
      </c>
    </row>
    <row r="46" spans="1:21">
      <c r="A46" s="510" t="s">
        <v>496</v>
      </c>
      <c r="C46" s="515">
        <v>0</v>
      </c>
      <c r="D46" s="515">
        <v>0</v>
      </c>
      <c r="E46" s="515">
        <v>0</v>
      </c>
      <c r="F46" s="515">
        <v>0</v>
      </c>
      <c r="G46" s="515">
        <v>0</v>
      </c>
      <c r="H46" s="515">
        <v>0</v>
      </c>
      <c r="I46" s="515">
        <v>0</v>
      </c>
      <c r="J46" s="515">
        <v>0</v>
      </c>
      <c r="K46" s="515">
        <v>0</v>
      </c>
      <c r="L46" s="515">
        <v>0</v>
      </c>
      <c r="M46" s="515"/>
      <c r="N46" s="515"/>
      <c r="O46" s="515"/>
      <c r="P46" s="515"/>
      <c r="Q46" s="515"/>
      <c r="R46" s="515"/>
      <c r="T46" s="515">
        <f t="shared" si="14"/>
        <v>0</v>
      </c>
      <c r="U46" s="515">
        <f t="shared" si="15"/>
        <v>0</v>
      </c>
    </row>
    <row r="47" spans="1:21">
      <c r="A47" s="510" t="s">
        <v>497</v>
      </c>
      <c r="C47" s="515">
        <v>0</v>
      </c>
      <c r="D47" s="515">
        <v>0</v>
      </c>
      <c r="E47" s="515">
        <v>0</v>
      </c>
      <c r="F47" s="515">
        <v>0</v>
      </c>
      <c r="G47" s="515">
        <v>0</v>
      </c>
      <c r="H47" s="515">
        <v>0</v>
      </c>
      <c r="I47" s="515">
        <v>0</v>
      </c>
      <c r="J47" s="515">
        <v>0</v>
      </c>
      <c r="K47" s="515">
        <v>0</v>
      </c>
      <c r="L47" s="515">
        <v>0</v>
      </c>
      <c r="M47" s="515"/>
      <c r="N47" s="515"/>
      <c r="O47" s="515"/>
      <c r="P47" s="515"/>
      <c r="Q47" s="515"/>
      <c r="R47" s="515"/>
      <c r="T47" s="515">
        <f t="shared" si="14"/>
        <v>0</v>
      </c>
      <c r="U47" s="515">
        <f t="shared" si="15"/>
        <v>0</v>
      </c>
    </row>
    <row r="48" spans="1:21">
      <c r="A48" s="510" t="s">
        <v>498</v>
      </c>
      <c r="C48" s="515">
        <f t="shared" ref="C48:H48" si="16">SUM(C49:C55)</f>
        <v>-40311</v>
      </c>
      <c r="D48" s="515">
        <f t="shared" si="16"/>
        <v>-171600</v>
      </c>
      <c r="E48" s="515">
        <f t="shared" si="16"/>
        <v>-303446</v>
      </c>
      <c r="F48" s="515">
        <f t="shared" si="16"/>
        <v>-435184</v>
      </c>
      <c r="G48" s="515">
        <f t="shared" si="16"/>
        <v>-136641</v>
      </c>
      <c r="H48" s="515">
        <f t="shared" si="16"/>
        <v>-282445</v>
      </c>
      <c r="I48" s="515">
        <f>SUM(I49:I55)</f>
        <v>-416401</v>
      </c>
      <c r="J48" s="515">
        <f>SUM(J49:J55)</f>
        <v>-471516</v>
      </c>
      <c r="K48" s="515">
        <f>SUM(K49:K55)</f>
        <v>-126522</v>
      </c>
      <c r="L48" s="515">
        <f>SUM(L49:L55)</f>
        <v>-252311</v>
      </c>
      <c r="M48" s="515"/>
      <c r="N48" s="515"/>
      <c r="O48" s="515"/>
      <c r="P48" s="515"/>
      <c r="Q48" s="515"/>
      <c r="R48" s="515"/>
      <c r="T48" s="515">
        <f>SUM(T49:T55)</f>
        <v>-126522</v>
      </c>
      <c r="U48" s="515">
        <f>SUM(U49:U55)</f>
        <v>-125789</v>
      </c>
    </row>
    <row r="49" spans="1:21" outlineLevel="1">
      <c r="A49" s="511" t="s">
        <v>499</v>
      </c>
      <c r="C49" s="516">
        <v>-2646</v>
      </c>
      <c r="D49" s="516">
        <v>-10842</v>
      </c>
      <c r="E49" s="516">
        <v>-19658</v>
      </c>
      <c r="F49" s="516">
        <v>-24781</v>
      </c>
      <c r="G49" s="516">
        <v>-5502</v>
      </c>
      <c r="H49" s="516">
        <v>-14857</v>
      </c>
      <c r="I49" s="516">
        <v>-21426</v>
      </c>
      <c r="J49" s="516">
        <v>-28313</v>
      </c>
      <c r="K49" s="516">
        <v>-6691</v>
      </c>
      <c r="L49" s="516">
        <v>-14188</v>
      </c>
      <c r="M49" s="516"/>
      <c r="N49" s="516"/>
      <c r="O49" s="516"/>
      <c r="P49" s="516"/>
      <c r="Q49" s="516"/>
      <c r="R49" s="516"/>
      <c r="T49" s="516">
        <f t="shared" ref="T49:T55" si="17">K49</f>
        <v>-6691</v>
      </c>
      <c r="U49" s="516">
        <f t="shared" ref="U49:U55" si="18">L49-T49</f>
        <v>-7497</v>
      </c>
    </row>
    <row r="50" spans="1:21" outlineLevel="1">
      <c r="A50" s="511" t="s">
        <v>500</v>
      </c>
      <c r="C50" s="516">
        <v>-964</v>
      </c>
      <c r="D50" s="516">
        <v>-4860</v>
      </c>
      <c r="E50" s="516">
        <v>-6561</v>
      </c>
      <c r="F50" s="516">
        <v>-8438</v>
      </c>
      <c r="G50" s="516">
        <v>-2190</v>
      </c>
      <c r="H50" s="516">
        <v>-6993</v>
      </c>
      <c r="I50" s="516">
        <v>-10569</v>
      </c>
      <c r="J50" s="516">
        <v>-12910</v>
      </c>
      <c r="K50" s="516">
        <v>-2619</v>
      </c>
      <c r="L50" s="516">
        <v>-4355</v>
      </c>
      <c r="M50" s="516"/>
      <c r="N50" s="516"/>
      <c r="O50" s="516"/>
      <c r="P50" s="516"/>
      <c r="Q50" s="516"/>
      <c r="R50" s="516"/>
      <c r="T50" s="516">
        <f t="shared" si="17"/>
        <v>-2619</v>
      </c>
      <c r="U50" s="516">
        <f t="shared" si="18"/>
        <v>-1736</v>
      </c>
    </row>
    <row r="51" spans="1:21" outlineLevel="1">
      <c r="A51" s="511" t="s">
        <v>501</v>
      </c>
      <c r="C51" s="516">
        <v>-1442</v>
      </c>
      <c r="D51" s="516">
        <v>-6377</v>
      </c>
      <c r="E51" s="516">
        <v>-9919</v>
      </c>
      <c r="F51" s="516">
        <v>-15554</v>
      </c>
      <c r="G51" s="516">
        <v>-3156</v>
      </c>
      <c r="H51" s="516">
        <v>-8520</v>
      </c>
      <c r="I51" s="516">
        <v>-11645</v>
      </c>
      <c r="J51" s="516">
        <v>-15038</v>
      </c>
      <c r="K51" s="516">
        <v>-4793</v>
      </c>
      <c r="L51" s="516">
        <v>-9845</v>
      </c>
      <c r="M51" s="516"/>
      <c r="N51" s="516"/>
      <c r="O51" s="516"/>
      <c r="P51" s="516"/>
      <c r="Q51" s="516"/>
      <c r="R51" s="516"/>
      <c r="T51" s="516">
        <f t="shared" si="17"/>
        <v>-4793</v>
      </c>
      <c r="U51" s="516">
        <f t="shared" si="18"/>
        <v>-5052</v>
      </c>
    </row>
    <row r="52" spans="1:21" outlineLevel="1">
      <c r="A52" s="511" t="s">
        <v>502</v>
      </c>
      <c r="C52" s="516">
        <v>-21627</v>
      </c>
      <c r="D52" s="516">
        <v>-83087</v>
      </c>
      <c r="E52" s="516">
        <v>-146669</v>
      </c>
      <c r="F52" s="516">
        <v>-215870</v>
      </c>
      <c r="G52" s="516">
        <v>-66532</v>
      </c>
      <c r="H52" s="516">
        <v>-132167</v>
      </c>
      <c r="I52" s="516">
        <v>-195393</v>
      </c>
      <c r="J52" s="516">
        <v>-211954</v>
      </c>
      <c r="K52" s="516">
        <v>-54169</v>
      </c>
      <c r="L52" s="516">
        <v>-108521</v>
      </c>
      <c r="M52" s="516"/>
      <c r="N52" s="516"/>
      <c r="O52" s="516"/>
      <c r="P52" s="516"/>
      <c r="Q52" s="516"/>
      <c r="R52" s="516"/>
      <c r="T52" s="516">
        <f t="shared" si="17"/>
        <v>-54169</v>
      </c>
      <c r="U52" s="516">
        <f t="shared" si="18"/>
        <v>-54352</v>
      </c>
    </row>
    <row r="53" spans="1:21" outlineLevel="1">
      <c r="A53" s="511" t="s">
        <v>503</v>
      </c>
      <c r="C53" s="516">
        <v>0</v>
      </c>
      <c r="D53" s="516">
        <v>0</v>
      </c>
      <c r="E53" s="516">
        <v>0</v>
      </c>
      <c r="F53" s="516">
        <v>0</v>
      </c>
      <c r="G53" s="516">
        <v>0</v>
      </c>
      <c r="H53" s="516">
        <v>0</v>
      </c>
      <c r="I53" s="516">
        <v>0</v>
      </c>
      <c r="J53" s="516">
        <v>0</v>
      </c>
      <c r="K53" s="516">
        <v>0</v>
      </c>
      <c r="L53" s="516">
        <v>0</v>
      </c>
      <c r="M53" s="516"/>
      <c r="N53" s="516"/>
      <c r="O53" s="516"/>
      <c r="P53" s="516"/>
      <c r="Q53" s="516"/>
      <c r="R53" s="516"/>
      <c r="T53" s="516">
        <f t="shared" si="17"/>
        <v>0</v>
      </c>
      <c r="U53" s="516">
        <f t="shared" si="18"/>
        <v>0</v>
      </c>
    </row>
    <row r="54" spans="1:21" outlineLevel="1">
      <c r="A54" s="511" t="s">
        <v>504</v>
      </c>
      <c r="C54" s="516">
        <v>0</v>
      </c>
      <c r="D54" s="516">
        <v>0</v>
      </c>
      <c r="E54" s="516">
        <v>0</v>
      </c>
      <c r="F54" s="516">
        <v>0</v>
      </c>
      <c r="G54" s="516">
        <v>0</v>
      </c>
      <c r="H54" s="516">
        <v>0</v>
      </c>
      <c r="I54" s="516">
        <v>0</v>
      </c>
      <c r="J54" s="516">
        <v>0</v>
      </c>
      <c r="K54" s="516">
        <v>0</v>
      </c>
      <c r="L54" s="516">
        <v>0</v>
      </c>
      <c r="M54" s="516"/>
      <c r="N54" s="516"/>
      <c r="O54" s="516"/>
      <c r="P54" s="516"/>
      <c r="Q54" s="516"/>
      <c r="R54" s="516"/>
      <c r="T54" s="516">
        <f t="shared" si="17"/>
        <v>0</v>
      </c>
      <c r="U54" s="516">
        <f t="shared" si="18"/>
        <v>0</v>
      </c>
    </row>
    <row r="55" spans="1:21" outlineLevel="1">
      <c r="A55" s="511" t="s">
        <v>505</v>
      </c>
      <c r="C55" s="516">
        <v>-13632</v>
      </c>
      <c r="D55" s="516">
        <v>-66434</v>
      </c>
      <c r="E55" s="516">
        <v>-120639</v>
      </c>
      <c r="F55" s="516">
        <v>-170541</v>
      </c>
      <c r="G55" s="516">
        <v>-59261</v>
      </c>
      <c r="H55" s="516">
        <v>-119908</v>
      </c>
      <c r="I55" s="516">
        <v>-177368</v>
      </c>
      <c r="J55" s="516">
        <v>-203301</v>
      </c>
      <c r="K55" s="516">
        <v>-58250</v>
      </c>
      <c r="L55" s="516">
        <v>-115402</v>
      </c>
      <c r="M55" s="516"/>
      <c r="N55" s="516"/>
      <c r="O55" s="516"/>
      <c r="P55" s="516"/>
      <c r="Q55" s="516"/>
      <c r="R55" s="516"/>
      <c r="T55" s="516">
        <f t="shared" si="17"/>
        <v>-58250</v>
      </c>
      <c r="U55" s="516">
        <f t="shared" si="18"/>
        <v>-57152</v>
      </c>
    </row>
    <row r="56" spans="1:21">
      <c r="A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0"/>
      <c r="T56" s="510"/>
      <c r="U56" s="510"/>
    </row>
    <row r="57" spans="1:21">
      <c r="A57" s="522" t="s">
        <v>506</v>
      </c>
      <c r="C57" s="513">
        <f t="shared" ref="C57:H57" si="19">C39+C41</f>
        <v>21489</v>
      </c>
      <c r="D57" s="513">
        <f t="shared" si="19"/>
        <v>86228</v>
      </c>
      <c r="E57" s="513">
        <f t="shared" si="19"/>
        <v>253550</v>
      </c>
      <c r="F57" s="513">
        <f t="shared" si="19"/>
        <v>398714</v>
      </c>
      <c r="G57" s="513">
        <f t="shared" si="19"/>
        <v>91479</v>
      </c>
      <c r="H57" s="513">
        <f t="shared" si="19"/>
        <v>146680</v>
      </c>
      <c r="I57" s="513">
        <f>I39+I41</f>
        <v>293273</v>
      </c>
      <c r="J57" s="513">
        <f>J39+J41</f>
        <v>521586</v>
      </c>
      <c r="K57" s="513">
        <f>K39+K41</f>
        <v>68852</v>
      </c>
      <c r="L57" s="513">
        <f>L39+L41</f>
        <v>144299</v>
      </c>
      <c r="M57" s="513"/>
      <c r="N57" s="513"/>
      <c r="O57" s="513"/>
      <c r="P57" s="513"/>
      <c r="Q57" s="513"/>
      <c r="R57" s="513"/>
      <c r="T57" s="513">
        <f>T39+T41</f>
        <v>68852</v>
      </c>
      <c r="U57" s="513">
        <f>U39+U41</f>
        <v>75447</v>
      </c>
    </row>
    <row r="58" spans="1:21">
      <c r="A58" s="510"/>
      <c r="C58" s="510"/>
      <c r="D58" s="510"/>
      <c r="E58" s="510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P58" s="510"/>
      <c r="Q58" s="510"/>
      <c r="R58" s="510"/>
      <c r="T58" s="510"/>
      <c r="U58" s="510"/>
    </row>
    <row r="59" spans="1:21">
      <c r="A59" s="509" t="s">
        <v>507</v>
      </c>
      <c r="C59" s="517">
        <f t="shared" ref="C59:H59" si="20">C61+C67+C68+C77+C78</f>
        <v>-7067</v>
      </c>
      <c r="D59" s="517">
        <f t="shared" si="20"/>
        <v>-29071</v>
      </c>
      <c r="E59" s="517">
        <f t="shared" si="20"/>
        <v>-48929</v>
      </c>
      <c r="F59" s="517">
        <f t="shared" si="20"/>
        <v>-78504</v>
      </c>
      <c r="G59" s="517">
        <f t="shared" si="20"/>
        <v>-29915</v>
      </c>
      <c r="H59" s="517">
        <f t="shared" si="20"/>
        <v>-35422</v>
      </c>
      <c r="I59" s="517">
        <f>I61+I67+I68+I77+I78</f>
        <v>-56774</v>
      </c>
      <c r="J59" s="517">
        <f>J61+J67+J68+J77+J78</f>
        <v>-98640</v>
      </c>
      <c r="K59" s="517">
        <f>K61+K67+K68+K77+K78</f>
        <v>-19157</v>
      </c>
      <c r="L59" s="517">
        <f>L61+L67+L68+L77+L78</f>
        <v>-50025</v>
      </c>
      <c r="M59" s="517"/>
      <c r="N59" s="517"/>
      <c r="O59" s="517"/>
      <c r="P59" s="517"/>
      <c r="Q59" s="517"/>
      <c r="R59" s="517"/>
      <c r="T59" s="517">
        <f>T61+T67+T68+T77+T78</f>
        <v>-19157</v>
      </c>
      <c r="U59" s="517">
        <f>U61+U67+U68+U77+U78</f>
        <v>-30868</v>
      </c>
    </row>
    <row r="60" spans="1:21">
      <c r="A60" s="509"/>
      <c r="C60" s="514"/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514"/>
      <c r="R60" s="514"/>
      <c r="T60" s="514"/>
      <c r="U60" s="514"/>
    </row>
    <row r="61" spans="1:21">
      <c r="A61" s="512" t="s">
        <v>508</v>
      </c>
      <c r="C61" s="515">
        <f t="shared" ref="C61:H61" si="21">SUM(C62:C66)</f>
        <v>0</v>
      </c>
      <c r="D61" s="515">
        <f t="shared" si="21"/>
        <v>0</v>
      </c>
      <c r="E61" s="515">
        <f t="shared" si="21"/>
        <v>0</v>
      </c>
      <c r="F61" s="515">
        <f t="shared" si="21"/>
        <v>0</v>
      </c>
      <c r="G61" s="515">
        <f t="shared" si="21"/>
        <v>0</v>
      </c>
      <c r="H61" s="515">
        <f t="shared" si="21"/>
        <v>0</v>
      </c>
      <c r="I61" s="515">
        <f>SUM(I62:I66)</f>
        <v>0</v>
      </c>
      <c r="J61" s="515">
        <f>SUM(J62:J66)</f>
        <v>0</v>
      </c>
      <c r="K61" s="515">
        <f t="shared" ref="K61:L61" si="22">SUM(K62:K66)</f>
        <v>0</v>
      </c>
      <c r="L61" s="515">
        <f t="shared" si="22"/>
        <v>0</v>
      </c>
      <c r="M61" s="515"/>
      <c r="N61" s="515"/>
      <c r="O61" s="515"/>
      <c r="P61" s="515"/>
      <c r="Q61" s="515"/>
      <c r="R61" s="515"/>
      <c r="T61" s="515">
        <f t="shared" ref="T61" si="23">SUM(T62:T66)</f>
        <v>0</v>
      </c>
      <c r="U61" s="515">
        <f t="shared" ref="U61:U67" si="24">L61-T61</f>
        <v>0</v>
      </c>
    </row>
    <row r="62" spans="1:21" outlineLevel="1">
      <c r="A62" s="511" t="s">
        <v>509</v>
      </c>
      <c r="C62" s="516">
        <v>0</v>
      </c>
      <c r="D62" s="516">
        <v>0</v>
      </c>
      <c r="E62" s="516">
        <v>0</v>
      </c>
      <c r="F62" s="516">
        <v>0</v>
      </c>
      <c r="G62" s="516">
        <v>0</v>
      </c>
      <c r="H62" s="516">
        <v>0</v>
      </c>
      <c r="I62" s="516">
        <v>0</v>
      </c>
      <c r="J62" s="516">
        <v>0</v>
      </c>
      <c r="K62" s="516">
        <v>0</v>
      </c>
      <c r="L62" s="516">
        <v>0</v>
      </c>
      <c r="M62" s="516"/>
      <c r="N62" s="516"/>
      <c r="O62" s="516"/>
      <c r="P62" s="516"/>
      <c r="Q62" s="516"/>
      <c r="R62" s="516"/>
      <c r="T62" s="516">
        <f t="shared" ref="T62:T67" si="25">K62</f>
        <v>0</v>
      </c>
      <c r="U62" s="516">
        <f t="shared" si="24"/>
        <v>0</v>
      </c>
    </row>
    <row r="63" spans="1:21" outlineLevel="1">
      <c r="A63" s="511" t="s">
        <v>510</v>
      </c>
      <c r="C63" s="516">
        <v>0</v>
      </c>
      <c r="D63" s="516">
        <v>0</v>
      </c>
      <c r="E63" s="516">
        <v>0</v>
      </c>
      <c r="F63" s="516">
        <v>0</v>
      </c>
      <c r="G63" s="516">
        <v>0</v>
      </c>
      <c r="H63" s="516">
        <v>0</v>
      </c>
      <c r="I63" s="516">
        <v>0</v>
      </c>
      <c r="J63" s="516">
        <v>0</v>
      </c>
      <c r="K63" s="516">
        <v>0</v>
      </c>
      <c r="L63" s="516">
        <v>0</v>
      </c>
      <c r="M63" s="516"/>
      <c r="N63" s="516"/>
      <c r="O63" s="516"/>
      <c r="P63" s="516"/>
      <c r="Q63" s="516"/>
      <c r="R63" s="516"/>
      <c r="T63" s="516">
        <f t="shared" si="25"/>
        <v>0</v>
      </c>
      <c r="U63" s="516">
        <f t="shared" si="24"/>
        <v>0</v>
      </c>
    </row>
    <row r="64" spans="1:21" outlineLevel="1">
      <c r="A64" s="511" t="s">
        <v>511</v>
      </c>
      <c r="C64" s="516">
        <v>0</v>
      </c>
      <c r="D64" s="516">
        <v>0</v>
      </c>
      <c r="E64" s="516">
        <v>0</v>
      </c>
      <c r="F64" s="516">
        <v>0</v>
      </c>
      <c r="G64" s="516">
        <v>0</v>
      </c>
      <c r="H64" s="516">
        <v>0</v>
      </c>
      <c r="I64" s="516">
        <v>0</v>
      </c>
      <c r="J64" s="516">
        <v>0</v>
      </c>
      <c r="K64" s="516">
        <v>0</v>
      </c>
      <c r="L64" s="516">
        <v>0</v>
      </c>
      <c r="M64" s="516"/>
      <c r="N64" s="516"/>
      <c r="O64" s="516"/>
      <c r="P64" s="516"/>
      <c r="Q64" s="516"/>
      <c r="R64" s="516"/>
      <c r="T64" s="516">
        <f t="shared" si="25"/>
        <v>0</v>
      </c>
      <c r="U64" s="516">
        <f t="shared" si="24"/>
        <v>0</v>
      </c>
    </row>
    <row r="65" spans="1:21" outlineLevel="1">
      <c r="A65" s="511" t="s">
        <v>512</v>
      </c>
      <c r="C65" s="516">
        <v>0</v>
      </c>
      <c r="D65" s="516">
        <v>0</v>
      </c>
      <c r="E65" s="516">
        <v>0</v>
      </c>
      <c r="F65" s="516">
        <v>0</v>
      </c>
      <c r="G65" s="516">
        <v>0</v>
      </c>
      <c r="H65" s="516">
        <v>0</v>
      </c>
      <c r="I65" s="516">
        <v>0</v>
      </c>
      <c r="J65" s="516">
        <v>0</v>
      </c>
      <c r="K65" s="516">
        <v>0</v>
      </c>
      <c r="L65" s="516">
        <v>0</v>
      </c>
      <c r="M65" s="516"/>
      <c r="N65" s="516"/>
      <c r="O65" s="516"/>
      <c r="P65" s="516"/>
      <c r="Q65" s="516"/>
      <c r="R65" s="516"/>
      <c r="T65" s="516">
        <f t="shared" si="25"/>
        <v>0</v>
      </c>
      <c r="U65" s="516">
        <f t="shared" si="24"/>
        <v>0</v>
      </c>
    </row>
    <row r="66" spans="1:21" outlineLevel="1">
      <c r="A66" s="511" t="s">
        <v>513</v>
      </c>
      <c r="C66" s="516">
        <v>0</v>
      </c>
      <c r="D66" s="516">
        <v>0</v>
      </c>
      <c r="E66" s="516">
        <v>0</v>
      </c>
      <c r="F66" s="516">
        <v>0</v>
      </c>
      <c r="G66" s="516">
        <v>0</v>
      </c>
      <c r="H66" s="516">
        <v>0</v>
      </c>
      <c r="I66" s="516">
        <v>0</v>
      </c>
      <c r="J66" s="516">
        <v>0</v>
      </c>
      <c r="K66" s="516">
        <v>0</v>
      </c>
      <c r="L66" s="516">
        <v>0</v>
      </c>
      <c r="M66" s="516"/>
      <c r="N66" s="516"/>
      <c r="O66" s="516"/>
      <c r="P66" s="516"/>
      <c r="Q66" s="516"/>
      <c r="R66" s="516"/>
      <c r="T66" s="516">
        <f t="shared" si="25"/>
        <v>0</v>
      </c>
      <c r="U66" s="516">
        <f t="shared" si="24"/>
        <v>0</v>
      </c>
    </row>
    <row r="67" spans="1:21">
      <c r="A67" s="510" t="s">
        <v>514</v>
      </c>
      <c r="C67" s="518">
        <v>0</v>
      </c>
      <c r="D67" s="518">
        <v>0</v>
      </c>
      <c r="E67" s="518">
        <v>0</v>
      </c>
      <c r="F67" s="518">
        <v>0</v>
      </c>
      <c r="G67" s="518">
        <v>0</v>
      </c>
      <c r="H67" s="518">
        <v>0</v>
      </c>
      <c r="I67" s="518">
        <v>0</v>
      </c>
      <c r="J67" s="518"/>
      <c r="K67" s="518"/>
      <c r="L67" s="518">
        <v>0</v>
      </c>
      <c r="M67" s="518"/>
      <c r="N67" s="518"/>
      <c r="O67" s="518"/>
      <c r="P67" s="518"/>
      <c r="Q67" s="518"/>
      <c r="R67" s="518"/>
      <c r="T67" s="518">
        <f t="shared" si="25"/>
        <v>0</v>
      </c>
      <c r="U67" s="518">
        <f t="shared" si="24"/>
        <v>0</v>
      </c>
    </row>
    <row r="68" spans="1:21">
      <c r="A68" s="510" t="s">
        <v>515</v>
      </c>
      <c r="C68" s="515">
        <f t="shared" ref="C68:H68" si="26">SUM(C69:C76)</f>
        <v>-7067</v>
      </c>
      <c r="D68" s="515">
        <f t="shared" si="26"/>
        <v>-29071</v>
      </c>
      <c r="E68" s="515">
        <f t="shared" si="26"/>
        <v>-48929</v>
      </c>
      <c r="F68" s="515">
        <f t="shared" si="26"/>
        <v>-78504</v>
      </c>
      <c r="G68" s="515">
        <f t="shared" si="26"/>
        <v>-29469</v>
      </c>
      <c r="H68" s="515">
        <f t="shared" si="26"/>
        <v>-35692</v>
      </c>
      <c r="I68" s="515">
        <f>SUM(I69:I76)</f>
        <v>-56281</v>
      </c>
      <c r="J68" s="515">
        <f>SUM(J69:J76)</f>
        <v>-78439</v>
      </c>
      <c r="K68" s="515">
        <f>SUM(K69:K76)</f>
        <v>-19216</v>
      </c>
      <c r="L68" s="515">
        <f>SUM(L69:L76)</f>
        <v>-50147</v>
      </c>
      <c r="M68" s="515"/>
      <c r="N68" s="515"/>
      <c r="O68" s="515"/>
      <c r="P68" s="515"/>
      <c r="Q68" s="515"/>
      <c r="R68" s="515"/>
      <c r="T68" s="515">
        <f>SUM(T69:T76)</f>
        <v>-19216</v>
      </c>
      <c r="U68" s="515">
        <f>SUM(U69:U76)</f>
        <v>-30931</v>
      </c>
    </row>
    <row r="69" spans="1:21" outlineLevel="1">
      <c r="A69" s="511" t="s">
        <v>516</v>
      </c>
      <c r="C69" s="516">
        <v>-1731</v>
      </c>
      <c r="D69" s="516">
        <v>-5170</v>
      </c>
      <c r="E69" s="516">
        <v>-11064</v>
      </c>
      <c r="F69" s="516">
        <v>-17579</v>
      </c>
      <c r="G69" s="516">
        <v>-5606</v>
      </c>
      <c r="H69" s="516">
        <v>-8887</v>
      </c>
      <c r="I69" s="516">
        <v>-15263</v>
      </c>
      <c r="J69" s="516">
        <v>-16396</v>
      </c>
      <c r="K69" s="516">
        <v>-6075</v>
      </c>
      <c r="L69" s="516">
        <v>-17477</v>
      </c>
      <c r="M69" s="516"/>
      <c r="N69" s="516"/>
      <c r="O69" s="516"/>
      <c r="P69" s="516"/>
      <c r="Q69" s="516"/>
      <c r="R69" s="516"/>
      <c r="T69" s="516">
        <f t="shared" ref="T69:T77" si="27">K69</f>
        <v>-6075</v>
      </c>
      <c r="U69" s="516">
        <f t="shared" ref="U69:U81" si="28">L69-T69</f>
        <v>-11402</v>
      </c>
    </row>
    <row r="70" spans="1:21" outlineLevel="1">
      <c r="A70" s="511" t="s">
        <v>517</v>
      </c>
      <c r="C70" s="516">
        <v>0</v>
      </c>
      <c r="D70" s="516">
        <v>0</v>
      </c>
      <c r="E70" s="516">
        <v>0</v>
      </c>
      <c r="F70" s="516">
        <v>-78</v>
      </c>
      <c r="G70" s="516">
        <v>-17</v>
      </c>
      <c r="H70" s="516">
        <v>-71</v>
      </c>
      <c r="I70" s="516">
        <v>-104</v>
      </c>
      <c r="J70" s="516">
        <v>-245</v>
      </c>
      <c r="K70" s="516">
        <v>-61</v>
      </c>
      <c r="L70" s="516">
        <v>-158</v>
      </c>
      <c r="M70" s="516"/>
      <c r="N70" s="516"/>
      <c r="O70" s="516"/>
      <c r="P70" s="516"/>
      <c r="Q70" s="516"/>
      <c r="R70" s="516"/>
      <c r="T70" s="516">
        <f t="shared" si="27"/>
        <v>-61</v>
      </c>
      <c r="U70" s="516">
        <f t="shared" si="28"/>
        <v>-97</v>
      </c>
    </row>
    <row r="71" spans="1:21" outlineLevel="1">
      <c r="A71" s="511" t="s">
        <v>518</v>
      </c>
      <c r="C71" s="516">
        <v>-1807</v>
      </c>
      <c r="D71" s="516">
        <v>-4616</v>
      </c>
      <c r="E71" s="516">
        <v>-11201</v>
      </c>
      <c r="F71" s="516">
        <v>-17331</v>
      </c>
      <c r="G71" s="516">
        <v>-13015</v>
      </c>
      <c r="H71" s="516">
        <v>-2814</v>
      </c>
      <c r="I71" s="516">
        <v>-5444</v>
      </c>
      <c r="J71" s="516">
        <v>-6869</v>
      </c>
      <c r="K71" s="516">
        <v>-1408</v>
      </c>
      <c r="L71" s="516">
        <v>-6061</v>
      </c>
      <c r="M71" s="516"/>
      <c r="N71" s="516"/>
      <c r="O71" s="516"/>
      <c r="P71" s="516"/>
      <c r="Q71" s="516"/>
      <c r="R71" s="516"/>
      <c r="T71" s="516">
        <f t="shared" si="27"/>
        <v>-1408</v>
      </c>
      <c r="U71" s="516">
        <f t="shared" si="28"/>
        <v>-4653</v>
      </c>
    </row>
    <row r="72" spans="1:21" outlineLevel="1">
      <c r="A72" s="511" t="s">
        <v>519</v>
      </c>
      <c r="C72" s="516">
        <v>0</v>
      </c>
      <c r="D72" s="516">
        <v>0</v>
      </c>
      <c r="E72" s="516">
        <v>0</v>
      </c>
      <c r="F72" s="516">
        <v>0</v>
      </c>
      <c r="G72" s="516">
        <v>0</v>
      </c>
      <c r="H72" s="516">
        <v>0</v>
      </c>
      <c r="I72" s="516">
        <v>0</v>
      </c>
      <c r="J72" s="516">
        <v>0</v>
      </c>
      <c r="K72" s="516">
        <v>0</v>
      </c>
      <c r="L72" s="516">
        <v>0</v>
      </c>
      <c r="M72" s="516"/>
      <c r="N72" s="516"/>
      <c r="O72" s="516"/>
      <c r="P72" s="516"/>
      <c r="Q72" s="516"/>
      <c r="R72" s="516"/>
      <c r="T72" s="516">
        <f t="shared" si="27"/>
        <v>0</v>
      </c>
      <c r="U72" s="516">
        <f t="shared" si="28"/>
        <v>0</v>
      </c>
    </row>
    <row r="73" spans="1:21" outlineLevel="1">
      <c r="A73" s="511" t="s">
        <v>520</v>
      </c>
      <c r="C73" s="516">
        <v>-323</v>
      </c>
      <c r="D73" s="516">
        <v>-9378</v>
      </c>
      <c r="E73" s="516">
        <v>-3883</v>
      </c>
      <c r="F73" s="516">
        <v>-11022</v>
      </c>
      <c r="G73" s="516">
        <v>-1242</v>
      </c>
      <c r="H73" s="516">
        <v>-4686</v>
      </c>
      <c r="I73" s="516">
        <v>-5173</v>
      </c>
      <c r="J73" s="516">
        <v>-11076</v>
      </c>
      <c r="K73" s="516">
        <v>-622</v>
      </c>
      <c r="L73" s="516">
        <v>-4632</v>
      </c>
      <c r="M73" s="516"/>
      <c r="N73" s="516"/>
      <c r="O73" s="516"/>
      <c r="P73" s="516"/>
      <c r="Q73" s="516"/>
      <c r="R73" s="516"/>
      <c r="T73" s="516">
        <f t="shared" si="27"/>
        <v>-622</v>
      </c>
      <c r="U73" s="516">
        <f t="shared" si="28"/>
        <v>-4010</v>
      </c>
    </row>
    <row r="74" spans="1:21" outlineLevel="1">
      <c r="A74" s="511" t="s">
        <v>521</v>
      </c>
      <c r="C74" s="516">
        <v>0</v>
      </c>
      <c r="D74" s="516">
        <v>0</v>
      </c>
      <c r="E74" s="516">
        <v>0</v>
      </c>
      <c r="F74" s="516">
        <v>0</v>
      </c>
      <c r="G74" s="516">
        <v>0</v>
      </c>
      <c r="H74" s="516">
        <v>0</v>
      </c>
      <c r="I74" s="516">
        <v>0</v>
      </c>
      <c r="J74" s="516">
        <v>0</v>
      </c>
      <c r="K74" s="516">
        <v>0</v>
      </c>
      <c r="L74" s="516">
        <v>0</v>
      </c>
      <c r="M74" s="516"/>
      <c r="N74" s="516"/>
      <c r="O74" s="516"/>
      <c r="P74" s="516"/>
      <c r="Q74" s="516"/>
      <c r="R74" s="516"/>
      <c r="T74" s="516">
        <f t="shared" si="27"/>
        <v>0</v>
      </c>
      <c r="U74" s="516">
        <f t="shared" si="28"/>
        <v>0</v>
      </c>
    </row>
    <row r="75" spans="1:21" outlineLevel="1">
      <c r="A75" s="511" t="s">
        <v>522</v>
      </c>
      <c r="C75" s="516">
        <v>-3206</v>
      </c>
      <c r="D75" s="516">
        <v>-9907</v>
      </c>
      <c r="E75" s="516">
        <v>-753</v>
      </c>
      <c r="F75" s="516">
        <v>-1025</v>
      </c>
      <c r="G75" s="516">
        <v>-148</v>
      </c>
      <c r="H75" s="516">
        <v>-353</v>
      </c>
      <c r="I75" s="516">
        <v>-1975</v>
      </c>
      <c r="J75" s="516">
        <v>-6090</v>
      </c>
      <c r="K75" s="516">
        <v>-1609</v>
      </c>
      <c r="L75" s="516">
        <v>-2938</v>
      </c>
      <c r="M75" s="516"/>
      <c r="N75" s="516"/>
      <c r="O75" s="516"/>
      <c r="P75" s="516"/>
      <c r="Q75" s="516"/>
      <c r="R75" s="516"/>
      <c r="T75" s="516">
        <f t="shared" si="27"/>
        <v>-1609</v>
      </c>
      <c r="U75" s="516">
        <f t="shared" si="28"/>
        <v>-1329</v>
      </c>
    </row>
    <row r="76" spans="1:21" outlineLevel="1">
      <c r="A76" s="511" t="s">
        <v>523</v>
      </c>
      <c r="C76" s="516">
        <v>0</v>
      </c>
      <c r="D76" s="516">
        <v>0</v>
      </c>
      <c r="E76" s="516">
        <v>-22028</v>
      </c>
      <c r="F76" s="516">
        <v>-31469</v>
      </c>
      <c r="G76" s="516">
        <v>-9441</v>
      </c>
      <c r="H76" s="516">
        <v>-18881</v>
      </c>
      <c r="I76" s="516">
        <v>-28322</v>
      </c>
      <c r="J76" s="516">
        <v>-37763</v>
      </c>
      <c r="K76" s="516">
        <v>-9441</v>
      </c>
      <c r="L76" s="516">
        <v>-18881</v>
      </c>
      <c r="M76" s="516"/>
      <c r="N76" s="516"/>
      <c r="O76" s="516"/>
      <c r="P76" s="516"/>
      <c r="Q76" s="516"/>
      <c r="R76" s="516"/>
      <c r="T76" s="516">
        <f t="shared" si="27"/>
        <v>-9441</v>
      </c>
      <c r="U76" s="516">
        <f t="shared" si="28"/>
        <v>-9440</v>
      </c>
    </row>
    <row r="77" spans="1:21">
      <c r="A77" s="510" t="s">
        <v>524</v>
      </c>
      <c r="C77" s="515">
        <v>0</v>
      </c>
      <c r="D77" s="515">
        <v>0</v>
      </c>
      <c r="E77" s="515">
        <v>0</v>
      </c>
      <c r="F77" s="515">
        <v>0</v>
      </c>
      <c r="G77" s="515">
        <v>0</v>
      </c>
      <c r="H77" s="515">
        <v>0</v>
      </c>
      <c r="I77" s="515">
        <v>0</v>
      </c>
      <c r="J77" s="515"/>
      <c r="K77" s="515"/>
      <c r="L77" s="515">
        <v>0</v>
      </c>
      <c r="M77" s="515"/>
      <c r="N77" s="515"/>
      <c r="O77" s="515"/>
      <c r="P77" s="515"/>
      <c r="Q77" s="515"/>
      <c r="R77" s="515"/>
      <c r="T77" s="515">
        <f t="shared" si="27"/>
        <v>0</v>
      </c>
      <c r="U77" s="515">
        <f t="shared" si="28"/>
        <v>0</v>
      </c>
    </row>
    <row r="78" spans="1:21">
      <c r="A78" s="510" t="s">
        <v>525</v>
      </c>
      <c r="C78" s="515">
        <f>SUM(C79:C81)</f>
        <v>0</v>
      </c>
      <c r="D78" s="515">
        <f t="shared" ref="D78:L78" si="29">SUM(D79:D81)</f>
        <v>0</v>
      </c>
      <c r="E78" s="515">
        <f t="shared" si="29"/>
        <v>0</v>
      </c>
      <c r="F78" s="515">
        <f t="shared" si="29"/>
        <v>0</v>
      </c>
      <c r="G78" s="515">
        <f t="shared" si="29"/>
        <v>-446</v>
      </c>
      <c r="H78" s="515">
        <f t="shared" si="29"/>
        <v>270</v>
      </c>
      <c r="I78" s="515">
        <f t="shared" si="29"/>
        <v>-493</v>
      </c>
      <c r="J78" s="515">
        <f t="shared" si="29"/>
        <v>-20201</v>
      </c>
      <c r="K78" s="515">
        <f t="shared" si="29"/>
        <v>59</v>
      </c>
      <c r="L78" s="515">
        <f t="shared" si="29"/>
        <v>122</v>
      </c>
      <c r="M78" s="515"/>
      <c r="N78" s="515"/>
      <c r="O78" s="515"/>
      <c r="P78" s="515"/>
      <c r="Q78" s="515"/>
      <c r="R78" s="515"/>
      <c r="T78" s="515">
        <f t="shared" ref="T78:U78" si="30">SUM(T79:T81)</f>
        <v>59</v>
      </c>
      <c r="U78" s="515">
        <f t="shared" si="30"/>
        <v>63</v>
      </c>
    </row>
    <row r="79" spans="1:21" outlineLevel="1">
      <c r="A79" s="511" t="s">
        <v>526</v>
      </c>
      <c r="C79" s="516">
        <v>0</v>
      </c>
      <c r="D79" s="516">
        <v>0</v>
      </c>
      <c r="E79" s="516">
        <v>0</v>
      </c>
      <c r="F79" s="516">
        <v>0</v>
      </c>
      <c r="G79" s="516">
        <v>-446</v>
      </c>
      <c r="H79" s="516">
        <v>270</v>
      </c>
      <c r="I79" s="516">
        <v>-493</v>
      </c>
      <c r="J79" s="516">
        <v>-20201</v>
      </c>
      <c r="K79" s="516">
        <v>59</v>
      </c>
      <c r="L79" s="516">
        <v>122</v>
      </c>
      <c r="M79" s="516"/>
      <c r="N79" s="516"/>
      <c r="O79" s="516"/>
      <c r="P79" s="516"/>
      <c r="Q79" s="516"/>
      <c r="R79" s="516"/>
      <c r="T79" s="516">
        <f t="shared" ref="T79:T80" si="31">K79</f>
        <v>59</v>
      </c>
      <c r="U79" s="516">
        <f t="shared" si="28"/>
        <v>63</v>
      </c>
    </row>
    <row r="80" spans="1:21" outlineLevel="1">
      <c r="A80" s="511" t="s">
        <v>527</v>
      </c>
      <c r="C80" s="516">
        <v>0</v>
      </c>
      <c r="D80" s="516">
        <v>0</v>
      </c>
      <c r="E80" s="516">
        <v>0</v>
      </c>
      <c r="F80" s="516">
        <v>0</v>
      </c>
      <c r="G80" s="516">
        <v>0</v>
      </c>
      <c r="H80" s="516">
        <v>0</v>
      </c>
      <c r="I80" s="516">
        <v>0</v>
      </c>
      <c r="J80" s="516">
        <v>0</v>
      </c>
      <c r="K80" s="516">
        <v>0</v>
      </c>
      <c r="L80" s="516">
        <v>0</v>
      </c>
      <c r="M80" s="516"/>
      <c r="N80" s="516"/>
      <c r="O80" s="516"/>
      <c r="P80" s="516"/>
      <c r="Q80" s="516"/>
      <c r="R80" s="516"/>
      <c r="T80" s="516">
        <f t="shared" si="31"/>
        <v>0</v>
      </c>
      <c r="U80" s="516">
        <f t="shared" si="28"/>
        <v>0</v>
      </c>
    </row>
    <row r="81" spans="1:21" outlineLevel="1">
      <c r="A81" s="511" t="s">
        <v>528</v>
      </c>
      <c r="C81" s="516"/>
      <c r="D81" s="516"/>
      <c r="E81" s="516"/>
      <c r="F81" s="516"/>
      <c r="G81" s="516"/>
      <c r="H81" s="516"/>
      <c r="I81" s="516"/>
      <c r="J81" s="516"/>
      <c r="K81" s="516"/>
      <c r="L81" s="516">
        <v>0</v>
      </c>
      <c r="M81" s="516"/>
      <c r="N81" s="516"/>
      <c r="O81" s="516"/>
      <c r="P81" s="516"/>
      <c r="Q81" s="516"/>
      <c r="R81" s="516"/>
      <c r="T81" s="516"/>
      <c r="U81" s="516">
        <f t="shared" si="28"/>
        <v>0</v>
      </c>
    </row>
    <row r="82" spans="1:21">
      <c r="A82" s="510"/>
      <c r="C82" s="510"/>
      <c r="D82" s="510"/>
      <c r="E82" s="510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0"/>
      <c r="T82" s="510"/>
      <c r="U82" s="510"/>
    </row>
    <row r="83" spans="1:21">
      <c r="A83" s="522" t="s">
        <v>529</v>
      </c>
      <c r="C83" s="513">
        <f t="shared" ref="C83:H83" si="32">C85-C75-C52-C76</f>
        <v>39255</v>
      </c>
      <c r="D83" s="513">
        <f t="shared" si="32"/>
        <v>150151</v>
      </c>
      <c r="E83" s="513">
        <f t="shared" si="32"/>
        <v>374071</v>
      </c>
      <c r="F83" s="513">
        <f t="shared" si="32"/>
        <v>568574</v>
      </c>
      <c r="G83" s="513">
        <f t="shared" si="32"/>
        <v>137685</v>
      </c>
      <c r="H83" s="513">
        <f t="shared" si="32"/>
        <v>262659</v>
      </c>
      <c r="I83" s="513">
        <f>I85-I75-I52-I76</f>
        <v>462189</v>
      </c>
      <c r="J83" s="513">
        <f>J85-J75-J52-J76</f>
        <v>678753</v>
      </c>
      <c r="K83" s="513">
        <f>K85-K75-K52-K76</f>
        <v>114914</v>
      </c>
      <c r="L83" s="513">
        <f>L85-L75-L52-L76</f>
        <v>224614</v>
      </c>
      <c r="M83" s="513"/>
      <c r="N83" s="513"/>
      <c r="O83" s="513"/>
      <c r="P83" s="513"/>
      <c r="Q83" s="513"/>
      <c r="R83" s="513"/>
      <c r="T83" s="513">
        <f>T85-T75-T52-T76</f>
        <v>114914</v>
      </c>
      <c r="U83" s="513">
        <f>U85-U75-U52-U76</f>
        <v>109700</v>
      </c>
    </row>
    <row r="84" spans="1:21">
      <c r="A84" s="510"/>
      <c r="C84" s="510"/>
      <c r="D84" s="510"/>
      <c r="E84" s="510"/>
      <c r="F84" s="510"/>
      <c r="G84" s="510"/>
      <c r="H84" s="510"/>
      <c r="I84" s="510"/>
      <c r="J84" s="510"/>
      <c r="K84" s="510"/>
      <c r="L84" s="510"/>
      <c r="M84" s="510"/>
      <c r="N84" s="510"/>
      <c r="O84" s="510"/>
      <c r="P84" s="510"/>
      <c r="Q84" s="510"/>
      <c r="R84" s="510"/>
      <c r="T84" s="510"/>
      <c r="U84" s="510"/>
    </row>
    <row r="85" spans="1:21">
      <c r="A85" s="522" t="s">
        <v>530</v>
      </c>
      <c r="C85" s="513">
        <f t="shared" ref="C85:H85" si="33">C57+C59</f>
        <v>14422</v>
      </c>
      <c r="D85" s="513">
        <f t="shared" si="33"/>
        <v>57157</v>
      </c>
      <c r="E85" s="513">
        <f t="shared" si="33"/>
        <v>204621</v>
      </c>
      <c r="F85" s="513">
        <f t="shared" si="33"/>
        <v>320210</v>
      </c>
      <c r="G85" s="513">
        <f t="shared" si="33"/>
        <v>61564</v>
      </c>
      <c r="H85" s="513">
        <f t="shared" si="33"/>
        <v>111258</v>
      </c>
      <c r="I85" s="513">
        <f>I57+I59</f>
        <v>236499</v>
      </c>
      <c r="J85" s="513">
        <f>J57+J59</f>
        <v>422946</v>
      </c>
      <c r="K85" s="513">
        <f>K57+K59</f>
        <v>49695</v>
      </c>
      <c r="L85" s="513">
        <f>L57+L59</f>
        <v>94274</v>
      </c>
      <c r="M85" s="513"/>
      <c r="N85" s="513"/>
      <c r="O85" s="513"/>
      <c r="P85" s="513"/>
      <c r="Q85" s="513"/>
      <c r="R85" s="513"/>
      <c r="T85" s="513">
        <f>T57+T59</f>
        <v>49695</v>
      </c>
      <c r="U85" s="513">
        <f>U57+U59</f>
        <v>44579</v>
      </c>
    </row>
    <row r="86" spans="1:21">
      <c r="A86" s="510"/>
      <c r="C86" s="510"/>
      <c r="D86" s="510"/>
      <c r="E86" s="510"/>
      <c r="F86" s="510"/>
      <c r="G86" s="510"/>
      <c r="H86" s="510"/>
      <c r="I86" s="510"/>
      <c r="J86" s="510"/>
      <c r="K86" s="510"/>
      <c r="L86" s="510"/>
      <c r="M86" s="510"/>
      <c r="N86" s="510"/>
      <c r="O86" s="510"/>
      <c r="P86" s="510"/>
      <c r="Q86" s="510"/>
      <c r="R86" s="510"/>
      <c r="T86" s="510"/>
      <c r="U86" s="510"/>
    </row>
    <row r="87" spans="1:21">
      <c r="A87" s="522" t="s">
        <v>531</v>
      </c>
      <c r="C87" s="513">
        <f t="shared" ref="C87:H87" si="34">C89+C98</f>
        <v>-43230</v>
      </c>
      <c r="D87" s="513">
        <f t="shared" si="34"/>
        <v>-172981</v>
      </c>
      <c r="E87" s="513">
        <f t="shared" si="34"/>
        <v>-230249</v>
      </c>
      <c r="F87" s="513">
        <f t="shared" si="34"/>
        <v>-292548</v>
      </c>
      <c r="G87" s="513">
        <f t="shared" si="34"/>
        <v>-90274</v>
      </c>
      <c r="H87" s="513">
        <f t="shared" si="34"/>
        <v>-176461</v>
      </c>
      <c r="I87" s="513">
        <f>I89+I98</f>
        <v>-226255</v>
      </c>
      <c r="J87" s="513">
        <f>J89+J98</f>
        <v>-295054</v>
      </c>
      <c r="K87" s="513">
        <f>K89+K98</f>
        <v>-72304</v>
      </c>
      <c r="L87" s="513">
        <f>L89+L98</f>
        <v>-139225</v>
      </c>
      <c r="M87" s="513"/>
      <c r="N87" s="513"/>
      <c r="O87" s="513"/>
      <c r="P87" s="513"/>
      <c r="Q87" s="513"/>
      <c r="R87" s="513"/>
      <c r="T87" s="513">
        <f>T89+T98</f>
        <v>-72304</v>
      </c>
      <c r="U87" s="513">
        <f>U89+U98</f>
        <v>-66921</v>
      </c>
    </row>
    <row r="88" spans="1:21">
      <c r="A88" s="509"/>
      <c r="C88" s="510"/>
      <c r="D88" s="510"/>
      <c r="E88" s="510"/>
      <c r="F88" s="510"/>
      <c r="G88" s="510"/>
      <c r="H88" s="510"/>
      <c r="I88" s="510"/>
      <c r="J88" s="510"/>
      <c r="K88" s="510"/>
      <c r="L88" s="510"/>
      <c r="M88" s="510"/>
      <c r="N88" s="510"/>
      <c r="O88" s="510"/>
      <c r="P88" s="510"/>
      <c r="Q88" s="510"/>
      <c r="R88" s="510"/>
      <c r="T88" s="510"/>
      <c r="U88" s="510"/>
    </row>
    <row r="89" spans="1:21">
      <c r="A89" s="510" t="s">
        <v>532</v>
      </c>
      <c r="C89" s="517">
        <f t="shared" ref="C89:H89" si="35">SUM(C90:C97)</f>
        <v>6816</v>
      </c>
      <c r="D89" s="517">
        <f t="shared" si="35"/>
        <v>28331</v>
      </c>
      <c r="E89" s="517">
        <f t="shared" si="35"/>
        <v>53683</v>
      </c>
      <c r="F89" s="517">
        <f t="shared" si="35"/>
        <v>83340</v>
      </c>
      <c r="G89" s="517">
        <f t="shared" si="35"/>
        <v>30826</v>
      </c>
      <c r="H89" s="517">
        <f t="shared" si="35"/>
        <v>57384</v>
      </c>
      <c r="I89" s="517">
        <f>SUM(I90:I97)</f>
        <v>86030</v>
      </c>
      <c r="J89" s="517">
        <f>SUM(J90:J97)</f>
        <v>112000</v>
      </c>
      <c r="K89" s="517">
        <f>SUM(K90:K97)</f>
        <v>23036</v>
      </c>
      <c r="L89" s="517">
        <f>SUM(L90:L97)</f>
        <v>43805</v>
      </c>
      <c r="M89" s="517"/>
      <c r="N89" s="517"/>
      <c r="O89" s="517"/>
      <c r="P89" s="517"/>
      <c r="Q89" s="517"/>
      <c r="R89" s="517"/>
      <c r="T89" s="517">
        <f>SUM(T90:T97)</f>
        <v>23036</v>
      </c>
      <c r="U89" s="517">
        <f>SUM(U90:U97)</f>
        <v>20769</v>
      </c>
    </row>
    <row r="90" spans="1:21" outlineLevel="1">
      <c r="A90" s="511" t="s">
        <v>533</v>
      </c>
      <c r="C90" s="516">
        <v>6810</v>
      </c>
      <c r="D90" s="516">
        <v>27646</v>
      </c>
      <c r="E90" s="516">
        <v>51481</v>
      </c>
      <c r="F90" s="516">
        <v>76658</v>
      </c>
      <c r="G90" s="516">
        <v>30672</v>
      </c>
      <c r="H90" s="516">
        <v>56766</v>
      </c>
      <c r="I90" s="516">
        <v>84510</v>
      </c>
      <c r="J90" s="516">
        <v>109662</v>
      </c>
      <c r="K90" s="516">
        <v>22793</v>
      </c>
      <c r="L90" s="516">
        <v>43028</v>
      </c>
      <c r="M90" s="516"/>
      <c r="N90" s="516"/>
      <c r="O90" s="516"/>
      <c r="P90" s="516"/>
      <c r="Q90" s="516"/>
      <c r="R90" s="516"/>
      <c r="T90" s="516">
        <f t="shared" ref="T90:T97" si="36">K90</f>
        <v>22793</v>
      </c>
      <c r="U90" s="516">
        <f t="shared" ref="U90:U97" si="37">L90-T90</f>
        <v>20235</v>
      </c>
    </row>
    <row r="91" spans="1:21" outlineLevel="1">
      <c r="A91" s="511" t="s">
        <v>534</v>
      </c>
      <c r="C91" s="516">
        <v>0</v>
      </c>
      <c r="D91" s="516">
        <v>0</v>
      </c>
      <c r="E91" s="516">
        <v>0</v>
      </c>
      <c r="F91" s="516">
        <v>0</v>
      </c>
      <c r="G91" s="516">
        <v>0</v>
      </c>
      <c r="H91" s="516">
        <v>0</v>
      </c>
      <c r="I91" s="516">
        <v>-546</v>
      </c>
      <c r="J91" s="516">
        <v>-573</v>
      </c>
      <c r="K91" s="516">
        <v>-28</v>
      </c>
      <c r="L91" s="516">
        <v>-72</v>
      </c>
      <c r="M91" s="516"/>
      <c r="N91" s="516"/>
      <c r="O91" s="516"/>
      <c r="P91" s="516"/>
      <c r="Q91" s="516"/>
      <c r="R91" s="516"/>
      <c r="T91" s="516">
        <f t="shared" si="36"/>
        <v>-28</v>
      </c>
      <c r="U91" s="516">
        <f t="shared" si="37"/>
        <v>-44</v>
      </c>
    </row>
    <row r="92" spans="1:21" outlineLevel="1">
      <c r="A92" s="511" t="s">
        <v>535</v>
      </c>
      <c r="C92" s="516">
        <v>0</v>
      </c>
      <c r="D92" s="516">
        <v>0</v>
      </c>
      <c r="E92" s="516">
        <v>0</v>
      </c>
      <c r="F92" s="516">
        <v>0</v>
      </c>
      <c r="G92" s="516">
        <v>0</v>
      </c>
      <c r="H92" s="516">
        <v>0</v>
      </c>
      <c r="I92" s="516">
        <v>0</v>
      </c>
      <c r="J92" s="516">
        <v>0</v>
      </c>
      <c r="K92" s="516">
        <v>0</v>
      </c>
      <c r="L92" s="516">
        <v>0</v>
      </c>
      <c r="M92" s="516"/>
      <c r="N92" s="516"/>
      <c r="O92" s="516"/>
      <c r="P92" s="516"/>
      <c r="Q92" s="516"/>
      <c r="R92" s="516"/>
      <c r="T92" s="516">
        <f t="shared" si="36"/>
        <v>0</v>
      </c>
      <c r="U92" s="516">
        <f t="shared" si="37"/>
        <v>0</v>
      </c>
    </row>
    <row r="93" spans="1:21" outlineLevel="1">
      <c r="A93" s="511" t="s">
        <v>536</v>
      </c>
      <c r="C93" s="516">
        <v>0</v>
      </c>
      <c r="D93" s="516">
        <v>0</v>
      </c>
      <c r="E93" s="516">
        <v>0</v>
      </c>
      <c r="F93" s="516">
        <v>0</v>
      </c>
      <c r="G93" s="516">
        <v>0</v>
      </c>
      <c r="H93" s="516">
        <v>0</v>
      </c>
      <c r="I93" s="516">
        <v>0</v>
      </c>
      <c r="J93" s="516">
        <v>0</v>
      </c>
      <c r="K93" s="516">
        <v>0</v>
      </c>
      <c r="L93" s="516">
        <v>0</v>
      </c>
      <c r="M93" s="516"/>
      <c r="N93" s="516"/>
      <c r="O93" s="516"/>
      <c r="P93" s="516"/>
      <c r="Q93" s="516"/>
      <c r="R93" s="516"/>
      <c r="T93" s="516">
        <f t="shared" si="36"/>
        <v>0</v>
      </c>
      <c r="U93" s="516">
        <f t="shared" si="37"/>
        <v>0</v>
      </c>
    </row>
    <row r="94" spans="1:21" outlineLevel="1">
      <c r="A94" s="511" t="s">
        <v>537</v>
      </c>
      <c r="C94" s="516">
        <v>0</v>
      </c>
      <c r="D94" s="516">
        <v>0</v>
      </c>
      <c r="E94" s="516">
        <v>0</v>
      </c>
      <c r="F94" s="516">
        <v>0</v>
      </c>
      <c r="G94" s="516">
        <v>0</v>
      </c>
      <c r="H94" s="516">
        <v>0</v>
      </c>
      <c r="I94" s="516">
        <v>0</v>
      </c>
      <c r="J94" s="516">
        <v>0</v>
      </c>
      <c r="K94" s="516">
        <v>0</v>
      </c>
      <c r="L94" s="516">
        <v>0</v>
      </c>
      <c r="M94" s="516"/>
      <c r="N94" s="516"/>
      <c r="O94" s="516"/>
      <c r="P94" s="516"/>
      <c r="Q94" s="516"/>
      <c r="R94" s="516"/>
      <c r="T94" s="516">
        <f t="shared" si="36"/>
        <v>0</v>
      </c>
      <c r="U94" s="516">
        <f t="shared" si="37"/>
        <v>0</v>
      </c>
    </row>
    <row r="95" spans="1:21" outlineLevel="1">
      <c r="A95" s="511" t="s">
        <v>538</v>
      </c>
      <c r="C95" s="516">
        <v>0</v>
      </c>
      <c r="D95" s="516">
        <v>0</v>
      </c>
      <c r="E95" s="516">
        <v>0</v>
      </c>
      <c r="F95" s="516">
        <v>0</v>
      </c>
      <c r="G95" s="516">
        <v>0</v>
      </c>
      <c r="H95" s="516">
        <v>0</v>
      </c>
      <c r="I95" s="516">
        <v>0</v>
      </c>
      <c r="J95" s="516">
        <v>0</v>
      </c>
      <c r="K95" s="516">
        <v>0</v>
      </c>
      <c r="L95" s="516">
        <v>0</v>
      </c>
      <c r="M95" s="516"/>
      <c r="N95" s="516"/>
      <c r="O95" s="516"/>
      <c r="P95" s="516"/>
      <c r="Q95" s="516"/>
      <c r="R95" s="516"/>
      <c r="T95" s="516">
        <f t="shared" si="36"/>
        <v>0</v>
      </c>
      <c r="U95" s="516">
        <f t="shared" si="37"/>
        <v>0</v>
      </c>
    </row>
    <row r="96" spans="1:21" outlineLevel="1">
      <c r="A96" s="511" t="s">
        <v>539</v>
      </c>
      <c r="C96" s="516">
        <v>6</v>
      </c>
      <c r="D96" s="516">
        <v>685</v>
      </c>
      <c r="E96" s="516">
        <v>2202</v>
      </c>
      <c r="F96" s="516">
        <v>6682</v>
      </c>
      <c r="G96" s="516">
        <v>154</v>
      </c>
      <c r="H96" s="516">
        <v>618</v>
      </c>
      <c r="I96" s="516">
        <v>2066</v>
      </c>
      <c r="J96" s="516">
        <v>2911</v>
      </c>
      <c r="K96" s="516">
        <v>271</v>
      </c>
      <c r="L96" s="516">
        <v>849</v>
      </c>
      <c r="M96" s="516"/>
      <c r="N96" s="516"/>
      <c r="O96" s="516"/>
      <c r="P96" s="516"/>
      <c r="Q96" s="516"/>
      <c r="R96" s="516"/>
      <c r="T96" s="516">
        <f t="shared" si="36"/>
        <v>271</v>
      </c>
      <c r="U96" s="516">
        <f t="shared" si="37"/>
        <v>578</v>
      </c>
    </row>
    <row r="97" spans="1:21" outlineLevel="1">
      <c r="A97" s="511" t="s">
        <v>540</v>
      </c>
      <c r="C97" s="516">
        <v>0</v>
      </c>
      <c r="D97" s="516">
        <v>0</v>
      </c>
      <c r="E97" s="516">
        <v>0</v>
      </c>
      <c r="F97" s="516">
        <v>0</v>
      </c>
      <c r="G97" s="516">
        <v>0</v>
      </c>
      <c r="H97" s="516">
        <v>0</v>
      </c>
      <c r="I97" s="516">
        <v>0</v>
      </c>
      <c r="J97" s="516">
        <v>0</v>
      </c>
      <c r="K97" s="516">
        <v>0</v>
      </c>
      <c r="L97" s="516">
        <v>0</v>
      </c>
      <c r="M97" s="516"/>
      <c r="N97" s="516"/>
      <c r="O97" s="516"/>
      <c r="P97" s="516"/>
      <c r="Q97" s="516"/>
      <c r="R97" s="516"/>
      <c r="T97" s="516">
        <f t="shared" si="36"/>
        <v>0</v>
      </c>
      <c r="U97" s="516">
        <f t="shared" si="37"/>
        <v>0</v>
      </c>
    </row>
    <row r="98" spans="1:21">
      <c r="A98" s="510" t="s">
        <v>541</v>
      </c>
      <c r="C98" s="515">
        <f t="shared" ref="C98:H98" si="38">SUM(C99:C107)</f>
        <v>-50046</v>
      </c>
      <c r="D98" s="515">
        <f t="shared" si="38"/>
        <v>-201312</v>
      </c>
      <c r="E98" s="515">
        <f t="shared" si="38"/>
        <v>-283932</v>
      </c>
      <c r="F98" s="515">
        <f t="shared" si="38"/>
        <v>-375888</v>
      </c>
      <c r="G98" s="515">
        <f t="shared" si="38"/>
        <v>-121100</v>
      </c>
      <c r="H98" s="515">
        <f t="shared" si="38"/>
        <v>-233845</v>
      </c>
      <c r="I98" s="515">
        <f>SUM(I99:I107)</f>
        <v>-312285</v>
      </c>
      <c r="J98" s="515">
        <f>SUM(J99:J107)</f>
        <v>-407054</v>
      </c>
      <c r="K98" s="515">
        <f>SUM(K99:K107)</f>
        <v>-95340</v>
      </c>
      <c r="L98" s="515">
        <f>SUM(L99:L107)</f>
        <v>-183030</v>
      </c>
      <c r="M98" s="515"/>
      <c r="N98" s="515"/>
      <c r="O98" s="515"/>
      <c r="P98" s="515"/>
      <c r="Q98" s="515"/>
      <c r="R98" s="515"/>
      <c r="T98" s="515">
        <f>SUM(T99:T107)</f>
        <v>-95340</v>
      </c>
      <c r="U98" s="515">
        <f>SUM(U99:U107)</f>
        <v>-87690</v>
      </c>
    </row>
    <row r="99" spans="1:21" outlineLevel="1">
      <c r="A99" s="511" t="s">
        <v>542</v>
      </c>
      <c r="C99" s="516">
        <v>-46369</v>
      </c>
      <c r="D99" s="516">
        <v>-189178</v>
      </c>
      <c r="E99" s="516">
        <v>-248455</v>
      </c>
      <c r="F99" s="516">
        <v>-332217</v>
      </c>
      <c r="G99" s="516">
        <v>-111501</v>
      </c>
      <c r="H99" s="516">
        <v>-212780</v>
      </c>
      <c r="I99" s="516">
        <v>-281764</v>
      </c>
      <c r="J99" s="516">
        <v>-360546</v>
      </c>
      <c r="K99" s="516">
        <v>-79111</v>
      </c>
      <c r="L99" s="516">
        <v>-152002</v>
      </c>
      <c r="M99" s="516"/>
      <c r="N99" s="516"/>
      <c r="O99" s="516"/>
      <c r="P99" s="516"/>
      <c r="Q99" s="516"/>
      <c r="R99" s="516"/>
      <c r="T99" s="516">
        <f t="shared" ref="T99:T107" si="39">K99</f>
        <v>-79111</v>
      </c>
      <c r="U99" s="516">
        <f t="shared" ref="U99:U107" si="40">L99-T99</f>
        <v>-72891</v>
      </c>
    </row>
    <row r="100" spans="1:21" outlineLevel="1">
      <c r="A100" s="511" t="s">
        <v>543</v>
      </c>
      <c r="C100" s="516">
        <v>0</v>
      </c>
      <c r="D100" s="516">
        <v>0</v>
      </c>
      <c r="E100" s="516">
        <v>0</v>
      </c>
      <c r="F100" s="516">
        <v>0</v>
      </c>
      <c r="G100" s="516">
        <v>0</v>
      </c>
      <c r="H100" s="516">
        <v>0</v>
      </c>
      <c r="I100" s="516">
        <v>0</v>
      </c>
      <c r="J100" s="516">
        <v>0</v>
      </c>
      <c r="K100" s="516">
        <v>0</v>
      </c>
      <c r="L100" s="516">
        <v>0</v>
      </c>
      <c r="M100" s="516"/>
      <c r="N100" s="516"/>
      <c r="O100" s="516"/>
      <c r="P100" s="516"/>
      <c r="Q100" s="516"/>
      <c r="R100" s="516"/>
      <c r="T100" s="516">
        <f t="shared" si="39"/>
        <v>0</v>
      </c>
      <c r="U100" s="516">
        <f t="shared" si="40"/>
        <v>0</v>
      </c>
    </row>
    <row r="101" spans="1:21" outlineLevel="1">
      <c r="A101" s="511" t="s">
        <v>544</v>
      </c>
      <c r="C101" s="516">
        <v>0</v>
      </c>
      <c r="D101" s="516">
        <v>0</v>
      </c>
      <c r="E101" s="516">
        <v>0</v>
      </c>
      <c r="F101" s="516">
        <v>0</v>
      </c>
      <c r="G101" s="516">
        <v>0</v>
      </c>
      <c r="H101" s="516">
        <v>0</v>
      </c>
      <c r="I101" s="516">
        <v>0</v>
      </c>
      <c r="J101" s="516">
        <v>0</v>
      </c>
      <c r="K101" s="516">
        <v>0</v>
      </c>
      <c r="L101" s="516">
        <v>0</v>
      </c>
      <c r="M101" s="516"/>
      <c r="N101" s="516"/>
      <c r="O101" s="516"/>
      <c r="P101" s="516"/>
      <c r="Q101" s="516"/>
      <c r="R101" s="516"/>
      <c r="T101" s="516">
        <f t="shared" si="39"/>
        <v>0</v>
      </c>
      <c r="U101" s="516">
        <f t="shared" si="40"/>
        <v>0</v>
      </c>
    </row>
    <row r="102" spans="1:21" outlineLevel="1">
      <c r="A102" s="511" t="s">
        <v>545</v>
      </c>
      <c r="C102" s="516"/>
      <c r="D102" s="516">
        <v>0</v>
      </c>
      <c r="E102" s="516">
        <v>0</v>
      </c>
      <c r="F102" s="516">
        <v>0</v>
      </c>
      <c r="G102" s="516">
        <v>0</v>
      </c>
      <c r="H102" s="516">
        <v>0</v>
      </c>
      <c r="I102" s="516">
        <v>0</v>
      </c>
      <c r="J102" s="516">
        <v>0</v>
      </c>
      <c r="K102" s="516">
        <v>0</v>
      </c>
      <c r="L102" s="516">
        <v>0</v>
      </c>
      <c r="M102" s="516"/>
      <c r="N102" s="516"/>
      <c r="O102" s="516"/>
      <c r="P102" s="516"/>
      <c r="Q102" s="516"/>
      <c r="R102" s="516"/>
      <c r="T102" s="516">
        <f t="shared" si="39"/>
        <v>0</v>
      </c>
      <c r="U102" s="516">
        <f t="shared" si="40"/>
        <v>0</v>
      </c>
    </row>
    <row r="103" spans="1:21" outlineLevel="1">
      <c r="A103" s="511" t="s">
        <v>546</v>
      </c>
      <c r="C103" s="516"/>
      <c r="D103" s="516">
        <v>0</v>
      </c>
      <c r="E103" s="516">
        <v>0</v>
      </c>
      <c r="F103" s="516">
        <v>0</v>
      </c>
      <c r="G103" s="516">
        <v>0</v>
      </c>
      <c r="H103" s="516">
        <v>0</v>
      </c>
      <c r="I103" s="516">
        <v>0</v>
      </c>
      <c r="J103" s="516">
        <v>0</v>
      </c>
      <c r="K103" s="516">
        <v>0</v>
      </c>
      <c r="L103" s="516">
        <v>0</v>
      </c>
      <c r="M103" s="516"/>
      <c r="N103" s="516"/>
      <c r="O103" s="516"/>
      <c r="P103" s="516"/>
      <c r="Q103" s="516"/>
      <c r="R103" s="516"/>
      <c r="T103" s="516">
        <f t="shared" si="39"/>
        <v>0</v>
      </c>
      <c r="U103" s="516">
        <f t="shared" si="40"/>
        <v>0</v>
      </c>
    </row>
    <row r="104" spans="1:21" outlineLevel="1">
      <c r="A104" s="511" t="s">
        <v>547</v>
      </c>
      <c r="C104" s="516"/>
      <c r="D104" s="516">
        <v>0</v>
      </c>
      <c r="E104" s="516">
        <v>0</v>
      </c>
      <c r="F104" s="516">
        <v>0</v>
      </c>
      <c r="G104" s="516">
        <v>0</v>
      </c>
      <c r="H104" s="516">
        <v>0</v>
      </c>
      <c r="I104" s="516">
        <v>0</v>
      </c>
      <c r="J104" s="516">
        <v>0</v>
      </c>
      <c r="K104" s="516">
        <v>0</v>
      </c>
      <c r="L104" s="516">
        <v>0</v>
      </c>
      <c r="M104" s="516"/>
      <c r="N104" s="516"/>
      <c r="O104" s="516"/>
      <c r="P104" s="516"/>
      <c r="Q104" s="516"/>
      <c r="R104" s="516"/>
      <c r="T104" s="516">
        <f t="shared" si="39"/>
        <v>0</v>
      </c>
      <c r="U104" s="516">
        <f t="shared" si="40"/>
        <v>0</v>
      </c>
    </row>
    <row r="105" spans="1:21" outlineLevel="1">
      <c r="A105" s="511" t="s">
        <v>548</v>
      </c>
      <c r="C105" s="516"/>
      <c r="D105" s="516">
        <v>0</v>
      </c>
      <c r="E105" s="516">
        <v>0</v>
      </c>
      <c r="F105" s="516">
        <v>0</v>
      </c>
      <c r="G105" s="516">
        <v>0</v>
      </c>
      <c r="H105" s="516">
        <v>0</v>
      </c>
      <c r="I105" s="516">
        <v>0</v>
      </c>
      <c r="J105" s="516">
        <v>0</v>
      </c>
      <c r="K105" s="516">
        <v>0</v>
      </c>
      <c r="L105" s="516">
        <v>0</v>
      </c>
      <c r="M105" s="516"/>
      <c r="N105" s="516"/>
      <c r="O105" s="516"/>
      <c r="P105" s="516"/>
      <c r="Q105" s="516"/>
      <c r="R105" s="516"/>
      <c r="T105" s="516">
        <f t="shared" si="39"/>
        <v>0</v>
      </c>
      <c r="U105" s="516">
        <f t="shared" si="40"/>
        <v>0</v>
      </c>
    </row>
    <row r="106" spans="1:21" outlineLevel="1">
      <c r="A106" s="511" t="s">
        <v>549</v>
      </c>
      <c r="C106" s="516"/>
      <c r="D106" s="516">
        <v>0</v>
      </c>
      <c r="E106" s="516">
        <v>0</v>
      </c>
      <c r="F106" s="516">
        <v>0</v>
      </c>
      <c r="G106" s="516">
        <v>0</v>
      </c>
      <c r="H106" s="516">
        <v>0</v>
      </c>
      <c r="I106" s="516">
        <v>0</v>
      </c>
      <c r="J106" s="516">
        <v>0</v>
      </c>
      <c r="K106" s="516">
        <v>0</v>
      </c>
      <c r="L106" s="516">
        <v>0</v>
      </c>
      <c r="M106" s="516"/>
      <c r="N106" s="516"/>
      <c r="O106" s="516"/>
      <c r="P106" s="516"/>
      <c r="Q106" s="516"/>
      <c r="R106" s="516"/>
      <c r="T106" s="516">
        <f t="shared" si="39"/>
        <v>0</v>
      </c>
      <c r="U106" s="516">
        <f t="shared" si="40"/>
        <v>0</v>
      </c>
    </row>
    <row r="107" spans="1:21" outlineLevel="1">
      <c r="A107" s="511" t="s">
        <v>550</v>
      </c>
      <c r="C107" s="516">
        <v>-3677</v>
      </c>
      <c r="D107" s="516">
        <v>-12134</v>
      </c>
      <c r="E107" s="516">
        <v>-35477</v>
      </c>
      <c r="F107" s="516">
        <v>-43671</v>
      </c>
      <c r="G107" s="516">
        <v>-9599</v>
      </c>
      <c r="H107" s="516">
        <v>-21065</v>
      </c>
      <c r="I107" s="516">
        <v>-30521</v>
      </c>
      <c r="J107" s="516">
        <v>-46508</v>
      </c>
      <c r="K107" s="516">
        <v>-16229</v>
      </c>
      <c r="L107" s="516">
        <v>-31028</v>
      </c>
      <c r="M107" s="516"/>
      <c r="N107" s="516"/>
      <c r="O107" s="516"/>
      <c r="P107" s="516"/>
      <c r="Q107" s="516"/>
      <c r="R107" s="516"/>
      <c r="T107" s="516">
        <f t="shared" si="39"/>
        <v>-16229</v>
      </c>
      <c r="U107" s="516">
        <f t="shared" si="40"/>
        <v>-14799</v>
      </c>
    </row>
    <row r="108" spans="1:21">
      <c r="A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T108" s="510"/>
      <c r="U108" s="510"/>
    </row>
    <row r="109" spans="1:21">
      <c r="A109" s="522" t="s">
        <v>551</v>
      </c>
      <c r="C109" s="513">
        <f t="shared" ref="C109:H109" si="41">C85+C87</f>
        <v>-28808</v>
      </c>
      <c r="D109" s="513">
        <f t="shared" si="41"/>
        <v>-115824</v>
      </c>
      <c r="E109" s="513">
        <f t="shared" si="41"/>
        <v>-25628</v>
      </c>
      <c r="F109" s="513">
        <f t="shared" si="41"/>
        <v>27662</v>
      </c>
      <c r="G109" s="513">
        <f t="shared" si="41"/>
        <v>-28710</v>
      </c>
      <c r="H109" s="513">
        <f t="shared" si="41"/>
        <v>-65203</v>
      </c>
      <c r="I109" s="513">
        <f>I85+I87</f>
        <v>10244</v>
      </c>
      <c r="J109" s="513">
        <f>J85+J87</f>
        <v>127892</v>
      </c>
      <c r="K109" s="513">
        <f>K85+K87</f>
        <v>-22609</v>
      </c>
      <c r="L109" s="513">
        <f>L85+L87</f>
        <v>-44951</v>
      </c>
      <c r="M109" s="513"/>
      <c r="N109" s="513"/>
      <c r="O109" s="513"/>
      <c r="P109" s="513"/>
      <c r="Q109" s="513"/>
      <c r="R109" s="513"/>
      <c r="T109" s="513">
        <f>T85+T87</f>
        <v>-22609</v>
      </c>
      <c r="U109" s="513">
        <f>U85+U87</f>
        <v>-22342</v>
      </c>
    </row>
    <row r="110" spans="1:21">
      <c r="A110" s="510"/>
      <c r="C110" s="510"/>
      <c r="D110" s="510"/>
      <c r="E110" s="510"/>
      <c r="F110" s="510"/>
      <c r="G110" s="510"/>
      <c r="H110" s="510"/>
      <c r="I110" s="510"/>
      <c r="J110" s="510"/>
      <c r="K110" s="510"/>
      <c r="L110" s="510"/>
      <c r="M110" s="510"/>
      <c r="N110" s="510"/>
      <c r="O110" s="510"/>
      <c r="P110" s="510"/>
      <c r="Q110" s="510"/>
      <c r="R110" s="510"/>
      <c r="T110" s="510"/>
      <c r="U110" s="510"/>
    </row>
    <row r="111" spans="1:21">
      <c r="A111" s="509" t="s">
        <v>552</v>
      </c>
      <c r="C111" s="517">
        <f t="shared" ref="C111:H111" si="42">SUM(C113:C116)</f>
        <v>-2699</v>
      </c>
      <c r="D111" s="517">
        <f t="shared" si="42"/>
        <v>-12548</v>
      </c>
      <c r="E111" s="517">
        <f t="shared" si="42"/>
        <v>-26532</v>
      </c>
      <c r="F111" s="517">
        <f t="shared" si="42"/>
        <v>-44230</v>
      </c>
      <c r="G111" s="517">
        <f t="shared" si="42"/>
        <v>-13024</v>
      </c>
      <c r="H111" s="517">
        <f t="shared" si="42"/>
        <v>-25508</v>
      </c>
      <c r="I111" s="517">
        <f>SUM(I113:I116)</f>
        <v>-43790</v>
      </c>
      <c r="J111" s="517">
        <f>SUM(J113:J116)</f>
        <v>-60396</v>
      </c>
      <c r="K111" s="517">
        <f>SUM(K113:K116)</f>
        <v>-11075</v>
      </c>
      <c r="L111" s="517">
        <f>SUM(L113:L116)</f>
        <v>-20560</v>
      </c>
      <c r="M111" s="517"/>
      <c r="N111" s="517"/>
      <c r="O111" s="517"/>
      <c r="P111" s="517"/>
      <c r="Q111" s="517"/>
      <c r="R111" s="517"/>
      <c r="T111" s="517">
        <f>SUM(T113:T116)</f>
        <v>-11075</v>
      </c>
      <c r="U111" s="517">
        <f>SUM(U113:U116)</f>
        <v>-9485</v>
      </c>
    </row>
    <row r="112" spans="1:21">
      <c r="A112" s="510"/>
      <c r="C112" s="510"/>
      <c r="D112" s="510"/>
      <c r="E112" s="510"/>
      <c r="F112" s="510"/>
      <c r="G112" s="510"/>
      <c r="H112" s="510"/>
      <c r="I112" s="510"/>
      <c r="J112" s="510"/>
      <c r="K112" s="510"/>
      <c r="L112" s="510"/>
      <c r="M112" s="510"/>
      <c r="N112" s="510"/>
      <c r="O112" s="510"/>
      <c r="P112" s="510"/>
      <c r="Q112" s="510"/>
      <c r="R112" s="510"/>
      <c r="T112" s="510"/>
      <c r="U112" s="510"/>
    </row>
    <row r="113" spans="1:21">
      <c r="A113" s="510" t="s">
        <v>553</v>
      </c>
      <c r="C113" s="518">
        <v>-1196</v>
      </c>
      <c r="D113" s="518">
        <v>-5274</v>
      </c>
      <c r="E113" s="518">
        <v>-10653</v>
      </c>
      <c r="F113" s="518">
        <v>-16866</v>
      </c>
      <c r="G113" s="518">
        <v>-5042</v>
      </c>
      <c r="H113" s="518">
        <v>-9829</v>
      </c>
      <c r="I113" s="518">
        <v>-16321</v>
      </c>
      <c r="J113" s="518">
        <v>-22356</v>
      </c>
      <c r="K113" s="518">
        <v>-4376</v>
      </c>
      <c r="L113" s="518">
        <v>-8297</v>
      </c>
      <c r="M113" s="518"/>
      <c r="N113" s="518"/>
      <c r="O113" s="518"/>
      <c r="P113" s="518"/>
      <c r="Q113" s="518"/>
      <c r="R113" s="518"/>
      <c r="T113" s="518">
        <f t="shared" ref="T113:T116" si="43">K113</f>
        <v>-4376</v>
      </c>
      <c r="U113" s="518">
        <f t="shared" ref="U113:U116" si="44">L113-T113</f>
        <v>-3921</v>
      </c>
    </row>
    <row r="114" spans="1:21">
      <c r="A114" s="510" t="s">
        <v>554</v>
      </c>
      <c r="C114" s="518">
        <v>-2573</v>
      </c>
      <c r="D114" s="518">
        <v>-11554</v>
      </c>
      <c r="E114" s="518">
        <v>-23369</v>
      </c>
      <c r="F114" s="518">
        <v>-37439</v>
      </c>
      <c r="G114" s="518">
        <v>-11287</v>
      </c>
      <c r="H114" s="518">
        <v>-22208</v>
      </c>
      <c r="I114" s="518">
        <v>-37208</v>
      </c>
      <c r="J114" s="518">
        <v>-50989</v>
      </c>
      <c r="K114" s="518">
        <v>-9909</v>
      </c>
      <c r="L114" s="518">
        <v>-18683</v>
      </c>
      <c r="M114" s="518"/>
      <c r="N114" s="518"/>
      <c r="O114" s="518"/>
      <c r="P114" s="518"/>
      <c r="Q114" s="518"/>
      <c r="R114" s="518"/>
      <c r="T114" s="518">
        <f t="shared" si="43"/>
        <v>-9909</v>
      </c>
      <c r="U114" s="518">
        <f t="shared" si="44"/>
        <v>-8774</v>
      </c>
    </row>
    <row r="115" spans="1:21">
      <c r="A115" s="510" t="s">
        <v>555</v>
      </c>
      <c r="C115" s="518">
        <v>0</v>
      </c>
      <c r="D115" s="518">
        <v>0</v>
      </c>
      <c r="E115" s="518">
        <v>0</v>
      </c>
      <c r="F115" s="518">
        <v>0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/>
      <c r="N115" s="518"/>
      <c r="O115" s="518"/>
      <c r="P115" s="518"/>
      <c r="Q115" s="518"/>
      <c r="R115" s="518"/>
      <c r="T115" s="518">
        <f t="shared" si="43"/>
        <v>0</v>
      </c>
      <c r="U115" s="518">
        <f t="shared" si="44"/>
        <v>0</v>
      </c>
    </row>
    <row r="116" spans="1:21">
      <c r="A116" s="510" t="s">
        <v>556</v>
      </c>
      <c r="C116" s="518">
        <v>1070</v>
      </c>
      <c r="D116" s="518">
        <v>4280</v>
      </c>
      <c r="E116" s="518">
        <v>7490</v>
      </c>
      <c r="F116" s="518">
        <v>10075</v>
      </c>
      <c r="G116" s="518">
        <v>3305</v>
      </c>
      <c r="H116" s="518">
        <v>6529</v>
      </c>
      <c r="I116" s="518">
        <v>9739</v>
      </c>
      <c r="J116" s="518">
        <v>12949</v>
      </c>
      <c r="K116" s="518">
        <v>3210</v>
      </c>
      <c r="L116" s="518">
        <v>6420</v>
      </c>
      <c r="M116" s="518"/>
      <c r="N116" s="518"/>
      <c r="O116" s="518"/>
      <c r="P116" s="518"/>
      <c r="Q116" s="518"/>
      <c r="R116" s="518"/>
      <c r="T116" s="518">
        <f t="shared" si="43"/>
        <v>3210</v>
      </c>
      <c r="U116" s="518">
        <f t="shared" si="44"/>
        <v>3210</v>
      </c>
    </row>
    <row r="117" spans="1:21">
      <c r="A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  <c r="T117" s="510"/>
      <c r="U117" s="510"/>
    </row>
    <row r="118" spans="1:21" ht="15" thickBot="1">
      <c r="A118" s="523" t="s">
        <v>557</v>
      </c>
      <c r="C118" s="519">
        <f t="shared" ref="C118:H118" si="45">C109+C111</f>
        <v>-31507</v>
      </c>
      <c r="D118" s="519">
        <f t="shared" si="45"/>
        <v>-128372</v>
      </c>
      <c r="E118" s="519">
        <f t="shared" si="45"/>
        <v>-52160</v>
      </c>
      <c r="F118" s="519">
        <f t="shared" si="45"/>
        <v>-16568</v>
      </c>
      <c r="G118" s="519">
        <f t="shared" si="45"/>
        <v>-41734</v>
      </c>
      <c r="H118" s="519">
        <f t="shared" si="45"/>
        <v>-90711</v>
      </c>
      <c r="I118" s="519">
        <f>I109+I111</f>
        <v>-33546</v>
      </c>
      <c r="J118" s="519">
        <f>J109+J111</f>
        <v>67496</v>
      </c>
      <c r="K118" s="519">
        <f>K109+K111</f>
        <v>-33684</v>
      </c>
      <c r="L118" s="519">
        <f>L109+L111</f>
        <v>-65511</v>
      </c>
      <c r="M118" s="519"/>
      <c r="N118" s="519"/>
      <c r="O118" s="519"/>
      <c r="P118" s="519"/>
      <c r="Q118" s="519"/>
      <c r="R118" s="519"/>
      <c r="T118" s="519">
        <f>T109+T111</f>
        <v>-33684</v>
      </c>
      <c r="U118" s="519">
        <f>U109+U111</f>
        <v>-31827</v>
      </c>
    </row>
    <row r="119" spans="1:21" ht="15" thickTop="1">
      <c r="A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  <c r="T119" s="510"/>
      <c r="U119" s="510"/>
    </row>
    <row r="120" spans="1:21">
      <c r="A120" s="509" t="s">
        <v>558</v>
      </c>
      <c r="C120" s="518"/>
      <c r="D120" s="518"/>
      <c r="E120" s="518"/>
      <c r="F120" s="518"/>
      <c r="G120" s="518"/>
      <c r="H120" s="518"/>
      <c r="I120" s="518"/>
      <c r="J120" s="518"/>
      <c r="K120" s="518"/>
      <c r="L120" s="518"/>
      <c r="M120" s="518"/>
      <c r="N120" s="518"/>
      <c r="O120" s="518"/>
      <c r="P120" s="518"/>
      <c r="Q120" s="518"/>
      <c r="R120" s="518"/>
      <c r="T120" s="518"/>
      <c r="U120" s="518"/>
    </row>
    <row r="121" spans="1:21">
      <c r="A121" s="510" t="s">
        <v>559</v>
      </c>
      <c r="C121" s="518">
        <f t="shared" ref="C121:H121" si="46">C118-C122</f>
        <v>-31507</v>
      </c>
      <c r="D121" s="518">
        <f t="shared" si="46"/>
        <v>-128372</v>
      </c>
      <c r="E121" s="518">
        <f t="shared" si="46"/>
        <v>-52160</v>
      </c>
      <c r="F121" s="518">
        <f t="shared" si="46"/>
        <v>-16568</v>
      </c>
      <c r="G121" s="518">
        <f t="shared" si="46"/>
        <v>-41734</v>
      </c>
      <c r="H121" s="518">
        <f t="shared" si="46"/>
        <v>-90711</v>
      </c>
      <c r="I121" s="518">
        <f>I118-I122</f>
        <v>-33637</v>
      </c>
      <c r="J121" s="518">
        <f>J118-J122</f>
        <v>67405</v>
      </c>
      <c r="K121" s="518">
        <v>-33684</v>
      </c>
      <c r="L121" s="518">
        <v>-65511</v>
      </c>
      <c r="M121" s="518"/>
      <c r="N121" s="518"/>
      <c r="O121" s="518"/>
      <c r="P121" s="518"/>
      <c r="Q121" s="518"/>
      <c r="R121" s="518"/>
      <c r="T121" s="518">
        <f t="shared" ref="T121:T122" si="47">K121</f>
        <v>-33684</v>
      </c>
      <c r="U121" s="518">
        <f t="shared" ref="U121:U122" si="48">L121-T121</f>
        <v>-31827</v>
      </c>
    </row>
    <row r="122" spans="1:21">
      <c r="A122" s="510" t="s">
        <v>560</v>
      </c>
      <c r="C122" s="518">
        <f t="shared" ref="C122:H122" si="49">C118*C127</f>
        <v>0</v>
      </c>
      <c r="D122" s="518">
        <f t="shared" si="49"/>
        <v>0</v>
      </c>
      <c r="E122" s="518">
        <f t="shared" si="49"/>
        <v>0</v>
      </c>
      <c r="F122" s="518">
        <f t="shared" si="49"/>
        <v>0</v>
      </c>
      <c r="G122" s="518">
        <f t="shared" si="49"/>
        <v>0</v>
      </c>
      <c r="H122" s="518">
        <f t="shared" si="49"/>
        <v>0</v>
      </c>
      <c r="I122" s="518">
        <v>91</v>
      </c>
      <c r="J122" s="518">
        <v>91</v>
      </c>
      <c r="K122" s="518">
        <v>0</v>
      </c>
      <c r="L122" s="518">
        <v>0</v>
      </c>
      <c r="M122" s="518"/>
      <c r="N122" s="518"/>
      <c r="O122" s="518"/>
      <c r="P122" s="518"/>
      <c r="Q122" s="518"/>
      <c r="R122" s="518"/>
      <c r="T122" s="518">
        <f t="shared" si="47"/>
        <v>0</v>
      </c>
      <c r="U122" s="518">
        <f t="shared" si="48"/>
        <v>0</v>
      </c>
    </row>
    <row r="123" spans="1:21">
      <c r="A123" s="510"/>
      <c r="C123" s="510"/>
      <c r="D123" s="510"/>
      <c r="E123" s="510"/>
      <c r="F123" s="510"/>
      <c r="G123" s="510"/>
      <c r="H123" s="510"/>
      <c r="I123" s="510"/>
      <c r="J123" s="510"/>
      <c r="K123" s="510"/>
      <c r="L123" s="510"/>
      <c r="M123" s="510"/>
      <c r="N123" s="510"/>
      <c r="O123" s="510"/>
      <c r="P123" s="510"/>
      <c r="Q123" s="510"/>
      <c r="R123" s="510"/>
      <c r="T123" s="510"/>
      <c r="U123" s="510"/>
    </row>
    <row r="124" spans="1:21" ht="15" thickBot="1">
      <c r="A124" s="523" t="s">
        <v>557</v>
      </c>
      <c r="C124" s="519">
        <f t="shared" ref="C124:H124" si="50">SUM(C121:C122)</f>
        <v>-31507</v>
      </c>
      <c r="D124" s="519">
        <f t="shared" si="50"/>
        <v>-128372</v>
      </c>
      <c r="E124" s="519">
        <f t="shared" si="50"/>
        <v>-52160</v>
      </c>
      <c r="F124" s="519">
        <f t="shared" si="50"/>
        <v>-16568</v>
      </c>
      <c r="G124" s="519">
        <f t="shared" si="50"/>
        <v>-41734</v>
      </c>
      <c r="H124" s="519">
        <f t="shared" si="50"/>
        <v>-90711</v>
      </c>
      <c r="I124" s="519">
        <f>SUM(I121:I122)</f>
        <v>-33546</v>
      </c>
      <c r="J124" s="519">
        <f>SUM(J121:J122)</f>
        <v>67496</v>
      </c>
      <c r="K124" s="519">
        <f>SUM(K121:K122)</f>
        <v>-33684</v>
      </c>
      <c r="L124" s="519">
        <f>SUM(L121:L122)</f>
        <v>-65511</v>
      </c>
      <c r="M124" s="519"/>
      <c r="N124" s="519"/>
      <c r="O124" s="519"/>
      <c r="P124" s="519"/>
      <c r="Q124" s="519"/>
      <c r="R124" s="519"/>
      <c r="T124" s="519">
        <f>SUM(T121:T122)</f>
        <v>-33684</v>
      </c>
      <c r="U124" s="519">
        <f>SUM(U121:U122)</f>
        <v>-31827</v>
      </c>
    </row>
    <row r="125" spans="1:21" ht="15" thickTop="1"/>
    <row r="126" spans="1:21" s="525" customFormat="1" ht="10.5">
      <c r="A126" s="524" t="s">
        <v>561</v>
      </c>
      <c r="C126" s="526">
        <v>1</v>
      </c>
      <c r="D126" s="526">
        <v>1</v>
      </c>
      <c r="E126" s="526">
        <v>1</v>
      </c>
      <c r="F126" s="526">
        <v>1</v>
      </c>
      <c r="G126" s="526">
        <v>1</v>
      </c>
      <c r="H126" s="526">
        <v>1</v>
      </c>
      <c r="I126" s="526">
        <v>1</v>
      </c>
      <c r="J126" s="526">
        <v>1</v>
      </c>
      <c r="K126" s="526">
        <v>1</v>
      </c>
      <c r="L126" s="526">
        <v>1</v>
      </c>
      <c r="T126" s="526">
        <f t="shared" ref="T126:T127" si="51">K126</f>
        <v>1</v>
      </c>
      <c r="U126" s="526">
        <v>1</v>
      </c>
    </row>
    <row r="127" spans="1:21" s="525" customFormat="1" ht="10.5">
      <c r="A127" s="524" t="s">
        <v>562</v>
      </c>
      <c r="C127" s="526">
        <v>0</v>
      </c>
      <c r="D127" s="526">
        <v>0</v>
      </c>
      <c r="E127" s="526">
        <v>0</v>
      </c>
      <c r="F127" s="526">
        <v>0</v>
      </c>
      <c r="G127" s="526">
        <v>0</v>
      </c>
      <c r="H127" s="526">
        <v>0</v>
      </c>
      <c r="I127" s="526">
        <v>0</v>
      </c>
      <c r="J127" s="526">
        <v>0</v>
      </c>
      <c r="K127" s="526">
        <v>0</v>
      </c>
      <c r="L127" s="526">
        <v>0</v>
      </c>
      <c r="T127" s="526">
        <f t="shared" si="51"/>
        <v>0</v>
      </c>
      <c r="U127" s="526"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79998168889431442"/>
  </sheetPr>
  <dimension ref="A3:U127"/>
  <sheetViews>
    <sheetView showGridLines="0" zoomScale="85" zoomScaleNormal="85" workbookViewId="0">
      <pane xSplit="1" ySplit="4" topLeftCell="B5" activePane="bottomRight" state="frozen"/>
      <selection pane="topRight"/>
      <selection pane="bottomLeft"/>
      <selection pane="bottomRight" activeCell="L14" sqref="L14"/>
    </sheetView>
  </sheetViews>
  <sheetFormatPr defaultRowHeight="14.5" outlineLevelRow="1"/>
  <cols>
    <col min="1" max="1" width="65.7265625" bestFit="1" customWidth="1"/>
    <col min="2" max="2" width="1.54296875" customWidth="1"/>
    <col min="3" max="12" width="15.1796875" customWidth="1"/>
    <col min="13" max="18" width="15.1796875" hidden="1" customWidth="1"/>
    <col min="19" max="19" width="1.54296875" customWidth="1"/>
    <col min="20" max="20" width="15.1796875" hidden="1" customWidth="1"/>
    <col min="21" max="21" width="15.1796875" customWidth="1"/>
  </cols>
  <sheetData>
    <row r="3" spans="1:21">
      <c r="C3" s="530" t="s">
        <v>573</v>
      </c>
      <c r="D3" s="530"/>
      <c r="E3" s="530"/>
      <c r="F3" s="530"/>
      <c r="G3" s="530"/>
    </row>
    <row r="4" spans="1:21">
      <c r="A4" s="521" t="s">
        <v>574</v>
      </c>
      <c r="C4" s="529" t="s">
        <v>453</v>
      </c>
      <c r="D4" s="529" t="s">
        <v>454</v>
      </c>
      <c r="E4" s="529" t="s">
        <v>455</v>
      </c>
      <c r="F4" s="529">
        <v>2022</v>
      </c>
      <c r="G4" s="529" t="s">
        <v>456</v>
      </c>
      <c r="H4" s="520" t="s">
        <v>457</v>
      </c>
      <c r="I4" s="520" t="s">
        <v>458</v>
      </c>
      <c r="J4" s="520">
        <v>2023</v>
      </c>
      <c r="K4" s="520" t="s">
        <v>459</v>
      </c>
      <c r="L4" s="520" t="s">
        <v>460</v>
      </c>
      <c r="M4" s="520" t="s">
        <v>461</v>
      </c>
      <c r="N4" s="520">
        <v>2024</v>
      </c>
      <c r="O4" s="520" t="s">
        <v>462</v>
      </c>
      <c r="P4" s="520" t="s">
        <v>463</v>
      </c>
      <c r="Q4" s="520" t="s">
        <v>464</v>
      </c>
      <c r="R4" s="520">
        <v>2025</v>
      </c>
      <c r="T4" s="520" t="s">
        <v>53</v>
      </c>
      <c r="U4" s="520" t="s">
        <v>54</v>
      </c>
    </row>
    <row r="5" spans="1:21" ht="6.65" customHeight="1"/>
    <row r="6" spans="1:21">
      <c r="A6" s="522" t="s">
        <v>465</v>
      </c>
      <c r="C6" s="513">
        <f t="shared" ref="C6:I6" si="0">SUM(C8,C11:C17)</f>
        <v>0</v>
      </c>
      <c r="D6" s="513">
        <f t="shared" si="0"/>
        <v>0</v>
      </c>
      <c r="E6" s="513">
        <f t="shared" si="0"/>
        <v>0</v>
      </c>
      <c r="F6" s="513">
        <f t="shared" si="0"/>
        <v>0</v>
      </c>
      <c r="G6" s="513">
        <f t="shared" si="0"/>
        <v>0</v>
      </c>
      <c r="H6" s="513">
        <f t="shared" si="0"/>
        <v>0</v>
      </c>
      <c r="I6" s="513">
        <f t="shared" si="0"/>
        <v>4527</v>
      </c>
      <c r="J6" s="513">
        <f t="shared" ref="J6:K6" si="1">SUM(J8,J11:J17)</f>
        <v>9290</v>
      </c>
      <c r="K6" s="513">
        <f t="shared" si="1"/>
        <v>4733</v>
      </c>
      <c r="L6" s="513">
        <f t="shared" ref="L6" si="2">SUM(L8,L11:L17)</f>
        <v>19464</v>
      </c>
      <c r="M6" s="513"/>
      <c r="N6" s="513"/>
      <c r="O6" s="513"/>
      <c r="P6" s="513"/>
      <c r="Q6" s="513"/>
      <c r="R6" s="513"/>
      <c r="T6" s="513">
        <f t="shared" ref="T6:U6" si="3">SUM(T8,T11:T17)</f>
        <v>4733</v>
      </c>
      <c r="U6" s="513">
        <f t="shared" si="3"/>
        <v>14731</v>
      </c>
    </row>
    <row r="7" spans="1:21">
      <c r="A7" s="509"/>
      <c r="C7" s="514"/>
      <c r="D7" s="514"/>
      <c r="E7" s="514"/>
      <c r="F7" s="514"/>
      <c r="G7" s="514"/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514"/>
      <c r="T7" s="514"/>
      <c r="U7" s="514"/>
    </row>
    <row r="8" spans="1:21">
      <c r="A8" s="510" t="s">
        <v>466</v>
      </c>
      <c r="C8" s="515">
        <f t="shared" ref="C8:H8" si="4">SUM(C9:C10)</f>
        <v>0</v>
      </c>
      <c r="D8" s="515">
        <f t="shared" si="4"/>
        <v>0</v>
      </c>
      <c r="E8" s="515">
        <f t="shared" si="4"/>
        <v>0</v>
      </c>
      <c r="F8" s="515">
        <f t="shared" si="4"/>
        <v>0</v>
      </c>
      <c r="G8" s="515">
        <f t="shared" si="4"/>
        <v>0</v>
      </c>
      <c r="H8" s="515">
        <f t="shared" si="4"/>
        <v>0</v>
      </c>
      <c r="I8" s="515">
        <f>SUM(I9:I10)</f>
        <v>0</v>
      </c>
      <c r="J8" s="515">
        <f>SUM(J9:J10)</f>
        <v>0</v>
      </c>
      <c r="K8" s="515">
        <f>SUM(K9:K10)</f>
        <v>0</v>
      </c>
      <c r="L8" s="515">
        <f>SUM(L9:L10)</f>
        <v>0</v>
      </c>
      <c r="M8" s="515"/>
      <c r="N8" s="515"/>
      <c r="O8" s="515"/>
      <c r="P8" s="515"/>
      <c r="Q8" s="515"/>
      <c r="R8" s="515"/>
      <c r="T8" s="515">
        <f>SUM(T9:T10)</f>
        <v>0</v>
      </c>
      <c r="U8" s="515">
        <f>SUM(U9:U10)</f>
        <v>0</v>
      </c>
    </row>
    <row r="9" spans="1:21" outlineLevel="1">
      <c r="A9" s="511" t="s">
        <v>466</v>
      </c>
      <c r="C9" s="516"/>
      <c r="D9" s="516"/>
      <c r="E9" s="516"/>
      <c r="F9" s="516"/>
      <c r="G9" s="516"/>
      <c r="H9" s="516">
        <v>0</v>
      </c>
      <c r="I9" s="516">
        <v>0</v>
      </c>
      <c r="J9" s="516">
        <v>0</v>
      </c>
      <c r="K9" s="516">
        <v>0</v>
      </c>
      <c r="L9" s="516">
        <v>0</v>
      </c>
      <c r="M9" s="516"/>
      <c r="N9" s="516"/>
      <c r="O9" s="516"/>
      <c r="P9" s="516"/>
      <c r="Q9" s="516"/>
      <c r="R9" s="516"/>
      <c r="T9" s="516">
        <f>K9</f>
        <v>0</v>
      </c>
      <c r="U9" s="516">
        <f>L9-T9</f>
        <v>0</v>
      </c>
    </row>
    <row r="10" spans="1:21" outlineLevel="1">
      <c r="A10" s="511" t="s">
        <v>467</v>
      </c>
      <c r="C10" s="516"/>
      <c r="D10" s="516"/>
      <c r="E10" s="516"/>
      <c r="F10" s="516"/>
      <c r="G10" s="516"/>
      <c r="H10" s="516">
        <v>0</v>
      </c>
      <c r="I10" s="516">
        <v>0</v>
      </c>
      <c r="J10" s="516">
        <v>0</v>
      </c>
      <c r="K10" s="516">
        <v>0</v>
      </c>
      <c r="L10" s="516">
        <v>0</v>
      </c>
      <c r="M10" s="516"/>
      <c r="N10" s="516"/>
      <c r="O10" s="516"/>
      <c r="P10" s="516"/>
      <c r="Q10" s="516"/>
      <c r="R10" s="516"/>
      <c r="T10" s="516">
        <f t="shared" ref="T10:T25" si="5">K10</f>
        <v>0</v>
      </c>
      <c r="U10" s="516">
        <f t="shared" ref="U10:U16" si="6">L10-T10</f>
        <v>0</v>
      </c>
    </row>
    <row r="11" spans="1:21">
      <c r="A11" s="510" t="s">
        <v>468</v>
      </c>
      <c r="C11" s="515"/>
      <c r="D11" s="515"/>
      <c r="E11" s="515"/>
      <c r="F11" s="515"/>
      <c r="G11" s="515"/>
      <c r="H11" s="515">
        <v>0</v>
      </c>
      <c r="I11" s="515">
        <v>0</v>
      </c>
      <c r="J11" s="515">
        <v>0</v>
      </c>
      <c r="K11" s="515">
        <v>0</v>
      </c>
      <c r="L11" s="515">
        <v>0</v>
      </c>
      <c r="M11" s="515"/>
      <c r="N11" s="515"/>
      <c r="O11" s="515"/>
      <c r="P11" s="515"/>
      <c r="Q11" s="515"/>
      <c r="R11" s="515"/>
      <c r="T11" s="515">
        <f t="shared" si="5"/>
        <v>0</v>
      </c>
      <c r="U11" s="515">
        <f t="shared" si="6"/>
        <v>0</v>
      </c>
    </row>
    <row r="12" spans="1:21">
      <c r="A12" s="510" t="s">
        <v>469</v>
      </c>
      <c r="C12" s="515"/>
      <c r="D12" s="515"/>
      <c r="E12" s="515"/>
      <c r="F12" s="515"/>
      <c r="G12" s="515"/>
      <c r="H12" s="515">
        <v>0</v>
      </c>
      <c r="I12" s="515">
        <v>4527</v>
      </c>
      <c r="J12" s="515">
        <v>9651</v>
      </c>
      <c r="K12" s="515">
        <v>4810</v>
      </c>
      <c r="L12" s="515">
        <v>19588</v>
      </c>
      <c r="M12" s="515"/>
      <c r="N12" s="515"/>
      <c r="O12" s="515"/>
      <c r="P12" s="515"/>
      <c r="Q12" s="515"/>
      <c r="R12" s="515"/>
      <c r="T12" s="515">
        <f t="shared" si="5"/>
        <v>4810</v>
      </c>
      <c r="U12" s="515">
        <f t="shared" si="6"/>
        <v>14778</v>
      </c>
    </row>
    <row r="13" spans="1:21">
      <c r="A13" s="510" t="s">
        <v>470</v>
      </c>
      <c r="C13" s="515"/>
      <c r="D13" s="515"/>
      <c r="E13" s="515"/>
      <c r="F13" s="515"/>
      <c r="G13" s="515"/>
      <c r="H13" s="515">
        <v>0</v>
      </c>
      <c r="I13" s="515">
        <v>0</v>
      </c>
      <c r="J13" s="515">
        <v>0</v>
      </c>
      <c r="K13" s="515">
        <v>0</v>
      </c>
      <c r="L13" s="515">
        <v>0</v>
      </c>
      <c r="M13" s="515"/>
      <c r="N13" s="515"/>
      <c r="O13" s="515"/>
      <c r="P13" s="515"/>
      <c r="Q13" s="515"/>
      <c r="R13" s="515"/>
      <c r="T13" s="515">
        <f t="shared" si="5"/>
        <v>0</v>
      </c>
      <c r="U13" s="515">
        <f t="shared" si="6"/>
        <v>0</v>
      </c>
    </row>
    <row r="14" spans="1:21">
      <c r="A14" s="510" t="s">
        <v>471</v>
      </c>
      <c r="C14" s="515"/>
      <c r="D14" s="515"/>
      <c r="E14" s="515"/>
      <c r="F14" s="515"/>
      <c r="G14" s="515"/>
      <c r="H14" s="515">
        <v>0</v>
      </c>
      <c r="I14" s="515">
        <v>0</v>
      </c>
      <c r="J14" s="515">
        <v>0</v>
      </c>
      <c r="K14" s="515">
        <v>0</v>
      </c>
      <c r="L14" s="515">
        <v>0</v>
      </c>
      <c r="M14" s="515"/>
      <c r="N14" s="515"/>
      <c r="O14" s="515"/>
      <c r="P14" s="515"/>
      <c r="Q14" s="515"/>
      <c r="R14" s="515"/>
      <c r="T14" s="515">
        <f t="shared" si="5"/>
        <v>0</v>
      </c>
      <c r="U14" s="515">
        <f t="shared" si="6"/>
        <v>0</v>
      </c>
    </row>
    <row r="15" spans="1:21">
      <c r="A15" s="510" t="s">
        <v>472</v>
      </c>
      <c r="C15" s="515"/>
      <c r="D15" s="515"/>
      <c r="E15" s="515"/>
      <c r="F15" s="515"/>
      <c r="G15" s="515"/>
      <c r="H15" s="515">
        <v>0</v>
      </c>
      <c r="I15" s="515">
        <v>0</v>
      </c>
      <c r="J15" s="515">
        <v>0</v>
      </c>
      <c r="K15" s="515">
        <v>0</v>
      </c>
      <c r="L15" s="515">
        <v>0</v>
      </c>
      <c r="M15" s="515"/>
      <c r="N15" s="515"/>
      <c r="O15" s="515"/>
      <c r="P15" s="515"/>
      <c r="Q15" s="515"/>
      <c r="R15" s="515"/>
      <c r="T15" s="515">
        <f t="shared" si="5"/>
        <v>0</v>
      </c>
      <c r="U15" s="515">
        <f t="shared" si="6"/>
        <v>0</v>
      </c>
    </row>
    <row r="16" spans="1:21">
      <c r="A16" s="510" t="s">
        <v>473</v>
      </c>
      <c r="C16" s="515"/>
      <c r="D16" s="515"/>
      <c r="E16" s="515"/>
      <c r="F16" s="515"/>
      <c r="G16" s="515"/>
      <c r="H16" s="515">
        <v>0</v>
      </c>
      <c r="I16" s="515">
        <v>0</v>
      </c>
      <c r="J16" s="515">
        <v>0</v>
      </c>
      <c r="K16" s="515">
        <v>0</v>
      </c>
      <c r="L16" s="515">
        <v>0</v>
      </c>
      <c r="M16" s="515"/>
      <c r="N16" s="515"/>
      <c r="O16" s="515"/>
      <c r="P16" s="515"/>
      <c r="Q16" s="515"/>
      <c r="R16" s="515"/>
      <c r="T16" s="515">
        <f t="shared" si="5"/>
        <v>0</v>
      </c>
      <c r="U16" s="515">
        <f t="shared" si="6"/>
        <v>0</v>
      </c>
    </row>
    <row r="17" spans="1:21">
      <c r="A17" s="510" t="s">
        <v>474</v>
      </c>
      <c r="C17" s="515">
        <f t="shared" ref="C17:H17" si="7">SUM(C18:C25)</f>
        <v>0</v>
      </c>
      <c r="D17" s="515">
        <f t="shared" si="7"/>
        <v>0</v>
      </c>
      <c r="E17" s="515">
        <f t="shared" si="7"/>
        <v>0</v>
      </c>
      <c r="F17" s="515">
        <f t="shared" si="7"/>
        <v>0</v>
      </c>
      <c r="G17" s="515">
        <f t="shared" si="7"/>
        <v>0</v>
      </c>
      <c r="H17" s="515">
        <f t="shared" si="7"/>
        <v>0</v>
      </c>
      <c r="I17" s="515">
        <f>SUM(I18:I25)</f>
        <v>0</v>
      </c>
      <c r="J17" s="515">
        <f>SUM(J18:J25)</f>
        <v>-361</v>
      </c>
      <c r="K17" s="515">
        <f>SUM(K18:K25)</f>
        <v>-77</v>
      </c>
      <c r="L17" s="515">
        <f>SUM(L18:L25)</f>
        <v>-124</v>
      </c>
      <c r="M17" s="515"/>
      <c r="N17" s="515"/>
      <c r="O17" s="515"/>
      <c r="P17" s="515"/>
      <c r="Q17" s="515"/>
      <c r="R17" s="515"/>
      <c r="T17" s="515">
        <f>SUM(T18:T25)</f>
        <v>-77</v>
      </c>
      <c r="U17" s="515">
        <f>SUM(U18:U25)</f>
        <v>-47</v>
      </c>
    </row>
    <row r="18" spans="1:21" outlineLevel="1">
      <c r="A18" s="511" t="s">
        <v>475</v>
      </c>
      <c r="C18" s="516"/>
      <c r="D18" s="516"/>
      <c r="E18" s="516"/>
      <c r="F18" s="516"/>
      <c r="G18" s="516"/>
      <c r="H18" s="516">
        <v>0</v>
      </c>
      <c r="I18" s="516">
        <v>0</v>
      </c>
      <c r="J18" s="516">
        <v>0</v>
      </c>
      <c r="K18" s="516">
        <v>0</v>
      </c>
      <c r="L18" s="516">
        <v>0</v>
      </c>
      <c r="M18" s="516"/>
      <c r="N18" s="516"/>
      <c r="O18" s="516"/>
      <c r="P18" s="516"/>
      <c r="Q18" s="516"/>
      <c r="R18" s="516"/>
      <c r="T18" s="516">
        <f t="shared" si="5"/>
        <v>0</v>
      </c>
      <c r="U18" s="516">
        <f t="shared" ref="U18:U25" si="8">L18-T18</f>
        <v>0</v>
      </c>
    </row>
    <row r="19" spans="1:21" outlineLevel="1">
      <c r="A19" s="511" t="s">
        <v>476</v>
      </c>
      <c r="C19" s="516"/>
      <c r="D19" s="516"/>
      <c r="E19" s="516"/>
      <c r="F19" s="516"/>
      <c r="G19" s="516"/>
      <c r="H19" s="516">
        <v>0</v>
      </c>
      <c r="I19" s="516">
        <v>0</v>
      </c>
      <c r="J19" s="516">
        <v>0</v>
      </c>
      <c r="K19" s="516">
        <v>0</v>
      </c>
      <c r="L19" s="516">
        <v>0</v>
      </c>
      <c r="M19" s="516"/>
      <c r="N19" s="516"/>
      <c r="O19" s="516"/>
      <c r="P19" s="516"/>
      <c r="Q19" s="516"/>
      <c r="R19" s="516"/>
      <c r="T19" s="516">
        <f t="shared" si="5"/>
        <v>0</v>
      </c>
      <c r="U19" s="516">
        <f t="shared" si="8"/>
        <v>0</v>
      </c>
    </row>
    <row r="20" spans="1:21" outlineLevel="1">
      <c r="A20" s="511" t="s">
        <v>477</v>
      </c>
      <c r="C20" s="516"/>
      <c r="D20" s="516"/>
      <c r="E20" s="516"/>
      <c r="F20" s="516"/>
      <c r="G20" s="516"/>
      <c r="H20" s="516">
        <v>0</v>
      </c>
      <c r="I20" s="516">
        <v>0</v>
      </c>
      <c r="J20" s="516">
        <v>0</v>
      </c>
      <c r="K20" s="516">
        <v>0</v>
      </c>
      <c r="L20" s="516">
        <v>0</v>
      </c>
      <c r="M20" s="516"/>
      <c r="N20" s="516"/>
      <c r="O20" s="516"/>
      <c r="P20" s="516"/>
      <c r="Q20" s="516"/>
      <c r="R20" s="516"/>
      <c r="T20" s="516">
        <f t="shared" si="5"/>
        <v>0</v>
      </c>
      <c r="U20" s="516">
        <f t="shared" si="8"/>
        <v>0</v>
      </c>
    </row>
    <row r="21" spans="1:21" outlineLevel="1">
      <c r="A21" s="511" t="s">
        <v>478</v>
      </c>
      <c r="C21" s="516"/>
      <c r="D21" s="516"/>
      <c r="E21" s="516"/>
      <c r="F21" s="516"/>
      <c r="G21" s="516"/>
      <c r="H21" s="516">
        <v>0</v>
      </c>
      <c r="I21" s="516">
        <v>0</v>
      </c>
      <c r="J21" s="516">
        <v>0</v>
      </c>
      <c r="K21" s="516">
        <v>0</v>
      </c>
      <c r="L21" s="516">
        <v>0</v>
      </c>
      <c r="M21" s="516"/>
      <c r="N21" s="516"/>
      <c r="O21" s="516"/>
      <c r="P21" s="516"/>
      <c r="Q21" s="516"/>
      <c r="R21" s="516"/>
      <c r="T21" s="516">
        <f t="shared" si="5"/>
        <v>0</v>
      </c>
      <c r="U21" s="516">
        <f t="shared" si="8"/>
        <v>0</v>
      </c>
    </row>
    <row r="22" spans="1:21" outlineLevel="1">
      <c r="A22" s="511" t="s">
        <v>479</v>
      </c>
      <c r="C22" s="516"/>
      <c r="D22" s="516"/>
      <c r="E22" s="516"/>
      <c r="F22" s="516"/>
      <c r="G22" s="516"/>
      <c r="H22" s="516">
        <v>0</v>
      </c>
      <c r="I22" s="516">
        <v>0</v>
      </c>
      <c r="J22" s="516">
        <v>0</v>
      </c>
      <c r="K22" s="516">
        <v>0</v>
      </c>
      <c r="L22" s="516">
        <v>0</v>
      </c>
      <c r="M22" s="516"/>
      <c r="N22" s="516"/>
      <c r="O22" s="516"/>
      <c r="P22" s="516"/>
      <c r="Q22" s="516"/>
      <c r="R22" s="516"/>
      <c r="T22" s="516">
        <f t="shared" si="5"/>
        <v>0</v>
      </c>
      <c r="U22" s="516">
        <f t="shared" si="8"/>
        <v>0</v>
      </c>
    </row>
    <row r="23" spans="1:21" outlineLevel="1">
      <c r="A23" s="511" t="s">
        <v>480</v>
      </c>
      <c r="C23" s="516"/>
      <c r="D23" s="516"/>
      <c r="E23" s="516"/>
      <c r="F23" s="516"/>
      <c r="G23" s="516"/>
      <c r="H23" s="516">
        <v>0</v>
      </c>
      <c r="I23" s="516">
        <v>0</v>
      </c>
      <c r="J23" s="516">
        <v>0</v>
      </c>
      <c r="K23" s="516">
        <v>0</v>
      </c>
      <c r="L23" s="516">
        <v>0</v>
      </c>
      <c r="M23" s="516"/>
      <c r="N23" s="516"/>
      <c r="O23" s="516"/>
      <c r="P23" s="516"/>
      <c r="Q23" s="516"/>
      <c r="R23" s="516"/>
      <c r="T23" s="516">
        <f t="shared" si="5"/>
        <v>0</v>
      </c>
      <c r="U23" s="516">
        <f t="shared" si="8"/>
        <v>0</v>
      </c>
    </row>
    <row r="24" spans="1:21" outlineLevel="1">
      <c r="A24" s="511" t="s">
        <v>481</v>
      </c>
      <c r="C24" s="516"/>
      <c r="D24" s="516"/>
      <c r="E24" s="516"/>
      <c r="F24" s="516"/>
      <c r="G24" s="516"/>
      <c r="H24" s="516">
        <v>0</v>
      </c>
      <c r="I24" s="516">
        <v>0</v>
      </c>
      <c r="J24" s="516">
        <v>-361</v>
      </c>
      <c r="K24" s="516">
        <v>-77</v>
      </c>
      <c r="L24" s="516">
        <v>-124</v>
      </c>
      <c r="M24" s="516"/>
      <c r="N24" s="516"/>
      <c r="O24" s="516"/>
      <c r="P24" s="516"/>
      <c r="Q24" s="516"/>
      <c r="R24" s="516"/>
      <c r="T24" s="516">
        <f t="shared" si="5"/>
        <v>-77</v>
      </c>
      <c r="U24" s="516">
        <f t="shared" si="8"/>
        <v>-47</v>
      </c>
    </row>
    <row r="25" spans="1:21" outlineLevel="1">
      <c r="A25" s="511" t="s">
        <v>474</v>
      </c>
      <c r="C25" s="516"/>
      <c r="D25" s="516"/>
      <c r="E25" s="516"/>
      <c r="F25" s="516"/>
      <c r="G25" s="516"/>
      <c r="H25" s="516">
        <v>0</v>
      </c>
      <c r="I25" s="516">
        <v>0</v>
      </c>
      <c r="J25" s="516">
        <v>0</v>
      </c>
      <c r="K25" s="516">
        <v>0</v>
      </c>
      <c r="L25" s="516">
        <v>0</v>
      </c>
      <c r="M25" s="516"/>
      <c r="N25" s="516"/>
      <c r="O25" s="516"/>
      <c r="P25" s="516"/>
      <c r="Q25" s="516"/>
      <c r="R25" s="516"/>
      <c r="T25" s="516">
        <f t="shared" si="5"/>
        <v>0</v>
      </c>
      <c r="U25" s="516">
        <f t="shared" si="8"/>
        <v>0</v>
      </c>
    </row>
    <row r="26" spans="1:21">
      <c r="A26" s="510"/>
      <c r="C26" s="510"/>
      <c r="D26" s="510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  <c r="T26" s="510"/>
      <c r="U26" s="510"/>
    </row>
    <row r="27" spans="1:21">
      <c r="A27" s="522" t="s">
        <v>482</v>
      </c>
      <c r="C27" s="513">
        <f t="shared" ref="C27:H27" si="9">SUM(C29:C37)</f>
        <v>0</v>
      </c>
      <c r="D27" s="513">
        <f t="shared" si="9"/>
        <v>0</v>
      </c>
      <c r="E27" s="513">
        <f t="shared" si="9"/>
        <v>0</v>
      </c>
      <c r="F27" s="513">
        <f t="shared" si="9"/>
        <v>0</v>
      </c>
      <c r="G27" s="513">
        <f t="shared" si="9"/>
        <v>0</v>
      </c>
      <c r="H27" s="513">
        <f t="shared" si="9"/>
        <v>0</v>
      </c>
      <c r="I27" s="513">
        <f>SUM(I29:I37)</f>
        <v>-447</v>
      </c>
      <c r="J27" s="513">
        <f>SUM(J29:J37)</f>
        <v>-859</v>
      </c>
      <c r="K27" s="513">
        <f>SUM(K29:K37)</f>
        <v>-438</v>
      </c>
      <c r="L27" s="513">
        <f>SUM(L29:L37)</f>
        <v>-1600</v>
      </c>
      <c r="M27" s="513"/>
      <c r="N27" s="513"/>
      <c r="O27" s="513"/>
      <c r="P27" s="513"/>
      <c r="Q27" s="513"/>
      <c r="R27" s="513"/>
      <c r="T27" s="513">
        <f>SUM(T29:T37)</f>
        <v>-438</v>
      </c>
      <c r="U27" s="513">
        <f>SUM(U29:U37)</f>
        <v>-1162</v>
      </c>
    </row>
    <row r="28" spans="1:21">
      <c r="A28" s="509"/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T28" s="514"/>
      <c r="U28" s="514"/>
    </row>
    <row r="29" spans="1:21" outlineLevel="1">
      <c r="A29" s="511" t="s">
        <v>483</v>
      </c>
      <c r="C29" s="516"/>
      <c r="D29" s="516"/>
      <c r="E29" s="516"/>
      <c r="F29" s="516"/>
      <c r="G29" s="516"/>
      <c r="H29" s="516">
        <v>0</v>
      </c>
      <c r="I29" s="516">
        <v>0</v>
      </c>
      <c r="J29" s="516">
        <v>0</v>
      </c>
      <c r="K29" s="516">
        <v>0</v>
      </c>
      <c r="L29" s="516">
        <v>-281</v>
      </c>
      <c r="M29" s="516"/>
      <c r="N29" s="516"/>
      <c r="O29" s="516"/>
      <c r="P29" s="516"/>
      <c r="Q29" s="516"/>
      <c r="R29" s="516"/>
      <c r="T29" s="516">
        <f t="shared" ref="T29:T37" si="10">K29</f>
        <v>0</v>
      </c>
      <c r="U29" s="516">
        <f t="shared" ref="U29:U37" si="11">L29-T29</f>
        <v>-281</v>
      </c>
    </row>
    <row r="30" spans="1:21" outlineLevel="1">
      <c r="A30" s="511" t="s">
        <v>484</v>
      </c>
      <c r="C30" s="516"/>
      <c r="D30" s="516"/>
      <c r="E30" s="516"/>
      <c r="F30" s="516"/>
      <c r="G30" s="516"/>
      <c r="H30" s="516">
        <v>0</v>
      </c>
      <c r="I30" s="516">
        <v>0</v>
      </c>
      <c r="J30" s="516">
        <v>-893</v>
      </c>
      <c r="K30" s="516">
        <v>-445</v>
      </c>
      <c r="L30" s="516">
        <v>-1330</v>
      </c>
      <c r="M30" s="516"/>
      <c r="N30" s="516"/>
      <c r="O30" s="516"/>
      <c r="P30" s="516"/>
      <c r="Q30" s="516"/>
      <c r="R30" s="516"/>
      <c r="T30" s="516">
        <f t="shared" si="10"/>
        <v>-445</v>
      </c>
      <c r="U30" s="516">
        <f t="shared" si="11"/>
        <v>-885</v>
      </c>
    </row>
    <row r="31" spans="1:21" outlineLevel="1">
      <c r="A31" s="511" t="s">
        <v>485</v>
      </c>
      <c r="C31" s="516"/>
      <c r="D31" s="516"/>
      <c r="E31" s="516"/>
      <c r="F31" s="516"/>
      <c r="G31" s="516"/>
      <c r="H31" s="516">
        <v>0</v>
      </c>
      <c r="I31" s="516">
        <v>-447</v>
      </c>
      <c r="J31" s="516">
        <v>34</v>
      </c>
      <c r="K31" s="516">
        <v>7</v>
      </c>
      <c r="L31" s="516">
        <v>11</v>
      </c>
      <c r="M31" s="516"/>
      <c r="N31" s="516"/>
      <c r="O31" s="516"/>
      <c r="P31" s="516"/>
      <c r="Q31" s="516"/>
      <c r="R31" s="516"/>
      <c r="T31" s="516">
        <f t="shared" si="10"/>
        <v>7</v>
      </c>
      <c r="U31" s="516">
        <f t="shared" si="11"/>
        <v>4</v>
      </c>
    </row>
    <row r="32" spans="1:21" outlineLevel="1">
      <c r="A32" s="511" t="s">
        <v>486</v>
      </c>
      <c r="C32" s="516"/>
      <c r="D32" s="516"/>
      <c r="E32" s="516"/>
      <c r="F32" s="516"/>
      <c r="G32" s="516"/>
      <c r="H32" s="516">
        <v>0</v>
      </c>
      <c r="I32" s="516">
        <v>0</v>
      </c>
      <c r="J32" s="516">
        <v>0</v>
      </c>
      <c r="K32" s="516">
        <v>0</v>
      </c>
      <c r="L32" s="516">
        <v>0</v>
      </c>
      <c r="M32" s="516"/>
      <c r="N32" s="516"/>
      <c r="O32" s="516"/>
      <c r="P32" s="516"/>
      <c r="Q32" s="516"/>
      <c r="R32" s="516"/>
      <c r="T32" s="516">
        <f t="shared" si="10"/>
        <v>0</v>
      </c>
      <c r="U32" s="516">
        <f t="shared" si="11"/>
        <v>0</v>
      </c>
    </row>
    <row r="33" spans="1:21" outlineLevel="1">
      <c r="A33" s="511" t="s">
        <v>487</v>
      </c>
      <c r="C33" s="516"/>
      <c r="D33" s="516"/>
      <c r="E33" s="516"/>
      <c r="F33" s="516"/>
      <c r="G33" s="516"/>
      <c r="H33" s="516">
        <v>0</v>
      </c>
      <c r="I33" s="516">
        <v>0</v>
      </c>
      <c r="J33" s="516">
        <v>0</v>
      </c>
      <c r="K33" s="516">
        <v>0</v>
      </c>
      <c r="L33" s="516">
        <v>0</v>
      </c>
      <c r="M33" s="516"/>
      <c r="N33" s="516"/>
      <c r="O33" s="516"/>
      <c r="P33" s="516"/>
      <c r="Q33" s="516"/>
      <c r="R33" s="516"/>
      <c r="T33" s="516">
        <f t="shared" si="10"/>
        <v>0</v>
      </c>
      <c r="U33" s="516">
        <f t="shared" si="11"/>
        <v>0</v>
      </c>
    </row>
    <row r="34" spans="1:21" outlineLevel="1">
      <c r="A34" s="511" t="s">
        <v>488</v>
      </c>
      <c r="C34" s="516"/>
      <c r="D34" s="516"/>
      <c r="E34" s="516"/>
      <c r="F34" s="516"/>
      <c r="G34" s="516"/>
      <c r="H34" s="516">
        <v>0</v>
      </c>
      <c r="I34" s="516">
        <v>0</v>
      </c>
      <c r="J34" s="516">
        <v>0</v>
      </c>
      <c r="K34" s="516">
        <v>0</v>
      </c>
      <c r="L34" s="516">
        <v>0</v>
      </c>
      <c r="M34" s="516"/>
      <c r="N34" s="516"/>
      <c r="O34" s="516"/>
      <c r="P34" s="516"/>
      <c r="Q34" s="516"/>
      <c r="R34" s="516"/>
      <c r="T34" s="516">
        <f t="shared" si="10"/>
        <v>0</v>
      </c>
      <c r="U34" s="516">
        <f t="shared" si="11"/>
        <v>0</v>
      </c>
    </row>
    <row r="35" spans="1:21" outlineLevel="1">
      <c r="A35" s="511" t="s">
        <v>489</v>
      </c>
      <c r="C35" s="516"/>
      <c r="D35" s="516"/>
      <c r="E35" s="516"/>
      <c r="F35" s="516"/>
      <c r="G35" s="516"/>
      <c r="H35" s="516">
        <v>0</v>
      </c>
      <c r="I35" s="516">
        <v>0</v>
      </c>
      <c r="J35" s="516">
        <v>0</v>
      </c>
      <c r="K35" s="516">
        <v>0</v>
      </c>
      <c r="L35" s="516">
        <v>0</v>
      </c>
      <c r="M35" s="516"/>
      <c r="N35" s="516"/>
      <c r="O35" s="516"/>
      <c r="P35" s="516"/>
      <c r="Q35" s="516"/>
      <c r="R35" s="516"/>
      <c r="T35" s="516">
        <f t="shared" si="10"/>
        <v>0</v>
      </c>
      <c r="U35" s="516">
        <f t="shared" si="11"/>
        <v>0</v>
      </c>
    </row>
    <row r="36" spans="1:21" outlineLevel="1">
      <c r="A36" s="511" t="s">
        <v>490</v>
      </c>
      <c r="C36" s="516"/>
      <c r="D36" s="516"/>
      <c r="E36" s="516"/>
      <c r="F36" s="516"/>
      <c r="G36" s="516"/>
      <c r="H36" s="516">
        <v>0</v>
      </c>
      <c r="I36" s="516">
        <v>0</v>
      </c>
      <c r="J36" s="516">
        <v>0</v>
      </c>
      <c r="K36" s="516">
        <v>0</v>
      </c>
      <c r="L36" s="516">
        <v>0</v>
      </c>
      <c r="M36" s="516"/>
      <c r="N36" s="516"/>
      <c r="O36" s="516"/>
      <c r="P36" s="516"/>
      <c r="Q36" s="516"/>
      <c r="R36" s="516"/>
      <c r="T36" s="516">
        <f t="shared" si="10"/>
        <v>0</v>
      </c>
      <c r="U36" s="516">
        <f t="shared" si="11"/>
        <v>0</v>
      </c>
    </row>
    <row r="37" spans="1:21" outlineLevel="1">
      <c r="A37" s="511" t="s">
        <v>59</v>
      </c>
      <c r="C37" s="516"/>
      <c r="D37" s="516"/>
      <c r="E37" s="516"/>
      <c r="F37" s="516"/>
      <c r="G37" s="516"/>
      <c r="H37" s="516">
        <v>0</v>
      </c>
      <c r="I37" s="516">
        <v>0</v>
      </c>
      <c r="J37" s="516">
        <v>0</v>
      </c>
      <c r="K37" s="516">
        <v>0</v>
      </c>
      <c r="L37" s="516">
        <v>0</v>
      </c>
      <c r="M37" s="516"/>
      <c r="N37" s="516"/>
      <c r="O37" s="516"/>
      <c r="P37" s="516"/>
      <c r="Q37" s="516"/>
      <c r="R37" s="516"/>
      <c r="T37" s="516">
        <f t="shared" si="10"/>
        <v>0</v>
      </c>
      <c r="U37" s="516">
        <f t="shared" si="11"/>
        <v>0</v>
      </c>
    </row>
    <row r="38" spans="1:21">
      <c r="A38" s="510"/>
      <c r="C38" s="510"/>
      <c r="D38" s="510"/>
      <c r="E38" s="510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P38" s="510"/>
      <c r="Q38" s="510"/>
      <c r="R38" s="510"/>
      <c r="T38" s="510"/>
      <c r="U38" s="510"/>
    </row>
    <row r="39" spans="1:21">
      <c r="A39" s="522" t="s">
        <v>491</v>
      </c>
      <c r="C39" s="513">
        <f t="shared" ref="C39:H39" si="12">C27+C6</f>
        <v>0</v>
      </c>
      <c r="D39" s="513">
        <f t="shared" si="12"/>
        <v>0</v>
      </c>
      <c r="E39" s="513">
        <f t="shared" si="12"/>
        <v>0</v>
      </c>
      <c r="F39" s="513">
        <f t="shared" si="12"/>
        <v>0</v>
      </c>
      <c r="G39" s="513">
        <f t="shared" si="12"/>
        <v>0</v>
      </c>
      <c r="H39" s="513">
        <f t="shared" si="12"/>
        <v>0</v>
      </c>
      <c r="I39" s="513">
        <f>I27+I6</f>
        <v>4080</v>
      </c>
      <c r="J39" s="513">
        <f>J27+J6</f>
        <v>8431</v>
      </c>
      <c r="K39" s="513">
        <f>K27+K6</f>
        <v>4295</v>
      </c>
      <c r="L39" s="513">
        <f>L27+L6</f>
        <v>17864</v>
      </c>
      <c r="M39" s="513"/>
      <c r="N39" s="513"/>
      <c r="O39" s="513"/>
      <c r="P39" s="513"/>
      <c r="Q39" s="513"/>
      <c r="R39" s="513"/>
      <c r="T39" s="513">
        <f>T27+T6</f>
        <v>4295</v>
      </c>
      <c r="U39" s="513">
        <f>U27+U6</f>
        <v>13569</v>
      </c>
    </row>
    <row r="40" spans="1:21">
      <c r="A40" s="510"/>
      <c r="C40" s="510"/>
      <c r="D40" s="510"/>
      <c r="E40" s="510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P40" s="510"/>
      <c r="Q40" s="510"/>
      <c r="R40" s="510"/>
      <c r="T40" s="510"/>
      <c r="U40" s="510"/>
    </row>
    <row r="41" spans="1:21">
      <c r="A41" s="509" t="s">
        <v>492</v>
      </c>
      <c r="C41" s="517">
        <f t="shared" ref="C41:H41" si="13">SUM(C43:C48)</f>
        <v>0</v>
      </c>
      <c r="D41" s="517">
        <f t="shared" si="13"/>
        <v>0</v>
      </c>
      <c r="E41" s="517">
        <f t="shared" si="13"/>
        <v>0</v>
      </c>
      <c r="F41" s="517">
        <f t="shared" si="13"/>
        <v>0</v>
      </c>
      <c r="G41" s="517">
        <f t="shared" si="13"/>
        <v>0</v>
      </c>
      <c r="H41" s="517">
        <f t="shared" si="13"/>
        <v>0</v>
      </c>
      <c r="I41" s="517">
        <f>SUM(I43:I48)</f>
        <v>-3989</v>
      </c>
      <c r="J41" s="517">
        <f>SUM(J43:J48)</f>
        <v>-8433</v>
      </c>
      <c r="K41" s="517">
        <f>SUM(K43:K48)</f>
        <v>-3454</v>
      </c>
      <c r="L41" s="517">
        <f>SUM(L43:L48)</f>
        <v>-9420</v>
      </c>
      <c r="M41" s="517"/>
      <c r="N41" s="517"/>
      <c r="O41" s="517"/>
      <c r="P41" s="517"/>
      <c r="Q41" s="517"/>
      <c r="R41" s="517"/>
      <c r="T41" s="517">
        <f>SUM(T43:T48)</f>
        <v>-3454</v>
      </c>
      <c r="U41" s="517">
        <f>SUM(U43:U48)</f>
        <v>-5966</v>
      </c>
    </row>
    <row r="42" spans="1:21">
      <c r="A42" s="509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T42" s="514"/>
      <c r="U42" s="514"/>
    </row>
    <row r="43" spans="1:21">
      <c r="A43" s="510" t="s">
        <v>493</v>
      </c>
      <c r="C43" s="515"/>
      <c r="D43" s="515"/>
      <c r="E43" s="515"/>
      <c r="F43" s="515"/>
      <c r="G43" s="515"/>
      <c r="H43" s="515">
        <v>0</v>
      </c>
      <c r="I43" s="515">
        <v>-4591</v>
      </c>
      <c r="J43" s="515">
        <v>-8332</v>
      </c>
      <c r="K43" s="515">
        <v>-3427</v>
      </c>
      <c r="L43" s="515">
        <v>-7673</v>
      </c>
      <c r="M43" s="515"/>
      <c r="N43" s="515"/>
      <c r="O43" s="515"/>
      <c r="P43" s="515"/>
      <c r="Q43" s="515"/>
      <c r="R43" s="515"/>
      <c r="T43" s="515">
        <f t="shared" ref="T43:T47" si="14">K43</f>
        <v>-3427</v>
      </c>
      <c r="U43" s="515">
        <f t="shared" ref="U43:U47" si="15">L43-T43</f>
        <v>-4246</v>
      </c>
    </row>
    <row r="44" spans="1:21">
      <c r="A44" s="510" t="s">
        <v>494</v>
      </c>
      <c r="C44" s="515"/>
      <c r="D44" s="515"/>
      <c r="E44" s="515"/>
      <c r="F44" s="515"/>
      <c r="G44" s="515"/>
      <c r="H44" s="515">
        <v>0</v>
      </c>
      <c r="I44" s="515">
        <v>0</v>
      </c>
      <c r="J44" s="515">
        <v>0</v>
      </c>
      <c r="K44" s="515">
        <v>0</v>
      </c>
      <c r="L44" s="515">
        <v>0</v>
      </c>
      <c r="M44" s="515"/>
      <c r="N44" s="515"/>
      <c r="O44" s="515"/>
      <c r="P44" s="515"/>
      <c r="Q44" s="515"/>
      <c r="R44" s="515"/>
      <c r="T44" s="515">
        <f t="shared" si="14"/>
        <v>0</v>
      </c>
      <c r="U44" s="515">
        <f t="shared" si="15"/>
        <v>0</v>
      </c>
    </row>
    <row r="45" spans="1:21">
      <c r="A45" s="510" t="s">
        <v>495</v>
      </c>
      <c r="C45" s="515"/>
      <c r="D45" s="515"/>
      <c r="E45" s="515"/>
      <c r="F45" s="515"/>
      <c r="G45" s="515"/>
      <c r="H45" s="515">
        <v>0</v>
      </c>
      <c r="I45" s="515">
        <v>0</v>
      </c>
      <c r="J45" s="515">
        <v>0</v>
      </c>
      <c r="K45" s="515">
        <v>0</v>
      </c>
      <c r="L45" s="515">
        <v>0</v>
      </c>
      <c r="M45" s="515"/>
      <c r="N45" s="515"/>
      <c r="O45" s="515"/>
      <c r="P45" s="515"/>
      <c r="Q45" s="515"/>
      <c r="R45" s="515"/>
      <c r="T45" s="515">
        <f t="shared" si="14"/>
        <v>0</v>
      </c>
      <c r="U45" s="515">
        <f t="shared" si="15"/>
        <v>0</v>
      </c>
    </row>
    <row r="46" spans="1:21">
      <c r="A46" s="510" t="s">
        <v>496</v>
      </c>
      <c r="C46" s="515"/>
      <c r="D46" s="515"/>
      <c r="E46" s="515"/>
      <c r="F46" s="515"/>
      <c r="G46" s="515"/>
      <c r="H46" s="515">
        <v>0</v>
      </c>
      <c r="I46" s="515">
        <v>0</v>
      </c>
      <c r="J46" s="515">
        <v>0</v>
      </c>
      <c r="K46" s="515">
        <v>0</v>
      </c>
      <c r="L46" s="515">
        <v>0</v>
      </c>
      <c r="M46" s="515"/>
      <c r="N46" s="515"/>
      <c r="O46" s="515"/>
      <c r="P46" s="515"/>
      <c r="Q46" s="515"/>
      <c r="R46" s="515"/>
      <c r="T46" s="515">
        <f t="shared" si="14"/>
        <v>0</v>
      </c>
      <c r="U46" s="515">
        <f t="shared" si="15"/>
        <v>0</v>
      </c>
    </row>
    <row r="47" spans="1:21">
      <c r="A47" s="510" t="s">
        <v>497</v>
      </c>
      <c r="C47" s="515"/>
      <c r="D47" s="515"/>
      <c r="E47" s="515"/>
      <c r="F47" s="515"/>
      <c r="G47" s="515"/>
      <c r="H47" s="515">
        <v>0</v>
      </c>
      <c r="I47" s="515">
        <v>0</v>
      </c>
      <c r="J47" s="515">
        <v>0</v>
      </c>
      <c r="K47" s="515">
        <v>0</v>
      </c>
      <c r="L47" s="515">
        <v>0</v>
      </c>
      <c r="M47" s="515"/>
      <c r="N47" s="515"/>
      <c r="O47" s="515"/>
      <c r="P47" s="515"/>
      <c r="Q47" s="515"/>
      <c r="R47" s="515"/>
      <c r="T47" s="515">
        <f t="shared" si="14"/>
        <v>0</v>
      </c>
      <c r="U47" s="515">
        <f t="shared" si="15"/>
        <v>0</v>
      </c>
    </row>
    <row r="48" spans="1:21">
      <c r="A48" s="510" t="s">
        <v>498</v>
      </c>
      <c r="C48" s="515">
        <f t="shared" ref="C48:H48" si="16">SUM(C49:C55)</f>
        <v>0</v>
      </c>
      <c r="D48" s="515">
        <f t="shared" si="16"/>
        <v>0</v>
      </c>
      <c r="E48" s="515">
        <f t="shared" si="16"/>
        <v>0</v>
      </c>
      <c r="F48" s="515">
        <f t="shared" si="16"/>
        <v>0</v>
      </c>
      <c r="G48" s="515">
        <f t="shared" si="16"/>
        <v>0</v>
      </c>
      <c r="H48" s="515">
        <f t="shared" si="16"/>
        <v>0</v>
      </c>
      <c r="I48" s="515">
        <f>SUM(I49:I55)</f>
        <v>602</v>
      </c>
      <c r="J48" s="515">
        <f>SUM(J49:J55)</f>
        <v>-101</v>
      </c>
      <c r="K48" s="515">
        <f>SUM(K49:K55)</f>
        <v>-27</v>
      </c>
      <c r="L48" s="515">
        <f>SUM(L49:L55)</f>
        <v>-1747</v>
      </c>
      <c r="M48" s="515"/>
      <c r="N48" s="515"/>
      <c r="O48" s="515"/>
      <c r="P48" s="515"/>
      <c r="Q48" s="515"/>
      <c r="R48" s="515"/>
      <c r="T48" s="515">
        <f>SUM(T49:T55)</f>
        <v>-27</v>
      </c>
      <c r="U48" s="515">
        <f>SUM(U49:U55)</f>
        <v>-1720</v>
      </c>
    </row>
    <row r="49" spans="1:21" outlineLevel="1">
      <c r="A49" s="511" t="s">
        <v>499</v>
      </c>
      <c r="C49" s="516"/>
      <c r="D49" s="516"/>
      <c r="E49" s="516"/>
      <c r="F49" s="516"/>
      <c r="G49" s="516"/>
      <c r="H49" s="516">
        <v>0</v>
      </c>
      <c r="I49" s="516">
        <v>-10</v>
      </c>
      <c r="J49" s="516">
        <v>-25</v>
      </c>
      <c r="K49" s="516">
        <v>5</v>
      </c>
      <c r="L49" s="516">
        <v>-170</v>
      </c>
      <c r="M49" s="516"/>
      <c r="N49" s="516"/>
      <c r="O49" s="516"/>
      <c r="P49" s="516"/>
      <c r="Q49" s="516"/>
      <c r="R49" s="516"/>
      <c r="T49" s="516">
        <f t="shared" ref="T49:T55" si="17">K49</f>
        <v>5</v>
      </c>
      <c r="U49" s="516">
        <f t="shared" ref="U49:U55" si="18">L49-T49</f>
        <v>-175</v>
      </c>
    </row>
    <row r="50" spans="1:21" outlineLevel="1">
      <c r="A50" s="511" t="s">
        <v>500</v>
      </c>
      <c r="C50" s="516"/>
      <c r="D50" s="516"/>
      <c r="E50" s="516"/>
      <c r="F50" s="516"/>
      <c r="G50" s="516"/>
      <c r="H50" s="516">
        <v>0</v>
      </c>
      <c r="I50" s="516">
        <v>0</v>
      </c>
      <c r="J50" s="516">
        <v>0</v>
      </c>
      <c r="K50" s="516">
        <v>0</v>
      </c>
      <c r="L50" s="516">
        <v>-9</v>
      </c>
      <c r="M50" s="516"/>
      <c r="N50" s="516"/>
      <c r="O50" s="516"/>
      <c r="P50" s="516"/>
      <c r="Q50" s="516"/>
      <c r="R50" s="516"/>
      <c r="T50" s="516">
        <f t="shared" si="17"/>
        <v>0</v>
      </c>
      <c r="U50" s="516">
        <f t="shared" si="18"/>
        <v>-9</v>
      </c>
    </row>
    <row r="51" spans="1:21" outlineLevel="1">
      <c r="A51" s="511" t="s">
        <v>501</v>
      </c>
      <c r="C51" s="516"/>
      <c r="D51" s="516"/>
      <c r="E51" s="516"/>
      <c r="F51" s="516"/>
      <c r="G51" s="516"/>
      <c r="H51" s="516">
        <v>0</v>
      </c>
      <c r="I51" s="516">
        <v>284</v>
      </c>
      <c r="J51" s="516">
        <v>141</v>
      </c>
      <c r="K51" s="516">
        <v>-14</v>
      </c>
      <c r="L51" s="516">
        <v>-58</v>
      </c>
      <c r="M51" s="516"/>
      <c r="N51" s="516"/>
      <c r="O51" s="516"/>
      <c r="P51" s="516"/>
      <c r="Q51" s="516"/>
      <c r="R51" s="516"/>
      <c r="T51" s="516">
        <f t="shared" si="17"/>
        <v>-14</v>
      </c>
      <c r="U51" s="516">
        <f t="shared" si="18"/>
        <v>-44</v>
      </c>
    </row>
    <row r="52" spans="1:21" outlineLevel="1">
      <c r="A52" s="511" t="s">
        <v>502</v>
      </c>
      <c r="C52" s="516"/>
      <c r="D52" s="516"/>
      <c r="E52" s="516"/>
      <c r="F52" s="516"/>
      <c r="G52" s="516"/>
      <c r="H52" s="516">
        <v>0</v>
      </c>
      <c r="I52" s="516">
        <v>-4</v>
      </c>
      <c r="J52" s="516">
        <v>0</v>
      </c>
      <c r="K52" s="516">
        <v>-7</v>
      </c>
      <c r="L52" s="516">
        <v>-11</v>
      </c>
      <c r="M52" s="516"/>
      <c r="N52" s="516"/>
      <c r="O52" s="516"/>
      <c r="P52" s="516"/>
      <c r="Q52" s="516"/>
      <c r="R52" s="516"/>
      <c r="T52" s="516">
        <f t="shared" si="17"/>
        <v>-7</v>
      </c>
      <c r="U52" s="516">
        <f t="shared" si="18"/>
        <v>-4</v>
      </c>
    </row>
    <row r="53" spans="1:21" outlineLevel="1">
      <c r="A53" s="511" t="s">
        <v>503</v>
      </c>
      <c r="C53" s="516"/>
      <c r="D53" s="516"/>
      <c r="E53" s="516"/>
      <c r="F53" s="516"/>
      <c r="G53" s="516"/>
      <c r="H53" s="516">
        <v>0</v>
      </c>
      <c r="I53" s="516">
        <v>0</v>
      </c>
      <c r="J53" s="516">
        <v>0</v>
      </c>
      <c r="K53" s="516">
        <v>0</v>
      </c>
      <c r="L53" s="516">
        <v>0</v>
      </c>
      <c r="M53" s="516"/>
      <c r="N53" s="516"/>
      <c r="O53" s="516"/>
      <c r="P53" s="516"/>
      <c r="Q53" s="516"/>
      <c r="R53" s="516"/>
      <c r="T53" s="516">
        <f t="shared" si="17"/>
        <v>0</v>
      </c>
      <c r="U53" s="516">
        <f t="shared" si="18"/>
        <v>0</v>
      </c>
    </row>
    <row r="54" spans="1:21" outlineLevel="1">
      <c r="A54" s="511" t="s">
        <v>504</v>
      </c>
      <c r="C54" s="516"/>
      <c r="D54" s="516"/>
      <c r="E54" s="516"/>
      <c r="F54" s="516"/>
      <c r="G54" s="516"/>
      <c r="H54" s="516">
        <v>0</v>
      </c>
      <c r="I54" s="516">
        <v>0</v>
      </c>
      <c r="J54" s="516">
        <v>0</v>
      </c>
      <c r="K54" s="516">
        <v>0</v>
      </c>
      <c r="L54" s="516">
        <v>0</v>
      </c>
      <c r="M54" s="516"/>
      <c r="N54" s="516"/>
      <c r="O54" s="516"/>
      <c r="P54" s="516"/>
      <c r="Q54" s="516"/>
      <c r="R54" s="516"/>
      <c r="T54" s="516">
        <f t="shared" si="17"/>
        <v>0</v>
      </c>
      <c r="U54" s="516">
        <f t="shared" si="18"/>
        <v>0</v>
      </c>
    </row>
    <row r="55" spans="1:21" outlineLevel="1">
      <c r="A55" s="511" t="s">
        <v>505</v>
      </c>
      <c r="C55" s="516"/>
      <c r="D55" s="516"/>
      <c r="E55" s="516"/>
      <c r="F55" s="516"/>
      <c r="G55" s="516"/>
      <c r="H55" s="516">
        <v>0</v>
      </c>
      <c r="I55" s="516">
        <v>332</v>
      </c>
      <c r="J55" s="516">
        <v>-217</v>
      </c>
      <c r="K55" s="516">
        <v>-11</v>
      </c>
      <c r="L55" s="516">
        <v>-1499</v>
      </c>
      <c r="M55" s="516"/>
      <c r="N55" s="516"/>
      <c r="O55" s="516"/>
      <c r="P55" s="516"/>
      <c r="Q55" s="516"/>
      <c r="R55" s="516"/>
      <c r="T55" s="516">
        <f t="shared" si="17"/>
        <v>-11</v>
      </c>
      <c r="U55" s="516">
        <f t="shared" si="18"/>
        <v>-1488</v>
      </c>
    </row>
    <row r="56" spans="1:21">
      <c r="A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0"/>
      <c r="T56" s="510"/>
      <c r="U56" s="510"/>
    </row>
    <row r="57" spans="1:21">
      <c r="A57" s="522" t="s">
        <v>506</v>
      </c>
      <c r="C57" s="513">
        <f t="shared" ref="C57:H57" si="19">C39+C41</f>
        <v>0</v>
      </c>
      <c r="D57" s="513">
        <f t="shared" si="19"/>
        <v>0</v>
      </c>
      <c r="E57" s="513">
        <f t="shared" si="19"/>
        <v>0</v>
      </c>
      <c r="F57" s="513">
        <f t="shared" si="19"/>
        <v>0</v>
      </c>
      <c r="G57" s="513">
        <f t="shared" si="19"/>
        <v>0</v>
      </c>
      <c r="H57" s="513">
        <f t="shared" si="19"/>
        <v>0</v>
      </c>
      <c r="I57" s="513">
        <f>I39+I41</f>
        <v>91</v>
      </c>
      <c r="J57" s="513">
        <f>J39+J41</f>
        <v>-2</v>
      </c>
      <c r="K57" s="513">
        <f>K39+K41</f>
        <v>841</v>
      </c>
      <c r="L57" s="513">
        <f>L39+L41</f>
        <v>8444</v>
      </c>
      <c r="M57" s="513"/>
      <c r="N57" s="513"/>
      <c r="O57" s="513"/>
      <c r="P57" s="513"/>
      <c r="Q57" s="513"/>
      <c r="R57" s="513"/>
      <c r="T57" s="513">
        <f>T39+T41</f>
        <v>841</v>
      </c>
      <c r="U57" s="513">
        <f>U39+U41</f>
        <v>7603</v>
      </c>
    </row>
    <row r="58" spans="1:21">
      <c r="A58" s="510"/>
      <c r="C58" s="510"/>
      <c r="D58" s="510"/>
      <c r="E58" s="510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P58" s="510"/>
      <c r="Q58" s="510"/>
      <c r="R58" s="510"/>
      <c r="T58" s="510"/>
      <c r="U58" s="510"/>
    </row>
    <row r="59" spans="1:21">
      <c r="A59" s="509" t="s">
        <v>507</v>
      </c>
      <c r="C59" s="517">
        <f t="shared" ref="C59:H59" si="20">C61+C67+C68+C77+C78</f>
        <v>0</v>
      </c>
      <c r="D59" s="517">
        <f t="shared" si="20"/>
        <v>0</v>
      </c>
      <c r="E59" s="517">
        <f t="shared" si="20"/>
        <v>0</v>
      </c>
      <c r="F59" s="517">
        <f t="shared" si="20"/>
        <v>0</v>
      </c>
      <c r="G59" s="517">
        <f t="shared" si="20"/>
        <v>0</v>
      </c>
      <c r="H59" s="517">
        <f t="shared" si="20"/>
        <v>91</v>
      </c>
      <c r="I59" s="517">
        <f>I61+I67+I68+I77+I78</f>
        <v>768</v>
      </c>
      <c r="J59" s="517">
        <f>J61+J67+J68+J77+J78</f>
        <v>96</v>
      </c>
      <c r="K59" s="517">
        <f>K61+K67+K68+K77+K78</f>
        <v>-188</v>
      </c>
      <c r="L59" s="517">
        <f>L61+L67+L68+L77+L78</f>
        <v>-1134</v>
      </c>
      <c r="M59" s="517"/>
      <c r="N59" s="517"/>
      <c r="O59" s="517"/>
      <c r="P59" s="517"/>
      <c r="Q59" s="517"/>
      <c r="R59" s="517"/>
      <c r="T59" s="517">
        <f>T61+T67+T68+T77+T78</f>
        <v>-188</v>
      </c>
      <c r="U59" s="517">
        <f>U61+U67+U68+U77+U78</f>
        <v>-946</v>
      </c>
    </row>
    <row r="60" spans="1:21">
      <c r="A60" s="509"/>
      <c r="C60" s="514"/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514"/>
      <c r="R60" s="514"/>
      <c r="T60" s="514"/>
      <c r="U60" s="514"/>
    </row>
    <row r="61" spans="1:21">
      <c r="A61" s="512" t="s">
        <v>508</v>
      </c>
      <c r="C61" s="515">
        <f t="shared" ref="C61:H61" si="21">SUM(C62:C66)</f>
        <v>0</v>
      </c>
      <c r="D61" s="515">
        <f t="shared" si="21"/>
        <v>0</v>
      </c>
      <c r="E61" s="515">
        <f t="shared" si="21"/>
        <v>0</v>
      </c>
      <c r="F61" s="515">
        <f t="shared" si="21"/>
        <v>0</v>
      </c>
      <c r="G61" s="515">
        <f t="shared" si="21"/>
        <v>0</v>
      </c>
      <c r="H61" s="515">
        <f t="shared" si="21"/>
        <v>0</v>
      </c>
      <c r="I61" s="515">
        <f>SUM(I62:I66)</f>
        <v>0</v>
      </c>
      <c r="J61" s="515">
        <f>SUM(J62:J66)</f>
        <v>0</v>
      </c>
      <c r="K61" s="515">
        <f t="shared" ref="K61" si="22">SUM(K62:K66)</f>
        <v>0</v>
      </c>
      <c r="L61" s="515"/>
      <c r="M61" s="515"/>
      <c r="N61" s="515"/>
      <c r="O61" s="515"/>
      <c r="P61" s="515"/>
      <c r="Q61" s="515"/>
      <c r="R61" s="515"/>
      <c r="T61" s="515">
        <f t="shared" ref="T61" si="23">SUM(T62:T66)</f>
        <v>0</v>
      </c>
      <c r="U61" s="515"/>
    </row>
    <row r="62" spans="1:21" outlineLevel="1">
      <c r="A62" s="511" t="s">
        <v>509</v>
      </c>
      <c r="C62" s="516"/>
      <c r="D62" s="516"/>
      <c r="E62" s="516"/>
      <c r="F62" s="516"/>
      <c r="G62" s="516"/>
      <c r="H62" s="516">
        <v>0</v>
      </c>
      <c r="I62" s="516">
        <v>0</v>
      </c>
      <c r="J62" s="516">
        <v>0</v>
      </c>
      <c r="K62" s="516">
        <v>0</v>
      </c>
      <c r="L62" s="516">
        <v>0</v>
      </c>
      <c r="M62" s="516"/>
      <c r="N62" s="516"/>
      <c r="O62" s="516"/>
      <c r="P62" s="516"/>
      <c r="Q62" s="516"/>
      <c r="R62" s="516"/>
      <c r="T62" s="516">
        <f t="shared" ref="T62:T67" si="24">K62</f>
        <v>0</v>
      </c>
      <c r="U62" s="516">
        <f t="shared" ref="U62:U67" si="25">L62-T62</f>
        <v>0</v>
      </c>
    </row>
    <row r="63" spans="1:21" outlineLevel="1">
      <c r="A63" s="511" t="s">
        <v>510</v>
      </c>
      <c r="C63" s="516"/>
      <c r="D63" s="516"/>
      <c r="E63" s="516"/>
      <c r="F63" s="516"/>
      <c r="G63" s="516"/>
      <c r="H63" s="516">
        <v>0</v>
      </c>
      <c r="I63" s="516">
        <v>0</v>
      </c>
      <c r="J63" s="516">
        <v>0</v>
      </c>
      <c r="K63" s="516">
        <v>0</v>
      </c>
      <c r="L63" s="516">
        <v>0</v>
      </c>
      <c r="M63" s="516"/>
      <c r="N63" s="516"/>
      <c r="O63" s="516"/>
      <c r="P63" s="516"/>
      <c r="Q63" s="516"/>
      <c r="R63" s="516"/>
      <c r="T63" s="516">
        <f t="shared" si="24"/>
        <v>0</v>
      </c>
      <c r="U63" s="516">
        <f t="shared" si="25"/>
        <v>0</v>
      </c>
    </row>
    <row r="64" spans="1:21" outlineLevel="1">
      <c r="A64" s="511" t="s">
        <v>511</v>
      </c>
      <c r="C64" s="516"/>
      <c r="D64" s="516"/>
      <c r="E64" s="516"/>
      <c r="F64" s="516"/>
      <c r="G64" s="516"/>
      <c r="H64" s="516">
        <v>0</v>
      </c>
      <c r="I64" s="516">
        <v>0</v>
      </c>
      <c r="J64" s="516">
        <v>0</v>
      </c>
      <c r="K64" s="516">
        <v>0</v>
      </c>
      <c r="L64" s="516">
        <v>0</v>
      </c>
      <c r="M64" s="516"/>
      <c r="N64" s="516"/>
      <c r="O64" s="516"/>
      <c r="P64" s="516"/>
      <c r="Q64" s="516"/>
      <c r="R64" s="516"/>
      <c r="T64" s="516">
        <f t="shared" si="24"/>
        <v>0</v>
      </c>
      <c r="U64" s="516">
        <f t="shared" si="25"/>
        <v>0</v>
      </c>
    </row>
    <row r="65" spans="1:21" outlineLevel="1">
      <c r="A65" s="511" t="s">
        <v>512</v>
      </c>
      <c r="C65" s="516"/>
      <c r="D65" s="516"/>
      <c r="E65" s="516"/>
      <c r="F65" s="516"/>
      <c r="G65" s="516"/>
      <c r="H65" s="516">
        <v>0</v>
      </c>
      <c r="I65" s="516">
        <v>0</v>
      </c>
      <c r="J65" s="516">
        <v>0</v>
      </c>
      <c r="K65" s="516">
        <v>0</v>
      </c>
      <c r="L65" s="516">
        <v>0</v>
      </c>
      <c r="M65" s="516"/>
      <c r="N65" s="516"/>
      <c r="O65" s="516"/>
      <c r="P65" s="516"/>
      <c r="Q65" s="516"/>
      <c r="R65" s="516"/>
      <c r="T65" s="516">
        <f t="shared" si="24"/>
        <v>0</v>
      </c>
      <c r="U65" s="516">
        <f t="shared" si="25"/>
        <v>0</v>
      </c>
    </row>
    <row r="66" spans="1:21" outlineLevel="1">
      <c r="A66" s="511" t="s">
        <v>513</v>
      </c>
      <c r="C66" s="516"/>
      <c r="D66" s="516"/>
      <c r="E66" s="516"/>
      <c r="F66" s="516"/>
      <c r="G66" s="516"/>
      <c r="H66" s="516">
        <v>0</v>
      </c>
      <c r="I66" s="516">
        <v>0</v>
      </c>
      <c r="J66" s="516">
        <v>0</v>
      </c>
      <c r="K66" s="516">
        <v>0</v>
      </c>
      <c r="L66" s="516">
        <v>0</v>
      </c>
      <c r="M66" s="516"/>
      <c r="N66" s="516"/>
      <c r="O66" s="516"/>
      <c r="P66" s="516"/>
      <c r="Q66" s="516"/>
      <c r="R66" s="516"/>
      <c r="T66" s="516">
        <f t="shared" si="24"/>
        <v>0</v>
      </c>
      <c r="U66" s="516">
        <f t="shared" si="25"/>
        <v>0</v>
      </c>
    </row>
    <row r="67" spans="1:21">
      <c r="A67" s="510" t="s">
        <v>514</v>
      </c>
      <c r="C67" s="518"/>
      <c r="D67" s="518"/>
      <c r="E67" s="518"/>
      <c r="F67" s="518"/>
      <c r="G67" s="518"/>
      <c r="H67" s="518">
        <v>0</v>
      </c>
      <c r="I67" s="518">
        <v>0</v>
      </c>
      <c r="J67" s="518"/>
      <c r="K67" s="518"/>
      <c r="L67" s="518">
        <v>0</v>
      </c>
      <c r="M67" s="518"/>
      <c r="N67" s="518"/>
      <c r="O67" s="518"/>
      <c r="P67" s="518"/>
      <c r="Q67" s="518"/>
      <c r="R67" s="518"/>
      <c r="T67" s="518">
        <f t="shared" si="24"/>
        <v>0</v>
      </c>
      <c r="U67" s="518">
        <f t="shared" si="25"/>
        <v>0</v>
      </c>
    </row>
    <row r="68" spans="1:21">
      <c r="A68" s="510" t="s">
        <v>515</v>
      </c>
      <c r="C68" s="515">
        <f t="shared" ref="C68:H68" si="26">SUM(C69:C76)</f>
        <v>0</v>
      </c>
      <c r="D68" s="515">
        <f t="shared" si="26"/>
        <v>0</v>
      </c>
      <c r="E68" s="515">
        <f t="shared" si="26"/>
        <v>0</v>
      </c>
      <c r="F68" s="515">
        <f t="shared" si="26"/>
        <v>0</v>
      </c>
      <c r="G68" s="515">
        <f t="shared" si="26"/>
        <v>0</v>
      </c>
      <c r="H68" s="515">
        <f t="shared" si="26"/>
        <v>0</v>
      </c>
      <c r="I68" s="515">
        <f>SUM(I69:I76)</f>
        <v>629</v>
      </c>
      <c r="J68" s="515">
        <f>SUM(J69:J76)</f>
        <v>-61</v>
      </c>
      <c r="K68" s="515">
        <f>SUM(K69:K76)</f>
        <v>-188</v>
      </c>
      <c r="L68" s="515">
        <f>SUM(L69:L76)</f>
        <v>-1134</v>
      </c>
      <c r="M68" s="515"/>
      <c r="N68" s="515"/>
      <c r="O68" s="515"/>
      <c r="P68" s="515"/>
      <c r="Q68" s="515"/>
      <c r="R68" s="515"/>
      <c r="T68" s="515">
        <f>SUM(T69:T76)</f>
        <v>-188</v>
      </c>
      <c r="U68" s="515">
        <f>SUM(U69:U76)</f>
        <v>-946</v>
      </c>
    </row>
    <row r="69" spans="1:21" outlineLevel="1">
      <c r="A69" s="511" t="s">
        <v>516</v>
      </c>
      <c r="C69" s="516"/>
      <c r="D69" s="516"/>
      <c r="E69" s="516"/>
      <c r="F69" s="516"/>
      <c r="G69" s="516"/>
      <c r="H69" s="516">
        <v>0</v>
      </c>
      <c r="I69" s="516">
        <v>752</v>
      </c>
      <c r="J69" s="516">
        <v>783</v>
      </c>
      <c r="K69" s="516">
        <v>-129</v>
      </c>
      <c r="L69" s="516">
        <v>-559</v>
      </c>
      <c r="M69" s="516"/>
      <c r="N69" s="516"/>
      <c r="O69" s="516"/>
      <c r="P69" s="516"/>
      <c r="Q69" s="516"/>
      <c r="R69" s="516"/>
      <c r="T69" s="516">
        <f t="shared" ref="T69:T77" si="27">K69</f>
        <v>-129</v>
      </c>
      <c r="U69" s="516">
        <f t="shared" ref="U69:U77" si="28">L69-T69</f>
        <v>-430</v>
      </c>
    </row>
    <row r="70" spans="1:21" outlineLevel="1">
      <c r="A70" s="511" t="s">
        <v>517</v>
      </c>
      <c r="C70" s="516"/>
      <c r="D70" s="516"/>
      <c r="E70" s="516"/>
      <c r="F70" s="516"/>
      <c r="G70" s="516"/>
      <c r="H70" s="516">
        <v>0</v>
      </c>
      <c r="I70" s="516">
        <v>-1</v>
      </c>
      <c r="J70" s="516">
        <v>-4</v>
      </c>
      <c r="K70" s="516">
        <v>-1</v>
      </c>
      <c r="L70" s="516">
        <v>-27</v>
      </c>
      <c r="M70" s="516"/>
      <c r="N70" s="516"/>
      <c r="O70" s="516"/>
      <c r="P70" s="516"/>
      <c r="Q70" s="516"/>
      <c r="R70" s="516"/>
      <c r="T70" s="516">
        <f t="shared" si="27"/>
        <v>-1</v>
      </c>
      <c r="U70" s="516">
        <f t="shared" si="28"/>
        <v>-26</v>
      </c>
    </row>
    <row r="71" spans="1:21" outlineLevel="1">
      <c r="A71" s="511" t="s">
        <v>518</v>
      </c>
      <c r="C71" s="516"/>
      <c r="D71" s="516"/>
      <c r="E71" s="516"/>
      <c r="F71" s="516"/>
      <c r="G71" s="516"/>
      <c r="H71" s="516">
        <v>0</v>
      </c>
      <c r="I71" s="516">
        <v>-93</v>
      </c>
      <c r="J71" s="516">
        <v>-409</v>
      </c>
      <c r="K71" s="516">
        <v>-33</v>
      </c>
      <c r="L71" s="516">
        <v>-180</v>
      </c>
      <c r="M71" s="516"/>
      <c r="N71" s="516"/>
      <c r="O71" s="516"/>
      <c r="P71" s="516"/>
      <c r="Q71" s="516"/>
      <c r="R71" s="516"/>
      <c r="T71" s="516">
        <f t="shared" si="27"/>
        <v>-33</v>
      </c>
      <c r="U71" s="516">
        <f t="shared" si="28"/>
        <v>-147</v>
      </c>
    </row>
    <row r="72" spans="1:21" outlineLevel="1">
      <c r="A72" s="511" t="s">
        <v>519</v>
      </c>
      <c r="C72" s="516"/>
      <c r="D72" s="516"/>
      <c r="E72" s="516"/>
      <c r="F72" s="516"/>
      <c r="G72" s="516"/>
      <c r="H72" s="516">
        <v>0</v>
      </c>
      <c r="I72" s="516">
        <v>0</v>
      </c>
      <c r="J72" s="516">
        <v>0</v>
      </c>
      <c r="K72" s="516">
        <v>0</v>
      </c>
      <c r="L72" s="516">
        <v>0</v>
      </c>
      <c r="M72" s="516"/>
      <c r="N72" s="516"/>
      <c r="O72" s="516"/>
      <c r="P72" s="516"/>
      <c r="Q72" s="516"/>
      <c r="R72" s="516"/>
      <c r="T72" s="516">
        <f t="shared" si="27"/>
        <v>0</v>
      </c>
      <c r="U72" s="516">
        <f t="shared" si="28"/>
        <v>0</v>
      </c>
    </row>
    <row r="73" spans="1:21" outlineLevel="1">
      <c r="A73" s="511" t="s">
        <v>520</v>
      </c>
      <c r="C73" s="516"/>
      <c r="D73" s="516"/>
      <c r="E73" s="516"/>
      <c r="F73" s="516"/>
      <c r="G73" s="516"/>
      <c r="H73" s="516">
        <v>0</v>
      </c>
      <c r="I73" s="516">
        <v>-29</v>
      </c>
      <c r="J73" s="516">
        <v>-251</v>
      </c>
      <c r="K73" s="516">
        <v>-25</v>
      </c>
      <c r="L73" s="516">
        <v>-197</v>
      </c>
      <c r="M73" s="516"/>
      <c r="N73" s="516"/>
      <c r="O73" s="516"/>
      <c r="P73" s="516"/>
      <c r="Q73" s="516"/>
      <c r="R73" s="516"/>
      <c r="T73" s="516">
        <f t="shared" si="27"/>
        <v>-25</v>
      </c>
      <c r="U73" s="516">
        <f t="shared" si="28"/>
        <v>-172</v>
      </c>
    </row>
    <row r="74" spans="1:21" outlineLevel="1">
      <c r="A74" s="511" t="s">
        <v>521</v>
      </c>
      <c r="C74" s="516"/>
      <c r="D74" s="516"/>
      <c r="E74" s="516"/>
      <c r="F74" s="516"/>
      <c r="G74" s="516"/>
      <c r="H74" s="516">
        <v>0</v>
      </c>
      <c r="I74" s="516">
        <v>0</v>
      </c>
      <c r="J74" s="516">
        <v>0</v>
      </c>
      <c r="K74" s="516">
        <v>0</v>
      </c>
      <c r="L74" s="516">
        <v>0</v>
      </c>
      <c r="M74" s="516"/>
      <c r="N74" s="516"/>
      <c r="O74" s="516"/>
      <c r="P74" s="516"/>
      <c r="Q74" s="516"/>
      <c r="R74" s="516"/>
      <c r="T74" s="516">
        <f t="shared" si="27"/>
        <v>0</v>
      </c>
      <c r="U74" s="516">
        <f t="shared" si="28"/>
        <v>0</v>
      </c>
    </row>
    <row r="75" spans="1:21" outlineLevel="1">
      <c r="A75" s="511" t="s">
        <v>522</v>
      </c>
      <c r="C75" s="516"/>
      <c r="D75" s="516"/>
      <c r="E75" s="516"/>
      <c r="F75" s="516"/>
      <c r="G75" s="516"/>
      <c r="H75" s="516">
        <v>0</v>
      </c>
      <c r="I75" s="516">
        <v>0</v>
      </c>
      <c r="J75" s="516">
        <v>-180</v>
      </c>
      <c r="K75" s="516">
        <v>0</v>
      </c>
      <c r="L75" s="516">
        <v>-171</v>
      </c>
      <c r="M75" s="516"/>
      <c r="N75" s="516"/>
      <c r="O75" s="516"/>
      <c r="P75" s="516"/>
      <c r="Q75" s="516"/>
      <c r="R75" s="516"/>
      <c r="T75" s="516">
        <f t="shared" si="27"/>
        <v>0</v>
      </c>
      <c r="U75" s="516">
        <f t="shared" si="28"/>
        <v>-171</v>
      </c>
    </row>
    <row r="76" spans="1:21" outlineLevel="1">
      <c r="A76" s="511" t="s">
        <v>523</v>
      </c>
      <c r="C76" s="516"/>
      <c r="D76" s="516"/>
      <c r="E76" s="516"/>
      <c r="F76" s="516"/>
      <c r="G76" s="516"/>
      <c r="H76" s="516">
        <v>0</v>
      </c>
      <c r="I76" s="516"/>
      <c r="J76" s="516">
        <v>0</v>
      </c>
      <c r="K76" s="516">
        <v>0</v>
      </c>
      <c r="L76" s="516">
        <v>0</v>
      </c>
      <c r="M76" s="516"/>
      <c r="N76" s="516"/>
      <c r="O76" s="516"/>
      <c r="P76" s="516"/>
      <c r="Q76" s="516"/>
      <c r="R76" s="516"/>
      <c r="T76" s="516">
        <f t="shared" si="27"/>
        <v>0</v>
      </c>
      <c r="U76" s="516">
        <f t="shared" si="28"/>
        <v>0</v>
      </c>
    </row>
    <row r="77" spans="1:21">
      <c r="A77" s="510" t="s">
        <v>524</v>
      </c>
      <c r="C77" s="515"/>
      <c r="D77" s="515"/>
      <c r="E77" s="515"/>
      <c r="F77" s="515"/>
      <c r="G77" s="515"/>
      <c r="H77" s="515">
        <v>91</v>
      </c>
      <c r="I77" s="515">
        <v>91</v>
      </c>
      <c r="J77" s="515">
        <v>91</v>
      </c>
      <c r="K77" s="515">
        <v>0</v>
      </c>
      <c r="L77" s="515">
        <v>0</v>
      </c>
      <c r="M77" s="515"/>
      <c r="N77" s="515"/>
      <c r="O77" s="515"/>
      <c r="P77" s="515"/>
      <c r="Q77" s="515"/>
      <c r="R77" s="515"/>
      <c r="T77" s="515">
        <f t="shared" si="27"/>
        <v>0</v>
      </c>
      <c r="U77" s="515">
        <f t="shared" si="28"/>
        <v>0</v>
      </c>
    </row>
    <row r="78" spans="1:21">
      <c r="A78" s="510" t="s">
        <v>525</v>
      </c>
      <c r="C78" s="515">
        <f t="shared" ref="C78:K78" si="29">SUM(C79:C81)</f>
        <v>0</v>
      </c>
      <c r="D78" s="515">
        <f t="shared" si="29"/>
        <v>0</v>
      </c>
      <c r="E78" s="515">
        <f t="shared" si="29"/>
        <v>0</v>
      </c>
      <c r="F78" s="515">
        <f t="shared" si="29"/>
        <v>0</v>
      </c>
      <c r="G78" s="515">
        <f t="shared" si="29"/>
        <v>0</v>
      </c>
      <c r="H78" s="515">
        <f t="shared" si="29"/>
        <v>0</v>
      </c>
      <c r="I78" s="515">
        <f t="shared" si="29"/>
        <v>48</v>
      </c>
      <c r="J78" s="515">
        <f t="shared" si="29"/>
        <v>66</v>
      </c>
      <c r="K78" s="515">
        <f t="shared" si="29"/>
        <v>0</v>
      </c>
      <c r="L78" s="515">
        <f>SUM(L79:L81)</f>
        <v>0</v>
      </c>
      <c r="M78" s="515"/>
      <c r="N78" s="515"/>
      <c r="O78" s="515"/>
      <c r="P78" s="515"/>
      <c r="Q78" s="515"/>
      <c r="R78" s="515"/>
      <c r="T78" s="515">
        <f t="shared" ref="T78" si="30">SUM(T79:T81)</f>
        <v>0</v>
      </c>
      <c r="U78" s="515">
        <f>SUM(U79:U81)</f>
        <v>0</v>
      </c>
    </row>
    <row r="79" spans="1:21" outlineLevel="1">
      <c r="A79" s="511" t="s">
        <v>526</v>
      </c>
      <c r="C79" s="516"/>
      <c r="D79" s="516"/>
      <c r="E79" s="516"/>
      <c r="F79" s="516"/>
      <c r="G79" s="516"/>
      <c r="H79" s="516">
        <v>0</v>
      </c>
      <c r="I79" s="516">
        <v>48</v>
      </c>
      <c r="J79" s="516">
        <v>66</v>
      </c>
      <c r="K79" s="516">
        <v>0</v>
      </c>
      <c r="L79" s="516">
        <v>0</v>
      </c>
      <c r="M79" s="516"/>
      <c r="N79" s="516"/>
      <c r="O79" s="516"/>
      <c r="P79" s="516"/>
      <c r="Q79" s="516"/>
      <c r="R79" s="516"/>
      <c r="T79" s="516">
        <f t="shared" ref="T79:T80" si="31">K79</f>
        <v>0</v>
      </c>
      <c r="U79" s="516">
        <f t="shared" ref="U79:U81" si="32">L79-T79</f>
        <v>0</v>
      </c>
    </row>
    <row r="80" spans="1:21" outlineLevel="1">
      <c r="A80" s="511" t="s">
        <v>527</v>
      </c>
      <c r="C80" s="516"/>
      <c r="D80" s="516"/>
      <c r="E80" s="516"/>
      <c r="F80" s="516"/>
      <c r="G80" s="516"/>
      <c r="H80" s="516">
        <v>0</v>
      </c>
      <c r="I80" s="516">
        <v>0</v>
      </c>
      <c r="J80" s="516">
        <v>0</v>
      </c>
      <c r="K80" s="516">
        <v>0</v>
      </c>
      <c r="L80" s="516">
        <v>0</v>
      </c>
      <c r="M80" s="516"/>
      <c r="N80" s="516"/>
      <c r="O80" s="516"/>
      <c r="P80" s="516"/>
      <c r="Q80" s="516"/>
      <c r="R80" s="516"/>
      <c r="T80" s="516">
        <f t="shared" si="31"/>
        <v>0</v>
      </c>
      <c r="U80" s="516">
        <f t="shared" si="32"/>
        <v>0</v>
      </c>
    </row>
    <row r="81" spans="1:21" outlineLevel="1">
      <c r="A81" s="511" t="s">
        <v>528</v>
      </c>
      <c r="C81" s="516"/>
      <c r="D81" s="516"/>
      <c r="E81" s="516"/>
      <c r="F81" s="516"/>
      <c r="G81" s="516"/>
      <c r="H81" s="516"/>
      <c r="I81" s="516"/>
      <c r="J81" s="516"/>
      <c r="K81" s="516"/>
      <c r="L81" s="516">
        <v>0</v>
      </c>
      <c r="M81" s="516"/>
      <c r="N81" s="516"/>
      <c r="O81" s="516"/>
      <c r="P81" s="516"/>
      <c r="Q81" s="516"/>
      <c r="R81" s="516"/>
      <c r="T81" s="516"/>
      <c r="U81" s="516">
        <f t="shared" si="32"/>
        <v>0</v>
      </c>
    </row>
    <row r="82" spans="1:21">
      <c r="A82" s="510"/>
      <c r="C82" s="510"/>
      <c r="D82" s="510"/>
      <c r="E82" s="510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0"/>
      <c r="T82" s="510"/>
      <c r="U82" s="510"/>
    </row>
    <row r="83" spans="1:21">
      <c r="A83" s="522" t="s">
        <v>529</v>
      </c>
      <c r="C83" s="513">
        <f t="shared" ref="C83:H83" si="33">C85-C75-C52-C76</f>
        <v>0</v>
      </c>
      <c r="D83" s="513">
        <f t="shared" si="33"/>
        <v>0</v>
      </c>
      <c r="E83" s="513">
        <f t="shared" si="33"/>
        <v>0</v>
      </c>
      <c r="F83" s="513">
        <f t="shared" si="33"/>
        <v>0</v>
      </c>
      <c r="G83" s="513">
        <f t="shared" si="33"/>
        <v>0</v>
      </c>
      <c r="H83" s="513">
        <f t="shared" si="33"/>
        <v>91</v>
      </c>
      <c r="I83" s="513">
        <f>I85-I75-I52-I76</f>
        <v>863</v>
      </c>
      <c r="J83" s="513">
        <f>J85-J75-J52-J76</f>
        <v>274</v>
      </c>
      <c r="K83" s="513">
        <f>K85-K75-K52-K76</f>
        <v>660</v>
      </c>
      <c r="L83" s="513">
        <f>L85-L75-L52-L76</f>
        <v>7492</v>
      </c>
      <c r="M83" s="513"/>
      <c r="N83" s="513"/>
      <c r="O83" s="513"/>
      <c r="P83" s="513"/>
      <c r="Q83" s="513"/>
      <c r="R83" s="513"/>
      <c r="T83" s="513">
        <f>T85-T75-T52-T76</f>
        <v>660</v>
      </c>
      <c r="U83" s="513">
        <f>U85-U75-U52-U76</f>
        <v>6832</v>
      </c>
    </row>
    <row r="84" spans="1:21">
      <c r="A84" s="510"/>
      <c r="C84" s="510"/>
      <c r="D84" s="510"/>
      <c r="E84" s="510"/>
      <c r="F84" s="510"/>
      <c r="G84" s="510"/>
      <c r="H84" s="510"/>
      <c r="I84" s="510"/>
      <c r="J84" s="510"/>
      <c r="K84" s="510"/>
      <c r="L84" s="510"/>
      <c r="M84" s="510"/>
      <c r="N84" s="510"/>
      <c r="O84" s="510"/>
      <c r="P84" s="510"/>
      <c r="Q84" s="510"/>
      <c r="R84" s="510"/>
      <c r="T84" s="510"/>
      <c r="U84" s="510"/>
    </row>
    <row r="85" spans="1:21">
      <c r="A85" s="522" t="s">
        <v>530</v>
      </c>
      <c r="C85" s="513">
        <f t="shared" ref="C85:H85" si="34">C57+C59</f>
        <v>0</v>
      </c>
      <c r="D85" s="513">
        <f t="shared" si="34"/>
        <v>0</v>
      </c>
      <c r="E85" s="513">
        <f t="shared" si="34"/>
        <v>0</v>
      </c>
      <c r="F85" s="513">
        <f t="shared" si="34"/>
        <v>0</v>
      </c>
      <c r="G85" s="513">
        <f t="shared" si="34"/>
        <v>0</v>
      </c>
      <c r="H85" s="513">
        <f t="shared" si="34"/>
        <v>91</v>
      </c>
      <c r="I85" s="513">
        <f>I57+I59</f>
        <v>859</v>
      </c>
      <c r="J85" s="513">
        <f>J57+J59</f>
        <v>94</v>
      </c>
      <c r="K85" s="513">
        <f>K57+K59</f>
        <v>653</v>
      </c>
      <c r="L85" s="513">
        <f>L57+L59</f>
        <v>7310</v>
      </c>
      <c r="M85" s="513"/>
      <c r="N85" s="513"/>
      <c r="O85" s="513"/>
      <c r="P85" s="513"/>
      <c r="Q85" s="513"/>
      <c r="R85" s="513"/>
      <c r="T85" s="513">
        <f>T57+T59</f>
        <v>653</v>
      </c>
      <c r="U85" s="513">
        <f>U57+U59</f>
        <v>6657</v>
      </c>
    </row>
    <row r="86" spans="1:21">
      <c r="A86" s="510"/>
      <c r="C86" s="510"/>
      <c r="D86" s="510"/>
      <c r="E86" s="510"/>
      <c r="F86" s="510"/>
      <c r="G86" s="510"/>
      <c r="H86" s="510"/>
      <c r="I86" s="510"/>
      <c r="J86" s="510"/>
      <c r="K86" s="510"/>
      <c r="L86" s="510"/>
      <c r="M86" s="510"/>
      <c r="N86" s="510"/>
      <c r="O86" s="510"/>
      <c r="P86" s="510"/>
      <c r="Q86" s="510"/>
      <c r="R86" s="510"/>
      <c r="T86" s="510"/>
      <c r="U86" s="510"/>
    </row>
    <row r="87" spans="1:21">
      <c r="A87" s="522" t="s">
        <v>531</v>
      </c>
      <c r="C87" s="513">
        <f t="shared" ref="C87:H87" si="35">C89+C98</f>
        <v>0</v>
      </c>
      <c r="D87" s="513">
        <f t="shared" si="35"/>
        <v>0</v>
      </c>
      <c r="E87" s="513">
        <f t="shared" si="35"/>
        <v>0</v>
      </c>
      <c r="F87" s="513">
        <f t="shared" si="35"/>
        <v>0</v>
      </c>
      <c r="G87" s="513">
        <f t="shared" si="35"/>
        <v>0</v>
      </c>
      <c r="H87" s="513">
        <f t="shared" si="35"/>
        <v>8</v>
      </c>
      <c r="I87" s="513">
        <f>I89+I98</f>
        <v>7500</v>
      </c>
      <c r="J87" s="513">
        <f>J89+J98</f>
        <v>-771</v>
      </c>
      <c r="K87" s="513">
        <f>K89+K98</f>
        <v>144</v>
      </c>
      <c r="L87" s="513">
        <f>L89+L98</f>
        <v>-29669</v>
      </c>
      <c r="M87" s="513"/>
      <c r="N87" s="513"/>
      <c r="O87" s="513"/>
      <c r="P87" s="513"/>
      <c r="Q87" s="513"/>
      <c r="R87" s="513"/>
      <c r="T87" s="513">
        <f>T89+T98</f>
        <v>144</v>
      </c>
      <c r="U87" s="513">
        <f>U89+U98</f>
        <v>-29813</v>
      </c>
    </row>
    <row r="88" spans="1:21">
      <c r="A88" s="509"/>
      <c r="C88" s="510"/>
      <c r="D88" s="510"/>
      <c r="E88" s="510"/>
      <c r="F88" s="510"/>
      <c r="G88" s="510"/>
      <c r="H88" s="510"/>
      <c r="I88" s="510"/>
      <c r="J88" s="510"/>
      <c r="K88" s="510"/>
      <c r="L88" s="510"/>
      <c r="M88" s="510"/>
      <c r="N88" s="510"/>
      <c r="O88" s="510"/>
      <c r="P88" s="510"/>
      <c r="Q88" s="510"/>
      <c r="R88" s="510"/>
      <c r="T88" s="510"/>
      <c r="U88" s="510"/>
    </row>
    <row r="89" spans="1:21">
      <c r="A89" s="510" t="s">
        <v>532</v>
      </c>
      <c r="C89" s="517">
        <f t="shared" ref="C89:H89" si="36">SUM(C90:C97)</f>
        <v>0</v>
      </c>
      <c r="D89" s="517">
        <f t="shared" si="36"/>
        <v>0</v>
      </c>
      <c r="E89" s="517">
        <f t="shared" si="36"/>
        <v>0</v>
      </c>
      <c r="F89" s="517">
        <f t="shared" si="36"/>
        <v>0</v>
      </c>
      <c r="G89" s="517">
        <f t="shared" si="36"/>
        <v>0</v>
      </c>
      <c r="H89" s="517">
        <f t="shared" si="36"/>
        <v>8</v>
      </c>
      <c r="I89" s="517">
        <f>SUM(I90:I97)</f>
        <v>6477</v>
      </c>
      <c r="J89" s="517">
        <f>SUM(J90:J97)</f>
        <v>1515</v>
      </c>
      <c r="K89" s="517">
        <f>SUM(K90:K97)</f>
        <v>146</v>
      </c>
      <c r="L89" s="517">
        <f>SUM(L90:L97)</f>
        <v>4195</v>
      </c>
      <c r="M89" s="517"/>
      <c r="N89" s="517"/>
      <c r="O89" s="517"/>
      <c r="P89" s="517"/>
      <c r="Q89" s="517"/>
      <c r="R89" s="517"/>
      <c r="T89" s="517">
        <f>SUM(T90:T97)</f>
        <v>146</v>
      </c>
      <c r="U89" s="517">
        <f>SUM(U90:U97)</f>
        <v>4049</v>
      </c>
    </row>
    <row r="90" spans="1:21" outlineLevel="1">
      <c r="A90" s="511" t="s">
        <v>533</v>
      </c>
      <c r="C90" s="516"/>
      <c r="D90" s="516"/>
      <c r="E90" s="516"/>
      <c r="F90" s="516"/>
      <c r="G90" s="516"/>
      <c r="H90" s="516">
        <v>8</v>
      </c>
      <c r="I90" s="516">
        <v>6770</v>
      </c>
      <c r="J90" s="516">
        <v>0</v>
      </c>
      <c r="K90" s="516">
        <v>146</v>
      </c>
      <c r="L90" s="516">
        <v>4385</v>
      </c>
      <c r="M90" s="516"/>
      <c r="N90" s="516"/>
      <c r="O90" s="516"/>
      <c r="P90" s="516"/>
      <c r="Q90" s="516"/>
      <c r="R90" s="516"/>
      <c r="T90" s="516">
        <f t="shared" ref="T90:T97" si="37">K90</f>
        <v>146</v>
      </c>
      <c r="U90" s="516">
        <f t="shared" ref="U90:U97" si="38">L90-T90</f>
        <v>4239</v>
      </c>
    </row>
    <row r="91" spans="1:21" outlineLevel="1">
      <c r="A91" s="511" t="s">
        <v>534</v>
      </c>
      <c r="C91" s="516"/>
      <c r="D91" s="516"/>
      <c r="E91" s="516"/>
      <c r="F91" s="516"/>
      <c r="G91" s="516"/>
      <c r="H91" s="516">
        <v>0</v>
      </c>
      <c r="I91" s="516">
        <v>-293</v>
      </c>
      <c r="J91" s="516">
        <v>13</v>
      </c>
      <c r="K91" s="516">
        <v>0</v>
      </c>
      <c r="L91" s="516">
        <v>-202</v>
      </c>
      <c r="M91" s="516"/>
      <c r="N91" s="516"/>
      <c r="O91" s="516"/>
      <c r="P91" s="516"/>
      <c r="Q91" s="516"/>
      <c r="R91" s="516"/>
      <c r="T91" s="516">
        <f t="shared" si="37"/>
        <v>0</v>
      </c>
      <c r="U91" s="516">
        <f t="shared" si="38"/>
        <v>-202</v>
      </c>
    </row>
    <row r="92" spans="1:21" outlineLevel="1">
      <c r="A92" s="511" t="s">
        <v>535</v>
      </c>
      <c r="C92" s="516"/>
      <c r="D92" s="516"/>
      <c r="E92" s="516"/>
      <c r="F92" s="516"/>
      <c r="G92" s="516"/>
      <c r="H92" s="516">
        <v>0</v>
      </c>
      <c r="I92" s="516">
        <v>0</v>
      </c>
      <c r="J92" s="516">
        <v>0</v>
      </c>
      <c r="K92" s="516">
        <v>0</v>
      </c>
      <c r="L92" s="516">
        <v>0</v>
      </c>
      <c r="M92" s="516"/>
      <c r="N92" s="516"/>
      <c r="O92" s="516"/>
      <c r="P92" s="516"/>
      <c r="Q92" s="516"/>
      <c r="R92" s="516"/>
      <c r="T92" s="516">
        <f t="shared" si="37"/>
        <v>0</v>
      </c>
      <c r="U92" s="516">
        <f t="shared" si="38"/>
        <v>0</v>
      </c>
    </row>
    <row r="93" spans="1:21" outlineLevel="1">
      <c r="A93" s="511" t="s">
        <v>536</v>
      </c>
      <c r="C93" s="516"/>
      <c r="D93" s="516"/>
      <c r="E93" s="516"/>
      <c r="F93" s="516"/>
      <c r="G93" s="516"/>
      <c r="H93" s="516">
        <v>0</v>
      </c>
      <c r="I93" s="516">
        <v>0</v>
      </c>
      <c r="J93" s="516">
        <v>0</v>
      </c>
      <c r="K93" s="516">
        <v>0</v>
      </c>
      <c r="L93" s="516">
        <v>0</v>
      </c>
      <c r="M93" s="516"/>
      <c r="N93" s="516"/>
      <c r="O93" s="516"/>
      <c r="P93" s="516"/>
      <c r="Q93" s="516"/>
      <c r="R93" s="516"/>
      <c r="T93" s="516">
        <f t="shared" si="37"/>
        <v>0</v>
      </c>
      <c r="U93" s="516">
        <f t="shared" si="38"/>
        <v>0</v>
      </c>
    </row>
    <row r="94" spans="1:21" outlineLevel="1">
      <c r="A94" s="511" t="s">
        <v>537</v>
      </c>
      <c r="C94" s="516"/>
      <c r="D94" s="516"/>
      <c r="E94" s="516"/>
      <c r="F94" s="516"/>
      <c r="G94" s="516"/>
      <c r="H94" s="516">
        <v>0</v>
      </c>
      <c r="I94" s="516">
        <v>0</v>
      </c>
      <c r="J94" s="516">
        <v>0</v>
      </c>
      <c r="K94" s="516">
        <v>0</v>
      </c>
      <c r="L94" s="516">
        <v>0</v>
      </c>
      <c r="M94" s="516"/>
      <c r="N94" s="516"/>
      <c r="O94" s="516"/>
      <c r="P94" s="516"/>
      <c r="Q94" s="516"/>
      <c r="R94" s="516"/>
      <c r="T94" s="516">
        <f t="shared" si="37"/>
        <v>0</v>
      </c>
      <c r="U94" s="516">
        <f t="shared" si="38"/>
        <v>0</v>
      </c>
    </row>
    <row r="95" spans="1:21" outlineLevel="1">
      <c r="A95" s="511" t="s">
        <v>538</v>
      </c>
      <c r="C95" s="516"/>
      <c r="D95" s="516"/>
      <c r="E95" s="516"/>
      <c r="F95" s="516"/>
      <c r="G95" s="516"/>
      <c r="H95" s="516">
        <v>0</v>
      </c>
      <c r="I95" s="516">
        <v>0</v>
      </c>
      <c r="J95" s="516">
        <v>0</v>
      </c>
      <c r="K95" s="516">
        <v>0</v>
      </c>
      <c r="L95" s="516">
        <v>0</v>
      </c>
      <c r="M95" s="516"/>
      <c r="N95" s="516"/>
      <c r="O95" s="516"/>
      <c r="P95" s="516"/>
      <c r="Q95" s="516"/>
      <c r="R95" s="516"/>
      <c r="T95" s="516">
        <f t="shared" si="37"/>
        <v>0</v>
      </c>
      <c r="U95" s="516">
        <f t="shared" si="38"/>
        <v>0</v>
      </c>
    </row>
    <row r="96" spans="1:21" outlineLevel="1">
      <c r="A96" s="511" t="s">
        <v>539</v>
      </c>
      <c r="C96" s="516"/>
      <c r="D96" s="516"/>
      <c r="E96" s="516"/>
      <c r="F96" s="516"/>
      <c r="G96" s="516"/>
      <c r="H96" s="516">
        <v>0</v>
      </c>
      <c r="I96" s="516"/>
      <c r="J96" s="516">
        <v>1502</v>
      </c>
      <c r="K96" s="516">
        <v>0</v>
      </c>
      <c r="L96" s="516">
        <v>12</v>
      </c>
      <c r="M96" s="516"/>
      <c r="N96" s="516"/>
      <c r="O96" s="516"/>
      <c r="P96" s="516"/>
      <c r="Q96" s="516"/>
      <c r="R96" s="516"/>
      <c r="T96" s="516">
        <f t="shared" si="37"/>
        <v>0</v>
      </c>
      <c r="U96" s="516">
        <f t="shared" si="38"/>
        <v>12</v>
      </c>
    </row>
    <row r="97" spans="1:21" outlineLevel="1">
      <c r="A97" s="511" t="s">
        <v>540</v>
      </c>
      <c r="C97" s="516"/>
      <c r="D97" s="516"/>
      <c r="E97" s="516"/>
      <c r="F97" s="516"/>
      <c r="G97" s="516"/>
      <c r="H97" s="516">
        <v>0</v>
      </c>
      <c r="I97" s="516">
        <v>0</v>
      </c>
      <c r="J97" s="516">
        <v>0</v>
      </c>
      <c r="K97" s="516">
        <v>0</v>
      </c>
      <c r="L97" s="516">
        <v>0</v>
      </c>
      <c r="M97" s="516"/>
      <c r="N97" s="516"/>
      <c r="O97" s="516"/>
      <c r="P97" s="516"/>
      <c r="Q97" s="516"/>
      <c r="R97" s="516"/>
      <c r="T97" s="516">
        <f t="shared" si="37"/>
        <v>0</v>
      </c>
      <c r="U97" s="516">
        <f t="shared" si="38"/>
        <v>0</v>
      </c>
    </row>
    <row r="98" spans="1:21">
      <c r="A98" s="510" t="s">
        <v>541</v>
      </c>
      <c r="C98" s="515">
        <f t="shared" ref="C98:H98" si="39">SUM(C99:C107)</f>
        <v>0</v>
      </c>
      <c r="D98" s="515">
        <f t="shared" si="39"/>
        <v>0</v>
      </c>
      <c r="E98" s="515">
        <f t="shared" si="39"/>
        <v>0</v>
      </c>
      <c r="F98" s="515">
        <f t="shared" si="39"/>
        <v>0</v>
      </c>
      <c r="G98" s="515">
        <f t="shared" si="39"/>
        <v>0</v>
      </c>
      <c r="H98" s="515">
        <f t="shared" si="39"/>
        <v>0</v>
      </c>
      <c r="I98" s="515">
        <f>SUM(I99:I107)</f>
        <v>1023</v>
      </c>
      <c r="J98" s="515">
        <f>SUM(J99:J107)</f>
        <v>-2286</v>
      </c>
      <c r="K98" s="515">
        <f>SUM(K99:K107)</f>
        <v>-2</v>
      </c>
      <c r="L98" s="515">
        <f>SUM(L99:L107)</f>
        <v>-33864</v>
      </c>
      <c r="M98" s="515"/>
      <c r="N98" s="515"/>
      <c r="O98" s="515"/>
      <c r="P98" s="515"/>
      <c r="Q98" s="515"/>
      <c r="R98" s="515"/>
      <c r="T98" s="515">
        <f>SUM(T99:T107)</f>
        <v>-2</v>
      </c>
      <c r="U98" s="515">
        <f>SUM(U99:U107)</f>
        <v>-33862</v>
      </c>
    </row>
    <row r="99" spans="1:21" outlineLevel="1">
      <c r="A99" s="511" t="s">
        <v>542</v>
      </c>
      <c r="C99" s="516"/>
      <c r="D99" s="516"/>
      <c r="E99" s="516"/>
      <c r="F99" s="516"/>
      <c r="G99" s="516"/>
      <c r="H99" s="516">
        <v>0</v>
      </c>
      <c r="I99" s="516">
        <v>1049</v>
      </c>
      <c r="J99" s="516">
        <v>0</v>
      </c>
      <c r="K99" s="516">
        <v>0</v>
      </c>
      <c r="L99" s="516">
        <v>-31893</v>
      </c>
      <c r="M99" s="516"/>
      <c r="N99" s="516"/>
      <c r="O99" s="516"/>
      <c r="P99" s="516"/>
      <c r="Q99" s="516"/>
      <c r="R99" s="516"/>
      <c r="T99" s="516">
        <f t="shared" ref="T99:T107" si="40">K99</f>
        <v>0</v>
      </c>
      <c r="U99" s="516">
        <f t="shared" ref="U99:U107" si="41">L99-T99</f>
        <v>-31893</v>
      </c>
    </row>
    <row r="100" spans="1:21" outlineLevel="1">
      <c r="A100" s="511" t="s">
        <v>543</v>
      </c>
      <c r="C100" s="516"/>
      <c r="D100" s="516"/>
      <c r="E100" s="516"/>
      <c r="F100" s="516"/>
      <c r="G100" s="516"/>
      <c r="H100" s="516">
        <v>0</v>
      </c>
      <c r="I100" s="516">
        <v>0</v>
      </c>
      <c r="J100" s="516">
        <v>0</v>
      </c>
      <c r="K100" s="516">
        <v>0</v>
      </c>
      <c r="L100" s="516">
        <v>0</v>
      </c>
      <c r="M100" s="516"/>
      <c r="N100" s="516"/>
      <c r="O100" s="516"/>
      <c r="P100" s="516"/>
      <c r="Q100" s="516"/>
      <c r="R100" s="516"/>
      <c r="T100" s="516">
        <f t="shared" si="40"/>
        <v>0</v>
      </c>
      <c r="U100" s="516">
        <f t="shared" si="41"/>
        <v>0</v>
      </c>
    </row>
    <row r="101" spans="1:21" outlineLevel="1">
      <c r="A101" s="511" t="s">
        <v>544</v>
      </c>
      <c r="C101" s="516"/>
      <c r="D101" s="516"/>
      <c r="E101" s="516"/>
      <c r="F101" s="516"/>
      <c r="G101" s="516"/>
      <c r="H101" s="516">
        <v>0</v>
      </c>
      <c r="I101" s="516">
        <v>0</v>
      </c>
      <c r="J101" s="516">
        <v>0</v>
      </c>
      <c r="K101" s="516">
        <v>0</v>
      </c>
      <c r="L101" s="516">
        <v>0</v>
      </c>
      <c r="M101" s="516"/>
      <c r="N101" s="516"/>
      <c r="O101" s="516"/>
      <c r="P101" s="516"/>
      <c r="Q101" s="516"/>
      <c r="R101" s="516"/>
      <c r="T101" s="516">
        <f t="shared" si="40"/>
        <v>0</v>
      </c>
      <c r="U101" s="516">
        <f t="shared" si="41"/>
        <v>0</v>
      </c>
    </row>
    <row r="102" spans="1:21" outlineLevel="1">
      <c r="A102" s="511" t="s">
        <v>545</v>
      </c>
      <c r="C102" s="516"/>
      <c r="D102" s="516"/>
      <c r="E102" s="516"/>
      <c r="F102" s="516"/>
      <c r="G102" s="516"/>
      <c r="H102" s="516">
        <v>0</v>
      </c>
      <c r="I102" s="516">
        <v>0</v>
      </c>
      <c r="J102" s="516">
        <v>0</v>
      </c>
      <c r="K102" s="516">
        <v>0</v>
      </c>
      <c r="L102" s="516">
        <v>0</v>
      </c>
      <c r="M102" s="516"/>
      <c r="N102" s="516"/>
      <c r="O102" s="516"/>
      <c r="P102" s="516"/>
      <c r="Q102" s="516"/>
      <c r="R102" s="516"/>
      <c r="T102" s="516">
        <f t="shared" si="40"/>
        <v>0</v>
      </c>
      <c r="U102" s="516">
        <f t="shared" si="41"/>
        <v>0</v>
      </c>
    </row>
    <row r="103" spans="1:21" outlineLevel="1">
      <c r="A103" s="511" t="s">
        <v>546</v>
      </c>
      <c r="C103" s="516"/>
      <c r="D103" s="516"/>
      <c r="E103" s="516"/>
      <c r="F103" s="516"/>
      <c r="G103" s="516"/>
      <c r="H103" s="516">
        <v>0</v>
      </c>
      <c r="I103" s="516">
        <v>0</v>
      </c>
      <c r="J103" s="516">
        <v>0</v>
      </c>
      <c r="K103" s="516">
        <v>0</v>
      </c>
      <c r="L103" s="516">
        <v>0</v>
      </c>
      <c r="M103" s="516"/>
      <c r="N103" s="516"/>
      <c r="O103" s="516"/>
      <c r="P103" s="516"/>
      <c r="Q103" s="516"/>
      <c r="R103" s="516"/>
      <c r="T103" s="516">
        <f t="shared" si="40"/>
        <v>0</v>
      </c>
      <c r="U103" s="516">
        <f t="shared" si="41"/>
        <v>0</v>
      </c>
    </row>
    <row r="104" spans="1:21" outlineLevel="1">
      <c r="A104" s="511" t="s">
        <v>547</v>
      </c>
      <c r="C104" s="516"/>
      <c r="D104" s="516"/>
      <c r="E104" s="516"/>
      <c r="F104" s="516"/>
      <c r="G104" s="516"/>
      <c r="H104" s="516">
        <v>0</v>
      </c>
      <c r="I104" s="516">
        <v>0</v>
      </c>
      <c r="J104" s="516">
        <v>0</v>
      </c>
      <c r="K104" s="516">
        <v>-2</v>
      </c>
      <c r="L104" s="516">
        <v>0</v>
      </c>
      <c r="M104" s="516"/>
      <c r="N104" s="516"/>
      <c r="O104" s="516"/>
      <c r="P104" s="516"/>
      <c r="Q104" s="516"/>
      <c r="R104" s="516"/>
      <c r="T104" s="516">
        <f t="shared" si="40"/>
        <v>-2</v>
      </c>
      <c r="U104" s="516">
        <f t="shared" si="41"/>
        <v>2</v>
      </c>
    </row>
    <row r="105" spans="1:21" outlineLevel="1">
      <c r="A105" s="511" t="s">
        <v>548</v>
      </c>
      <c r="C105" s="516"/>
      <c r="D105" s="516"/>
      <c r="E105" s="516"/>
      <c r="F105" s="516"/>
      <c r="G105" s="516"/>
      <c r="H105" s="516">
        <v>0</v>
      </c>
      <c r="I105" s="516">
        <v>0</v>
      </c>
      <c r="J105" s="516">
        <v>0</v>
      </c>
      <c r="K105" s="516">
        <v>0</v>
      </c>
      <c r="L105" s="516">
        <v>0</v>
      </c>
      <c r="M105" s="516"/>
      <c r="N105" s="516"/>
      <c r="O105" s="516"/>
      <c r="P105" s="516"/>
      <c r="Q105" s="516"/>
      <c r="R105" s="516"/>
      <c r="T105" s="516">
        <f t="shared" si="40"/>
        <v>0</v>
      </c>
      <c r="U105" s="516">
        <f t="shared" si="41"/>
        <v>0</v>
      </c>
    </row>
    <row r="106" spans="1:21" outlineLevel="1">
      <c r="A106" s="511" t="s">
        <v>549</v>
      </c>
      <c r="C106" s="516"/>
      <c r="D106" s="516"/>
      <c r="E106" s="516"/>
      <c r="F106" s="516"/>
      <c r="G106" s="516"/>
      <c r="H106" s="516">
        <v>0</v>
      </c>
      <c r="I106" s="516">
        <v>0</v>
      </c>
      <c r="J106" s="516">
        <v>0</v>
      </c>
      <c r="K106" s="516">
        <v>0</v>
      </c>
      <c r="L106" s="516">
        <v>0</v>
      </c>
      <c r="M106" s="516"/>
      <c r="N106" s="516"/>
      <c r="O106" s="516"/>
      <c r="P106" s="516"/>
      <c r="Q106" s="516"/>
      <c r="R106" s="516"/>
      <c r="T106" s="516">
        <f t="shared" si="40"/>
        <v>0</v>
      </c>
      <c r="U106" s="516">
        <f t="shared" si="41"/>
        <v>0</v>
      </c>
    </row>
    <row r="107" spans="1:21" outlineLevel="1">
      <c r="A107" s="511" t="s">
        <v>550</v>
      </c>
      <c r="C107" s="516"/>
      <c r="D107" s="516"/>
      <c r="E107" s="516"/>
      <c r="F107" s="516"/>
      <c r="G107" s="516"/>
      <c r="H107" s="516">
        <v>0</v>
      </c>
      <c r="I107" s="516">
        <v>-26</v>
      </c>
      <c r="J107" s="516">
        <v>-2286</v>
      </c>
      <c r="K107" s="516">
        <v>0</v>
      </c>
      <c r="L107" s="516">
        <v>-1971</v>
      </c>
      <c r="M107" s="516"/>
      <c r="N107" s="516"/>
      <c r="O107" s="516"/>
      <c r="P107" s="516"/>
      <c r="Q107" s="516"/>
      <c r="R107" s="516"/>
      <c r="T107" s="516">
        <f t="shared" si="40"/>
        <v>0</v>
      </c>
      <c r="U107" s="516">
        <f t="shared" si="41"/>
        <v>-1971</v>
      </c>
    </row>
    <row r="108" spans="1:21">
      <c r="A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T108" s="510"/>
      <c r="U108" s="510"/>
    </row>
    <row r="109" spans="1:21">
      <c r="A109" s="522" t="s">
        <v>551</v>
      </c>
      <c r="C109" s="513">
        <f t="shared" ref="C109:H109" si="42">C85+C87</f>
        <v>0</v>
      </c>
      <c r="D109" s="513">
        <f t="shared" si="42"/>
        <v>0</v>
      </c>
      <c r="E109" s="513">
        <f t="shared" si="42"/>
        <v>0</v>
      </c>
      <c r="F109" s="513">
        <f t="shared" si="42"/>
        <v>0</v>
      </c>
      <c r="G109" s="513">
        <f t="shared" si="42"/>
        <v>0</v>
      </c>
      <c r="H109" s="513">
        <f t="shared" si="42"/>
        <v>99</v>
      </c>
      <c r="I109" s="513">
        <f>I85+I87</f>
        <v>8359</v>
      </c>
      <c r="J109" s="513">
        <f>J85+J87</f>
        <v>-677</v>
      </c>
      <c r="K109" s="513">
        <f>K85+K87</f>
        <v>797</v>
      </c>
      <c r="L109" s="513">
        <f>L85+L87</f>
        <v>-22359</v>
      </c>
      <c r="M109" s="513"/>
      <c r="N109" s="513"/>
      <c r="O109" s="513"/>
      <c r="P109" s="513"/>
      <c r="Q109" s="513"/>
      <c r="R109" s="513"/>
      <c r="T109" s="513">
        <f>T85+T87</f>
        <v>797</v>
      </c>
      <c r="U109" s="513">
        <f>U85+U87</f>
        <v>-23156</v>
      </c>
    </row>
    <row r="110" spans="1:21">
      <c r="A110" s="510"/>
      <c r="C110" s="510"/>
      <c r="D110" s="510"/>
      <c r="E110" s="510"/>
      <c r="F110" s="510"/>
      <c r="G110" s="510"/>
      <c r="H110" s="510"/>
      <c r="I110" s="510"/>
      <c r="J110" s="510"/>
      <c r="K110" s="510"/>
      <c r="L110" s="510"/>
      <c r="M110" s="510"/>
      <c r="N110" s="510"/>
      <c r="O110" s="510"/>
      <c r="P110" s="510"/>
      <c r="Q110" s="510"/>
      <c r="R110" s="510"/>
      <c r="T110" s="510"/>
      <c r="U110" s="510"/>
    </row>
    <row r="111" spans="1:21">
      <c r="A111" s="509" t="s">
        <v>552</v>
      </c>
      <c r="C111" s="517">
        <f t="shared" ref="C111:H111" si="43">SUM(C113:C116)</f>
        <v>0</v>
      </c>
      <c r="D111" s="517">
        <f t="shared" si="43"/>
        <v>0</v>
      </c>
      <c r="E111" s="517">
        <f t="shared" si="43"/>
        <v>0</v>
      </c>
      <c r="F111" s="517">
        <f t="shared" si="43"/>
        <v>0</v>
      </c>
      <c r="G111" s="517">
        <f t="shared" si="43"/>
        <v>0</v>
      </c>
      <c r="H111" s="517">
        <f t="shared" si="43"/>
        <v>-2</v>
      </c>
      <c r="I111" s="517">
        <f>SUM(I113:I116)</f>
        <v>-2048</v>
      </c>
      <c r="J111" s="517">
        <f>SUM(J113:J116)</f>
        <v>-316</v>
      </c>
      <c r="K111" s="517">
        <f>SUM(K113:K116)</f>
        <v>-171</v>
      </c>
      <c r="L111" s="517">
        <f>SUM(L113:L116)</f>
        <v>-315</v>
      </c>
      <c r="M111" s="517"/>
      <c r="N111" s="517"/>
      <c r="O111" s="517"/>
      <c r="P111" s="517"/>
      <c r="Q111" s="517"/>
      <c r="R111" s="517"/>
      <c r="T111" s="517">
        <f>SUM(T113:T116)</f>
        <v>-171</v>
      </c>
      <c r="U111" s="517">
        <f>SUM(U113:U116)</f>
        <v>-144</v>
      </c>
    </row>
    <row r="112" spans="1:21">
      <c r="A112" s="510"/>
      <c r="C112" s="510"/>
      <c r="D112" s="510"/>
      <c r="E112" s="510"/>
      <c r="F112" s="510"/>
      <c r="G112" s="510"/>
      <c r="H112" s="510"/>
      <c r="I112" s="510"/>
      <c r="J112" s="510"/>
      <c r="K112" s="510"/>
      <c r="L112" s="510"/>
      <c r="M112" s="510"/>
      <c r="N112" s="510"/>
      <c r="O112" s="510"/>
      <c r="P112" s="510"/>
      <c r="Q112" s="510"/>
      <c r="R112" s="510"/>
      <c r="T112" s="510"/>
      <c r="U112" s="510"/>
    </row>
    <row r="113" spans="1:21">
      <c r="A113" s="510" t="s">
        <v>553</v>
      </c>
      <c r="C113" s="518"/>
      <c r="D113" s="518"/>
      <c r="E113" s="518"/>
      <c r="F113" s="518"/>
      <c r="G113" s="518"/>
      <c r="H113" s="518">
        <v>0</v>
      </c>
      <c r="I113" s="518">
        <v>-605</v>
      </c>
      <c r="J113" s="518">
        <v>-119</v>
      </c>
      <c r="K113" s="518">
        <v>-57</v>
      </c>
      <c r="L113" s="518">
        <v>-133</v>
      </c>
      <c r="M113" s="518"/>
      <c r="N113" s="518"/>
      <c r="O113" s="518"/>
      <c r="P113" s="518"/>
      <c r="Q113" s="518"/>
      <c r="R113" s="518"/>
      <c r="T113" s="518">
        <f t="shared" ref="T113:T116" si="44">K113</f>
        <v>-57</v>
      </c>
      <c r="U113" s="518">
        <f t="shared" ref="U113:U116" si="45">L113-T113</f>
        <v>-76</v>
      </c>
    </row>
    <row r="114" spans="1:21">
      <c r="A114" s="510" t="s">
        <v>554</v>
      </c>
      <c r="C114" s="518"/>
      <c r="D114" s="518"/>
      <c r="E114" s="518"/>
      <c r="F114" s="518"/>
      <c r="G114" s="518"/>
      <c r="H114" s="518">
        <v>-2</v>
      </c>
      <c r="I114" s="518">
        <v>-1535</v>
      </c>
      <c r="J114" s="518">
        <v>-308</v>
      </c>
      <c r="K114" s="518">
        <v>-137</v>
      </c>
      <c r="L114" s="518">
        <v>-220</v>
      </c>
      <c r="M114" s="518"/>
      <c r="N114" s="518"/>
      <c r="O114" s="518"/>
      <c r="P114" s="518"/>
      <c r="Q114" s="518"/>
      <c r="R114" s="518"/>
      <c r="T114" s="518">
        <f t="shared" si="44"/>
        <v>-137</v>
      </c>
      <c r="U114" s="518">
        <f t="shared" si="45"/>
        <v>-83</v>
      </c>
    </row>
    <row r="115" spans="1:21">
      <c r="A115" s="510" t="s">
        <v>555</v>
      </c>
      <c r="C115" s="518"/>
      <c r="D115" s="518"/>
      <c r="E115" s="518"/>
      <c r="F115" s="518"/>
      <c r="G115" s="518"/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/>
      <c r="N115" s="518"/>
      <c r="O115" s="518"/>
      <c r="P115" s="518"/>
      <c r="Q115" s="518"/>
      <c r="R115" s="518"/>
      <c r="T115" s="518">
        <f t="shared" si="44"/>
        <v>0</v>
      </c>
      <c r="U115" s="518">
        <f t="shared" si="45"/>
        <v>0</v>
      </c>
    </row>
    <row r="116" spans="1:21">
      <c r="A116" s="510" t="s">
        <v>556</v>
      </c>
      <c r="C116" s="518"/>
      <c r="D116" s="518"/>
      <c r="E116" s="518"/>
      <c r="F116" s="518"/>
      <c r="G116" s="518"/>
      <c r="H116" s="518">
        <v>0</v>
      </c>
      <c r="I116" s="518">
        <v>92</v>
      </c>
      <c r="J116" s="518">
        <v>111</v>
      </c>
      <c r="K116" s="518">
        <v>23</v>
      </c>
      <c r="L116" s="518">
        <v>38</v>
      </c>
      <c r="M116" s="518"/>
      <c r="N116" s="518"/>
      <c r="O116" s="518"/>
      <c r="P116" s="518"/>
      <c r="Q116" s="518"/>
      <c r="R116" s="518"/>
      <c r="T116" s="518">
        <f t="shared" si="44"/>
        <v>23</v>
      </c>
      <c r="U116" s="518">
        <f t="shared" si="45"/>
        <v>15</v>
      </c>
    </row>
    <row r="117" spans="1:21">
      <c r="A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  <c r="T117" s="510"/>
      <c r="U117" s="510"/>
    </row>
    <row r="118" spans="1:21" ht="15" thickBot="1">
      <c r="A118" s="523" t="s">
        <v>557</v>
      </c>
      <c r="C118" s="519">
        <f t="shared" ref="C118:H118" si="46">C109+C111</f>
        <v>0</v>
      </c>
      <c r="D118" s="519">
        <f t="shared" si="46"/>
        <v>0</v>
      </c>
      <c r="E118" s="519">
        <f t="shared" si="46"/>
        <v>0</v>
      </c>
      <c r="F118" s="519">
        <f t="shared" si="46"/>
        <v>0</v>
      </c>
      <c r="G118" s="519">
        <f t="shared" si="46"/>
        <v>0</v>
      </c>
      <c r="H118" s="519">
        <f t="shared" si="46"/>
        <v>97</v>
      </c>
      <c r="I118" s="519">
        <f>I109+I111</f>
        <v>6311</v>
      </c>
      <c r="J118" s="519">
        <f>J109+J111</f>
        <v>-993</v>
      </c>
      <c r="K118" s="519">
        <f>K109+K111</f>
        <v>626</v>
      </c>
      <c r="L118" s="519">
        <f>L109+L111</f>
        <v>-22674</v>
      </c>
      <c r="M118" s="519"/>
      <c r="N118" s="519"/>
      <c r="O118" s="519"/>
      <c r="P118" s="519"/>
      <c r="Q118" s="519"/>
      <c r="R118" s="519"/>
      <c r="T118" s="519">
        <f>T109+T111</f>
        <v>626</v>
      </c>
      <c r="U118" s="519">
        <f>U109+U111</f>
        <v>-23300</v>
      </c>
    </row>
    <row r="119" spans="1:21" ht="15" thickTop="1">
      <c r="A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  <c r="T119" s="510"/>
      <c r="U119" s="510"/>
    </row>
    <row r="120" spans="1:21">
      <c r="A120" s="509" t="s">
        <v>558</v>
      </c>
      <c r="C120" s="518"/>
      <c r="D120" s="518"/>
      <c r="E120" s="518"/>
      <c r="F120" s="518"/>
      <c r="G120" s="518"/>
      <c r="H120" s="518"/>
      <c r="I120" s="518"/>
      <c r="J120" s="518"/>
      <c r="K120" s="518"/>
      <c r="L120" s="518"/>
      <c r="M120" s="518"/>
      <c r="N120" s="518"/>
      <c r="O120" s="518"/>
      <c r="P120" s="518"/>
      <c r="Q120" s="518"/>
      <c r="R120" s="518"/>
      <c r="T120" s="518"/>
      <c r="U120" s="518"/>
    </row>
    <row r="121" spans="1:21">
      <c r="A121" s="510" t="s">
        <v>559</v>
      </c>
      <c r="C121" s="518">
        <f t="shared" ref="C121:H121" si="47">C118-C122</f>
        <v>0</v>
      </c>
      <c r="D121" s="518">
        <f t="shared" si="47"/>
        <v>0</v>
      </c>
      <c r="E121" s="518">
        <f t="shared" si="47"/>
        <v>0</v>
      </c>
      <c r="F121" s="518">
        <f t="shared" si="47"/>
        <v>0</v>
      </c>
      <c r="G121" s="518">
        <f t="shared" si="47"/>
        <v>0</v>
      </c>
      <c r="H121" s="518">
        <f t="shared" si="47"/>
        <v>97</v>
      </c>
      <c r="I121" s="518">
        <f>I118-I122</f>
        <v>6311</v>
      </c>
      <c r="J121" s="518">
        <f>J118-J122</f>
        <v>-993</v>
      </c>
      <c r="K121" s="518">
        <v>626</v>
      </c>
      <c r="L121" s="518">
        <v>-22674</v>
      </c>
      <c r="M121" s="518"/>
      <c r="N121" s="518"/>
      <c r="O121" s="518"/>
      <c r="P121" s="518"/>
      <c r="Q121" s="518"/>
      <c r="R121" s="518"/>
      <c r="T121" s="518">
        <f t="shared" ref="T121:T122" si="48">K121</f>
        <v>626</v>
      </c>
      <c r="U121" s="518">
        <f t="shared" ref="U121:U122" si="49">L121-T121</f>
        <v>-23300</v>
      </c>
    </row>
    <row r="122" spans="1:21">
      <c r="A122" s="510" t="s">
        <v>560</v>
      </c>
      <c r="C122" s="518">
        <f t="shared" ref="C122:H122" si="50">C118*C127</f>
        <v>0</v>
      </c>
      <c r="D122" s="518">
        <f t="shared" si="50"/>
        <v>0</v>
      </c>
      <c r="E122" s="518">
        <f t="shared" si="50"/>
        <v>0</v>
      </c>
      <c r="F122" s="518">
        <f t="shared" si="50"/>
        <v>0</v>
      </c>
      <c r="G122" s="518">
        <f t="shared" si="50"/>
        <v>0</v>
      </c>
      <c r="H122" s="518">
        <f t="shared" si="50"/>
        <v>0</v>
      </c>
      <c r="I122" s="518">
        <f>I118*I127</f>
        <v>0</v>
      </c>
      <c r="J122" s="518">
        <f>J118*J127</f>
        <v>0</v>
      </c>
      <c r="K122" s="518">
        <v>0</v>
      </c>
      <c r="L122" s="518">
        <v>0</v>
      </c>
      <c r="M122" s="518"/>
      <c r="N122" s="518"/>
      <c r="O122" s="518"/>
      <c r="P122" s="518"/>
      <c r="Q122" s="518"/>
      <c r="R122" s="518"/>
      <c r="T122" s="518">
        <f t="shared" si="48"/>
        <v>0</v>
      </c>
      <c r="U122" s="518">
        <f t="shared" si="49"/>
        <v>0</v>
      </c>
    </row>
    <row r="123" spans="1:21">
      <c r="A123" s="510"/>
      <c r="C123" s="510"/>
      <c r="D123" s="510"/>
      <c r="E123" s="510"/>
      <c r="F123" s="510"/>
      <c r="G123" s="510"/>
      <c r="H123" s="510"/>
      <c r="I123" s="510"/>
      <c r="J123" s="510"/>
      <c r="K123" s="510"/>
      <c r="L123" s="510"/>
      <c r="M123" s="510"/>
      <c r="N123" s="510"/>
      <c r="O123" s="510"/>
      <c r="P123" s="510"/>
      <c r="Q123" s="510"/>
      <c r="R123" s="510"/>
      <c r="T123" s="510"/>
      <c r="U123" s="510"/>
    </row>
    <row r="124" spans="1:21" ht="15" thickBot="1">
      <c r="A124" s="523" t="s">
        <v>557</v>
      </c>
      <c r="C124" s="519">
        <f t="shared" ref="C124:H124" si="51">SUM(C121:C122)</f>
        <v>0</v>
      </c>
      <c r="D124" s="519">
        <f t="shared" si="51"/>
        <v>0</v>
      </c>
      <c r="E124" s="519">
        <f t="shared" si="51"/>
        <v>0</v>
      </c>
      <c r="F124" s="519">
        <f t="shared" si="51"/>
        <v>0</v>
      </c>
      <c r="G124" s="519">
        <f t="shared" si="51"/>
        <v>0</v>
      </c>
      <c r="H124" s="519">
        <f t="shared" si="51"/>
        <v>97</v>
      </c>
      <c r="I124" s="519">
        <f>SUM(I121:I122)</f>
        <v>6311</v>
      </c>
      <c r="J124" s="519">
        <f>SUM(J121:J122)</f>
        <v>-993</v>
      </c>
      <c r="K124" s="519">
        <f>SUM(K121:K122)</f>
        <v>626</v>
      </c>
      <c r="L124" s="519">
        <f>SUM(L121:L122)</f>
        <v>-22674</v>
      </c>
      <c r="M124" s="519"/>
      <c r="N124" s="519"/>
      <c r="O124" s="519"/>
      <c r="P124" s="519"/>
      <c r="Q124" s="519"/>
      <c r="R124" s="519"/>
      <c r="T124" s="519">
        <f>SUM(T121:T122)</f>
        <v>626</v>
      </c>
      <c r="U124" s="519">
        <f>SUM(U121:U122)</f>
        <v>-23300</v>
      </c>
    </row>
    <row r="125" spans="1:21" ht="15" thickTop="1"/>
    <row r="126" spans="1:21" s="525" customFormat="1" ht="10.5">
      <c r="A126" s="524" t="s">
        <v>561</v>
      </c>
      <c r="C126" s="526">
        <v>1</v>
      </c>
      <c r="D126" s="526">
        <v>1</v>
      </c>
      <c r="E126" s="526">
        <v>1</v>
      </c>
      <c r="F126" s="526">
        <v>1</v>
      </c>
      <c r="G126" s="526">
        <v>1</v>
      </c>
      <c r="H126" s="526">
        <v>1</v>
      </c>
      <c r="I126" s="526">
        <v>1</v>
      </c>
      <c r="J126" s="526">
        <v>1</v>
      </c>
      <c r="K126" s="526">
        <v>1</v>
      </c>
      <c r="L126" s="526">
        <v>1</v>
      </c>
      <c r="T126" s="526">
        <f t="shared" ref="T126:T127" si="52">K126</f>
        <v>1</v>
      </c>
      <c r="U126" s="526">
        <v>1</v>
      </c>
    </row>
    <row r="127" spans="1:21" s="525" customFormat="1" ht="10.5">
      <c r="A127" s="524" t="s">
        <v>562</v>
      </c>
      <c r="C127" s="526">
        <v>0</v>
      </c>
      <c r="D127" s="526">
        <v>0</v>
      </c>
      <c r="E127" s="526">
        <v>0</v>
      </c>
      <c r="F127" s="526">
        <v>0</v>
      </c>
      <c r="G127" s="526">
        <v>0</v>
      </c>
      <c r="H127" s="526">
        <v>0</v>
      </c>
      <c r="I127" s="526">
        <v>0</v>
      </c>
      <c r="J127" s="526">
        <v>0</v>
      </c>
      <c r="K127" s="526">
        <v>0</v>
      </c>
      <c r="L127" s="526">
        <v>0</v>
      </c>
      <c r="T127" s="526">
        <f t="shared" si="52"/>
        <v>0</v>
      </c>
      <c r="U127" s="526"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</sheetPr>
  <dimension ref="B4:R8"/>
  <sheetViews>
    <sheetView showGridLines="0" zoomScale="85" zoomScaleNormal="85" workbookViewId="0"/>
  </sheetViews>
  <sheetFormatPr defaultRowHeight="14.5"/>
  <cols>
    <col min="2" max="2" width="1.453125" customWidth="1"/>
    <col min="8" max="9" width="2" customWidth="1"/>
    <col min="14" max="14" width="2" customWidth="1"/>
    <col min="19" max="19" width="2" customWidth="1"/>
  </cols>
  <sheetData>
    <row r="4" spans="2:18" s="1" customFormat="1" ht="32.5" customHeight="1">
      <c r="B4" s="2" t="s">
        <v>4</v>
      </c>
    </row>
    <row r="8" spans="2:18" ht="30" customHeight="1">
      <c r="D8" s="35" t="s">
        <v>5</v>
      </c>
      <c r="E8" s="36"/>
      <c r="F8" s="36"/>
      <c r="G8" s="36"/>
      <c r="J8" s="35" t="s">
        <v>6</v>
      </c>
      <c r="K8" s="36"/>
      <c r="L8" s="36"/>
      <c r="M8" s="36"/>
      <c r="O8" s="35" t="s">
        <v>7</v>
      </c>
      <c r="P8" s="36"/>
      <c r="Q8" s="36"/>
      <c r="R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79998168889431442"/>
  </sheetPr>
  <dimension ref="A4:U127"/>
  <sheetViews>
    <sheetView showGridLines="0" zoomScale="85" zoomScaleNormal="85" workbookViewId="0">
      <pane xSplit="1" ySplit="4" topLeftCell="B5" activePane="bottomRight" state="frozen"/>
      <selection pane="topRight"/>
      <selection pane="bottomLeft"/>
      <selection pane="bottomRight" activeCell="L18" sqref="L18"/>
    </sheetView>
  </sheetViews>
  <sheetFormatPr defaultRowHeight="14.5" outlineLevelRow="1"/>
  <cols>
    <col min="1" max="1" width="65.7265625" bestFit="1" customWidth="1"/>
    <col min="2" max="2" width="1.54296875" customWidth="1"/>
    <col min="3" max="12" width="15.1796875" customWidth="1"/>
    <col min="13" max="18" width="15.1796875" hidden="1" customWidth="1"/>
    <col min="19" max="19" width="1.54296875" customWidth="1"/>
    <col min="20" max="20" width="15.1796875" hidden="1" customWidth="1"/>
    <col min="21" max="21" width="15.1796875" customWidth="1"/>
  </cols>
  <sheetData>
    <row r="4" spans="1:21">
      <c r="A4" s="521" t="s">
        <v>575</v>
      </c>
      <c r="C4" s="520" t="s">
        <v>453</v>
      </c>
      <c r="D4" s="520" t="s">
        <v>454</v>
      </c>
      <c r="E4" s="520" t="s">
        <v>455</v>
      </c>
      <c r="F4" s="520" t="s">
        <v>455</v>
      </c>
      <c r="G4" s="520" t="s">
        <v>456</v>
      </c>
      <c r="H4" s="520" t="s">
        <v>457</v>
      </c>
      <c r="I4" s="520" t="s">
        <v>458</v>
      </c>
      <c r="J4" s="520">
        <v>2023</v>
      </c>
      <c r="K4" s="520" t="s">
        <v>459</v>
      </c>
      <c r="L4" s="520" t="s">
        <v>460</v>
      </c>
      <c r="M4" s="520" t="s">
        <v>461</v>
      </c>
      <c r="N4" s="520">
        <v>2024</v>
      </c>
      <c r="O4" s="520" t="s">
        <v>462</v>
      </c>
      <c r="P4" s="520" t="s">
        <v>463</v>
      </c>
      <c r="Q4" s="520" t="s">
        <v>464</v>
      </c>
      <c r="R4" s="520">
        <v>2025</v>
      </c>
      <c r="T4" s="520" t="s">
        <v>53</v>
      </c>
      <c r="U4" s="520" t="s">
        <v>54</v>
      </c>
    </row>
    <row r="5" spans="1:21" ht="6.65" customHeight="1"/>
    <row r="6" spans="1:21">
      <c r="A6" s="522" t="s">
        <v>465</v>
      </c>
      <c r="C6" s="513">
        <f t="shared" ref="C6:I6" si="0">SUM(C8,C11:C17)</f>
        <v>476236</v>
      </c>
      <c r="D6" s="513">
        <f t="shared" si="0"/>
        <v>837584</v>
      </c>
      <c r="E6" s="513">
        <f t="shared" si="0"/>
        <v>1141314</v>
      </c>
      <c r="F6" s="513">
        <f t="shared" si="0"/>
        <v>1491686</v>
      </c>
      <c r="G6" s="513">
        <f t="shared" si="0"/>
        <v>356145</v>
      </c>
      <c r="H6" s="513">
        <f t="shared" si="0"/>
        <v>731997</v>
      </c>
      <c r="I6" s="513">
        <f t="shared" si="0"/>
        <v>1167886</v>
      </c>
      <c r="J6" s="513">
        <f t="shared" ref="J6:K6" si="1">SUM(J8,J11:J17)</f>
        <v>1606093.3149999999</v>
      </c>
      <c r="K6" s="513">
        <f t="shared" si="1"/>
        <v>383880.755</v>
      </c>
      <c r="L6" s="513">
        <f t="shared" ref="L6" si="2">SUM(L8,L11:L17)</f>
        <v>762649.755</v>
      </c>
      <c r="M6" s="513"/>
      <c r="N6" s="513"/>
      <c r="O6" s="513"/>
      <c r="P6" s="513"/>
      <c r="Q6" s="513"/>
      <c r="R6" s="513"/>
      <c r="T6" s="513">
        <f t="shared" ref="T6:U6" si="3">SUM(T8,T11:T17)</f>
        <v>383880.755</v>
      </c>
      <c r="U6" s="513">
        <f t="shared" si="3"/>
        <v>378769</v>
      </c>
    </row>
    <row r="7" spans="1:21">
      <c r="A7" s="509"/>
      <c r="C7" s="514"/>
      <c r="D7" s="514"/>
      <c r="E7" s="514"/>
      <c r="F7" s="514"/>
      <c r="G7" s="514"/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514"/>
      <c r="T7" s="514"/>
      <c r="U7" s="514"/>
    </row>
    <row r="8" spans="1:21">
      <c r="A8" s="510" t="s">
        <v>466</v>
      </c>
      <c r="C8" s="515">
        <f t="shared" ref="C8:H8" si="4">SUM(C9:C10)</f>
        <v>0</v>
      </c>
      <c r="D8" s="515">
        <f t="shared" si="4"/>
        <v>0</v>
      </c>
      <c r="E8" s="515">
        <f t="shared" si="4"/>
        <v>0</v>
      </c>
      <c r="F8" s="515">
        <f t="shared" si="4"/>
        <v>0</v>
      </c>
      <c r="G8" s="515">
        <f t="shared" si="4"/>
        <v>0</v>
      </c>
      <c r="H8" s="515">
        <f t="shared" si="4"/>
        <v>0</v>
      </c>
      <c r="I8" s="515">
        <f>SUM(I9:I10)</f>
        <v>0</v>
      </c>
      <c r="J8" s="515">
        <f>SUM(J9:J10)</f>
        <v>0</v>
      </c>
      <c r="K8" s="515">
        <f>SUM(K9:K10)</f>
        <v>0</v>
      </c>
      <c r="L8" s="515">
        <f>SUM(L9:L10)</f>
        <v>0</v>
      </c>
      <c r="M8" s="515"/>
      <c r="N8" s="515"/>
      <c r="O8" s="515"/>
      <c r="P8" s="515"/>
      <c r="Q8" s="515"/>
      <c r="R8" s="515"/>
      <c r="T8" s="515">
        <f>SUM(T9:T10)</f>
        <v>0</v>
      </c>
      <c r="U8" s="515">
        <f>SUM(U9:U10)</f>
        <v>0</v>
      </c>
    </row>
    <row r="9" spans="1:21" outlineLevel="1">
      <c r="A9" s="511" t="s">
        <v>466</v>
      </c>
      <c r="C9" s="516">
        <v>0</v>
      </c>
      <c r="D9" s="516">
        <v>0</v>
      </c>
      <c r="E9" s="516">
        <v>0</v>
      </c>
      <c r="F9" s="516">
        <v>0</v>
      </c>
      <c r="G9" s="516">
        <v>0</v>
      </c>
      <c r="H9" s="516">
        <v>0</v>
      </c>
      <c r="I9" s="516">
        <v>0</v>
      </c>
      <c r="J9" s="516">
        <v>0</v>
      </c>
      <c r="K9" s="516">
        <v>0</v>
      </c>
      <c r="L9" s="516">
        <v>0</v>
      </c>
      <c r="M9" s="516"/>
      <c r="N9" s="516"/>
      <c r="O9" s="516"/>
      <c r="P9" s="516"/>
      <c r="Q9" s="516"/>
      <c r="R9" s="516"/>
      <c r="T9" s="516">
        <f>K9</f>
        <v>0</v>
      </c>
      <c r="U9" s="516">
        <f>L9-T9</f>
        <v>0</v>
      </c>
    </row>
    <row r="10" spans="1:21" outlineLevel="1">
      <c r="A10" s="511" t="s">
        <v>467</v>
      </c>
      <c r="C10" s="516">
        <v>0</v>
      </c>
      <c r="D10" s="516">
        <v>0</v>
      </c>
      <c r="E10" s="516">
        <v>0</v>
      </c>
      <c r="F10" s="516">
        <v>0</v>
      </c>
      <c r="G10" s="516">
        <v>0</v>
      </c>
      <c r="H10" s="516">
        <v>0</v>
      </c>
      <c r="I10" s="516">
        <v>0</v>
      </c>
      <c r="J10" s="516">
        <v>0</v>
      </c>
      <c r="K10" s="516">
        <v>0</v>
      </c>
      <c r="L10" s="516">
        <v>0</v>
      </c>
      <c r="M10" s="516"/>
      <c r="N10" s="516"/>
      <c r="O10" s="516"/>
      <c r="P10" s="516"/>
      <c r="Q10" s="516"/>
      <c r="R10" s="516"/>
      <c r="T10" s="516">
        <f t="shared" ref="T10:T25" si="5">K10</f>
        <v>0</v>
      </c>
      <c r="U10" s="516">
        <f t="shared" ref="U10:U16" si="6">L10-T10</f>
        <v>0</v>
      </c>
    </row>
    <row r="11" spans="1:21">
      <c r="A11" s="510" t="s">
        <v>468</v>
      </c>
      <c r="C11" s="515">
        <v>0</v>
      </c>
      <c r="D11" s="515">
        <v>0</v>
      </c>
      <c r="E11" s="515">
        <v>0</v>
      </c>
      <c r="F11" s="515">
        <v>0</v>
      </c>
      <c r="G11" s="515">
        <v>0</v>
      </c>
      <c r="H11" s="515">
        <v>0</v>
      </c>
      <c r="I11" s="515">
        <v>0</v>
      </c>
      <c r="J11" s="515">
        <v>0</v>
      </c>
      <c r="K11" s="515">
        <v>0</v>
      </c>
      <c r="L11" s="515">
        <v>0</v>
      </c>
      <c r="M11" s="515"/>
      <c r="N11" s="515"/>
      <c r="O11" s="515"/>
      <c r="P11" s="515"/>
      <c r="Q11" s="515"/>
      <c r="R11" s="515"/>
      <c r="T11" s="515">
        <f t="shared" si="5"/>
        <v>0</v>
      </c>
      <c r="U11" s="515">
        <f t="shared" si="6"/>
        <v>0</v>
      </c>
    </row>
    <row r="12" spans="1:21">
      <c r="A12" s="510" t="s">
        <v>469</v>
      </c>
      <c r="C12" s="515">
        <v>0</v>
      </c>
      <c r="D12" s="515">
        <v>0</v>
      </c>
      <c r="E12" s="515">
        <v>0</v>
      </c>
      <c r="F12" s="515">
        <v>0</v>
      </c>
      <c r="G12" s="515">
        <v>0</v>
      </c>
      <c r="H12" s="515">
        <v>0</v>
      </c>
      <c r="I12" s="515">
        <v>0</v>
      </c>
      <c r="J12" s="515">
        <v>0</v>
      </c>
      <c r="K12" s="515">
        <v>0</v>
      </c>
      <c r="L12" s="515">
        <v>0</v>
      </c>
      <c r="M12" s="515"/>
      <c r="N12" s="515"/>
      <c r="O12" s="515"/>
      <c r="P12" s="515"/>
      <c r="Q12" s="515"/>
      <c r="R12" s="515"/>
      <c r="T12" s="515">
        <f t="shared" si="5"/>
        <v>0</v>
      </c>
      <c r="U12" s="515">
        <f t="shared" si="6"/>
        <v>0</v>
      </c>
    </row>
    <row r="13" spans="1:21">
      <c r="A13" s="510" t="s">
        <v>470</v>
      </c>
      <c r="C13" s="515">
        <v>107282</v>
      </c>
      <c r="D13" s="515">
        <v>107282</v>
      </c>
      <c r="E13" s="515">
        <v>107282</v>
      </c>
      <c r="F13" s="515">
        <v>107282</v>
      </c>
      <c r="G13" s="515">
        <v>1356</v>
      </c>
      <c r="H13" s="515">
        <v>8588</v>
      </c>
      <c r="I13" s="515">
        <v>69601</v>
      </c>
      <c r="J13" s="515">
        <v>97878</v>
      </c>
      <c r="K13" s="515">
        <v>6097</v>
      </c>
      <c r="L13" s="515">
        <v>7528</v>
      </c>
      <c r="M13" s="515"/>
      <c r="N13" s="515"/>
      <c r="O13" s="515"/>
      <c r="P13" s="515"/>
      <c r="Q13" s="515"/>
      <c r="R13" s="515"/>
      <c r="T13" s="515">
        <f t="shared" si="5"/>
        <v>6097</v>
      </c>
      <c r="U13" s="515">
        <f t="shared" si="6"/>
        <v>1431</v>
      </c>
    </row>
    <row r="14" spans="1:21">
      <c r="A14" s="510" t="s">
        <v>471</v>
      </c>
      <c r="C14" s="515">
        <v>0</v>
      </c>
      <c r="D14" s="515">
        <v>0</v>
      </c>
      <c r="E14" s="515">
        <v>0</v>
      </c>
      <c r="F14" s="515">
        <v>0</v>
      </c>
      <c r="G14" s="515">
        <v>0</v>
      </c>
      <c r="H14" s="515">
        <v>0</v>
      </c>
      <c r="I14" s="515">
        <v>0</v>
      </c>
      <c r="J14" s="515">
        <v>0</v>
      </c>
      <c r="K14" s="515">
        <v>0</v>
      </c>
      <c r="L14" s="515">
        <v>0</v>
      </c>
      <c r="M14" s="515"/>
      <c r="N14" s="515"/>
      <c r="O14" s="515"/>
      <c r="P14" s="515"/>
      <c r="Q14" s="515"/>
      <c r="R14" s="515"/>
      <c r="T14" s="515">
        <f t="shared" si="5"/>
        <v>0</v>
      </c>
      <c r="U14" s="515">
        <f t="shared" si="6"/>
        <v>0</v>
      </c>
    </row>
    <row r="15" spans="1:21">
      <c r="A15" s="510" t="s">
        <v>472</v>
      </c>
      <c r="C15" s="515">
        <v>15039</v>
      </c>
      <c r="D15" s="515">
        <v>43096</v>
      </c>
      <c r="E15" s="515">
        <v>64325</v>
      </c>
      <c r="F15" s="515">
        <v>93685</v>
      </c>
      <c r="G15" s="515">
        <v>25689</v>
      </c>
      <c r="H15" s="515">
        <v>50348</v>
      </c>
      <c r="I15" s="515">
        <v>98112</v>
      </c>
      <c r="J15" s="515">
        <v>133629</v>
      </c>
      <c r="K15" s="515">
        <v>20221</v>
      </c>
      <c r="L15" s="515">
        <v>47715</v>
      </c>
      <c r="M15" s="515"/>
      <c r="N15" s="515"/>
      <c r="O15" s="515"/>
      <c r="P15" s="515"/>
      <c r="Q15" s="515"/>
      <c r="R15" s="515"/>
      <c r="T15" s="515">
        <f t="shared" si="5"/>
        <v>20221</v>
      </c>
      <c r="U15" s="515">
        <f t="shared" si="6"/>
        <v>27494</v>
      </c>
    </row>
    <row r="16" spans="1:21">
      <c r="A16" s="510" t="s">
        <v>473</v>
      </c>
      <c r="C16" s="515">
        <v>0</v>
      </c>
      <c r="D16" s="515">
        <v>0</v>
      </c>
      <c r="E16" s="515">
        <v>0</v>
      </c>
      <c r="F16" s="515">
        <v>0</v>
      </c>
      <c r="G16" s="515">
        <v>0</v>
      </c>
      <c r="H16" s="515">
        <v>0</v>
      </c>
      <c r="I16" s="515">
        <v>0</v>
      </c>
      <c r="J16" s="515">
        <v>0</v>
      </c>
      <c r="K16" s="515">
        <v>0</v>
      </c>
      <c r="L16" s="515">
        <v>0</v>
      </c>
      <c r="M16" s="515"/>
      <c r="N16" s="515"/>
      <c r="O16" s="515"/>
      <c r="P16" s="515"/>
      <c r="Q16" s="515"/>
      <c r="R16" s="515"/>
      <c r="T16" s="515">
        <f t="shared" si="5"/>
        <v>0</v>
      </c>
      <c r="U16" s="515">
        <f t="shared" si="6"/>
        <v>0</v>
      </c>
    </row>
    <row r="17" spans="1:21">
      <c r="A17" s="510" t="s">
        <v>474</v>
      </c>
      <c r="C17" s="515">
        <f t="shared" ref="C17:H17" si="7">SUM(C18:C25)</f>
        <v>353915</v>
      </c>
      <c r="D17" s="515">
        <f t="shared" si="7"/>
        <v>687206</v>
      </c>
      <c r="E17" s="515">
        <f t="shared" si="7"/>
        <v>969707</v>
      </c>
      <c r="F17" s="515">
        <f t="shared" si="7"/>
        <v>1290719</v>
      </c>
      <c r="G17" s="515">
        <f t="shared" si="7"/>
        <v>329100</v>
      </c>
      <c r="H17" s="515">
        <f t="shared" si="7"/>
        <v>673061</v>
      </c>
      <c r="I17" s="515">
        <f>SUM(I18:I25)</f>
        <v>1000173</v>
      </c>
      <c r="J17" s="515">
        <f>SUM(J18:J25)</f>
        <v>1374586.3149999999</v>
      </c>
      <c r="K17" s="515">
        <f>SUM(K18:K25)</f>
        <v>357562.755</v>
      </c>
      <c r="L17" s="515">
        <f>SUM(L18:L25)</f>
        <v>707406.755</v>
      </c>
      <c r="M17" s="515"/>
      <c r="N17" s="515"/>
      <c r="O17" s="515"/>
      <c r="P17" s="515"/>
      <c r="Q17" s="515"/>
      <c r="R17" s="515"/>
      <c r="T17" s="515">
        <f>SUM(T18:T25)</f>
        <v>357562.755</v>
      </c>
      <c r="U17" s="515">
        <f>SUM(U18:U25)</f>
        <v>349844</v>
      </c>
    </row>
    <row r="18" spans="1:21" outlineLevel="1">
      <c r="A18" s="511" t="s">
        <v>475</v>
      </c>
      <c r="C18" s="516">
        <v>0</v>
      </c>
      <c r="D18" s="516">
        <v>0</v>
      </c>
      <c r="E18" s="516">
        <v>0</v>
      </c>
      <c r="F18" s="516">
        <v>0</v>
      </c>
      <c r="G18" s="516">
        <v>0</v>
      </c>
      <c r="H18" s="516">
        <v>0</v>
      </c>
      <c r="I18" s="516">
        <v>0</v>
      </c>
      <c r="J18" s="516">
        <v>0</v>
      </c>
      <c r="K18" s="516">
        <v>0</v>
      </c>
      <c r="L18" s="516">
        <v>0</v>
      </c>
      <c r="M18" s="516"/>
      <c r="N18" s="516"/>
      <c r="O18" s="516"/>
      <c r="P18" s="516"/>
      <c r="Q18" s="516"/>
      <c r="R18" s="516"/>
      <c r="T18" s="516">
        <f t="shared" si="5"/>
        <v>0</v>
      </c>
      <c r="U18" s="516">
        <f t="shared" ref="U18:U25" si="8">L18-T18</f>
        <v>0</v>
      </c>
    </row>
    <row r="19" spans="1:21" outlineLevel="1">
      <c r="A19" s="511" t="s">
        <v>476</v>
      </c>
      <c r="C19" s="516">
        <v>0</v>
      </c>
      <c r="D19" s="516">
        <v>0</v>
      </c>
      <c r="E19" s="516">
        <v>0</v>
      </c>
      <c r="F19" s="516">
        <v>0</v>
      </c>
      <c r="G19" s="516">
        <v>0</v>
      </c>
      <c r="H19" s="516">
        <v>0</v>
      </c>
      <c r="I19" s="516">
        <v>0</v>
      </c>
      <c r="J19" s="516">
        <v>0</v>
      </c>
      <c r="K19" s="516">
        <v>0</v>
      </c>
      <c r="L19" s="516">
        <v>0</v>
      </c>
      <c r="M19" s="516"/>
      <c r="N19" s="516"/>
      <c r="O19" s="516"/>
      <c r="P19" s="516"/>
      <c r="Q19" s="516"/>
      <c r="R19" s="516"/>
      <c r="T19" s="516">
        <f t="shared" si="5"/>
        <v>0</v>
      </c>
      <c r="U19" s="516">
        <f t="shared" si="8"/>
        <v>0</v>
      </c>
    </row>
    <row r="20" spans="1:21" outlineLevel="1">
      <c r="A20" s="511" t="s">
        <v>477</v>
      </c>
      <c r="C20" s="516">
        <v>0</v>
      </c>
      <c r="D20" s="516">
        <v>14956</v>
      </c>
      <c r="E20" s="516">
        <v>14956</v>
      </c>
      <c r="F20" s="516">
        <v>0</v>
      </c>
      <c r="G20" s="516">
        <v>0</v>
      </c>
      <c r="H20" s="516">
        <v>0</v>
      </c>
      <c r="I20" s="516">
        <v>0</v>
      </c>
      <c r="J20" s="516">
        <v>116</v>
      </c>
      <c r="K20" s="516">
        <v>296</v>
      </c>
      <c r="L20" s="516">
        <v>642</v>
      </c>
      <c r="M20" s="516"/>
      <c r="N20" s="516"/>
      <c r="O20" s="516"/>
      <c r="P20" s="516"/>
      <c r="Q20" s="516"/>
      <c r="R20" s="516"/>
      <c r="T20" s="516">
        <f t="shared" si="5"/>
        <v>296</v>
      </c>
      <c r="U20" s="516">
        <f t="shared" si="8"/>
        <v>346</v>
      </c>
    </row>
    <row r="21" spans="1:21" outlineLevel="1">
      <c r="A21" s="511" t="s">
        <v>478</v>
      </c>
      <c r="C21" s="516">
        <v>374522</v>
      </c>
      <c r="D21" s="516">
        <v>704044</v>
      </c>
      <c r="E21" s="516">
        <v>1049686</v>
      </c>
      <c r="F21" s="516">
        <v>1422140</v>
      </c>
      <c r="G21" s="516">
        <v>362644</v>
      </c>
      <c r="H21" s="516">
        <v>741662</v>
      </c>
      <c r="I21" s="516">
        <v>1102115</v>
      </c>
      <c r="J21" s="516">
        <v>1463634</v>
      </c>
      <c r="K21" s="516">
        <v>379763</v>
      </c>
      <c r="L21" s="516">
        <v>750545</v>
      </c>
      <c r="M21" s="516"/>
      <c r="N21" s="516"/>
      <c r="O21" s="516"/>
      <c r="P21" s="516"/>
      <c r="Q21" s="516"/>
      <c r="R21" s="516"/>
      <c r="T21" s="516">
        <f t="shared" si="5"/>
        <v>379763</v>
      </c>
      <c r="U21" s="516">
        <f t="shared" si="8"/>
        <v>370782</v>
      </c>
    </row>
    <row r="22" spans="1:21" outlineLevel="1">
      <c r="A22" s="511" t="s">
        <v>479</v>
      </c>
      <c r="C22" s="516">
        <v>-34643</v>
      </c>
      <c r="D22" s="516">
        <v>-66508</v>
      </c>
      <c r="E22" s="516">
        <v>-98480</v>
      </c>
      <c r="F22" s="516">
        <v>-131548</v>
      </c>
      <c r="G22" s="516">
        <v>-33544</v>
      </c>
      <c r="H22" s="516">
        <v>-68604</v>
      </c>
      <c r="I22" s="516">
        <v>-101945</v>
      </c>
      <c r="J22" s="516">
        <v>-89166.684999999998</v>
      </c>
      <c r="K22" s="516">
        <v>-22496.244999999999</v>
      </c>
      <c r="L22" s="516">
        <v>-43780.245000000003</v>
      </c>
      <c r="M22" s="516"/>
      <c r="N22" s="516"/>
      <c r="O22" s="516"/>
      <c r="P22" s="516"/>
      <c r="Q22" s="516"/>
      <c r="R22" s="516"/>
      <c r="T22" s="516">
        <f t="shared" si="5"/>
        <v>-22496.244999999999</v>
      </c>
      <c r="U22" s="516">
        <f t="shared" si="8"/>
        <v>-21284.000000000004</v>
      </c>
    </row>
    <row r="23" spans="1:21" outlineLevel="1">
      <c r="A23" s="511" t="s">
        <v>480</v>
      </c>
      <c r="C23" s="516">
        <v>0</v>
      </c>
      <c r="D23" s="516">
        <v>0</v>
      </c>
      <c r="E23" s="516">
        <v>0</v>
      </c>
      <c r="F23" s="516">
        <v>0</v>
      </c>
      <c r="G23" s="516">
        <v>0</v>
      </c>
      <c r="H23" s="516">
        <v>0</v>
      </c>
      <c r="I23" s="516">
        <v>0</v>
      </c>
      <c r="J23" s="516">
        <v>0</v>
      </c>
      <c r="K23" s="516">
        <v>0</v>
      </c>
      <c r="L23" s="516">
        <v>0</v>
      </c>
      <c r="M23" s="516"/>
      <c r="N23" s="516"/>
      <c r="O23" s="516"/>
      <c r="P23" s="516"/>
      <c r="Q23" s="516"/>
      <c r="R23" s="516"/>
      <c r="T23" s="516">
        <f t="shared" si="5"/>
        <v>0</v>
      </c>
      <c r="U23" s="516">
        <f t="shared" si="8"/>
        <v>0</v>
      </c>
    </row>
    <row r="24" spans="1:21" outlineLevel="1">
      <c r="A24" s="511" t="s">
        <v>481</v>
      </c>
      <c r="C24" s="516">
        <v>0</v>
      </c>
      <c r="D24" s="516">
        <v>0</v>
      </c>
      <c r="E24" s="516">
        <v>0</v>
      </c>
      <c r="F24" s="516">
        <v>0</v>
      </c>
      <c r="G24" s="516">
        <v>0</v>
      </c>
      <c r="H24" s="516">
        <v>0</v>
      </c>
      <c r="I24" s="516">
        <v>0</v>
      </c>
      <c r="J24" s="516">
        <v>0</v>
      </c>
      <c r="K24" s="516">
        <v>0</v>
      </c>
      <c r="L24" s="516">
        <v>0</v>
      </c>
      <c r="M24" s="516"/>
      <c r="N24" s="516"/>
      <c r="O24" s="516"/>
      <c r="P24" s="516"/>
      <c r="Q24" s="516"/>
      <c r="R24" s="516"/>
      <c r="T24" s="516">
        <f t="shared" si="5"/>
        <v>0</v>
      </c>
      <c r="U24" s="516">
        <f t="shared" si="8"/>
        <v>0</v>
      </c>
    </row>
    <row r="25" spans="1:21" outlineLevel="1">
      <c r="A25" s="511" t="s">
        <v>474</v>
      </c>
      <c r="C25" s="516">
        <v>14036</v>
      </c>
      <c r="D25" s="516">
        <v>34714</v>
      </c>
      <c r="E25" s="516">
        <v>3545</v>
      </c>
      <c r="F25" s="516">
        <v>127</v>
      </c>
      <c r="G25" s="516">
        <v>0</v>
      </c>
      <c r="H25" s="516">
        <v>3</v>
      </c>
      <c r="I25" s="516">
        <v>3</v>
      </c>
      <c r="J25" s="516">
        <v>3</v>
      </c>
      <c r="K25" s="516">
        <v>0</v>
      </c>
      <c r="L25" s="516">
        <v>0</v>
      </c>
      <c r="M25" s="516"/>
      <c r="N25" s="516"/>
      <c r="O25" s="516"/>
      <c r="P25" s="516"/>
      <c r="Q25" s="516"/>
      <c r="R25" s="516"/>
      <c r="T25" s="516">
        <f t="shared" si="5"/>
        <v>0</v>
      </c>
      <c r="U25" s="516">
        <f t="shared" si="8"/>
        <v>0</v>
      </c>
    </row>
    <row r="26" spans="1:21">
      <c r="A26" s="510"/>
      <c r="C26" s="510"/>
      <c r="D26" s="510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  <c r="T26" s="510"/>
      <c r="U26" s="510"/>
    </row>
    <row r="27" spans="1:21">
      <c r="A27" s="522" t="s">
        <v>482</v>
      </c>
      <c r="C27" s="513">
        <f t="shared" ref="C27:H27" si="9">SUM(C29:C37)</f>
        <v>-31645</v>
      </c>
      <c r="D27" s="513">
        <f t="shared" si="9"/>
        <v>-51403</v>
      </c>
      <c r="E27" s="513">
        <f t="shared" si="9"/>
        <v>-71018</v>
      </c>
      <c r="F27" s="513">
        <f t="shared" si="9"/>
        <v>-93002</v>
      </c>
      <c r="G27" s="513">
        <f t="shared" si="9"/>
        <v>-20527</v>
      </c>
      <c r="H27" s="513">
        <f t="shared" si="9"/>
        <v>-41671</v>
      </c>
      <c r="I27" s="513">
        <f>SUM(I29:I37)</f>
        <v>-67287</v>
      </c>
      <c r="J27" s="513">
        <f>SUM(J29:J37)</f>
        <v>-138092.315</v>
      </c>
      <c r="K27" s="513">
        <f>SUM(K29:K37)</f>
        <v>-35029.755000000005</v>
      </c>
      <c r="L27" s="513">
        <f>SUM(L29:L37)</f>
        <v>-70803.755000000005</v>
      </c>
      <c r="M27" s="513"/>
      <c r="N27" s="513"/>
      <c r="O27" s="513"/>
      <c r="P27" s="513"/>
      <c r="Q27" s="513"/>
      <c r="R27" s="513"/>
      <c r="T27" s="513">
        <f>SUM(T29:T37)</f>
        <v>-35029.755000000005</v>
      </c>
      <c r="U27" s="513">
        <f>SUM(U29:U37)</f>
        <v>-35774</v>
      </c>
    </row>
    <row r="28" spans="1:21">
      <c r="A28" s="509"/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T28" s="514"/>
      <c r="U28" s="514"/>
    </row>
    <row r="29" spans="1:21" outlineLevel="1">
      <c r="A29" s="511" t="s">
        <v>483</v>
      </c>
      <c r="C29" s="516">
        <v>0</v>
      </c>
      <c r="D29" s="516">
        <v>-76</v>
      </c>
      <c r="E29" s="516">
        <v>-92</v>
      </c>
      <c r="F29" s="516">
        <v>-92</v>
      </c>
      <c r="G29" s="516">
        <v>0</v>
      </c>
      <c r="H29" s="516">
        <v>0</v>
      </c>
      <c r="I29" s="516">
        <v>0</v>
      </c>
      <c r="J29" s="516">
        <v>0</v>
      </c>
      <c r="K29" s="516">
        <v>0</v>
      </c>
      <c r="L29" s="516">
        <v>0</v>
      </c>
      <c r="M29" s="516"/>
      <c r="N29" s="516"/>
      <c r="O29" s="516"/>
      <c r="P29" s="516"/>
      <c r="Q29" s="516"/>
      <c r="R29" s="516"/>
      <c r="T29" s="516">
        <f t="shared" ref="T29:T37" si="10">K29</f>
        <v>0</v>
      </c>
      <c r="U29" s="516">
        <f t="shared" ref="U29:U37" si="11">L29-T29</f>
        <v>0</v>
      </c>
    </row>
    <row r="30" spans="1:21" outlineLevel="1">
      <c r="A30" s="511" t="s">
        <v>484</v>
      </c>
      <c r="C30" s="516">
        <v>-18614</v>
      </c>
      <c r="D30" s="516">
        <v>-34541</v>
      </c>
      <c r="E30" s="516">
        <v>-50713</v>
      </c>
      <c r="F30" s="516">
        <v>-67750</v>
      </c>
      <c r="G30" s="516">
        <v>-16160</v>
      </c>
      <c r="H30" s="516">
        <v>-32306</v>
      </c>
      <c r="I30" s="516">
        <v>-48113</v>
      </c>
      <c r="J30" s="516">
        <v>-112167</v>
      </c>
      <c r="K30" s="516">
        <v>-30253</v>
      </c>
      <c r="L30" s="516">
        <v>-61760</v>
      </c>
      <c r="M30" s="516"/>
      <c r="N30" s="516"/>
      <c r="O30" s="516"/>
      <c r="P30" s="516"/>
      <c r="Q30" s="516"/>
      <c r="R30" s="516"/>
      <c r="T30" s="516">
        <f t="shared" si="10"/>
        <v>-30253</v>
      </c>
      <c r="U30" s="516">
        <f t="shared" si="11"/>
        <v>-31507</v>
      </c>
    </row>
    <row r="31" spans="1:21" outlineLevel="1">
      <c r="A31" s="511" t="s">
        <v>485</v>
      </c>
      <c r="C31" s="516">
        <v>-9573</v>
      </c>
      <c r="D31" s="516">
        <v>-9923</v>
      </c>
      <c r="E31" s="516">
        <v>-9259</v>
      </c>
      <c r="F31" s="516">
        <v>-9925</v>
      </c>
      <c r="G31" s="516">
        <v>-125</v>
      </c>
      <c r="H31" s="516">
        <v>-794</v>
      </c>
      <c r="I31" s="516">
        <v>-6438</v>
      </c>
      <c r="J31" s="516">
        <v>-9053.3149999999987</v>
      </c>
      <c r="K31" s="516">
        <v>-563.75500000000011</v>
      </c>
      <c r="L31" s="516">
        <v>-696.75500000000011</v>
      </c>
      <c r="M31" s="516"/>
      <c r="N31" s="516"/>
      <c r="O31" s="516"/>
      <c r="P31" s="516"/>
      <c r="Q31" s="516"/>
      <c r="R31" s="516"/>
      <c r="T31" s="516">
        <f t="shared" si="10"/>
        <v>-563.75500000000011</v>
      </c>
      <c r="U31" s="516">
        <f t="shared" si="11"/>
        <v>-133</v>
      </c>
    </row>
    <row r="32" spans="1:21" outlineLevel="1">
      <c r="A32" s="511" t="s">
        <v>486</v>
      </c>
      <c r="C32" s="516">
        <v>0</v>
      </c>
      <c r="D32" s="516">
        <v>0</v>
      </c>
      <c r="E32" s="516">
        <v>0</v>
      </c>
      <c r="F32" s="516">
        <v>0</v>
      </c>
      <c r="G32" s="516">
        <v>0</v>
      </c>
      <c r="H32" s="516">
        <v>0</v>
      </c>
      <c r="I32" s="516">
        <v>0</v>
      </c>
      <c r="J32" s="516">
        <v>0</v>
      </c>
      <c r="K32" s="516">
        <v>0</v>
      </c>
      <c r="L32" s="516">
        <v>0</v>
      </c>
      <c r="M32" s="516"/>
      <c r="N32" s="516"/>
      <c r="O32" s="516"/>
      <c r="P32" s="516"/>
      <c r="Q32" s="516"/>
      <c r="R32" s="516"/>
      <c r="T32" s="516">
        <f t="shared" si="10"/>
        <v>0</v>
      </c>
      <c r="U32" s="516">
        <f t="shared" si="11"/>
        <v>0</v>
      </c>
    </row>
    <row r="33" spans="1:21" outlineLevel="1">
      <c r="A33" s="511" t="s">
        <v>487</v>
      </c>
      <c r="C33" s="516">
        <v>-2572</v>
      </c>
      <c r="D33" s="516">
        <v>-5090</v>
      </c>
      <c r="E33" s="516">
        <v>-7894</v>
      </c>
      <c r="F33" s="516">
        <v>-10741</v>
      </c>
      <c r="G33" s="516">
        <v>-2808</v>
      </c>
      <c r="H33" s="516">
        <v>-5703</v>
      </c>
      <c r="I33" s="516">
        <v>-8629</v>
      </c>
      <c r="J33" s="516">
        <v>-11689</v>
      </c>
      <c r="K33" s="516">
        <v>-2995</v>
      </c>
      <c r="L33" s="516">
        <v>-5998</v>
      </c>
      <c r="M33" s="516"/>
      <c r="N33" s="516"/>
      <c r="O33" s="516"/>
      <c r="P33" s="516"/>
      <c r="Q33" s="516"/>
      <c r="R33" s="516"/>
      <c r="T33" s="516">
        <f t="shared" si="10"/>
        <v>-2995</v>
      </c>
      <c r="U33" s="516">
        <f t="shared" si="11"/>
        <v>-3003</v>
      </c>
    </row>
    <row r="34" spans="1:21" outlineLevel="1">
      <c r="A34" s="511" t="s">
        <v>488</v>
      </c>
      <c r="C34" s="516">
        <v>-886</v>
      </c>
      <c r="D34" s="516">
        <v>-1773</v>
      </c>
      <c r="E34" s="516">
        <v>-3060</v>
      </c>
      <c r="F34" s="516">
        <v>-4494</v>
      </c>
      <c r="G34" s="516">
        <v>-1434</v>
      </c>
      <c r="H34" s="516">
        <v>-2868</v>
      </c>
      <c r="I34" s="516">
        <v>-4103</v>
      </c>
      <c r="J34" s="516">
        <v>-5179</v>
      </c>
      <c r="K34" s="516">
        <v>-1218</v>
      </c>
      <c r="L34" s="516">
        <v>-2349</v>
      </c>
      <c r="M34" s="516"/>
      <c r="N34" s="516"/>
      <c r="O34" s="516"/>
      <c r="P34" s="516"/>
      <c r="Q34" s="516"/>
      <c r="R34" s="516"/>
      <c r="T34" s="516">
        <f t="shared" si="10"/>
        <v>-1218</v>
      </c>
      <c r="U34" s="516">
        <f t="shared" si="11"/>
        <v>-1131</v>
      </c>
    </row>
    <row r="35" spans="1:21" outlineLevel="1">
      <c r="A35" s="511" t="s">
        <v>489</v>
      </c>
      <c r="C35" s="516">
        <v>0</v>
      </c>
      <c r="D35" s="516">
        <v>0</v>
      </c>
      <c r="E35" s="516">
        <v>0</v>
      </c>
      <c r="F35" s="516">
        <v>0</v>
      </c>
      <c r="G35" s="516">
        <v>0</v>
      </c>
      <c r="H35" s="516">
        <v>0</v>
      </c>
      <c r="I35" s="516">
        <v>0</v>
      </c>
      <c r="J35" s="516">
        <v>0</v>
      </c>
      <c r="K35" s="516">
        <v>0</v>
      </c>
      <c r="L35" s="516">
        <v>0</v>
      </c>
      <c r="M35" s="516"/>
      <c r="N35" s="516"/>
      <c r="O35" s="516"/>
      <c r="P35" s="516"/>
      <c r="Q35" s="516"/>
      <c r="R35" s="516"/>
      <c r="T35" s="516">
        <f t="shared" si="10"/>
        <v>0</v>
      </c>
      <c r="U35" s="516">
        <f t="shared" si="11"/>
        <v>0</v>
      </c>
    </row>
    <row r="36" spans="1:21" outlineLevel="1">
      <c r="A36" s="511" t="s">
        <v>490</v>
      </c>
      <c r="C36" s="516">
        <v>0</v>
      </c>
      <c r="D36" s="516">
        <v>0</v>
      </c>
      <c r="E36" s="516">
        <v>0</v>
      </c>
      <c r="F36" s="516">
        <v>0</v>
      </c>
      <c r="G36" s="516">
        <v>0</v>
      </c>
      <c r="H36" s="516">
        <v>0</v>
      </c>
      <c r="I36" s="516">
        <v>-4</v>
      </c>
      <c r="J36" s="516">
        <v>-4</v>
      </c>
      <c r="K36" s="516">
        <v>0</v>
      </c>
      <c r="L36" s="516">
        <v>0</v>
      </c>
      <c r="M36" s="516"/>
      <c r="N36" s="516"/>
      <c r="O36" s="516"/>
      <c r="P36" s="516"/>
      <c r="Q36" s="516"/>
      <c r="R36" s="516"/>
      <c r="T36" s="516">
        <f t="shared" si="10"/>
        <v>0</v>
      </c>
      <c r="U36" s="516">
        <f t="shared" si="11"/>
        <v>0</v>
      </c>
    </row>
    <row r="37" spans="1:21" outlineLevel="1">
      <c r="A37" s="511" t="s">
        <v>59</v>
      </c>
      <c r="C37" s="516">
        <v>0</v>
      </c>
      <c r="D37" s="516">
        <v>0</v>
      </c>
      <c r="E37" s="516">
        <v>0</v>
      </c>
      <c r="F37" s="516">
        <v>0</v>
      </c>
      <c r="G37" s="516">
        <v>0</v>
      </c>
      <c r="H37" s="516">
        <v>0</v>
      </c>
      <c r="I37" s="516">
        <v>0</v>
      </c>
      <c r="J37" s="516">
        <v>0</v>
      </c>
      <c r="K37" s="516">
        <v>0</v>
      </c>
      <c r="L37" s="516">
        <v>0</v>
      </c>
      <c r="M37" s="516"/>
      <c r="N37" s="516"/>
      <c r="O37" s="516"/>
      <c r="P37" s="516"/>
      <c r="Q37" s="516"/>
      <c r="R37" s="516"/>
      <c r="T37" s="516">
        <f t="shared" si="10"/>
        <v>0</v>
      </c>
      <c r="U37" s="516">
        <f t="shared" si="11"/>
        <v>0</v>
      </c>
    </row>
    <row r="38" spans="1:21">
      <c r="A38" s="510"/>
      <c r="C38" s="510"/>
      <c r="D38" s="510"/>
      <c r="E38" s="510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P38" s="510"/>
      <c r="Q38" s="510"/>
      <c r="R38" s="510"/>
      <c r="T38" s="510"/>
      <c r="U38" s="510"/>
    </row>
    <row r="39" spans="1:21">
      <c r="A39" s="522" t="s">
        <v>491</v>
      </c>
      <c r="C39" s="513">
        <f t="shared" ref="C39:H39" si="12">C27+C6</f>
        <v>444591</v>
      </c>
      <c r="D39" s="513">
        <f t="shared" si="12"/>
        <v>786181</v>
      </c>
      <c r="E39" s="513">
        <f t="shared" si="12"/>
        <v>1070296</v>
      </c>
      <c r="F39" s="513">
        <f t="shared" si="12"/>
        <v>1398684</v>
      </c>
      <c r="G39" s="513">
        <f t="shared" si="12"/>
        <v>335618</v>
      </c>
      <c r="H39" s="513">
        <f t="shared" si="12"/>
        <v>690326</v>
      </c>
      <c r="I39" s="513">
        <f>I27+I6</f>
        <v>1100599</v>
      </c>
      <c r="J39" s="513">
        <f>J27+J6</f>
        <v>1468001</v>
      </c>
      <c r="K39" s="513">
        <f>K27+K6</f>
        <v>348851</v>
      </c>
      <c r="L39" s="513">
        <f>L27+L6</f>
        <v>691846</v>
      </c>
      <c r="M39" s="513"/>
      <c r="N39" s="513"/>
      <c r="O39" s="513"/>
      <c r="P39" s="513"/>
      <c r="Q39" s="513"/>
      <c r="R39" s="513"/>
      <c r="T39" s="513">
        <f>T27+T6</f>
        <v>348851</v>
      </c>
      <c r="U39" s="513">
        <f>U27+U6</f>
        <v>342995</v>
      </c>
    </row>
    <row r="40" spans="1:21">
      <c r="A40" s="510"/>
      <c r="C40" s="510"/>
      <c r="D40" s="510"/>
      <c r="E40" s="510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P40" s="510"/>
      <c r="Q40" s="510"/>
      <c r="R40" s="510"/>
      <c r="T40" s="510"/>
      <c r="U40" s="510"/>
    </row>
    <row r="41" spans="1:21">
      <c r="A41" s="509" t="s">
        <v>492</v>
      </c>
      <c r="C41" s="517">
        <f t="shared" ref="C41:H41" si="13">SUM(C43:C48)</f>
        <v>-94816</v>
      </c>
      <c r="D41" s="517">
        <f t="shared" si="13"/>
        <v>-135883</v>
      </c>
      <c r="E41" s="517">
        <f t="shared" si="13"/>
        <v>-109387</v>
      </c>
      <c r="F41" s="517">
        <f t="shared" si="13"/>
        <v>-131356</v>
      </c>
      <c r="G41" s="517">
        <f t="shared" si="13"/>
        <v>-12649</v>
      </c>
      <c r="H41" s="517">
        <f t="shared" si="13"/>
        <v>-37844</v>
      </c>
      <c r="I41" s="517">
        <f>SUM(I43:I48)</f>
        <v>-109778</v>
      </c>
      <c r="J41" s="517">
        <f>SUM(J43:J48)</f>
        <v>-147925</v>
      </c>
      <c r="K41" s="517">
        <f>SUM(K43:K48)</f>
        <v>-19657</v>
      </c>
      <c r="L41" s="517">
        <f>SUM(L43:L48)</f>
        <v>-33682</v>
      </c>
      <c r="M41" s="517"/>
      <c r="N41" s="517"/>
      <c r="O41" s="517"/>
      <c r="P41" s="517"/>
      <c r="Q41" s="517"/>
      <c r="R41" s="517"/>
      <c r="T41" s="517">
        <f>SUM(T43:T48)</f>
        <v>-19657</v>
      </c>
      <c r="U41" s="517">
        <f>SUM(U43:U48)</f>
        <v>-14025</v>
      </c>
    </row>
    <row r="42" spans="1:21">
      <c r="A42" s="509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T42" s="514"/>
      <c r="U42" s="514"/>
    </row>
    <row r="43" spans="1:21">
      <c r="A43" s="510" t="s">
        <v>493</v>
      </c>
      <c r="C43" s="515">
        <v>0</v>
      </c>
      <c r="D43" s="515">
        <v>0</v>
      </c>
      <c r="E43" s="515">
        <v>0</v>
      </c>
      <c r="F43" s="515">
        <v>0</v>
      </c>
      <c r="G43" s="515">
        <v>0</v>
      </c>
      <c r="H43" s="515">
        <v>0</v>
      </c>
      <c r="I43" s="515">
        <v>0</v>
      </c>
      <c r="J43" s="515">
        <v>0</v>
      </c>
      <c r="K43" s="515">
        <v>0</v>
      </c>
      <c r="L43" s="515">
        <v>0</v>
      </c>
      <c r="M43" s="515"/>
      <c r="N43" s="515"/>
      <c r="O43" s="515"/>
      <c r="P43" s="515"/>
      <c r="Q43" s="515"/>
      <c r="R43" s="515"/>
      <c r="T43" s="515">
        <f t="shared" ref="T43:T47" si="14">K43</f>
        <v>0</v>
      </c>
      <c r="U43" s="515">
        <f t="shared" ref="U43:U47" si="15">L43-T43</f>
        <v>0</v>
      </c>
    </row>
    <row r="44" spans="1:21">
      <c r="A44" s="510" t="s">
        <v>494</v>
      </c>
      <c r="C44" s="515">
        <v>-5465</v>
      </c>
      <c r="D44" s="515">
        <v>-5465</v>
      </c>
      <c r="E44" s="515">
        <v>-5465</v>
      </c>
      <c r="F44" s="515">
        <v>-5465</v>
      </c>
      <c r="G44" s="515">
        <v>-904</v>
      </c>
      <c r="H44" s="515">
        <v>-5725</v>
      </c>
      <c r="I44" s="515">
        <v>-46316</v>
      </c>
      <c r="J44" s="515">
        <v>-102429.35823</v>
      </c>
      <c r="K44" s="515">
        <v>-3994</v>
      </c>
      <c r="L44" s="515">
        <v>-4928</v>
      </c>
      <c r="M44" s="515"/>
      <c r="N44" s="515"/>
      <c r="O44" s="515"/>
      <c r="P44" s="515"/>
      <c r="Q44" s="515"/>
      <c r="R44" s="515"/>
      <c r="T44" s="515">
        <f t="shared" si="14"/>
        <v>-3994</v>
      </c>
      <c r="U44" s="515">
        <f t="shared" si="15"/>
        <v>-934</v>
      </c>
    </row>
    <row r="45" spans="1:21">
      <c r="A45" s="510" t="s">
        <v>495</v>
      </c>
      <c r="C45" s="515">
        <v>-87083</v>
      </c>
      <c r="D45" s="515">
        <v>-112430</v>
      </c>
      <c r="E45" s="515">
        <v>-70154</v>
      </c>
      <c r="F45" s="515">
        <v>-70154</v>
      </c>
      <c r="G45" s="515">
        <v>0</v>
      </c>
      <c r="H45" s="515">
        <v>0</v>
      </c>
      <c r="I45" s="515">
        <v>0</v>
      </c>
      <c r="J45" s="515">
        <v>0</v>
      </c>
      <c r="K45" s="515">
        <v>0</v>
      </c>
      <c r="L45" s="515">
        <v>0</v>
      </c>
      <c r="M45" s="515"/>
      <c r="N45" s="515"/>
      <c r="O45" s="515"/>
      <c r="P45" s="515"/>
      <c r="Q45" s="515"/>
      <c r="R45" s="515"/>
      <c r="T45" s="515">
        <f t="shared" si="14"/>
        <v>0</v>
      </c>
      <c r="U45" s="515">
        <f t="shared" si="15"/>
        <v>0</v>
      </c>
    </row>
    <row r="46" spans="1:21">
      <c r="A46" s="510" t="s">
        <v>496</v>
      </c>
      <c r="C46" s="515">
        <v>8057</v>
      </c>
      <c r="D46" s="515">
        <v>10399</v>
      </c>
      <c r="E46" s="515">
        <v>6490</v>
      </c>
      <c r="F46" s="515">
        <v>6490</v>
      </c>
      <c r="G46" s="515">
        <v>0</v>
      </c>
      <c r="H46" s="515">
        <v>0</v>
      </c>
      <c r="I46" s="515">
        <v>0</v>
      </c>
      <c r="J46" s="515">
        <v>0</v>
      </c>
      <c r="K46" s="515">
        <v>0</v>
      </c>
      <c r="L46" s="515">
        <v>0</v>
      </c>
      <c r="M46" s="515"/>
      <c r="N46" s="515"/>
      <c r="O46" s="515"/>
      <c r="P46" s="515"/>
      <c r="Q46" s="515"/>
      <c r="R46" s="515"/>
      <c r="T46" s="515">
        <f t="shared" si="14"/>
        <v>0</v>
      </c>
      <c r="U46" s="515">
        <f t="shared" si="15"/>
        <v>0</v>
      </c>
    </row>
    <row r="47" spans="1:21">
      <c r="A47" s="510" t="s">
        <v>497</v>
      </c>
      <c r="C47" s="515">
        <v>0</v>
      </c>
      <c r="D47" s="515">
        <v>0</v>
      </c>
      <c r="E47" s="515">
        <v>0</v>
      </c>
      <c r="F47" s="515">
        <v>0</v>
      </c>
      <c r="G47" s="515">
        <v>0</v>
      </c>
      <c r="H47" s="515">
        <v>0</v>
      </c>
      <c r="I47" s="515">
        <v>0</v>
      </c>
      <c r="J47" s="515">
        <v>0</v>
      </c>
      <c r="K47" s="515">
        <v>0</v>
      </c>
      <c r="L47" s="515">
        <v>0</v>
      </c>
      <c r="M47" s="515"/>
      <c r="N47" s="515"/>
      <c r="O47" s="515"/>
      <c r="P47" s="515"/>
      <c r="Q47" s="515"/>
      <c r="R47" s="515"/>
      <c r="T47" s="515">
        <f t="shared" si="14"/>
        <v>0</v>
      </c>
      <c r="U47" s="515">
        <f t="shared" si="15"/>
        <v>0</v>
      </c>
    </row>
    <row r="48" spans="1:21">
      <c r="A48" s="510" t="s">
        <v>498</v>
      </c>
      <c r="C48" s="515">
        <f t="shared" ref="C48:H48" si="16">SUM(C49:C55)</f>
        <v>-10325</v>
      </c>
      <c r="D48" s="515">
        <f t="shared" si="16"/>
        <v>-28387</v>
      </c>
      <c r="E48" s="515">
        <f t="shared" si="16"/>
        <v>-40258</v>
      </c>
      <c r="F48" s="515">
        <f t="shared" si="16"/>
        <v>-62227</v>
      </c>
      <c r="G48" s="515">
        <f t="shared" si="16"/>
        <v>-11745</v>
      </c>
      <c r="H48" s="515">
        <f t="shared" si="16"/>
        <v>-32119</v>
      </c>
      <c r="I48" s="515">
        <f>SUM(I49:I55)</f>
        <v>-63462</v>
      </c>
      <c r="J48" s="515">
        <f>SUM(J49:J55)</f>
        <v>-45495.641770000002</v>
      </c>
      <c r="K48" s="515">
        <f>SUM(K49:K55)</f>
        <v>-15663</v>
      </c>
      <c r="L48" s="515">
        <f>SUM(L49:L55)</f>
        <v>-28754</v>
      </c>
      <c r="M48" s="515"/>
      <c r="N48" s="515"/>
      <c r="O48" s="515"/>
      <c r="P48" s="515"/>
      <c r="Q48" s="515"/>
      <c r="R48" s="515"/>
      <c r="T48" s="515">
        <f>SUM(T49:T55)</f>
        <v>-15663</v>
      </c>
      <c r="U48" s="515">
        <f>SUM(U49:U55)</f>
        <v>-13091</v>
      </c>
    </row>
    <row r="49" spans="1:21" outlineLevel="1">
      <c r="A49" s="511" t="s">
        <v>499</v>
      </c>
      <c r="C49" s="516">
        <v>-6617</v>
      </c>
      <c r="D49" s="516">
        <v>-13434</v>
      </c>
      <c r="E49" s="516">
        <v>-16087</v>
      </c>
      <c r="F49" s="516">
        <v>-17725</v>
      </c>
      <c r="G49" s="516">
        <v>-1198</v>
      </c>
      <c r="H49" s="516">
        <v>-5743</v>
      </c>
      <c r="I49" s="516">
        <v>-13215</v>
      </c>
      <c r="J49" s="516">
        <v>-18304</v>
      </c>
      <c r="K49" s="516">
        <v>-5795</v>
      </c>
      <c r="L49" s="516">
        <v>-11824</v>
      </c>
      <c r="M49" s="516"/>
      <c r="N49" s="516"/>
      <c r="O49" s="516"/>
      <c r="P49" s="516"/>
      <c r="Q49" s="516"/>
      <c r="R49" s="516"/>
      <c r="T49" s="516">
        <f t="shared" ref="T49:T55" si="17">K49</f>
        <v>-5795</v>
      </c>
      <c r="U49" s="516">
        <f t="shared" ref="U49:U55" si="18">L49-T49</f>
        <v>-6029</v>
      </c>
    </row>
    <row r="50" spans="1:21" outlineLevel="1">
      <c r="A50" s="511" t="s">
        <v>500</v>
      </c>
      <c r="C50" s="516">
        <v>-227</v>
      </c>
      <c r="D50" s="516">
        <v>-867</v>
      </c>
      <c r="E50" s="516">
        <v>-1218</v>
      </c>
      <c r="F50" s="516">
        <v>-1940</v>
      </c>
      <c r="G50" s="516">
        <v>-811</v>
      </c>
      <c r="H50" s="516">
        <v>-1522</v>
      </c>
      <c r="I50" s="516">
        <v>-1751</v>
      </c>
      <c r="J50" s="516">
        <v>-2039</v>
      </c>
      <c r="K50" s="516">
        <v>-298</v>
      </c>
      <c r="L50" s="516">
        <v>-353</v>
      </c>
      <c r="M50" s="516"/>
      <c r="N50" s="516"/>
      <c r="O50" s="516"/>
      <c r="P50" s="516"/>
      <c r="Q50" s="516"/>
      <c r="R50" s="516"/>
      <c r="T50" s="516">
        <f t="shared" si="17"/>
        <v>-298</v>
      </c>
      <c r="U50" s="516">
        <f t="shared" si="18"/>
        <v>-55</v>
      </c>
    </row>
    <row r="51" spans="1:21" outlineLevel="1">
      <c r="A51" s="511" t="s">
        <v>501</v>
      </c>
      <c r="C51" s="516">
        <v>-2648</v>
      </c>
      <c r="D51" s="516">
        <v>-13716</v>
      </c>
      <c r="E51" s="516">
        <v>-22297</v>
      </c>
      <c r="F51" s="516">
        <v>-41113</v>
      </c>
      <c r="G51" s="516">
        <v>-9565</v>
      </c>
      <c r="H51" s="516">
        <v>-24541</v>
      </c>
      <c r="I51" s="516">
        <v>-48085</v>
      </c>
      <c r="J51" s="516">
        <v>-24525.641770000002</v>
      </c>
      <c r="K51" s="516">
        <v>-9452</v>
      </c>
      <c r="L51" s="516">
        <v>-15989</v>
      </c>
      <c r="M51" s="516"/>
      <c r="N51" s="516"/>
      <c r="O51" s="516"/>
      <c r="P51" s="516"/>
      <c r="Q51" s="516"/>
      <c r="R51" s="516"/>
      <c r="T51" s="516">
        <f t="shared" si="17"/>
        <v>-9452</v>
      </c>
      <c r="U51" s="516">
        <f t="shared" si="18"/>
        <v>-6537</v>
      </c>
    </row>
    <row r="52" spans="1:21" outlineLevel="1">
      <c r="A52" s="511" t="s">
        <v>502</v>
      </c>
      <c r="C52" s="516">
        <v>-54</v>
      </c>
      <c r="D52" s="516">
        <v>-92</v>
      </c>
      <c r="E52" s="516">
        <v>-160</v>
      </c>
      <c r="F52" s="516">
        <v>-229</v>
      </c>
      <c r="G52" s="516">
        <v>-69</v>
      </c>
      <c r="H52" s="516">
        <v>-138</v>
      </c>
      <c r="I52" s="516">
        <v>-203</v>
      </c>
      <c r="J52" s="516">
        <v>-257</v>
      </c>
      <c r="K52" s="516">
        <v>-65</v>
      </c>
      <c r="L52" s="516">
        <v>-128</v>
      </c>
      <c r="M52" s="516"/>
      <c r="N52" s="516"/>
      <c r="O52" s="516"/>
      <c r="P52" s="516"/>
      <c r="Q52" s="516"/>
      <c r="R52" s="516"/>
      <c r="T52" s="516">
        <f t="shared" si="17"/>
        <v>-65</v>
      </c>
      <c r="U52" s="516">
        <f t="shared" si="18"/>
        <v>-63</v>
      </c>
    </row>
    <row r="53" spans="1:21" outlineLevel="1">
      <c r="A53" s="511" t="s">
        <v>503</v>
      </c>
      <c r="C53" s="516">
        <v>0</v>
      </c>
      <c r="D53" s="516">
        <v>0</v>
      </c>
      <c r="E53" s="516">
        <v>0</v>
      </c>
      <c r="F53" s="516">
        <v>0</v>
      </c>
      <c r="G53" s="516">
        <v>0</v>
      </c>
      <c r="H53" s="516">
        <v>0</v>
      </c>
      <c r="I53" s="516">
        <v>0</v>
      </c>
      <c r="J53" s="516">
        <v>0</v>
      </c>
      <c r="K53" s="516">
        <v>0</v>
      </c>
      <c r="L53" s="516">
        <v>0</v>
      </c>
      <c r="M53" s="516"/>
      <c r="N53" s="516"/>
      <c r="O53" s="516"/>
      <c r="P53" s="516"/>
      <c r="Q53" s="516"/>
      <c r="R53" s="516"/>
      <c r="T53" s="516">
        <f t="shared" si="17"/>
        <v>0</v>
      </c>
      <c r="U53" s="516">
        <f t="shared" si="18"/>
        <v>0</v>
      </c>
    </row>
    <row r="54" spans="1:21" outlineLevel="1">
      <c r="A54" s="511" t="s">
        <v>504</v>
      </c>
      <c r="C54" s="516">
        <v>-715</v>
      </c>
      <c r="D54" s="516">
        <v>-168</v>
      </c>
      <c r="E54" s="516">
        <v>-496</v>
      </c>
      <c r="F54" s="516">
        <v>-554</v>
      </c>
      <c r="G54" s="516">
        <v>-102</v>
      </c>
      <c r="H54" s="516">
        <v>-175</v>
      </c>
      <c r="I54" s="516">
        <v>-206</v>
      </c>
      <c r="J54" s="516">
        <v>-332</v>
      </c>
      <c r="K54" s="516">
        <v>-40</v>
      </c>
      <c r="L54" s="516">
        <v>-105</v>
      </c>
      <c r="M54" s="516"/>
      <c r="N54" s="516"/>
      <c r="O54" s="516"/>
      <c r="P54" s="516"/>
      <c r="Q54" s="516"/>
      <c r="R54" s="516"/>
      <c r="T54" s="516">
        <f t="shared" si="17"/>
        <v>-40</v>
      </c>
      <c r="U54" s="516">
        <f t="shared" si="18"/>
        <v>-65</v>
      </c>
    </row>
    <row r="55" spans="1:21" outlineLevel="1">
      <c r="A55" s="511" t="s">
        <v>505</v>
      </c>
      <c r="C55" s="516">
        <v>-64</v>
      </c>
      <c r="D55" s="516">
        <v>-110</v>
      </c>
      <c r="E55" s="516">
        <v>0</v>
      </c>
      <c r="F55" s="516">
        <v>-666</v>
      </c>
      <c r="G55" s="516">
        <v>0</v>
      </c>
      <c r="H55" s="516">
        <v>0</v>
      </c>
      <c r="I55" s="516">
        <v>-2</v>
      </c>
      <c r="J55" s="516">
        <v>-38</v>
      </c>
      <c r="K55" s="516">
        <v>-13</v>
      </c>
      <c r="L55" s="516">
        <v>-355</v>
      </c>
      <c r="M55" s="516"/>
      <c r="N55" s="516"/>
      <c r="O55" s="516"/>
      <c r="P55" s="516"/>
      <c r="Q55" s="516"/>
      <c r="R55" s="516"/>
      <c r="T55" s="516">
        <f t="shared" si="17"/>
        <v>-13</v>
      </c>
      <c r="U55" s="516">
        <f t="shared" si="18"/>
        <v>-342</v>
      </c>
    </row>
    <row r="56" spans="1:21">
      <c r="A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0"/>
      <c r="T56" s="510"/>
      <c r="U56" s="510"/>
    </row>
    <row r="57" spans="1:21">
      <c r="A57" s="522" t="s">
        <v>506</v>
      </c>
      <c r="C57" s="513">
        <f t="shared" ref="C57:H57" si="19">C39+C41</f>
        <v>349775</v>
      </c>
      <c r="D57" s="513">
        <f t="shared" si="19"/>
        <v>650298</v>
      </c>
      <c r="E57" s="513">
        <f t="shared" si="19"/>
        <v>960909</v>
      </c>
      <c r="F57" s="513">
        <f t="shared" si="19"/>
        <v>1267328</v>
      </c>
      <c r="G57" s="513">
        <f t="shared" si="19"/>
        <v>322969</v>
      </c>
      <c r="H57" s="513">
        <f t="shared" si="19"/>
        <v>652482</v>
      </c>
      <c r="I57" s="513">
        <f>I39+I41</f>
        <v>990821</v>
      </c>
      <c r="J57" s="513">
        <f>J39+J41</f>
        <v>1320076</v>
      </c>
      <c r="K57" s="513">
        <f>K39+K41</f>
        <v>329194</v>
      </c>
      <c r="L57" s="513">
        <f>L39+L41</f>
        <v>658164</v>
      </c>
      <c r="M57" s="513"/>
      <c r="N57" s="513"/>
      <c r="O57" s="513"/>
      <c r="P57" s="513"/>
      <c r="Q57" s="513"/>
      <c r="R57" s="513"/>
      <c r="T57" s="513">
        <f>T39+T41</f>
        <v>329194</v>
      </c>
      <c r="U57" s="513">
        <f>U39+U41</f>
        <v>328970</v>
      </c>
    </row>
    <row r="58" spans="1:21">
      <c r="A58" s="510"/>
      <c r="C58" s="510"/>
      <c r="D58" s="510"/>
      <c r="E58" s="510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P58" s="510"/>
      <c r="Q58" s="510"/>
      <c r="R58" s="510"/>
      <c r="T58" s="510"/>
      <c r="U58" s="510"/>
    </row>
    <row r="59" spans="1:21">
      <c r="A59" s="509" t="s">
        <v>507</v>
      </c>
      <c r="C59" s="517">
        <f t="shared" ref="C59:H59" si="20">C61+C67+C68+C77+C78</f>
        <v>-1091</v>
      </c>
      <c r="D59" s="517">
        <f t="shared" si="20"/>
        <v>-3875</v>
      </c>
      <c r="E59" s="517">
        <f t="shared" si="20"/>
        <v>-10207</v>
      </c>
      <c r="F59" s="517">
        <f t="shared" si="20"/>
        <v>-10764</v>
      </c>
      <c r="G59" s="517">
        <f t="shared" si="20"/>
        <v>-1996</v>
      </c>
      <c r="H59" s="517">
        <f t="shared" si="20"/>
        <v>-3632</v>
      </c>
      <c r="I59" s="517">
        <f>I61+I67+I68+I77+I78</f>
        <v>-10442</v>
      </c>
      <c r="J59" s="517">
        <f>J61+J67+J68+J77+J78</f>
        <v>-15286</v>
      </c>
      <c r="K59" s="517">
        <f>K61+K67+K68+K77+K78</f>
        <v>-4908</v>
      </c>
      <c r="L59" s="517">
        <f>L61+L67+L68+L77+L78</f>
        <v>-8484</v>
      </c>
      <c r="M59" s="517"/>
      <c r="N59" s="517"/>
      <c r="O59" s="517"/>
      <c r="P59" s="517"/>
      <c r="Q59" s="517"/>
      <c r="R59" s="517"/>
      <c r="T59" s="517">
        <f>T61+T67+T68+T77+T78</f>
        <v>-4908</v>
      </c>
      <c r="U59" s="517">
        <f>U61+U67+U68+U77+U78</f>
        <v>-3576</v>
      </c>
    </row>
    <row r="60" spans="1:21">
      <c r="A60" s="509"/>
      <c r="C60" s="514"/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514"/>
      <c r="R60" s="514"/>
      <c r="T60" s="514"/>
      <c r="U60" s="514"/>
    </row>
    <row r="61" spans="1:21">
      <c r="A61" s="512" t="s">
        <v>508</v>
      </c>
      <c r="C61" s="515">
        <f t="shared" ref="C61:H61" si="21">SUM(C62:C66)</f>
        <v>0</v>
      </c>
      <c r="D61" s="515">
        <f t="shared" si="21"/>
        <v>0</v>
      </c>
      <c r="E61" s="515">
        <f t="shared" si="21"/>
        <v>0</v>
      </c>
      <c r="F61" s="515">
        <f t="shared" si="21"/>
        <v>0</v>
      </c>
      <c r="G61" s="515">
        <f t="shared" si="21"/>
        <v>0</v>
      </c>
      <c r="H61" s="515">
        <f t="shared" si="21"/>
        <v>0</v>
      </c>
      <c r="I61" s="515">
        <f>SUM(I62:I66)</f>
        <v>0</v>
      </c>
      <c r="J61" s="515">
        <f>SUM(J62:J66)</f>
        <v>0</v>
      </c>
      <c r="K61" s="515">
        <f t="shared" ref="K61:L61" si="22">SUM(K62:K66)</f>
        <v>0</v>
      </c>
      <c r="L61" s="515">
        <f t="shared" si="22"/>
        <v>0</v>
      </c>
      <c r="M61" s="515"/>
      <c r="N61" s="515"/>
      <c r="O61" s="515"/>
      <c r="P61" s="515"/>
      <c r="Q61" s="515"/>
      <c r="R61" s="515"/>
      <c r="T61" s="515">
        <f t="shared" ref="T61:U61" si="23">SUM(T62:T66)</f>
        <v>0</v>
      </c>
      <c r="U61" s="515">
        <f t="shared" si="23"/>
        <v>0</v>
      </c>
    </row>
    <row r="62" spans="1:21" outlineLevel="1">
      <c r="A62" s="511" t="s">
        <v>509</v>
      </c>
      <c r="C62" s="516">
        <v>0</v>
      </c>
      <c r="D62" s="516">
        <v>0</v>
      </c>
      <c r="E62" s="516">
        <v>0</v>
      </c>
      <c r="F62" s="516">
        <v>0</v>
      </c>
      <c r="G62" s="516">
        <v>0</v>
      </c>
      <c r="H62" s="516">
        <v>0</v>
      </c>
      <c r="I62" s="516">
        <v>0</v>
      </c>
      <c r="J62" s="516">
        <v>0</v>
      </c>
      <c r="K62" s="516">
        <v>0</v>
      </c>
      <c r="L62" s="516">
        <v>0</v>
      </c>
      <c r="M62" s="516"/>
      <c r="N62" s="516"/>
      <c r="O62" s="516"/>
      <c r="P62" s="516"/>
      <c r="Q62" s="516"/>
      <c r="R62" s="516"/>
      <c r="T62" s="516">
        <f t="shared" ref="T62:T67" si="24">K62</f>
        <v>0</v>
      </c>
      <c r="U62" s="516">
        <f t="shared" ref="U62:U67" si="25">L62-T62</f>
        <v>0</v>
      </c>
    </row>
    <row r="63" spans="1:21" outlineLevel="1">
      <c r="A63" s="511" t="s">
        <v>510</v>
      </c>
      <c r="C63" s="516">
        <v>0</v>
      </c>
      <c r="D63" s="516">
        <v>0</v>
      </c>
      <c r="E63" s="516">
        <v>0</v>
      </c>
      <c r="F63" s="516">
        <v>0</v>
      </c>
      <c r="G63" s="516">
        <v>0</v>
      </c>
      <c r="H63" s="516">
        <v>0</v>
      </c>
      <c r="I63" s="516">
        <v>0</v>
      </c>
      <c r="J63" s="516">
        <v>0</v>
      </c>
      <c r="K63" s="516">
        <v>0</v>
      </c>
      <c r="L63" s="516">
        <v>0</v>
      </c>
      <c r="M63" s="516"/>
      <c r="N63" s="516"/>
      <c r="O63" s="516"/>
      <c r="P63" s="516"/>
      <c r="Q63" s="516"/>
      <c r="R63" s="516"/>
      <c r="T63" s="516">
        <f t="shared" si="24"/>
        <v>0</v>
      </c>
      <c r="U63" s="516">
        <f t="shared" si="25"/>
        <v>0</v>
      </c>
    </row>
    <row r="64" spans="1:21" outlineLevel="1">
      <c r="A64" s="511" t="s">
        <v>511</v>
      </c>
      <c r="C64" s="516">
        <v>0</v>
      </c>
      <c r="D64" s="516">
        <v>0</v>
      </c>
      <c r="E64" s="516">
        <v>0</v>
      </c>
      <c r="F64" s="516">
        <v>0</v>
      </c>
      <c r="G64" s="516">
        <v>0</v>
      </c>
      <c r="H64" s="516">
        <v>0</v>
      </c>
      <c r="I64" s="516">
        <v>0</v>
      </c>
      <c r="J64" s="516">
        <v>0</v>
      </c>
      <c r="K64" s="516">
        <v>0</v>
      </c>
      <c r="L64" s="516">
        <v>0</v>
      </c>
      <c r="M64" s="516"/>
      <c r="N64" s="516"/>
      <c r="O64" s="516"/>
      <c r="P64" s="516"/>
      <c r="Q64" s="516"/>
      <c r="R64" s="516"/>
      <c r="T64" s="516">
        <f t="shared" si="24"/>
        <v>0</v>
      </c>
      <c r="U64" s="516">
        <f t="shared" si="25"/>
        <v>0</v>
      </c>
    </row>
    <row r="65" spans="1:21" outlineLevel="1">
      <c r="A65" s="511" t="s">
        <v>512</v>
      </c>
      <c r="C65" s="516">
        <v>0</v>
      </c>
      <c r="D65" s="516">
        <v>0</v>
      </c>
      <c r="E65" s="516">
        <v>0</v>
      </c>
      <c r="F65" s="516">
        <v>0</v>
      </c>
      <c r="G65" s="516">
        <v>0</v>
      </c>
      <c r="H65" s="516">
        <v>0</v>
      </c>
      <c r="I65" s="516">
        <v>0</v>
      </c>
      <c r="J65" s="516">
        <v>0</v>
      </c>
      <c r="K65" s="516">
        <v>0</v>
      </c>
      <c r="L65" s="516">
        <v>0</v>
      </c>
      <c r="M65" s="516"/>
      <c r="N65" s="516"/>
      <c r="O65" s="516"/>
      <c r="P65" s="516"/>
      <c r="Q65" s="516"/>
      <c r="R65" s="516"/>
      <c r="T65" s="516">
        <f t="shared" si="24"/>
        <v>0</v>
      </c>
      <c r="U65" s="516">
        <f t="shared" si="25"/>
        <v>0</v>
      </c>
    </row>
    <row r="66" spans="1:21" outlineLevel="1">
      <c r="A66" s="511" t="s">
        <v>513</v>
      </c>
      <c r="C66" s="516">
        <v>0</v>
      </c>
      <c r="D66" s="516">
        <v>0</v>
      </c>
      <c r="E66" s="516">
        <v>0</v>
      </c>
      <c r="F66" s="516">
        <v>0</v>
      </c>
      <c r="G66" s="516">
        <v>0</v>
      </c>
      <c r="H66" s="516">
        <v>0</v>
      </c>
      <c r="I66" s="516">
        <v>0</v>
      </c>
      <c r="J66" s="516">
        <v>0</v>
      </c>
      <c r="K66" s="516">
        <v>0</v>
      </c>
      <c r="L66" s="516">
        <v>0</v>
      </c>
      <c r="M66" s="516"/>
      <c r="N66" s="516"/>
      <c r="O66" s="516"/>
      <c r="P66" s="516"/>
      <c r="Q66" s="516"/>
      <c r="R66" s="516"/>
      <c r="T66" s="516">
        <f t="shared" si="24"/>
        <v>0</v>
      </c>
      <c r="U66" s="516">
        <f t="shared" si="25"/>
        <v>0</v>
      </c>
    </row>
    <row r="67" spans="1:21">
      <c r="A67" s="510" t="s">
        <v>514</v>
      </c>
      <c r="C67" s="518">
        <v>0</v>
      </c>
      <c r="D67" s="518">
        <v>0</v>
      </c>
      <c r="E67" s="518">
        <v>0</v>
      </c>
      <c r="F67" s="518">
        <v>0</v>
      </c>
      <c r="G67" s="518">
        <v>0</v>
      </c>
      <c r="H67" s="518">
        <v>0</v>
      </c>
      <c r="I67" s="518">
        <v>0</v>
      </c>
      <c r="J67" s="518"/>
      <c r="K67" s="518">
        <v>0</v>
      </c>
      <c r="L67" s="518">
        <v>0</v>
      </c>
      <c r="M67" s="518"/>
      <c r="N67" s="518"/>
      <c r="O67" s="518"/>
      <c r="P67" s="518"/>
      <c r="Q67" s="518"/>
      <c r="R67" s="518"/>
      <c r="T67" s="518">
        <f t="shared" si="24"/>
        <v>0</v>
      </c>
      <c r="U67" s="518">
        <f t="shared" si="25"/>
        <v>0</v>
      </c>
    </row>
    <row r="68" spans="1:21">
      <c r="A68" s="510" t="s">
        <v>515</v>
      </c>
      <c r="C68" s="515">
        <f t="shared" ref="C68:H68" si="26">SUM(C69:C76)</f>
        <v>-1091</v>
      </c>
      <c r="D68" s="515">
        <f t="shared" si="26"/>
        <v>-3875</v>
      </c>
      <c r="E68" s="515">
        <f t="shared" si="26"/>
        <v>-11583</v>
      </c>
      <c r="F68" s="515">
        <f t="shared" si="26"/>
        <v>-11714</v>
      </c>
      <c r="G68" s="515">
        <f t="shared" si="26"/>
        <v>-1980</v>
      </c>
      <c r="H68" s="515">
        <f t="shared" si="26"/>
        <v>-3590</v>
      </c>
      <c r="I68" s="515">
        <f>SUM(I69:I76)</f>
        <v>-10127</v>
      </c>
      <c r="J68" s="515">
        <f>SUM(J69:J76)</f>
        <v>-14843</v>
      </c>
      <c r="K68" s="515">
        <f>SUM(K69:K76)</f>
        <v>-4188</v>
      </c>
      <c r="L68" s="515">
        <f>SUM(L69:L76)</f>
        <v>-8267</v>
      </c>
      <c r="M68" s="515"/>
      <c r="N68" s="515"/>
      <c r="O68" s="515"/>
      <c r="P68" s="515"/>
      <c r="Q68" s="515"/>
      <c r="R68" s="515"/>
      <c r="T68" s="515">
        <f>SUM(T69:T76)</f>
        <v>-4188</v>
      </c>
      <c r="U68" s="515">
        <f>SUM(U69:U76)</f>
        <v>-4079</v>
      </c>
    </row>
    <row r="69" spans="1:21" outlineLevel="1">
      <c r="A69" s="511" t="s">
        <v>516</v>
      </c>
      <c r="C69" s="516">
        <v>0</v>
      </c>
      <c r="D69" s="516">
        <v>0</v>
      </c>
      <c r="E69" s="516">
        <v>-4371</v>
      </c>
      <c r="F69" s="516">
        <v>-4415</v>
      </c>
      <c r="G69" s="516">
        <v>-108</v>
      </c>
      <c r="H69" s="516">
        <v>-148</v>
      </c>
      <c r="I69" s="516">
        <v>-5740</v>
      </c>
      <c r="J69" s="516">
        <v>-7380</v>
      </c>
      <c r="K69" s="516">
        <v>-2629</v>
      </c>
      <c r="L69" s="516">
        <v>-4822</v>
      </c>
      <c r="M69" s="516"/>
      <c r="N69" s="516"/>
      <c r="O69" s="516"/>
      <c r="P69" s="516"/>
      <c r="Q69" s="516"/>
      <c r="R69" s="516"/>
      <c r="T69" s="516">
        <f t="shared" ref="T69:T77" si="27">K69</f>
        <v>-2629</v>
      </c>
      <c r="U69" s="516">
        <f t="shared" ref="U69:U77" si="28">L69-T69</f>
        <v>-2193</v>
      </c>
    </row>
    <row r="70" spans="1:21" outlineLevel="1">
      <c r="A70" s="511" t="s">
        <v>517</v>
      </c>
      <c r="C70" s="516">
        <v>-68</v>
      </c>
      <c r="D70" s="516">
        <v>-67</v>
      </c>
      <c r="E70" s="516">
        <v>-3</v>
      </c>
      <c r="F70" s="516">
        <v>-4</v>
      </c>
      <c r="G70" s="516">
        <v>-121</v>
      </c>
      <c r="H70" s="516">
        <v>0</v>
      </c>
      <c r="I70" s="516">
        <v>-18</v>
      </c>
      <c r="J70" s="516">
        <v>-19</v>
      </c>
      <c r="K70" s="516">
        <v>0</v>
      </c>
      <c r="L70" s="516">
        <v>0</v>
      </c>
      <c r="M70" s="516"/>
      <c r="N70" s="516"/>
      <c r="O70" s="516"/>
      <c r="P70" s="516"/>
      <c r="Q70" s="516"/>
      <c r="R70" s="516"/>
      <c r="T70" s="516">
        <f t="shared" si="27"/>
        <v>0</v>
      </c>
      <c r="U70" s="516">
        <f t="shared" si="28"/>
        <v>0</v>
      </c>
    </row>
    <row r="71" spans="1:21" outlineLevel="1">
      <c r="A71" s="511" t="s">
        <v>518</v>
      </c>
      <c r="C71" s="516">
        <v>-718</v>
      </c>
      <c r="D71" s="516">
        <v>-3065</v>
      </c>
      <c r="E71" s="516">
        <v>-6104</v>
      </c>
      <c r="F71" s="516">
        <v>-6796</v>
      </c>
      <c r="G71" s="516">
        <v>-1495</v>
      </c>
      <c r="H71" s="516">
        <v>-2869</v>
      </c>
      <c r="I71" s="516">
        <v>-4239</v>
      </c>
      <c r="J71" s="516">
        <v>-6336</v>
      </c>
      <c r="K71" s="516">
        <v>-1148</v>
      </c>
      <c r="L71" s="516">
        <v>-2937</v>
      </c>
      <c r="M71" s="516"/>
      <c r="N71" s="516"/>
      <c r="O71" s="516"/>
      <c r="P71" s="516"/>
      <c r="Q71" s="516"/>
      <c r="R71" s="516"/>
      <c r="T71" s="516">
        <f t="shared" si="27"/>
        <v>-1148</v>
      </c>
      <c r="U71" s="516">
        <f t="shared" si="28"/>
        <v>-1789</v>
      </c>
    </row>
    <row r="72" spans="1:21" outlineLevel="1">
      <c r="A72" s="511" t="s">
        <v>519</v>
      </c>
      <c r="C72" s="516">
        <v>-121</v>
      </c>
      <c r="D72" s="516">
        <v>-278</v>
      </c>
      <c r="E72" s="516">
        <v>-25</v>
      </c>
      <c r="F72" s="516">
        <v>-30</v>
      </c>
      <c r="G72" s="516">
        <v>-3</v>
      </c>
      <c r="H72" s="516">
        <v>0</v>
      </c>
      <c r="I72" s="516">
        <v>-33</v>
      </c>
      <c r="J72" s="516">
        <v>-45</v>
      </c>
      <c r="K72" s="516">
        <v>-11</v>
      </c>
      <c r="L72" s="516">
        <v>-19</v>
      </c>
      <c r="M72" s="516"/>
      <c r="N72" s="516"/>
      <c r="O72" s="516"/>
      <c r="P72" s="516"/>
      <c r="Q72" s="516"/>
      <c r="R72" s="516"/>
      <c r="T72" s="516">
        <f t="shared" si="27"/>
        <v>-11</v>
      </c>
      <c r="U72" s="516">
        <f t="shared" si="28"/>
        <v>-8</v>
      </c>
    </row>
    <row r="73" spans="1:21" outlineLevel="1">
      <c r="A73" s="511" t="s">
        <v>520</v>
      </c>
      <c r="C73" s="516">
        <v>-184</v>
      </c>
      <c r="D73" s="516">
        <v>-465</v>
      </c>
      <c r="E73" s="516">
        <v>-1080</v>
      </c>
      <c r="F73" s="516">
        <v>-469</v>
      </c>
      <c r="G73" s="516">
        <v>-253</v>
      </c>
      <c r="H73" s="516">
        <v>-573</v>
      </c>
      <c r="I73" s="516">
        <v>-97</v>
      </c>
      <c r="J73" s="516">
        <v>-1063</v>
      </c>
      <c r="K73" s="516">
        <v>-400</v>
      </c>
      <c r="L73" s="516">
        <v>-489</v>
      </c>
      <c r="M73" s="516"/>
      <c r="N73" s="516"/>
      <c r="O73" s="516"/>
      <c r="P73" s="516"/>
      <c r="Q73" s="516"/>
      <c r="R73" s="516"/>
      <c r="T73" s="516">
        <f t="shared" si="27"/>
        <v>-400</v>
      </c>
      <c r="U73" s="516">
        <f t="shared" si="28"/>
        <v>-89</v>
      </c>
    </row>
    <row r="74" spans="1:21" outlineLevel="1">
      <c r="A74" s="511" t="s">
        <v>521</v>
      </c>
      <c r="C74" s="516">
        <v>0</v>
      </c>
      <c r="D74" s="516">
        <v>0</v>
      </c>
      <c r="E74" s="516">
        <v>0</v>
      </c>
      <c r="F74" s="516">
        <v>0</v>
      </c>
      <c r="G74" s="516">
        <v>0</v>
      </c>
      <c r="H74" s="516">
        <v>0</v>
      </c>
      <c r="I74" s="516">
        <v>0</v>
      </c>
      <c r="J74" s="516">
        <v>0</v>
      </c>
      <c r="K74" s="516">
        <v>0</v>
      </c>
      <c r="L74" s="516">
        <v>0</v>
      </c>
      <c r="M74" s="516"/>
      <c r="N74" s="516"/>
      <c r="O74" s="516"/>
      <c r="P74" s="516"/>
      <c r="Q74" s="516"/>
      <c r="R74" s="516"/>
      <c r="T74" s="516">
        <f t="shared" si="27"/>
        <v>0</v>
      </c>
      <c r="U74" s="516">
        <f t="shared" si="28"/>
        <v>0</v>
      </c>
    </row>
    <row r="75" spans="1:21" outlineLevel="1">
      <c r="A75" s="511" t="s">
        <v>522</v>
      </c>
      <c r="C75" s="516">
        <v>0</v>
      </c>
      <c r="D75" s="516">
        <v>0</v>
      </c>
      <c r="E75" s="516">
        <v>0</v>
      </c>
      <c r="F75" s="516">
        <v>0</v>
      </c>
      <c r="G75" s="516">
        <v>0</v>
      </c>
      <c r="H75" s="516">
        <v>0</v>
      </c>
      <c r="I75" s="516">
        <v>0</v>
      </c>
      <c r="J75" s="516">
        <v>0</v>
      </c>
      <c r="K75" s="516">
        <v>0</v>
      </c>
      <c r="L75" s="516">
        <v>0</v>
      </c>
      <c r="M75" s="516"/>
      <c r="N75" s="516"/>
      <c r="O75" s="516"/>
      <c r="P75" s="516"/>
      <c r="Q75" s="516"/>
      <c r="R75" s="516"/>
      <c r="T75" s="516">
        <f t="shared" si="27"/>
        <v>0</v>
      </c>
      <c r="U75" s="516">
        <f t="shared" si="28"/>
        <v>0</v>
      </c>
    </row>
    <row r="76" spans="1:21" outlineLevel="1">
      <c r="A76" s="511" t="s">
        <v>523</v>
      </c>
      <c r="C76" s="516">
        <v>0</v>
      </c>
      <c r="D76" s="516">
        <v>0</v>
      </c>
      <c r="E76" s="516">
        <v>0</v>
      </c>
      <c r="F76" s="516">
        <v>0</v>
      </c>
      <c r="G76" s="516">
        <v>0</v>
      </c>
      <c r="H76" s="516">
        <v>0</v>
      </c>
      <c r="I76" s="516">
        <v>0</v>
      </c>
      <c r="J76" s="516">
        <v>0</v>
      </c>
      <c r="K76" s="516">
        <v>0</v>
      </c>
      <c r="L76" s="516">
        <v>0</v>
      </c>
      <c r="M76" s="516"/>
      <c r="N76" s="516"/>
      <c r="O76" s="516"/>
      <c r="P76" s="516"/>
      <c r="Q76" s="516"/>
      <c r="R76" s="516"/>
      <c r="T76" s="516">
        <f t="shared" si="27"/>
        <v>0</v>
      </c>
      <c r="U76" s="516">
        <f t="shared" si="28"/>
        <v>0</v>
      </c>
    </row>
    <row r="77" spans="1:21">
      <c r="A77" s="510" t="s">
        <v>524</v>
      </c>
      <c r="C77" s="515">
        <v>0</v>
      </c>
      <c r="D77" s="515">
        <v>0</v>
      </c>
      <c r="E77" s="515">
        <v>0</v>
      </c>
      <c r="F77" s="515">
        <v>0</v>
      </c>
      <c r="G77" s="515">
        <v>0</v>
      </c>
      <c r="H77" s="515">
        <v>0</v>
      </c>
      <c r="I77" s="515">
        <v>0</v>
      </c>
      <c r="J77" s="515"/>
      <c r="K77" s="515">
        <v>0</v>
      </c>
      <c r="L77" s="515">
        <v>0</v>
      </c>
      <c r="M77" s="515"/>
      <c r="N77" s="515"/>
      <c r="O77" s="515"/>
      <c r="P77" s="515"/>
      <c r="Q77" s="515"/>
      <c r="R77" s="515"/>
      <c r="T77" s="515">
        <f t="shared" si="27"/>
        <v>0</v>
      </c>
      <c r="U77" s="515">
        <f t="shared" si="28"/>
        <v>0</v>
      </c>
    </row>
    <row r="78" spans="1:21">
      <c r="A78" s="510" t="s">
        <v>525</v>
      </c>
      <c r="C78" s="515">
        <f t="shared" ref="C78:K78" si="29">SUM(C79:C81)</f>
        <v>0</v>
      </c>
      <c r="D78" s="515">
        <f t="shared" si="29"/>
        <v>0</v>
      </c>
      <c r="E78" s="515">
        <f t="shared" si="29"/>
        <v>1376</v>
      </c>
      <c r="F78" s="515">
        <f t="shared" si="29"/>
        <v>950</v>
      </c>
      <c r="G78" s="515">
        <f t="shared" si="29"/>
        <v>-16</v>
      </c>
      <c r="H78" s="515">
        <f t="shared" si="29"/>
        <v>-42</v>
      </c>
      <c r="I78" s="515">
        <f t="shared" si="29"/>
        <v>-315</v>
      </c>
      <c r="J78" s="515">
        <f t="shared" si="29"/>
        <v>-443</v>
      </c>
      <c r="K78" s="515">
        <f t="shared" si="29"/>
        <v>-720</v>
      </c>
      <c r="L78" s="515">
        <f>SUM(L79:L81)</f>
        <v>-217</v>
      </c>
      <c r="M78" s="515"/>
      <c r="N78" s="515"/>
      <c r="O78" s="515"/>
      <c r="P78" s="515"/>
      <c r="Q78" s="515"/>
      <c r="R78" s="515"/>
      <c r="T78" s="515">
        <f t="shared" ref="T78" si="30">SUM(T79:T81)</f>
        <v>-720</v>
      </c>
      <c r="U78" s="515">
        <f>SUM(U79:U81)</f>
        <v>503</v>
      </c>
    </row>
    <row r="79" spans="1:21" outlineLevel="1">
      <c r="A79" s="511" t="s">
        <v>526</v>
      </c>
      <c r="C79" s="516">
        <v>0</v>
      </c>
      <c r="D79" s="516">
        <v>0</v>
      </c>
      <c r="E79" s="516">
        <v>1376</v>
      </c>
      <c r="F79" s="516">
        <v>950</v>
      </c>
      <c r="G79" s="516">
        <v>-16</v>
      </c>
      <c r="H79" s="516">
        <v>-42</v>
      </c>
      <c r="I79" s="516">
        <v>-315</v>
      </c>
      <c r="J79" s="516">
        <v>-443</v>
      </c>
      <c r="K79" s="516">
        <v>-684</v>
      </c>
      <c r="L79" s="516">
        <v>-181</v>
      </c>
      <c r="M79" s="516"/>
      <c r="N79" s="516"/>
      <c r="O79" s="516"/>
      <c r="P79" s="516"/>
      <c r="Q79" s="516"/>
      <c r="R79" s="516"/>
      <c r="T79" s="516">
        <f t="shared" ref="T79:T80" si="31">K79</f>
        <v>-684</v>
      </c>
      <c r="U79" s="516">
        <f t="shared" ref="U79:U81" si="32">L79-T79</f>
        <v>503</v>
      </c>
    </row>
    <row r="80" spans="1:21" outlineLevel="1">
      <c r="A80" s="511" t="s">
        <v>527</v>
      </c>
      <c r="C80" s="516">
        <v>0</v>
      </c>
      <c r="D80" s="516">
        <v>0</v>
      </c>
      <c r="E80" s="516">
        <v>0</v>
      </c>
      <c r="F80" s="516">
        <v>0</v>
      </c>
      <c r="G80" s="516">
        <v>0</v>
      </c>
      <c r="H80" s="516">
        <v>0</v>
      </c>
      <c r="I80" s="516">
        <v>0</v>
      </c>
      <c r="J80" s="516">
        <v>0</v>
      </c>
      <c r="K80" s="516">
        <v>-36</v>
      </c>
      <c r="L80" s="516">
        <v>0</v>
      </c>
      <c r="M80" s="516"/>
      <c r="N80" s="516"/>
      <c r="O80" s="516"/>
      <c r="P80" s="516"/>
      <c r="Q80" s="516"/>
      <c r="R80" s="516"/>
      <c r="T80" s="516">
        <f t="shared" si="31"/>
        <v>-36</v>
      </c>
      <c r="U80" s="516">
        <f t="shared" si="32"/>
        <v>36</v>
      </c>
    </row>
    <row r="81" spans="1:21" outlineLevel="1">
      <c r="A81" s="511" t="s">
        <v>528</v>
      </c>
      <c r="C81" s="516"/>
      <c r="D81" s="516"/>
      <c r="E81" s="516"/>
      <c r="F81" s="516"/>
      <c r="G81" s="516"/>
      <c r="H81" s="516"/>
      <c r="I81" s="516"/>
      <c r="J81" s="516"/>
      <c r="K81" s="516"/>
      <c r="L81" s="516">
        <v>-36</v>
      </c>
      <c r="M81" s="516"/>
      <c r="N81" s="516"/>
      <c r="O81" s="516"/>
      <c r="P81" s="516"/>
      <c r="Q81" s="516"/>
      <c r="R81" s="516"/>
      <c r="T81" s="516"/>
      <c r="U81" s="516">
        <f t="shared" si="32"/>
        <v>-36</v>
      </c>
    </row>
    <row r="82" spans="1:21">
      <c r="A82" s="510"/>
      <c r="C82" s="510"/>
      <c r="D82" s="510"/>
      <c r="E82" s="510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0"/>
      <c r="T82" s="510"/>
      <c r="U82" s="510"/>
    </row>
    <row r="83" spans="1:21">
      <c r="A83" s="522" t="s">
        <v>529</v>
      </c>
      <c r="C83" s="513">
        <f t="shared" ref="C83:H83" si="33">C85-C75-C52-C76</f>
        <v>348738</v>
      </c>
      <c r="D83" s="513">
        <f t="shared" si="33"/>
        <v>646515</v>
      </c>
      <c r="E83" s="513">
        <f t="shared" si="33"/>
        <v>950862</v>
      </c>
      <c r="F83" s="513">
        <f t="shared" si="33"/>
        <v>1256793</v>
      </c>
      <c r="G83" s="513">
        <f t="shared" si="33"/>
        <v>321042</v>
      </c>
      <c r="H83" s="513">
        <f t="shared" si="33"/>
        <v>648988</v>
      </c>
      <c r="I83" s="513">
        <f>I85-I75-I52-I76</f>
        <v>980582</v>
      </c>
      <c r="J83" s="513">
        <f>J85-J75-J52-J76</f>
        <v>1305047</v>
      </c>
      <c r="K83" s="513">
        <f>K85-K75-K52-K76</f>
        <v>324351</v>
      </c>
      <c r="L83" s="513">
        <f>L85-L75-L52-L76</f>
        <v>649808</v>
      </c>
      <c r="M83" s="513"/>
      <c r="N83" s="513"/>
      <c r="O83" s="513"/>
      <c r="P83" s="513"/>
      <c r="Q83" s="513"/>
      <c r="R83" s="513"/>
      <c r="T83" s="513">
        <f>T85-T75-T52-T76</f>
        <v>324351</v>
      </c>
      <c r="U83" s="513">
        <f>U85-U75-U52-U76</f>
        <v>325457</v>
      </c>
    </row>
    <row r="84" spans="1:21">
      <c r="A84" s="510"/>
      <c r="C84" s="510"/>
      <c r="D84" s="510"/>
      <c r="E84" s="510"/>
      <c r="F84" s="510"/>
      <c r="G84" s="510"/>
      <c r="H84" s="510"/>
      <c r="I84" s="510"/>
      <c r="J84" s="510"/>
      <c r="K84" s="510"/>
      <c r="L84" s="510"/>
      <c r="M84" s="510"/>
      <c r="N84" s="510"/>
      <c r="O84" s="510"/>
      <c r="P84" s="510"/>
      <c r="Q84" s="510"/>
      <c r="R84" s="510"/>
      <c r="T84" s="510"/>
      <c r="U84" s="510"/>
    </row>
    <row r="85" spans="1:21">
      <c r="A85" s="522" t="s">
        <v>530</v>
      </c>
      <c r="C85" s="513">
        <f t="shared" ref="C85:H85" si="34">C57+C59</f>
        <v>348684</v>
      </c>
      <c r="D85" s="513">
        <f t="shared" si="34"/>
        <v>646423</v>
      </c>
      <c r="E85" s="513">
        <f t="shared" si="34"/>
        <v>950702</v>
      </c>
      <c r="F85" s="513">
        <f t="shared" si="34"/>
        <v>1256564</v>
      </c>
      <c r="G85" s="513">
        <f t="shared" si="34"/>
        <v>320973</v>
      </c>
      <c r="H85" s="513">
        <f t="shared" si="34"/>
        <v>648850</v>
      </c>
      <c r="I85" s="513">
        <f>I57+I59</f>
        <v>980379</v>
      </c>
      <c r="J85" s="513">
        <f>J57+J59</f>
        <v>1304790</v>
      </c>
      <c r="K85" s="513">
        <f>K57+K59</f>
        <v>324286</v>
      </c>
      <c r="L85" s="513">
        <f>L57+L59</f>
        <v>649680</v>
      </c>
      <c r="M85" s="513"/>
      <c r="N85" s="513"/>
      <c r="O85" s="513"/>
      <c r="P85" s="513"/>
      <c r="Q85" s="513"/>
      <c r="R85" s="513"/>
      <c r="T85" s="513">
        <f>T57+T59</f>
        <v>324286</v>
      </c>
      <c r="U85" s="513">
        <f>U57+U59</f>
        <v>325394</v>
      </c>
    </row>
    <row r="86" spans="1:21">
      <c r="A86" s="510"/>
      <c r="C86" s="510"/>
      <c r="D86" s="510"/>
      <c r="E86" s="510"/>
      <c r="F86" s="510"/>
      <c r="G86" s="510"/>
      <c r="H86" s="510"/>
      <c r="I86" s="510"/>
      <c r="J86" s="510"/>
      <c r="K86" s="510"/>
      <c r="L86" s="510"/>
      <c r="M86" s="510"/>
      <c r="N86" s="510"/>
      <c r="O86" s="510"/>
      <c r="P86" s="510"/>
      <c r="Q86" s="510"/>
      <c r="R86" s="510"/>
      <c r="T86" s="510"/>
      <c r="U86" s="510"/>
    </row>
    <row r="87" spans="1:21">
      <c r="A87" s="522" t="s">
        <v>531</v>
      </c>
      <c r="C87" s="513">
        <f t="shared" ref="C87:H87" si="35">C89+C98</f>
        <v>-138804</v>
      </c>
      <c r="D87" s="513">
        <f t="shared" si="35"/>
        <v>-327013</v>
      </c>
      <c r="E87" s="513">
        <f t="shared" si="35"/>
        <v>-342257</v>
      </c>
      <c r="F87" s="513">
        <f t="shared" si="35"/>
        <v>-397923</v>
      </c>
      <c r="G87" s="513">
        <f t="shared" si="35"/>
        <v>-117459</v>
      </c>
      <c r="H87" s="513">
        <f t="shared" si="35"/>
        <v>-219396</v>
      </c>
      <c r="I87" s="513">
        <f>I89+I98</f>
        <v>-264255</v>
      </c>
      <c r="J87" s="513">
        <f>J89+J98</f>
        <v>-327278</v>
      </c>
      <c r="K87" s="513">
        <f>K89+K98</f>
        <v>-98224</v>
      </c>
      <c r="L87" s="513">
        <f>L89+L98</f>
        <v>-172188</v>
      </c>
      <c r="M87" s="513"/>
      <c r="N87" s="513"/>
      <c r="O87" s="513"/>
      <c r="P87" s="513"/>
      <c r="Q87" s="513"/>
      <c r="R87" s="513"/>
      <c r="T87" s="513">
        <f>T89+T98</f>
        <v>-98224</v>
      </c>
      <c r="U87" s="513">
        <f>U89+U98</f>
        <v>-73964</v>
      </c>
    </row>
    <row r="88" spans="1:21">
      <c r="A88" s="509"/>
      <c r="C88" s="510"/>
      <c r="D88" s="510"/>
      <c r="E88" s="510"/>
      <c r="F88" s="510"/>
      <c r="G88" s="510"/>
      <c r="H88" s="510"/>
      <c r="I88" s="510"/>
      <c r="J88" s="510"/>
      <c r="K88" s="510"/>
      <c r="L88" s="510"/>
      <c r="M88" s="510"/>
      <c r="N88" s="510"/>
      <c r="O88" s="510"/>
      <c r="P88" s="510"/>
      <c r="Q88" s="510"/>
      <c r="R88" s="510"/>
      <c r="T88" s="510"/>
      <c r="U88" s="510"/>
    </row>
    <row r="89" spans="1:21">
      <c r="A89" s="510" t="s">
        <v>532</v>
      </c>
      <c r="C89" s="517">
        <f t="shared" ref="C89:H89" si="36">SUM(C90:C97)</f>
        <v>11726</v>
      </c>
      <c r="D89" s="517">
        <f t="shared" si="36"/>
        <v>30227</v>
      </c>
      <c r="E89" s="517">
        <f t="shared" si="36"/>
        <v>56201</v>
      </c>
      <c r="F89" s="517">
        <f t="shared" si="36"/>
        <v>80109</v>
      </c>
      <c r="G89" s="517">
        <f t="shared" si="36"/>
        <v>22867</v>
      </c>
      <c r="H89" s="517">
        <f t="shared" si="36"/>
        <v>54488</v>
      </c>
      <c r="I89" s="517">
        <f>SUM(I90:I97)</f>
        <v>78316</v>
      </c>
      <c r="J89" s="517">
        <f>SUM(J90:J97)</f>
        <v>101728</v>
      </c>
      <c r="K89" s="517">
        <f>SUM(K90:K97)</f>
        <v>22345</v>
      </c>
      <c r="L89" s="517">
        <f>SUM(L90:L97)</f>
        <v>47651</v>
      </c>
      <c r="M89" s="517"/>
      <c r="N89" s="517"/>
      <c r="O89" s="517"/>
      <c r="P89" s="517"/>
      <c r="Q89" s="517"/>
      <c r="R89" s="517"/>
      <c r="T89" s="517">
        <f>SUM(T90:T97)</f>
        <v>22345</v>
      </c>
      <c r="U89" s="517">
        <f>SUM(U90:U97)</f>
        <v>25306</v>
      </c>
    </row>
    <row r="90" spans="1:21" outlineLevel="1">
      <c r="A90" s="511" t="s">
        <v>533</v>
      </c>
      <c r="C90" s="516">
        <v>12297</v>
      </c>
      <c r="D90" s="516">
        <v>31662</v>
      </c>
      <c r="E90" s="516">
        <v>58904</v>
      </c>
      <c r="F90" s="516">
        <v>83945</v>
      </c>
      <c r="G90" s="516">
        <v>23977</v>
      </c>
      <c r="H90" s="516">
        <v>57135</v>
      </c>
      <c r="I90" s="516">
        <v>82116</v>
      </c>
      <c r="J90" s="516">
        <v>106658</v>
      </c>
      <c r="K90" s="516">
        <v>23417</v>
      </c>
      <c r="L90" s="516">
        <v>49867</v>
      </c>
      <c r="M90" s="516"/>
      <c r="N90" s="516"/>
      <c r="O90" s="516"/>
      <c r="P90" s="516"/>
      <c r="Q90" s="516"/>
      <c r="R90" s="516"/>
      <c r="T90" s="516">
        <f t="shared" ref="T90:T97" si="37">K90</f>
        <v>23417</v>
      </c>
      <c r="U90" s="516">
        <f t="shared" ref="U90:U97" si="38">L90-T90</f>
        <v>26450</v>
      </c>
    </row>
    <row r="91" spans="1:21" outlineLevel="1">
      <c r="A91" s="511" t="s">
        <v>534</v>
      </c>
      <c r="C91" s="516">
        <v>-572</v>
      </c>
      <c r="D91" s="516">
        <v>-1473</v>
      </c>
      <c r="E91" s="516">
        <v>-2741</v>
      </c>
      <c r="F91" s="516">
        <v>-3906</v>
      </c>
      <c r="G91" s="516">
        <v>-1116</v>
      </c>
      <c r="H91" s="516">
        <v>-2657</v>
      </c>
      <c r="I91" s="516">
        <v>-3818</v>
      </c>
      <c r="J91" s="516">
        <v>-4965</v>
      </c>
      <c r="K91" s="516">
        <v>-1087</v>
      </c>
      <c r="L91" s="516">
        <v>-2323</v>
      </c>
      <c r="M91" s="516"/>
      <c r="N91" s="516"/>
      <c r="O91" s="516"/>
      <c r="P91" s="516"/>
      <c r="Q91" s="516"/>
      <c r="R91" s="516"/>
      <c r="T91" s="516">
        <f t="shared" si="37"/>
        <v>-1087</v>
      </c>
      <c r="U91" s="516">
        <f t="shared" si="38"/>
        <v>-1236</v>
      </c>
    </row>
    <row r="92" spans="1:21" outlineLevel="1">
      <c r="A92" s="511" t="s">
        <v>535</v>
      </c>
      <c r="C92" s="516">
        <v>0</v>
      </c>
      <c r="D92" s="516">
        <v>0</v>
      </c>
      <c r="E92" s="516">
        <v>0</v>
      </c>
      <c r="F92" s="516">
        <v>0</v>
      </c>
      <c r="G92" s="516">
        <v>0</v>
      </c>
      <c r="H92" s="516">
        <v>0</v>
      </c>
      <c r="I92" s="516">
        <v>0</v>
      </c>
      <c r="J92" s="516">
        <v>0</v>
      </c>
      <c r="K92" s="516">
        <v>0</v>
      </c>
      <c r="L92" s="516">
        <v>0</v>
      </c>
      <c r="M92" s="516"/>
      <c r="N92" s="516"/>
      <c r="O92" s="516"/>
      <c r="P92" s="516"/>
      <c r="Q92" s="516"/>
      <c r="R92" s="516"/>
      <c r="T92" s="516">
        <f t="shared" si="37"/>
        <v>0</v>
      </c>
      <c r="U92" s="516">
        <f t="shared" si="38"/>
        <v>0</v>
      </c>
    </row>
    <row r="93" spans="1:21" outlineLevel="1">
      <c r="A93" s="511" t="s">
        <v>536</v>
      </c>
      <c r="C93" s="516">
        <v>0</v>
      </c>
      <c r="D93" s="516">
        <v>0</v>
      </c>
      <c r="E93" s="516">
        <v>0</v>
      </c>
      <c r="F93" s="516">
        <v>0</v>
      </c>
      <c r="G93" s="516">
        <v>0</v>
      </c>
      <c r="H93" s="516">
        <v>0</v>
      </c>
      <c r="I93" s="516">
        <v>0</v>
      </c>
      <c r="J93" s="516">
        <v>0</v>
      </c>
      <c r="K93" s="516">
        <v>0</v>
      </c>
      <c r="L93" s="516">
        <v>0</v>
      </c>
      <c r="M93" s="516"/>
      <c r="N93" s="516"/>
      <c r="O93" s="516"/>
      <c r="P93" s="516"/>
      <c r="Q93" s="516"/>
      <c r="R93" s="516"/>
      <c r="T93" s="516">
        <f t="shared" si="37"/>
        <v>0</v>
      </c>
      <c r="U93" s="516">
        <f t="shared" si="38"/>
        <v>0</v>
      </c>
    </row>
    <row r="94" spans="1:21" outlineLevel="1">
      <c r="A94" s="511" t="s">
        <v>537</v>
      </c>
      <c r="C94" s="516">
        <v>0</v>
      </c>
      <c r="D94" s="516">
        <v>0</v>
      </c>
      <c r="E94" s="516">
        <v>0</v>
      </c>
      <c r="F94" s="516">
        <v>0</v>
      </c>
      <c r="G94" s="516">
        <v>0</v>
      </c>
      <c r="H94" s="516">
        <v>0</v>
      </c>
      <c r="I94" s="516">
        <v>0</v>
      </c>
      <c r="J94" s="516">
        <v>0</v>
      </c>
      <c r="K94" s="516">
        <v>0</v>
      </c>
      <c r="L94" s="516">
        <v>0</v>
      </c>
      <c r="M94" s="516"/>
      <c r="N94" s="516"/>
      <c r="O94" s="516"/>
      <c r="P94" s="516"/>
      <c r="Q94" s="516"/>
      <c r="R94" s="516"/>
      <c r="T94" s="516">
        <f t="shared" si="37"/>
        <v>0</v>
      </c>
      <c r="U94" s="516">
        <f t="shared" si="38"/>
        <v>0</v>
      </c>
    </row>
    <row r="95" spans="1:21" outlineLevel="1">
      <c r="A95" s="511" t="s">
        <v>538</v>
      </c>
      <c r="C95" s="516">
        <v>0</v>
      </c>
      <c r="D95" s="516">
        <v>0</v>
      </c>
      <c r="E95" s="516">
        <v>0</v>
      </c>
      <c r="F95" s="516">
        <v>0</v>
      </c>
      <c r="G95" s="516">
        <v>0</v>
      </c>
      <c r="H95" s="516">
        <v>0</v>
      </c>
      <c r="I95" s="516">
        <v>0</v>
      </c>
      <c r="J95" s="516">
        <v>0</v>
      </c>
      <c r="K95" s="516">
        <v>0</v>
      </c>
      <c r="L95" s="516">
        <v>0</v>
      </c>
      <c r="M95" s="516"/>
      <c r="N95" s="516"/>
      <c r="O95" s="516"/>
      <c r="P95" s="516"/>
      <c r="Q95" s="516"/>
      <c r="R95" s="516"/>
      <c r="T95" s="516">
        <f t="shared" si="37"/>
        <v>0</v>
      </c>
      <c r="U95" s="516">
        <f t="shared" si="38"/>
        <v>0</v>
      </c>
    </row>
    <row r="96" spans="1:21" outlineLevel="1">
      <c r="A96" s="511" t="s">
        <v>539</v>
      </c>
      <c r="C96" s="516">
        <v>1</v>
      </c>
      <c r="D96" s="516">
        <v>38</v>
      </c>
      <c r="E96" s="516">
        <v>38</v>
      </c>
      <c r="F96" s="516">
        <v>0</v>
      </c>
      <c r="G96" s="516">
        <v>0</v>
      </c>
      <c r="H96" s="516">
        <v>0</v>
      </c>
      <c r="I96" s="516">
        <v>0</v>
      </c>
      <c r="J96" s="516">
        <v>0</v>
      </c>
      <c r="K96" s="516">
        <v>0</v>
      </c>
      <c r="L96" s="516">
        <v>0</v>
      </c>
      <c r="M96" s="516"/>
      <c r="N96" s="516"/>
      <c r="O96" s="516"/>
      <c r="P96" s="516"/>
      <c r="Q96" s="516"/>
      <c r="R96" s="516"/>
      <c r="T96" s="516">
        <f t="shared" si="37"/>
        <v>0</v>
      </c>
      <c r="U96" s="516">
        <f t="shared" si="38"/>
        <v>0</v>
      </c>
    </row>
    <row r="97" spans="1:21" outlineLevel="1">
      <c r="A97" s="511" t="s">
        <v>540</v>
      </c>
      <c r="C97" s="516">
        <v>0</v>
      </c>
      <c r="D97" s="516">
        <v>0</v>
      </c>
      <c r="E97" s="516">
        <v>0</v>
      </c>
      <c r="F97" s="516">
        <v>70</v>
      </c>
      <c r="G97" s="516">
        <v>6</v>
      </c>
      <c r="H97" s="516">
        <v>10</v>
      </c>
      <c r="I97" s="516">
        <v>18</v>
      </c>
      <c r="J97" s="516">
        <v>35</v>
      </c>
      <c r="K97" s="516">
        <v>15</v>
      </c>
      <c r="L97" s="516">
        <v>107</v>
      </c>
      <c r="M97" s="516"/>
      <c r="N97" s="516"/>
      <c r="O97" s="516"/>
      <c r="P97" s="516"/>
      <c r="Q97" s="516"/>
      <c r="R97" s="516"/>
      <c r="T97" s="516">
        <f t="shared" si="37"/>
        <v>15</v>
      </c>
      <c r="U97" s="516">
        <f t="shared" si="38"/>
        <v>92</v>
      </c>
    </row>
    <row r="98" spans="1:21">
      <c r="A98" s="510" t="s">
        <v>541</v>
      </c>
      <c r="C98" s="515">
        <f t="shared" ref="C98:H98" si="39">SUM(C99:C107)</f>
        <v>-150530</v>
      </c>
      <c r="D98" s="515">
        <f t="shared" si="39"/>
        <v>-357240</v>
      </c>
      <c r="E98" s="515">
        <f t="shared" si="39"/>
        <v>-398458</v>
      </c>
      <c r="F98" s="515">
        <f t="shared" si="39"/>
        <v>-478032</v>
      </c>
      <c r="G98" s="515">
        <f t="shared" si="39"/>
        <v>-140326</v>
      </c>
      <c r="H98" s="515">
        <f t="shared" si="39"/>
        <v>-273884</v>
      </c>
      <c r="I98" s="515">
        <f>SUM(I99:I107)</f>
        <v>-342571</v>
      </c>
      <c r="J98" s="515">
        <f>SUM(J99:J107)</f>
        <v>-429006</v>
      </c>
      <c r="K98" s="515">
        <f>SUM(K99:K107)</f>
        <v>-120569</v>
      </c>
      <c r="L98" s="515">
        <f>SUM(L99:L107)</f>
        <v>-219839</v>
      </c>
      <c r="M98" s="515"/>
      <c r="N98" s="515"/>
      <c r="O98" s="515"/>
      <c r="P98" s="515"/>
      <c r="Q98" s="515"/>
      <c r="R98" s="515"/>
      <c r="T98" s="515">
        <f>SUM(T99:T107)</f>
        <v>-120569</v>
      </c>
      <c r="U98" s="515">
        <f>SUM(U99:U107)</f>
        <v>-99270</v>
      </c>
    </row>
    <row r="99" spans="1:21" outlineLevel="1">
      <c r="A99" s="511" t="s">
        <v>542</v>
      </c>
      <c r="C99" s="516">
        <v>-102669</v>
      </c>
      <c r="D99" s="516">
        <v>-234669</v>
      </c>
      <c r="E99" s="516">
        <v>-278031</v>
      </c>
      <c r="F99" s="516">
        <v>-313406</v>
      </c>
      <c r="G99" s="516">
        <v>-80599</v>
      </c>
      <c r="H99" s="516">
        <v>-160415</v>
      </c>
      <c r="I99" s="516">
        <v>-208347</v>
      </c>
      <c r="J99" s="516">
        <v>-263447</v>
      </c>
      <c r="K99" s="516">
        <v>-71116</v>
      </c>
      <c r="L99" s="516">
        <v>-135469</v>
      </c>
      <c r="M99" s="516"/>
      <c r="N99" s="516"/>
      <c r="O99" s="516"/>
      <c r="P99" s="516"/>
      <c r="Q99" s="516"/>
      <c r="R99" s="516"/>
      <c r="T99" s="516">
        <f t="shared" ref="T99:T107" si="40">K99</f>
        <v>-71116</v>
      </c>
      <c r="U99" s="516">
        <f t="shared" ref="U99:U107" si="41">L99-T99</f>
        <v>-64353</v>
      </c>
    </row>
    <row r="100" spans="1:21" outlineLevel="1">
      <c r="A100" s="511" t="s">
        <v>543</v>
      </c>
      <c r="C100" s="516">
        <v>0</v>
      </c>
      <c r="D100" s="516">
        <v>0</v>
      </c>
      <c r="E100" s="516">
        <v>0</v>
      </c>
      <c r="F100" s="516">
        <v>0</v>
      </c>
      <c r="G100" s="516">
        <v>0</v>
      </c>
      <c r="H100" s="516">
        <v>0</v>
      </c>
      <c r="I100" s="516">
        <v>0</v>
      </c>
      <c r="J100" s="516">
        <v>0</v>
      </c>
      <c r="K100" s="516">
        <v>0</v>
      </c>
      <c r="L100" s="516">
        <v>0</v>
      </c>
      <c r="M100" s="516"/>
      <c r="N100" s="516"/>
      <c r="O100" s="516"/>
      <c r="P100" s="516"/>
      <c r="Q100" s="516"/>
      <c r="R100" s="516"/>
      <c r="T100" s="516">
        <f t="shared" si="40"/>
        <v>0</v>
      </c>
      <c r="U100" s="516">
        <f t="shared" si="41"/>
        <v>0</v>
      </c>
    </row>
    <row r="101" spans="1:21" outlineLevel="1">
      <c r="A101" s="511" t="s">
        <v>544</v>
      </c>
      <c r="C101" s="516">
        <v>-43883</v>
      </c>
      <c r="D101" s="516">
        <v>-114613</v>
      </c>
      <c r="E101" s="516">
        <v>-108662</v>
      </c>
      <c r="F101" s="516">
        <v>-136674</v>
      </c>
      <c r="G101" s="516">
        <v>-47100</v>
      </c>
      <c r="H101" s="516">
        <v>-85995</v>
      </c>
      <c r="I101" s="516">
        <v>-93834</v>
      </c>
      <c r="J101" s="516">
        <v>-112741</v>
      </c>
      <c r="K101" s="516">
        <v>-41170</v>
      </c>
      <c r="L101" s="516">
        <v>-67312</v>
      </c>
      <c r="M101" s="516"/>
      <c r="N101" s="516"/>
      <c r="O101" s="516"/>
      <c r="P101" s="516"/>
      <c r="Q101" s="516"/>
      <c r="R101" s="516"/>
      <c r="T101" s="516">
        <f t="shared" si="40"/>
        <v>-41170</v>
      </c>
      <c r="U101" s="516">
        <f t="shared" si="41"/>
        <v>-26142</v>
      </c>
    </row>
    <row r="102" spans="1:21" outlineLevel="1">
      <c r="A102" s="511" t="s">
        <v>545</v>
      </c>
      <c r="C102" s="516">
        <v>0</v>
      </c>
      <c r="D102" s="516">
        <v>0</v>
      </c>
      <c r="E102" s="516">
        <v>0</v>
      </c>
      <c r="F102" s="516">
        <v>0</v>
      </c>
      <c r="G102" s="516">
        <v>0</v>
      </c>
      <c r="H102" s="516">
        <v>0</v>
      </c>
      <c r="I102" s="516">
        <v>0</v>
      </c>
      <c r="J102" s="516">
        <v>0</v>
      </c>
      <c r="K102" s="516">
        <v>0</v>
      </c>
      <c r="L102" s="516">
        <v>0</v>
      </c>
      <c r="M102" s="516"/>
      <c r="N102" s="516"/>
      <c r="O102" s="516"/>
      <c r="P102" s="516"/>
      <c r="Q102" s="516"/>
      <c r="R102" s="516"/>
      <c r="T102" s="516">
        <f t="shared" si="40"/>
        <v>0</v>
      </c>
      <c r="U102" s="516">
        <f t="shared" si="41"/>
        <v>0</v>
      </c>
    </row>
    <row r="103" spans="1:21" outlineLevel="1">
      <c r="A103" s="511" t="s">
        <v>546</v>
      </c>
      <c r="C103" s="516">
        <v>0</v>
      </c>
      <c r="D103" s="516">
        <v>0</v>
      </c>
      <c r="E103" s="516">
        <v>0</v>
      </c>
      <c r="F103" s="516">
        <v>0</v>
      </c>
      <c r="G103" s="516">
        <v>0</v>
      </c>
      <c r="H103" s="516">
        <v>0</v>
      </c>
      <c r="I103" s="516">
        <v>0</v>
      </c>
      <c r="J103" s="516">
        <v>0</v>
      </c>
      <c r="K103" s="516">
        <v>0</v>
      </c>
      <c r="L103" s="516">
        <v>0</v>
      </c>
      <c r="M103" s="516"/>
      <c r="N103" s="516"/>
      <c r="O103" s="516"/>
      <c r="P103" s="516"/>
      <c r="Q103" s="516"/>
      <c r="R103" s="516"/>
      <c r="T103" s="516">
        <f t="shared" si="40"/>
        <v>0</v>
      </c>
      <c r="U103" s="516">
        <f t="shared" si="41"/>
        <v>0</v>
      </c>
    </row>
    <row r="104" spans="1:21" outlineLevel="1">
      <c r="A104" s="511" t="s">
        <v>547</v>
      </c>
      <c r="C104" s="516">
        <v>-7</v>
      </c>
      <c r="D104" s="516">
        <v>-8</v>
      </c>
      <c r="E104" s="516">
        <v>-27</v>
      </c>
      <c r="F104" s="516">
        <v>-31</v>
      </c>
      <c r="G104" s="516">
        <v>-3</v>
      </c>
      <c r="H104" s="516">
        <v>-316</v>
      </c>
      <c r="I104" s="516">
        <v>-329</v>
      </c>
      <c r="J104" s="516">
        <v>-330</v>
      </c>
      <c r="K104" s="516">
        <v>-11</v>
      </c>
      <c r="L104" s="516">
        <v>-14</v>
      </c>
      <c r="M104" s="516"/>
      <c r="N104" s="516"/>
      <c r="O104" s="516"/>
      <c r="P104" s="516"/>
      <c r="Q104" s="516"/>
      <c r="R104" s="516"/>
      <c r="T104" s="516">
        <f t="shared" si="40"/>
        <v>-11</v>
      </c>
      <c r="U104" s="516">
        <f t="shared" si="41"/>
        <v>-3</v>
      </c>
    </row>
    <row r="105" spans="1:21" outlineLevel="1">
      <c r="A105" s="511" t="s">
        <v>548</v>
      </c>
      <c r="C105" s="516">
        <v>0</v>
      </c>
      <c r="D105" s="516">
        <v>0</v>
      </c>
      <c r="E105" s="516">
        <v>0</v>
      </c>
      <c r="F105" s="516">
        <v>0</v>
      </c>
      <c r="G105" s="516">
        <v>0</v>
      </c>
      <c r="H105" s="516">
        <v>0</v>
      </c>
      <c r="I105" s="516">
        <v>0</v>
      </c>
      <c r="J105" s="516">
        <v>0</v>
      </c>
      <c r="K105" s="516">
        <v>0</v>
      </c>
      <c r="L105" s="516">
        <v>0</v>
      </c>
      <c r="M105" s="516"/>
      <c r="N105" s="516"/>
      <c r="O105" s="516"/>
      <c r="P105" s="516"/>
      <c r="Q105" s="516"/>
      <c r="R105" s="516"/>
      <c r="T105" s="516">
        <f t="shared" si="40"/>
        <v>0</v>
      </c>
      <c r="U105" s="516">
        <f t="shared" si="41"/>
        <v>0</v>
      </c>
    </row>
    <row r="106" spans="1:21" outlineLevel="1">
      <c r="A106" s="511" t="s">
        <v>549</v>
      </c>
      <c r="C106" s="516">
        <v>-125</v>
      </c>
      <c r="D106" s="516">
        <v>-310</v>
      </c>
      <c r="E106" s="516">
        <v>-561</v>
      </c>
      <c r="F106" s="516">
        <v>-736</v>
      </c>
      <c r="G106" s="516">
        <v>-331</v>
      </c>
      <c r="H106" s="516">
        <v>-696</v>
      </c>
      <c r="I106" s="516">
        <v>-1117</v>
      </c>
      <c r="J106" s="516">
        <v>-1531</v>
      </c>
      <c r="K106" s="516">
        <v>-429</v>
      </c>
      <c r="L106" s="516">
        <v>-851</v>
      </c>
      <c r="M106" s="516"/>
      <c r="N106" s="516"/>
      <c r="O106" s="516"/>
      <c r="P106" s="516"/>
      <c r="Q106" s="516"/>
      <c r="R106" s="516"/>
      <c r="T106" s="516">
        <f t="shared" si="40"/>
        <v>-429</v>
      </c>
      <c r="U106" s="516">
        <f t="shared" si="41"/>
        <v>-422</v>
      </c>
    </row>
    <row r="107" spans="1:21" outlineLevel="1">
      <c r="A107" s="511" t="s">
        <v>550</v>
      </c>
      <c r="C107" s="516">
        <v>-3846</v>
      </c>
      <c r="D107" s="516">
        <v>-7640</v>
      </c>
      <c r="E107" s="516">
        <v>-11177</v>
      </c>
      <c r="F107" s="516">
        <v>-27185</v>
      </c>
      <c r="G107" s="516">
        <v>-12293</v>
      </c>
      <c r="H107" s="516">
        <v>-26462</v>
      </c>
      <c r="I107" s="516">
        <v>-38944</v>
      </c>
      <c r="J107" s="516">
        <v>-50957</v>
      </c>
      <c r="K107" s="516">
        <v>-7843</v>
      </c>
      <c r="L107" s="516">
        <v>-16193</v>
      </c>
      <c r="M107" s="516"/>
      <c r="N107" s="516"/>
      <c r="O107" s="516"/>
      <c r="P107" s="516"/>
      <c r="Q107" s="516"/>
      <c r="R107" s="516"/>
      <c r="T107" s="516">
        <f t="shared" si="40"/>
        <v>-7843</v>
      </c>
      <c r="U107" s="516">
        <f t="shared" si="41"/>
        <v>-8350</v>
      </c>
    </row>
    <row r="108" spans="1:21">
      <c r="A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T108" s="510"/>
      <c r="U108" s="510"/>
    </row>
    <row r="109" spans="1:21">
      <c r="A109" s="522" t="s">
        <v>551</v>
      </c>
      <c r="C109" s="513">
        <f t="shared" ref="C109:H109" si="42">C85+C87</f>
        <v>209880</v>
      </c>
      <c r="D109" s="513">
        <f t="shared" si="42"/>
        <v>319410</v>
      </c>
      <c r="E109" s="513">
        <f t="shared" si="42"/>
        <v>608445</v>
      </c>
      <c r="F109" s="513">
        <f t="shared" si="42"/>
        <v>858641</v>
      </c>
      <c r="G109" s="513">
        <f t="shared" si="42"/>
        <v>203514</v>
      </c>
      <c r="H109" s="513">
        <f t="shared" si="42"/>
        <v>429454</v>
      </c>
      <c r="I109" s="513">
        <f>I85+I87</f>
        <v>716124</v>
      </c>
      <c r="J109" s="513">
        <f>J85+J87</f>
        <v>977512</v>
      </c>
      <c r="K109" s="513">
        <f>K85+K87</f>
        <v>226062</v>
      </c>
      <c r="L109" s="513">
        <f>L85+L87</f>
        <v>477492</v>
      </c>
      <c r="M109" s="513"/>
      <c r="N109" s="513"/>
      <c r="O109" s="513"/>
      <c r="P109" s="513"/>
      <c r="Q109" s="513"/>
      <c r="R109" s="513"/>
      <c r="T109" s="513">
        <f>T85+T87</f>
        <v>226062</v>
      </c>
      <c r="U109" s="513">
        <f>U85+U87</f>
        <v>251430</v>
      </c>
    </row>
    <row r="110" spans="1:21">
      <c r="A110" s="510"/>
      <c r="C110" s="510"/>
      <c r="D110" s="510"/>
      <c r="E110" s="510"/>
      <c r="F110" s="510"/>
      <c r="G110" s="510"/>
      <c r="H110" s="510"/>
      <c r="I110" s="510"/>
      <c r="J110" s="510"/>
      <c r="K110" s="510"/>
      <c r="L110" s="510"/>
      <c r="M110" s="510"/>
      <c r="N110" s="510"/>
      <c r="O110" s="510"/>
      <c r="P110" s="510"/>
      <c r="Q110" s="510"/>
      <c r="R110" s="510"/>
      <c r="T110" s="510"/>
      <c r="U110" s="510"/>
    </row>
    <row r="111" spans="1:21">
      <c r="A111" s="509" t="s">
        <v>552</v>
      </c>
      <c r="C111" s="517">
        <f t="shared" ref="C111:H111" si="43">SUM(C113:C116)</f>
        <v>-55010</v>
      </c>
      <c r="D111" s="517">
        <f t="shared" si="43"/>
        <v>-85186</v>
      </c>
      <c r="E111" s="517">
        <f t="shared" si="43"/>
        <v>-133849</v>
      </c>
      <c r="F111" s="517">
        <f t="shared" si="43"/>
        <v>-180076</v>
      </c>
      <c r="G111" s="517">
        <f t="shared" si="43"/>
        <v>-40973</v>
      </c>
      <c r="H111" s="517">
        <f t="shared" si="43"/>
        <v>-86354</v>
      </c>
      <c r="I111" s="517">
        <f>SUM(I113:I116)</f>
        <v>-140415</v>
      </c>
      <c r="J111" s="517">
        <f>SUM(J113:J116)</f>
        <v>-180816</v>
      </c>
      <c r="K111" s="517">
        <f>SUM(K113:K116)</f>
        <v>-48282</v>
      </c>
      <c r="L111" s="517">
        <f>SUM(L113:L116)</f>
        <v>-96696</v>
      </c>
      <c r="M111" s="517"/>
      <c r="N111" s="517"/>
      <c r="O111" s="517"/>
      <c r="P111" s="517"/>
      <c r="Q111" s="517"/>
      <c r="R111" s="517"/>
      <c r="T111" s="517">
        <f>SUM(T113:T116)</f>
        <v>-48282</v>
      </c>
      <c r="U111" s="517">
        <f>SUM(U113:U116)</f>
        <v>-48414</v>
      </c>
    </row>
    <row r="112" spans="1:21">
      <c r="A112" s="510"/>
      <c r="C112" s="510"/>
      <c r="D112" s="510"/>
      <c r="E112" s="510"/>
      <c r="F112" s="510"/>
      <c r="G112" s="510"/>
      <c r="H112" s="510"/>
      <c r="I112" s="510"/>
      <c r="J112" s="510"/>
      <c r="K112" s="510"/>
      <c r="L112" s="510"/>
      <c r="M112" s="510"/>
      <c r="N112" s="510"/>
      <c r="O112" s="510"/>
      <c r="P112" s="510"/>
      <c r="Q112" s="510"/>
      <c r="R112" s="510"/>
      <c r="T112" s="510"/>
      <c r="U112" s="510"/>
    </row>
    <row r="113" spans="1:21">
      <c r="A113" s="510" t="s">
        <v>553</v>
      </c>
      <c r="C113" s="518">
        <v>-4675</v>
      </c>
      <c r="D113" s="518">
        <v>-6511</v>
      </c>
      <c r="E113" s="518">
        <v>-21540</v>
      </c>
      <c r="F113" s="518">
        <v>-34353</v>
      </c>
      <c r="G113" s="518">
        <v>-9107</v>
      </c>
      <c r="H113" s="518">
        <v>-19518</v>
      </c>
      <c r="I113" s="518">
        <v>-38038</v>
      </c>
      <c r="J113" s="518">
        <v>-46386</v>
      </c>
      <c r="K113" s="518">
        <v>-8558</v>
      </c>
      <c r="L113" s="518">
        <v>-20322</v>
      </c>
      <c r="M113" s="518"/>
      <c r="N113" s="518"/>
      <c r="O113" s="518"/>
      <c r="P113" s="518"/>
      <c r="Q113" s="518"/>
      <c r="R113" s="518"/>
      <c r="T113" s="518">
        <f t="shared" ref="T113:T116" si="44">K113</f>
        <v>-8558</v>
      </c>
      <c r="U113" s="518">
        <f t="shared" ref="U113:U116" si="45">L113-T113</f>
        <v>-11764</v>
      </c>
    </row>
    <row r="114" spans="1:21">
      <c r="A114" s="510" t="s">
        <v>554</v>
      </c>
      <c r="C114" s="518">
        <v>-17990</v>
      </c>
      <c r="D114" s="518">
        <v>-23569</v>
      </c>
      <c r="E114" s="518">
        <v>-74593</v>
      </c>
      <c r="F114" s="518">
        <v>-114270</v>
      </c>
      <c r="G114" s="518">
        <v>-28652</v>
      </c>
      <c r="H114" s="518">
        <v>-60843</v>
      </c>
      <c r="I114" s="518">
        <v>-108957</v>
      </c>
      <c r="J114" s="518">
        <v>-147894</v>
      </c>
      <c r="K114" s="518">
        <v>-29525</v>
      </c>
      <c r="L114" s="518">
        <v>-68077</v>
      </c>
      <c r="M114" s="518"/>
      <c r="N114" s="518"/>
      <c r="O114" s="518"/>
      <c r="P114" s="518"/>
      <c r="Q114" s="518"/>
      <c r="R114" s="518"/>
      <c r="T114" s="518">
        <f t="shared" si="44"/>
        <v>-29525</v>
      </c>
      <c r="U114" s="518">
        <f t="shared" si="45"/>
        <v>-38552</v>
      </c>
    </row>
    <row r="115" spans="1:21">
      <c r="A115" s="510" t="s">
        <v>555</v>
      </c>
      <c r="C115" s="518">
        <v>16302</v>
      </c>
      <c r="D115" s="518">
        <v>23318</v>
      </c>
      <c r="E115" s="518">
        <v>72882</v>
      </c>
      <c r="F115" s="518">
        <v>111083</v>
      </c>
      <c r="G115" s="518">
        <v>28185</v>
      </c>
      <c r="H115" s="518">
        <v>59572</v>
      </c>
      <c r="I115" s="518">
        <v>102932</v>
      </c>
      <c r="J115" s="518">
        <v>146399</v>
      </c>
      <c r="K115" s="518">
        <v>28667</v>
      </c>
      <c r="L115" s="518">
        <v>65569</v>
      </c>
      <c r="M115" s="518"/>
      <c r="N115" s="518"/>
      <c r="O115" s="518"/>
      <c r="P115" s="518"/>
      <c r="Q115" s="518"/>
      <c r="R115" s="518"/>
      <c r="T115" s="518">
        <f t="shared" si="44"/>
        <v>28667</v>
      </c>
      <c r="U115" s="518">
        <f t="shared" si="45"/>
        <v>36902</v>
      </c>
    </row>
    <row r="116" spans="1:21">
      <c r="A116" s="510" t="s">
        <v>556</v>
      </c>
      <c r="C116" s="518">
        <v>-48647</v>
      </c>
      <c r="D116" s="518">
        <v>-78424</v>
      </c>
      <c r="E116" s="518">
        <v>-110598</v>
      </c>
      <c r="F116" s="518">
        <v>-142536</v>
      </c>
      <c r="G116" s="518">
        <v>-31399</v>
      </c>
      <c r="H116" s="518">
        <v>-65565</v>
      </c>
      <c r="I116" s="518">
        <v>-96352</v>
      </c>
      <c r="J116" s="518">
        <v>-132935</v>
      </c>
      <c r="K116" s="518">
        <v>-38866</v>
      </c>
      <c r="L116" s="518">
        <v>-73866</v>
      </c>
      <c r="M116" s="518"/>
      <c r="N116" s="518"/>
      <c r="O116" s="518"/>
      <c r="P116" s="518"/>
      <c r="Q116" s="518"/>
      <c r="R116" s="518"/>
      <c r="T116" s="518">
        <f t="shared" si="44"/>
        <v>-38866</v>
      </c>
      <c r="U116" s="518">
        <f t="shared" si="45"/>
        <v>-35000</v>
      </c>
    </row>
    <row r="117" spans="1:21">
      <c r="A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  <c r="T117" s="510"/>
      <c r="U117" s="510"/>
    </row>
    <row r="118" spans="1:21" ht="15" thickBot="1">
      <c r="A118" s="523" t="s">
        <v>557</v>
      </c>
      <c r="C118" s="519">
        <f t="shared" ref="C118:H118" si="46">C109+C111</f>
        <v>154870</v>
      </c>
      <c r="D118" s="519">
        <f t="shared" si="46"/>
        <v>234224</v>
      </c>
      <c r="E118" s="519">
        <f t="shared" si="46"/>
        <v>474596</v>
      </c>
      <c r="F118" s="519">
        <f t="shared" si="46"/>
        <v>678565</v>
      </c>
      <c r="G118" s="519">
        <f t="shared" si="46"/>
        <v>162541</v>
      </c>
      <c r="H118" s="519">
        <f t="shared" si="46"/>
        <v>343100</v>
      </c>
      <c r="I118" s="519">
        <f>I109+I111</f>
        <v>575709</v>
      </c>
      <c r="J118" s="519">
        <f>J109+J111</f>
        <v>796696</v>
      </c>
      <c r="K118" s="519">
        <f>K109+K111</f>
        <v>177780</v>
      </c>
      <c r="L118" s="519">
        <f>L109+L111</f>
        <v>380796</v>
      </c>
      <c r="M118" s="519"/>
      <c r="N118" s="519"/>
      <c r="O118" s="519"/>
      <c r="P118" s="519"/>
      <c r="Q118" s="519"/>
      <c r="R118" s="519"/>
      <c r="T118" s="519">
        <f>T109+T111</f>
        <v>177780</v>
      </c>
      <c r="U118" s="519">
        <f>U109+U111</f>
        <v>203016</v>
      </c>
    </row>
    <row r="119" spans="1:21" ht="15" thickTop="1">
      <c r="A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  <c r="T119" s="510"/>
      <c r="U119" s="510"/>
    </row>
    <row r="120" spans="1:21">
      <c r="A120" s="509" t="s">
        <v>558</v>
      </c>
      <c r="C120" s="518"/>
      <c r="D120" s="518"/>
      <c r="E120" s="518"/>
      <c r="F120" s="518"/>
      <c r="G120" s="518"/>
      <c r="H120" s="518"/>
      <c r="I120" s="518"/>
      <c r="J120" s="518"/>
      <c r="K120" s="518"/>
      <c r="L120" s="518"/>
      <c r="M120" s="518"/>
      <c r="N120" s="518"/>
      <c r="O120" s="518"/>
      <c r="P120" s="518"/>
      <c r="Q120" s="518"/>
      <c r="R120" s="518"/>
      <c r="T120" s="518"/>
      <c r="U120" s="518"/>
    </row>
    <row r="121" spans="1:21">
      <c r="A121" s="510" t="s">
        <v>559</v>
      </c>
      <c r="C121" s="518">
        <f t="shared" ref="C121:H121" si="47">C118-C122</f>
        <v>154870</v>
      </c>
      <c r="D121" s="518">
        <f t="shared" si="47"/>
        <v>234224</v>
      </c>
      <c r="E121" s="518">
        <f t="shared" si="47"/>
        <v>474596</v>
      </c>
      <c r="F121" s="518">
        <f t="shared" si="47"/>
        <v>678565</v>
      </c>
      <c r="G121" s="518">
        <f t="shared" si="47"/>
        <v>162541</v>
      </c>
      <c r="H121" s="518">
        <f t="shared" si="47"/>
        <v>343100</v>
      </c>
      <c r="I121" s="518">
        <f>I118-I122</f>
        <v>575709</v>
      </c>
      <c r="J121" s="518">
        <f>J118-J122</f>
        <v>796696</v>
      </c>
      <c r="K121" s="518">
        <v>177780</v>
      </c>
      <c r="L121" s="518">
        <v>380796</v>
      </c>
      <c r="M121" s="518"/>
      <c r="N121" s="518"/>
      <c r="O121" s="518"/>
      <c r="P121" s="518"/>
      <c r="Q121" s="518"/>
      <c r="R121" s="518"/>
      <c r="T121" s="518">
        <f t="shared" ref="T121:T122" si="48">K121</f>
        <v>177780</v>
      </c>
      <c r="U121" s="518">
        <f t="shared" ref="U121:U122" si="49">L121-T121</f>
        <v>203016</v>
      </c>
    </row>
    <row r="122" spans="1:21">
      <c r="A122" s="510" t="s">
        <v>560</v>
      </c>
      <c r="C122" s="518">
        <f t="shared" ref="C122:H122" si="50">C118*C127</f>
        <v>0</v>
      </c>
      <c r="D122" s="518">
        <f t="shared" si="50"/>
        <v>0</v>
      </c>
      <c r="E122" s="518">
        <f t="shared" si="50"/>
        <v>0</v>
      </c>
      <c r="F122" s="518">
        <f t="shared" si="50"/>
        <v>0</v>
      </c>
      <c r="G122" s="518">
        <f t="shared" si="50"/>
        <v>0</v>
      </c>
      <c r="H122" s="518">
        <f t="shared" si="50"/>
        <v>0</v>
      </c>
      <c r="I122" s="518">
        <f>I118*I127</f>
        <v>0</v>
      </c>
      <c r="J122" s="518">
        <f>J118*J127</f>
        <v>0</v>
      </c>
      <c r="K122" s="518">
        <v>0</v>
      </c>
      <c r="L122" s="518">
        <v>0</v>
      </c>
      <c r="M122" s="518"/>
      <c r="N122" s="518"/>
      <c r="O122" s="518"/>
      <c r="P122" s="518"/>
      <c r="Q122" s="518"/>
      <c r="R122" s="518"/>
      <c r="T122" s="518">
        <f t="shared" si="48"/>
        <v>0</v>
      </c>
      <c r="U122" s="518">
        <f t="shared" si="49"/>
        <v>0</v>
      </c>
    </row>
    <row r="123" spans="1:21">
      <c r="A123" s="510"/>
      <c r="C123" s="510"/>
      <c r="D123" s="510"/>
      <c r="E123" s="510"/>
      <c r="F123" s="510"/>
      <c r="G123" s="510"/>
      <c r="H123" s="510"/>
      <c r="I123" s="510"/>
      <c r="J123" s="510"/>
      <c r="K123" s="510"/>
      <c r="L123" s="510"/>
      <c r="M123" s="510"/>
      <c r="N123" s="510"/>
      <c r="O123" s="510"/>
      <c r="P123" s="510"/>
      <c r="Q123" s="510"/>
      <c r="R123" s="510"/>
      <c r="T123" s="510"/>
      <c r="U123" s="510"/>
    </row>
    <row r="124" spans="1:21" ht="15" thickBot="1">
      <c r="A124" s="523" t="s">
        <v>557</v>
      </c>
      <c r="C124" s="519">
        <f t="shared" ref="C124:H124" si="51">SUM(C121:C122)</f>
        <v>154870</v>
      </c>
      <c r="D124" s="519">
        <f t="shared" si="51"/>
        <v>234224</v>
      </c>
      <c r="E124" s="519">
        <f t="shared" si="51"/>
        <v>474596</v>
      </c>
      <c r="F124" s="519">
        <f t="shared" si="51"/>
        <v>678565</v>
      </c>
      <c r="G124" s="519">
        <f t="shared" si="51"/>
        <v>162541</v>
      </c>
      <c r="H124" s="519">
        <f t="shared" si="51"/>
        <v>343100</v>
      </c>
      <c r="I124" s="519">
        <f>SUM(I121:I122)</f>
        <v>575709</v>
      </c>
      <c r="J124" s="519">
        <f>SUM(J121:J122)</f>
        <v>796696</v>
      </c>
      <c r="K124" s="519">
        <f>SUM(K121:K122)</f>
        <v>177780</v>
      </c>
      <c r="L124" s="519">
        <f>SUM(L121:L122)</f>
        <v>380796</v>
      </c>
      <c r="M124" s="519"/>
      <c r="N124" s="519"/>
      <c r="O124" s="519"/>
      <c r="P124" s="519"/>
      <c r="Q124" s="519"/>
      <c r="R124" s="519"/>
      <c r="T124" s="519">
        <f>SUM(T121:T122)</f>
        <v>177780</v>
      </c>
      <c r="U124" s="519">
        <f>SUM(U121:U122)</f>
        <v>203016</v>
      </c>
    </row>
    <row r="125" spans="1:21" ht="15" thickTop="1"/>
    <row r="126" spans="1:21" s="525" customFormat="1" ht="10.5">
      <c r="A126" s="524" t="s">
        <v>561</v>
      </c>
      <c r="C126" s="526">
        <v>1</v>
      </c>
      <c r="D126" s="526">
        <v>1</v>
      </c>
      <c r="E126" s="526">
        <v>1</v>
      </c>
      <c r="F126" s="526">
        <v>1</v>
      </c>
      <c r="G126" s="526">
        <v>1</v>
      </c>
      <c r="H126" s="526">
        <v>1</v>
      </c>
      <c r="I126" s="526">
        <v>1</v>
      </c>
      <c r="J126" s="526">
        <v>1</v>
      </c>
      <c r="K126" s="526">
        <v>1</v>
      </c>
      <c r="L126" s="526">
        <v>1</v>
      </c>
      <c r="T126" s="526">
        <f t="shared" ref="T126:T127" si="52">K126</f>
        <v>1</v>
      </c>
      <c r="U126" s="526">
        <v>1</v>
      </c>
    </row>
    <row r="127" spans="1:21" s="525" customFormat="1" ht="10.5">
      <c r="A127" s="524" t="s">
        <v>562</v>
      </c>
      <c r="C127" s="526">
        <v>0</v>
      </c>
      <c r="D127" s="526">
        <v>0</v>
      </c>
      <c r="E127" s="526">
        <v>0</v>
      </c>
      <c r="F127" s="526">
        <v>0</v>
      </c>
      <c r="G127" s="526">
        <v>0</v>
      </c>
      <c r="H127" s="526">
        <v>0</v>
      </c>
      <c r="I127" s="526">
        <v>0</v>
      </c>
      <c r="J127" s="526">
        <v>0</v>
      </c>
      <c r="K127" s="526">
        <v>0</v>
      </c>
      <c r="L127" s="526">
        <v>0</v>
      </c>
      <c r="T127" s="526">
        <f t="shared" si="52"/>
        <v>0</v>
      </c>
      <c r="U127" s="526"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 tint="0.79998168889431442"/>
  </sheetPr>
  <dimension ref="A4:U127"/>
  <sheetViews>
    <sheetView showGridLines="0" zoomScale="85" zoomScaleNormal="85" workbookViewId="0">
      <pane xSplit="1" ySplit="4" topLeftCell="B5" activePane="bottomRight" state="frozen"/>
      <selection pane="topRight"/>
      <selection pane="bottomLeft"/>
      <selection pane="bottomRight" activeCell="L10" sqref="L10"/>
    </sheetView>
  </sheetViews>
  <sheetFormatPr defaultRowHeight="14.5" outlineLevelRow="1"/>
  <cols>
    <col min="1" max="1" width="65.7265625" bestFit="1" customWidth="1"/>
    <col min="2" max="2" width="1.54296875" customWidth="1"/>
    <col min="3" max="12" width="15.1796875" customWidth="1"/>
    <col min="13" max="18" width="15.1796875" hidden="1" customWidth="1"/>
    <col min="19" max="19" width="1.54296875" customWidth="1"/>
    <col min="20" max="20" width="15.1796875" hidden="1" customWidth="1"/>
    <col min="21" max="21" width="15.1796875" customWidth="1"/>
  </cols>
  <sheetData>
    <row r="4" spans="1:21">
      <c r="A4" s="521" t="s">
        <v>576</v>
      </c>
      <c r="C4" s="520" t="s">
        <v>453</v>
      </c>
      <c r="D4" s="520" t="s">
        <v>454</v>
      </c>
      <c r="E4" s="520" t="s">
        <v>455</v>
      </c>
      <c r="F4" s="520">
        <v>2022</v>
      </c>
      <c r="G4" s="520" t="s">
        <v>456</v>
      </c>
      <c r="H4" s="520" t="s">
        <v>457</v>
      </c>
      <c r="I4" s="520" t="s">
        <v>458</v>
      </c>
      <c r="J4" s="520">
        <v>2023</v>
      </c>
      <c r="K4" s="520" t="s">
        <v>459</v>
      </c>
      <c r="L4" s="520" t="s">
        <v>460</v>
      </c>
      <c r="M4" s="520" t="s">
        <v>461</v>
      </c>
      <c r="N4" s="520">
        <v>2024</v>
      </c>
      <c r="O4" s="520" t="s">
        <v>462</v>
      </c>
      <c r="P4" s="520" t="s">
        <v>463</v>
      </c>
      <c r="Q4" s="520" t="s">
        <v>464</v>
      </c>
      <c r="R4" s="520">
        <v>2025</v>
      </c>
      <c r="T4" s="520" t="s">
        <v>53</v>
      </c>
      <c r="U4" s="520" t="s">
        <v>54</v>
      </c>
    </row>
    <row r="5" spans="1:21" ht="6.65" customHeight="1"/>
    <row r="6" spans="1:21">
      <c r="A6" s="522" t="s">
        <v>465</v>
      </c>
      <c r="C6" s="513">
        <f t="shared" ref="C6:I6" si="0">SUM(C8,C11:C17)</f>
        <v>543322</v>
      </c>
      <c r="D6" s="513">
        <f t="shared" si="0"/>
        <v>1108661</v>
      </c>
      <c r="E6" s="513">
        <f t="shared" si="0"/>
        <v>1723541</v>
      </c>
      <c r="F6" s="513">
        <f t="shared" si="0"/>
        <v>2363383</v>
      </c>
      <c r="G6" s="513">
        <f t="shared" si="0"/>
        <v>606718</v>
      </c>
      <c r="H6" s="513">
        <f t="shared" si="0"/>
        <v>1199922</v>
      </c>
      <c r="I6" s="513">
        <f t="shared" si="0"/>
        <v>1933706</v>
      </c>
      <c r="J6" s="513">
        <f t="shared" ref="J6:K6" si="1">SUM(J8,J11:J17)</f>
        <v>2674078.3149999999</v>
      </c>
      <c r="K6" s="513">
        <f t="shared" si="1"/>
        <v>600637.755</v>
      </c>
      <c r="L6" s="513">
        <f t="shared" ref="L6" si="2">SUM(L8,L11:L17)</f>
        <v>1208686.7549999999</v>
      </c>
      <c r="M6" s="513"/>
      <c r="N6" s="513"/>
      <c r="O6" s="513"/>
      <c r="P6" s="513"/>
      <c r="Q6" s="513"/>
      <c r="R6" s="513"/>
      <c r="T6" s="513">
        <f t="shared" ref="T6:U6" si="3">SUM(T8,T11:T17)</f>
        <v>600637.755</v>
      </c>
      <c r="U6" s="513">
        <f t="shared" si="3"/>
        <v>608049</v>
      </c>
    </row>
    <row r="7" spans="1:21">
      <c r="A7" s="509"/>
      <c r="C7" s="514"/>
      <c r="D7" s="514"/>
      <c r="E7" s="514"/>
      <c r="F7" s="514"/>
      <c r="G7" s="514"/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514"/>
      <c r="T7" s="514"/>
      <c r="U7" s="514"/>
    </row>
    <row r="8" spans="1:21">
      <c r="A8" s="510" t="s">
        <v>466</v>
      </c>
      <c r="C8" s="515">
        <f t="shared" ref="C8:H8" si="4">SUM(C9:C10)</f>
        <v>0</v>
      </c>
      <c r="D8" s="515">
        <f t="shared" si="4"/>
        <v>0</v>
      </c>
      <c r="E8" s="515">
        <f t="shared" si="4"/>
        <v>0</v>
      </c>
      <c r="F8" s="515">
        <f t="shared" si="4"/>
        <v>0</v>
      </c>
      <c r="G8" s="515">
        <f t="shared" si="4"/>
        <v>0</v>
      </c>
      <c r="H8" s="515">
        <f t="shared" si="4"/>
        <v>0</v>
      </c>
      <c r="I8" s="515">
        <f>SUM(I9:I10)</f>
        <v>0</v>
      </c>
      <c r="J8" s="515">
        <f>SUM(J9:J10)</f>
        <v>0</v>
      </c>
      <c r="K8" s="515">
        <f>SUM(K9:K10)</f>
        <v>0</v>
      </c>
      <c r="L8" s="515">
        <f>SUM(L9:L10)</f>
        <v>0</v>
      </c>
      <c r="M8" s="515"/>
      <c r="N8" s="515"/>
      <c r="O8" s="515"/>
      <c r="P8" s="515"/>
      <c r="Q8" s="515"/>
      <c r="R8" s="515"/>
      <c r="T8" s="515">
        <f>SUM(T9:T10)</f>
        <v>0</v>
      </c>
      <c r="U8" s="515">
        <f>SUM(U9:U10)</f>
        <v>0</v>
      </c>
    </row>
    <row r="9" spans="1:21" outlineLevel="1">
      <c r="A9" s="511" t="s">
        <v>466</v>
      </c>
      <c r="C9" s="516">
        <v>0</v>
      </c>
      <c r="D9" s="516">
        <v>0</v>
      </c>
      <c r="E9" s="516">
        <v>0</v>
      </c>
      <c r="F9" s="516">
        <v>0</v>
      </c>
      <c r="G9" s="516">
        <v>0</v>
      </c>
      <c r="H9" s="516">
        <v>0</v>
      </c>
      <c r="I9" s="516">
        <v>0</v>
      </c>
      <c r="J9" s="516">
        <v>0</v>
      </c>
      <c r="K9" s="516">
        <v>0</v>
      </c>
      <c r="L9" s="516">
        <v>0</v>
      </c>
      <c r="M9" s="516"/>
      <c r="N9" s="516"/>
      <c r="O9" s="516"/>
      <c r="P9" s="516"/>
      <c r="Q9" s="516"/>
      <c r="R9" s="516"/>
      <c r="T9" s="516">
        <f>K9</f>
        <v>0</v>
      </c>
      <c r="U9" s="516">
        <f>L9-T9</f>
        <v>0</v>
      </c>
    </row>
    <row r="10" spans="1:21" outlineLevel="1">
      <c r="A10" s="511" t="s">
        <v>467</v>
      </c>
      <c r="C10" s="516">
        <v>0</v>
      </c>
      <c r="D10" s="516">
        <v>0</v>
      </c>
      <c r="E10" s="516">
        <v>0</v>
      </c>
      <c r="F10" s="516">
        <v>0</v>
      </c>
      <c r="G10" s="516">
        <v>0</v>
      </c>
      <c r="H10" s="516">
        <v>0</v>
      </c>
      <c r="I10" s="516">
        <v>0</v>
      </c>
      <c r="J10" s="516">
        <v>0</v>
      </c>
      <c r="K10" s="516">
        <v>0</v>
      </c>
      <c r="L10" s="516">
        <v>0</v>
      </c>
      <c r="M10" s="516"/>
      <c r="N10" s="516"/>
      <c r="O10" s="516"/>
      <c r="P10" s="516"/>
      <c r="Q10" s="516"/>
      <c r="R10" s="516"/>
      <c r="T10" s="516">
        <f t="shared" ref="T10:T25" si="5">K10</f>
        <v>0</v>
      </c>
      <c r="U10" s="516">
        <f t="shared" ref="U10:U16" si="6">L10-T10</f>
        <v>0</v>
      </c>
    </row>
    <row r="11" spans="1:21">
      <c r="A11" s="510" t="s">
        <v>468</v>
      </c>
      <c r="C11" s="515">
        <v>0</v>
      </c>
      <c r="D11" s="515">
        <v>0</v>
      </c>
      <c r="E11" s="515">
        <v>0</v>
      </c>
      <c r="F11" s="515">
        <v>0</v>
      </c>
      <c r="G11" s="515">
        <v>0</v>
      </c>
      <c r="H11" s="515">
        <v>0</v>
      </c>
      <c r="I11" s="515">
        <v>0</v>
      </c>
      <c r="J11" s="515">
        <v>0</v>
      </c>
      <c r="K11" s="515">
        <v>0</v>
      </c>
      <c r="L11" s="515">
        <v>0</v>
      </c>
      <c r="M11" s="515"/>
      <c r="N11" s="515"/>
      <c r="O11" s="515"/>
      <c r="P11" s="515"/>
      <c r="Q11" s="515"/>
      <c r="R11" s="515"/>
      <c r="T11" s="515">
        <f t="shared" si="5"/>
        <v>0</v>
      </c>
      <c r="U11" s="515">
        <f t="shared" si="6"/>
        <v>0</v>
      </c>
    </row>
    <row r="12" spans="1:21">
      <c r="A12" s="510" t="s">
        <v>469</v>
      </c>
      <c r="C12" s="515">
        <v>66744</v>
      </c>
      <c r="D12" s="515">
        <v>265619</v>
      </c>
      <c r="E12" s="515">
        <v>573582</v>
      </c>
      <c r="F12" s="515">
        <v>862231</v>
      </c>
      <c r="G12" s="515">
        <v>250025</v>
      </c>
      <c r="H12" s="515">
        <v>465137</v>
      </c>
      <c r="I12" s="515">
        <v>751476</v>
      </c>
      <c r="J12" s="515">
        <v>1067589</v>
      </c>
      <c r="K12" s="515">
        <v>210521</v>
      </c>
      <c r="L12" s="515">
        <v>436367</v>
      </c>
      <c r="M12" s="515"/>
      <c r="N12" s="515"/>
      <c r="O12" s="515"/>
      <c r="P12" s="515"/>
      <c r="Q12" s="515"/>
      <c r="R12" s="515"/>
      <c r="T12" s="515">
        <f t="shared" si="5"/>
        <v>210521</v>
      </c>
      <c r="U12" s="515">
        <f t="shared" si="6"/>
        <v>225846</v>
      </c>
    </row>
    <row r="13" spans="1:21">
      <c r="A13" s="510" t="s">
        <v>470</v>
      </c>
      <c r="C13" s="515">
        <v>107282</v>
      </c>
      <c r="D13" s="515">
        <v>107282</v>
      </c>
      <c r="E13" s="515">
        <v>107282</v>
      </c>
      <c r="F13" s="515">
        <v>107282</v>
      </c>
      <c r="G13" s="515">
        <v>1356</v>
      </c>
      <c r="H13" s="515">
        <v>8588</v>
      </c>
      <c r="I13" s="515">
        <v>69601</v>
      </c>
      <c r="J13" s="515">
        <v>97878</v>
      </c>
      <c r="K13" s="515">
        <v>6097</v>
      </c>
      <c r="L13" s="515">
        <v>7528</v>
      </c>
      <c r="M13" s="515"/>
      <c r="N13" s="515"/>
      <c r="O13" s="515"/>
      <c r="P13" s="515"/>
      <c r="Q13" s="515"/>
      <c r="R13" s="515"/>
      <c r="T13" s="515">
        <f t="shared" si="5"/>
        <v>6097</v>
      </c>
      <c r="U13" s="515">
        <f t="shared" si="6"/>
        <v>1431</v>
      </c>
    </row>
    <row r="14" spans="1:21">
      <c r="A14" s="510" t="s">
        <v>471</v>
      </c>
      <c r="C14" s="515">
        <v>0</v>
      </c>
      <c r="D14" s="515">
        <v>0</v>
      </c>
      <c r="E14" s="515">
        <v>0</v>
      </c>
      <c r="F14" s="515">
        <v>0</v>
      </c>
      <c r="G14" s="515">
        <v>0</v>
      </c>
      <c r="H14" s="515">
        <v>0</v>
      </c>
      <c r="I14" s="515">
        <v>0</v>
      </c>
      <c r="J14" s="515">
        <v>0</v>
      </c>
      <c r="K14" s="515">
        <v>0</v>
      </c>
      <c r="L14" s="515">
        <v>0</v>
      </c>
      <c r="M14" s="515"/>
      <c r="N14" s="515"/>
      <c r="O14" s="515"/>
      <c r="P14" s="515"/>
      <c r="Q14" s="515"/>
      <c r="R14" s="515"/>
      <c r="T14" s="515">
        <f t="shared" si="5"/>
        <v>0</v>
      </c>
      <c r="U14" s="515">
        <f t="shared" si="6"/>
        <v>0</v>
      </c>
    </row>
    <row r="15" spans="1:21">
      <c r="A15" s="510" t="s">
        <v>472</v>
      </c>
      <c r="C15" s="515">
        <v>15039</v>
      </c>
      <c r="D15" s="515">
        <v>43096</v>
      </c>
      <c r="E15" s="515">
        <v>64325</v>
      </c>
      <c r="F15" s="515">
        <v>93685</v>
      </c>
      <c r="G15" s="515">
        <v>25689</v>
      </c>
      <c r="H15" s="515">
        <v>50348</v>
      </c>
      <c r="I15" s="515">
        <v>98112</v>
      </c>
      <c r="J15" s="515">
        <v>133629</v>
      </c>
      <c r="K15" s="515">
        <v>20221</v>
      </c>
      <c r="L15" s="515">
        <v>47715</v>
      </c>
      <c r="M15" s="515"/>
      <c r="N15" s="515"/>
      <c r="O15" s="515"/>
      <c r="P15" s="515"/>
      <c r="Q15" s="515"/>
      <c r="R15" s="515"/>
      <c r="T15" s="515">
        <f t="shared" si="5"/>
        <v>20221</v>
      </c>
      <c r="U15" s="515">
        <f t="shared" si="6"/>
        <v>27494</v>
      </c>
    </row>
    <row r="16" spans="1:21">
      <c r="A16" s="510" t="s">
        <v>473</v>
      </c>
      <c r="C16" s="515">
        <v>0</v>
      </c>
      <c r="D16" s="515">
        <v>0</v>
      </c>
      <c r="E16" s="515">
        <v>0</v>
      </c>
      <c r="F16" s="515">
        <v>0</v>
      </c>
      <c r="G16" s="515">
        <v>0</v>
      </c>
      <c r="H16" s="515">
        <v>0</v>
      </c>
      <c r="I16" s="515">
        <v>0</v>
      </c>
      <c r="J16" s="515">
        <v>0</v>
      </c>
      <c r="K16" s="515">
        <v>0</v>
      </c>
      <c r="L16" s="515">
        <v>0</v>
      </c>
      <c r="M16" s="515"/>
      <c r="N16" s="515"/>
      <c r="O16" s="515"/>
      <c r="P16" s="515"/>
      <c r="Q16" s="515"/>
      <c r="R16" s="515"/>
      <c r="T16" s="515">
        <f t="shared" si="5"/>
        <v>0</v>
      </c>
      <c r="U16" s="515">
        <f t="shared" si="6"/>
        <v>0</v>
      </c>
    </row>
    <row r="17" spans="1:21">
      <c r="A17" s="510" t="s">
        <v>474</v>
      </c>
      <c r="C17" s="515">
        <f t="shared" ref="C17:H17" si="7">SUM(C18:C25)</f>
        <v>354257</v>
      </c>
      <c r="D17" s="515">
        <f t="shared" si="7"/>
        <v>692664</v>
      </c>
      <c r="E17" s="515">
        <f t="shared" si="7"/>
        <v>978352</v>
      </c>
      <c r="F17" s="515">
        <f t="shared" si="7"/>
        <v>1300185</v>
      </c>
      <c r="G17" s="515">
        <f t="shared" si="7"/>
        <v>329648</v>
      </c>
      <c r="H17" s="515">
        <f t="shared" si="7"/>
        <v>675849</v>
      </c>
      <c r="I17" s="515">
        <f>SUM(I18:I25)</f>
        <v>1014517</v>
      </c>
      <c r="J17" s="515">
        <f>SUM(J18:J25)</f>
        <v>1374982.3149999999</v>
      </c>
      <c r="K17" s="515">
        <f>SUM(K18:K25)</f>
        <v>363798.755</v>
      </c>
      <c r="L17" s="515">
        <f>SUM(L18:L25)</f>
        <v>717076.755</v>
      </c>
      <c r="M17" s="515"/>
      <c r="N17" s="515"/>
      <c r="O17" s="515"/>
      <c r="P17" s="515"/>
      <c r="Q17" s="515"/>
      <c r="R17" s="515"/>
      <c r="T17" s="515">
        <f>SUM(T18:T25)</f>
        <v>363798.755</v>
      </c>
      <c r="U17" s="515">
        <f>SUM(U18:U25)</f>
        <v>353278</v>
      </c>
    </row>
    <row r="18" spans="1:21" outlineLevel="1">
      <c r="A18" s="511" t="s">
        <v>475</v>
      </c>
      <c r="C18" s="516">
        <v>0</v>
      </c>
      <c r="D18" s="516">
        <v>0</v>
      </c>
      <c r="E18" s="516">
        <v>0</v>
      </c>
      <c r="F18" s="516">
        <v>0</v>
      </c>
      <c r="G18" s="516">
        <v>0</v>
      </c>
      <c r="H18" s="516">
        <v>0</v>
      </c>
      <c r="I18" s="516">
        <v>0</v>
      </c>
      <c r="J18" s="516">
        <v>0</v>
      </c>
      <c r="K18" s="516">
        <v>0</v>
      </c>
      <c r="L18" s="516">
        <v>0</v>
      </c>
      <c r="M18" s="516"/>
      <c r="N18" s="516"/>
      <c r="O18" s="516"/>
      <c r="P18" s="516"/>
      <c r="Q18" s="516"/>
      <c r="R18" s="516"/>
      <c r="T18" s="516">
        <f t="shared" si="5"/>
        <v>0</v>
      </c>
      <c r="U18" s="516">
        <f t="shared" ref="U18:U25" si="8">L18-T18</f>
        <v>0</v>
      </c>
    </row>
    <row r="19" spans="1:21" outlineLevel="1">
      <c r="A19" s="511" t="s">
        <v>476</v>
      </c>
      <c r="C19" s="516">
        <v>0</v>
      </c>
      <c r="D19" s="516">
        <v>0</v>
      </c>
      <c r="E19" s="516">
        <v>0</v>
      </c>
      <c r="F19" s="516">
        <v>0</v>
      </c>
      <c r="G19" s="516">
        <v>0</v>
      </c>
      <c r="H19" s="516">
        <v>0</v>
      </c>
      <c r="I19" s="516">
        <v>0</v>
      </c>
      <c r="J19" s="516">
        <v>0</v>
      </c>
      <c r="K19" s="516">
        <v>0</v>
      </c>
      <c r="L19" s="516">
        <v>0</v>
      </c>
      <c r="M19" s="516"/>
      <c r="N19" s="516"/>
      <c r="O19" s="516"/>
      <c r="P19" s="516"/>
      <c r="Q19" s="516"/>
      <c r="R19" s="516"/>
      <c r="T19" s="516">
        <f t="shared" si="5"/>
        <v>0</v>
      </c>
      <c r="U19" s="516">
        <f t="shared" si="8"/>
        <v>0</v>
      </c>
    </row>
    <row r="20" spans="1:21" outlineLevel="1">
      <c r="A20" s="511" t="s">
        <v>477</v>
      </c>
      <c r="C20" s="516">
        <v>0</v>
      </c>
      <c r="D20" s="516">
        <v>14956</v>
      </c>
      <c r="E20" s="516">
        <v>14956</v>
      </c>
      <c r="F20" s="516">
        <v>0</v>
      </c>
      <c r="G20" s="516">
        <v>0</v>
      </c>
      <c r="H20" s="516">
        <v>0</v>
      </c>
      <c r="I20" s="516">
        <v>0</v>
      </c>
      <c r="J20" s="516">
        <v>116</v>
      </c>
      <c r="K20" s="516">
        <v>296</v>
      </c>
      <c r="L20" s="516">
        <v>642</v>
      </c>
      <c r="M20" s="516"/>
      <c r="N20" s="516"/>
      <c r="O20" s="516"/>
      <c r="P20" s="516"/>
      <c r="Q20" s="516"/>
      <c r="R20" s="516"/>
      <c r="T20" s="516">
        <f t="shared" si="5"/>
        <v>296</v>
      </c>
      <c r="U20" s="516">
        <f t="shared" si="8"/>
        <v>346</v>
      </c>
    </row>
    <row r="21" spans="1:21" outlineLevel="1">
      <c r="A21" s="511" t="s">
        <v>478</v>
      </c>
      <c r="C21" s="516">
        <v>374522</v>
      </c>
      <c r="D21" s="516">
        <v>704044</v>
      </c>
      <c r="E21" s="516">
        <v>1049686</v>
      </c>
      <c r="F21" s="516">
        <v>1422140</v>
      </c>
      <c r="G21" s="516">
        <v>362644</v>
      </c>
      <c r="H21" s="516">
        <v>741662</v>
      </c>
      <c r="I21" s="516">
        <v>1102115</v>
      </c>
      <c r="J21" s="516">
        <v>1463634</v>
      </c>
      <c r="K21" s="516">
        <v>379763</v>
      </c>
      <c r="L21" s="516">
        <v>750545</v>
      </c>
      <c r="M21" s="516"/>
      <c r="N21" s="516"/>
      <c r="O21" s="516"/>
      <c r="P21" s="516"/>
      <c r="Q21" s="516"/>
      <c r="R21" s="516"/>
      <c r="T21" s="516">
        <f t="shared" si="5"/>
        <v>379763</v>
      </c>
      <c r="U21" s="516">
        <f t="shared" si="8"/>
        <v>370782</v>
      </c>
    </row>
    <row r="22" spans="1:21" outlineLevel="1">
      <c r="A22" s="511" t="s">
        <v>479</v>
      </c>
      <c r="C22" s="516">
        <v>-34643</v>
      </c>
      <c r="D22" s="516">
        <v>-66508</v>
      </c>
      <c r="E22" s="516">
        <v>-98480</v>
      </c>
      <c r="F22" s="516">
        <v>-131548</v>
      </c>
      <c r="G22" s="516">
        <v>-33544</v>
      </c>
      <c r="H22" s="516">
        <v>-68604</v>
      </c>
      <c r="I22" s="516">
        <v>-101945</v>
      </c>
      <c r="J22" s="516">
        <v>-89166.684999999998</v>
      </c>
      <c r="K22" s="516">
        <v>-22496.244999999999</v>
      </c>
      <c r="L22" s="516">
        <v>-43780.245000000003</v>
      </c>
      <c r="M22" s="516"/>
      <c r="N22" s="516"/>
      <c r="O22" s="516"/>
      <c r="P22" s="516"/>
      <c r="Q22" s="516"/>
      <c r="R22" s="516"/>
      <c r="T22" s="516">
        <f t="shared" si="5"/>
        <v>-22496.244999999999</v>
      </c>
      <c r="U22" s="516">
        <f t="shared" si="8"/>
        <v>-21284.000000000004</v>
      </c>
    </row>
    <row r="23" spans="1:21" outlineLevel="1">
      <c r="A23" s="511" t="s">
        <v>480</v>
      </c>
      <c r="C23" s="516">
        <v>0</v>
      </c>
      <c r="D23" s="516">
        <v>0</v>
      </c>
      <c r="E23" s="516">
        <v>0</v>
      </c>
      <c r="F23" s="516">
        <v>0</v>
      </c>
      <c r="G23" s="516">
        <v>0</v>
      </c>
      <c r="H23" s="516">
        <v>0</v>
      </c>
      <c r="I23" s="516">
        <v>0</v>
      </c>
      <c r="J23" s="516">
        <v>0</v>
      </c>
      <c r="K23" s="516">
        <v>0</v>
      </c>
      <c r="L23" s="516">
        <v>0</v>
      </c>
      <c r="M23" s="516"/>
      <c r="N23" s="516"/>
      <c r="O23" s="516"/>
      <c r="P23" s="516"/>
      <c r="Q23" s="516"/>
      <c r="R23" s="516"/>
      <c r="T23" s="516">
        <f t="shared" si="5"/>
        <v>0</v>
      </c>
      <c r="U23" s="516">
        <f t="shared" si="8"/>
        <v>0</v>
      </c>
    </row>
    <row r="24" spans="1:21" outlineLevel="1">
      <c r="A24" s="511" t="s">
        <v>481</v>
      </c>
      <c r="C24" s="516">
        <v>0</v>
      </c>
      <c r="D24" s="516">
        <v>0</v>
      </c>
      <c r="E24" s="516">
        <v>0</v>
      </c>
      <c r="F24" s="516">
        <v>0</v>
      </c>
      <c r="G24" s="516">
        <v>0</v>
      </c>
      <c r="H24" s="516">
        <v>0</v>
      </c>
      <c r="I24" s="516">
        <v>0</v>
      </c>
      <c r="J24" s="516">
        <v>-528</v>
      </c>
      <c r="K24" s="516">
        <v>-77</v>
      </c>
      <c r="L24" s="516">
        <v>-124</v>
      </c>
      <c r="M24" s="516"/>
      <c r="N24" s="516"/>
      <c r="O24" s="516"/>
      <c r="P24" s="516"/>
      <c r="Q24" s="516"/>
      <c r="R24" s="516"/>
      <c r="T24" s="516">
        <f t="shared" si="5"/>
        <v>-77</v>
      </c>
      <c r="U24" s="516">
        <f t="shared" si="8"/>
        <v>-47</v>
      </c>
    </row>
    <row r="25" spans="1:21" outlineLevel="1">
      <c r="A25" s="511" t="s">
        <v>474</v>
      </c>
      <c r="C25" s="516">
        <v>14378</v>
      </c>
      <c r="D25" s="516">
        <v>40172</v>
      </c>
      <c r="E25" s="516">
        <v>12190</v>
      </c>
      <c r="F25" s="516">
        <v>9593</v>
      </c>
      <c r="G25" s="516">
        <v>548</v>
      </c>
      <c r="H25" s="516">
        <v>2791</v>
      </c>
      <c r="I25" s="516">
        <v>14347</v>
      </c>
      <c r="J25" s="516">
        <v>927</v>
      </c>
      <c r="K25" s="516">
        <v>6313</v>
      </c>
      <c r="L25" s="516">
        <v>9794</v>
      </c>
      <c r="M25" s="516"/>
      <c r="N25" s="516"/>
      <c r="O25" s="516"/>
      <c r="P25" s="516"/>
      <c r="Q25" s="516"/>
      <c r="R25" s="516"/>
      <c r="T25" s="516">
        <f t="shared" si="5"/>
        <v>6313</v>
      </c>
      <c r="U25" s="516">
        <f t="shared" si="8"/>
        <v>3481</v>
      </c>
    </row>
    <row r="26" spans="1:21">
      <c r="A26" s="510"/>
      <c r="C26" s="510"/>
      <c r="D26" s="510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  <c r="T26" s="510"/>
      <c r="U26" s="510"/>
    </row>
    <row r="27" spans="1:21">
      <c r="A27" s="522" t="s">
        <v>482</v>
      </c>
      <c r="C27" s="513">
        <f t="shared" ref="C27:H27" si="9">SUM(C29:C37)</f>
        <v>-34186</v>
      </c>
      <c r="D27" s="513">
        <f t="shared" si="9"/>
        <v>-61193</v>
      </c>
      <c r="E27" s="513">
        <f t="shared" si="9"/>
        <v>-92125</v>
      </c>
      <c r="F27" s="513">
        <f t="shared" si="9"/>
        <v>-125142</v>
      </c>
      <c r="G27" s="513">
        <f t="shared" si="9"/>
        <v>-30476</v>
      </c>
      <c r="H27" s="513">
        <f t="shared" si="9"/>
        <v>-59342</v>
      </c>
      <c r="I27" s="513">
        <f>SUM(I29:I37)</f>
        <v>-95546</v>
      </c>
      <c r="J27" s="513">
        <f>SUM(J29:J37)</f>
        <v>-178115.315</v>
      </c>
      <c r="K27" s="513">
        <f>SUM(K29:K37)</f>
        <v>-45875.754999999997</v>
      </c>
      <c r="L27" s="513">
        <f>SUM(L29:L37)</f>
        <v>-91757.755000000005</v>
      </c>
      <c r="M27" s="513"/>
      <c r="N27" s="513"/>
      <c r="O27" s="513"/>
      <c r="P27" s="513"/>
      <c r="Q27" s="513"/>
      <c r="R27" s="513"/>
      <c r="T27" s="513">
        <f>SUM(T29:T37)</f>
        <v>-45875.754999999997</v>
      </c>
      <c r="U27" s="513">
        <f>SUM(U29:U37)</f>
        <v>-45882</v>
      </c>
    </row>
    <row r="28" spans="1:21">
      <c r="A28" s="509"/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T28" s="514"/>
      <c r="U28" s="514"/>
    </row>
    <row r="29" spans="1:21" outlineLevel="1">
      <c r="A29" s="511" t="s">
        <v>483</v>
      </c>
      <c r="C29" s="516">
        <v>0</v>
      </c>
      <c r="D29" s="516">
        <v>-76</v>
      </c>
      <c r="E29" s="516">
        <v>-92</v>
      </c>
      <c r="F29" s="516">
        <v>-92</v>
      </c>
      <c r="G29" s="516">
        <v>0</v>
      </c>
      <c r="H29" s="516">
        <v>-15</v>
      </c>
      <c r="I29" s="516">
        <v>-15</v>
      </c>
      <c r="J29" s="516">
        <v>-15</v>
      </c>
      <c r="K29" s="516">
        <v>-1250</v>
      </c>
      <c r="L29" s="516">
        <v>-2317</v>
      </c>
      <c r="M29" s="516"/>
      <c r="N29" s="516"/>
      <c r="O29" s="516"/>
      <c r="P29" s="516"/>
      <c r="Q29" s="516"/>
      <c r="R29" s="516"/>
      <c r="T29" s="516">
        <f t="shared" ref="T29:T37" si="10">K29</f>
        <v>-1250</v>
      </c>
      <c r="U29" s="516">
        <f t="shared" ref="U29:U37" si="11">L29-T29</f>
        <v>-1067</v>
      </c>
    </row>
    <row r="30" spans="1:21" outlineLevel="1">
      <c r="A30" s="511" t="s">
        <v>484</v>
      </c>
      <c r="C30" s="516">
        <v>-21155</v>
      </c>
      <c r="D30" s="516">
        <v>-44331</v>
      </c>
      <c r="E30" s="516">
        <v>-71820</v>
      </c>
      <c r="F30" s="516">
        <v>-99890</v>
      </c>
      <c r="G30" s="516">
        <v>-26109</v>
      </c>
      <c r="H30" s="516">
        <v>-49962</v>
      </c>
      <c r="I30" s="516">
        <v>-75670</v>
      </c>
      <c r="J30" s="516">
        <v>-152198</v>
      </c>
      <c r="K30" s="516">
        <v>-39856</v>
      </c>
      <c r="L30" s="516">
        <v>-80408</v>
      </c>
      <c r="M30" s="516"/>
      <c r="N30" s="516"/>
      <c r="O30" s="516"/>
      <c r="P30" s="516"/>
      <c r="Q30" s="516"/>
      <c r="R30" s="516"/>
      <c r="T30" s="516">
        <f t="shared" si="10"/>
        <v>-39856</v>
      </c>
      <c r="U30" s="516">
        <f t="shared" si="11"/>
        <v>-40552</v>
      </c>
    </row>
    <row r="31" spans="1:21" outlineLevel="1">
      <c r="A31" s="511" t="s">
        <v>485</v>
      </c>
      <c r="C31" s="516">
        <v>-9573</v>
      </c>
      <c r="D31" s="516">
        <v>-9923</v>
      </c>
      <c r="E31" s="516">
        <v>-9259</v>
      </c>
      <c r="F31" s="516">
        <v>-9925</v>
      </c>
      <c r="G31" s="516">
        <v>-125</v>
      </c>
      <c r="H31" s="516">
        <v>-794</v>
      </c>
      <c r="I31" s="516">
        <v>-7125</v>
      </c>
      <c r="J31" s="516">
        <v>-9030.3149999999987</v>
      </c>
      <c r="K31" s="516">
        <v>-556.75500000000011</v>
      </c>
      <c r="L31" s="516">
        <v>-685.75500000000011</v>
      </c>
      <c r="M31" s="516"/>
      <c r="N31" s="516"/>
      <c r="O31" s="516"/>
      <c r="P31" s="516"/>
      <c r="Q31" s="516"/>
      <c r="R31" s="516"/>
      <c r="T31" s="516">
        <f t="shared" si="10"/>
        <v>-556.75500000000011</v>
      </c>
      <c r="U31" s="516">
        <f t="shared" si="11"/>
        <v>-129</v>
      </c>
    </row>
    <row r="32" spans="1:21" outlineLevel="1">
      <c r="A32" s="511" t="s">
        <v>486</v>
      </c>
      <c r="C32" s="516">
        <v>0</v>
      </c>
      <c r="D32" s="516">
        <v>0</v>
      </c>
      <c r="E32" s="516">
        <v>0</v>
      </c>
      <c r="F32" s="516">
        <v>0</v>
      </c>
      <c r="G32" s="516">
        <v>0</v>
      </c>
      <c r="H32" s="516">
        <v>0</v>
      </c>
      <c r="I32" s="516">
        <v>0</v>
      </c>
      <c r="J32" s="516">
        <v>0</v>
      </c>
      <c r="K32" s="516">
        <v>0</v>
      </c>
      <c r="L32" s="516">
        <v>0</v>
      </c>
      <c r="M32" s="516"/>
      <c r="N32" s="516"/>
      <c r="O32" s="516"/>
      <c r="P32" s="516"/>
      <c r="Q32" s="516"/>
      <c r="R32" s="516"/>
      <c r="T32" s="516">
        <f t="shared" si="10"/>
        <v>0</v>
      </c>
      <c r="U32" s="516">
        <f t="shared" si="11"/>
        <v>0</v>
      </c>
    </row>
    <row r="33" spans="1:21" outlineLevel="1">
      <c r="A33" s="511" t="s">
        <v>487</v>
      </c>
      <c r="C33" s="516">
        <v>-2572</v>
      </c>
      <c r="D33" s="516">
        <v>-5090</v>
      </c>
      <c r="E33" s="516">
        <v>-7894</v>
      </c>
      <c r="F33" s="516">
        <v>-10741</v>
      </c>
      <c r="G33" s="516">
        <v>-2808</v>
      </c>
      <c r="H33" s="516">
        <v>-5703</v>
      </c>
      <c r="I33" s="516">
        <v>-8629</v>
      </c>
      <c r="J33" s="516">
        <v>-11689</v>
      </c>
      <c r="K33" s="516">
        <v>-2995</v>
      </c>
      <c r="L33" s="516">
        <v>-5998</v>
      </c>
      <c r="M33" s="516"/>
      <c r="N33" s="516"/>
      <c r="O33" s="516"/>
      <c r="P33" s="516"/>
      <c r="Q33" s="516"/>
      <c r="R33" s="516"/>
      <c r="T33" s="516">
        <f t="shared" si="10"/>
        <v>-2995</v>
      </c>
      <c r="U33" s="516">
        <f t="shared" si="11"/>
        <v>-3003</v>
      </c>
    </row>
    <row r="34" spans="1:21" outlineLevel="1">
      <c r="A34" s="511" t="s">
        <v>488</v>
      </c>
      <c r="C34" s="516">
        <v>-886</v>
      </c>
      <c r="D34" s="516">
        <v>-1773</v>
      </c>
      <c r="E34" s="516">
        <v>-3060</v>
      </c>
      <c r="F34" s="516">
        <v>-4494</v>
      </c>
      <c r="G34" s="516">
        <v>-1434</v>
      </c>
      <c r="H34" s="516">
        <v>-2868</v>
      </c>
      <c r="I34" s="516">
        <v>-4103</v>
      </c>
      <c r="J34" s="516">
        <v>-5179</v>
      </c>
      <c r="K34" s="516">
        <v>-1218</v>
      </c>
      <c r="L34" s="516">
        <v>-2349</v>
      </c>
      <c r="M34" s="516"/>
      <c r="N34" s="516"/>
      <c r="O34" s="516"/>
      <c r="P34" s="516"/>
      <c r="Q34" s="516"/>
      <c r="R34" s="516"/>
      <c r="T34" s="516">
        <f t="shared" si="10"/>
        <v>-1218</v>
      </c>
      <c r="U34" s="516">
        <f t="shared" si="11"/>
        <v>-1131</v>
      </c>
    </row>
    <row r="35" spans="1:21" outlineLevel="1">
      <c r="A35" s="511" t="s">
        <v>489</v>
      </c>
      <c r="C35" s="516">
        <v>0</v>
      </c>
      <c r="D35" s="516">
        <v>0</v>
      </c>
      <c r="E35" s="516">
        <v>0</v>
      </c>
      <c r="F35" s="516">
        <v>0</v>
      </c>
      <c r="G35" s="516">
        <v>0</v>
      </c>
      <c r="H35" s="516">
        <v>0</v>
      </c>
      <c r="I35" s="516">
        <v>0</v>
      </c>
      <c r="J35" s="516">
        <v>0</v>
      </c>
      <c r="K35" s="516">
        <v>0</v>
      </c>
      <c r="L35" s="516">
        <v>0</v>
      </c>
      <c r="M35" s="516"/>
      <c r="N35" s="516"/>
      <c r="O35" s="516"/>
      <c r="P35" s="516"/>
      <c r="Q35" s="516"/>
      <c r="R35" s="516"/>
      <c r="T35" s="516">
        <f t="shared" si="10"/>
        <v>0</v>
      </c>
      <c r="U35" s="516">
        <f t="shared" si="11"/>
        <v>0</v>
      </c>
    </row>
    <row r="36" spans="1:21" outlineLevel="1">
      <c r="A36" s="511" t="s">
        <v>490</v>
      </c>
      <c r="C36" s="516">
        <v>0</v>
      </c>
      <c r="D36" s="516">
        <v>0</v>
      </c>
      <c r="E36" s="516">
        <v>0</v>
      </c>
      <c r="F36" s="516">
        <v>0</v>
      </c>
      <c r="G36" s="516">
        <v>0</v>
      </c>
      <c r="H36" s="516">
        <v>0</v>
      </c>
      <c r="I36" s="516">
        <v>-4</v>
      </c>
      <c r="J36" s="516">
        <v>-4</v>
      </c>
      <c r="K36" s="516">
        <v>0</v>
      </c>
      <c r="L36" s="516">
        <v>0</v>
      </c>
      <c r="M36" s="516"/>
      <c r="N36" s="516"/>
      <c r="O36" s="516"/>
      <c r="P36" s="516"/>
      <c r="Q36" s="516"/>
      <c r="R36" s="516"/>
      <c r="T36" s="516">
        <f t="shared" si="10"/>
        <v>0</v>
      </c>
      <c r="U36" s="516">
        <f t="shared" si="11"/>
        <v>0</v>
      </c>
    </row>
    <row r="37" spans="1:21" outlineLevel="1">
      <c r="A37" s="511" t="s">
        <v>59</v>
      </c>
      <c r="C37" s="516">
        <v>0</v>
      </c>
      <c r="D37" s="516">
        <v>0</v>
      </c>
      <c r="E37" s="516">
        <v>0</v>
      </c>
      <c r="F37" s="516">
        <v>0</v>
      </c>
      <c r="G37" s="516">
        <v>0</v>
      </c>
      <c r="H37" s="516">
        <v>0</v>
      </c>
      <c r="I37" s="516">
        <v>0</v>
      </c>
      <c r="J37" s="516">
        <v>0</v>
      </c>
      <c r="K37" s="516">
        <v>0</v>
      </c>
      <c r="L37" s="516">
        <v>0</v>
      </c>
      <c r="M37" s="516"/>
      <c r="N37" s="516"/>
      <c r="O37" s="516"/>
      <c r="P37" s="516"/>
      <c r="Q37" s="516"/>
      <c r="R37" s="516"/>
      <c r="T37" s="516">
        <f t="shared" si="10"/>
        <v>0</v>
      </c>
      <c r="U37" s="516">
        <f t="shared" si="11"/>
        <v>0</v>
      </c>
    </row>
    <row r="38" spans="1:21">
      <c r="A38" s="510"/>
      <c r="C38" s="510"/>
      <c r="D38" s="510"/>
      <c r="E38" s="510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P38" s="510"/>
      <c r="Q38" s="510"/>
      <c r="R38" s="510"/>
      <c r="T38" s="510"/>
      <c r="U38" s="510"/>
    </row>
    <row r="39" spans="1:21">
      <c r="A39" s="522" t="s">
        <v>491</v>
      </c>
      <c r="C39" s="513">
        <f t="shared" ref="C39:H39" si="12">C27+C6</f>
        <v>509136</v>
      </c>
      <c r="D39" s="513">
        <f t="shared" si="12"/>
        <v>1047468</v>
      </c>
      <c r="E39" s="513">
        <f t="shared" si="12"/>
        <v>1631416</v>
      </c>
      <c r="F39" s="513">
        <f t="shared" si="12"/>
        <v>2238241</v>
      </c>
      <c r="G39" s="513">
        <f t="shared" si="12"/>
        <v>576242</v>
      </c>
      <c r="H39" s="513">
        <f t="shared" si="12"/>
        <v>1140580</v>
      </c>
      <c r="I39" s="513">
        <f>I27+I6</f>
        <v>1838160</v>
      </c>
      <c r="J39" s="513">
        <f>J27+J6</f>
        <v>2495963</v>
      </c>
      <c r="K39" s="513">
        <f>K27+K6</f>
        <v>554762</v>
      </c>
      <c r="L39" s="513">
        <f>L27+L6</f>
        <v>1116929</v>
      </c>
      <c r="M39" s="513"/>
      <c r="N39" s="513"/>
      <c r="O39" s="513"/>
      <c r="P39" s="513"/>
      <c r="Q39" s="513"/>
      <c r="R39" s="513"/>
      <c r="T39" s="513">
        <f>T27+T6</f>
        <v>554762</v>
      </c>
      <c r="U39" s="513">
        <f>U27+U6</f>
        <v>562167</v>
      </c>
    </row>
    <row r="40" spans="1:21">
      <c r="A40" s="510"/>
      <c r="C40" s="510"/>
      <c r="D40" s="510"/>
      <c r="E40" s="510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P40" s="510"/>
      <c r="Q40" s="510"/>
      <c r="R40" s="510"/>
      <c r="T40" s="510"/>
      <c r="U40" s="510"/>
    </row>
    <row r="41" spans="1:21">
      <c r="A41" s="509" t="s">
        <v>492</v>
      </c>
      <c r="C41" s="517">
        <f t="shared" ref="C41:H41" si="13">SUM(C43:C48)</f>
        <v>-137872</v>
      </c>
      <c r="D41" s="517">
        <f t="shared" si="13"/>
        <v>-310942</v>
      </c>
      <c r="E41" s="517">
        <f t="shared" si="13"/>
        <v>-416957</v>
      </c>
      <c r="F41" s="517">
        <f t="shared" si="13"/>
        <v>-553616</v>
      </c>
      <c r="G41" s="517">
        <f t="shared" si="13"/>
        <v>-161794</v>
      </c>
      <c r="H41" s="517">
        <f t="shared" si="13"/>
        <v>-341418</v>
      </c>
      <c r="I41" s="517">
        <f>SUM(I43:I48)</f>
        <v>-553975</v>
      </c>
      <c r="J41" s="517">
        <f>SUM(J43:J48)</f>
        <v>-654303</v>
      </c>
      <c r="K41" s="517">
        <f>SUM(K43:K48)</f>
        <v>-155875</v>
      </c>
      <c r="L41" s="517">
        <f>SUM(L43:L48)</f>
        <v>-306022</v>
      </c>
      <c r="M41" s="517"/>
      <c r="N41" s="517"/>
      <c r="O41" s="517"/>
      <c r="P41" s="517"/>
      <c r="Q41" s="517"/>
      <c r="R41" s="517"/>
      <c r="T41" s="517">
        <f>SUM(T43:T48)</f>
        <v>-155875</v>
      </c>
      <c r="U41" s="517">
        <f>SUM(U43:U48)</f>
        <v>-150147</v>
      </c>
    </row>
    <row r="42" spans="1:21">
      <c r="A42" s="509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T42" s="514"/>
      <c r="U42" s="514"/>
    </row>
    <row r="43" spans="1:21">
      <c r="A43" s="510" t="s">
        <v>493</v>
      </c>
      <c r="C43" s="515">
        <v>-2745</v>
      </c>
      <c r="D43" s="515">
        <v>-3459</v>
      </c>
      <c r="E43" s="515">
        <v>-4124</v>
      </c>
      <c r="F43" s="515">
        <v>-5659</v>
      </c>
      <c r="G43" s="515">
        <v>-12504</v>
      </c>
      <c r="H43" s="515">
        <v>-21129</v>
      </c>
      <c r="I43" s="515">
        <v>-28398</v>
      </c>
      <c r="J43" s="515">
        <v>-34761</v>
      </c>
      <c r="K43" s="515">
        <v>-9669</v>
      </c>
      <c r="L43" s="515">
        <v>-18282</v>
      </c>
      <c r="M43" s="515"/>
      <c r="N43" s="515"/>
      <c r="O43" s="515"/>
      <c r="P43" s="515"/>
      <c r="Q43" s="515"/>
      <c r="R43" s="515"/>
      <c r="T43" s="515">
        <f t="shared" ref="T43:T47" si="14">K43</f>
        <v>-9669</v>
      </c>
      <c r="U43" s="515">
        <f t="shared" ref="U43:U47" si="15">L43-T43</f>
        <v>-8613</v>
      </c>
    </row>
    <row r="44" spans="1:21">
      <c r="A44" s="510" t="s">
        <v>494</v>
      </c>
      <c r="C44" s="515">
        <v>-5465</v>
      </c>
      <c r="D44" s="515">
        <v>-5465</v>
      </c>
      <c r="E44" s="515">
        <v>-5465</v>
      </c>
      <c r="F44" s="515">
        <v>-5465</v>
      </c>
      <c r="G44" s="515">
        <v>-904</v>
      </c>
      <c r="H44" s="515">
        <v>-5725</v>
      </c>
      <c r="I44" s="515">
        <v>-46316</v>
      </c>
      <c r="J44" s="515">
        <v>-102429.35823</v>
      </c>
      <c r="K44" s="515">
        <v>-3994</v>
      </c>
      <c r="L44" s="515">
        <v>-4928</v>
      </c>
      <c r="M44" s="515"/>
      <c r="N44" s="515"/>
      <c r="O44" s="515"/>
      <c r="P44" s="515"/>
      <c r="Q44" s="515"/>
      <c r="R44" s="515"/>
      <c r="T44" s="515">
        <f t="shared" si="14"/>
        <v>-3994</v>
      </c>
      <c r="U44" s="515">
        <f t="shared" si="15"/>
        <v>-934</v>
      </c>
    </row>
    <row r="45" spans="1:21">
      <c r="A45" s="510" t="s">
        <v>495</v>
      </c>
      <c r="C45" s="515">
        <v>-87083</v>
      </c>
      <c r="D45" s="515">
        <v>-112430</v>
      </c>
      <c r="E45" s="515">
        <v>-70154</v>
      </c>
      <c r="F45" s="515">
        <v>-70154</v>
      </c>
      <c r="G45" s="515">
        <v>0</v>
      </c>
      <c r="H45" s="515">
        <v>0</v>
      </c>
      <c r="I45" s="515">
        <v>0</v>
      </c>
      <c r="J45" s="515">
        <v>0</v>
      </c>
      <c r="K45" s="515">
        <v>0</v>
      </c>
      <c r="L45" s="515">
        <v>0</v>
      </c>
      <c r="M45" s="515"/>
      <c r="N45" s="515"/>
      <c r="O45" s="515"/>
      <c r="P45" s="515"/>
      <c r="Q45" s="515"/>
      <c r="R45" s="515"/>
      <c r="T45" s="515">
        <f t="shared" si="14"/>
        <v>0</v>
      </c>
      <c r="U45" s="515">
        <f t="shared" si="15"/>
        <v>0</v>
      </c>
    </row>
    <row r="46" spans="1:21">
      <c r="A46" s="510" t="s">
        <v>496</v>
      </c>
      <c r="C46" s="515">
        <v>8057</v>
      </c>
      <c r="D46" s="515">
        <v>10399</v>
      </c>
      <c r="E46" s="515">
        <v>6490</v>
      </c>
      <c r="F46" s="515">
        <v>6490</v>
      </c>
      <c r="G46" s="515">
        <v>0</v>
      </c>
      <c r="H46" s="515">
        <v>0</v>
      </c>
      <c r="I46" s="515">
        <v>0</v>
      </c>
      <c r="J46" s="515">
        <v>0</v>
      </c>
      <c r="K46" s="515">
        <v>0</v>
      </c>
      <c r="L46" s="515">
        <v>0</v>
      </c>
      <c r="M46" s="515"/>
      <c r="N46" s="515"/>
      <c r="O46" s="515"/>
      <c r="P46" s="515"/>
      <c r="Q46" s="515"/>
      <c r="R46" s="515"/>
      <c r="T46" s="515">
        <f t="shared" si="14"/>
        <v>0</v>
      </c>
      <c r="U46" s="515">
        <f t="shared" si="15"/>
        <v>0</v>
      </c>
    </row>
    <row r="47" spans="1:21">
      <c r="A47" s="510" t="s">
        <v>497</v>
      </c>
      <c r="C47" s="515">
        <v>0</v>
      </c>
      <c r="D47" s="515">
        <v>0</v>
      </c>
      <c r="E47" s="515">
        <v>0</v>
      </c>
      <c r="F47" s="515">
        <v>0</v>
      </c>
      <c r="G47" s="515">
        <v>0</v>
      </c>
      <c r="H47" s="515">
        <v>0</v>
      </c>
      <c r="I47" s="515">
        <v>0</v>
      </c>
      <c r="J47" s="515">
        <v>0</v>
      </c>
      <c r="K47" s="515">
        <v>0</v>
      </c>
      <c r="L47" s="515">
        <v>0</v>
      </c>
      <c r="M47" s="515"/>
      <c r="N47" s="515"/>
      <c r="O47" s="515"/>
      <c r="P47" s="515"/>
      <c r="Q47" s="515"/>
      <c r="R47" s="515"/>
      <c r="T47" s="515">
        <f t="shared" si="14"/>
        <v>0</v>
      </c>
      <c r="U47" s="515">
        <f t="shared" si="15"/>
        <v>0</v>
      </c>
    </row>
    <row r="48" spans="1:21">
      <c r="A48" s="510" t="s">
        <v>498</v>
      </c>
      <c r="C48" s="515">
        <f t="shared" ref="C48:H48" si="16">SUM(C49:C55)</f>
        <v>-50636</v>
      </c>
      <c r="D48" s="515">
        <f t="shared" si="16"/>
        <v>-199987</v>
      </c>
      <c r="E48" s="515">
        <f t="shared" si="16"/>
        <v>-343704</v>
      </c>
      <c r="F48" s="515">
        <f t="shared" si="16"/>
        <v>-478828</v>
      </c>
      <c r="G48" s="515">
        <f t="shared" si="16"/>
        <v>-148386</v>
      </c>
      <c r="H48" s="515">
        <f t="shared" si="16"/>
        <v>-314564</v>
      </c>
      <c r="I48" s="515">
        <f>SUM(I49:I55)</f>
        <v>-479261</v>
      </c>
      <c r="J48" s="515">
        <f>SUM(J49:J55)</f>
        <v>-517112.64176999999</v>
      </c>
      <c r="K48" s="515">
        <f>SUM(K49:K55)</f>
        <v>-142212</v>
      </c>
      <c r="L48" s="515">
        <f>SUM(L49:L55)</f>
        <v>-282812</v>
      </c>
      <c r="M48" s="515"/>
      <c r="N48" s="515"/>
      <c r="O48" s="515"/>
      <c r="P48" s="515"/>
      <c r="Q48" s="515"/>
      <c r="R48" s="515"/>
      <c r="T48" s="515">
        <f>SUM(T49:T55)</f>
        <v>-142212</v>
      </c>
      <c r="U48" s="515">
        <f>SUM(U49:U55)</f>
        <v>-140600</v>
      </c>
    </row>
    <row r="49" spans="1:21" outlineLevel="1">
      <c r="A49" s="511" t="s">
        <v>499</v>
      </c>
      <c r="C49" s="516">
        <v>-9263</v>
      </c>
      <c r="D49" s="516">
        <v>-24276</v>
      </c>
      <c r="E49" s="516">
        <v>-35745</v>
      </c>
      <c r="F49" s="516">
        <v>-42506</v>
      </c>
      <c r="G49" s="516">
        <v>-6700</v>
      </c>
      <c r="H49" s="516">
        <v>-20600</v>
      </c>
      <c r="I49" s="516">
        <v>-34651</v>
      </c>
      <c r="J49" s="516">
        <v>-46642</v>
      </c>
      <c r="K49" s="516">
        <v>-12481</v>
      </c>
      <c r="L49" s="516">
        <v>-26182</v>
      </c>
      <c r="M49" s="516"/>
      <c r="N49" s="516"/>
      <c r="O49" s="516"/>
      <c r="P49" s="516"/>
      <c r="Q49" s="516"/>
      <c r="R49" s="516"/>
      <c r="T49" s="516">
        <f t="shared" ref="T49:T55" si="17">K49</f>
        <v>-12481</v>
      </c>
      <c r="U49" s="516">
        <f t="shared" ref="U49:U55" si="18">L49-T49</f>
        <v>-13701</v>
      </c>
    </row>
    <row r="50" spans="1:21" outlineLevel="1">
      <c r="A50" s="511" t="s">
        <v>500</v>
      </c>
      <c r="C50" s="516">
        <v>-1191</v>
      </c>
      <c r="D50" s="516">
        <v>-5727</v>
      </c>
      <c r="E50" s="516">
        <v>-7779</v>
      </c>
      <c r="F50" s="516">
        <v>-10378</v>
      </c>
      <c r="G50" s="516">
        <v>-3001</v>
      </c>
      <c r="H50" s="516">
        <v>-8515</v>
      </c>
      <c r="I50" s="516">
        <v>-12320</v>
      </c>
      <c r="J50" s="516">
        <v>-14949</v>
      </c>
      <c r="K50" s="516">
        <v>-2917</v>
      </c>
      <c r="L50" s="516">
        <v>-4717</v>
      </c>
      <c r="M50" s="516"/>
      <c r="N50" s="516"/>
      <c r="O50" s="516"/>
      <c r="P50" s="516"/>
      <c r="Q50" s="516"/>
      <c r="R50" s="516"/>
      <c r="T50" s="516">
        <f t="shared" si="17"/>
        <v>-2917</v>
      </c>
      <c r="U50" s="516">
        <f t="shared" si="18"/>
        <v>-1800</v>
      </c>
    </row>
    <row r="51" spans="1:21" outlineLevel="1">
      <c r="A51" s="511" t="s">
        <v>501</v>
      </c>
      <c r="C51" s="516">
        <v>-4090</v>
      </c>
      <c r="D51" s="516">
        <v>-20093</v>
      </c>
      <c r="E51" s="516">
        <v>-32216</v>
      </c>
      <c r="F51" s="516">
        <v>-47879</v>
      </c>
      <c r="G51" s="516">
        <v>-12721</v>
      </c>
      <c r="H51" s="516">
        <v>-33061</v>
      </c>
      <c r="I51" s="516">
        <v>-59446</v>
      </c>
      <c r="J51" s="516">
        <v>-39422.641770000002</v>
      </c>
      <c r="K51" s="516">
        <v>-14259</v>
      </c>
      <c r="L51" s="516">
        <v>-25892</v>
      </c>
      <c r="M51" s="516"/>
      <c r="N51" s="516"/>
      <c r="O51" s="516"/>
      <c r="P51" s="516"/>
      <c r="Q51" s="516"/>
      <c r="R51" s="516"/>
      <c r="T51" s="516">
        <f t="shared" si="17"/>
        <v>-14259</v>
      </c>
      <c r="U51" s="516">
        <f t="shared" si="18"/>
        <v>-11633</v>
      </c>
    </row>
    <row r="52" spans="1:21" outlineLevel="1">
      <c r="A52" s="511" t="s">
        <v>502</v>
      </c>
      <c r="C52" s="516">
        <v>-21681</v>
      </c>
      <c r="D52" s="516">
        <v>-83179</v>
      </c>
      <c r="E52" s="516">
        <v>-146829</v>
      </c>
      <c r="F52" s="516">
        <v>-210514</v>
      </c>
      <c r="G52" s="516">
        <v>-66601</v>
      </c>
      <c r="H52" s="516">
        <v>-132305</v>
      </c>
      <c r="I52" s="516">
        <v>-195600</v>
      </c>
      <c r="J52" s="516">
        <v>-212211</v>
      </c>
      <c r="K52" s="516">
        <v>-54241</v>
      </c>
      <c r="L52" s="516">
        <v>-108660</v>
      </c>
      <c r="M52" s="516"/>
      <c r="N52" s="516"/>
      <c r="O52" s="516"/>
      <c r="P52" s="516"/>
      <c r="Q52" s="516"/>
      <c r="R52" s="516"/>
      <c r="T52" s="516">
        <f t="shared" si="17"/>
        <v>-54241</v>
      </c>
      <c r="U52" s="516">
        <f t="shared" si="18"/>
        <v>-54419</v>
      </c>
    </row>
    <row r="53" spans="1:21" outlineLevel="1">
      <c r="A53" s="511" t="s">
        <v>503</v>
      </c>
      <c r="C53" s="516">
        <v>0</v>
      </c>
      <c r="D53" s="516">
        <v>0</v>
      </c>
      <c r="E53" s="516">
        <v>0</v>
      </c>
      <c r="F53" s="516">
        <v>0</v>
      </c>
      <c r="G53" s="516">
        <v>0</v>
      </c>
      <c r="H53" s="516">
        <v>0</v>
      </c>
      <c r="I53" s="516">
        <v>0</v>
      </c>
      <c r="J53" s="516">
        <v>0</v>
      </c>
      <c r="K53" s="516">
        <v>0</v>
      </c>
      <c r="L53" s="516">
        <v>0</v>
      </c>
      <c r="M53" s="516"/>
      <c r="N53" s="516"/>
      <c r="O53" s="516"/>
      <c r="P53" s="516"/>
      <c r="Q53" s="516"/>
      <c r="R53" s="516"/>
      <c r="T53" s="516">
        <f t="shared" si="17"/>
        <v>0</v>
      </c>
      <c r="U53" s="516">
        <f t="shared" si="18"/>
        <v>0</v>
      </c>
    </row>
    <row r="54" spans="1:21" outlineLevel="1">
      <c r="A54" s="511" t="s">
        <v>504</v>
      </c>
      <c r="C54" s="516">
        <v>-715</v>
      </c>
      <c r="D54" s="516">
        <v>-168</v>
      </c>
      <c r="E54" s="516">
        <v>-496</v>
      </c>
      <c r="F54" s="516">
        <v>-554</v>
      </c>
      <c r="G54" s="516">
        <v>-102</v>
      </c>
      <c r="H54" s="516">
        <v>-175</v>
      </c>
      <c r="I54" s="516">
        <v>-206</v>
      </c>
      <c r="J54" s="516">
        <v>-332</v>
      </c>
      <c r="K54" s="516">
        <v>-40</v>
      </c>
      <c r="L54" s="516">
        <v>-105</v>
      </c>
      <c r="M54" s="516"/>
      <c r="N54" s="516"/>
      <c r="O54" s="516"/>
      <c r="P54" s="516"/>
      <c r="Q54" s="516"/>
      <c r="R54" s="516"/>
      <c r="T54" s="516">
        <f t="shared" si="17"/>
        <v>-40</v>
      </c>
      <c r="U54" s="516">
        <f t="shared" si="18"/>
        <v>-65</v>
      </c>
    </row>
    <row r="55" spans="1:21" outlineLevel="1">
      <c r="A55" s="511" t="s">
        <v>505</v>
      </c>
      <c r="C55" s="516">
        <v>-13696</v>
      </c>
      <c r="D55" s="516">
        <v>-66544</v>
      </c>
      <c r="E55" s="516">
        <v>-120639</v>
      </c>
      <c r="F55" s="516">
        <v>-166997</v>
      </c>
      <c r="G55" s="516">
        <v>-59261</v>
      </c>
      <c r="H55" s="516">
        <v>-119908</v>
      </c>
      <c r="I55" s="516">
        <v>-177038</v>
      </c>
      <c r="J55" s="516">
        <v>-203556</v>
      </c>
      <c r="K55" s="516">
        <v>-58274</v>
      </c>
      <c r="L55" s="516">
        <v>-117256</v>
      </c>
      <c r="M55" s="516"/>
      <c r="N55" s="516"/>
      <c r="O55" s="516"/>
      <c r="P55" s="516"/>
      <c r="Q55" s="516"/>
      <c r="R55" s="516"/>
      <c r="T55" s="516">
        <f t="shared" si="17"/>
        <v>-58274</v>
      </c>
      <c r="U55" s="516">
        <f t="shared" si="18"/>
        <v>-58982</v>
      </c>
    </row>
    <row r="56" spans="1:21">
      <c r="A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0"/>
      <c r="T56" s="510"/>
      <c r="U56" s="510"/>
    </row>
    <row r="57" spans="1:21">
      <c r="A57" s="522" t="s">
        <v>506</v>
      </c>
      <c r="C57" s="513">
        <f t="shared" ref="C57:H57" si="19">C39+C41</f>
        <v>371264</v>
      </c>
      <c r="D57" s="513">
        <f t="shared" si="19"/>
        <v>736526</v>
      </c>
      <c r="E57" s="513">
        <f t="shared" si="19"/>
        <v>1214459</v>
      </c>
      <c r="F57" s="513">
        <f t="shared" si="19"/>
        <v>1684625</v>
      </c>
      <c r="G57" s="513">
        <f t="shared" si="19"/>
        <v>414448</v>
      </c>
      <c r="H57" s="513">
        <f t="shared" si="19"/>
        <v>799162</v>
      </c>
      <c r="I57" s="513">
        <f>I39+I41</f>
        <v>1284185</v>
      </c>
      <c r="J57" s="513">
        <f>J39+J41</f>
        <v>1841660</v>
      </c>
      <c r="K57" s="513">
        <f>K39+K41</f>
        <v>398887</v>
      </c>
      <c r="L57" s="513">
        <f>L39+L41</f>
        <v>810907</v>
      </c>
      <c r="M57" s="513"/>
      <c r="N57" s="513"/>
      <c r="O57" s="513"/>
      <c r="P57" s="513"/>
      <c r="Q57" s="513"/>
      <c r="R57" s="513"/>
      <c r="T57" s="513">
        <f>T39+T41</f>
        <v>398887</v>
      </c>
      <c r="U57" s="513">
        <f>U39+U41</f>
        <v>412020</v>
      </c>
    </row>
    <row r="58" spans="1:21">
      <c r="A58" s="510"/>
      <c r="C58" s="510"/>
      <c r="D58" s="510"/>
      <c r="E58" s="510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P58" s="510"/>
      <c r="Q58" s="510"/>
      <c r="R58" s="510"/>
      <c r="T58" s="510"/>
      <c r="U58" s="510"/>
    </row>
    <row r="59" spans="1:21">
      <c r="A59" s="509" t="s">
        <v>507</v>
      </c>
      <c r="C59" s="517">
        <f t="shared" ref="C59:H59" si="20">C61+C67+C68+C77+C78</f>
        <v>-11291</v>
      </c>
      <c r="D59" s="517">
        <f t="shared" si="20"/>
        <v>-135137</v>
      </c>
      <c r="E59" s="517">
        <f t="shared" si="20"/>
        <v>-214635</v>
      </c>
      <c r="F59" s="517">
        <f t="shared" si="20"/>
        <v>-318107</v>
      </c>
      <c r="G59" s="517">
        <f t="shared" si="20"/>
        <v>-110654</v>
      </c>
      <c r="H59" s="517">
        <f t="shared" si="20"/>
        <v>-177566</v>
      </c>
      <c r="I59" s="517">
        <f>I61+I67+I68+I77+I78</f>
        <v>-268029</v>
      </c>
      <c r="J59" s="517">
        <f>J61+J67+J68+J77+J78</f>
        <v>-381031</v>
      </c>
      <c r="K59" s="517">
        <f>K61+K67+K68+K77+K78</f>
        <v>-87858</v>
      </c>
      <c r="L59" s="517">
        <f>L61+L67+L68+L77+L78</f>
        <v>-186504</v>
      </c>
      <c r="M59" s="517"/>
      <c r="N59" s="517"/>
      <c r="O59" s="517"/>
      <c r="P59" s="517"/>
      <c r="Q59" s="517"/>
      <c r="R59" s="517"/>
      <c r="T59" s="517">
        <f>T61+T67+T68+T77+T78</f>
        <v>-87858</v>
      </c>
      <c r="U59" s="517">
        <f>U61+U67+U68+U77+U78</f>
        <v>-98646</v>
      </c>
    </row>
    <row r="60" spans="1:21">
      <c r="A60" s="509"/>
      <c r="C60" s="514"/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514"/>
      <c r="R60" s="514"/>
      <c r="T60" s="514"/>
      <c r="U60" s="514"/>
    </row>
    <row r="61" spans="1:21">
      <c r="A61" s="512" t="s">
        <v>508</v>
      </c>
      <c r="C61" s="515">
        <f t="shared" ref="C61:H61" si="21">SUM(C62:C66)</f>
        <v>0</v>
      </c>
      <c r="D61" s="515">
        <f t="shared" si="21"/>
        <v>0</v>
      </c>
      <c r="E61" s="515">
        <f t="shared" si="21"/>
        <v>0</v>
      </c>
      <c r="F61" s="515">
        <f t="shared" si="21"/>
        <v>0</v>
      </c>
      <c r="G61" s="515">
        <f t="shared" si="21"/>
        <v>0</v>
      </c>
      <c r="H61" s="515">
        <f t="shared" si="21"/>
        <v>0</v>
      </c>
      <c r="I61" s="515">
        <f>SUM(I62:I66)</f>
        <v>0</v>
      </c>
      <c r="J61" s="515">
        <f>SUM(J62:J66)</f>
        <v>0</v>
      </c>
      <c r="K61" s="515">
        <f t="shared" ref="K61:L61" si="22">SUM(K62:K66)</f>
        <v>0</v>
      </c>
      <c r="L61" s="515">
        <f t="shared" si="22"/>
        <v>0</v>
      </c>
      <c r="M61" s="515"/>
      <c r="N61" s="515"/>
      <c r="O61" s="515"/>
      <c r="P61" s="515"/>
      <c r="Q61" s="515"/>
      <c r="R61" s="515"/>
      <c r="T61" s="515">
        <f t="shared" ref="T61:U61" si="23">SUM(T62:T66)</f>
        <v>0</v>
      </c>
      <c r="U61" s="515">
        <f t="shared" si="23"/>
        <v>0</v>
      </c>
    </row>
    <row r="62" spans="1:21" outlineLevel="1">
      <c r="A62" s="511" t="s">
        <v>509</v>
      </c>
      <c r="C62" s="516">
        <v>0</v>
      </c>
      <c r="D62" s="516">
        <v>0</v>
      </c>
      <c r="E62" s="516">
        <v>0</v>
      </c>
      <c r="F62" s="516">
        <v>0</v>
      </c>
      <c r="G62" s="516">
        <v>0</v>
      </c>
      <c r="H62" s="516">
        <v>0</v>
      </c>
      <c r="I62" s="516">
        <v>0</v>
      </c>
      <c r="J62" s="516">
        <v>0</v>
      </c>
      <c r="K62" s="516">
        <v>0</v>
      </c>
      <c r="L62" s="516">
        <v>0</v>
      </c>
      <c r="M62" s="516"/>
      <c r="N62" s="516"/>
      <c r="O62" s="516"/>
      <c r="P62" s="516"/>
      <c r="Q62" s="516"/>
      <c r="R62" s="516"/>
      <c r="T62" s="516">
        <f t="shared" ref="T62:T67" si="24">K62</f>
        <v>0</v>
      </c>
      <c r="U62" s="516">
        <f t="shared" ref="U62:U67" si="25">L62-T62</f>
        <v>0</v>
      </c>
    </row>
    <row r="63" spans="1:21" outlineLevel="1">
      <c r="A63" s="511" t="s">
        <v>510</v>
      </c>
      <c r="C63" s="516">
        <v>0</v>
      </c>
      <c r="D63" s="516">
        <v>0</v>
      </c>
      <c r="E63" s="516">
        <v>0</v>
      </c>
      <c r="F63" s="516">
        <v>0</v>
      </c>
      <c r="G63" s="516">
        <v>0</v>
      </c>
      <c r="H63" s="516">
        <v>0</v>
      </c>
      <c r="I63" s="516">
        <v>0</v>
      </c>
      <c r="J63" s="516">
        <v>0</v>
      </c>
      <c r="K63" s="516">
        <v>0</v>
      </c>
      <c r="L63" s="516">
        <v>0</v>
      </c>
      <c r="M63" s="516"/>
      <c r="N63" s="516"/>
      <c r="O63" s="516"/>
      <c r="P63" s="516"/>
      <c r="Q63" s="516"/>
      <c r="R63" s="516"/>
      <c r="T63" s="516">
        <f t="shared" si="24"/>
        <v>0</v>
      </c>
      <c r="U63" s="516">
        <f t="shared" si="25"/>
        <v>0</v>
      </c>
    </row>
    <row r="64" spans="1:21" outlineLevel="1">
      <c r="A64" s="511" t="s">
        <v>511</v>
      </c>
      <c r="C64" s="516">
        <v>0</v>
      </c>
      <c r="D64" s="516">
        <v>0</v>
      </c>
      <c r="E64" s="516">
        <v>0</v>
      </c>
      <c r="F64" s="516">
        <v>0</v>
      </c>
      <c r="G64" s="516">
        <v>0</v>
      </c>
      <c r="H64" s="516">
        <v>0</v>
      </c>
      <c r="I64" s="516">
        <v>0</v>
      </c>
      <c r="J64" s="516">
        <v>0</v>
      </c>
      <c r="K64" s="516">
        <v>0</v>
      </c>
      <c r="L64" s="516">
        <v>0</v>
      </c>
      <c r="M64" s="516"/>
      <c r="N64" s="516"/>
      <c r="O64" s="516"/>
      <c r="P64" s="516"/>
      <c r="Q64" s="516"/>
      <c r="R64" s="516"/>
      <c r="T64" s="516">
        <f t="shared" si="24"/>
        <v>0</v>
      </c>
      <c r="U64" s="516">
        <f t="shared" si="25"/>
        <v>0</v>
      </c>
    </row>
    <row r="65" spans="1:21" outlineLevel="1">
      <c r="A65" s="511" t="s">
        <v>512</v>
      </c>
      <c r="C65" s="516">
        <v>0</v>
      </c>
      <c r="D65" s="516">
        <v>0</v>
      </c>
      <c r="E65" s="516">
        <v>0</v>
      </c>
      <c r="F65" s="516">
        <v>0</v>
      </c>
      <c r="G65" s="516">
        <v>0</v>
      </c>
      <c r="H65" s="516">
        <v>0</v>
      </c>
      <c r="I65" s="516">
        <v>0</v>
      </c>
      <c r="J65" s="516">
        <v>0</v>
      </c>
      <c r="K65" s="516">
        <v>0</v>
      </c>
      <c r="L65" s="516">
        <v>0</v>
      </c>
      <c r="M65" s="516"/>
      <c r="N65" s="516"/>
      <c r="O65" s="516"/>
      <c r="P65" s="516"/>
      <c r="Q65" s="516"/>
      <c r="R65" s="516"/>
      <c r="T65" s="516">
        <f t="shared" si="24"/>
        <v>0</v>
      </c>
      <c r="U65" s="516">
        <f t="shared" si="25"/>
        <v>0</v>
      </c>
    </row>
    <row r="66" spans="1:21" outlineLevel="1">
      <c r="A66" s="511" t="s">
        <v>513</v>
      </c>
      <c r="C66" s="516">
        <v>0</v>
      </c>
      <c r="D66" s="516">
        <v>0</v>
      </c>
      <c r="E66" s="516">
        <v>0</v>
      </c>
      <c r="F66" s="516">
        <v>0</v>
      </c>
      <c r="G66" s="516">
        <v>0</v>
      </c>
      <c r="H66" s="516">
        <v>0</v>
      </c>
      <c r="I66" s="516">
        <v>0</v>
      </c>
      <c r="J66" s="516">
        <v>0</v>
      </c>
      <c r="K66" s="516">
        <v>0</v>
      </c>
      <c r="L66" s="516">
        <v>0</v>
      </c>
      <c r="M66" s="516"/>
      <c r="N66" s="516"/>
      <c r="O66" s="516"/>
      <c r="P66" s="516"/>
      <c r="Q66" s="516"/>
      <c r="R66" s="516"/>
      <c r="T66" s="516">
        <f t="shared" si="24"/>
        <v>0</v>
      </c>
      <c r="U66" s="516">
        <f t="shared" si="25"/>
        <v>0</v>
      </c>
    </row>
    <row r="67" spans="1:21">
      <c r="A67" s="510" t="s">
        <v>514</v>
      </c>
      <c r="C67" s="518">
        <v>0</v>
      </c>
      <c r="D67" s="518">
        <v>0</v>
      </c>
      <c r="E67" s="518">
        <v>0</v>
      </c>
      <c r="F67" s="518">
        <v>0</v>
      </c>
      <c r="G67" s="518">
        <v>0</v>
      </c>
      <c r="H67" s="518">
        <v>0</v>
      </c>
      <c r="I67" s="518">
        <v>0</v>
      </c>
      <c r="J67" s="518"/>
      <c r="K67" s="518"/>
      <c r="L67" s="518">
        <v>0</v>
      </c>
      <c r="M67" s="518"/>
      <c r="N67" s="518"/>
      <c r="O67" s="518"/>
      <c r="P67" s="518"/>
      <c r="Q67" s="518"/>
      <c r="R67" s="518"/>
      <c r="T67" s="518">
        <f t="shared" si="24"/>
        <v>0</v>
      </c>
      <c r="U67" s="518">
        <f t="shared" si="25"/>
        <v>0</v>
      </c>
    </row>
    <row r="68" spans="1:21">
      <c r="A68" s="510" t="s">
        <v>515</v>
      </c>
      <c r="C68" s="515">
        <f t="shared" ref="C68:H68" si="26">SUM(C69:C76)</f>
        <v>-11291</v>
      </c>
      <c r="D68" s="515">
        <f t="shared" si="26"/>
        <v>-135137</v>
      </c>
      <c r="E68" s="515">
        <f t="shared" si="26"/>
        <v>-216011</v>
      </c>
      <c r="F68" s="515">
        <f t="shared" si="26"/>
        <v>-318887</v>
      </c>
      <c r="G68" s="515">
        <f t="shared" si="26"/>
        <v>-110152</v>
      </c>
      <c r="H68" s="515">
        <f t="shared" si="26"/>
        <v>-177704</v>
      </c>
      <c r="I68" s="515">
        <f>SUM(I69:I76)</f>
        <v>-265190</v>
      </c>
      <c r="J68" s="515">
        <f>SUM(J69:J76)</f>
        <v>-358327</v>
      </c>
      <c r="K68" s="515">
        <f>SUM(K69:K76)</f>
        <v>-87189</v>
      </c>
      <c r="L68" s="515">
        <f>SUM(L69:L76)</f>
        <v>-186996</v>
      </c>
      <c r="M68" s="515"/>
      <c r="N68" s="515"/>
      <c r="O68" s="515"/>
      <c r="P68" s="515"/>
      <c r="Q68" s="515"/>
      <c r="R68" s="515"/>
      <c r="T68" s="515">
        <f>SUM(T69:T76)</f>
        <v>-87189</v>
      </c>
      <c r="U68" s="515">
        <f>SUM(U69:U76)</f>
        <v>-99807</v>
      </c>
    </row>
    <row r="69" spans="1:21" outlineLevel="1">
      <c r="A69" s="511" t="s">
        <v>516</v>
      </c>
      <c r="C69" s="516">
        <v>-3537</v>
      </c>
      <c r="D69" s="516">
        <v>-8735</v>
      </c>
      <c r="E69" s="516">
        <v>-20865</v>
      </c>
      <c r="F69" s="516">
        <v>-36271</v>
      </c>
      <c r="G69" s="516">
        <v>-15042</v>
      </c>
      <c r="H69" s="516">
        <v>-22698</v>
      </c>
      <c r="I69" s="516">
        <v>-31981</v>
      </c>
      <c r="J69" s="516">
        <v>-35375</v>
      </c>
      <c r="K69" s="516">
        <v>-9362</v>
      </c>
      <c r="L69" s="516">
        <v>-23910</v>
      </c>
      <c r="M69" s="516"/>
      <c r="N69" s="516"/>
      <c r="O69" s="516"/>
      <c r="P69" s="516"/>
      <c r="Q69" s="516"/>
      <c r="R69" s="516"/>
      <c r="T69" s="516">
        <f t="shared" ref="T69:T77" si="27">K69</f>
        <v>-9362</v>
      </c>
      <c r="U69" s="516">
        <f t="shared" ref="U69:U77" si="28">L69-T69</f>
        <v>-14548</v>
      </c>
    </row>
    <row r="70" spans="1:21" outlineLevel="1">
      <c r="A70" s="511" t="s">
        <v>517</v>
      </c>
      <c r="C70" s="516">
        <v>-77</v>
      </c>
      <c r="D70" s="516">
        <v>-119</v>
      </c>
      <c r="E70" s="516">
        <v>-57</v>
      </c>
      <c r="F70" s="516">
        <v>-375</v>
      </c>
      <c r="G70" s="516">
        <v>-194</v>
      </c>
      <c r="H70" s="516">
        <v>-177</v>
      </c>
      <c r="I70" s="516">
        <v>-315</v>
      </c>
      <c r="J70" s="516">
        <v>-535</v>
      </c>
      <c r="K70" s="516">
        <v>-89</v>
      </c>
      <c r="L70" s="516">
        <v>-213</v>
      </c>
      <c r="M70" s="516"/>
      <c r="N70" s="516"/>
      <c r="O70" s="516"/>
      <c r="P70" s="516"/>
      <c r="Q70" s="516"/>
      <c r="R70" s="516"/>
      <c r="T70" s="516">
        <f t="shared" si="27"/>
        <v>-89</v>
      </c>
      <c r="U70" s="516">
        <f t="shared" si="28"/>
        <v>-124</v>
      </c>
    </row>
    <row r="71" spans="1:21" outlineLevel="1">
      <c r="A71" s="511" t="s">
        <v>518</v>
      </c>
      <c r="C71" s="516">
        <v>-3653</v>
      </c>
      <c r="D71" s="516">
        <v>-10392</v>
      </c>
      <c r="E71" s="516">
        <v>-21216</v>
      </c>
      <c r="F71" s="516">
        <v>-29017</v>
      </c>
      <c r="G71" s="516">
        <v>-15739</v>
      </c>
      <c r="H71" s="516">
        <v>-8424</v>
      </c>
      <c r="I71" s="516">
        <v>-13511</v>
      </c>
      <c r="J71" s="516">
        <v>-19315</v>
      </c>
      <c r="K71" s="516">
        <v>-3675</v>
      </c>
      <c r="L71" s="516">
        <v>-11658</v>
      </c>
      <c r="M71" s="516"/>
      <c r="N71" s="516"/>
      <c r="O71" s="516"/>
      <c r="P71" s="516"/>
      <c r="Q71" s="516"/>
      <c r="R71" s="516"/>
      <c r="T71" s="516">
        <f t="shared" si="27"/>
        <v>-3675</v>
      </c>
      <c r="U71" s="516">
        <f t="shared" si="28"/>
        <v>-7983</v>
      </c>
    </row>
    <row r="72" spans="1:21" outlineLevel="1">
      <c r="A72" s="511" t="s">
        <v>519</v>
      </c>
      <c r="C72" s="516">
        <v>-270</v>
      </c>
      <c r="D72" s="516">
        <v>-558</v>
      </c>
      <c r="E72" s="516">
        <v>-383</v>
      </c>
      <c r="F72" s="516">
        <v>-390</v>
      </c>
      <c r="G72" s="516">
        <v>-3</v>
      </c>
      <c r="H72" s="516">
        <v>0</v>
      </c>
      <c r="I72" s="516">
        <v>-33</v>
      </c>
      <c r="J72" s="516">
        <v>-45</v>
      </c>
      <c r="K72" s="516">
        <v>-11</v>
      </c>
      <c r="L72" s="516">
        <v>-19</v>
      </c>
      <c r="M72" s="516"/>
      <c r="N72" s="516"/>
      <c r="O72" s="516"/>
      <c r="P72" s="516"/>
      <c r="Q72" s="516"/>
      <c r="R72" s="516"/>
      <c r="T72" s="516">
        <f t="shared" si="27"/>
        <v>-11</v>
      </c>
      <c r="U72" s="516">
        <f t="shared" si="28"/>
        <v>-8</v>
      </c>
    </row>
    <row r="73" spans="1:21" outlineLevel="1">
      <c r="A73" s="511" t="s">
        <v>520</v>
      </c>
      <c r="C73" s="516">
        <v>-548</v>
      </c>
      <c r="D73" s="516">
        <v>-9949</v>
      </c>
      <c r="E73" s="516">
        <v>-5136</v>
      </c>
      <c r="F73" s="516">
        <v>-11563</v>
      </c>
      <c r="G73" s="516">
        <v>-1505</v>
      </c>
      <c r="H73" s="516">
        <v>-5333</v>
      </c>
      <c r="I73" s="516">
        <v>-5373</v>
      </c>
      <c r="J73" s="516">
        <v>-13503</v>
      </c>
      <c r="K73" s="516">
        <v>-1161</v>
      </c>
      <c r="L73" s="516">
        <v>-5524</v>
      </c>
      <c r="M73" s="516"/>
      <c r="N73" s="516"/>
      <c r="O73" s="516"/>
      <c r="P73" s="516"/>
      <c r="Q73" s="516"/>
      <c r="R73" s="516"/>
      <c r="T73" s="516">
        <f t="shared" si="27"/>
        <v>-1161</v>
      </c>
      <c r="U73" s="516">
        <f t="shared" si="28"/>
        <v>-4363</v>
      </c>
    </row>
    <row r="74" spans="1:21" outlineLevel="1">
      <c r="A74" s="511" t="s">
        <v>521</v>
      </c>
      <c r="C74" s="516">
        <v>0</v>
      </c>
      <c r="D74" s="516">
        <v>0</v>
      </c>
      <c r="E74" s="516">
        <v>0</v>
      </c>
      <c r="F74" s="516">
        <v>0</v>
      </c>
      <c r="G74" s="516">
        <v>0</v>
      </c>
      <c r="H74" s="516">
        <v>0</v>
      </c>
      <c r="I74" s="516">
        <v>0</v>
      </c>
      <c r="J74" s="516">
        <v>0</v>
      </c>
      <c r="K74" s="516">
        <v>0</v>
      </c>
      <c r="L74" s="516">
        <v>0</v>
      </c>
      <c r="M74" s="516"/>
      <c r="N74" s="516"/>
      <c r="O74" s="516"/>
      <c r="P74" s="516"/>
      <c r="Q74" s="516"/>
      <c r="R74" s="516"/>
      <c r="T74" s="516">
        <f t="shared" si="27"/>
        <v>0</v>
      </c>
      <c r="U74" s="516">
        <f t="shared" si="28"/>
        <v>0</v>
      </c>
    </row>
    <row r="75" spans="1:21" outlineLevel="1">
      <c r="A75" s="511" t="s">
        <v>522</v>
      </c>
      <c r="C75" s="516">
        <v>-3206</v>
      </c>
      <c r="D75" s="516">
        <v>-9907</v>
      </c>
      <c r="E75" s="516">
        <v>-753</v>
      </c>
      <c r="F75" s="516">
        <v>-1841</v>
      </c>
      <c r="G75" s="516">
        <v>-179</v>
      </c>
      <c r="H75" s="516">
        <v>-422</v>
      </c>
      <c r="I75" s="516">
        <v>-2062</v>
      </c>
      <c r="J75" s="516">
        <v>-6374</v>
      </c>
      <c r="K75" s="516">
        <v>-1626</v>
      </c>
      <c r="L75" s="516">
        <v>-3142</v>
      </c>
      <c r="M75" s="516"/>
      <c r="N75" s="516"/>
      <c r="O75" s="516"/>
      <c r="P75" s="516"/>
      <c r="Q75" s="516"/>
      <c r="R75" s="516"/>
      <c r="T75" s="516">
        <f t="shared" si="27"/>
        <v>-1626</v>
      </c>
      <c r="U75" s="516">
        <f t="shared" si="28"/>
        <v>-1516</v>
      </c>
    </row>
    <row r="76" spans="1:21" outlineLevel="1">
      <c r="A76" s="511" t="s">
        <v>523</v>
      </c>
      <c r="C76" s="516">
        <v>0</v>
      </c>
      <c r="D76" s="516">
        <v>-95477</v>
      </c>
      <c r="E76" s="516">
        <v>-167601</v>
      </c>
      <c r="F76" s="516">
        <v>-239430</v>
      </c>
      <c r="G76" s="516">
        <v>-77490</v>
      </c>
      <c r="H76" s="516">
        <v>-140650</v>
      </c>
      <c r="I76" s="516">
        <v>-211915</v>
      </c>
      <c r="J76" s="516">
        <v>-283180</v>
      </c>
      <c r="K76" s="516">
        <v>-71265</v>
      </c>
      <c r="L76" s="516">
        <v>-142530</v>
      </c>
      <c r="M76" s="516"/>
      <c r="N76" s="516"/>
      <c r="O76" s="516"/>
      <c r="P76" s="516"/>
      <c r="Q76" s="516"/>
      <c r="R76" s="516"/>
      <c r="T76" s="516">
        <f t="shared" si="27"/>
        <v>-71265</v>
      </c>
      <c r="U76" s="516">
        <f t="shared" si="28"/>
        <v>-71265</v>
      </c>
    </row>
    <row r="77" spans="1:21">
      <c r="A77" s="510" t="s">
        <v>524</v>
      </c>
      <c r="C77" s="515">
        <v>0</v>
      </c>
      <c r="D77" s="515">
        <v>0</v>
      </c>
      <c r="E77" s="515">
        <v>0</v>
      </c>
      <c r="F77" s="515">
        <v>0</v>
      </c>
      <c r="G77" s="515">
        <v>0</v>
      </c>
      <c r="H77" s="515">
        <v>0</v>
      </c>
      <c r="I77" s="515">
        <v>0</v>
      </c>
      <c r="J77" s="515"/>
      <c r="K77" s="515"/>
      <c r="L77" s="515">
        <v>605</v>
      </c>
      <c r="M77" s="515"/>
      <c r="N77" s="515"/>
      <c r="O77" s="515"/>
      <c r="P77" s="515"/>
      <c r="Q77" s="515"/>
      <c r="R77" s="515"/>
      <c r="T77" s="515">
        <f t="shared" si="27"/>
        <v>0</v>
      </c>
      <c r="U77" s="515">
        <f t="shared" si="28"/>
        <v>605</v>
      </c>
    </row>
    <row r="78" spans="1:21">
      <c r="A78" s="510" t="s">
        <v>525</v>
      </c>
      <c r="C78" s="515">
        <f t="shared" ref="C78:K78" si="29">SUM(C79:C81)</f>
        <v>0</v>
      </c>
      <c r="D78" s="515">
        <f t="shared" si="29"/>
        <v>0</v>
      </c>
      <c r="E78" s="515">
        <f t="shared" si="29"/>
        <v>1376</v>
      </c>
      <c r="F78" s="515">
        <f t="shared" si="29"/>
        <v>780</v>
      </c>
      <c r="G78" s="515">
        <f t="shared" si="29"/>
        <v>-502</v>
      </c>
      <c r="H78" s="515">
        <f t="shared" si="29"/>
        <v>138</v>
      </c>
      <c r="I78" s="515">
        <f t="shared" si="29"/>
        <v>-2839</v>
      </c>
      <c r="J78" s="515">
        <f t="shared" si="29"/>
        <v>-22704</v>
      </c>
      <c r="K78" s="515">
        <f t="shared" si="29"/>
        <v>-669</v>
      </c>
      <c r="L78" s="515">
        <f>SUM(L79:L81)</f>
        <v>-113</v>
      </c>
      <c r="M78" s="515"/>
      <c r="N78" s="515"/>
      <c r="O78" s="515"/>
      <c r="P78" s="515"/>
      <c r="Q78" s="515"/>
      <c r="R78" s="515"/>
      <c r="T78" s="515">
        <f t="shared" ref="T78:U78" si="30">SUM(T79:T81)</f>
        <v>-669</v>
      </c>
      <c r="U78" s="515">
        <f t="shared" si="30"/>
        <v>556</v>
      </c>
    </row>
    <row r="79" spans="1:21" outlineLevel="1">
      <c r="A79" s="511" t="s">
        <v>526</v>
      </c>
      <c r="C79" s="516">
        <v>0</v>
      </c>
      <c r="D79" s="516">
        <v>0</v>
      </c>
      <c r="E79" s="516">
        <v>1376</v>
      </c>
      <c r="F79" s="516">
        <v>780</v>
      </c>
      <c r="G79" s="516">
        <v>-502</v>
      </c>
      <c r="H79" s="516">
        <v>138</v>
      </c>
      <c r="I79" s="516">
        <v>-2839</v>
      </c>
      <c r="J79" s="516">
        <v>-22704</v>
      </c>
      <c r="K79" s="516">
        <v>-633</v>
      </c>
      <c r="L79" s="516">
        <v>-77</v>
      </c>
      <c r="M79" s="516"/>
      <c r="N79" s="516"/>
      <c r="O79" s="516"/>
      <c r="P79" s="516"/>
      <c r="Q79" s="516"/>
      <c r="R79" s="516"/>
      <c r="T79" s="516">
        <f t="shared" ref="T79:T80" si="31">K79</f>
        <v>-633</v>
      </c>
      <c r="U79" s="516">
        <f t="shared" ref="U79:U81" si="32">L79-T79</f>
        <v>556</v>
      </c>
    </row>
    <row r="80" spans="1:21" outlineLevel="1">
      <c r="A80" s="511" t="s">
        <v>527</v>
      </c>
      <c r="C80" s="516">
        <v>0</v>
      </c>
      <c r="D80" s="516">
        <v>0</v>
      </c>
      <c r="E80" s="516">
        <v>0</v>
      </c>
      <c r="F80" s="516">
        <v>0</v>
      </c>
      <c r="G80" s="516">
        <v>0</v>
      </c>
      <c r="H80" s="516">
        <v>0</v>
      </c>
      <c r="I80" s="516">
        <v>0</v>
      </c>
      <c r="J80" s="516">
        <v>0</v>
      </c>
      <c r="K80" s="516">
        <v>-36</v>
      </c>
      <c r="L80" s="516">
        <v>0</v>
      </c>
      <c r="M80" s="516"/>
      <c r="N80" s="516"/>
      <c r="O80" s="516"/>
      <c r="P80" s="516"/>
      <c r="Q80" s="516"/>
      <c r="R80" s="516"/>
      <c r="T80" s="516">
        <f t="shared" si="31"/>
        <v>-36</v>
      </c>
      <c r="U80" s="516">
        <f t="shared" si="32"/>
        <v>36</v>
      </c>
    </row>
    <row r="81" spans="1:21" outlineLevel="1">
      <c r="A81" s="511" t="s">
        <v>528</v>
      </c>
      <c r="C81" s="516"/>
      <c r="D81" s="516"/>
      <c r="E81" s="516"/>
      <c r="F81" s="516"/>
      <c r="G81" s="516"/>
      <c r="H81" s="516"/>
      <c r="I81" s="516"/>
      <c r="J81" s="516"/>
      <c r="K81" s="516"/>
      <c r="L81" s="516">
        <v>-36</v>
      </c>
      <c r="M81" s="516"/>
      <c r="N81" s="516"/>
      <c r="O81" s="516"/>
      <c r="P81" s="516"/>
      <c r="Q81" s="516"/>
      <c r="R81" s="516"/>
      <c r="T81" s="516"/>
      <c r="U81" s="516">
        <f t="shared" si="32"/>
        <v>-36</v>
      </c>
    </row>
    <row r="82" spans="1:21">
      <c r="A82" s="510"/>
      <c r="C82" s="510"/>
      <c r="D82" s="510"/>
      <c r="E82" s="510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0"/>
      <c r="T82" s="510"/>
      <c r="U82" s="510"/>
    </row>
    <row r="83" spans="1:21">
      <c r="A83" s="522" t="s">
        <v>529</v>
      </c>
      <c r="C83" s="513">
        <f t="shared" ref="C83:H83" si="33">C85-C75-C52-C76</f>
        <v>384860</v>
      </c>
      <c r="D83" s="513">
        <f t="shared" si="33"/>
        <v>789952</v>
      </c>
      <c r="E83" s="513">
        <f t="shared" si="33"/>
        <v>1315007</v>
      </c>
      <c r="F83" s="513">
        <f t="shared" si="33"/>
        <v>1818303</v>
      </c>
      <c r="G83" s="513">
        <f t="shared" si="33"/>
        <v>448064</v>
      </c>
      <c r="H83" s="513">
        <f t="shared" si="33"/>
        <v>894973</v>
      </c>
      <c r="I83" s="513">
        <f>I85-I75-I52-I76</f>
        <v>1425733</v>
      </c>
      <c r="J83" s="513">
        <f>J85-J75-J52-J76</f>
        <v>1962394</v>
      </c>
      <c r="K83" s="513">
        <f>K85-K75-K52-K76</f>
        <v>438161</v>
      </c>
      <c r="L83" s="513">
        <f>L85-L75-L52-L76</f>
        <v>878735</v>
      </c>
      <c r="M83" s="513"/>
      <c r="N83" s="513"/>
      <c r="O83" s="513"/>
      <c r="P83" s="513"/>
      <c r="Q83" s="513"/>
      <c r="R83" s="513"/>
      <c r="T83" s="513">
        <f>T85-T75-T52-T76</f>
        <v>438161</v>
      </c>
      <c r="U83" s="513">
        <f>U85-U75-U52-U76</f>
        <v>440574</v>
      </c>
    </row>
    <row r="84" spans="1:21">
      <c r="A84" s="510"/>
      <c r="C84" s="510"/>
      <c r="D84" s="510"/>
      <c r="E84" s="510"/>
      <c r="F84" s="510"/>
      <c r="G84" s="510"/>
      <c r="H84" s="510"/>
      <c r="I84" s="510"/>
      <c r="J84" s="510"/>
      <c r="K84" s="510"/>
      <c r="L84" s="510"/>
      <c r="M84" s="510"/>
      <c r="N84" s="510"/>
      <c r="O84" s="510"/>
      <c r="P84" s="510"/>
      <c r="Q84" s="510"/>
      <c r="R84" s="510"/>
      <c r="T84" s="510"/>
      <c r="U84" s="510"/>
    </row>
    <row r="85" spans="1:21">
      <c r="A85" s="522" t="s">
        <v>530</v>
      </c>
      <c r="C85" s="513">
        <f t="shared" ref="C85:H85" si="34">C57+C59</f>
        <v>359973</v>
      </c>
      <c r="D85" s="513">
        <f t="shared" si="34"/>
        <v>601389</v>
      </c>
      <c r="E85" s="513">
        <f t="shared" si="34"/>
        <v>999824</v>
      </c>
      <c r="F85" s="513">
        <f t="shared" si="34"/>
        <v>1366518</v>
      </c>
      <c r="G85" s="513">
        <f t="shared" si="34"/>
        <v>303794</v>
      </c>
      <c r="H85" s="513">
        <f t="shared" si="34"/>
        <v>621596</v>
      </c>
      <c r="I85" s="513">
        <f>I57+I59</f>
        <v>1016156</v>
      </c>
      <c r="J85" s="513">
        <f>J57+J59</f>
        <v>1460629</v>
      </c>
      <c r="K85" s="513">
        <f>K57+K59</f>
        <v>311029</v>
      </c>
      <c r="L85" s="513">
        <f>L57+L59</f>
        <v>624403</v>
      </c>
      <c r="M85" s="513"/>
      <c r="N85" s="513"/>
      <c r="O85" s="513"/>
      <c r="P85" s="513"/>
      <c r="Q85" s="513"/>
      <c r="R85" s="513"/>
      <c r="T85" s="513">
        <f>T57+T59</f>
        <v>311029</v>
      </c>
      <c r="U85" s="513">
        <f>U57+U59</f>
        <v>313374</v>
      </c>
    </row>
    <row r="86" spans="1:21">
      <c r="A86" s="510"/>
      <c r="C86" s="510"/>
      <c r="D86" s="510"/>
      <c r="E86" s="510"/>
      <c r="F86" s="510"/>
      <c r="G86" s="510"/>
      <c r="H86" s="510"/>
      <c r="I86" s="510"/>
      <c r="J86" s="510"/>
      <c r="K86" s="510"/>
      <c r="L86" s="510"/>
      <c r="M86" s="510"/>
      <c r="N86" s="510"/>
      <c r="O86" s="510"/>
      <c r="P86" s="510"/>
      <c r="Q86" s="510"/>
      <c r="R86" s="510"/>
      <c r="T86" s="510"/>
      <c r="U86" s="510"/>
    </row>
    <row r="87" spans="1:21">
      <c r="A87" s="522" t="s">
        <v>531</v>
      </c>
      <c r="C87" s="513">
        <f t="shared" ref="C87:H87" si="35">C89+C98</f>
        <v>-217034</v>
      </c>
      <c r="D87" s="513">
        <f t="shared" si="35"/>
        <v>-574799</v>
      </c>
      <c r="E87" s="513">
        <f t="shared" si="35"/>
        <v>-651033</v>
      </c>
      <c r="F87" s="513">
        <f t="shared" si="35"/>
        <v>-783007</v>
      </c>
      <c r="G87" s="513">
        <f t="shared" si="35"/>
        <v>-237583</v>
      </c>
      <c r="H87" s="513">
        <f t="shared" si="35"/>
        <v>-446942</v>
      </c>
      <c r="I87" s="513">
        <f>I89+I98</f>
        <v>-547760</v>
      </c>
      <c r="J87" s="513">
        <f>J89+J98</f>
        <v>-703475</v>
      </c>
      <c r="K87" s="513">
        <f>K89+K98</f>
        <v>-181144</v>
      </c>
      <c r="L87" s="513">
        <f>L89+L98</f>
        <v>-356920</v>
      </c>
      <c r="M87" s="513"/>
      <c r="N87" s="513"/>
      <c r="O87" s="513"/>
      <c r="P87" s="513"/>
      <c r="Q87" s="513"/>
      <c r="R87" s="513"/>
      <c r="T87" s="513">
        <f>T89+T98</f>
        <v>-181144</v>
      </c>
      <c r="U87" s="513">
        <f>U89+U98</f>
        <v>-175776</v>
      </c>
    </row>
    <row r="88" spans="1:21">
      <c r="A88" s="509"/>
      <c r="C88" s="510"/>
      <c r="D88" s="510"/>
      <c r="E88" s="510"/>
      <c r="F88" s="510"/>
      <c r="G88" s="510"/>
      <c r="H88" s="510"/>
      <c r="I88" s="510"/>
      <c r="J88" s="510"/>
      <c r="K88" s="510"/>
      <c r="L88" s="510"/>
      <c r="M88" s="510"/>
      <c r="N88" s="510"/>
      <c r="O88" s="510"/>
      <c r="P88" s="510"/>
      <c r="Q88" s="510"/>
      <c r="R88" s="510"/>
      <c r="T88" s="510"/>
      <c r="U88" s="510"/>
    </row>
    <row r="89" spans="1:21">
      <c r="A89" s="510" t="s">
        <v>532</v>
      </c>
      <c r="C89" s="517">
        <f t="shared" ref="C89:H89" si="36">SUM(C90:C97)</f>
        <v>25086</v>
      </c>
      <c r="D89" s="517">
        <f t="shared" si="36"/>
        <v>67589</v>
      </c>
      <c r="E89" s="517">
        <f t="shared" si="36"/>
        <v>121562</v>
      </c>
      <c r="F89" s="517">
        <f t="shared" si="36"/>
        <v>185689</v>
      </c>
      <c r="G89" s="517">
        <f t="shared" si="36"/>
        <v>55750</v>
      </c>
      <c r="H89" s="517">
        <f t="shared" si="36"/>
        <v>116341</v>
      </c>
      <c r="I89" s="517">
        <f>SUM(I90:I97)</f>
        <v>191994</v>
      </c>
      <c r="J89" s="517">
        <f>SUM(J90:J97)</f>
        <v>246651</v>
      </c>
      <c r="K89" s="517">
        <f>SUM(K90:K97)</f>
        <v>71148</v>
      </c>
      <c r="L89" s="517">
        <f>SUM(L90:L97)</f>
        <v>135528</v>
      </c>
      <c r="M89" s="517"/>
      <c r="N89" s="517"/>
      <c r="O89" s="517"/>
      <c r="P89" s="517"/>
      <c r="Q89" s="517"/>
      <c r="R89" s="517"/>
      <c r="T89" s="517">
        <f>SUM(T90:T97)</f>
        <v>71148</v>
      </c>
      <c r="U89" s="517">
        <f>SUM(U90:U97)</f>
        <v>64380</v>
      </c>
    </row>
    <row r="90" spans="1:21" outlineLevel="1">
      <c r="A90" s="511" t="s">
        <v>533</v>
      </c>
      <c r="C90" s="516">
        <v>25970</v>
      </c>
      <c r="D90" s="516">
        <v>68735</v>
      </c>
      <c r="E90" s="516">
        <v>122632</v>
      </c>
      <c r="F90" s="516">
        <v>183928</v>
      </c>
      <c r="G90" s="516">
        <v>57062</v>
      </c>
      <c r="H90" s="516">
        <v>119070</v>
      </c>
      <c r="I90" s="516">
        <v>190174</v>
      </c>
      <c r="J90" s="516">
        <v>235458</v>
      </c>
      <c r="K90" s="516">
        <v>73284</v>
      </c>
      <c r="L90" s="516">
        <v>139419</v>
      </c>
      <c r="M90" s="516"/>
      <c r="N90" s="516"/>
      <c r="O90" s="516"/>
      <c r="P90" s="516"/>
      <c r="Q90" s="516"/>
      <c r="R90" s="516"/>
      <c r="T90" s="516">
        <f t="shared" ref="T90:T97" si="37">K90</f>
        <v>73284</v>
      </c>
      <c r="U90" s="516">
        <f t="shared" ref="U90:U97" si="38">L90-T90</f>
        <v>66135</v>
      </c>
    </row>
    <row r="91" spans="1:21" outlineLevel="1">
      <c r="A91" s="511" t="s">
        <v>534</v>
      </c>
      <c r="C91" s="516">
        <v>-891</v>
      </c>
      <c r="D91" s="516">
        <v>-1869</v>
      </c>
      <c r="E91" s="516">
        <v>-3310</v>
      </c>
      <c r="F91" s="516">
        <v>-4991</v>
      </c>
      <c r="G91" s="516">
        <v>-1472</v>
      </c>
      <c r="H91" s="516">
        <v>-3357</v>
      </c>
      <c r="I91" s="516">
        <v>-5765</v>
      </c>
      <c r="J91" s="516">
        <v>-7277</v>
      </c>
      <c r="K91" s="516">
        <v>-2422</v>
      </c>
      <c r="L91" s="516">
        <v>-4859</v>
      </c>
      <c r="M91" s="516"/>
      <c r="N91" s="516"/>
      <c r="O91" s="516"/>
      <c r="P91" s="516"/>
      <c r="Q91" s="516"/>
      <c r="R91" s="516"/>
      <c r="T91" s="516">
        <f t="shared" si="37"/>
        <v>-2422</v>
      </c>
      <c r="U91" s="516">
        <f t="shared" si="38"/>
        <v>-2437</v>
      </c>
    </row>
    <row r="92" spans="1:21" outlineLevel="1">
      <c r="A92" s="511" t="s">
        <v>535</v>
      </c>
      <c r="C92" s="516">
        <v>0</v>
      </c>
      <c r="D92" s="516">
        <v>0</v>
      </c>
      <c r="E92" s="516">
        <v>0</v>
      </c>
      <c r="F92" s="516">
        <v>0</v>
      </c>
      <c r="G92" s="516">
        <v>0</v>
      </c>
      <c r="H92" s="516">
        <v>0</v>
      </c>
      <c r="I92" s="516">
        <v>0</v>
      </c>
      <c r="J92" s="516">
        <v>0</v>
      </c>
      <c r="K92" s="516">
        <v>0</v>
      </c>
      <c r="L92" s="516">
        <v>0</v>
      </c>
      <c r="M92" s="516"/>
      <c r="N92" s="516"/>
      <c r="O92" s="516"/>
      <c r="P92" s="516"/>
      <c r="Q92" s="516"/>
      <c r="R92" s="516"/>
      <c r="T92" s="516">
        <f t="shared" si="37"/>
        <v>0</v>
      </c>
      <c r="U92" s="516">
        <f t="shared" si="38"/>
        <v>0</v>
      </c>
    </row>
    <row r="93" spans="1:21" outlineLevel="1">
      <c r="A93" s="511" t="s">
        <v>536</v>
      </c>
      <c r="C93" s="516">
        <v>0</v>
      </c>
      <c r="D93" s="516">
        <v>0</v>
      </c>
      <c r="E93" s="516">
        <v>0</v>
      </c>
      <c r="F93" s="516">
        <v>0</v>
      </c>
      <c r="G93" s="516">
        <v>0</v>
      </c>
      <c r="H93" s="516">
        <v>0</v>
      </c>
      <c r="I93" s="516">
        <v>0</v>
      </c>
      <c r="J93" s="516">
        <v>0</v>
      </c>
      <c r="K93" s="516">
        <v>0</v>
      </c>
      <c r="L93" s="516">
        <v>0</v>
      </c>
      <c r="M93" s="516"/>
      <c r="N93" s="516"/>
      <c r="O93" s="516"/>
      <c r="P93" s="516"/>
      <c r="Q93" s="516"/>
      <c r="R93" s="516"/>
      <c r="T93" s="516">
        <f t="shared" si="37"/>
        <v>0</v>
      </c>
      <c r="U93" s="516">
        <f t="shared" si="38"/>
        <v>0</v>
      </c>
    </row>
    <row r="94" spans="1:21" outlineLevel="1">
      <c r="A94" s="511" t="s">
        <v>537</v>
      </c>
      <c r="C94" s="516">
        <v>0</v>
      </c>
      <c r="D94" s="516">
        <v>0</v>
      </c>
      <c r="E94" s="516">
        <v>0</v>
      </c>
      <c r="F94" s="516">
        <v>0</v>
      </c>
      <c r="G94" s="516">
        <v>0</v>
      </c>
      <c r="H94" s="516">
        <v>0</v>
      </c>
      <c r="I94" s="516">
        <v>0</v>
      </c>
      <c r="J94" s="516">
        <v>0</v>
      </c>
      <c r="K94" s="516">
        <v>0</v>
      </c>
      <c r="L94" s="516">
        <v>0</v>
      </c>
      <c r="M94" s="516"/>
      <c r="N94" s="516"/>
      <c r="O94" s="516"/>
      <c r="P94" s="516"/>
      <c r="Q94" s="516"/>
      <c r="R94" s="516"/>
      <c r="T94" s="516">
        <f t="shared" si="37"/>
        <v>0</v>
      </c>
      <c r="U94" s="516">
        <f t="shared" si="38"/>
        <v>0</v>
      </c>
    </row>
    <row r="95" spans="1:21" outlineLevel="1">
      <c r="A95" s="511" t="s">
        <v>538</v>
      </c>
      <c r="C95" s="516">
        <v>0</v>
      </c>
      <c r="D95" s="516">
        <v>0</v>
      </c>
      <c r="E95" s="516">
        <v>0</v>
      </c>
      <c r="F95" s="516">
        <v>0</v>
      </c>
      <c r="G95" s="516">
        <v>0</v>
      </c>
      <c r="H95" s="516">
        <v>0</v>
      </c>
      <c r="I95" s="516">
        <v>0</v>
      </c>
      <c r="J95" s="516">
        <v>0</v>
      </c>
      <c r="K95" s="516">
        <v>0</v>
      </c>
      <c r="L95" s="516">
        <v>0</v>
      </c>
      <c r="M95" s="516"/>
      <c r="N95" s="516"/>
      <c r="O95" s="516"/>
      <c r="P95" s="516"/>
      <c r="Q95" s="516"/>
      <c r="R95" s="516"/>
      <c r="T95" s="516">
        <f t="shared" si="37"/>
        <v>0</v>
      </c>
      <c r="U95" s="516">
        <f t="shared" si="38"/>
        <v>0</v>
      </c>
    </row>
    <row r="96" spans="1:21" outlineLevel="1">
      <c r="A96" s="511" t="s">
        <v>539</v>
      </c>
      <c r="C96" s="516">
        <v>7</v>
      </c>
      <c r="D96" s="516">
        <v>723</v>
      </c>
      <c r="E96" s="516">
        <v>2240</v>
      </c>
      <c r="F96" s="516">
        <v>6682</v>
      </c>
      <c r="G96" s="516">
        <v>154</v>
      </c>
      <c r="H96" s="516">
        <v>618</v>
      </c>
      <c r="I96" s="516">
        <v>2066</v>
      </c>
      <c r="J96" s="516">
        <v>4413</v>
      </c>
      <c r="K96" s="516">
        <v>271</v>
      </c>
      <c r="L96" s="516">
        <v>861</v>
      </c>
      <c r="M96" s="516"/>
      <c r="N96" s="516"/>
      <c r="O96" s="516"/>
      <c r="P96" s="516"/>
      <c r="Q96" s="516"/>
      <c r="R96" s="516"/>
      <c r="T96" s="516">
        <f t="shared" si="37"/>
        <v>271</v>
      </c>
      <c r="U96" s="516">
        <f t="shared" si="38"/>
        <v>590</v>
      </c>
    </row>
    <row r="97" spans="1:21" outlineLevel="1">
      <c r="A97" s="511" t="s">
        <v>540</v>
      </c>
      <c r="C97" s="516">
        <v>0</v>
      </c>
      <c r="D97" s="516">
        <v>0</v>
      </c>
      <c r="E97" s="516">
        <v>0</v>
      </c>
      <c r="F97" s="516">
        <v>70</v>
      </c>
      <c r="G97" s="516">
        <v>6</v>
      </c>
      <c r="H97" s="516">
        <v>10</v>
      </c>
      <c r="I97" s="516">
        <v>5519</v>
      </c>
      <c r="J97" s="516">
        <v>14057</v>
      </c>
      <c r="K97" s="516">
        <v>15</v>
      </c>
      <c r="L97" s="516">
        <v>107</v>
      </c>
      <c r="M97" s="516"/>
      <c r="N97" s="516"/>
      <c r="O97" s="516"/>
      <c r="P97" s="516"/>
      <c r="Q97" s="516"/>
      <c r="R97" s="516"/>
      <c r="T97" s="516">
        <f t="shared" si="37"/>
        <v>15</v>
      </c>
      <c r="U97" s="516">
        <f t="shared" si="38"/>
        <v>92</v>
      </c>
    </row>
    <row r="98" spans="1:21">
      <c r="A98" s="510" t="s">
        <v>541</v>
      </c>
      <c r="C98" s="515">
        <f t="shared" ref="C98:H98" si="39">SUM(C99:C107)</f>
        <v>-242120</v>
      </c>
      <c r="D98" s="515">
        <f t="shared" si="39"/>
        <v>-642388</v>
      </c>
      <c r="E98" s="515">
        <f t="shared" si="39"/>
        <v>-772595</v>
      </c>
      <c r="F98" s="515">
        <f t="shared" si="39"/>
        <v>-968696</v>
      </c>
      <c r="G98" s="515">
        <f t="shared" si="39"/>
        <v>-293333</v>
      </c>
      <c r="H98" s="515">
        <f t="shared" si="39"/>
        <v>-563283</v>
      </c>
      <c r="I98" s="515">
        <f>SUM(I99:I107)</f>
        <v>-739754</v>
      </c>
      <c r="J98" s="515">
        <f>SUM(J99:J107)</f>
        <v>-950126</v>
      </c>
      <c r="K98" s="515">
        <f>SUM(K99:K107)</f>
        <v>-252292</v>
      </c>
      <c r="L98" s="515">
        <f>SUM(L99:L107)</f>
        <v>-492448</v>
      </c>
      <c r="M98" s="515"/>
      <c r="N98" s="515"/>
      <c r="O98" s="515"/>
      <c r="P98" s="515"/>
      <c r="Q98" s="515"/>
      <c r="R98" s="515"/>
      <c r="T98" s="515">
        <f>SUM(T99:T107)</f>
        <v>-252292</v>
      </c>
      <c r="U98" s="515">
        <f>SUM(U99:U107)</f>
        <v>-240156</v>
      </c>
    </row>
    <row r="99" spans="1:21" outlineLevel="1">
      <c r="A99" s="511" t="s">
        <v>542</v>
      </c>
      <c r="C99" s="516">
        <v>-162435</v>
      </c>
      <c r="D99" s="516">
        <v>-450869</v>
      </c>
      <c r="E99" s="516">
        <v>-567520</v>
      </c>
      <c r="F99" s="516">
        <v>-700222</v>
      </c>
      <c r="G99" s="516">
        <v>-206456</v>
      </c>
      <c r="H99" s="516">
        <v>-402209</v>
      </c>
      <c r="I99" s="516">
        <v>-550170</v>
      </c>
      <c r="J99" s="516">
        <v>-702395</v>
      </c>
      <c r="K99" s="516">
        <v>-173688</v>
      </c>
      <c r="L99" s="516">
        <v>-356495</v>
      </c>
      <c r="M99" s="516"/>
      <c r="N99" s="516"/>
      <c r="O99" s="516"/>
      <c r="P99" s="516"/>
      <c r="Q99" s="516"/>
      <c r="R99" s="516"/>
      <c r="T99" s="516">
        <f t="shared" ref="T99:T107" si="40">K99</f>
        <v>-173688</v>
      </c>
      <c r="U99" s="516">
        <f t="shared" ref="U99:U107" si="41">L99-T99</f>
        <v>-182807</v>
      </c>
    </row>
    <row r="100" spans="1:21" outlineLevel="1">
      <c r="A100" s="511" t="s">
        <v>543</v>
      </c>
      <c r="C100" s="516">
        <v>0</v>
      </c>
      <c r="D100" s="516">
        <v>0</v>
      </c>
      <c r="E100" s="516">
        <v>0</v>
      </c>
      <c r="F100" s="516">
        <v>0</v>
      </c>
      <c r="G100" s="516">
        <v>0</v>
      </c>
      <c r="H100" s="516">
        <v>0</v>
      </c>
      <c r="I100" s="516">
        <v>0</v>
      </c>
      <c r="J100" s="516">
        <v>0</v>
      </c>
      <c r="K100" s="516">
        <v>0</v>
      </c>
      <c r="L100" s="516">
        <v>0</v>
      </c>
      <c r="M100" s="516"/>
      <c r="N100" s="516"/>
      <c r="O100" s="516"/>
      <c r="P100" s="516"/>
      <c r="Q100" s="516"/>
      <c r="R100" s="516"/>
      <c r="T100" s="516">
        <f t="shared" si="40"/>
        <v>0</v>
      </c>
      <c r="U100" s="516">
        <f t="shared" si="41"/>
        <v>0</v>
      </c>
    </row>
    <row r="101" spans="1:21" outlineLevel="1">
      <c r="A101" s="511" t="s">
        <v>544</v>
      </c>
      <c r="C101" s="516">
        <v>-70136</v>
      </c>
      <c r="D101" s="516">
        <v>-169473</v>
      </c>
      <c r="E101" s="516">
        <v>-155785</v>
      </c>
      <c r="F101" s="516">
        <v>-194704</v>
      </c>
      <c r="G101" s="516">
        <v>-69817</v>
      </c>
      <c r="H101" s="516">
        <v>-122994</v>
      </c>
      <c r="I101" s="516">
        <v>-133876</v>
      </c>
      <c r="J101" s="516">
        <v>-166313</v>
      </c>
      <c r="K101" s="516">
        <v>-59379</v>
      </c>
      <c r="L101" s="516">
        <v>-96418</v>
      </c>
      <c r="M101" s="516"/>
      <c r="N101" s="516"/>
      <c r="O101" s="516"/>
      <c r="P101" s="516"/>
      <c r="Q101" s="516"/>
      <c r="R101" s="516"/>
      <c r="T101" s="516">
        <f t="shared" si="40"/>
        <v>-59379</v>
      </c>
      <c r="U101" s="516">
        <f t="shared" si="41"/>
        <v>-37039</v>
      </c>
    </row>
    <row r="102" spans="1:21" outlineLevel="1">
      <c r="A102" s="511" t="s">
        <v>545</v>
      </c>
      <c r="C102" s="516">
        <v>0</v>
      </c>
      <c r="D102" s="516">
        <v>0</v>
      </c>
      <c r="E102" s="516">
        <v>0</v>
      </c>
      <c r="F102" s="516">
        <v>0</v>
      </c>
      <c r="G102" s="516">
        <v>0</v>
      </c>
      <c r="H102" s="516">
        <v>0</v>
      </c>
      <c r="I102" s="516">
        <v>0</v>
      </c>
      <c r="J102" s="516">
        <v>0</v>
      </c>
      <c r="K102" s="516">
        <v>0</v>
      </c>
      <c r="L102" s="516">
        <v>0</v>
      </c>
      <c r="M102" s="516"/>
      <c r="N102" s="516"/>
      <c r="O102" s="516"/>
      <c r="P102" s="516"/>
      <c r="Q102" s="516"/>
      <c r="R102" s="516"/>
      <c r="T102" s="516">
        <f t="shared" si="40"/>
        <v>0</v>
      </c>
      <c r="U102" s="516">
        <f t="shared" si="41"/>
        <v>0</v>
      </c>
    </row>
    <row r="103" spans="1:21" outlineLevel="1">
      <c r="A103" s="511" t="s">
        <v>546</v>
      </c>
      <c r="C103" s="516">
        <v>0</v>
      </c>
      <c r="D103" s="516">
        <v>0</v>
      </c>
      <c r="E103" s="516">
        <v>0</v>
      </c>
      <c r="F103" s="516">
        <v>0</v>
      </c>
      <c r="G103" s="516">
        <v>0</v>
      </c>
      <c r="H103" s="516">
        <v>0</v>
      </c>
      <c r="I103" s="516">
        <v>0</v>
      </c>
      <c r="J103" s="516">
        <v>0</v>
      </c>
      <c r="K103" s="516">
        <v>0</v>
      </c>
      <c r="L103" s="516">
        <v>0</v>
      </c>
      <c r="M103" s="516"/>
      <c r="N103" s="516"/>
      <c r="O103" s="516"/>
      <c r="P103" s="516"/>
      <c r="Q103" s="516"/>
      <c r="R103" s="516"/>
      <c r="T103" s="516">
        <f t="shared" si="40"/>
        <v>0</v>
      </c>
      <c r="U103" s="516">
        <f t="shared" si="41"/>
        <v>0</v>
      </c>
    </row>
    <row r="104" spans="1:21" outlineLevel="1">
      <c r="A104" s="511" t="s">
        <v>547</v>
      </c>
      <c r="C104" s="516">
        <v>-7</v>
      </c>
      <c r="D104" s="516">
        <v>-9</v>
      </c>
      <c r="E104" s="516">
        <v>-32</v>
      </c>
      <c r="F104" s="516">
        <v>-37</v>
      </c>
      <c r="G104" s="516">
        <v>-3</v>
      </c>
      <c r="H104" s="516">
        <v>-317</v>
      </c>
      <c r="I104" s="516">
        <v>-330</v>
      </c>
      <c r="J104" s="516">
        <v>-331</v>
      </c>
      <c r="K104" s="516">
        <v>-13</v>
      </c>
      <c r="L104" s="516">
        <v>-14</v>
      </c>
      <c r="M104" s="516"/>
      <c r="N104" s="516"/>
      <c r="O104" s="516"/>
      <c r="P104" s="516"/>
      <c r="Q104" s="516"/>
      <c r="R104" s="516"/>
      <c r="T104" s="516">
        <f t="shared" si="40"/>
        <v>-13</v>
      </c>
      <c r="U104" s="516">
        <f t="shared" si="41"/>
        <v>-1</v>
      </c>
    </row>
    <row r="105" spans="1:21" outlineLevel="1">
      <c r="A105" s="511" t="s">
        <v>548</v>
      </c>
      <c r="C105" s="516">
        <v>0</v>
      </c>
      <c r="D105" s="516">
        <v>0</v>
      </c>
      <c r="E105" s="516">
        <v>0</v>
      </c>
      <c r="F105" s="516">
        <v>0</v>
      </c>
      <c r="G105" s="516">
        <v>0</v>
      </c>
      <c r="H105" s="516">
        <v>0</v>
      </c>
      <c r="I105" s="516">
        <v>0</v>
      </c>
      <c r="J105" s="516">
        <v>0</v>
      </c>
      <c r="K105" s="516">
        <v>0</v>
      </c>
      <c r="L105" s="516">
        <v>0</v>
      </c>
      <c r="M105" s="516"/>
      <c r="N105" s="516"/>
      <c r="O105" s="516"/>
      <c r="P105" s="516"/>
      <c r="Q105" s="516"/>
      <c r="R105" s="516"/>
      <c r="T105" s="516">
        <f t="shared" si="40"/>
        <v>0</v>
      </c>
      <c r="U105" s="516">
        <f t="shared" si="41"/>
        <v>0</v>
      </c>
    </row>
    <row r="106" spans="1:21" outlineLevel="1">
      <c r="A106" s="511" t="s">
        <v>549</v>
      </c>
      <c r="C106" s="516">
        <v>-125</v>
      </c>
      <c r="D106" s="516">
        <v>-310</v>
      </c>
      <c r="E106" s="516">
        <v>-561</v>
      </c>
      <c r="F106" s="516">
        <v>-736</v>
      </c>
      <c r="G106" s="516">
        <v>-331</v>
      </c>
      <c r="H106" s="516">
        <v>-696</v>
      </c>
      <c r="I106" s="516">
        <v>-1117</v>
      </c>
      <c r="J106" s="516">
        <v>-1531</v>
      </c>
      <c r="K106" s="516">
        <v>-429</v>
      </c>
      <c r="L106" s="516">
        <v>-851</v>
      </c>
      <c r="M106" s="516"/>
      <c r="N106" s="516"/>
      <c r="O106" s="516"/>
      <c r="P106" s="516"/>
      <c r="Q106" s="516"/>
      <c r="R106" s="516"/>
      <c r="T106" s="516">
        <f t="shared" si="40"/>
        <v>-429</v>
      </c>
      <c r="U106" s="516">
        <f t="shared" si="41"/>
        <v>-422</v>
      </c>
    </row>
    <row r="107" spans="1:21" outlineLevel="1">
      <c r="A107" s="511" t="s">
        <v>550</v>
      </c>
      <c r="C107" s="516">
        <v>-9417</v>
      </c>
      <c r="D107" s="516">
        <v>-21727</v>
      </c>
      <c r="E107" s="516">
        <v>-48697</v>
      </c>
      <c r="F107" s="516">
        <v>-72997</v>
      </c>
      <c r="G107" s="516">
        <v>-16726</v>
      </c>
      <c r="H107" s="516">
        <v>-37067</v>
      </c>
      <c r="I107" s="516">
        <v>-54261</v>
      </c>
      <c r="J107" s="516">
        <v>-79556</v>
      </c>
      <c r="K107" s="516">
        <v>-18783</v>
      </c>
      <c r="L107" s="516">
        <v>-38670</v>
      </c>
      <c r="M107" s="516"/>
      <c r="N107" s="516"/>
      <c r="O107" s="516"/>
      <c r="P107" s="516"/>
      <c r="Q107" s="516"/>
      <c r="R107" s="516"/>
      <c r="T107" s="516">
        <f t="shared" si="40"/>
        <v>-18783</v>
      </c>
      <c r="U107" s="516">
        <f t="shared" si="41"/>
        <v>-19887</v>
      </c>
    </row>
    <row r="108" spans="1:21">
      <c r="A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T108" s="510"/>
      <c r="U108" s="510"/>
    </row>
    <row r="109" spans="1:21">
      <c r="A109" s="522" t="s">
        <v>551</v>
      </c>
      <c r="C109" s="513">
        <f t="shared" ref="C109:H109" si="42">C85+C87</f>
        <v>142939</v>
      </c>
      <c r="D109" s="513">
        <f t="shared" si="42"/>
        <v>26590</v>
      </c>
      <c r="E109" s="513">
        <f t="shared" si="42"/>
        <v>348791</v>
      </c>
      <c r="F109" s="513">
        <f t="shared" si="42"/>
        <v>583511</v>
      </c>
      <c r="G109" s="513">
        <f t="shared" si="42"/>
        <v>66211</v>
      </c>
      <c r="H109" s="513">
        <f t="shared" si="42"/>
        <v>174654</v>
      </c>
      <c r="I109" s="513">
        <f>I85+I87</f>
        <v>468396</v>
      </c>
      <c r="J109" s="513">
        <f>J85+J87</f>
        <v>757154</v>
      </c>
      <c r="K109" s="513">
        <f>K85+K87</f>
        <v>129885</v>
      </c>
      <c r="L109" s="513">
        <f>L85+L87</f>
        <v>267483</v>
      </c>
      <c r="M109" s="513"/>
      <c r="N109" s="513"/>
      <c r="O109" s="513"/>
      <c r="P109" s="513"/>
      <c r="Q109" s="513"/>
      <c r="R109" s="513"/>
      <c r="T109" s="513">
        <f>T85+T87</f>
        <v>129885</v>
      </c>
      <c r="U109" s="513">
        <f>U85+U87</f>
        <v>137598</v>
      </c>
    </row>
    <row r="110" spans="1:21">
      <c r="A110" s="510"/>
      <c r="C110" s="510"/>
      <c r="D110" s="510"/>
      <c r="E110" s="510"/>
      <c r="F110" s="510"/>
      <c r="G110" s="510"/>
      <c r="H110" s="510"/>
      <c r="I110" s="510"/>
      <c r="J110" s="510"/>
      <c r="K110" s="510"/>
      <c r="L110" s="510"/>
      <c r="M110" s="510"/>
      <c r="N110" s="510"/>
      <c r="O110" s="510"/>
      <c r="P110" s="510"/>
      <c r="Q110" s="510"/>
      <c r="R110" s="510"/>
      <c r="T110" s="510"/>
      <c r="U110" s="510"/>
    </row>
    <row r="111" spans="1:21">
      <c r="A111" s="509" t="s">
        <v>552</v>
      </c>
      <c r="C111" s="517">
        <f t="shared" ref="C111:H111" si="43">SUM(C113:C116)</f>
        <v>-57709</v>
      </c>
      <c r="D111" s="517">
        <f t="shared" si="43"/>
        <v>-102014</v>
      </c>
      <c r="E111" s="517">
        <f t="shared" si="43"/>
        <v>-167871</v>
      </c>
      <c r="F111" s="517">
        <f t="shared" si="43"/>
        <v>-234381</v>
      </c>
      <c r="G111" s="517">
        <f t="shared" si="43"/>
        <v>-57302</v>
      </c>
      <c r="H111" s="517">
        <f t="shared" si="43"/>
        <v>-118393</v>
      </c>
      <c r="I111" s="517">
        <f>SUM(I113:I116)</f>
        <v>-196507</v>
      </c>
      <c r="J111" s="517">
        <f>SUM(J113:J116)</f>
        <v>-254368</v>
      </c>
      <c r="K111" s="517">
        <f>SUM(K113:K116)</f>
        <v>-62114</v>
      </c>
      <c r="L111" s="517">
        <f>SUM(L113:L116)</f>
        <v>-123366</v>
      </c>
      <c r="M111" s="517"/>
      <c r="N111" s="517"/>
      <c r="O111" s="517"/>
      <c r="P111" s="517"/>
      <c r="Q111" s="517"/>
      <c r="R111" s="517"/>
      <c r="T111" s="517">
        <f>SUM(T113:T116)</f>
        <v>-62114</v>
      </c>
      <c r="U111" s="517">
        <f>SUM(U113:U116)</f>
        <v>-61252</v>
      </c>
    </row>
    <row r="112" spans="1:21">
      <c r="A112" s="510"/>
      <c r="C112" s="510"/>
      <c r="D112" s="510"/>
      <c r="E112" s="510"/>
      <c r="F112" s="510"/>
      <c r="G112" s="510"/>
      <c r="H112" s="510"/>
      <c r="I112" s="510"/>
      <c r="J112" s="510"/>
      <c r="K112" s="510"/>
      <c r="L112" s="510"/>
      <c r="M112" s="510"/>
      <c r="N112" s="510"/>
      <c r="O112" s="510"/>
      <c r="P112" s="510"/>
      <c r="Q112" s="510"/>
      <c r="R112" s="510"/>
      <c r="T112" s="510"/>
      <c r="U112" s="510"/>
    </row>
    <row r="113" spans="1:21">
      <c r="A113" s="510" t="s">
        <v>553</v>
      </c>
      <c r="C113" s="518">
        <v>-5871</v>
      </c>
      <c r="D113" s="518">
        <v>-11785</v>
      </c>
      <c r="E113" s="518">
        <v>-32193</v>
      </c>
      <c r="F113" s="518">
        <v>-51219</v>
      </c>
      <c r="G113" s="518">
        <v>-14149</v>
      </c>
      <c r="H113" s="518">
        <v>-29347</v>
      </c>
      <c r="I113" s="518">
        <v>-54964</v>
      </c>
      <c r="J113" s="518">
        <v>-68861</v>
      </c>
      <c r="K113" s="518">
        <v>-12991</v>
      </c>
      <c r="L113" s="518">
        <v>-28752</v>
      </c>
      <c r="M113" s="518"/>
      <c r="N113" s="518"/>
      <c r="O113" s="518"/>
      <c r="P113" s="518"/>
      <c r="Q113" s="518"/>
      <c r="R113" s="518"/>
      <c r="T113" s="518">
        <f t="shared" ref="T113:T116" si="44">K113</f>
        <v>-12991</v>
      </c>
      <c r="U113" s="518">
        <f t="shared" ref="U113:U116" si="45">L113-T113</f>
        <v>-15761</v>
      </c>
    </row>
    <row r="114" spans="1:21">
      <c r="A114" s="510" t="s">
        <v>554</v>
      </c>
      <c r="C114" s="518">
        <v>-20563</v>
      </c>
      <c r="D114" s="518">
        <v>-35123</v>
      </c>
      <c r="E114" s="518">
        <v>-97962</v>
      </c>
      <c r="F114" s="518">
        <v>-151709</v>
      </c>
      <c r="G114" s="518">
        <v>-39939</v>
      </c>
      <c r="H114" s="518">
        <v>-83053</v>
      </c>
      <c r="I114" s="518">
        <v>-147700</v>
      </c>
      <c r="J114" s="518">
        <v>-199191</v>
      </c>
      <c r="K114" s="518">
        <v>-39571</v>
      </c>
      <c r="L114" s="518">
        <v>-86980</v>
      </c>
      <c r="M114" s="518"/>
      <c r="N114" s="518"/>
      <c r="O114" s="518"/>
      <c r="P114" s="518"/>
      <c r="Q114" s="518"/>
      <c r="R114" s="518"/>
      <c r="T114" s="518">
        <f t="shared" si="44"/>
        <v>-39571</v>
      </c>
      <c r="U114" s="518">
        <f t="shared" si="45"/>
        <v>-47409</v>
      </c>
    </row>
    <row r="115" spans="1:21">
      <c r="A115" s="510" t="s">
        <v>555</v>
      </c>
      <c r="C115" s="518">
        <v>16302</v>
      </c>
      <c r="D115" s="518">
        <v>23318</v>
      </c>
      <c r="E115" s="518">
        <v>72882</v>
      </c>
      <c r="F115" s="518">
        <v>111083</v>
      </c>
      <c r="G115" s="518">
        <v>28185</v>
      </c>
      <c r="H115" s="518">
        <v>59572</v>
      </c>
      <c r="I115" s="518">
        <v>102932</v>
      </c>
      <c r="J115" s="518">
        <v>146399</v>
      </c>
      <c r="K115" s="518">
        <v>28667</v>
      </c>
      <c r="L115" s="518">
        <v>65569</v>
      </c>
      <c r="M115" s="518"/>
      <c r="N115" s="518"/>
      <c r="O115" s="518"/>
      <c r="P115" s="518"/>
      <c r="Q115" s="518"/>
      <c r="R115" s="518"/>
      <c r="T115" s="518">
        <f t="shared" si="44"/>
        <v>28667</v>
      </c>
      <c r="U115" s="518">
        <f t="shared" si="45"/>
        <v>36902</v>
      </c>
    </row>
    <row r="116" spans="1:21">
      <c r="A116" s="510" t="s">
        <v>556</v>
      </c>
      <c r="C116" s="518">
        <v>-47577</v>
      </c>
      <c r="D116" s="518">
        <v>-78424</v>
      </c>
      <c r="E116" s="518">
        <v>-110598</v>
      </c>
      <c r="F116" s="518">
        <v>-142536</v>
      </c>
      <c r="G116" s="518">
        <v>-31399</v>
      </c>
      <c r="H116" s="518">
        <v>-65565</v>
      </c>
      <c r="I116" s="518">
        <v>-96775</v>
      </c>
      <c r="J116" s="518">
        <v>-132715</v>
      </c>
      <c r="K116" s="518">
        <v>-38219</v>
      </c>
      <c r="L116" s="518">
        <v>-73203</v>
      </c>
      <c r="M116" s="518"/>
      <c r="N116" s="518"/>
      <c r="O116" s="518"/>
      <c r="P116" s="518"/>
      <c r="Q116" s="518"/>
      <c r="R116" s="518"/>
      <c r="T116" s="518">
        <f t="shared" si="44"/>
        <v>-38219</v>
      </c>
      <c r="U116" s="518">
        <f t="shared" si="45"/>
        <v>-34984</v>
      </c>
    </row>
    <row r="117" spans="1:21">
      <c r="A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  <c r="T117" s="510"/>
      <c r="U117" s="510"/>
    </row>
    <row r="118" spans="1:21" ht="15" thickBot="1">
      <c r="A118" s="523" t="s">
        <v>557</v>
      </c>
      <c r="C118" s="519">
        <f t="shared" ref="C118:H118" si="46">C109+C111</f>
        <v>85230</v>
      </c>
      <c r="D118" s="519">
        <f t="shared" si="46"/>
        <v>-75424</v>
      </c>
      <c r="E118" s="519">
        <f t="shared" si="46"/>
        <v>180920</v>
      </c>
      <c r="F118" s="519">
        <f t="shared" si="46"/>
        <v>349130</v>
      </c>
      <c r="G118" s="519">
        <f t="shared" si="46"/>
        <v>8909</v>
      </c>
      <c r="H118" s="519">
        <f t="shared" si="46"/>
        <v>56261</v>
      </c>
      <c r="I118" s="519">
        <f>I109+I111</f>
        <v>271889</v>
      </c>
      <c r="J118" s="519">
        <f>J109+J111</f>
        <v>502786</v>
      </c>
      <c r="K118" s="519">
        <f>K109+K111</f>
        <v>67771</v>
      </c>
      <c r="L118" s="519">
        <f t="shared" ref="L118" si="47">L109+L111</f>
        <v>144117</v>
      </c>
      <c r="M118" s="519"/>
      <c r="N118" s="519"/>
      <c r="O118" s="519"/>
      <c r="P118" s="519"/>
      <c r="Q118" s="519"/>
      <c r="R118" s="519"/>
      <c r="T118" s="519">
        <f>T109+T111</f>
        <v>67771</v>
      </c>
      <c r="U118" s="519">
        <f t="shared" ref="U118" si="48">U109+U111</f>
        <v>76346</v>
      </c>
    </row>
    <row r="119" spans="1:21" ht="15" thickTop="1">
      <c r="A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  <c r="T119" s="510"/>
      <c r="U119" s="510"/>
    </row>
    <row r="120" spans="1:21">
      <c r="A120" s="509" t="s">
        <v>558</v>
      </c>
      <c r="C120" s="518"/>
      <c r="D120" s="518"/>
      <c r="E120" s="518"/>
      <c r="F120" s="518"/>
      <c r="G120" s="518"/>
      <c r="H120" s="518"/>
      <c r="I120" s="518"/>
      <c r="J120" s="518"/>
      <c r="K120" s="518"/>
      <c r="L120" s="518"/>
      <c r="M120" s="518"/>
      <c r="N120" s="518"/>
      <c r="O120" s="518"/>
      <c r="P120" s="518"/>
      <c r="Q120" s="518"/>
      <c r="R120" s="518"/>
      <c r="T120" s="518"/>
      <c r="U120" s="518"/>
    </row>
    <row r="121" spans="1:21">
      <c r="A121" s="510" t="s">
        <v>559</v>
      </c>
      <c r="C121" s="518">
        <f t="shared" ref="C121:H121" si="49">C118-C122</f>
        <v>85230</v>
      </c>
      <c r="D121" s="518">
        <f t="shared" si="49"/>
        <v>-75424</v>
      </c>
      <c r="E121" s="518">
        <f t="shared" si="49"/>
        <v>180920</v>
      </c>
      <c r="F121" s="518">
        <f t="shared" si="49"/>
        <v>349130</v>
      </c>
      <c r="G121" s="518">
        <f t="shared" si="49"/>
        <v>8909</v>
      </c>
      <c r="H121" s="518">
        <f t="shared" si="49"/>
        <v>56261</v>
      </c>
      <c r="I121" s="518">
        <f>I118-I122</f>
        <v>271889</v>
      </c>
      <c r="J121" s="518">
        <f>J118-J122</f>
        <v>502786</v>
      </c>
      <c r="K121" s="518">
        <v>67771</v>
      </c>
      <c r="L121" s="518">
        <v>144117</v>
      </c>
      <c r="M121" s="518"/>
      <c r="N121" s="518"/>
      <c r="O121" s="518"/>
      <c r="P121" s="518"/>
      <c r="Q121" s="518"/>
      <c r="R121" s="518"/>
      <c r="T121" s="518">
        <f t="shared" ref="T121:T122" si="50">K121</f>
        <v>67771</v>
      </c>
      <c r="U121" s="518">
        <f t="shared" ref="U121:U122" si="51">L121-T121</f>
        <v>76346</v>
      </c>
    </row>
    <row r="122" spans="1:21">
      <c r="A122" s="510" t="s">
        <v>560</v>
      </c>
      <c r="C122" s="518">
        <f t="shared" ref="C122:H122" si="52">C118*C127</f>
        <v>0</v>
      </c>
      <c r="D122" s="518">
        <f t="shared" si="52"/>
        <v>0</v>
      </c>
      <c r="E122" s="518">
        <f t="shared" si="52"/>
        <v>0</v>
      </c>
      <c r="F122" s="518">
        <f t="shared" si="52"/>
        <v>0</v>
      </c>
      <c r="G122" s="518">
        <f t="shared" si="52"/>
        <v>0</v>
      </c>
      <c r="H122" s="518">
        <f t="shared" si="52"/>
        <v>0</v>
      </c>
      <c r="I122" s="518">
        <f>I118*I127</f>
        <v>0</v>
      </c>
      <c r="J122" s="518">
        <f>J118*J127</f>
        <v>0</v>
      </c>
      <c r="K122" s="518">
        <v>0</v>
      </c>
      <c r="L122" s="518">
        <v>0</v>
      </c>
      <c r="M122" s="518"/>
      <c r="N122" s="518"/>
      <c r="O122" s="518"/>
      <c r="P122" s="518"/>
      <c r="Q122" s="518"/>
      <c r="R122" s="518"/>
      <c r="T122" s="518">
        <f t="shared" si="50"/>
        <v>0</v>
      </c>
      <c r="U122" s="518">
        <f t="shared" si="51"/>
        <v>0</v>
      </c>
    </row>
    <row r="123" spans="1:21">
      <c r="A123" s="510"/>
      <c r="C123" s="510"/>
      <c r="D123" s="510"/>
      <c r="E123" s="510"/>
      <c r="F123" s="510"/>
      <c r="G123" s="510"/>
      <c r="H123" s="510"/>
      <c r="I123" s="510"/>
      <c r="J123" s="510"/>
      <c r="K123" s="510"/>
      <c r="L123" s="510"/>
      <c r="M123" s="510"/>
      <c r="N123" s="510"/>
      <c r="O123" s="510"/>
      <c r="P123" s="510"/>
      <c r="Q123" s="510"/>
      <c r="R123" s="510"/>
      <c r="T123" s="510"/>
      <c r="U123" s="510"/>
    </row>
    <row r="124" spans="1:21" ht="15" thickBot="1">
      <c r="A124" s="523" t="s">
        <v>557</v>
      </c>
      <c r="C124" s="519">
        <f t="shared" ref="C124:H124" si="53">SUM(C121:C122)</f>
        <v>85230</v>
      </c>
      <c r="D124" s="519">
        <f t="shared" si="53"/>
        <v>-75424</v>
      </c>
      <c r="E124" s="519">
        <f t="shared" si="53"/>
        <v>180920</v>
      </c>
      <c r="F124" s="519">
        <f t="shared" si="53"/>
        <v>349130</v>
      </c>
      <c r="G124" s="519">
        <f t="shared" si="53"/>
        <v>8909</v>
      </c>
      <c r="H124" s="519">
        <f t="shared" si="53"/>
        <v>56261</v>
      </c>
      <c r="I124" s="519">
        <f>SUM(I121:I122)</f>
        <v>271889</v>
      </c>
      <c r="J124" s="519">
        <f>SUM(J121:J122)</f>
        <v>502786</v>
      </c>
      <c r="K124" s="519">
        <f>SUM(K121:K122)</f>
        <v>67771</v>
      </c>
      <c r="L124" s="519">
        <f>SUM(L121:L122)</f>
        <v>144117</v>
      </c>
      <c r="M124" s="519"/>
      <c r="N124" s="519"/>
      <c r="O124" s="519"/>
      <c r="P124" s="519"/>
      <c r="Q124" s="519"/>
      <c r="R124" s="519"/>
      <c r="T124" s="519">
        <f>SUM(T121:T122)</f>
        <v>67771</v>
      </c>
      <c r="U124" s="519">
        <f>SUM(U121:U122)</f>
        <v>76346</v>
      </c>
    </row>
    <row r="125" spans="1:21" ht="15" thickTop="1"/>
    <row r="126" spans="1:21" s="525" customFormat="1" ht="10.5">
      <c r="A126" s="524" t="s">
        <v>561</v>
      </c>
      <c r="C126" s="526">
        <v>1</v>
      </c>
      <c r="D126" s="526">
        <v>1</v>
      </c>
      <c r="E126" s="526">
        <v>1</v>
      </c>
      <c r="F126" s="526">
        <v>1</v>
      </c>
      <c r="G126" s="526">
        <v>1</v>
      </c>
      <c r="H126" s="526">
        <v>1</v>
      </c>
      <c r="I126" s="526">
        <v>1</v>
      </c>
      <c r="J126" s="526">
        <v>1</v>
      </c>
      <c r="K126" s="526">
        <v>1</v>
      </c>
      <c r="L126" s="526">
        <v>1</v>
      </c>
      <c r="T126" s="526">
        <f t="shared" ref="T126:T127" si="54">K126</f>
        <v>1</v>
      </c>
      <c r="U126" s="526">
        <v>1</v>
      </c>
    </row>
    <row r="127" spans="1:21" s="525" customFormat="1" ht="10.5">
      <c r="A127" s="524" t="s">
        <v>562</v>
      </c>
      <c r="C127" s="526">
        <v>0</v>
      </c>
      <c r="D127" s="526">
        <v>0</v>
      </c>
      <c r="E127" s="526">
        <v>0</v>
      </c>
      <c r="F127" s="526">
        <v>0</v>
      </c>
      <c r="G127" s="526">
        <v>0</v>
      </c>
      <c r="H127" s="526">
        <v>0</v>
      </c>
      <c r="I127" s="526">
        <v>0</v>
      </c>
      <c r="J127" s="526">
        <v>0</v>
      </c>
      <c r="K127" s="526">
        <v>0</v>
      </c>
      <c r="L127" s="526">
        <v>0</v>
      </c>
      <c r="T127" s="526">
        <f t="shared" si="54"/>
        <v>0</v>
      </c>
      <c r="U127" s="526"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4:T126"/>
  <sheetViews>
    <sheetView showGridLines="0"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4.5" outlineLevelRow="1"/>
  <cols>
    <col min="1" max="1" width="65.7265625" bestFit="1" customWidth="1"/>
    <col min="2" max="2" width="1.54296875" customWidth="1"/>
    <col min="3" max="11" width="15.1796875" customWidth="1"/>
    <col min="12" max="18" width="15.1796875" hidden="1" customWidth="1"/>
    <col min="19" max="19" width="1.54296875" customWidth="1"/>
    <col min="20" max="20" width="15.1796875" customWidth="1"/>
  </cols>
  <sheetData>
    <row r="4" spans="1:20">
      <c r="A4" s="521" t="s">
        <v>577</v>
      </c>
      <c r="C4" s="520" t="s">
        <v>453</v>
      </c>
      <c r="D4" s="520" t="s">
        <v>454</v>
      </c>
      <c r="E4" s="520" t="s">
        <v>455</v>
      </c>
      <c r="F4" s="520">
        <v>2022</v>
      </c>
      <c r="G4" s="520" t="s">
        <v>456</v>
      </c>
      <c r="H4" s="520" t="s">
        <v>457</v>
      </c>
      <c r="I4" s="520" t="s">
        <v>458</v>
      </c>
      <c r="J4" s="520">
        <v>2023</v>
      </c>
      <c r="K4" s="520" t="s">
        <v>459</v>
      </c>
      <c r="L4" s="520" t="s">
        <v>460</v>
      </c>
      <c r="M4" s="520" t="s">
        <v>461</v>
      </c>
      <c r="N4" s="520">
        <v>2024</v>
      </c>
      <c r="O4" s="520" t="s">
        <v>462</v>
      </c>
      <c r="P4" s="520" t="s">
        <v>463</v>
      </c>
      <c r="Q4" s="520" t="s">
        <v>464</v>
      </c>
      <c r="R4" s="520">
        <v>2025</v>
      </c>
      <c r="T4" s="520" t="s">
        <v>49</v>
      </c>
    </row>
    <row r="5" spans="1:20" ht="6.65" customHeight="1"/>
    <row r="6" spans="1:20">
      <c r="A6" s="522" t="s">
        <v>465</v>
      </c>
      <c r="C6" s="513">
        <f t="shared" ref="C6:I6" si="0">SUM(C8,C11:C17)</f>
        <v>45236</v>
      </c>
      <c r="D6" s="513">
        <f t="shared" si="0"/>
        <v>88859</v>
      </c>
      <c r="E6" s="513">
        <f t="shared" si="0"/>
        <v>135788</v>
      </c>
      <c r="F6" s="513">
        <f t="shared" si="0"/>
        <v>166807</v>
      </c>
      <c r="G6" s="513">
        <f t="shared" si="0"/>
        <v>32978</v>
      </c>
      <c r="H6" s="513">
        <f t="shared" si="0"/>
        <v>81243</v>
      </c>
      <c r="I6" s="513">
        <f t="shared" si="0"/>
        <v>126739</v>
      </c>
      <c r="J6" s="513">
        <f t="shared" ref="J6:K6" si="1">SUM(J8,J11:J17)</f>
        <v>158377</v>
      </c>
      <c r="K6" s="513">
        <f t="shared" si="1"/>
        <v>32027</v>
      </c>
      <c r="L6" s="513"/>
      <c r="M6" s="513"/>
      <c r="N6" s="513"/>
      <c r="O6" s="513"/>
      <c r="P6" s="513"/>
      <c r="Q6" s="513"/>
      <c r="R6" s="513"/>
      <c r="T6" s="513">
        <f t="shared" ref="T6" si="2">SUM(T8,T11:T17)</f>
        <v>32027</v>
      </c>
    </row>
    <row r="7" spans="1:20">
      <c r="A7" s="509"/>
      <c r="C7" s="514"/>
      <c r="D7" s="514"/>
      <c r="E7" s="514"/>
      <c r="F7" s="514"/>
      <c r="G7" s="514"/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514"/>
      <c r="T7" s="514"/>
    </row>
    <row r="8" spans="1:20">
      <c r="A8" s="510" t="s">
        <v>466</v>
      </c>
      <c r="C8" s="515">
        <f t="shared" ref="C8:H8" si="3">SUM(C9:C10)</f>
        <v>0</v>
      </c>
      <c r="D8" s="515">
        <f t="shared" si="3"/>
        <v>0</v>
      </c>
      <c r="E8" s="515">
        <f t="shared" si="3"/>
        <v>0</v>
      </c>
      <c r="F8" s="515">
        <f t="shared" si="3"/>
        <v>0</v>
      </c>
      <c r="G8" s="515">
        <f t="shared" si="3"/>
        <v>0</v>
      </c>
      <c r="H8" s="515">
        <f t="shared" si="3"/>
        <v>0</v>
      </c>
      <c r="I8" s="515">
        <f>SUM(I9:I10)</f>
        <v>0</v>
      </c>
      <c r="J8" s="515">
        <f>SUM(J9:J10)</f>
        <v>0</v>
      </c>
      <c r="K8" s="515">
        <f>SUM(K9:K10)</f>
        <v>0</v>
      </c>
      <c r="L8" s="515"/>
      <c r="M8" s="515"/>
      <c r="N8" s="515"/>
      <c r="O8" s="515"/>
      <c r="P8" s="515"/>
      <c r="Q8" s="515"/>
      <c r="R8" s="515"/>
      <c r="T8" s="515">
        <f>SUM(T9:T10)</f>
        <v>0</v>
      </c>
    </row>
    <row r="9" spans="1:20" outlineLevel="1">
      <c r="A9" s="511" t="s">
        <v>466</v>
      </c>
      <c r="C9" s="516">
        <v>0</v>
      </c>
      <c r="D9" s="516">
        <v>0</v>
      </c>
      <c r="E9" s="516">
        <v>0</v>
      </c>
      <c r="F9" s="516">
        <v>0</v>
      </c>
      <c r="G9" s="516">
        <v>0</v>
      </c>
      <c r="H9" s="516">
        <v>0</v>
      </c>
      <c r="I9" s="516">
        <v>0</v>
      </c>
      <c r="J9" s="516">
        <v>0</v>
      </c>
      <c r="K9" s="516">
        <v>0</v>
      </c>
      <c r="L9" s="516"/>
      <c r="M9" s="516"/>
      <c r="N9" s="516"/>
      <c r="O9" s="516"/>
      <c r="P9" s="516"/>
      <c r="Q9" s="516"/>
      <c r="R9" s="516"/>
      <c r="T9" s="516">
        <f>K9</f>
        <v>0</v>
      </c>
    </row>
    <row r="10" spans="1:20" outlineLevel="1">
      <c r="A10" s="511" t="s">
        <v>467</v>
      </c>
      <c r="C10" s="516">
        <v>0</v>
      </c>
      <c r="D10" s="516">
        <v>0</v>
      </c>
      <c r="E10" s="516">
        <v>0</v>
      </c>
      <c r="F10" s="516">
        <v>0</v>
      </c>
      <c r="G10" s="516">
        <v>0</v>
      </c>
      <c r="H10" s="516">
        <v>0</v>
      </c>
      <c r="I10" s="516">
        <v>0</v>
      </c>
      <c r="J10" s="516">
        <v>0</v>
      </c>
      <c r="K10" s="516">
        <v>0</v>
      </c>
      <c r="L10" s="516"/>
      <c r="M10" s="516"/>
      <c r="N10" s="516"/>
      <c r="O10" s="516"/>
      <c r="P10" s="516"/>
      <c r="Q10" s="516"/>
      <c r="R10" s="516"/>
      <c r="T10" s="516">
        <f t="shared" ref="T10:T25" si="4">K10</f>
        <v>0</v>
      </c>
    </row>
    <row r="11" spans="1:20">
      <c r="A11" s="510" t="s">
        <v>468</v>
      </c>
      <c r="C11" s="515">
        <v>0</v>
      </c>
      <c r="D11" s="515">
        <v>0</v>
      </c>
      <c r="E11" s="515">
        <v>0</v>
      </c>
      <c r="F11" s="515">
        <v>0</v>
      </c>
      <c r="G11" s="515">
        <v>0</v>
      </c>
      <c r="H11" s="515">
        <v>0</v>
      </c>
      <c r="I11" s="515">
        <v>0</v>
      </c>
      <c r="J11" s="515">
        <v>0</v>
      </c>
      <c r="K11" s="515">
        <v>0</v>
      </c>
      <c r="L11" s="515"/>
      <c r="M11" s="515"/>
      <c r="N11" s="515"/>
      <c r="O11" s="515"/>
      <c r="P11" s="515"/>
      <c r="Q11" s="515"/>
      <c r="R11" s="515"/>
      <c r="T11" s="515">
        <f t="shared" si="4"/>
        <v>0</v>
      </c>
    </row>
    <row r="12" spans="1:20">
      <c r="A12" s="510" t="s">
        <v>469</v>
      </c>
      <c r="C12" s="515">
        <v>0</v>
      </c>
      <c r="D12" s="515">
        <v>0</v>
      </c>
      <c r="E12" s="515">
        <v>0</v>
      </c>
      <c r="F12" s="515">
        <v>0</v>
      </c>
      <c r="G12" s="515">
        <v>0</v>
      </c>
      <c r="H12" s="515">
        <v>0</v>
      </c>
      <c r="I12" s="515">
        <v>0</v>
      </c>
      <c r="J12" s="515">
        <v>0</v>
      </c>
      <c r="K12" s="515">
        <v>0</v>
      </c>
      <c r="L12" s="515"/>
      <c r="M12" s="515"/>
      <c r="N12" s="515"/>
      <c r="O12" s="515"/>
      <c r="P12" s="515"/>
      <c r="Q12" s="515"/>
      <c r="R12" s="515"/>
      <c r="T12" s="515">
        <f t="shared" si="4"/>
        <v>0</v>
      </c>
    </row>
    <row r="13" spans="1:20">
      <c r="A13" s="510" t="s">
        <v>470</v>
      </c>
      <c r="C13" s="515">
        <v>447</v>
      </c>
      <c r="D13" s="515">
        <v>435</v>
      </c>
      <c r="E13" s="515">
        <v>435</v>
      </c>
      <c r="F13" s="515">
        <v>435</v>
      </c>
      <c r="G13" s="515">
        <v>0</v>
      </c>
      <c r="H13" s="515">
        <v>0</v>
      </c>
      <c r="I13" s="515">
        <v>0</v>
      </c>
      <c r="J13" s="515">
        <v>0</v>
      </c>
      <c r="K13" s="515">
        <v>0</v>
      </c>
      <c r="L13" s="515"/>
      <c r="M13" s="515"/>
      <c r="N13" s="515"/>
      <c r="O13" s="515"/>
      <c r="P13" s="515"/>
      <c r="Q13" s="515"/>
      <c r="R13" s="515"/>
      <c r="T13" s="515">
        <f t="shared" si="4"/>
        <v>0</v>
      </c>
    </row>
    <row r="14" spans="1:20">
      <c r="A14" s="510" t="s">
        <v>471</v>
      </c>
      <c r="C14" s="515">
        <v>0</v>
      </c>
      <c r="D14" s="515">
        <v>0</v>
      </c>
      <c r="E14" s="515">
        <v>0</v>
      </c>
      <c r="F14" s="515">
        <v>0</v>
      </c>
      <c r="G14" s="515">
        <v>0</v>
      </c>
      <c r="H14" s="515">
        <v>0</v>
      </c>
      <c r="I14" s="515">
        <v>0</v>
      </c>
      <c r="J14" s="515">
        <v>0</v>
      </c>
      <c r="K14" s="515">
        <v>0</v>
      </c>
      <c r="L14" s="515"/>
      <c r="M14" s="515"/>
      <c r="N14" s="515"/>
      <c r="O14" s="515"/>
      <c r="P14" s="515"/>
      <c r="Q14" s="515"/>
      <c r="R14" s="515"/>
      <c r="T14" s="515">
        <f t="shared" si="4"/>
        <v>0</v>
      </c>
    </row>
    <row r="15" spans="1:20">
      <c r="A15" s="510" t="s">
        <v>472</v>
      </c>
      <c r="C15" s="515">
        <v>4298</v>
      </c>
      <c r="D15" s="515">
        <v>6732</v>
      </c>
      <c r="E15" s="515">
        <v>14141</v>
      </c>
      <c r="F15" s="515">
        <v>20755</v>
      </c>
      <c r="G15" s="515">
        <v>3194</v>
      </c>
      <c r="H15" s="515">
        <v>6420</v>
      </c>
      <c r="I15" s="515">
        <v>9220</v>
      </c>
      <c r="J15" s="515">
        <v>4884</v>
      </c>
      <c r="K15" s="515">
        <v>7999</v>
      </c>
      <c r="L15" s="515"/>
      <c r="M15" s="515"/>
      <c r="N15" s="515"/>
      <c r="O15" s="515"/>
      <c r="P15" s="515"/>
      <c r="Q15" s="515"/>
      <c r="R15" s="515"/>
      <c r="T15" s="515">
        <f t="shared" si="4"/>
        <v>7999</v>
      </c>
    </row>
    <row r="16" spans="1:20">
      <c r="A16" s="510" t="s">
        <v>473</v>
      </c>
      <c r="C16" s="515">
        <v>0</v>
      </c>
      <c r="D16" s="515">
        <v>0</v>
      </c>
      <c r="E16" s="515">
        <v>0</v>
      </c>
      <c r="F16" s="515">
        <v>0</v>
      </c>
      <c r="G16" s="515">
        <v>0</v>
      </c>
      <c r="H16" s="515">
        <v>0</v>
      </c>
      <c r="I16" s="515">
        <v>0</v>
      </c>
      <c r="J16" s="515">
        <v>0</v>
      </c>
      <c r="K16" s="515">
        <v>0</v>
      </c>
      <c r="L16" s="515"/>
      <c r="M16" s="515"/>
      <c r="N16" s="515"/>
      <c r="O16" s="515"/>
      <c r="P16" s="515"/>
      <c r="Q16" s="515"/>
      <c r="R16" s="515"/>
      <c r="T16" s="515">
        <f t="shared" si="4"/>
        <v>0</v>
      </c>
    </row>
    <row r="17" spans="1:20">
      <c r="A17" s="510" t="s">
        <v>474</v>
      </c>
      <c r="C17" s="515">
        <f t="shared" ref="C17:H17" si="5">SUM(C18:C25)</f>
        <v>40491</v>
      </c>
      <c r="D17" s="515">
        <f t="shared" si="5"/>
        <v>81692</v>
      </c>
      <c r="E17" s="515">
        <f t="shared" si="5"/>
        <v>121212</v>
      </c>
      <c r="F17" s="515">
        <f t="shared" si="5"/>
        <v>145617</v>
      </c>
      <c r="G17" s="515">
        <f t="shared" si="5"/>
        <v>29784</v>
      </c>
      <c r="H17" s="515">
        <f t="shared" si="5"/>
        <v>74823</v>
      </c>
      <c r="I17" s="515">
        <f>SUM(I18:I25)</f>
        <v>117519</v>
      </c>
      <c r="J17" s="515">
        <f>SUM(J18:J25)</f>
        <v>153493</v>
      </c>
      <c r="K17" s="515">
        <f>SUM(K18:K25)</f>
        <v>24028</v>
      </c>
      <c r="L17" s="515"/>
      <c r="M17" s="515"/>
      <c r="N17" s="515"/>
      <c r="O17" s="515"/>
      <c r="P17" s="515"/>
      <c r="Q17" s="515"/>
      <c r="R17" s="515"/>
      <c r="T17" s="515">
        <f>SUM(T18:T25)</f>
        <v>24028</v>
      </c>
    </row>
    <row r="18" spans="1:20" outlineLevel="1">
      <c r="A18" s="511" t="s">
        <v>475</v>
      </c>
      <c r="C18" s="516">
        <v>0</v>
      </c>
      <c r="D18" s="516">
        <v>0</v>
      </c>
      <c r="E18" s="516">
        <v>0</v>
      </c>
      <c r="F18" s="516">
        <v>0</v>
      </c>
      <c r="G18" s="516">
        <v>0</v>
      </c>
      <c r="H18" s="516">
        <v>0</v>
      </c>
      <c r="I18" s="516">
        <v>0</v>
      </c>
      <c r="J18" s="516">
        <v>0</v>
      </c>
      <c r="K18" s="516">
        <v>0</v>
      </c>
      <c r="L18" s="516"/>
      <c r="M18" s="516"/>
      <c r="N18" s="516"/>
      <c r="O18" s="516"/>
      <c r="P18" s="516"/>
      <c r="Q18" s="516"/>
      <c r="R18" s="516"/>
      <c r="T18" s="516">
        <f t="shared" si="4"/>
        <v>0</v>
      </c>
    </row>
    <row r="19" spans="1:20" outlineLevel="1">
      <c r="A19" s="511" t="s">
        <v>476</v>
      </c>
      <c r="C19" s="516">
        <v>0</v>
      </c>
      <c r="D19" s="516">
        <v>0</v>
      </c>
      <c r="E19" s="516">
        <v>0</v>
      </c>
      <c r="F19" s="516">
        <v>0</v>
      </c>
      <c r="G19" s="516">
        <v>0</v>
      </c>
      <c r="H19" s="516">
        <v>0</v>
      </c>
      <c r="I19" s="516">
        <v>0</v>
      </c>
      <c r="J19" s="516">
        <v>0</v>
      </c>
      <c r="K19" s="516">
        <v>0</v>
      </c>
      <c r="L19" s="516"/>
      <c r="M19" s="516"/>
      <c r="N19" s="516"/>
      <c r="O19" s="516"/>
      <c r="P19" s="516"/>
      <c r="Q19" s="516"/>
      <c r="R19" s="516"/>
      <c r="T19" s="516">
        <f t="shared" si="4"/>
        <v>0</v>
      </c>
    </row>
    <row r="20" spans="1:20" outlineLevel="1">
      <c r="A20" s="511" t="s">
        <v>477</v>
      </c>
      <c r="C20" s="516">
        <v>0</v>
      </c>
      <c r="D20" s="516">
        <v>0</v>
      </c>
      <c r="E20" s="516">
        <v>0</v>
      </c>
      <c r="F20" s="516">
        <v>0</v>
      </c>
      <c r="G20" s="516">
        <v>0</v>
      </c>
      <c r="H20" s="516">
        <v>0</v>
      </c>
      <c r="I20" s="516">
        <v>0</v>
      </c>
      <c r="J20" s="516">
        <v>0</v>
      </c>
      <c r="K20" s="516">
        <v>0</v>
      </c>
      <c r="L20" s="516"/>
      <c r="M20" s="516"/>
      <c r="N20" s="516"/>
      <c r="O20" s="516"/>
      <c r="P20" s="516"/>
      <c r="Q20" s="516"/>
      <c r="R20" s="516"/>
      <c r="T20" s="516">
        <f t="shared" si="4"/>
        <v>0</v>
      </c>
    </row>
    <row r="21" spans="1:20" outlineLevel="1">
      <c r="A21" s="511" t="s">
        <v>478</v>
      </c>
      <c r="C21" s="516">
        <v>41359</v>
      </c>
      <c r="D21" s="516">
        <v>82282</v>
      </c>
      <c r="E21" s="516">
        <v>123200</v>
      </c>
      <c r="F21" s="516">
        <v>156811</v>
      </c>
      <c r="G21" s="516">
        <v>31903</v>
      </c>
      <c r="H21" s="516">
        <v>80616</v>
      </c>
      <c r="I21" s="516">
        <v>126667</v>
      </c>
      <c r="J21" s="516">
        <v>158461</v>
      </c>
      <c r="K21" s="516">
        <v>23510</v>
      </c>
      <c r="L21" s="516"/>
      <c r="M21" s="516"/>
      <c r="N21" s="516"/>
      <c r="O21" s="516"/>
      <c r="P21" s="516"/>
      <c r="Q21" s="516"/>
      <c r="R21" s="516"/>
      <c r="T21" s="516">
        <f t="shared" si="4"/>
        <v>23510</v>
      </c>
    </row>
    <row r="22" spans="1:20" outlineLevel="1">
      <c r="A22" s="511" t="s">
        <v>479</v>
      </c>
      <c r="C22" s="516">
        <v>-3826</v>
      </c>
      <c r="D22" s="516">
        <v>-7611</v>
      </c>
      <c r="E22" s="516">
        <v>-11396</v>
      </c>
      <c r="F22" s="516">
        <v>-14505</v>
      </c>
      <c r="G22" s="516">
        <v>-2951</v>
      </c>
      <c r="H22" s="516">
        <v>-7457</v>
      </c>
      <c r="I22" s="516">
        <v>-11717</v>
      </c>
      <c r="J22" s="516">
        <v>-8443</v>
      </c>
      <c r="K22" s="516">
        <v>-361</v>
      </c>
      <c r="L22" s="516"/>
      <c r="M22" s="516"/>
      <c r="N22" s="516"/>
      <c r="O22" s="516"/>
      <c r="P22" s="516"/>
      <c r="Q22" s="516"/>
      <c r="R22" s="516"/>
      <c r="T22" s="516">
        <f t="shared" si="4"/>
        <v>-361</v>
      </c>
    </row>
    <row r="23" spans="1:20" outlineLevel="1">
      <c r="A23" s="511" t="s">
        <v>480</v>
      </c>
      <c r="C23" s="516">
        <v>0</v>
      </c>
      <c r="D23" s="516">
        <v>0</v>
      </c>
      <c r="E23" s="516">
        <v>0</v>
      </c>
      <c r="F23" s="516">
        <v>0</v>
      </c>
      <c r="G23" s="516">
        <v>0</v>
      </c>
      <c r="H23" s="516">
        <v>0</v>
      </c>
      <c r="I23" s="516">
        <v>0</v>
      </c>
      <c r="J23" s="516">
        <v>0</v>
      </c>
      <c r="K23" s="516">
        <v>0</v>
      </c>
      <c r="L23" s="516"/>
      <c r="M23" s="516"/>
      <c r="N23" s="516"/>
      <c r="O23" s="516"/>
      <c r="P23" s="516"/>
      <c r="Q23" s="516"/>
      <c r="R23" s="516"/>
      <c r="T23" s="516">
        <f t="shared" si="4"/>
        <v>0</v>
      </c>
    </row>
    <row r="24" spans="1:20" outlineLevel="1">
      <c r="A24" s="511" t="s">
        <v>481</v>
      </c>
      <c r="C24" s="516">
        <v>0</v>
      </c>
      <c r="D24" s="516">
        <v>0</v>
      </c>
      <c r="E24" s="516">
        <v>0</v>
      </c>
      <c r="F24" s="516">
        <v>0</v>
      </c>
      <c r="G24" s="516">
        <v>0</v>
      </c>
      <c r="H24" s="516">
        <v>0</v>
      </c>
      <c r="I24" s="516">
        <v>0</v>
      </c>
      <c r="J24" s="516">
        <v>0</v>
      </c>
      <c r="K24" s="516">
        <v>0</v>
      </c>
      <c r="L24" s="516"/>
      <c r="M24" s="516"/>
      <c r="N24" s="516"/>
      <c r="O24" s="516"/>
      <c r="P24" s="516"/>
      <c r="Q24" s="516"/>
      <c r="R24" s="516"/>
      <c r="T24" s="516">
        <f t="shared" si="4"/>
        <v>0</v>
      </c>
    </row>
    <row r="25" spans="1:20" outlineLevel="1">
      <c r="A25" s="511" t="s">
        <v>474</v>
      </c>
      <c r="C25" s="516">
        <v>2958</v>
      </c>
      <c r="D25" s="516">
        <v>7021</v>
      </c>
      <c r="E25" s="516">
        <v>9408</v>
      </c>
      <c r="F25" s="516">
        <v>3311</v>
      </c>
      <c r="G25" s="516">
        <v>832</v>
      </c>
      <c r="H25" s="516">
        <v>1664</v>
      </c>
      <c r="I25" s="516">
        <v>2569</v>
      </c>
      <c r="J25" s="516">
        <v>3475</v>
      </c>
      <c r="K25" s="516">
        <v>879</v>
      </c>
      <c r="L25" s="516"/>
      <c r="M25" s="516"/>
      <c r="N25" s="516"/>
      <c r="O25" s="516"/>
      <c r="P25" s="516"/>
      <c r="Q25" s="516"/>
      <c r="R25" s="516"/>
      <c r="T25" s="516">
        <f t="shared" si="4"/>
        <v>879</v>
      </c>
    </row>
    <row r="26" spans="1:20">
      <c r="A26" s="510"/>
      <c r="C26" s="510"/>
      <c r="D26" s="510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  <c r="T26" s="510"/>
    </row>
    <row r="27" spans="1:20">
      <c r="A27" s="522" t="s">
        <v>482</v>
      </c>
      <c r="C27" s="513">
        <f t="shared" ref="C27:H27" si="6">SUM(C29:C37)</f>
        <v>-4981</v>
      </c>
      <c r="D27" s="513">
        <f t="shared" si="6"/>
        <v>-9643</v>
      </c>
      <c r="E27" s="513">
        <f t="shared" si="6"/>
        <v>-14506</v>
      </c>
      <c r="F27" s="513">
        <f t="shared" si="6"/>
        <v>-19482</v>
      </c>
      <c r="G27" s="513">
        <f t="shared" si="6"/>
        <v>-4812</v>
      </c>
      <c r="H27" s="513">
        <f t="shared" si="6"/>
        <v>-9639</v>
      </c>
      <c r="I27" s="513">
        <f>SUM(I29:I37)</f>
        <v>-13240</v>
      </c>
      <c r="J27" s="513">
        <f>SUM(J29:J37)</f>
        <v>-22456</v>
      </c>
      <c r="K27" s="513">
        <f>SUM(K29:K37)</f>
        <v>-4783</v>
      </c>
      <c r="L27" s="513"/>
      <c r="M27" s="513"/>
      <c r="N27" s="513"/>
      <c r="O27" s="513"/>
      <c r="P27" s="513"/>
      <c r="Q27" s="513"/>
      <c r="R27" s="513"/>
      <c r="T27" s="513">
        <f>SUM(T29:T37)</f>
        <v>-4783</v>
      </c>
    </row>
    <row r="28" spans="1:20">
      <c r="A28" s="509"/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T28" s="514"/>
    </row>
    <row r="29" spans="1:20" outlineLevel="1">
      <c r="A29" s="511" t="s">
        <v>483</v>
      </c>
      <c r="C29" s="516">
        <v>0</v>
      </c>
      <c r="D29" s="516">
        <v>0</v>
      </c>
      <c r="E29" s="516">
        <v>0</v>
      </c>
      <c r="F29" s="516">
        <v>0</v>
      </c>
      <c r="G29" s="516">
        <v>0</v>
      </c>
      <c r="H29" s="516">
        <v>0</v>
      </c>
      <c r="I29" s="516">
        <v>0</v>
      </c>
      <c r="J29" s="516">
        <v>0</v>
      </c>
      <c r="K29" s="516">
        <v>0</v>
      </c>
      <c r="L29" s="516"/>
      <c r="M29" s="516"/>
      <c r="N29" s="516"/>
      <c r="O29" s="516"/>
      <c r="P29" s="516"/>
      <c r="Q29" s="516"/>
      <c r="R29" s="516"/>
      <c r="T29" s="516">
        <f t="shared" ref="T29:T37" si="7">K29</f>
        <v>0</v>
      </c>
    </row>
    <row r="30" spans="1:20" outlineLevel="1">
      <c r="A30" s="511" t="s">
        <v>484</v>
      </c>
      <c r="C30" s="516">
        <v>-3065</v>
      </c>
      <c r="D30" s="516">
        <v>-5865</v>
      </c>
      <c r="E30" s="516">
        <v>-8877</v>
      </c>
      <c r="F30" s="516">
        <v>-12032</v>
      </c>
      <c r="G30" s="516">
        <v>-3000</v>
      </c>
      <c r="H30" s="516">
        <v>-6021</v>
      </c>
      <c r="I30" s="516">
        <v>-7817</v>
      </c>
      <c r="J30" s="516">
        <v>-15122</v>
      </c>
      <c r="K30" s="516">
        <v>-2887</v>
      </c>
      <c r="L30" s="516"/>
      <c r="M30" s="516"/>
      <c r="N30" s="516"/>
      <c r="O30" s="516"/>
      <c r="P30" s="516"/>
      <c r="Q30" s="516"/>
      <c r="R30" s="516"/>
      <c r="T30" s="516">
        <f t="shared" si="7"/>
        <v>-2887</v>
      </c>
    </row>
    <row r="31" spans="1:20" outlineLevel="1">
      <c r="A31" s="511" t="s">
        <v>485</v>
      </c>
      <c r="C31" s="516">
        <v>-41</v>
      </c>
      <c r="D31" s="516">
        <v>-41</v>
      </c>
      <c r="E31" s="516">
        <v>-40</v>
      </c>
      <c r="F31" s="516">
        <v>-40</v>
      </c>
      <c r="G31" s="516">
        <v>0</v>
      </c>
      <c r="H31" s="516">
        <v>0</v>
      </c>
      <c r="I31" s="516">
        <v>0</v>
      </c>
      <c r="J31" s="516">
        <v>0</v>
      </c>
      <c r="K31" s="516">
        <v>0</v>
      </c>
      <c r="L31" s="516"/>
      <c r="M31" s="516"/>
      <c r="N31" s="516"/>
      <c r="O31" s="516"/>
      <c r="P31" s="516"/>
      <c r="Q31" s="516"/>
      <c r="R31" s="516"/>
      <c r="T31" s="516">
        <f t="shared" si="7"/>
        <v>0</v>
      </c>
    </row>
    <row r="32" spans="1:20" outlineLevel="1">
      <c r="A32" s="511" t="s">
        <v>486</v>
      </c>
      <c r="C32" s="516">
        <v>-1301</v>
      </c>
      <c r="D32" s="516">
        <v>-2602</v>
      </c>
      <c r="E32" s="516">
        <v>-3833</v>
      </c>
      <c r="F32" s="516">
        <v>-5029</v>
      </c>
      <c r="G32" s="516">
        <v>-1196</v>
      </c>
      <c r="H32" s="516">
        <v>-2392</v>
      </c>
      <c r="I32" s="516">
        <v>-3813</v>
      </c>
      <c r="J32" s="516">
        <v>-5347</v>
      </c>
      <c r="K32" s="516">
        <v>-1534</v>
      </c>
      <c r="L32" s="516"/>
      <c r="M32" s="516"/>
      <c r="N32" s="516"/>
      <c r="O32" s="516"/>
      <c r="P32" s="516"/>
      <c r="Q32" s="516"/>
      <c r="R32" s="516"/>
      <c r="T32" s="516">
        <f t="shared" si="7"/>
        <v>-1534</v>
      </c>
    </row>
    <row r="33" spans="1:20" outlineLevel="1">
      <c r="A33" s="511" t="s">
        <v>487</v>
      </c>
      <c r="C33" s="516">
        <v>-406</v>
      </c>
      <c r="D33" s="516">
        <v>-798</v>
      </c>
      <c r="E33" s="516">
        <v>-1241</v>
      </c>
      <c r="F33" s="516">
        <v>-1693</v>
      </c>
      <c r="G33" s="516">
        <v>-443</v>
      </c>
      <c r="H33" s="516">
        <v>-880</v>
      </c>
      <c r="I33" s="516">
        <v>-1139</v>
      </c>
      <c r="J33" s="516">
        <v>-1410</v>
      </c>
      <c r="K33" s="516">
        <v>-258</v>
      </c>
      <c r="L33" s="516"/>
      <c r="M33" s="516"/>
      <c r="N33" s="516"/>
      <c r="O33" s="516"/>
      <c r="P33" s="516"/>
      <c r="Q33" s="516"/>
      <c r="R33" s="516"/>
      <c r="T33" s="516">
        <f t="shared" si="7"/>
        <v>-258</v>
      </c>
    </row>
    <row r="34" spans="1:20" outlineLevel="1">
      <c r="A34" s="511" t="s">
        <v>488</v>
      </c>
      <c r="C34" s="516">
        <v>-165</v>
      </c>
      <c r="D34" s="516">
        <v>-330</v>
      </c>
      <c r="E34" s="516">
        <v>-504</v>
      </c>
      <c r="F34" s="516">
        <v>-673</v>
      </c>
      <c r="G34" s="516">
        <v>-169</v>
      </c>
      <c r="H34" s="516">
        <v>-338</v>
      </c>
      <c r="I34" s="516">
        <v>-459</v>
      </c>
      <c r="J34" s="516">
        <v>-561</v>
      </c>
      <c r="K34" s="516">
        <v>-101</v>
      </c>
      <c r="L34" s="516"/>
      <c r="M34" s="516"/>
      <c r="N34" s="516"/>
      <c r="O34" s="516"/>
      <c r="P34" s="516"/>
      <c r="Q34" s="516"/>
      <c r="R34" s="516"/>
      <c r="T34" s="516">
        <f t="shared" si="7"/>
        <v>-101</v>
      </c>
    </row>
    <row r="35" spans="1:20" outlineLevel="1">
      <c r="A35" s="511" t="s">
        <v>489</v>
      </c>
      <c r="C35" s="516">
        <v>0</v>
      </c>
      <c r="D35" s="516">
        <v>0</v>
      </c>
      <c r="E35" s="516">
        <v>0</v>
      </c>
      <c r="F35" s="516">
        <v>0</v>
      </c>
      <c r="G35" s="516">
        <v>0</v>
      </c>
      <c r="H35" s="516">
        <v>0</v>
      </c>
      <c r="I35" s="516">
        <v>0</v>
      </c>
      <c r="J35" s="516">
        <v>0</v>
      </c>
      <c r="K35" s="516">
        <v>0</v>
      </c>
      <c r="L35" s="516"/>
      <c r="M35" s="516"/>
      <c r="N35" s="516"/>
      <c r="O35" s="516"/>
      <c r="P35" s="516"/>
      <c r="Q35" s="516"/>
      <c r="R35" s="516"/>
      <c r="T35" s="516">
        <f t="shared" si="7"/>
        <v>0</v>
      </c>
    </row>
    <row r="36" spans="1:20" outlineLevel="1">
      <c r="A36" s="511" t="s">
        <v>490</v>
      </c>
      <c r="C36" s="516">
        <v>-3</v>
      </c>
      <c r="D36" s="516">
        <v>-7</v>
      </c>
      <c r="E36" s="516">
        <v>-11</v>
      </c>
      <c r="F36" s="516">
        <v>-15</v>
      </c>
      <c r="G36" s="516">
        <v>-4</v>
      </c>
      <c r="H36" s="516">
        <v>-8</v>
      </c>
      <c r="I36" s="516">
        <v>-12</v>
      </c>
      <c r="J36" s="516">
        <v>-16</v>
      </c>
      <c r="K36" s="516">
        <v>-3</v>
      </c>
      <c r="L36" s="516"/>
      <c r="M36" s="516"/>
      <c r="N36" s="516"/>
      <c r="O36" s="516"/>
      <c r="P36" s="516"/>
      <c r="Q36" s="516"/>
      <c r="R36" s="516"/>
      <c r="T36" s="516">
        <f t="shared" si="7"/>
        <v>-3</v>
      </c>
    </row>
    <row r="37" spans="1:20" outlineLevel="1">
      <c r="A37" s="511" t="s">
        <v>59</v>
      </c>
      <c r="C37" s="516">
        <v>0</v>
      </c>
      <c r="D37" s="516">
        <v>0</v>
      </c>
      <c r="E37" s="516">
        <v>0</v>
      </c>
      <c r="F37" s="516">
        <v>0</v>
      </c>
      <c r="G37" s="516">
        <v>0</v>
      </c>
      <c r="H37" s="516">
        <v>0</v>
      </c>
      <c r="I37" s="516">
        <v>0</v>
      </c>
      <c r="J37" s="516">
        <v>0</v>
      </c>
      <c r="K37" s="516">
        <v>0</v>
      </c>
      <c r="L37" s="516"/>
      <c r="M37" s="516"/>
      <c r="N37" s="516"/>
      <c r="O37" s="516"/>
      <c r="P37" s="516"/>
      <c r="Q37" s="516"/>
      <c r="R37" s="516"/>
      <c r="T37" s="516">
        <f t="shared" si="7"/>
        <v>0</v>
      </c>
    </row>
    <row r="38" spans="1:20">
      <c r="A38" s="510"/>
      <c r="C38" s="510"/>
      <c r="D38" s="510"/>
      <c r="E38" s="510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P38" s="510"/>
      <c r="Q38" s="510"/>
      <c r="R38" s="510"/>
      <c r="T38" s="510"/>
    </row>
    <row r="39" spans="1:20">
      <c r="A39" s="522" t="s">
        <v>491</v>
      </c>
      <c r="C39" s="513">
        <f t="shared" ref="C39:H39" si="8">C27+C6</f>
        <v>40255</v>
      </c>
      <c r="D39" s="513">
        <f t="shared" si="8"/>
        <v>79216</v>
      </c>
      <c r="E39" s="513">
        <f t="shared" si="8"/>
        <v>121282</v>
      </c>
      <c r="F39" s="513">
        <f t="shared" si="8"/>
        <v>147325</v>
      </c>
      <c r="G39" s="513">
        <f t="shared" si="8"/>
        <v>28166</v>
      </c>
      <c r="H39" s="513">
        <f t="shared" si="8"/>
        <v>71604</v>
      </c>
      <c r="I39" s="513">
        <f>I27+I6</f>
        <v>113499</v>
      </c>
      <c r="J39" s="513">
        <f>J27+J6</f>
        <v>135921</v>
      </c>
      <c r="K39" s="513">
        <f>K27+K6</f>
        <v>27244</v>
      </c>
      <c r="L39" s="513"/>
      <c r="M39" s="513"/>
      <c r="N39" s="513"/>
      <c r="O39" s="513"/>
      <c r="P39" s="513"/>
      <c r="Q39" s="513"/>
      <c r="R39" s="513"/>
      <c r="T39" s="513">
        <f>T27+T6</f>
        <v>27244</v>
      </c>
    </row>
    <row r="40" spans="1:20">
      <c r="A40" s="510"/>
      <c r="C40" s="510"/>
      <c r="D40" s="510"/>
      <c r="E40" s="510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P40" s="510"/>
      <c r="Q40" s="510"/>
      <c r="R40" s="510"/>
      <c r="T40" s="510"/>
    </row>
    <row r="41" spans="1:20">
      <c r="A41" s="509" t="s">
        <v>492</v>
      </c>
      <c r="C41" s="517">
        <f t="shared" ref="C41:H41" si="9">SUM(C43:C48)</f>
        <v>-24033</v>
      </c>
      <c r="D41" s="517">
        <f t="shared" si="9"/>
        <v>-38190</v>
      </c>
      <c r="E41" s="517">
        <f t="shared" si="9"/>
        <v>-57228</v>
      </c>
      <c r="F41" s="517">
        <f t="shared" si="9"/>
        <v>-64066</v>
      </c>
      <c r="G41" s="517">
        <f t="shared" si="9"/>
        <v>-3328</v>
      </c>
      <c r="H41" s="517">
        <f t="shared" si="9"/>
        <v>-6617</v>
      </c>
      <c r="I41" s="517">
        <f>SUM(I43:I48)</f>
        <v>-10126</v>
      </c>
      <c r="J41" s="517">
        <f>SUM(J43:J48)</f>
        <v>-11352</v>
      </c>
      <c r="K41" s="517">
        <f>SUM(K43:K48)</f>
        <v>-9702</v>
      </c>
      <c r="L41" s="517"/>
      <c r="M41" s="517"/>
      <c r="N41" s="517"/>
      <c r="O41" s="517"/>
      <c r="P41" s="517"/>
      <c r="Q41" s="517"/>
      <c r="R41" s="517"/>
      <c r="T41" s="517">
        <f>SUM(T43:T48)</f>
        <v>-9702</v>
      </c>
    </row>
    <row r="42" spans="1:20">
      <c r="A42" s="509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T42" s="514"/>
    </row>
    <row r="43" spans="1:20">
      <c r="A43" s="510" t="s">
        <v>493</v>
      </c>
      <c r="C43" s="515">
        <v>0</v>
      </c>
      <c r="D43" s="515">
        <v>0</v>
      </c>
      <c r="E43" s="515">
        <v>0</v>
      </c>
      <c r="F43" s="515">
        <v>0</v>
      </c>
      <c r="G43" s="515">
        <v>-227</v>
      </c>
      <c r="H43" s="515">
        <v>0</v>
      </c>
      <c r="I43" s="515">
        <v>0</v>
      </c>
      <c r="J43" s="515">
        <v>0</v>
      </c>
      <c r="K43" s="515">
        <v>0</v>
      </c>
      <c r="L43" s="515"/>
      <c r="M43" s="515"/>
      <c r="N43" s="515"/>
      <c r="O43" s="515"/>
      <c r="P43" s="515"/>
      <c r="Q43" s="515"/>
      <c r="R43" s="515"/>
      <c r="T43" s="515">
        <f t="shared" ref="T43:T47" si="10">K43</f>
        <v>0</v>
      </c>
    </row>
    <row r="44" spans="1:20">
      <c r="A44" s="510" t="s">
        <v>494</v>
      </c>
      <c r="C44" s="515">
        <v>-199</v>
      </c>
      <c r="D44" s="515">
        <v>-194</v>
      </c>
      <c r="E44" s="515">
        <v>-194</v>
      </c>
      <c r="F44" s="515">
        <v>-194</v>
      </c>
      <c r="G44" s="515">
        <v>0</v>
      </c>
      <c r="H44" s="515">
        <v>0</v>
      </c>
      <c r="I44" s="515">
        <v>0</v>
      </c>
      <c r="J44" s="515">
        <v>2051.6501699999999</v>
      </c>
      <c r="K44" s="515">
        <v>0</v>
      </c>
      <c r="L44" s="515"/>
      <c r="M44" s="515"/>
      <c r="N44" s="515"/>
      <c r="O44" s="515"/>
      <c r="P44" s="515"/>
      <c r="Q44" s="515"/>
      <c r="R44" s="515"/>
      <c r="T44" s="515">
        <f t="shared" si="10"/>
        <v>0</v>
      </c>
    </row>
    <row r="45" spans="1:20">
      <c r="A45" s="510" t="s">
        <v>495</v>
      </c>
      <c r="C45" s="515">
        <v>-23099</v>
      </c>
      <c r="D45" s="515">
        <v>-34570</v>
      </c>
      <c r="E45" s="515">
        <v>-47926</v>
      </c>
      <c r="F45" s="515">
        <v>-47926</v>
      </c>
      <c r="G45" s="515">
        <v>0</v>
      </c>
      <c r="H45" s="515">
        <v>0</v>
      </c>
      <c r="I45" s="515">
        <v>0</v>
      </c>
      <c r="J45" s="515">
        <v>0</v>
      </c>
      <c r="K45" s="515">
        <v>0</v>
      </c>
      <c r="L45" s="515"/>
      <c r="M45" s="515"/>
      <c r="N45" s="515"/>
      <c r="O45" s="515"/>
      <c r="P45" s="515"/>
      <c r="Q45" s="515"/>
      <c r="R45" s="515"/>
      <c r="T45" s="515">
        <f t="shared" si="10"/>
        <v>0</v>
      </c>
    </row>
    <row r="46" spans="1:20">
      <c r="A46" s="510" t="s">
        <v>496</v>
      </c>
      <c r="C46" s="515">
        <v>2137</v>
      </c>
      <c r="D46" s="515">
        <v>3198</v>
      </c>
      <c r="E46" s="515">
        <v>4433</v>
      </c>
      <c r="F46" s="515">
        <v>4433</v>
      </c>
      <c r="G46" s="515">
        <v>0</v>
      </c>
      <c r="H46" s="515">
        <v>0</v>
      </c>
      <c r="I46" s="515">
        <v>0</v>
      </c>
      <c r="J46" s="515">
        <v>0</v>
      </c>
      <c r="K46" s="515">
        <v>0</v>
      </c>
      <c r="L46" s="515"/>
      <c r="M46" s="515"/>
      <c r="N46" s="515"/>
      <c r="O46" s="515"/>
      <c r="P46" s="515"/>
      <c r="Q46" s="515"/>
      <c r="R46" s="515"/>
      <c r="T46" s="515">
        <f t="shared" si="10"/>
        <v>0</v>
      </c>
    </row>
    <row r="47" spans="1:20">
      <c r="A47" s="510" t="s">
        <v>497</v>
      </c>
      <c r="C47" s="515">
        <v>0</v>
      </c>
      <c r="D47" s="515">
        <v>0</v>
      </c>
      <c r="E47" s="515">
        <v>0</v>
      </c>
      <c r="F47" s="515">
        <v>0</v>
      </c>
      <c r="G47" s="515">
        <v>0</v>
      </c>
      <c r="H47" s="515">
        <v>0</v>
      </c>
      <c r="I47" s="515">
        <v>0</v>
      </c>
      <c r="J47" s="515">
        <v>0</v>
      </c>
      <c r="K47" s="515">
        <v>0</v>
      </c>
      <c r="L47" s="515"/>
      <c r="M47" s="515"/>
      <c r="N47" s="515"/>
      <c r="O47" s="515"/>
      <c r="P47" s="515"/>
      <c r="Q47" s="515"/>
      <c r="R47" s="515"/>
      <c r="T47" s="515">
        <f t="shared" si="10"/>
        <v>0</v>
      </c>
    </row>
    <row r="48" spans="1:20">
      <c r="A48" s="510" t="s">
        <v>498</v>
      </c>
      <c r="C48" s="515">
        <f t="shared" ref="C48:H48" si="11">SUM(C49:C55)</f>
        <v>-2872</v>
      </c>
      <c r="D48" s="515">
        <f t="shared" si="11"/>
        <v>-6624</v>
      </c>
      <c r="E48" s="515">
        <f t="shared" si="11"/>
        <v>-13541</v>
      </c>
      <c r="F48" s="515">
        <f t="shared" si="11"/>
        <v>-20379</v>
      </c>
      <c r="G48" s="515">
        <f t="shared" si="11"/>
        <v>-3101</v>
      </c>
      <c r="H48" s="515">
        <f t="shared" si="11"/>
        <v>-6617</v>
      </c>
      <c r="I48" s="515">
        <f>SUM(I49:I55)</f>
        <v>-10126</v>
      </c>
      <c r="J48" s="515">
        <f>SUM(J49:J55)</f>
        <v>-13403.650170000001</v>
      </c>
      <c r="K48" s="515">
        <f>SUM(K49:K55)</f>
        <v>-9702</v>
      </c>
      <c r="L48" s="515"/>
      <c r="M48" s="515"/>
      <c r="N48" s="515"/>
      <c r="O48" s="515"/>
      <c r="P48" s="515"/>
      <c r="Q48" s="515"/>
      <c r="R48" s="515"/>
      <c r="T48" s="515">
        <f>SUM(T49:T55)</f>
        <v>-9702</v>
      </c>
    </row>
    <row r="49" spans="1:20" outlineLevel="1">
      <c r="A49" s="511" t="s">
        <v>499</v>
      </c>
      <c r="C49" s="516">
        <v>-1471</v>
      </c>
      <c r="D49" s="516">
        <v>-2897</v>
      </c>
      <c r="E49" s="516">
        <v>-3449</v>
      </c>
      <c r="F49" s="516">
        <v>-4241</v>
      </c>
      <c r="G49" s="516">
        <v>-751</v>
      </c>
      <c r="H49" s="516">
        <v>-1715</v>
      </c>
      <c r="I49" s="516">
        <v>-2692</v>
      </c>
      <c r="J49" s="516">
        <v>-4729</v>
      </c>
      <c r="K49" s="516">
        <v>-861</v>
      </c>
      <c r="L49" s="516"/>
      <c r="M49" s="516"/>
      <c r="N49" s="516"/>
      <c r="O49" s="516"/>
      <c r="P49" s="516"/>
      <c r="Q49" s="516"/>
      <c r="R49" s="516"/>
      <c r="T49" s="516">
        <f t="shared" ref="T49:T55" si="12">K49</f>
        <v>-861</v>
      </c>
    </row>
    <row r="50" spans="1:20" outlineLevel="1">
      <c r="A50" s="511" t="s">
        <v>500</v>
      </c>
      <c r="C50" s="516">
        <v>-27</v>
      </c>
      <c r="D50" s="516">
        <v>-256</v>
      </c>
      <c r="E50" s="516">
        <v>-564</v>
      </c>
      <c r="F50" s="516">
        <v>-769</v>
      </c>
      <c r="G50" s="516">
        <v>-33</v>
      </c>
      <c r="H50" s="516">
        <v>-200</v>
      </c>
      <c r="I50" s="516">
        <v>-519</v>
      </c>
      <c r="J50" s="516">
        <v>-787</v>
      </c>
      <c r="K50" s="516">
        <v>-568</v>
      </c>
      <c r="L50" s="516"/>
      <c r="M50" s="516"/>
      <c r="N50" s="516"/>
      <c r="O50" s="516"/>
      <c r="P50" s="516"/>
      <c r="Q50" s="516"/>
      <c r="R50" s="516"/>
      <c r="T50" s="516">
        <f t="shared" si="12"/>
        <v>-568</v>
      </c>
    </row>
    <row r="51" spans="1:20" outlineLevel="1">
      <c r="A51" s="511" t="s">
        <v>501</v>
      </c>
      <c r="C51" s="516">
        <v>-1307</v>
      </c>
      <c r="D51" s="516">
        <v>-3322</v>
      </c>
      <c r="E51" s="516">
        <v>-9441</v>
      </c>
      <c r="F51" s="516">
        <v>-14836</v>
      </c>
      <c r="G51" s="516">
        <v>-2263</v>
      </c>
      <c r="H51" s="516">
        <v>-4608</v>
      </c>
      <c r="I51" s="516">
        <v>-6784</v>
      </c>
      <c r="J51" s="516">
        <v>-7742.6501699999999</v>
      </c>
      <c r="K51" s="516">
        <v>-8240</v>
      </c>
      <c r="L51" s="516"/>
      <c r="M51" s="516"/>
      <c r="N51" s="516"/>
      <c r="O51" s="516"/>
      <c r="P51" s="516"/>
      <c r="Q51" s="516"/>
      <c r="R51" s="516"/>
      <c r="T51" s="516">
        <f t="shared" si="12"/>
        <v>-8240</v>
      </c>
    </row>
    <row r="52" spans="1:20" outlineLevel="1">
      <c r="A52" s="511" t="s">
        <v>502</v>
      </c>
      <c r="C52" s="516">
        <v>-1</v>
      </c>
      <c r="D52" s="516">
        <v>-3</v>
      </c>
      <c r="E52" s="516">
        <v>-4</v>
      </c>
      <c r="F52" s="516">
        <v>-219</v>
      </c>
      <c r="G52" s="516">
        <v>-1</v>
      </c>
      <c r="H52" s="516">
        <v>-3</v>
      </c>
      <c r="I52" s="516">
        <v>-4</v>
      </c>
      <c r="J52" s="516">
        <v>-6</v>
      </c>
      <c r="K52" s="516">
        <v>-1</v>
      </c>
      <c r="L52" s="516"/>
      <c r="M52" s="516"/>
      <c r="N52" s="516"/>
      <c r="O52" s="516"/>
      <c r="P52" s="516"/>
      <c r="Q52" s="516"/>
      <c r="R52" s="516"/>
      <c r="T52" s="516">
        <f t="shared" si="12"/>
        <v>-1</v>
      </c>
    </row>
    <row r="53" spans="1:20" outlineLevel="1">
      <c r="A53" s="511" t="s">
        <v>503</v>
      </c>
      <c r="C53" s="516">
        <v>0</v>
      </c>
      <c r="D53" s="516">
        <v>0</v>
      </c>
      <c r="E53" s="516">
        <v>0</v>
      </c>
      <c r="F53" s="516">
        <v>0</v>
      </c>
      <c r="G53" s="516">
        <v>0</v>
      </c>
      <c r="H53" s="516">
        <v>0</v>
      </c>
      <c r="I53" s="516">
        <v>0</v>
      </c>
      <c r="J53" s="516">
        <v>0</v>
      </c>
      <c r="K53" s="516">
        <v>0</v>
      </c>
      <c r="L53" s="516"/>
      <c r="M53" s="516"/>
      <c r="N53" s="516"/>
      <c r="O53" s="516"/>
      <c r="P53" s="516"/>
      <c r="Q53" s="516"/>
      <c r="R53" s="516"/>
      <c r="T53" s="516">
        <f t="shared" si="12"/>
        <v>0</v>
      </c>
    </row>
    <row r="54" spans="1:20" outlineLevel="1">
      <c r="A54" s="511" t="s">
        <v>504</v>
      </c>
      <c r="C54" s="516">
        <v>-3</v>
      </c>
      <c r="D54" s="516">
        <v>-1</v>
      </c>
      <c r="E54" s="516">
        <v>-83</v>
      </c>
      <c r="F54" s="516">
        <v>-108</v>
      </c>
      <c r="G54" s="516">
        <v>-53</v>
      </c>
      <c r="H54" s="516">
        <v>-91</v>
      </c>
      <c r="I54" s="516">
        <v>-127</v>
      </c>
      <c r="J54" s="516">
        <v>-139</v>
      </c>
      <c r="K54" s="516">
        <v>-32</v>
      </c>
      <c r="L54" s="516"/>
      <c r="M54" s="516"/>
      <c r="N54" s="516"/>
      <c r="O54" s="516"/>
      <c r="P54" s="516"/>
      <c r="Q54" s="516"/>
      <c r="R54" s="516"/>
      <c r="T54" s="516">
        <f t="shared" si="12"/>
        <v>-32</v>
      </c>
    </row>
    <row r="55" spans="1:20" outlineLevel="1">
      <c r="A55" s="511" t="s">
        <v>505</v>
      </c>
      <c r="C55" s="516">
        <v>-63</v>
      </c>
      <c r="D55" s="516">
        <v>-145</v>
      </c>
      <c r="E55" s="516">
        <v>0</v>
      </c>
      <c r="F55" s="516">
        <v>-206</v>
      </c>
      <c r="G55" s="516">
        <v>0</v>
      </c>
      <c r="H55" s="516">
        <v>0</v>
      </c>
      <c r="I55" s="516">
        <v>0</v>
      </c>
      <c r="J55" s="516">
        <v>0</v>
      </c>
      <c r="K55" s="516">
        <v>0</v>
      </c>
      <c r="L55" s="516"/>
      <c r="M55" s="516"/>
      <c r="N55" s="516"/>
      <c r="O55" s="516"/>
      <c r="P55" s="516"/>
      <c r="Q55" s="516"/>
      <c r="R55" s="516"/>
      <c r="T55" s="516">
        <f t="shared" si="12"/>
        <v>0</v>
      </c>
    </row>
    <row r="56" spans="1:20">
      <c r="A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0"/>
      <c r="T56" s="510"/>
    </row>
    <row r="57" spans="1:20">
      <c r="A57" s="522" t="s">
        <v>506</v>
      </c>
      <c r="C57" s="513">
        <f t="shared" ref="C57:H57" si="13">C39+C41</f>
        <v>16222</v>
      </c>
      <c r="D57" s="513">
        <f t="shared" si="13"/>
        <v>41026</v>
      </c>
      <c r="E57" s="513">
        <f t="shared" si="13"/>
        <v>64054</v>
      </c>
      <c r="F57" s="513">
        <f t="shared" si="13"/>
        <v>83259</v>
      </c>
      <c r="G57" s="513">
        <f t="shared" si="13"/>
        <v>24838</v>
      </c>
      <c r="H57" s="513">
        <f t="shared" si="13"/>
        <v>64987</v>
      </c>
      <c r="I57" s="513">
        <f>I39+I41</f>
        <v>103373</v>
      </c>
      <c r="J57" s="513">
        <f>J39+J41</f>
        <v>124569</v>
      </c>
      <c r="K57" s="513">
        <f>K39+K41</f>
        <v>17542</v>
      </c>
      <c r="L57" s="513"/>
      <c r="M57" s="513"/>
      <c r="N57" s="513"/>
      <c r="O57" s="513"/>
      <c r="P57" s="513"/>
      <c r="Q57" s="513"/>
      <c r="R57" s="513"/>
      <c r="T57" s="513">
        <f>T39+T41</f>
        <v>17542</v>
      </c>
    </row>
    <row r="58" spans="1:20">
      <c r="A58" s="510"/>
      <c r="C58" s="510"/>
      <c r="D58" s="510"/>
      <c r="E58" s="510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P58" s="510"/>
      <c r="Q58" s="510"/>
      <c r="R58" s="510"/>
      <c r="T58" s="510"/>
    </row>
    <row r="59" spans="1:20">
      <c r="A59" s="509" t="s">
        <v>507</v>
      </c>
      <c r="C59" s="517">
        <f t="shared" ref="C59:H59" si="14">C61+C67+C68+C77+C78</f>
        <v>-84</v>
      </c>
      <c r="D59" s="517">
        <f t="shared" si="14"/>
        <v>-618</v>
      </c>
      <c r="E59" s="517">
        <f t="shared" si="14"/>
        <v>-1377</v>
      </c>
      <c r="F59" s="517">
        <f t="shared" si="14"/>
        <v>-1786</v>
      </c>
      <c r="G59" s="517">
        <f t="shared" si="14"/>
        <v>-188</v>
      </c>
      <c r="H59" s="517">
        <f t="shared" si="14"/>
        <v>-484</v>
      </c>
      <c r="I59" s="517">
        <f>I61+I67+I68+I77+I78</f>
        <v>-959</v>
      </c>
      <c r="J59" s="517">
        <f>J61+J67+J68+J77+J78</f>
        <v>-4342</v>
      </c>
      <c r="K59" s="517">
        <f>K61+K67+K68+K77+K78</f>
        <v>-754</v>
      </c>
      <c r="L59" s="517"/>
      <c r="M59" s="517"/>
      <c r="N59" s="517"/>
      <c r="O59" s="517"/>
      <c r="P59" s="517"/>
      <c r="Q59" s="517"/>
      <c r="R59" s="517"/>
      <c r="T59" s="517">
        <f>T61+T67+T68+T77+T78</f>
        <v>-754</v>
      </c>
    </row>
    <row r="60" spans="1:20">
      <c r="A60" s="509"/>
      <c r="C60" s="514"/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514"/>
      <c r="R60" s="514"/>
      <c r="T60" s="514"/>
    </row>
    <row r="61" spans="1:20">
      <c r="A61" s="512" t="s">
        <v>508</v>
      </c>
      <c r="C61" s="515">
        <f t="shared" ref="C61:H61" si="15">SUM(C62:C66)</f>
        <v>0</v>
      </c>
      <c r="D61" s="515">
        <f t="shared" si="15"/>
        <v>0</v>
      </c>
      <c r="E61" s="515">
        <f t="shared" si="15"/>
        <v>0</v>
      </c>
      <c r="F61" s="515">
        <f t="shared" si="15"/>
        <v>0</v>
      </c>
      <c r="G61" s="515">
        <f t="shared" si="15"/>
        <v>0</v>
      </c>
      <c r="H61" s="515">
        <f t="shared" si="15"/>
        <v>0</v>
      </c>
      <c r="I61" s="515">
        <f>SUM(I62:I66)</f>
        <v>0</v>
      </c>
      <c r="J61" s="515">
        <f>SUM(J62:J66)</f>
        <v>0</v>
      </c>
      <c r="K61" s="515">
        <f t="shared" ref="K61" si="16">SUM(K62:K66)</f>
        <v>0</v>
      </c>
      <c r="L61" s="515"/>
      <c r="M61" s="515"/>
      <c r="N61" s="515"/>
      <c r="O61" s="515"/>
      <c r="P61" s="515"/>
      <c r="Q61" s="515"/>
      <c r="R61" s="515"/>
      <c r="T61" s="515">
        <f t="shared" ref="T61" si="17">SUM(T62:T66)</f>
        <v>0</v>
      </c>
    </row>
    <row r="62" spans="1:20" outlineLevel="1">
      <c r="A62" s="511" t="s">
        <v>509</v>
      </c>
      <c r="C62" s="516">
        <v>0</v>
      </c>
      <c r="D62" s="516">
        <v>0</v>
      </c>
      <c r="E62" s="516">
        <v>0</v>
      </c>
      <c r="F62" s="516">
        <v>0</v>
      </c>
      <c r="G62" s="516">
        <v>0</v>
      </c>
      <c r="H62" s="516">
        <v>0</v>
      </c>
      <c r="I62" s="516">
        <v>0</v>
      </c>
      <c r="J62" s="516">
        <v>0</v>
      </c>
      <c r="K62" s="516">
        <v>0</v>
      </c>
      <c r="L62" s="516"/>
      <c r="M62" s="516"/>
      <c r="N62" s="516"/>
      <c r="O62" s="516"/>
      <c r="P62" s="516"/>
      <c r="Q62" s="516"/>
      <c r="R62" s="516"/>
      <c r="T62" s="516">
        <f t="shared" ref="T62:T67" si="18">K62</f>
        <v>0</v>
      </c>
    </row>
    <row r="63" spans="1:20" outlineLevel="1">
      <c r="A63" s="511" t="s">
        <v>510</v>
      </c>
      <c r="C63" s="516">
        <v>0</v>
      </c>
      <c r="D63" s="516">
        <v>0</v>
      </c>
      <c r="E63" s="516">
        <v>0</v>
      </c>
      <c r="F63" s="516">
        <v>0</v>
      </c>
      <c r="G63" s="516">
        <v>0</v>
      </c>
      <c r="H63" s="516">
        <v>0</v>
      </c>
      <c r="I63" s="516">
        <v>0</v>
      </c>
      <c r="J63" s="516">
        <v>0</v>
      </c>
      <c r="K63" s="516">
        <v>0</v>
      </c>
      <c r="L63" s="516"/>
      <c r="M63" s="516"/>
      <c r="N63" s="516"/>
      <c r="O63" s="516"/>
      <c r="P63" s="516"/>
      <c r="Q63" s="516"/>
      <c r="R63" s="516"/>
      <c r="T63" s="516">
        <f t="shared" si="18"/>
        <v>0</v>
      </c>
    </row>
    <row r="64" spans="1:20" outlineLevel="1">
      <c r="A64" s="511" t="s">
        <v>511</v>
      </c>
      <c r="C64" s="516">
        <v>0</v>
      </c>
      <c r="D64" s="516">
        <v>0</v>
      </c>
      <c r="E64" s="516">
        <v>0</v>
      </c>
      <c r="F64" s="516">
        <v>0</v>
      </c>
      <c r="G64" s="516">
        <v>0</v>
      </c>
      <c r="H64" s="516">
        <v>0</v>
      </c>
      <c r="I64" s="516">
        <v>0</v>
      </c>
      <c r="J64" s="516">
        <v>0</v>
      </c>
      <c r="K64" s="516">
        <v>0</v>
      </c>
      <c r="L64" s="516"/>
      <c r="M64" s="516"/>
      <c r="N64" s="516"/>
      <c r="O64" s="516"/>
      <c r="P64" s="516"/>
      <c r="Q64" s="516"/>
      <c r="R64" s="516"/>
      <c r="T64" s="516">
        <f t="shared" si="18"/>
        <v>0</v>
      </c>
    </row>
    <row r="65" spans="1:20" outlineLevel="1">
      <c r="A65" s="511" t="s">
        <v>512</v>
      </c>
      <c r="C65" s="516">
        <v>0</v>
      </c>
      <c r="D65" s="516">
        <v>0</v>
      </c>
      <c r="E65" s="516">
        <v>0</v>
      </c>
      <c r="F65" s="516">
        <v>0</v>
      </c>
      <c r="G65" s="516">
        <v>0</v>
      </c>
      <c r="H65" s="516">
        <v>0</v>
      </c>
      <c r="I65" s="516">
        <v>0</v>
      </c>
      <c r="J65" s="516">
        <v>0</v>
      </c>
      <c r="K65" s="516">
        <v>0</v>
      </c>
      <c r="L65" s="516"/>
      <c r="M65" s="516"/>
      <c r="N65" s="516"/>
      <c r="O65" s="516"/>
      <c r="P65" s="516"/>
      <c r="Q65" s="516"/>
      <c r="R65" s="516"/>
      <c r="T65" s="516">
        <f t="shared" si="18"/>
        <v>0</v>
      </c>
    </row>
    <row r="66" spans="1:20" outlineLevel="1">
      <c r="A66" s="511" t="s">
        <v>513</v>
      </c>
      <c r="C66" s="516">
        <v>0</v>
      </c>
      <c r="D66" s="516">
        <v>0</v>
      </c>
      <c r="E66" s="516">
        <v>0</v>
      </c>
      <c r="F66" s="516">
        <v>0</v>
      </c>
      <c r="G66" s="516">
        <v>0</v>
      </c>
      <c r="H66" s="516">
        <v>0</v>
      </c>
      <c r="I66" s="516">
        <v>0</v>
      </c>
      <c r="J66" s="516">
        <v>0</v>
      </c>
      <c r="K66" s="516">
        <v>0</v>
      </c>
      <c r="L66" s="516"/>
      <c r="M66" s="516"/>
      <c r="N66" s="516"/>
      <c r="O66" s="516"/>
      <c r="P66" s="516"/>
      <c r="Q66" s="516"/>
      <c r="R66" s="516"/>
      <c r="T66" s="516">
        <f t="shared" si="18"/>
        <v>0</v>
      </c>
    </row>
    <row r="67" spans="1:20">
      <c r="A67" s="510" t="s">
        <v>514</v>
      </c>
      <c r="C67" s="518">
        <v>0</v>
      </c>
      <c r="D67" s="518">
        <v>0</v>
      </c>
      <c r="E67" s="518">
        <v>0</v>
      </c>
      <c r="F67" s="518">
        <v>0</v>
      </c>
      <c r="G67" s="518">
        <v>0</v>
      </c>
      <c r="H67" s="518">
        <v>0</v>
      </c>
      <c r="I67" s="518">
        <v>0</v>
      </c>
      <c r="J67" s="518"/>
      <c r="K67" s="518"/>
      <c r="L67" s="518"/>
      <c r="M67" s="518"/>
      <c r="N67" s="518"/>
      <c r="O67" s="518"/>
      <c r="P67" s="518"/>
      <c r="Q67" s="518"/>
      <c r="R67" s="518"/>
      <c r="T67" s="518">
        <f t="shared" si="18"/>
        <v>0</v>
      </c>
    </row>
    <row r="68" spans="1:20">
      <c r="A68" s="510" t="s">
        <v>515</v>
      </c>
      <c r="C68" s="515">
        <f t="shared" ref="C68:H68" si="19">SUM(C69:C76)</f>
        <v>-84</v>
      </c>
      <c r="D68" s="515">
        <f t="shared" si="19"/>
        <v>-618</v>
      </c>
      <c r="E68" s="515">
        <f t="shared" si="19"/>
        <v>-1377</v>
      </c>
      <c r="F68" s="515">
        <f t="shared" si="19"/>
        <v>-1732</v>
      </c>
      <c r="G68" s="515">
        <f t="shared" si="19"/>
        <v>-188</v>
      </c>
      <c r="H68" s="515">
        <f t="shared" si="19"/>
        <v>-479</v>
      </c>
      <c r="I68" s="515">
        <f>SUM(I69:I76)</f>
        <v>-953</v>
      </c>
      <c r="J68" s="515">
        <f>SUM(J69:J76)</f>
        <v>-2413</v>
      </c>
      <c r="K68" s="515">
        <f>SUM(K69:K76)</f>
        <v>-742</v>
      </c>
      <c r="L68" s="515"/>
      <c r="M68" s="515"/>
      <c r="N68" s="515"/>
      <c r="O68" s="515"/>
      <c r="P68" s="515"/>
      <c r="Q68" s="515"/>
      <c r="R68" s="515"/>
      <c r="T68" s="515">
        <f>SUM(T69:T76)</f>
        <v>-742</v>
      </c>
    </row>
    <row r="69" spans="1:20" outlineLevel="1">
      <c r="A69" s="511" t="s">
        <v>516</v>
      </c>
      <c r="C69" s="516">
        <v>0</v>
      </c>
      <c r="D69" s="516">
        <v>0</v>
      </c>
      <c r="E69" s="516">
        <v>-796</v>
      </c>
      <c r="F69" s="516">
        <v>-846</v>
      </c>
      <c r="G69" s="516">
        <v>-14</v>
      </c>
      <c r="H69" s="516">
        <v>-1</v>
      </c>
      <c r="I69" s="516">
        <v>-198</v>
      </c>
      <c r="J69" s="516">
        <v>-1090</v>
      </c>
      <c r="K69" s="516">
        <v>-7</v>
      </c>
      <c r="L69" s="516"/>
      <c r="M69" s="516"/>
      <c r="N69" s="516"/>
      <c r="O69" s="516"/>
      <c r="P69" s="516"/>
      <c r="Q69" s="516"/>
      <c r="R69" s="516"/>
      <c r="T69" s="516">
        <f t="shared" ref="T69:T77" si="20">K69</f>
        <v>-7</v>
      </c>
    </row>
    <row r="70" spans="1:20" outlineLevel="1">
      <c r="A70" s="511" t="s">
        <v>517</v>
      </c>
      <c r="C70" s="516">
        <v>-9</v>
      </c>
      <c r="D70" s="516">
        <v>-16</v>
      </c>
      <c r="E70" s="516">
        <v>-4</v>
      </c>
      <c r="F70" s="516">
        <v>-4</v>
      </c>
      <c r="G70" s="516">
        <v>-17</v>
      </c>
      <c r="H70" s="516">
        <v>0</v>
      </c>
      <c r="I70" s="516">
        <v>-1</v>
      </c>
      <c r="J70" s="516">
        <v>0</v>
      </c>
      <c r="K70" s="516">
        <v>0</v>
      </c>
      <c r="L70" s="516"/>
      <c r="M70" s="516"/>
      <c r="N70" s="516"/>
      <c r="O70" s="516"/>
      <c r="P70" s="516"/>
      <c r="Q70" s="516"/>
      <c r="R70" s="516"/>
      <c r="T70" s="516">
        <f t="shared" si="20"/>
        <v>0</v>
      </c>
    </row>
    <row r="71" spans="1:20" outlineLevel="1">
      <c r="A71" s="511" t="s">
        <v>518</v>
      </c>
      <c r="C71" s="516">
        <v>-63</v>
      </c>
      <c r="D71" s="516">
        <v>-489</v>
      </c>
      <c r="E71" s="516">
        <v>-317</v>
      </c>
      <c r="F71" s="516">
        <v>-785</v>
      </c>
      <c r="G71" s="516">
        <v>-120</v>
      </c>
      <c r="H71" s="516">
        <v>-299</v>
      </c>
      <c r="I71" s="516">
        <v>-571</v>
      </c>
      <c r="J71" s="516">
        <v>-1039</v>
      </c>
      <c r="K71" s="516">
        <v>-647</v>
      </c>
      <c r="L71" s="516"/>
      <c r="M71" s="516"/>
      <c r="N71" s="516"/>
      <c r="O71" s="516"/>
      <c r="P71" s="516"/>
      <c r="Q71" s="516"/>
      <c r="R71" s="516"/>
      <c r="T71" s="516">
        <f t="shared" si="20"/>
        <v>-647</v>
      </c>
    </row>
    <row r="72" spans="1:20" outlineLevel="1">
      <c r="A72" s="511" t="s">
        <v>519</v>
      </c>
      <c r="C72" s="516">
        <v>0</v>
      </c>
      <c r="D72" s="516">
        <v>-72</v>
      </c>
      <c r="E72" s="516">
        <v>-4</v>
      </c>
      <c r="F72" s="516">
        <v>-4</v>
      </c>
      <c r="G72" s="516">
        <v>-1</v>
      </c>
      <c r="H72" s="516">
        <v>0</v>
      </c>
      <c r="I72" s="516">
        <v>-5</v>
      </c>
      <c r="J72" s="516">
        <v>-6</v>
      </c>
      <c r="K72" s="516">
        <v>-1</v>
      </c>
      <c r="L72" s="516"/>
      <c r="M72" s="516"/>
      <c r="N72" s="516"/>
      <c r="O72" s="516"/>
      <c r="P72" s="516"/>
      <c r="Q72" s="516"/>
      <c r="R72" s="516"/>
      <c r="T72" s="516">
        <f t="shared" si="20"/>
        <v>-1</v>
      </c>
    </row>
    <row r="73" spans="1:20" outlineLevel="1">
      <c r="A73" s="511" t="s">
        <v>520</v>
      </c>
      <c r="C73" s="516">
        <v>-12</v>
      </c>
      <c r="D73" s="516">
        <v>-41</v>
      </c>
      <c r="E73" s="516">
        <v>-256</v>
      </c>
      <c r="F73" s="516">
        <v>-93</v>
      </c>
      <c r="G73" s="516">
        <v>-36</v>
      </c>
      <c r="H73" s="516">
        <v>-179</v>
      </c>
      <c r="I73" s="516">
        <v>-178</v>
      </c>
      <c r="J73" s="516">
        <v>-278</v>
      </c>
      <c r="K73" s="516">
        <v>-87</v>
      </c>
      <c r="L73" s="516"/>
      <c r="M73" s="516"/>
      <c r="N73" s="516"/>
      <c r="O73" s="516"/>
      <c r="P73" s="516"/>
      <c r="Q73" s="516"/>
      <c r="R73" s="516"/>
      <c r="T73" s="516">
        <f t="shared" si="20"/>
        <v>-87</v>
      </c>
    </row>
    <row r="74" spans="1:20" outlineLevel="1">
      <c r="A74" s="511" t="s">
        <v>521</v>
      </c>
      <c r="C74" s="516">
        <v>0</v>
      </c>
      <c r="D74" s="516">
        <v>0</v>
      </c>
      <c r="E74" s="516">
        <v>0</v>
      </c>
      <c r="F74" s="516">
        <v>0</v>
      </c>
      <c r="G74" s="516">
        <v>0</v>
      </c>
      <c r="H74" s="516">
        <v>0</v>
      </c>
      <c r="I74" s="516">
        <v>0</v>
      </c>
      <c r="J74" s="516">
        <v>0</v>
      </c>
      <c r="K74" s="516">
        <v>0</v>
      </c>
      <c r="L74" s="516"/>
      <c r="M74" s="516"/>
      <c r="N74" s="516"/>
      <c r="O74" s="516"/>
      <c r="P74" s="516"/>
      <c r="Q74" s="516"/>
      <c r="R74" s="516"/>
      <c r="T74" s="516">
        <f t="shared" si="20"/>
        <v>0</v>
      </c>
    </row>
    <row r="75" spans="1:20" outlineLevel="1">
      <c r="A75" s="511" t="s">
        <v>522</v>
      </c>
      <c r="C75" s="516">
        <v>0</v>
      </c>
      <c r="D75" s="516">
        <v>0</v>
      </c>
      <c r="E75" s="516">
        <v>0</v>
      </c>
      <c r="F75" s="516">
        <v>0</v>
      </c>
      <c r="G75" s="516">
        <v>0</v>
      </c>
      <c r="H75" s="516">
        <v>0</v>
      </c>
      <c r="I75" s="516">
        <v>0</v>
      </c>
      <c r="J75" s="516">
        <v>0</v>
      </c>
      <c r="K75" s="516">
        <v>0</v>
      </c>
      <c r="L75" s="516"/>
      <c r="M75" s="516"/>
      <c r="N75" s="516"/>
      <c r="O75" s="516"/>
      <c r="P75" s="516"/>
      <c r="Q75" s="516"/>
      <c r="R75" s="516"/>
      <c r="T75" s="516">
        <f t="shared" si="20"/>
        <v>0</v>
      </c>
    </row>
    <row r="76" spans="1:20" outlineLevel="1">
      <c r="A76" s="511" t="s">
        <v>523</v>
      </c>
      <c r="C76" s="516">
        <v>0</v>
      </c>
      <c r="D76" s="516">
        <v>0</v>
      </c>
      <c r="E76" s="516">
        <v>0</v>
      </c>
      <c r="F76" s="516">
        <v>0</v>
      </c>
      <c r="G76" s="516">
        <v>0</v>
      </c>
      <c r="H76" s="516">
        <v>0</v>
      </c>
      <c r="I76" s="516">
        <v>0</v>
      </c>
      <c r="J76" s="516">
        <v>0</v>
      </c>
      <c r="K76" s="516">
        <v>0</v>
      </c>
      <c r="L76" s="516"/>
      <c r="M76" s="516"/>
      <c r="N76" s="516"/>
      <c r="O76" s="516"/>
      <c r="P76" s="516"/>
      <c r="Q76" s="516"/>
      <c r="R76" s="516"/>
      <c r="T76" s="516">
        <f t="shared" si="20"/>
        <v>0</v>
      </c>
    </row>
    <row r="77" spans="1:20">
      <c r="A77" s="510" t="s">
        <v>524</v>
      </c>
      <c r="C77" s="515">
        <v>0</v>
      </c>
      <c r="D77" s="515">
        <v>0</v>
      </c>
      <c r="E77" s="515">
        <v>0</v>
      </c>
      <c r="F77" s="515">
        <v>0</v>
      </c>
      <c r="G77" s="515">
        <v>0</v>
      </c>
      <c r="H77" s="515">
        <v>0</v>
      </c>
      <c r="I77" s="515">
        <v>0</v>
      </c>
      <c r="J77" s="515"/>
      <c r="K77" s="515"/>
      <c r="L77" s="515"/>
      <c r="M77" s="515"/>
      <c r="N77" s="515"/>
      <c r="O77" s="515"/>
      <c r="P77" s="515"/>
      <c r="Q77" s="515"/>
      <c r="R77" s="515"/>
      <c r="T77" s="515">
        <f t="shared" si="20"/>
        <v>0</v>
      </c>
    </row>
    <row r="78" spans="1:20">
      <c r="A78" s="510" t="s">
        <v>525</v>
      </c>
      <c r="C78" s="515">
        <f t="shared" ref="C78:H78" si="21">SUM(C79:C80)</f>
        <v>0</v>
      </c>
      <c r="D78" s="515">
        <f t="shared" si="21"/>
        <v>0</v>
      </c>
      <c r="E78" s="515">
        <f t="shared" si="21"/>
        <v>0</v>
      </c>
      <c r="F78" s="515">
        <f t="shared" si="21"/>
        <v>-54</v>
      </c>
      <c r="G78" s="515">
        <f t="shared" si="21"/>
        <v>0</v>
      </c>
      <c r="H78" s="515">
        <f t="shared" si="21"/>
        <v>-5</v>
      </c>
      <c r="I78" s="515">
        <f>SUM(I79:I80)</f>
        <v>-6</v>
      </c>
      <c r="J78" s="515">
        <f>SUM(J79:J80)</f>
        <v>-1929</v>
      </c>
      <c r="K78" s="515">
        <f>SUM(K79:K80)</f>
        <v>-12</v>
      </c>
      <c r="L78" s="515"/>
      <c r="M78" s="515"/>
      <c r="N78" s="515"/>
      <c r="O78" s="515"/>
      <c r="P78" s="515"/>
      <c r="Q78" s="515"/>
      <c r="R78" s="515"/>
      <c r="T78" s="515">
        <f>SUM(T79:T80)</f>
        <v>-12</v>
      </c>
    </row>
    <row r="79" spans="1:20" outlineLevel="1">
      <c r="A79" s="511" t="s">
        <v>526</v>
      </c>
      <c r="C79" s="516">
        <v>0</v>
      </c>
      <c r="D79" s="516">
        <v>0</v>
      </c>
      <c r="E79" s="516">
        <v>0</v>
      </c>
      <c r="F79" s="516">
        <v>-54</v>
      </c>
      <c r="G79" s="516">
        <v>0</v>
      </c>
      <c r="H79" s="516">
        <v>-5</v>
      </c>
      <c r="I79" s="516">
        <v>-6</v>
      </c>
      <c r="J79" s="516">
        <v>128</v>
      </c>
      <c r="K79" s="516">
        <v>-12</v>
      </c>
      <c r="L79" s="516"/>
      <c r="M79" s="516"/>
      <c r="N79" s="516"/>
      <c r="O79" s="516"/>
      <c r="P79" s="516"/>
      <c r="Q79" s="516"/>
      <c r="R79" s="516"/>
      <c r="T79" s="516">
        <f t="shared" ref="T79:T80" si="22">K79</f>
        <v>-12</v>
      </c>
    </row>
    <row r="80" spans="1:20" outlineLevel="1">
      <c r="A80" s="511" t="s">
        <v>527</v>
      </c>
      <c r="C80" s="516">
        <v>0</v>
      </c>
      <c r="D80" s="516">
        <v>0</v>
      </c>
      <c r="E80" s="516">
        <v>0</v>
      </c>
      <c r="F80" s="516">
        <v>0</v>
      </c>
      <c r="G80" s="516">
        <v>0</v>
      </c>
      <c r="H80" s="516">
        <v>0</v>
      </c>
      <c r="I80" s="516">
        <v>0</v>
      </c>
      <c r="J80" s="516">
        <v>-2057</v>
      </c>
      <c r="K80" s="516">
        <v>0</v>
      </c>
      <c r="L80" s="516"/>
      <c r="M80" s="516"/>
      <c r="N80" s="516"/>
      <c r="O80" s="516"/>
      <c r="P80" s="516"/>
      <c r="Q80" s="516"/>
      <c r="R80" s="516"/>
      <c r="T80" s="516">
        <f t="shared" si="22"/>
        <v>0</v>
      </c>
    </row>
    <row r="81" spans="1:20">
      <c r="A81" s="510"/>
      <c r="C81" s="510"/>
      <c r="D81" s="510"/>
      <c r="E81" s="510"/>
      <c r="F81" s="510"/>
      <c r="G81" s="510"/>
      <c r="H81" s="510"/>
      <c r="I81" s="510"/>
      <c r="J81" s="510"/>
      <c r="K81" s="510"/>
      <c r="L81" s="510"/>
      <c r="M81" s="510"/>
      <c r="N81" s="510"/>
      <c r="O81" s="510"/>
      <c r="P81" s="510"/>
      <c r="Q81" s="510"/>
      <c r="R81" s="510"/>
      <c r="T81" s="510"/>
    </row>
    <row r="82" spans="1:20">
      <c r="A82" s="522" t="s">
        <v>529</v>
      </c>
      <c r="C82" s="513">
        <f t="shared" ref="C82:H82" si="23">C84-C75-C52-C76</f>
        <v>16139</v>
      </c>
      <c r="D82" s="513">
        <f t="shared" si="23"/>
        <v>40411</v>
      </c>
      <c r="E82" s="513">
        <f t="shared" si="23"/>
        <v>62681</v>
      </c>
      <c r="F82" s="513">
        <f t="shared" si="23"/>
        <v>81692</v>
      </c>
      <c r="G82" s="513">
        <f t="shared" si="23"/>
        <v>24651</v>
      </c>
      <c r="H82" s="513">
        <f t="shared" si="23"/>
        <v>64506</v>
      </c>
      <c r="I82" s="513">
        <f>I84-I75-I52-I76</f>
        <v>102418</v>
      </c>
      <c r="J82" s="513">
        <f>J84-J75-J52-J76</f>
        <v>120233</v>
      </c>
      <c r="K82" s="513">
        <f>K84-K75-K52-K76</f>
        <v>16789</v>
      </c>
      <c r="L82" s="513"/>
      <c r="M82" s="513"/>
      <c r="N82" s="513"/>
      <c r="O82" s="513"/>
      <c r="P82" s="513"/>
      <c r="Q82" s="513"/>
      <c r="R82" s="513"/>
      <c r="T82" s="513">
        <f>T84-T75-T52-T76</f>
        <v>16789</v>
      </c>
    </row>
    <row r="83" spans="1:20">
      <c r="A83" s="510"/>
      <c r="C83" s="510"/>
      <c r="D83" s="510"/>
      <c r="E83" s="510"/>
      <c r="F83" s="510"/>
      <c r="G83" s="510"/>
      <c r="H83" s="510"/>
      <c r="I83" s="510"/>
      <c r="J83" s="510"/>
      <c r="K83" s="510"/>
      <c r="L83" s="510"/>
      <c r="M83" s="510"/>
      <c r="N83" s="510"/>
      <c r="O83" s="510"/>
      <c r="P83" s="510"/>
      <c r="Q83" s="510"/>
      <c r="R83" s="510"/>
      <c r="T83" s="510"/>
    </row>
    <row r="84" spans="1:20">
      <c r="A84" s="522" t="s">
        <v>530</v>
      </c>
      <c r="C84" s="513">
        <f t="shared" ref="C84:H84" si="24">C57+C59</f>
        <v>16138</v>
      </c>
      <c r="D84" s="513">
        <f t="shared" si="24"/>
        <v>40408</v>
      </c>
      <c r="E84" s="513">
        <f t="shared" si="24"/>
        <v>62677</v>
      </c>
      <c r="F84" s="513">
        <f t="shared" si="24"/>
        <v>81473</v>
      </c>
      <c r="G84" s="513">
        <f t="shared" si="24"/>
        <v>24650</v>
      </c>
      <c r="H84" s="513">
        <f t="shared" si="24"/>
        <v>64503</v>
      </c>
      <c r="I84" s="513">
        <f>I57+I59</f>
        <v>102414</v>
      </c>
      <c r="J84" s="513">
        <f>J57+J59</f>
        <v>120227</v>
      </c>
      <c r="K84" s="513">
        <f>K57+K59</f>
        <v>16788</v>
      </c>
      <c r="L84" s="513"/>
      <c r="M84" s="513"/>
      <c r="N84" s="513"/>
      <c r="O84" s="513"/>
      <c r="P84" s="513"/>
      <c r="Q84" s="513"/>
      <c r="R84" s="513"/>
      <c r="T84" s="513">
        <f>T57+T59</f>
        <v>16788</v>
      </c>
    </row>
    <row r="85" spans="1:20">
      <c r="A85" s="510"/>
      <c r="C85" s="510"/>
      <c r="D85" s="510"/>
      <c r="E85" s="510"/>
      <c r="F85" s="510"/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510"/>
      <c r="R85" s="510"/>
      <c r="T85" s="510"/>
    </row>
    <row r="86" spans="1:20">
      <c r="A86" s="522" t="s">
        <v>531</v>
      </c>
      <c r="C86" s="513">
        <f t="shared" ref="C86:H86" si="25">C88+C97</f>
        <v>-13164</v>
      </c>
      <c r="D86" s="513">
        <f t="shared" si="25"/>
        <v>-28326</v>
      </c>
      <c r="E86" s="513">
        <f t="shared" si="25"/>
        <v>-39550</v>
      </c>
      <c r="F86" s="513">
        <f t="shared" si="25"/>
        <v>-52200</v>
      </c>
      <c r="G86" s="513">
        <f t="shared" si="25"/>
        <v>-14061</v>
      </c>
      <c r="H86" s="513">
        <f t="shared" si="25"/>
        <v>-24500</v>
      </c>
      <c r="I86" s="513">
        <f>I88+I97</f>
        <v>-34200</v>
      </c>
      <c r="J86" s="513">
        <f>J88+J97</f>
        <v>-50915</v>
      </c>
      <c r="K86" s="513">
        <f>K88+K97</f>
        <v>-11550</v>
      </c>
      <c r="L86" s="513"/>
      <c r="M86" s="513"/>
      <c r="N86" s="513"/>
      <c r="O86" s="513"/>
      <c r="P86" s="513"/>
      <c r="Q86" s="513"/>
      <c r="R86" s="513"/>
      <c r="T86" s="513">
        <f>T88+T97</f>
        <v>-11550</v>
      </c>
    </row>
    <row r="87" spans="1:20">
      <c r="A87" s="509"/>
      <c r="C87" s="510"/>
      <c r="D87" s="510"/>
      <c r="E87" s="510"/>
      <c r="F87" s="510"/>
      <c r="G87" s="510"/>
      <c r="H87" s="510"/>
      <c r="I87" s="510"/>
      <c r="J87" s="510"/>
      <c r="K87" s="510"/>
      <c r="L87" s="510"/>
      <c r="M87" s="510"/>
      <c r="N87" s="510"/>
      <c r="O87" s="510"/>
      <c r="P87" s="510"/>
      <c r="Q87" s="510"/>
      <c r="R87" s="510"/>
      <c r="T87" s="510"/>
    </row>
    <row r="88" spans="1:20">
      <c r="A88" s="510" t="s">
        <v>532</v>
      </c>
      <c r="C88" s="517">
        <f t="shared" ref="C88:H88" si="26">SUM(C89:C96)</f>
        <v>2585</v>
      </c>
      <c r="D88" s="517">
        <f t="shared" si="26"/>
        <v>5931</v>
      </c>
      <c r="E88" s="517">
        <f t="shared" si="26"/>
        <v>10909</v>
      </c>
      <c r="F88" s="517">
        <f t="shared" si="26"/>
        <v>15696</v>
      </c>
      <c r="G88" s="517">
        <f t="shared" si="26"/>
        <v>5829</v>
      </c>
      <c r="H88" s="517">
        <f t="shared" si="26"/>
        <v>13031</v>
      </c>
      <c r="I88" s="517">
        <f>SUM(I89:I96)</f>
        <v>20655</v>
      </c>
      <c r="J88" s="517">
        <f>SUM(J89:J96)</f>
        <v>27075</v>
      </c>
      <c r="K88" s="517">
        <f>SUM(K89:K96)</f>
        <v>4644</v>
      </c>
      <c r="L88" s="517"/>
      <c r="M88" s="517"/>
      <c r="N88" s="517"/>
      <c r="O88" s="517"/>
      <c r="P88" s="517"/>
      <c r="Q88" s="517"/>
      <c r="R88" s="517"/>
      <c r="T88" s="517">
        <f>SUM(T89:T96)</f>
        <v>4644</v>
      </c>
    </row>
    <row r="89" spans="1:20" outlineLevel="1">
      <c r="A89" s="511" t="s">
        <v>533</v>
      </c>
      <c r="C89" s="516">
        <v>2711</v>
      </c>
      <c r="D89" s="516">
        <v>6208</v>
      </c>
      <c r="E89" s="516">
        <v>11429</v>
      </c>
      <c r="F89" s="516">
        <v>16444</v>
      </c>
      <c r="G89" s="516">
        <v>6100</v>
      </c>
      <c r="H89" s="516">
        <v>13650</v>
      </c>
      <c r="I89" s="516">
        <v>21646</v>
      </c>
      <c r="J89" s="516">
        <v>28322</v>
      </c>
      <c r="K89" s="516">
        <v>4870</v>
      </c>
      <c r="L89" s="516"/>
      <c r="M89" s="516"/>
      <c r="N89" s="516"/>
      <c r="O89" s="516"/>
      <c r="P89" s="516"/>
      <c r="Q89" s="516"/>
      <c r="R89" s="516"/>
      <c r="T89" s="516">
        <f t="shared" ref="T89:T96" si="27">K89</f>
        <v>4870</v>
      </c>
    </row>
    <row r="90" spans="1:20" outlineLevel="1">
      <c r="A90" s="511" t="s">
        <v>534</v>
      </c>
      <c r="C90" s="516">
        <v>-126</v>
      </c>
      <c r="D90" s="516">
        <v>-289</v>
      </c>
      <c r="E90" s="516">
        <v>-532</v>
      </c>
      <c r="F90" s="516">
        <v>-765</v>
      </c>
      <c r="G90" s="516">
        <v>-284</v>
      </c>
      <c r="H90" s="516">
        <v>-635</v>
      </c>
      <c r="I90" s="516">
        <v>-1007</v>
      </c>
      <c r="J90" s="516">
        <v>-1267</v>
      </c>
      <c r="K90" s="516">
        <v>-227</v>
      </c>
      <c r="L90" s="516"/>
      <c r="M90" s="516"/>
      <c r="N90" s="516"/>
      <c r="O90" s="516"/>
      <c r="P90" s="516"/>
      <c r="Q90" s="516"/>
      <c r="R90" s="516"/>
      <c r="T90" s="516">
        <f t="shared" si="27"/>
        <v>-227</v>
      </c>
    </row>
    <row r="91" spans="1:20" outlineLevel="1">
      <c r="A91" s="511" t="s">
        <v>535</v>
      </c>
      <c r="C91" s="516">
        <v>0</v>
      </c>
      <c r="D91" s="516">
        <v>0</v>
      </c>
      <c r="E91" s="516">
        <v>0</v>
      </c>
      <c r="F91" s="516">
        <v>0</v>
      </c>
      <c r="G91" s="516">
        <v>0</v>
      </c>
      <c r="H91" s="516">
        <v>0</v>
      </c>
      <c r="I91" s="516">
        <v>0</v>
      </c>
      <c r="J91" s="516">
        <v>0</v>
      </c>
      <c r="K91" s="516">
        <v>0</v>
      </c>
      <c r="L91" s="516"/>
      <c r="M91" s="516"/>
      <c r="N91" s="516"/>
      <c r="O91" s="516"/>
      <c r="P91" s="516"/>
      <c r="Q91" s="516"/>
      <c r="R91" s="516"/>
      <c r="T91" s="516">
        <f t="shared" si="27"/>
        <v>0</v>
      </c>
    </row>
    <row r="92" spans="1:20" outlineLevel="1">
      <c r="A92" s="511" t="s">
        <v>536</v>
      </c>
      <c r="C92" s="516">
        <v>0</v>
      </c>
      <c r="D92" s="516">
        <v>0</v>
      </c>
      <c r="E92" s="516">
        <v>0</v>
      </c>
      <c r="F92" s="516">
        <v>0</v>
      </c>
      <c r="G92" s="516">
        <v>0</v>
      </c>
      <c r="H92" s="516">
        <v>0</v>
      </c>
      <c r="I92" s="516">
        <v>0</v>
      </c>
      <c r="J92" s="516">
        <v>0</v>
      </c>
      <c r="K92" s="516">
        <v>0</v>
      </c>
      <c r="L92" s="516"/>
      <c r="M92" s="516"/>
      <c r="N92" s="516"/>
      <c r="O92" s="516"/>
      <c r="P92" s="516"/>
      <c r="Q92" s="516"/>
      <c r="R92" s="516"/>
      <c r="T92" s="516">
        <f t="shared" si="27"/>
        <v>0</v>
      </c>
    </row>
    <row r="93" spans="1:20" outlineLevel="1">
      <c r="A93" s="511" t="s">
        <v>537</v>
      </c>
      <c r="C93" s="516">
        <v>0</v>
      </c>
      <c r="D93" s="516">
        <v>0</v>
      </c>
      <c r="E93" s="516">
        <v>0</v>
      </c>
      <c r="F93" s="516">
        <v>0</v>
      </c>
      <c r="G93" s="516">
        <v>0</v>
      </c>
      <c r="H93" s="516">
        <v>0</v>
      </c>
      <c r="I93" s="516">
        <v>0</v>
      </c>
      <c r="J93" s="516">
        <v>0</v>
      </c>
      <c r="K93" s="516">
        <v>0</v>
      </c>
      <c r="L93" s="516"/>
      <c r="M93" s="516"/>
      <c r="N93" s="516"/>
      <c r="O93" s="516"/>
      <c r="P93" s="516"/>
      <c r="Q93" s="516"/>
      <c r="R93" s="516"/>
      <c r="T93" s="516">
        <f t="shared" si="27"/>
        <v>0</v>
      </c>
    </row>
    <row r="94" spans="1:20" outlineLevel="1">
      <c r="A94" s="511" t="s">
        <v>538</v>
      </c>
      <c r="C94" s="516">
        <v>0</v>
      </c>
      <c r="D94" s="516">
        <v>0</v>
      </c>
      <c r="E94" s="516">
        <v>0</v>
      </c>
      <c r="F94" s="516">
        <v>0</v>
      </c>
      <c r="G94" s="516">
        <v>0</v>
      </c>
      <c r="H94" s="516">
        <v>0</v>
      </c>
      <c r="I94" s="516">
        <v>0</v>
      </c>
      <c r="J94" s="516">
        <v>0</v>
      </c>
      <c r="K94" s="516">
        <v>0</v>
      </c>
      <c r="L94" s="516"/>
      <c r="M94" s="516"/>
      <c r="N94" s="516"/>
      <c r="O94" s="516"/>
      <c r="P94" s="516"/>
      <c r="Q94" s="516"/>
      <c r="R94" s="516"/>
      <c r="T94" s="516">
        <f t="shared" si="27"/>
        <v>0</v>
      </c>
    </row>
    <row r="95" spans="1:20" outlineLevel="1">
      <c r="A95" s="511" t="s">
        <v>539</v>
      </c>
      <c r="C95" s="516">
        <v>0</v>
      </c>
      <c r="D95" s="516">
        <v>12</v>
      </c>
      <c r="E95" s="516">
        <v>12</v>
      </c>
      <c r="F95" s="516">
        <v>0</v>
      </c>
      <c r="G95" s="516">
        <v>0</v>
      </c>
      <c r="H95" s="516">
        <v>0</v>
      </c>
      <c r="I95" s="516">
        <v>0</v>
      </c>
      <c r="J95" s="516">
        <v>0</v>
      </c>
      <c r="K95" s="516">
        <v>0</v>
      </c>
      <c r="L95" s="516"/>
      <c r="M95" s="516"/>
      <c r="N95" s="516"/>
      <c r="O95" s="516"/>
      <c r="P95" s="516"/>
      <c r="Q95" s="516"/>
      <c r="R95" s="516"/>
      <c r="T95" s="516">
        <f t="shared" si="27"/>
        <v>0</v>
      </c>
    </row>
    <row r="96" spans="1:20" outlineLevel="1">
      <c r="A96" s="511" t="s">
        <v>540</v>
      </c>
      <c r="C96" s="516">
        <v>0</v>
      </c>
      <c r="D96" s="516">
        <v>0</v>
      </c>
      <c r="E96" s="516">
        <v>0</v>
      </c>
      <c r="F96" s="516">
        <v>17</v>
      </c>
      <c r="G96" s="516">
        <v>13</v>
      </c>
      <c r="H96" s="516">
        <v>16</v>
      </c>
      <c r="I96" s="516">
        <v>16</v>
      </c>
      <c r="J96" s="516">
        <v>20</v>
      </c>
      <c r="K96" s="516">
        <v>1</v>
      </c>
      <c r="L96" s="516"/>
      <c r="M96" s="516"/>
      <c r="N96" s="516"/>
      <c r="O96" s="516"/>
      <c r="P96" s="516"/>
      <c r="Q96" s="516"/>
      <c r="R96" s="516"/>
      <c r="T96" s="516">
        <f t="shared" si="27"/>
        <v>1</v>
      </c>
    </row>
    <row r="97" spans="1:20">
      <c r="A97" s="510" t="s">
        <v>541</v>
      </c>
      <c r="C97" s="515">
        <f t="shared" ref="C97:H97" si="28">SUM(C98:C106)</f>
        <v>-15749</v>
      </c>
      <c r="D97" s="515">
        <f t="shared" si="28"/>
        <v>-34257</v>
      </c>
      <c r="E97" s="515">
        <f t="shared" si="28"/>
        <v>-50459</v>
      </c>
      <c r="F97" s="515">
        <f t="shared" si="28"/>
        <v>-67896</v>
      </c>
      <c r="G97" s="515">
        <f t="shared" si="28"/>
        <v>-19890</v>
      </c>
      <c r="H97" s="515">
        <f t="shared" si="28"/>
        <v>-37531</v>
      </c>
      <c r="I97" s="515">
        <f>SUM(I98:I106)</f>
        <v>-54855</v>
      </c>
      <c r="J97" s="515">
        <f>SUM(J98:J106)</f>
        <v>-77990</v>
      </c>
      <c r="K97" s="515">
        <f>SUM(K98:K106)</f>
        <v>-16194</v>
      </c>
      <c r="L97" s="515"/>
      <c r="M97" s="515"/>
      <c r="N97" s="515"/>
      <c r="O97" s="515"/>
      <c r="P97" s="515"/>
      <c r="Q97" s="515"/>
      <c r="R97" s="515"/>
      <c r="T97" s="515">
        <f>SUM(T98:T106)</f>
        <v>-16194</v>
      </c>
    </row>
    <row r="98" spans="1:20" outlineLevel="1">
      <c r="A98" s="511" t="s">
        <v>542</v>
      </c>
      <c r="C98" s="516">
        <v>-12703</v>
      </c>
      <c r="D98" s="516">
        <v>-27381</v>
      </c>
      <c r="E98" s="516">
        <v>-44205</v>
      </c>
      <c r="F98" s="516">
        <v>-59996</v>
      </c>
      <c r="G98" s="516">
        <v>-16593</v>
      </c>
      <c r="H98" s="516">
        <v>-32269</v>
      </c>
      <c r="I98" s="516">
        <v>-48853</v>
      </c>
      <c r="J98" s="516">
        <v>-62697</v>
      </c>
      <c r="K98" s="516">
        <v>-13239</v>
      </c>
      <c r="L98" s="516"/>
      <c r="M98" s="516"/>
      <c r="N98" s="516"/>
      <c r="O98" s="516"/>
      <c r="P98" s="516"/>
      <c r="Q98" s="516"/>
      <c r="R98" s="516"/>
      <c r="T98" s="516">
        <f t="shared" ref="T98:T106" si="29">K98</f>
        <v>-13239</v>
      </c>
    </row>
    <row r="99" spans="1:20" outlineLevel="1">
      <c r="A99" s="511" t="s">
        <v>543</v>
      </c>
      <c r="C99" s="516">
        <v>0</v>
      </c>
      <c r="D99" s="516">
        <v>0</v>
      </c>
      <c r="E99" s="516">
        <v>0</v>
      </c>
      <c r="F99" s="516">
        <v>0</v>
      </c>
      <c r="G99" s="516">
        <v>0</v>
      </c>
      <c r="H99" s="516">
        <v>0</v>
      </c>
      <c r="I99" s="516">
        <v>0</v>
      </c>
      <c r="J99" s="516">
        <v>0</v>
      </c>
      <c r="K99" s="516">
        <v>0</v>
      </c>
      <c r="L99" s="516"/>
      <c r="M99" s="516"/>
      <c r="N99" s="516"/>
      <c r="O99" s="516"/>
      <c r="P99" s="516"/>
      <c r="Q99" s="516"/>
      <c r="R99" s="516"/>
      <c r="T99" s="516">
        <f t="shared" si="29"/>
        <v>0</v>
      </c>
    </row>
    <row r="100" spans="1:20" outlineLevel="1">
      <c r="A100" s="511" t="s">
        <v>544</v>
      </c>
      <c r="C100" s="516">
        <v>-2791</v>
      </c>
      <c r="D100" s="516">
        <v>-6310</v>
      </c>
      <c r="E100" s="516">
        <v>-5321</v>
      </c>
      <c r="F100" s="516">
        <v>-6706</v>
      </c>
      <c r="G100" s="516">
        <v>-2860</v>
      </c>
      <c r="H100" s="516">
        <v>-4428</v>
      </c>
      <c r="I100" s="516">
        <v>-4782</v>
      </c>
      <c r="J100" s="516">
        <v>-5545</v>
      </c>
      <c r="K100" s="516">
        <v>-1822</v>
      </c>
      <c r="L100" s="516"/>
      <c r="M100" s="516"/>
      <c r="N100" s="516"/>
      <c r="O100" s="516"/>
      <c r="P100" s="516"/>
      <c r="Q100" s="516"/>
      <c r="R100" s="516"/>
      <c r="T100" s="516">
        <f t="shared" si="29"/>
        <v>-1822</v>
      </c>
    </row>
    <row r="101" spans="1:20" outlineLevel="1">
      <c r="A101" s="511" t="s">
        <v>545</v>
      </c>
      <c r="C101" s="516">
        <v>0</v>
      </c>
      <c r="D101" s="516">
        <v>0</v>
      </c>
      <c r="E101" s="516">
        <v>0</v>
      </c>
      <c r="F101" s="516">
        <v>0</v>
      </c>
      <c r="G101" s="516">
        <v>0</v>
      </c>
      <c r="H101" s="516">
        <v>0</v>
      </c>
      <c r="I101" s="516">
        <v>0</v>
      </c>
      <c r="J101" s="516">
        <v>0</v>
      </c>
      <c r="K101" s="516">
        <v>0</v>
      </c>
      <c r="L101" s="516"/>
      <c r="M101" s="516"/>
      <c r="N101" s="516"/>
      <c r="O101" s="516"/>
      <c r="P101" s="516"/>
      <c r="Q101" s="516"/>
      <c r="R101" s="516"/>
      <c r="T101" s="516">
        <f t="shared" si="29"/>
        <v>0</v>
      </c>
    </row>
    <row r="102" spans="1:20" outlineLevel="1">
      <c r="A102" s="511" t="s">
        <v>546</v>
      </c>
      <c r="C102" s="516">
        <v>0</v>
      </c>
      <c r="D102" s="516">
        <v>0</v>
      </c>
      <c r="E102" s="516">
        <v>0</v>
      </c>
      <c r="F102" s="516">
        <v>0</v>
      </c>
      <c r="G102" s="516">
        <v>0</v>
      </c>
      <c r="H102" s="516">
        <v>0</v>
      </c>
      <c r="I102" s="516">
        <v>0</v>
      </c>
      <c r="J102" s="516">
        <v>0</v>
      </c>
      <c r="K102" s="516">
        <v>0</v>
      </c>
      <c r="L102" s="516"/>
      <c r="M102" s="516"/>
      <c r="N102" s="516"/>
      <c r="O102" s="516"/>
      <c r="P102" s="516"/>
      <c r="Q102" s="516"/>
      <c r="R102" s="516"/>
      <c r="T102" s="516">
        <f t="shared" si="29"/>
        <v>0</v>
      </c>
    </row>
    <row r="103" spans="1:20" outlineLevel="1">
      <c r="A103" s="511" t="s">
        <v>547</v>
      </c>
      <c r="C103" s="516">
        <v>-14</v>
      </c>
      <c r="D103" s="516">
        <v>-20</v>
      </c>
      <c r="E103" s="516">
        <v>-41</v>
      </c>
      <c r="F103" s="516">
        <v>-42</v>
      </c>
      <c r="G103" s="516">
        <v>-2</v>
      </c>
      <c r="H103" s="516">
        <v>-2</v>
      </c>
      <c r="I103" s="516">
        <v>-2</v>
      </c>
      <c r="J103" s="516">
        <v>-1729</v>
      </c>
      <c r="K103" s="516">
        <v>0</v>
      </c>
      <c r="L103" s="516"/>
      <c r="M103" s="516"/>
      <c r="N103" s="516"/>
      <c r="O103" s="516"/>
      <c r="P103" s="516"/>
      <c r="Q103" s="516"/>
      <c r="R103" s="516"/>
      <c r="T103" s="516">
        <f t="shared" si="29"/>
        <v>0</v>
      </c>
    </row>
    <row r="104" spans="1:20" outlineLevel="1">
      <c r="A104" s="511" t="s">
        <v>548</v>
      </c>
      <c r="C104" s="516">
        <v>0</v>
      </c>
      <c r="D104" s="516">
        <v>0</v>
      </c>
      <c r="E104" s="516">
        <v>0</v>
      </c>
      <c r="F104" s="516">
        <v>0</v>
      </c>
      <c r="G104" s="516">
        <v>0</v>
      </c>
      <c r="H104" s="516">
        <v>0</v>
      </c>
      <c r="I104" s="516">
        <v>0</v>
      </c>
      <c r="J104" s="516">
        <v>0</v>
      </c>
      <c r="K104" s="516">
        <v>0</v>
      </c>
      <c r="L104" s="516"/>
      <c r="M104" s="516"/>
      <c r="N104" s="516"/>
      <c r="O104" s="516"/>
      <c r="P104" s="516"/>
      <c r="Q104" s="516"/>
      <c r="R104" s="516"/>
      <c r="T104" s="516">
        <f t="shared" si="29"/>
        <v>0</v>
      </c>
    </row>
    <row r="105" spans="1:20" outlineLevel="1">
      <c r="A105" s="511" t="s">
        <v>549</v>
      </c>
      <c r="C105" s="516">
        <v>-177</v>
      </c>
      <c r="D105" s="516">
        <v>-397</v>
      </c>
      <c r="E105" s="516">
        <v>-658</v>
      </c>
      <c r="F105" s="516">
        <v>-827</v>
      </c>
      <c r="G105" s="516">
        <v>-283</v>
      </c>
      <c r="H105" s="516">
        <v>-570</v>
      </c>
      <c r="I105" s="516">
        <v>-876</v>
      </c>
      <c r="J105" s="516">
        <v>-1158</v>
      </c>
      <c r="K105" s="516">
        <v>-271</v>
      </c>
      <c r="L105" s="516"/>
      <c r="M105" s="516"/>
      <c r="N105" s="516"/>
      <c r="O105" s="516"/>
      <c r="P105" s="516"/>
      <c r="Q105" s="516"/>
      <c r="R105" s="516"/>
      <c r="T105" s="516">
        <f t="shared" si="29"/>
        <v>-271</v>
      </c>
    </row>
    <row r="106" spans="1:20" outlineLevel="1">
      <c r="A106" s="511" t="s">
        <v>550</v>
      </c>
      <c r="C106" s="516">
        <v>-64</v>
      </c>
      <c r="D106" s="516">
        <v>-149</v>
      </c>
      <c r="E106" s="516">
        <v>-234</v>
      </c>
      <c r="F106" s="516">
        <v>-325</v>
      </c>
      <c r="G106" s="516">
        <v>-152</v>
      </c>
      <c r="H106" s="516">
        <v>-262</v>
      </c>
      <c r="I106" s="516">
        <v>-342</v>
      </c>
      <c r="J106" s="516">
        <v>-6861</v>
      </c>
      <c r="K106" s="516">
        <v>-862</v>
      </c>
      <c r="L106" s="516"/>
      <c r="M106" s="516"/>
      <c r="N106" s="516"/>
      <c r="O106" s="516"/>
      <c r="P106" s="516"/>
      <c r="Q106" s="516"/>
      <c r="R106" s="516"/>
      <c r="T106" s="516">
        <f t="shared" si="29"/>
        <v>-862</v>
      </c>
    </row>
    <row r="107" spans="1:20">
      <c r="A107" s="510"/>
      <c r="C107" s="510"/>
      <c r="D107" s="510"/>
      <c r="E107" s="510"/>
      <c r="F107" s="510"/>
      <c r="G107" s="510"/>
      <c r="H107" s="510"/>
      <c r="I107" s="510"/>
      <c r="J107" s="510"/>
      <c r="K107" s="510"/>
      <c r="L107" s="510"/>
      <c r="M107" s="510"/>
      <c r="N107" s="510"/>
      <c r="O107" s="510"/>
      <c r="P107" s="510"/>
      <c r="Q107" s="510"/>
      <c r="R107" s="510"/>
      <c r="T107" s="510"/>
    </row>
    <row r="108" spans="1:20">
      <c r="A108" s="522" t="s">
        <v>551</v>
      </c>
      <c r="C108" s="513">
        <f t="shared" ref="C108:H108" si="30">C84+C86</f>
        <v>2974</v>
      </c>
      <c r="D108" s="513">
        <f t="shared" si="30"/>
        <v>12082</v>
      </c>
      <c r="E108" s="513">
        <f t="shared" si="30"/>
        <v>23127</v>
      </c>
      <c r="F108" s="513">
        <f t="shared" si="30"/>
        <v>29273</v>
      </c>
      <c r="G108" s="513">
        <f t="shared" si="30"/>
        <v>10589</v>
      </c>
      <c r="H108" s="513">
        <f t="shared" si="30"/>
        <v>40003</v>
      </c>
      <c r="I108" s="513">
        <f>I84+I86</f>
        <v>68214</v>
      </c>
      <c r="J108" s="513">
        <f>J84+J86</f>
        <v>69312</v>
      </c>
      <c r="K108" s="513">
        <f>K84+K86</f>
        <v>5238</v>
      </c>
      <c r="L108" s="513"/>
      <c r="M108" s="513"/>
      <c r="N108" s="513"/>
      <c r="O108" s="513"/>
      <c r="P108" s="513"/>
      <c r="Q108" s="513"/>
      <c r="R108" s="513"/>
      <c r="T108" s="513">
        <f>T84+T86</f>
        <v>5238</v>
      </c>
    </row>
    <row r="109" spans="1:20">
      <c r="A109" s="510"/>
      <c r="C109" s="510"/>
      <c r="D109" s="510"/>
      <c r="E109" s="510"/>
      <c r="F109" s="510"/>
      <c r="G109" s="510"/>
      <c r="H109" s="510"/>
      <c r="I109" s="510"/>
      <c r="J109" s="510"/>
      <c r="K109" s="510"/>
      <c r="L109" s="510"/>
      <c r="M109" s="510"/>
      <c r="N109" s="510"/>
      <c r="O109" s="510"/>
      <c r="P109" s="510"/>
      <c r="Q109" s="510"/>
      <c r="R109" s="510"/>
      <c r="T109" s="510"/>
    </row>
    <row r="110" spans="1:20">
      <c r="A110" s="509" t="s">
        <v>552</v>
      </c>
      <c r="C110" s="517">
        <f t="shared" ref="C110:H110" si="31">SUM(C112:C115)</f>
        <v>-449</v>
      </c>
      <c r="D110" s="517">
        <f t="shared" si="31"/>
        <v>-1840</v>
      </c>
      <c r="E110" s="517">
        <f t="shared" si="31"/>
        <v>-3532</v>
      </c>
      <c r="F110" s="517">
        <f t="shared" si="31"/>
        <v>-2406</v>
      </c>
      <c r="G110" s="517">
        <f t="shared" si="31"/>
        <v>-1876</v>
      </c>
      <c r="H110" s="517">
        <f t="shared" si="31"/>
        <v>-6624</v>
      </c>
      <c r="I110" s="517">
        <f>SUM(I112:I115)</f>
        <v>-13071</v>
      </c>
      <c r="J110" s="517">
        <f>SUM(J112:J115)</f>
        <v>-21111</v>
      </c>
      <c r="K110" s="517">
        <f>SUM(K112:K115)</f>
        <v>-2036</v>
      </c>
      <c r="L110" s="517"/>
      <c r="M110" s="517"/>
      <c r="N110" s="517"/>
      <c r="O110" s="517"/>
      <c r="P110" s="517"/>
      <c r="Q110" s="517"/>
      <c r="R110" s="517"/>
      <c r="T110" s="517">
        <f>SUM(T112:T115)</f>
        <v>-2036</v>
      </c>
    </row>
    <row r="111" spans="1:20">
      <c r="A111" s="510"/>
      <c r="C111" s="510"/>
      <c r="D111" s="510"/>
      <c r="E111" s="510"/>
      <c r="F111" s="510"/>
      <c r="G111" s="510"/>
      <c r="H111" s="510"/>
      <c r="I111" s="510"/>
      <c r="J111" s="510"/>
      <c r="K111" s="510"/>
      <c r="L111" s="510"/>
      <c r="M111" s="510"/>
      <c r="N111" s="510"/>
      <c r="O111" s="510"/>
      <c r="P111" s="510"/>
      <c r="Q111" s="510"/>
      <c r="R111" s="510"/>
      <c r="T111" s="510"/>
    </row>
    <row r="112" spans="1:20">
      <c r="A112" s="510" t="s">
        <v>553</v>
      </c>
      <c r="C112" s="518">
        <v>-1558</v>
      </c>
      <c r="D112" s="518">
        <v>-2735</v>
      </c>
      <c r="E112" s="518">
        <v>-4175</v>
      </c>
      <c r="F112" s="518">
        <v>-5844</v>
      </c>
      <c r="G112" s="518">
        <v>-1633</v>
      </c>
      <c r="H112" s="518">
        <v>-3154</v>
      </c>
      <c r="I112" s="518">
        <v>-4812</v>
      </c>
      <c r="J112" s="518">
        <v>-4856</v>
      </c>
      <c r="K112" s="518">
        <v>-270</v>
      </c>
      <c r="L112" s="518"/>
      <c r="M112" s="518"/>
      <c r="N112" s="518"/>
      <c r="O112" s="518"/>
      <c r="P112" s="518"/>
      <c r="Q112" s="518"/>
      <c r="R112" s="518"/>
      <c r="T112" s="518">
        <f t="shared" ref="T112:T115" si="32">K112</f>
        <v>-270</v>
      </c>
    </row>
    <row r="113" spans="1:20">
      <c r="A113" s="510" t="s">
        <v>554</v>
      </c>
      <c r="C113" s="518">
        <v>-4323</v>
      </c>
      <c r="D113" s="518">
        <v>-7585</v>
      </c>
      <c r="E113" s="518">
        <v>-11580</v>
      </c>
      <c r="F113" s="518">
        <v>-16197</v>
      </c>
      <c r="G113" s="518">
        <v>-4530</v>
      </c>
      <c r="H113" s="518">
        <v>-9253</v>
      </c>
      <c r="I113" s="518">
        <v>-13350</v>
      </c>
      <c r="J113" s="518">
        <v>-16222</v>
      </c>
      <c r="K113" s="518">
        <v>-44</v>
      </c>
      <c r="L113" s="518"/>
      <c r="M113" s="518"/>
      <c r="N113" s="518"/>
      <c r="O113" s="518"/>
      <c r="P113" s="518"/>
      <c r="Q113" s="518"/>
      <c r="R113" s="518"/>
      <c r="T113" s="518">
        <f t="shared" si="32"/>
        <v>-44</v>
      </c>
    </row>
    <row r="114" spans="1:20">
      <c r="A114" s="510" t="s">
        <v>555</v>
      </c>
      <c r="C114" s="518">
        <v>556</v>
      </c>
      <c r="D114" s="518">
        <v>2256</v>
      </c>
      <c r="E114" s="518">
        <v>4313</v>
      </c>
      <c r="F114" s="518">
        <v>5460</v>
      </c>
      <c r="G114" s="518">
        <v>1718</v>
      </c>
      <c r="H114" s="518">
        <v>6379</v>
      </c>
      <c r="I114" s="518">
        <v>10104</v>
      </c>
      <c r="J114" s="518">
        <v>9154</v>
      </c>
      <c r="K114" s="518">
        <v>0</v>
      </c>
      <c r="L114" s="518"/>
      <c r="M114" s="518"/>
      <c r="N114" s="518"/>
      <c r="O114" s="518"/>
      <c r="P114" s="518"/>
      <c r="Q114" s="518"/>
      <c r="R114" s="518"/>
      <c r="T114" s="518">
        <f t="shared" si="32"/>
        <v>0</v>
      </c>
    </row>
    <row r="115" spans="1:20">
      <c r="A115" s="510" t="s">
        <v>556</v>
      </c>
      <c r="C115" s="518">
        <v>4876</v>
      </c>
      <c r="D115" s="518">
        <v>6224</v>
      </c>
      <c r="E115" s="518">
        <v>7910</v>
      </c>
      <c r="F115" s="518">
        <v>14175</v>
      </c>
      <c r="G115" s="518">
        <v>2569</v>
      </c>
      <c r="H115" s="518">
        <v>-596</v>
      </c>
      <c r="I115" s="518">
        <v>-5013</v>
      </c>
      <c r="J115" s="518">
        <v>-9187</v>
      </c>
      <c r="K115" s="518">
        <v>-1722</v>
      </c>
      <c r="L115" s="518"/>
      <c r="M115" s="518"/>
      <c r="N115" s="518"/>
      <c r="O115" s="518"/>
      <c r="P115" s="518"/>
      <c r="Q115" s="518"/>
      <c r="R115" s="518"/>
      <c r="T115" s="518">
        <f t="shared" si="32"/>
        <v>-1722</v>
      </c>
    </row>
    <row r="116" spans="1:20">
      <c r="A116" s="510"/>
      <c r="C116" s="510"/>
      <c r="D116" s="510"/>
      <c r="E116" s="510"/>
      <c r="F116" s="510"/>
      <c r="G116" s="510"/>
      <c r="H116" s="510"/>
      <c r="I116" s="510"/>
      <c r="J116" s="510"/>
      <c r="K116" s="510"/>
      <c r="L116" s="510"/>
      <c r="M116" s="510"/>
      <c r="N116" s="510"/>
      <c r="O116" s="510"/>
      <c r="P116" s="510"/>
      <c r="Q116" s="510"/>
      <c r="R116" s="510"/>
      <c r="T116" s="510"/>
    </row>
    <row r="117" spans="1:20" ht="15" thickBot="1">
      <c r="A117" s="523" t="s">
        <v>557</v>
      </c>
      <c r="C117" s="519">
        <f t="shared" ref="C117:H117" si="33">C108+C110</f>
        <v>2525</v>
      </c>
      <c r="D117" s="519">
        <f t="shared" si="33"/>
        <v>10242</v>
      </c>
      <c r="E117" s="519">
        <f t="shared" si="33"/>
        <v>19595</v>
      </c>
      <c r="F117" s="519">
        <f t="shared" si="33"/>
        <v>26867</v>
      </c>
      <c r="G117" s="519">
        <f t="shared" si="33"/>
        <v>8713</v>
      </c>
      <c r="H117" s="519">
        <f t="shared" si="33"/>
        <v>33379</v>
      </c>
      <c r="I117" s="519">
        <f>I108+I110</f>
        <v>55143</v>
      </c>
      <c r="J117" s="519">
        <f>J108+J110</f>
        <v>48201</v>
      </c>
      <c r="K117" s="519">
        <f>K108+K110</f>
        <v>3202</v>
      </c>
      <c r="L117" s="519"/>
      <c r="M117" s="519"/>
      <c r="N117" s="519"/>
      <c r="O117" s="519"/>
      <c r="P117" s="519"/>
      <c r="Q117" s="519"/>
      <c r="R117" s="519"/>
      <c r="T117" s="519">
        <f>T108+T110</f>
        <v>3202</v>
      </c>
    </row>
    <row r="118" spans="1:20" ht="15" thickTop="1">
      <c r="A118" s="510"/>
      <c r="C118" s="510"/>
      <c r="D118" s="510"/>
      <c r="E118" s="510"/>
      <c r="F118" s="510"/>
      <c r="G118" s="510"/>
      <c r="H118" s="510"/>
      <c r="I118" s="510"/>
      <c r="J118" s="510"/>
      <c r="K118" s="510"/>
      <c r="L118" s="510"/>
      <c r="M118" s="510"/>
      <c r="N118" s="510"/>
      <c r="O118" s="510"/>
      <c r="P118" s="510"/>
      <c r="Q118" s="510"/>
      <c r="R118" s="510"/>
      <c r="T118" s="510"/>
    </row>
    <row r="119" spans="1:20">
      <c r="A119" s="509" t="s">
        <v>558</v>
      </c>
      <c r="C119" s="518"/>
      <c r="D119" s="518"/>
      <c r="E119" s="518"/>
      <c r="F119" s="518"/>
      <c r="G119" s="518"/>
      <c r="H119" s="518"/>
      <c r="I119" s="518"/>
      <c r="J119" s="518"/>
      <c r="K119" s="518"/>
      <c r="L119" s="518"/>
      <c r="M119" s="518"/>
      <c r="N119" s="518"/>
      <c r="O119" s="518"/>
      <c r="P119" s="518"/>
      <c r="Q119" s="518"/>
      <c r="R119" s="518"/>
      <c r="T119" s="518"/>
    </row>
    <row r="120" spans="1:20">
      <c r="A120" s="510" t="s">
        <v>559</v>
      </c>
      <c r="C120" s="518">
        <f t="shared" ref="C120:H120" si="34">C117-C121</f>
        <v>2525</v>
      </c>
      <c r="D120" s="518">
        <f t="shared" si="34"/>
        <v>10242</v>
      </c>
      <c r="E120" s="518">
        <f t="shared" si="34"/>
        <v>19595</v>
      </c>
      <c r="F120" s="518">
        <f t="shared" si="34"/>
        <v>26867</v>
      </c>
      <c r="G120" s="518">
        <f t="shared" si="34"/>
        <v>8713</v>
      </c>
      <c r="H120" s="518">
        <f t="shared" si="34"/>
        <v>33379</v>
      </c>
      <c r="I120" s="518">
        <f>I117-I121</f>
        <v>55143</v>
      </c>
      <c r="J120" s="518">
        <f>J117-J121</f>
        <v>48201</v>
      </c>
      <c r="K120" s="518">
        <v>3202</v>
      </c>
      <c r="L120" s="518"/>
      <c r="M120" s="518"/>
      <c r="N120" s="518"/>
      <c r="O120" s="518"/>
      <c r="P120" s="518"/>
      <c r="Q120" s="518"/>
      <c r="R120" s="518"/>
      <c r="T120" s="518">
        <f t="shared" ref="T120:T121" si="35">K120</f>
        <v>3202</v>
      </c>
    </row>
    <row r="121" spans="1:20">
      <c r="A121" s="510" t="s">
        <v>560</v>
      </c>
      <c r="C121" s="518">
        <f t="shared" ref="C121:H121" si="36">C117*C126</f>
        <v>0</v>
      </c>
      <c r="D121" s="518">
        <f t="shared" si="36"/>
        <v>0</v>
      </c>
      <c r="E121" s="518">
        <f t="shared" si="36"/>
        <v>0</v>
      </c>
      <c r="F121" s="518">
        <f t="shared" si="36"/>
        <v>0</v>
      </c>
      <c r="G121" s="518">
        <f t="shared" si="36"/>
        <v>0</v>
      </c>
      <c r="H121" s="518">
        <f t="shared" si="36"/>
        <v>0</v>
      </c>
      <c r="I121" s="518">
        <f>I117*I126</f>
        <v>0</v>
      </c>
      <c r="J121" s="518">
        <f>J117*J126</f>
        <v>0</v>
      </c>
      <c r="K121" s="518">
        <v>0</v>
      </c>
      <c r="L121" s="518"/>
      <c r="M121" s="518"/>
      <c r="N121" s="518"/>
      <c r="O121" s="518"/>
      <c r="P121" s="518"/>
      <c r="Q121" s="518"/>
      <c r="R121" s="518"/>
      <c r="T121" s="518">
        <f t="shared" si="35"/>
        <v>0</v>
      </c>
    </row>
    <row r="122" spans="1:20">
      <c r="A122" s="510"/>
      <c r="C122" s="510"/>
      <c r="D122" s="510"/>
      <c r="E122" s="510"/>
      <c r="F122" s="510"/>
      <c r="G122" s="510"/>
      <c r="H122" s="510"/>
      <c r="I122" s="510"/>
      <c r="J122" s="510"/>
      <c r="K122" s="510"/>
      <c r="L122" s="510"/>
      <c r="M122" s="510"/>
      <c r="N122" s="510"/>
      <c r="O122" s="510"/>
      <c r="P122" s="510"/>
      <c r="Q122" s="510"/>
      <c r="R122" s="510"/>
      <c r="T122" s="510"/>
    </row>
    <row r="123" spans="1:20" ht="15" thickBot="1">
      <c r="A123" s="523" t="s">
        <v>557</v>
      </c>
      <c r="C123" s="519">
        <f t="shared" ref="C123:H123" si="37">SUM(C120:C121)</f>
        <v>2525</v>
      </c>
      <c r="D123" s="519">
        <f t="shared" si="37"/>
        <v>10242</v>
      </c>
      <c r="E123" s="519">
        <f t="shared" si="37"/>
        <v>19595</v>
      </c>
      <c r="F123" s="519">
        <f t="shared" si="37"/>
        <v>26867</v>
      </c>
      <c r="G123" s="519">
        <f t="shared" si="37"/>
        <v>8713</v>
      </c>
      <c r="H123" s="519">
        <f t="shared" si="37"/>
        <v>33379</v>
      </c>
      <c r="I123" s="519">
        <f>SUM(I120:I121)</f>
        <v>55143</v>
      </c>
      <c r="J123" s="519">
        <f>SUM(J120:J121)</f>
        <v>48201</v>
      </c>
      <c r="K123" s="519">
        <f>SUM(K120:K121)</f>
        <v>3202</v>
      </c>
      <c r="L123" s="519"/>
      <c r="M123" s="519"/>
      <c r="N123" s="519"/>
      <c r="O123" s="519"/>
      <c r="P123" s="519"/>
      <c r="Q123" s="519"/>
      <c r="R123" s="519"/>
      <c r="T123" s="519">
        <f>SUM(T120:T121)</f>
        <v>3202</v>
      </c>
    </row>
    <row r="124" spans="1:20" ht="15" thickTop="1"/>
    <row r="125" spans="1:20" s="525" customFormat="1" ht="10.5">
      <c r="A125" s="524" t="s">
        <v>561</v>
      </c>
      <c r="C125" s="526">
        <v>1</v>
      </c>
      <c r="D125" s="526">
        <v>1</v>
      </c>
      <c r="E125" s="526">
        <v>1</v>
      </c>
      <c r="F125" s="526">
        <v>1</v>
      </c>
      <c r="G125" s="526">
        <v>1</v>
      </c>
      <c r="H125" s="526">
        <v>1</v>
      </c>
      <c r="I125" s="526">
        <v>1</v>
      </c>
      <c r="J125" s="526">
        <v>1</v>
      </c>
      <c r="K125" s="526">
        <v>1</v>
      </c>
      <c r="T125" s="526">
        <f t="shared" ref="T125:T126" si="38">K125</f>
        <v>1</v>
      </c>
    </row>
    <row r="126" spans="1:20" s="525" customFormat="1" ht="10.5">
      <c r="A126" s="524" t="s">
        <v>562</v>
      </c>
      <c r="C126" s="526">
        <v>0</v>
      </c>
      <c r="D126" s="526">
        <v>0</v>
      </c>
      <c r="E126" s="526">
        <v>0</v>
      </c>
      <c r="F126" s="526">
        <v>0</v>
      </c>
      <c r="G126" s="526">
        <v>0</v>
      </c>
      <c r="H126" s="526">
        <v>0</v>
      </c>
      <c r="I126" s="526">
        <v>0</v>
      </c>
      <c r="J126" s="526">
        <v>0</v>
      </c>
      <c r="K126" s="526">
        <v>0</v>
      </c>
      <c r="T126" s="526">
        <f t="shared" si="38"/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0.79998168889431442"/>
  </sheetPr>
  <dimension ref="A4:Y127"/>
  <sheetViews>
    <sheetView showGridLines="0" zoomScale="85" zoomScaleNormal="85" workbookViewId="0">
      <pane xSplit="1" ySplit="4" topLeftCell="B5" activePane="bottomRight" state="frozen"/>
      <selection pane="topRight"/>
      <selection pane="bottomLeft"/>
      <selection pane="bottomRight" activeCell="L81" sqref="L81"/>
    </sheetView>
  </sheetViews>
  <sheetFormatPr defaultRowHeight="14.5" outlineLevelRow="1"/>
  <cols>
    <col min="1" max="1" width="65.7265625" bestFit="1" customWidth="1"/>
    <col min="2" max="2" width="1.54296875" customWidth="1"/>
    <col min="3" max="12" width="15.1796875" customWidth="1"/>
    <col min="13" max="18" width="15.1796875" hidden="1" customWidth="1"/>
    <col min="19" max="19" width="1.54296875" customWidth="1"/>
    <col min="20" max="20" width="15.1796875" hidden="1" customWidth="1"/>
    <col min="21" max="21" width="15.1796875" customWidth="1"/>
  </cols>
  <sheetData>
    <row r="4" spans="1:24">
      <c r="A4" s="521" t="s">
        <v>578</v>
      </c>
      <c r="C4" s="520" t="s">
        <v>453</v>
      </c>
      <c r="D4" s="520" t="s">
        <v>454</v>
      </c>
      <c r="E4" s="520" t="s">
        <v>455</v>
      </c>
      <c r="F4" s="520">
        <v>2022</v>
      </c>
      <c r="G4" s="520" t="s">
        <v>456</v>
      </c>
      <c r="H4" s="520" t="s">
        <v>457</v>
      </c>
      <c r="I4" s="520" t="s">
        <v>458</v>
      </c>
      <c r="J4" s="520">
        <v>2023</v>
      </c>
      <c r="K4" s="520" t="s">
        <v>459</v>
      </c>
      <c r="L4" s="520" t="s">
        <v>460</v>
      </c>
      <c r="M4" s="520" t="s">
        <v>461</v>
      </c>
      <c r="N4" s="520">
        <v>2024</v>
      </c>
      <c r="O4" s="520" t="s">
        <v>462</v>
      </c>
      <c r="P4" s="520" t="s">
        <v>463</v>
      </c>
      <c r="Q4" s="520" t="s">
        <v>464</v>
      </c>
      <c r="R4" s="520">
        <v>2025</v>
      </c>
      <c r="T4" s="520" t="s">
        <v>53</v>
      </c>
      <c r="U4" s="520" t="s">
        <v>54</v>
      </c>
    </row>
    <row r="5" spans="1:24" ht="6.65" customHeight="1"/>
    <row r="6" spans="1:24">
      <c r="A6" s="522" t="s">
        <v>465</v>
      </c>
      <c r="C6" s="513">
        <f t="shared" ref="C6:I6" si="0">SUM(C8,C11:C17)</f>
        <v>0</v>
      </c>
      <c r="D6" s="513">
        <f t="shared" si="0"/>
        <v>0</v>
      </c>
      <c r="E6" s="513">
        <f t="shared" si="0"/>
        <v>44567</v>
      </c>
      <c r="F6" s="513">
        <f t="shared" si="0"/>
        <v>95826</v>
      </c>
      <c r="G6" s="513">
        <f t="shared" si="0"/>
        <v>42602</v>
      </c>
      <c r="H6" s="513">
        <f t="shared" si="0"/>
        <v>88617</v>
      </c>
      <c r="I6" s="513">
        <f t="shared" si="0"/>
        <v>125954</v>
      </c>
      <c r="J6" s="513">
        <f t="shared" ref="J6:K6" si="1">SUM(J8,J11:J17)</f>
        <v>159807</v>
      </c>
      <c r="K6" s="513">
        <f t="shared" si="1"/>
        <v>42846</v>
      </c>
      <c r="L6" s="513">
        <f t="shared" ref="L6" si="2">SUM(L8,L11:L17)</f>
        <v>104265</v>
      </c>
      <c r="M6" s="513"/>
      <c r="N6" s="513"/>
      <c r="O6" s="513"/>
      <c r="P6" s="513"/>
      <c r="Q6" s="513"/>
      <c r="R6" s="513"/>
      <c r="T6" s="513">
        <f t="shared" ref="T6:U6" si="3">SUM(T8,T11:T17)</f>
        <v>42846</v>
      </c>
      <c r="U6" s="513">
        <f t="shared" si="3"/>
        <v>61419</v>
      </c>
      <c r="X6" s="124"/>
    </row>
    <row r="7" spans="1:24">
      <c r="A7" s="509"/>
      <c r="C7" s="514"/>
      <c r="D7" s="514"/>
      <c r="E7" s="514"/>
      <c r="F7" s="514"/>
      <c r="G7" s="514"/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514"/>
      <c r="T7" s="514"/>
      <c r="U7" s="514"/>
    </row>
    <row r="8" spans="1:24">
      <c r="A8" s="510" t="s">
        <v>466</v>
      </c>
      <c r="C8" s="515">
        <f t="shared" ref="C8" si="4">SUM(C9:C10)</f>
        <v>0</v>
      </c>
      <c r="D8" s="515">
        <f t="shared" ref="D8:H8" si="5">SUM(D9:D10)</f>
        <v>0</v>
      </c>
      <c r="E8" s="515">
        <f t="shared" si="5"/>
        <v>0</v>
      </c>
      <c r="F8" s="515">
        <f t="shared" si="5"/>
        <v>0</v>
      </c>
      <c r="G8" s="515">
        <f t="shared" si="5"/>
        <v>0</v>
      </c>
      <c r="H8" s="515">
        <f t="shared" si="5"/>
        <v>0</v>
      </c>
      <c r="I8" s="515">
        <f>SUM(I9:I10)</f>
        <v>0</v>
      </c>
      <c r="J8" s="515">
        <f>SUM(J9:J10)</f>
        <v>0</v>
      </c>
      <c r="K8" s="515">
        <f>SUM(K9:K10)</f>
        <v>0</v>
      </c>
      <c r="L8" s="515">
        <f>SUM(L9:L10)</f>
        <v>0</v>
      </c>
      <c r="M8" s="515"/>
      <c r="N8" s="515"/>
      <c r="O8" s="515"/>
      <c r="P8" s="515"/>
      <c r="Q8" s="515"/>
      <c r="R8" s="515"/>
      <c r="T8" s="515">
        <f>SUM(T9:T10)</f>
        <v>0</v>
      </c>
      <c r="U8" s="515">
        <f>SUM(U9:U10)</f>
        <v>0</v>
      </c>
    </row>
    <row r="9" spans="1:24" outlineLevel="1">
      <c r="A9" s="511" t="s">
        <v>466</v>
      </c>
      <c r="C9" s="516">
        <v>0</v>
      </c>
      <c r="D9" s="516">
        <v>0</v>
      </c>
      <c r="E9" s="516">
        <v>0</v>
      </c>
      <c r="F9" s="516">
        <v>0</v>
      </c>
      <c r="G9" s="516">
        <v>0</v>
      </c>
      <c r="H9" s="516">
        <v>0</v>
      </c>
      <c r="I9" s="516">
        <v>0</v>
      </c>
      <c r="J9" s="516">
        <v>0</v>
      </c>
      <c r="K9" s="516">
        <v>0</v>
      </c>
      <c r="L9" s="516">
        <v>0</v>
      </c>
      <c r="M9" s="516"/>
      <c r="N9" s="516"/>
      <c r="O9" s="516"/>
      <c r="P9" s="516"/>
      <c r="Q9" s="516"/>
      <c r="R9" s="516"/>
      <c r="T9" s="516">
        <f>K9</f>
        <v>0</v>
      </c>
      <c r="U9" s="516">
        <f>L9-T9</f>
        <v>0</v>
      </c>
    </row>
    <row r="10" spans="1:24" outlineLevel="1">
      <c r="A10" s="511" t="s">
        <v>467</v>
      </c>
      <c r="C10" s="516">
        <v>0</v>
      </c>
      <c r="D10" s="516">
        <v>0</v>
      </c>
      <c r="E10" s="516">
        <v>0</v>
      </c>
      <c r="F10" s="516">
        <v>0</v>
      </c>
      <c r="G10" s="516">
        <v>0</v>
      </c>
      <c r="H10" s="516">
        <v>0</v>
      </c>
      <c r="I10" s="516">
        <v>0</v>
      </c>
      <c r="J10" s="516">
        <v>0</v>
      </c>
      <c r="K10" s="516">
        <v>0</v>
      </c>
      <c r="L10" s="516">
        <v>0</v>
      </c>
      <c r="M10" s="516"/>
      <c r="N10" s="516"/>
      <c r="O10" s="516"/>
      <c r="P10" s="516"/>
      <c r="Q10" s="516"/>
      <c r="R10" s="516"/>
      <c r="T10" s="516">
        <f t="shared" ref="T10:T25" si="6">K10</f>
        <v>0</v>
      </c>
      <c r="U10" s="516">
        <f t="shared" ref="U10:U16" si="7">L10-T10</f>
        <v>0</v>
      </c>
    </row>
    <row r="11" spans="1:24">
      <c r="A11" s="510" t="s">
        <v>468</v>
      </c>
      <c r="C11" s="515">
        <v>0</v>
      </c>
      <c r="D11" s="515">
        <v>0</v>
      </c>
      <c r="E11" s="515">
        <v>0</v>
      </c>
      <c r="F11" s="515">
        <v>0</v>
      </c>
      <c r="G11" s="515">
        <v>0</v>
      </c>
      <c r="H11" s="515">
        <v>0</v>
      </c>
      <c r="I11" s="515">
        <v>0</v>
      </c>
      <c r="J11" s="515">
        <v>0</v>
      </c>
      <c r="K11" s="515">
        <v>0</v>
      </c>
      <c r="L11" s="515">
        <v>0</v>
      </c>
      <c r="M11" s="515"/>
      <c r="N11" s="515"/>
      <c r="O11" s="515"/>
      <c r="P11" s="515"/>
      <c r="Q11" s="515"/>
      <c r="R11" s="515"/>
      <c r="T11" s="515">
        <f t="shared" si="6"/>
        <v>0</v>
      </c>
      <c r="U11" s="515">
        <f t="shared" si="7"/>
        <v>0</v>
      </c>
    </row>
    <row r="12" spans="1:24">
      <c r="A12" s="510" t="s">
        <v>469</v>
      </c>
      <c r="C12" s="515">
        <v>0</v>
      </c>
      <c r="D12" s="515">
        <v>0</v>
      </c>
      <c r="E12" s="515">
        <v>0</v>
      </c>
      <c r="F12" s="515">
        <v>0</v>
      </c>
      <c r="G12" s="515">
        <v>0</v>
      </c>
      <c r="H12" s="515">
        <v>0</v>
      </c>
      <c r="I12" s="515">
        <v>0</v>
      </c>
      <c r="J12" s="515">
        <v>0</v>
      </c>
      <c r="K12" s="515">
        <v>0</v>
      </c>
      <c r="L12" s="515">
        <v>0</v>
      </c>
      <c r="M12" s="515"/>
      <c r="N12" s="515"/>
      <c r="O12" s="515"/>
      <c r="P12" s="515"/>
      <c r="Q12" s="515"/>
      <c r="R12" s="515"/>
      <c r="T12" s="515">
        <f t="shared" si="6"/>
        <v>0</v>
      </c>
      <c r="U12" s="515">
        <f t="shared" si="7"/>
        <v>0</v>
      </c>
    </row>
    <row r="13" spans="1:24">
      <c r="A13" s="510" t="s">
        <v>470</v>
      </c>
      <c r="C13" s="515">
        <v>0</v>
      </c>
      <c r="D13" s="515">
        <v>0</v>
      </c>
      <c r="E13" s="515">
        <v>31118</v>
      </c>
      <c r="F13" s="515">
        <v>61456</v>
      </c>
      <c r="G13" s="515">
        <v>15219</v>
      </c>
      <c r="H13" s="515">
        <v>39791</v>
      </c>
      <c r="I13" s="515">
        <v>57874</v>
      </c>
      <c r="J13" s="515">
        <v>73035</v>
      </c>
      <c r="K13" s="515">
        <v>20198</v>
      </c>
      <c r="L13" s="515">
        <v>57963</v>
      </c>
      <c r="M13" s="515"/>
      <c r="N13" s="515"/>
      <c r="O13" s="515"/>
      <c r="P13" s="515"/>
      <c r="Q13" s="515"/>
      <c r="R13" s="515"/>
      <c r="T13" s="515">
        <f t="shared" si="6"/>
        <v>20198</v>
      </c>
      <c r="U13" s="515">
        <f t="shared" si="7"/>
        <v>37765</v>
      </c>
      <c r="V13" s="124"/>
      <c r="X13" s="124"/>
    </row>
    <row r="14" spans="1:24">
      <c r="A14" s="510" t="s">
        <v>471</v>
      </c>
      <c r="C14" s="515">
        <v>0</v>
      </c>
      <c r="D14" s="515">
        <v>0</v>
      </c>
      <c r="E14" s="515">
        <v>0</v>
      </c>
      <c r="F14" s="515">
        <v>0</v>
      </c>
      <c r="G14" s="515">
        <v>0</v>
      </c>
      <c r="H14" s="515">
        <v>0</v>
      </c>
      <c r="I14" s="515">
        <v>0</v>
      </c>
      <c r="J14" s="515">
        <v>0</v>
      </c>
      <c r="K14" s="515">
        <v>0</v>
      </c>
      <c r="L14" s="515">
        <v>0</v>
      </c>
      <c r="M14" s="515"/>
      <c r="N14" s="515"/>
      <c r="O14" s="515"/>
      <c r="P14" s="515"/>
      <c r="Q14" s="515"/>
      <c r="R14" s="515"/>
      <c r="T14" s="515">
        <f t="shared" si="6"/>
        <v>0</v>
      </c>
      <c r="U14" s="515">
        <f t="shared" si="7"/>
        <v>0</v>
      </c>
    </row>
    <row r="15" spans="1:24">
      <c r="A15" s="510" t="s">
        <v>472</v>
      </c>
      <c r="C15" s="515">
        <v>0</v>
      </c>
      <c r="D15" s="515">
        <v>0</v>
      </c>
      <c r="E15" s="515">
        <v>0</v>
      </c>
      <c r="F15" s="515">
        <v>0</v>
      </c>
      <c r="G15" s="515">
        <v>0</v>
      </c>
      <c r="H15" s="515">
        <v>0</v>
      </c>
      <c r="I15" s="515">
        <v>0</v>
      </c>
      <c r="J15" s="515">
        <v>0</v>
      </c>
      <c r="K15" s="515">
        <v>0</v>
      </c>
      <c r="L15" s="515">
        <v>0</v>
      </c>
      <c r="M15" s="515"/>
      <c r="N15" s="515"/>
      <c r="O15" s="515"/>
      <c r="P15" s="515"/>
      <c r="Q15" s="515"/>
      <c r="R15" s="515"/>
      <c r="T15" s="515">
        <f t="shared" si="6"/>
        <v>0</v>
      </c>
      <c r="U15" s="515">
        <f t="shared" si="7"/>
        <v>0</v>
      </c>
    </row>
    <row r="16" spans="1:24">
      <c r="A16" s="510" t="s">
        <v>473</v>
      </c>
      <c r="C16" s="515">
        <v>0</v>
      </c>
      <c r="D16" s="515">
        <v>0</v>
      </c>
      <c r="E16" s="515">
        <v>13428</v>
      </c>
      <c r="F16" s="515">
        <v>34088</v>
      </c>
      <c r="G16" s="515">
        <v>27047</v>
      </c>
      <c r="H16" s="515">
        <v>47681</v>
      </c>
      <c r="I16" s="515">
        <v>66460</v>
      </c>
      <c r="J16" s="515">
        <v>84149</v>
      </c>
      <c r="K16" s="515">
        <v>21842</v>
      </c>
      <c r="L16" s="515">
        <v>44659</v>
      </c>
      <c r="M16" s="515"/>
      <c r="N16" s="515"/>
      <c r="O16" s="515"/>
      <c r="P16" s="515"/>
      <c r="Q16" s="515"/>
      <c r="R16" s="515"/>
      <c r="T16" s="515">
        <f t="shared" si="6"/>
        <v>21842</v>
      </c>
      <c r="U16" s="515">
        <f t="shared" si="7"/>
        <v>22817</v>
      </c>
    </row>
    <row r="17" spans="1:21">
      <c r="A17" s="510" t="s">
        <v>474</v>
      </c>
      <c r="C17" s="515">
        <f t="shared" ref="C17" si="8">SUM(C18:C25)</f>
        <v>0</v>
      </c>
      <c r="D17" s="515">
        <f t="shared" ref="D17:H17" si="9">SUM(D18:D25)</f>
        <v>0</v>
      </c>
      <c r="E17" s="515">
        <f t="shared" si="9"/>
        <v>21</v>
      </c>
      <c r="F17" s="515">
        <f t="shared" si="9"/>
        <v>282</v>
      </c>
      <c r="G17" s="515">
        <f t="shared" si="9"/>
        <v>336</v>
      </c>
      <c r="H17" s="515">
        <f t="shared" si="9"/>
        <v>1145</v>
      </c>
      <c r="I17" s="515">
        <f>SUM(I18:I25)</f>
        <v>1620</v>
      </c>
      <c r="J17" s="515">
        <f>SUM(J18:J25)</f>
        <v>2623</v>
      </c>
      <c r="K17" s="515">
        <f>SUM(K18:K25)</f>
        <v>806</v>
      </c>
      <c r="L17" s="515">
        <f>SUM(L18:L25)</f>
        <v>1643</v>
      </c>
      <c r="M17" s="515"/>
      <c r="N17" s="515"/>
      <c r="O17" s="515"/>
      <c r="P17" s="515"/>
      <c r="Q17" s="515"/>
      <c r="R17" s="515"/>
      <c r="T17" s="515">
        <f>SUM(T18:T25)</f>
        <v>806</v>
      </c>
      <c r="U17" s="515">
        <f>SUM(U18:U25)</f>
        <v>837</v>
      </c>
    </row>
    <row r="18" spans="1:21" outlineLevel="1">
      <c r="A18" s="511" t="s">
        <v>475</v>
      </c>
      <c r="C18" s="516">
        <v>0</v>
      </c>
      <c r="D18" s="516">
        <v>0</v>
      </c>
      <c r="E18" s="516">
        <v>0</v>
      </c>
      <c r="F18" s="516">
        <v>0</v>
      </c>
      <c r="G18" s="516">
        <v>0</v>
      </c>
      <c r="H18" s="516">
        <v>0</v>
      </c>
      <c r="I18" s="516">
        <v>0</v>
      </c>
      <c r="J18" s="516">
        <v>0</v>
      </c>
      <c r="K18" s="516">
        <v>0</v>
      </c>
      <c r="L18" s="516">
        <v>0</v>
      </c>
      <c r="M18" s="516"/>
      <c r="N18" s="516"/>
      <c r="O18" s="516"/>
      <c r="P18" s="516"/>
      <c r="Q18" s="516"/>
      <c r="R18" s="516"/>
      <c r="T18" s="516">
        <f t="shared" si="6"/>
        <v>0</v>
      </c>
      <c r="U18" s="516">
        <f t="shared" ref="U18:U25" si="10">L18-T18</f>
        <v>0</v>
      </c>
    </row>
    <row r="19" spans="1:21" outlineLevel="1">
      <c r="A19" s="511" t="s">
        <v>476</v>
      </c>
      <c r="C19" s="516">
        <v>0</v>
      </c>
      <c r="D19" s="516">
        <v>0</v>
      </c>
      <c r="E19" s="516">
        <v>0</v>
      </c>
      <c r="F19" s="516">
        <v>0</v>
      </c>
      <c r="G19" s="516">
        <v>0</v>
      </c>
      <c r="H19" s="516">
        <v>0</v>
      </c>
      <c r="I19" s="516">
        <v>0</v>
      </c>
      <c r="J19" s="516">
        <v>0</v>
      </c>
      <c r="K19" s="516">
        <v>0</v>
      </c>
      <c r="L19" s="516">
        <v>0</v>
      </c>
      <c r="M19" s="516"/>
      <c r="N19" s="516"/>
      <c r="O19" s="516"/>
      <c r="P19" s="516"/>
      <c r="Q19" s="516"/>
      <c r="R19" s="516"/>
      <c r="T19" s="516">
        <f t="shared" si="6"/>
        <v>0</v>
      </c>
      <c r="U19" s="516">
        <f t="shared" si="10"/>
        <v>0</v>
      </c>
    </row>
    <row r="20" spans="1:21" outlineLevel="1">
      <c r="A20" s="511" t="s">
        <v>477</v>
      </c>
      <c r="C20" s="516">
        <v>0</v>
      </c>
      <c r="D20" s="516">
        <v>0</v>
      </c>
      <c r="E20" s="516">
        <v>0</v>
      </c>
      <c r="F20" s="516">
        <v>0</v>
      </c>
      <c r="G20" s="516">
        <v>0</v>
      </c>
      <c r="H20" s="516">
        <v>0</v>
      </c>
      <c r="I20" s="516">
        <v>0</v>
      </c>
      <c r="J20" s="516">
        <v>0</v>
      </c>
      <c r="K20" s="516">
        <v>0</v>
      </c>
      <c r="L20" s="516">
        <v>0</v>
      </c>
      <c r="M20" s="516"/>
      <c r="N20" s="516"/>
      <c r="O20" s="516"/>
      <c r="P20" s="516"/>
      <c r="Q20" s="516"/>
      <c r="R20" s="516"/>
      <c r="T20" s="516">
        <f t="shared" si="6"/>
        <v>0</v>
      </c>
      <c r="U20" s="516">
        <f t="shared" si="10"/>
        <v>0</v>
      </c>
    </row>
    <row r="21" spans="1:21" outlineLevel="1">
      <c r="A21" s="511" t="s">
        <v>478</v>
      </c>
      <c r="C21" s="516">
        <v>0</v>
      </c>
      <c r="D21" s="516">
        <v>0</v>
      </c>
      <c r="E21" s="516">
        <v>0</v>
      </c>
      <c r="F21" s="516">
        <v>0</v>
      </c>
      <c r="G21" s="516">
        <v>0</v>
      </c>
      <c r="H21" s="516">
        <v>0</v>
      </c>
      <c r="I21" s="516">
        <v>0</v>
      </c>
      <c r="J21" s="516">
        <v>0</v>
      </c>
      <c r="K21" s="516">
        <v>0</v>
      </c>
      <c r="L21" s="516">
        <v>0</v>
      </c>
      <c r="M21" s="516"/>
      <c r="N21" s="516"/>
      <c r="O21" s="516"/>
      <c r="P21" s="516"/>
      <c r="Q21" s="516"/>
      <c r="R21" s="516"/>
      <c r="T21" s="516">
        <f t="shared" si="6"/>
        <v>0</v>
      </c>
      <c r="U21" s="516">
        <f t="shared" si="10"/>
        <v>0</v>
      </c>
    </row>
    <row r="22" spans="1:21" outlineLevel="1">
      <c r="A22" s="511" t="s">
        <v>479</v>
      </c>
      <c r="C22" s="516">
        <v>0</v>
      </c>
      <c r="D22" s="516">
        <v>0</v>
      </c>
      <c r="E22" s="516">
        <v>0</v>
      </c>
      <c r="F22" s="516">
        <v>0</v>
      </c>
      <c r="G22" s="516">
        <v>0</v>
      </c>
      <c r="H22" s="516">
        <v>0</v>
      </c>
      <c r="I22" s="516">
        <v>0</v>
      </c>
      <c r="J22" s="516">
        <v>0</v>
      </c>
      <c r="K22" s="516">
        <v>0</v>
      </c>
      <c r="L22" s="516">
        <v>0</v>
      </c>
      <c r="M22" s="516"/>
      <c r="N22" s="516"/>
      <c r="O22" s="516"/>
      <c r="P22" s="516"/>
      <c r="Q22" s="516"/>
      <c r="R22" s="516"/>
      <c r="T22" s="516">
        <f t="shared" si="6"/>
        <v>0</v>
      </c>
      <c r="U22" s="516">
        <f t="shared" si="10"/>
        <v>0</v>
      </c>
    </row>
    <row r="23" spans="1:21" outlineLevel="1">
      <c r="A23" s="511" t="s">
        <v>480</v>
      </c>
      <c r="C23" s="516">
        <v>0</v>
      </c>
      <c r="D23" s="516">
        <v>0</v>
      </c>
      <c r="E23" s="516">
        <v>0</v>
      </c>
      <c r="F23" s="516">
        <v>0</v>
      </c>
      <c r="G23" s="516">
        <v>0</v>
      </c>
      <c r="H23" s="516">
        <v>0</v>
      </c>
      <c r="I23" s="516">
        <v>0</v>
      </c>
      <c r="J23" s="516">
        <v>0</v>
      </c>
      <c r="K23" s="516">
        <v>0</v>
      </c>
      <c r="L23" s="516">
        <v>0</v>
      </c>
      <c r="M23" s="516"/>
      <c r="N23" s="516"/>
      <c r="O23" s="516"/>
      <c r="P23" s="516"/>
      <c r="Q23" s="516"/>
      <c r="R23" s="516"/>
      <c r="T23" s="516">
        <f t="shared" si="6"/>
        <v>0</v>
      </c>
      <c r="U23" s="516">
        <f t="shared" si="10"/>
        <v>0</v>
      </c>
    </row>
    <row r="24" spans="1:21" outlineLevel="1">
      <c r="A24" s="511" t="s">
        <v>481</v>
      </c>
      <c r="C24" s="516">
        <v>0</v>
      </c>
      <c r="D24" s="516">
        <v>0</v>
      </c>
      <c r="E24" s="516">
        <v>0</v>
      </c>
      <c r="F24" s="516">
        <v>0</v>
      </c>
      <c r="G24" s="516">
        <v>0</v>
      </c>
      <c r="H24" s="516">
        <v>0</v>
      </c>
      <c r="I24" s="516">
        <v>0</v>
      </c>
      <c r="J24" s="516">
        <v>0</v>
      </c>
      <c r="K24" s="516">
        <v>0</v>
      </c>
      <c r="L24" s="516">
        <v>0</v>
      </c>
      <c r="M24" s="516"/>
      <c r="N24" s="516"/>
      <c r="O24" s="516"/>
      <c r="P24" s="516"/>
      <c r="Q24" s="516"/>
      <c r="R24" s="516"/>
      <c r="T24" s="516">
        <f t="shared" si="6"/>
        <v>0</v>
      </c>
      <c r="U24" s="516">
        <f t="shared" si="10"/>
        <v>0</v>
      </c>
    </row>
    <row r="25" spans="1:21" outlineLevel="1">
      <c r="A25" s="511" t="s">
        <v>474</v>
      </c>
      <c r="C25" s="516">
        <v>0</v>
      </c>
      <c r="D25" s="516">
        <v>0</v>
      </c>
      <c r="E25" s="516">
        <v>21</v>
      </c>
      <c r="F25" s="516">
        <v>282</v>
      </c>
      <c r="G25" s="516">
        <v>336</v>
      </c>
      <c r="H25" s="516">
        <v>1145</v>
      </c>
      <c r="I25" s="516">
        <v>1620</v>
      </c>
      <c r="J25" s="516">
        <v>2623</v>
      </c>
      <c r="K25" s="516">
        <v>806</v>
      </c>
      <c r="L25" s="516">
        <v>1643</v>
      </c>
      <c r="M25" s="516"/>
      <c r="N25" s="516"/>
      <c r="O25" s="516"/>
      <c r="P25" s="516"/>
      <c r="Q25" s="516"/>
      <c r="R25" s="516"/>
      <c r="T25" s="516">
        <f t="shared" si="6"/>
        <v>806</v>
      </c>
      <c r="U25" s="516">
        <f t="shared" si="10"/>
        <v>837</v>
      </c>
    </row>
    <row r="26" spans="1:21">
      <c r="A26" s="510"/>
      <c r="C26" s="510"/>
      <c r="D26" s="510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  <c r="T26" s="510"/>
      <c r="U26" s="510"/>
    </row>
    <row r="27" spans="1:21">
      <c r="A27" s="522" t="s">
        <v>482</v>
      </c>
      <c r="C27" s="513">
        <f t="shared" ref="C27" si="11">SUM(C29:C37)</f>
        <v>0</v>
      </c>
      <c r="D27" s="513">
        <f t="shared" ref="D27:H27" si="12">SUM(D29:D37)</f>
        <v>0</v>
      </c>
      <c r="E27" s="513">
        <f t="shared" si="12"/>
        <v>-1242</v>
      </c>
      <c r="F27" s="513">
        <f t="shared" si="12"/>
        <v>-3838</v>
      </c>
      <c r="G27" s="513">
        <f t="shared" si="12"/>
        <v>-2533</v>
      </c>
      <c r="H27" s="513">
        <f t="shared" si="12"/>
        <v>-4516</v>
      </c>
      <c r="I27" s="513">
        <f>SUM(I29:I37)</f>
        <v>-6294</v>
      </c>
      <c r="J27" s="513">
        <f>SUM(J29:J37)</f>
        <v>-9656</v>
      </c>
      <c r="K27" s="513">
        <f>SUM(K29:K37)</f>
        <v>-2087</v>
      </c>
      <c r="L27" s="513">
        <f>SUM(L29:L37)</f>
        <v>-4275</v>
      </c>
      <c r="M27" s="513"/>
      <c r="N27" s="513"/>
      <c r="O27" s="513"/>
      <c r="P27" s="513"/>
      <c r="Q27" s="513"/>
      <c r="R27" s="513"/>
      <c r="T27" s="513">
        <f>SUM(T29:T37)</f>
        <v>-2087</v>
      </c>
      <c r="U27" s="513">
        <f>SUM(U29:U37)</f>
        <v>-2188</v>
      </c>
    </row>
    <row r="28" spans="1:21">
      <c r="A28" s="509"/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T28" s="514"/>
      <c r="U28" s="514"/>
    </row>
    <row r="29" spans="1:21" outlineLevel="1">
      <c r="A29" s="511" t="s">
        <v>483</v>
      </c>
      <c r="C29" s="516">
        <v>0</v>
      </c>
      <c r="D29" s="516">
        <v>0</v>
      </c>
      <c r="E29" s="516">
        <v>0</v>
      </c>
      <c r="F29" s="516">
        <v>0</v>
      </c>
      <c r="G29" s="516">
        <v>0</v>
      </c>
      <c r="H29" s="516">
        <v>0</v>
      </c>
      <c r="I29" s="516">
        <v>0</v>
      </c>
      <c r="J29" s="516">
        <v>0</v>
      </c>
      <c r="K29" s="516">
        <v>0</v>
      </c>
      <c r="L29" s="516">
        <v>0</v>
      </c>
      <c r="M29" s="516"/>
      <c r="N29" s="516"/>
      <c r="O29" s="516"/>
      <c r="P29" s="516"/>
      <c r="Q29" s="516"/>
      <c r="R29" s="516"/>
      <c r="T29" s="516">
        <f t="shared" ref="T29:T37" si="13">K29</f>
        <v>0</v>
      </c>
      <c r="U29" s="516">
        <f t="shared" ref="U29:U37" si="14">L29-T29</f>
        <v>0</v>
      </c>
    </row>
    <row r="30" spans="1:21" outlineLevel="1">
      <c r="A30" s="511" t="s">
        <v>484</v>
      </c>
      <c r="C30" s="516">
        <v>0</v>
      </c>
      <c r="D30" s="516">
        <v>0</v>
      </c>
      <c r="E30" s="516">
        <v>-1242</v>
      </c>
      <c r="F30" s="516">
        <v>-3179</v>
      </c>
      <c r="G30" s="516">
        <v>-2533</v>
      </c>
      <c r="H30" s="516">
        <v>-4516</v>
      </c>
      <c r="I30" s="516">
        <v>-6294</v>
      </c>
      <c r="J30" s="516">
        <v>-8023</v>
      </c>
      <c r="K30" s="516">
        <v>-2087</v>
      </c>
      <c r="L30" s="516">
        <v>-4275</v>
      </c>
      <c r="M30" s="516"/>
      <c r="N30" s="516"/>
      <c r="O30" s="516"/>
      <c r="P30" s="516"/>
      <c r="Q30" s="516"/>
      <c r="R30" s="516"/>
      <c r="T30" s="516">
        <f t="shared" si="13"/>
        <v>-2087</v>
      </c>
      <c r="U30" s="516">
        <f t="shared" si="14"/>
        <v>-2188</v>
      </c>
    </row>
    <row r="31" spans="1:21" outlineLevel="1">
      <c r="A31" s="511" t="s">
        <v>485</v>
      </c>
      <c r="C31" s="516">
        <v>0</v>
      </c>
      <c r="D31" s="516">
        <v>0</v>
      </c>
      <c r="E31" s="516">
        <v>0</v>
      </c>
      <c r="F31" s="516">
        <v>0</v>
      </c>
      <c r="G31" s="516">
        <v>0</v>
      </c>
      <c r="H31" s="516">
        <v>0</v>
      </c>
      <c r="I31" s="516">
        <v>0</v>
      </c>
      <c r="J31" s="516">
        <v>0</v>
      </c>
      <c r="K31" s="516">
        <v>0</v>
      </c>
      <c r="L31" s="516">
        <v>0</v>
      </c>
      <c r="M31" s="516"/>
      <c r="N31" s="516"/>
      <c r="O31" s="516"/>
      <c r="P31" s="516"/>
      <c r="Q31" s="516"/>
      <c r="R31" s="516"/>
      <c r="T31" s="516">
        <f t="shared" si="13"/>
        <v>0</v>
      </c>
      <c r="U31" s="516">
        <f t="shared" si="14"/>
        <v>0</v>
      </c>
    </row>
    <row r="32" spans="1:21" outlineLevel="1">
      <c r="A32" s="511" t="s">
        <v>486</v>
      </c>
      <c r="C32" s="516">
        <v>0</v>
      </c>
      <c r="D32" s="516">
        <v>0</v>
      </c>
      <c r="E32" s="516">
        <v>0</v>
      </c>
      <c r="F32" s="516">
        <v>0</v>
      </c>
      <c r="G32" s="516">
        <v>0</v>
      </c>
      <c r="H32" s="516">
        <v>0</v>
      </c>
      <c r="I32" s="516">
        <v>0</v>
      </c>
      <c r="J32" s="516">
        <v>0</v>
      </c>
      <c r="K32" s="516">
        <v>0</v>
      </c>
      <c r="L32" s="516">
        <v>0</v>
      </c>
      <c r="M32" s="516"/>
      <c r="N32" s="516"/>
      <c r="O32" s="516"/>
      <c r="P32" s="516"/>
      <c r="Q32" s="516"/>
      <c r="R32" s="516"/>
      <c r="T32" s="516">
        <f t="shared" si="13"/>
        <v>0</v>
      </c>
      <c r="U32" s="516">
        <f t="shared" si="14"/>
        <v>0</v>
      </c>
    </row>
    <row r="33" spans="1:21" outlineLevel="1">
      <c r="A33" s="511" t="s">
        <v>487</v>
      </c>
      <c r="C33" s="516">
        <v>0</v>
      </c>
      <c r="D33" s="516">
        <v>0</v>
      </c>
      <c r="E33" s="516">
        <v>0</v>
      </c>
      <c r="F33" s="516">
        <v>0</v>
      </c>
      <c r="G33" s="516">
        <v>0</v>
      </c>
      <c r="H33" s="516">
        <v>0</v>
      </c>
      <c r="I33" s="516">
        <v>0</v>
      </c>
      <c r="J33" s="516">
        <v>0</v>
      </c>
      <c r="K33" s="516">
        <v>0</v>
      </c>
      <c r="L33" s="516">
        <v>0</v>
      </c>
      <c r="M33" s="516"/>
      <c r="N33" s="516"/>
      <c r="O33" s="516"/>
      <c r="P33" s="516"/>
      <c r="Q33" s="516"/>
      <c r="R33" s="516"/>
      <c r="T33" s="516">
        <f t="shared" si="13"/>
        <v>0</v>
      </c>
      <c r="U33" s="516">
        <f t="shared" si="14"/>
        <v>0</v>
      </c>
    </row>
    <row r="34" spans="1:21" outlineLevel="1">
      <c r="A34" s="511" t="s">
        <v>488</v>
      </c>
      <c r="C34" s="516">
        <v>0</v>
      </c>
      <c r="D34" s="516">
        <v>0</v>
      </c>
      <c r="E34" s="516">
        <v>0</v>
      </c>
      <c r="F34" s="516">
        <v>-659</v>
      </c>
      <c r="G34" s="516">
        <v>0</v>
      </c>
      <c r="H34" s="516">
        <v>0</v>
      </c>
      <c r="I34" s="516">
        <v>0</v>
      </c>
      <c r="J34" s="516">
        <v>-1633</v>
      </c>
      <c r="K34" s="516">
        <v>0</v>
      </c>
      <c r="L34" s="516">
        <v>0</v>
      </c>
      <c r="M34" s="516"/>
      <c r="N34" s="516"/>
      <c r="O34" s="516"/>
      <c r="P34" s="516"/>
      <c r="Q34" s="516"/>
      <c r="R34" s="516"/>
      <c r="T34" s="516">
        <f t="shared" si="13"/>
        <v>0</v>
      </c>
      <c r="U34" s="516">
        <f t="shared" si="14"/>
        <v>0</v>
      </c>
    </row>
    <row r="35" spans="1:21" outlineLevel="1">
      <c r="A35" s="511" t="s">
        <v>489</v>
      </c>
      <c r="C35" s="516">
        <v>0</v>
      </c>
      <c r="D35" s="516">
        <v>0</v>
      </c>
      <c r="E35" s="516">
        <v>0</v>
      </c>
      <c r="F35" s="516">
        <v>0</v>
      </c>
      <c r="G35" s="516">
        <v>0</v>
      </c>
      <c r="H35" s="516">
        <v>0</v>
      </c>
      <c r="I35" s="516">
        <v>0</v>
      </c>
      <c r="J35" s="516">
        <v>0</v>
      </c>
      <c r="K35" s="516">
        <v>0</v>
      </c>
      <c r="L35" s="516">
        <v>0</v>
      </c>
      <c r="M35" s="516"/>
      <c r="N35" s="516"/>
      <c r="O35" s="516"/>
      <c r="P35" s="516"/>
      <c r="Q35" s="516"/>
      <c r="R35" s="516"/>
      <c r="T35" s="516">
        <f t="shared" si="13"/>
        <v>0</v>
      </c>
      <c r="U35" s="516">
        <f t="shared" si="14"/>
        <v>0</v>
      </c>
    </row>
    <row r="36" spans="1:21" outlineLevel="1">
      <c r="A36" s="511" t="s">
        <v>490</v>
      </c>
      <c r="C36" s="516">
        <v>0</v>
      </c>
      <c r="D36" s="516">
        <v>0</v>
      </c>
      <c r="E36" s="516">
        <v>0</v>
      </c>
      <c r="F36" s="516">
        <v>0</v>
      </c>
      <c r="G36" s="516">
        <v>0</v>
      </c>
      <c r="H36" s="516">
        <v>0</v>
      </c>
      <c r="I36" s="516">
        <v>0</v>
      </c>
      <c r="J36" s="516">
        <v>0</v>
      </c>
      <c r="K36" s="516">
        <v>0</v>
      </c>
      <c r="L36" s="516">
        <v>0</v>
      </c>
      <c r="M36" s="516"/>
      <c r="N36" s="516"/>
      <c r="O36" s="516"/>
      <c r="P36" s="516"/>
      <c r="Q36" s="516"/>
      <c r="R36" s="516"/>
      <c r="T36" s="516">
        <f t="shared" si="13"/>
        <v>0</v>
      </c>
      <c r="U36" s="516">
        <f t="shared" si="14"/>
        <v>0</v>
      </c>
    </row>
    <row r="37" spans="1:21" outlineLevel="1">
      <c r="A37" s="511" t="s">
        <v>59</v>
      </c>
      <c r="C37" s="516">
        <v>0</v>
      </c>
      <c r="D37" s="516">
        <v>0</v>
      </c>
      <c r="E37" s="516">
        <v>0</v>
      </c>
      <c r="F37" s="516">
        <v>0</v>
      </c>
      <c r="G37" s="516">
        <v>0</v>
      </c>
      <c r="H37" s="516">
        <v>0</v>
      </c>
      <c r="I37" s="516">
        <v>0</v>
      </c>
      <c r="J37" s="516">
        <v>0</v>
      </c>
      <c r="K37" s="516">
        <v>0</v>
      </c>
      <c r="L37" s="516">
        <v>0</v>
      </c>
      <c r="M37" s="516"/>
      <c r="N37" s="516"/>
      <c r="O37" s="516"/>
      <c r="P37" s="516"/>
      <c r="Q37" s="516"/>
      <c r="R37" s="516"/>
      <c r="T37" s="516">
        <f t="shared" si="13"/>
        <v>0</v>
      </c>
      <c r="U37" s="516">
        <f t="shared" si="14"/>
        <v>0</v>
      </c>
    </row>
    <row r="38" spans="1:21">
      <c r="A38" s="510"/>
      <c r="C38" s="510"/>
      <c r="D38" s="510"/>
      <c r="E38" s="510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P38" s="510"/>
      <c r="Q38" s="510"/>
      <c r="R38" s="510"/>
      <c r="T38" s="510"/>
      <c r="U38" s="510"/>
    </row>
    <row r="39" spans="1:21">
      <c r="A39" s="522" t="s">
        <v>491</v>
      </c>
      <c r="C39" s="513">
        <f t="shared" ref="C39" si="15">C27+C6</f>
        <v>0</v>
      </c>
      <c r="D39" s="513">
        <f t="shared" ref="D39:H39" si="16">D27+D6</f>
        <v>0</v>
      </c>
      <c r="E39" s="513">
        <f t="shared" si="16"/>
        <v>43325</v>
      </c>
      <c r="F39" s="513">
        <f t="shared" si="16"/>
        <v>91988</v>
      </c>
      <c r="G39" s="513">
        <f t="shared" si="16"/>
        <v>40069</v>
      </c>
      <c r="H39" s="513">
        <f t="shared" si="16"/>
        <v>84101</v>
      </c>
      <c r="I39" s="513">
        <f>I27+I6</f>
        <v>119660</v>
      </c>
      <c r="J39" s="513">
        <f>J27+J6</f>
        <v>150151</v>
      </c>
      <c r="K39" s="513">
        <f>K27+K6</f>
        <v>40759</v>
      </c>
      <c r="L39" s="513">
        <f>L27+L6</f>
        <v>99990</v>
      </c>
      <c r="M39" s="513"/>
      <c r="N39" s="513"/>
      <c r="O39" s="513"/>
      <c r="P39" s="513"/>
      <c r="Q39" s="513"/>
      <c r="R39" s="513"/>
      <c r="T39" s="513">
        <f>T27+T6</f>
        <v>40759</v>
      </c>
      <c r="U39" s="513">
        <f>U27+U6</f>
        <v>59231</v>
      </c>
    </row>
    <row r="40" spans="1:21">
      <c r="A40" s="510"/>
      <c r="C40" s="510"/>
      <c r="D40" s="510"/>
      <c r="E40" s="510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P40" s="510"/>
      <c r="Q40" s="510"/>
      <c r="R40" s="510"/>
      <c r="T40" s="510"/>
      <c r="U40" s="510"/>
    </row>
    <row r="41" spans="1:21">
      <c r="A41" s="509" t="s">
        <v>492</v>
      </c>
      <c r="C41" s="517">
        <f t="shared" ref="C41" si="17">SUM(C43:C48)</f>
        <v>-1053</v>
      </c>
      <c r="D41" s="517">
        <f t="shared" ref="D41:H41" si="18">SUM(D43:D48)</f>
        <v>-756</v>
      </c>
      <c r="E41" s="517">
        <f t="shared" si="18"/>
        <v>-41101</v>
      </c>
      <c r="F41" s="517">
        <f t="shared" si="18"/>
        <v>-77658</v>
      </c>
      <c r="G41" s="517">
        <f t="shared" si="18"/>
        <v>-25611</v>
      </c>
      <c r="H41" s="517">
        <f t="shared" si="18"/>
        <v>-61617</v>
      </c>
      <c r="I41" s="517">
        <f>SUM(I43:I48)</f>
        <v>-89720</v>
      </c>
      <c r="J41" s="517">
        <f>SUM(J43:J48)</f>
        <v>-112496</v>
      </c>
      <c r="K41" s="517">
        <f>SUM(K43:K48)</f>
        <v>-29621</v>
      </c>
      <c r="L41" s="517">
        <f>SUM(L43:L48)</f>
        <v>-74911</v>
      </c>
      <c r="M41" s="517"/>
      <c r="N41" s="517"/>
      <c r="O41" s="517"/>
      <c r="P41" s="517"/>
      <c r="Q41" s="517"/>
      <c r="R41" s="517"/>
      <c r="T41" s="517">
        <f>SUM(T43:T48)</f>
        <v>-29621</v>
      </c>
      <c r="U41" s="517">
        <f>SUM(U43:U48)</f>
        <v>-45290</v>
      </c>
    </row>
    <row r="42" spans="1:21">
      <c r="A42" s="509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T42" s="514"/>
      <c r="U42" s="514"/>
    </row>
    <row r="43" spans="1:21">
      <c r="A43" s="510" t="s">
        <v>493</v>
      </c>
      <c r="C43" s="515">
        <v>0</v>
      </c>
      <c r="D43" s="515">
        <v>0</v>
      </c>
      <c r="E43" s="515">
        <v>0</v>
      </c>
      <c r="F43" s="515">
        <v>0</v>
      </c>
      <c r="G43" s="515">
        <v>0</v>
      </c>
      <c r="H43" s="515">
        <v>0</v>
      </c>
      <c r="I43" s="515">
        <v>0</v>
      </c>
      <c r="J43" s="515">
        <v>0</v>
      </c>
      <c r="K43" s="515">
        <v>0</v>
      </c>
      <c r="L43" s="515">
        <v>0</v>
      </c>
      <c r="M43" s="515"/>
      <c r="N43" s="515"/>
      <c r="O43" s="515"/>
      <c r="P43" s="515"/>
      <c r="Q43" s="515"/>
      <c r="R43" s="515"/>
      <c r="T43" s="515">
        <f t="shared" ref="T43:T47" si="19">K43</f>
        <v>0</v>
      </c>
      <c r="U43" s="515">
        <f t="shared" ref="U43:U47" si="20">L43-T43</f>
        <v>0</v>
      </c>
    </row>
    <row r="44" spans="1:21">
      <c r="A44" s="510" t="s">
        <v>494</v>
      </c>
      <c r="C44" s="515">
        <v>0</v>
      </c>
      <c r="D44" s="515">
        <v>0</v>
      </c>
      <c r="E44" s="515">
        <v>-31118</v>
      </c>
      <c r="F44" s="515">
        <v>-61456</v>
      </c>
      <c r="G44" s="515">
        <v>-15219</v>
      </c>
      <c r="H44" s="515">
        <v>-39791</v>
      </c>
      <c r="I44" s="515">
        <v>-57874</v>
      </c>
      <c r="J44" s="515">
        <v>-73035</v>
      </c>
      <c r="K44" s="515">
        <v>-20198</v>
      </c>
      <c r="L44" s="515">
        <v>-57963</v>
      </c>
      <c r="M44" s="515"/>
      <c r="N44" s="515"/>
      <c r="O44" s="515"/>
      <c r="P44" s="515"/>
      <c r="Q44" s="515"/>
      <c r="R44" s="515"/>
      <c r="T44" s="515">
        <f t="shared" si="19"/>
        <v>-20198</v>
      </c>
      <c r="U44" s="515">
        <f t="shared" si="20"/>
        <v>-37765</v>
      </c>
    </row>
    <row r="45" spans="1:21">
      <c r="A45" s="510" t="s">
        <v>495</v>
      </c>
      <c r="C45" s="515">
        <v>0</v>
      </c>
      <c r="D45" s="515">
        <v>0</v>
      </c>
      <c r="E45" s="515">
        <v>0</v>
      </c>
      <c r="F45" s="515">
        <v>0</v>
      </c>
      <c r="G45" s="515">
        <v>0</v>
      </c>
      <c r="H45" s="515">
        <v>0</v>
      </c>
      <c r="I45" s="515">
        <v>0</v>
      </c>
      <c r="J45" s="515">
        <v>0</v>
      </c>
      <c r="K45" s="515">
        <v>0</v>
      </c>
      <c r="L45" s="515">
        <v>0</v>
      </c>
      <c r="M45" s="515"/>
      <c r="N45" s="515"/>
      <c r="O45" s="515"/>
      <c r="P45" s="515"/>
      <c r="Q45" s="515"/>
      <c r="R45" s="515"/>
      <c r="T45" s="515">
        <f t="shared" si="19"/>
        <v>0</v>
      </c>
      <c r="U45" s="515">
        <f t="shared" si="20"/>
        <v>0</v>
      </c>
    </row>
    <row r="46" spans="1:21">
      <c r="A46" s="510" t="s">
        <v>496</v>
      </c>
      <c r="C46" s="515">
        <v>0</v>
      </c>
      <c r="D46" s="515">
        <v>0</v>
      </c>
      <c r="E46" s="515">
        <v>0</v>
      </c>
      <c r="F46" s="515">
        <v>0</v>
      </c>
      <c r="G46" s="515">
        <v>0</v>
      </c>
      <c r="H46" s="515">
        <v>0</v>
      </c>
      <c r="I46" s="515">
        <v>0</v>
      </c>
      <c r="J46" s="515">
        <v>0</v>
      </c>
      <c r="K46" s="515">
        <v>0</v>
      </c>
      <c r="L46" s="515">
        <v>0</v>
      </c>
      <c r="M46" s="515"/>
      <c r="N46" s="515"/>
      <c r="O46" s="515"/>
      <c r="P46" s="515"/>
      <c r="Q46" s="515"/>
      <c r="R46" s="515"/>
      <c r="T46" s="515">
        <f t="shared" si="19"/>
        <v>0</v>
      </c>
      <c r="U46" s="515">
        <f t="shared" si="20"/>
        <v>0</v>
      </c>
    </row>
    <row r="47" spans="1:21">
      <c r="A47" s="510" t="s">
        <v>497</v>
      </c>
      <c r="C47" s="515">
        <v>0</v>
      </c>
      <c r="D47" s="515">
        <v>0</v>
      </c>
      <c r="E47" s="515">
        <v>0</v>
      </c>
      <c r="F47" s="515">
        <v>0</v>
      </c>
      <c r="G47" s="515">
        <v>0</v>
      </c>
      <c r="H47" s="515">
        <v>0</v>
      </c>
      <c r="I47" s="515">
        <v>0</v>
      </c>
      <c r="J47" s="515">
        <v>0</v>
      </c>
      <c r="K47" s="515">
        <v>0</v>
      </c>
      <c r="L47" s="515">
        <v>0</v>
      </c>
      <c r="M47" s="515"/>
      <c r="N47" s="515"/>
      <c r="O47" s="515"/>
      <c r="P47" s="515"/>
      <c r="Q47" s="515"/>
      <c r="R47" s="515"/>
      <c r="T47" s="515">
        <f t="shared" si="19"/>
        <v>0</v>
      </c>
      <c r="U47" s="515">
        <f t="shared" si="20"/>
        <v>0</v>
      </c>
    </row>
    <row r="48" spans="1:21">
      <c r="A48" s="510" t="s">
        <v>498</v>
      </c>
      <c r="C48" s="515">
        <f t="shared" ref="C48:H48" si="21">SUM(C49:C55)</f>
        <v>-1053</v>
      </c>
      <c r="D48" s="515">
        <f t="shared" si="21"/>
        <v>-756</v>
      </c>
      <c r="E48" s="515">
        <f t="shared" si="21"/>
        <v>-9983</v>
      </c>
      <c r="F48" s="515">
        <f t="shared" si="21"/>
        <v>-16202</v>
      </c>
      <c r="G48" s="515">
        <f t="shared" si="21"/>
        <v>-10392</v>
      </c>
      <c r="H48" s="515">
        <f t="shared" si="21"/>
        <v>-21826</v>
      </c>
      <c r="I48" s="515">
        <f>SUM(I49:I55)</f>
        <v>-31846</v>
      </c>
      <c r="J48" s="515">
        <f>SUM(J49:J55)</f>
        <v>-39461</v>
      </c>
      <c r="K48" s="515">
        <f>SUM(K49:K55)</f>
        <v>-9423</v>
      </c>
      <c r="L48" s="515">
        <f>SUM(L49:L55)</f>
        <v>-16948</v>
      </c>
      <c r="M48" s="515"/>
      <c r="N48" s="515"/>
      <c r="O48" s="515"/>
      <c r="P48" s="515"/>
      <c r="Q48" s="515"/>
      <c r="R48" s="515"/>
      <c r="T48" s="515">
        <f>SUM(T49:T55)</f>
        <v>-9423</v>
      </c>
      <c r="U48" s="515">
        <f>SUM(U49:U55)</f>
        <v>-7525</v>
      </c>
    </row>
    <row r="49" spans="1:25" outlineLevel="1">
      <c r="A49" s="511" t="s">
        <v>499</v>
      </c>
      <c r="C49" s="516">
        <v>-687</v>
      </c>
      <c r="D49" s="516">
        <v>-756</v>
      </c>
      <c r="E49" s="516">
        <v>-4820</v>
      </c>
      <c r="F49" s="516">
        <v>-5660</v>
      </c>
      <c r="G49" s="516">
        <v>-2821</v>
      </c>
      <c r="H49" s="516">
        <v>-5499</v>
      </c>
      <c r="I49" s="516">
        <v>-8242</v>
      </c>
      <c r="J49" s="516">
        <v>-10702</v>
      </c>
      <c r="K49" s="516">
        <v>-3097</v>
      </c>
      <c r="L49" s="516">
        <v>-3982</v>
      </c>
      <c r="M49" s="516"/>
      <c r="N49" s="516"/>
      <c r="O49" s="516"/>
      <c r="P49" s="516"/>
      <c r="Q49" s="516"/>
      <c r="R49" s="516"/>
      <c r="T49" s="516">
        <f t="shared" ref="T49:T55" si="22">K49</f>
        <v>-3097</v>
      </c>
      <c r="U49" s="516">
        <f t="shared" ref="U49:U55" si="23">L49-T49</f>
        <v>-885</v>
      </c>
      <c r="V49" s="124"/>
      <c r="X49" s="124"/>
    </row>
    <row r="50" spans="1:25" outlineLevel="1">
      <c r="A50" s="511" t="s">
        <v>500</v>
      </c>
      <c r="C50" s="516">
        <v>0</v>
      </c>
      <c r="D50" s="516">
        <v>0</v>
      </c>
      <c r="E50" s="516">
        <v>-5933</v>
      </c>
      <c r="F50" s="516">
        <v>-6557</v>
      </c>
      <c r="G50" s="516">
        <v>-3077</v>
      </c>
      <c r="H50" s="516">
        <v>-6654</v>
      </c>
      <c r="I50" s="516">
        <v>-9445</v>
      </c>
      <c r="J50" s="516">
        <v>-12120</v>
      </c>
      <c r="K50" s="516">
        <v>-2297</v>
      </c>
      <c r="L50" s="516">
        <v>-4702</v>
      </c>
      <c r="M50" s="516"/>
      <c r="N50" s="516"/>
      <c r="O50" s="516"/>
      <c r="P50" s="516"/>
      <c r="Q50" s="516"/>
      <c r="R50" s="516"/>
      <c r="T50" s="516">
        <f t="shared" si="22"/>
        <v>-2297</v>
      </c>
      <c r="U50" s="516">
        <f t="shared" si="23"/>
        <v>-2405</v>
      </c>
      <c r="V50" s="124"/>
      <c r="X50" s="124"/>
    </row>
    <row r="51" spans="1:25" outlineLevel="1">
      <c r="A51" s="511" t="s">
        <v>501</v>
      </c>
      <c r="C51" s="516">
        <v>-16</v>
      </c>
      <c r="D51" s="516">
        <v>0</v>
      </c>
      <c r="E51" s="516">
        <v>-236</v>
      </c>
      <c r="F51" s="516">
        <v>-216</v>
      </c>
      <c r="G51" s="516">
        <v>-747</v>
      </c>
      <c r="H51" s="516">
        <v>-1755</v>
      </c>
      <c r="I51" s="516">
        <v>-2556</v>
      </c>
      <c r="J51" s="516">
        <v>-3665</v>
      </c>
      <c r="K51" s="516">
        <v>-650</v>
      </c>
      <c r="L51" s="516">
        <v>-1208</v>
      </c>
      <c r="M51" s="516"/>
      <c r="N51" s="516"/>
      <c r="O51" s="516"/>
      <c r="P51" s="516"/>
      <c r="Q51" s="516"/>
      <c r="R51" s="516"/>
      <c r="T51" s="516">
        <f t="shared" si="22"/>
        <v>-650</v>
      </c>
      <c r="U51" s="516">
        <f t="shared" si="23"/>
        <v>-558</v>
      </c>
      <c r="V51" s="124"/>
      <c r="X51" s="124"/>
    </row>
    <row r="52" spans="1:25" outlineLevel="1">
      <c r="A52" s="511" t="s">
        <v>502</v>
      </c>
      <c r="C52" s="516">
        <v>0</v>
      </c>
      <c r="D52" s="516">
        <v>0</v>
      </c>
      <c r="E52" s="516">
        <v>2276</v>
      </c>
      <c r="F52" s="516">
        <v>0</v>
      </c>
      <c r="G52" s="516">
        <v>0</v>
      </c>
      <c r="H52" s="516">
        <v>0</v>
      </c>
      <c r="I52" s="516">
        <v>0</v>
      </c>
      <c r="J52" s="516">
        <v>0</v>
      </c>
      <c r="K52" s="516">
        <v>-84</v>
      </c>
      <c r="L52" s="516">
        <v>-210</v>
      </c>
      <c r="M52" s="516"/>
      <c r="N52" s="516"/>
      <c r="O52" s="516"/>
      <c r="P52" s="516"/>
      <c r="Q52" s="516"/>
      <c r="R52" s="516"/>
      <c r="T52" s="516">
        <f t="shared" si="22"/>
        <v>-84</v>
      </c>
      <c r="U52" s="516">
        <f t="shared" si="23"/>
        <v>-126</v>
      </c>
      <c r="V52" s="124"/>
      <c r="X52" s="124"/>
      <c r="Y52" s="124"/>
    </row>
    <row r="53" spans="1:25" outlineLevel="1">
      <c r="A53" s="511" t="s">
        <v>503</v>
      </c>
      <c r="C53" s="516">
        <v>0</v>
      </c>
      <c r="D53" s="516">
        <v>0</v>
      </c>
      <c r="E53" s="516">
        <v>0</v>
      </c>
      <c r="F53" s="516">
        <v>0</v>
      </c>
      <c r="G53" s="516">
        <v>0</v>
      </c>
      <c r="H53" s="516">
        <v>0</v>
      </c>
      <c r="I53" s="516">
        <v>0</v>
      </c>
      <c r="J53" s="516">
        <v>0</v>
      </c>
      <c r="K53" s="516">
        <v>0</v>
      </c>
      <c r="L53" s="516">
        <v>0</v>
      </c>
      <c r="M53" s="516"/>
      <c r="N53" s="516"/>
      <c r="O53" s="516"/>
      <c r="P53" s="516"/>
      <c r="Q53" s="516"/>
      <c r="R53" s="516"/>
      <c r="T53" s="516">
        <f t="shared" si="22"/>
        <v>0</v>
      </c>
      <c r="U53" s="516">
        <f t="shared" si="23"/>
        <v>0</v>
      </c>
      <c r="V53" s="124"/>
      <c r="X53" s="124"/>
    </row>
    <row r="54" spans="1:25" outlineLevel="1">
      <c r="A54" s="511" t="s">
        <v>504</v>
      </c>
      <c r="C54" s="516">
        <v>0</v>
      </c>
      <c r="D54" s="516">
        <v>0</v>
      </c>
      <c r="E54" s="516">
        <v>-63</v>
      </c>
      <c r="F54" s="516">
        <v>-127</v>
      </c>
      <c r="G54" s="516">
        <v>-415</v>
      </c>
      <c r="H54" s="516">
        <v>-857</v>
      </c>
      <c r="I54" s="516">
        <v>-1276</v>
      </c>
      <c r="J54" s="516">
        <v>-160</v>
      </c>
      <c r="K54" s="516">
        <v>-419</v>
      </c>
      <c r="L54" s="516">
        <v>-726</v>
      </c>
      <c r="M54" s="516"/>
      <c r="N54" s="516"/>
      <c r="O54" s="516"/>
      <c r="P54" s="516"/>
      <c r="Q54" s="516"/>
      <c r="R54" s="516"/>
      <c r="T54" s="516">
        <f t="shared" si="22"/>
        <v>-419</v>
      </c>
      <c r="U54" s="516">
        <f t="shared" si="23"/>
        <v>-307</v>
      </c>
      <c r="V54" s="124"/>
      <c r="X54" s="124"/>
    </row>
    <row r="55" spans="1:25" outlineLevel="1">
      <c r="A55" s="511" t="s">
        <v>505</v>
      </c>
      <c r="C55" s="516">
        <v>-350</v>
      </c>
      <c r="D55" s="516">
        <v>0</v>
      </c>
      <c r="E55" s="516">
        <v>-1207</v>
      </c>
      <c r="F55" s="516">
        <v>-3642</v>
      </c>
      <c r="G55" s="516">
        <v>-3332</v>
      </c>
      <c r="H55" s="516">
        <v>-7061</v>
      </c>
      <c r="I55" s="516">
        <v>-10327</v>
      </c>
      <c r="J55" s="516">
        <v>-12814</v>
      </c>
      <c r="K55" s="516">
        <v>-2876</v>
      </c>
      <c r="L55" s="516">
        <v>-6120</v>
      </c>
      <c r="M55" s="516"/>
      <c r="N55" s="516"/>
      <c r="O55" s="516"/>
      <c r="P55" s="516"/>
      <c r="Q55" s="516"/>
      <c r="R55" s="516"/>
      <c r="T55" s="516">
        <f t="shared" si="22"/>
        <v>-2876</v>
      </c>
      <c r="U55" s="516">
        <f t="shared" si="23"/>
        <v>-3244</v>
      </c>
      <c r="V55" s="124"/>
      <c r="X55" s="124"/>
    </row>
    <row r="56" spans="1:25">
      <c r="A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0"/>
      <c r="T56" s="510"/>
      <c r="U56" s="510"/>
      <c r="V56" s="124"/>
    </row>
    <row r="57" spans="1:25">
      <c r="A57" s="522" t="s">
        <v>506</v>
      </c>
      <c r="C57" s="513">
        <f t="shared" ref="C57:H57" si="24">C39+C41</f>
        <v>-1053</v>
      </c>
      <c r="D57" s="513">
        <f t="shared" si="24"/>
        <v>-756</v>
      </c>
      <c r="E57" s="513">
        <f t="shared" si="24"/>
        <v>2224</v>
      </c>
      <c r="F57" s="513">
        <f t="shared" si="24"/>
        <v>14330</v>
      </c>
      <c r="G57" s="513">
        <f t="shared" si="24"/>
        <v>14458</v>
      </c>
      <c r="H57" s="513">
        <f t="shared" si="24"/>
        <v>22484</v>
      </c>
      <c r="I57" s="513">
        <f>I39+I41</f>
        <v>29940</v>
      </c>
      <c r="J57" s="513">
        <f>J39+J41</f>
        <v>37655</v>
      </c>
      <c r="K57" s="513">
        <f>K39+K41</f>
        <v>11138</v>
      </c>
      <c r="L57" s="513">
        <f>L39+L41</f>
        <v>25079</v>
      </c>
      <c r="M57" s="513"/>
      <c r="N57" s="513"/>
      <c r="O57" s="513"/>
      <c r="P57" s="513"/>
      <c r="Q57" s="513"/>
      <c r="R57" s="513"/>
      <c r="T57" s="513">
        <f>T39+T41</f>
        <v>11138</v>
      </c>
      <c r="U57" s="513">
        <f>U39+U41</f>
        <v>13941</v>
      </c>
      <c r="V57" s="124"/>
    </row>
    <row r="58" spans="1:25">
      <c r="A58" s="510"/>
      <c r="C58" s="510"/>
      <c r="D58" s="510"/>
      <c r="E58" s="510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P58" s="510"/>
      <c r="Q58" s="510"/>
      <c r="R58" s="510"/>
      <c r="T58" s="510"/>
      <c r="U58" s="510"/>
      <c r="V58" s="124"/>
    </row>
    <row r="59" spans="1:25">
      <c r="A59" s="509" t="s">
        <v>507</v>
      </c>
      <c r="C59" s="517">
        <f t="shared" ref="C59:H59" si="25">C61+C67+C68+C77+C78</f>
        <v>-2288</v>
      </c>
      <c r="D59" s="517">
        <f t="shared" si="25"/>
        <v>-3087</v>
      </c>
      <c r="E59" s="517">
        <f t="shared" si="25"/>
        <v>-15523</v>
      </c>
      <c r="F59" s="517">
        <f t="shared" si="25"/>
        <v>-26415</v>
      </c>
      <c r="G59" s="517">
        <f t="shared" si="25"/>
        <v>-19810</v>
      </c>
      <c r="H59" s="517">
        <f t="shared" si="25"/>
        <v>-43627</v>
      </c>
      <c r="I59" s="517">
        <f>I61+I67+I68+I77+I78</f>
        <v>-74619</v>
      </c>
      <c r="J59" s="517">
        <f>J61+J67+J68+J77+J78</f>
        <v>-104536</v>
      </c>
      <c r="K59" s="517">
        <f>K61+K67+K68+K77+K78</f>
        <v>-23770</v>
      </c>
      <c r="L59" s="517">
        <f>L61+L67+L68+L77+L78</f>
        <v>-48738</v>
      </c>
      <c r="M59" s="517"/>
      <c r="N59" s="517"/>
      <c r="O59" s="517"/>
      <c r="P59" s="517"/>
      <c r="Q59" s="517"/>
      <c r="R59" s="517"/>
      <c r="T59" s="517">
        <f>T61+T67+T68+T77+T78</f>
        <v>-23770</v>
      </c>
      <c r="U59" s="517">
        <f>U61+U67+U68+U77+U78</f>
        <v>-24968</v>
      </c>
      <c r="V59" s="124"/>
    </row>
    <row r="60" spans="1:25">
      <c r="A60" s="509"/>
      <c r="C60" s="514"/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514"/>
      <c r="R60" s="514"/>
      <c r="T60" s="514"/>
      <c r="U60" s="514"/>
      <c r="V60" s="124"/>
    </row>
    <row r="61" spans="1:25">
      <c r="A61" s="512" t="s">
        <v>508</v>
      </c>
      <c r="C61" s="515">
        <f t="shared" ref="C61:H61" si="26">SUM(C62:C66)</f>
        <v>0</v>
      </c>
      <c r="D61" s="515">
        <f t="shared" si="26"/>
        <v>-263</v>
      </c>
      <c r="E61" s="515">
        <f t="shared" si="26"/>
        <v>-1645</v>
      </c>
      <c r="F61" s="515">
        <f t="shared" si="26"/>
        <v>-2634</v>
      </c>
      <c r="G61" s="515">
        <f t="shared" si="26"/>
        <v>-1636</v>
      </c>
      <c r="H61" s="515">
        <f t="shared" si="26"/>
        <v>-3007</v>
      </c>
      <c r="I61" s="515">
        <f>SUM(I62:I66)</f>
        <v>-6663</v>
      </c>
      <c r="J61" s="515">
        <f>SUM(J62:J66)</f>
        <v>-9020</v>
      </c>
      <c r="K61" s="515">
        <f t="shared" ref="K61:L61" si="27">SUM(K62:K66)</f>
        <v>-2505</v>
      </c>
      <c r="L61" s="515">
        <f t="shared" si="27"/>
        <v>-4356</v>
      </c>
      <c r="M61" s="515"/>
      <c r="N61" s="515"/>
      <c r="O61" s="515"/>
      <c r="P61" s="515"/>
      <c r="Q61" s="515"/>
      <c r="R61" s="515"/>
      <c r="T61" s="515">
        <f t="shared" ref="T61:U61" si="28">SUM(T62:T66)</f>
        <v>-2505</v>
      </c>
      <c r="U61" s="515">
        <f t="shared" si="28"/>
        <v>-1851</v>
      </c>
      <c r="V61" s="124"/>
    </row>
    <row r="62" spans="1:25" outlineLevel="1">
      <c r="A62" s="511" t="s">
        <v>509</v>
      </c>
      <c r="C62" s="516">
        <v>0</v>
      </c>
      <c r="D62" s="516">
        <v>-263</v>
      </c>
      <c r="E62" s="516">
        <v>-1532</v>
      </c>
      <c r="F62" s="516">
        <v>-1747</v>
      </c>
      <c r="G62" s="516">
        <v>-723</v>
      </c>
      <c r="H62" s="516">
        <v>-1287</v>
      </c>
      <c r="I62" s="516">
        <v>-1930</v>
      </c>
      <c r="J62" s="516">
        <v>-2500</v>
      </c>
      <c r="K62" s="516">
        <v>-821</v>
      </c>
      <c r="L62" s="516">
        <v>-1196</v>
      </c>
      <c r="M62" s="516"/>
      <c r="N62" s="516"/>
      <c r="O62" s="516"/>
      <c r="P62" s="516"/>
      <c r="Q62" s="516"/>
      <c r="R62" s="516"/>
      <c r="T62" s="516">
        <f t="shared" ref="T62:T67" si="29">K62</f>
        <v>-821</v>
      </c>
      <c r="U62" s="516">
        <f t="shared" ref="U62:U67" si="30">L62-T62</f>
        <v>-375</v>
      </c>
      <c r="V62" s="124"/>
    </row>
    <row r="63" spans="1:25" outlineLevel="1">
      <c r="A63" s="511" t="s">
        <v>510</v>
      </c>
      <c r="C63" s="516">
        <v>0</v>
      </c>
      <c r="D63" s="516">
        <v>0</v>
      </c>
      <c r="E63" s="516">
        <v>-16</v>
      </c>
      <c r="F63" s="516">
        <v>-7</v>
      </c>
      <c r="G63" s="516">
        <v>-12</v>
      </c>
      <c r="H63" s="516">
        <v>-22</v>
      </c>
      <c r="I63" s="516">
        <v>-80</v>
      </c>
      <c r="J63" s="516">
        <v>-87</v>
      </c>
      <c r="K63" s="516">
        <v>-5</v>
      </c>
      <c r="L63" s="516">
        <v>-18</v>
      </c>
      <c r="M63" s="516"/>
      <c r="N63" s="516"/>
      <c r="O63" s="516"/>
      <c r="P63" s="516"/>
      <c r="Q63" s="516"/>
      <c r="R63" s="516"/>
      <c r="T63" s="516">
        <f t="shared" si="29"/>
        <v>-5</v>
      </c>
      <c r="U63" s="516">
        <f t="shared" si="30"/>
        <v>-13</v>
      </c>
      <c r="V63" s="124"/>
    </row>
    <row r="64" spans="1:25" outlineLevel="1">
      <c r="A64" s="511" t="s">
        <v>511</v>
      </c>
      <c r="C64" s="516">
        <v>0</v>
      </c>
      <c r="D64" s="516">
        <v>0</v>
      </c>
      <c r="E64" s="516">
        <v>-97</v>
      </c>
      <c r="F64" s="516">
        <v>-880</v>
      </c>
      <c r="G64" s="516">
        <v>-898</v>
      </c>
      <c r="H64" s="516">
        <v>-1690</v>
      </c>
      <c r="I64" s="516">
        <v>-4638</v>
      </c>
      <c r="J64" s="516">
        <v>-6414</v>
      </c>
      <c r="K64" s="516">
        <v>-1651</v>
      </c>
      <c r="L64" s="516">
        <v>-3023</v>
      </c>
      <c r="M64" s="516"/>
      <c r="N64" s="516"/>
      <c r="O64" s="516"/>
      <c r="P64" s="516"/>
      <c r="Q64" s="516"/>
      <c r="R64" s="516"/>
      <c r="T64" s="516">
        <f t="shared" si="29"/>
        <v>-1651</v>
      </c>
      <c r="U64" s="516">
        <f t="shared" si="30"/>
        <v>-1372</v>
      </c>
      <c r="V64" s="124"/>
    </row>
    <row r="65" spans="1:22" outlineLevel="1">
      <c r="A65" s="511" t="s">
        <v>512</v>
      </c>
      <c r="C65" s="516">
        <v>0</v>
      </c>
      <c r="D65" s="516">
        <v>0</v>
      </c>
      <c r="E65" s="516">
        <v>0</v>
      </c>
      <c r="F65" s="516">
        <v>0</v>
      </c>
      <c r="G65" s="516">
        <v>-3</v>
      </c>
      <c r="H65" s="516">
        <v>-8</v>
      </c>
      <c r="I65" s="516">
        <v>-17</v>
      </c>
      <c r="J65" s="516">
        <v>-22</v>
      </c>
      <c r="K65" s="516">
        <v>-32</v>
      </c>
      <c r="L65" s="516">
        <v>-55</v>
      </c>
      <c r="M65" s="516"/>
      <c r="N65" s="516"/>
      <c r="O65" s="516"/>
      <c r="P65" s="516"/>
      <c r="Q65" s="516"/>
      <c r="R65" s="516"/>
      <c r="T65" s="516">
        <f t="shared" si="29"/>
        <v>-32</v>
      </c>
      <c r="U65" s="516">
        <f t="shared" si="30"/>
        <v>-23</v>
      </c>
      <c r="V65" s="124"/>
    </row>
    <row r="66" spans="1:22" outlineLevel="1">
      <c r="A66" s="511" t="s">
        <v>513</v>
      </c>
      <c r="C66" s="516">
        <v>0</v>
      </c>
      <c r="D66" s="516">
        <v>0</v>
      </c>
      <c r="E66" s="516">
        <v>0</v>
      </c>
      <c r="F66" s="516">
        <v>0</v>
      </c>
      <c r="G66" s="516">
        <v>0</v>
      </c>
      <c r="H66" s="516">
        <v>0</v>
      </c>
      <c r="I66" s="516">
        <v>2</v>
      </c>
      <c r="J66" s="516">
        <v>3</v>
      </c>
      <c r="K66" s="516">
        <v>4</v>
      </c>
      <c r="L66" s="516">
        <v>-64</v>
      </c>
      <c r="M66" s="516"/>
      <c r="N66" s="516"/>
      <c r="O66" s="516"/>
      <c r="P66" s="516"/>
      <c r="Q66" s="516"/>
      <c r="R66" s="516"/>
      <c r="T66" s="516">
        <f t="shared" si="29"/>
        <v>4</v>
      </c>
      <c r="U66" s="516">
        <f t="shared" si="30"/>
        <v>-68</v>
      </c>
      <c r="V66" s="124"/>
    </row>
    <row r="67" spans="1:22">
      <c r="A67" s="510" t="s">
        <v>514</v>
      </c>
      <c r="C67" s="518">
        <v>0</v>
      </c>
      <c r="D67" s="518">
        <v>0</v>
      </c>
      <c r="E67" s="518">
        <v>0</v>
      </c>
      <c r="F67" s="518">
        <v>0</v>
      </c>
      <c r="G67" s="518">
        <v>-6182</v>
      </c>
      <c r="H67" s="518">
        <v>-15808</v>
      </c>
      <c r="I67" s="518">
        <v>-31228</v>
      </c>
      <c r="J67" s="518">
        <v>-34994</v>
      </c>
      <c r="K67" s="518">
        <v>-8026</v>
      </c>
      <c r="L67" s="518">
        <v>-17137</v>
      </c>
      <c r="M67" s="518"/>
      <c r="N67" s="518"/>
      <c r="O67" s="518"/>
      <c r="P67" s="518"/>
      <c r="Q67" s="518"/>
      <c r="R67" s="518"/>
      <c r="T67" s="518">
        <f t="shared" si="29"/>
        <v>-8026</v>
      </c>
      <c r="U67" s="518">
        <f t="shared" si="30"/>
        <v>-9111</v>
      </c>
      <c r="V67" s="124"/>
    </row>
    <row r="68" spans="1:22">
      <c r="A68" s="510" t="s">
        <v>515</v>
      </c>
      <c r="C68" s="515">
        <f t="shared" ref="C68:H68" si="31">SUM(C69:C76)</f>
        <v>-2288</v>
      </c>
      <c r="D68" s="515">
        <f t="shared" si="31"/>
        <v>-2809</v>
      </c>
      <c r="E68" s="515">
        <f t="shared" si="31"/>
        <v>-13775</v>
      </c>
      <c r="F68" s="515">
        <f t="shared" si="31"/>
        <v>-23429</v>
      </c>
      <c r="G68" s="515">
        <f t="shared" si="31"/>
        <v>-11840</v>
      </c>
      <c r="H68" s="515">
        <f t="shared" si="31"/>
        <v>-24353</v>
      </c>
      <c r="I68" s="515">
        <f>SUM(I69:I76)</f>
        <v>-35953</v>
      </c>
      <c r="J68" s="515">
        <f>SUM(J69:J76)</f>
        <v>-58983</v>
      </c>
      <c r="K68" s="515">
        <f>SUM(K69:K76)</f>
        <v>-12516</v>
      </c>
      <c r="L68" s="515">
        <f>SUM(L69:L76)</f>
        <v>-25865</v>
      </c>
      <c r="M68" s="515"/>
      <c r="N68" s="515"/>
      <c r="O68" s="515"/>
      <c r="P68" s="515"/>
      <c r="Q68" s="515"/>
      <c r="R68" s="515"/>
      <c r="T68" s="515">
        <f>SUM(T69:T76)</f>
        <v>-12516</v>
      </c>
      <c r="U68" s="515">
        <f>SUM(U69:U76)</f>
        <v>-13349</v>
      </c>
      <c r="V68" s="124"/>
    </row>
    <row r="69" spans="1:22" outlineLevel="1">
      <c r="A69" s="511" t="s">
        <v>516</v>
      </c>
      <c r="C69" s="516">
        <v>0</v>
      </c>
      <c r="D69" s="516">
        <v>-2046</v>
      </c>
      <c r="E69" s="516">
        <v>-4250</v>
      </c>
      <c r="F69" s="516">
        <v>-7756</v>
      </c>
      <c r="G69" s="516">
        <v>-4289</v>
      </c>
      <c r="H69" s="516">
        <v>-8114</v>
      </c>
      <c r="I69" s="516">
        <v>-11651</v>
      </c>
      <c r="J69" s="516">
        <v>-16092</v>
      </c>
      <c r="K69" s="516">
        <v>-4535</v>
      </c>
      <c r="L69" s="516">
        <v>-8499</v>
      </c>
      <c r="M69" s="516"/>
      <c r="N69" s="516"/>
      <c r="O69" s="516"/>
      <c r="P69" s="516"/>
      <c r="Q69" s="516"/>
      <c r="R69" s="516"/>
      <c r="T69" s="516">
        <f t="shared" ref="T69:T77" si="32">K69</f>
        <v>-4535</v>
      </c>
      <c r="U69" s="516">
        <f t="shared" ref="U69:U77" si="33">L69-T69</f>
        <v>-3964</v>
      </c>
      <c r="V69" s="124"/>
    </row>
    <row r="70" spans="1:22" outlineLevel="1">
      <c r="A70" s="511" t="s">
        <v>517</v>
      </c>
      <c r="C70" s="516">
        <v>0</v>
      </c>
      <c r="D70" s="516">
        <v>-1</v>
      </c>
      <c r="E70" s="516">
        <v>-51</v>
      </c>
      <c r="F70" s="516">
        <v>-342</v>
      </c>
      <c r="G70" s="516">
        <v>-9</v>
      </c>
      <c r="H70" s="516">
        <v>-244</v>
      </c>
      <c r="I70" s="516">
        <v>-519</v>
      </c>
      <c r="J70" s="516">
        <v>-809</v>
      </c>
      <c r="K70" s="516">
        <v>-1</v>
      </c>
      <c r="L70" s="516">
        <v>-60</v>
      </c>
      <c r="M70" s="516"/>
      <c r="N70" s="516"/>
      <c r="O70" s="516"/>
      <c r="P70" s="516"/>
      <c r="Q70" s="516"/>
      <c r="R70" s="516"/>
      <c r="T70" s="516">
        <f t="shared" si="32"/>
        <v>-1</v>
      </c>
      <c r="U70" s="516">
        <f t="shared" si="33"/>
        <v>-59</v>
      </c>
      <c r="V70" s="124"/>
    </row>
    <row r="71" spans="1:22" outlineLevel="1">
      <c r="A71" s="511" t="s">
        <v>518</v>
      </c>
      <c r="C71" s="516">
        <v>0</v>
      </c>
      <c r="D71" s="516">
        <v>-598</v>
      </c>
      <c r="E71" s="516">
        <v>-2212</v>
      </c>
      <c r="F71" s="516">
        <v>-1991</v>
      </c>
      <c r="G71" s="516">
        <v>-629</v>
      </c>
      <c r="H71" s="516">
        <v>-2143</v>
      </c>
      <c r="I71" s="516">
        <v>-3014</v>
      </c>
      <c r="J71" s="516">
        <v>-11965</v>
      </c>
      <c r="K71" s="516">
        <v>-1082</v>
      </c>
      <c r="L71" s="516">
        <v>-2913</v>
      </c>
      <c r="M71" s="516"/>
      <c r="N71" s="516"/>
      <c r="O71" s="516"/>
      <c r="P71" s="516"/>
      <c r="Q71" s="516"/>
      <c r="R71" s="516"/>
      <c r="T71" s="516">
        <f t="shared" si="32"/>
        <v>-1082</v>
      </c>
      <c r="U71" s="516">
        <f t="shared" si="33"/>
        <v>-1831</v>
      </c>
      <c r="V71" s="124"/>
    </row>
    <row r="72" spans="1:22" outlineLevel="1">
      <c r="A72" s="511" t="s">
        <v>519</v>
      </c>
      <c r="C72" s="516">
        <v>0</v>
      </c>
      <c r="D72" s="516">
        <v>0</v>
      </c>
      <c r="E72" s="516">
        <v>-48</v>
      </c>
      <c r="F72" s="516">
        <v>-670</v>
      </c>
      <c r="G72" s="516">
        <v>-254</v>
      </c>
      <c r="H72" s="516">
        <v>-192</v>
      </c>
      <c r="I72" s="516">
        <v>-248</v>
      </c>
      <c r="J72" s="516">
        <v>-45</v>
      </c>
      <c r="K72" s="516">
        <v>293</v>
      </c>
      <c r="L72" s="516">
        <v>573</v>
      </c>
      <c r="M72" s="516"/>
      <c r="N72" s="516"/>
      <c r="O72" s="516"/>
      <c r="P72" s="516"/>
      <c r="Q72" s="516"/>
      <c r="R72" s="516"/>
      <c r="T72" s="516">
        <f t="shared" si="32"/>
        <v>293</v>
      </c>
      <c r="U72" s="516">
        <f t="shared" si="33"/>
        <v>280</v>
      </c>
      <c r="V72" s="124"/>
    </row>
    <row r="73" spans="1:22" outlineLevel="1">
      <c r="A73" s="511" t="s">
        <v>520</v>
      </c>
      <c r="C73" s="516">
        <v>-2288</v>
      </c>
      <c r="D73" s="516">
        <v>-164</v>
      </c>
      <c r="E73" s="516">
        <v>837</v>
      </c>
      <c r="F73" s="516">
        <v>-65</v>
      </c>
      <c r="G73" s="516">
        <v>248</v>
      </c>
      <c r="H73" s="516">
        <v>270</v>
      </c>
      <c r="I73" s="516">
        <v>350</v>
      </c>
      <c r="J73" s="516">
        <v>-735</v>
      </c>
      <c r="K73" s="516">
        <v>-6</v>
      </c>
      <c r="L73" s="516">
        <v>-410</v>
      </c>
      <c r="M73" s="516"/>
      <c r="N73" s="516"/>
      <c r="O73" s="516"/>
      <c r="P73" s="516"/>
      <c r="Q73" s="516"/>
      <c r="R73" s="516"/>
      <c r="T73" s="516">
        <f t="shared" si="32"/>
        <v>-6</v>
      </c>
      <c r="U73" s="516">
        <f t="shared" si="33"/>
        <v>-404</v>
      </c>
      <c r="V73" s="124"/>
    </row>
    <row r="74" spans="1:22" outlineLevel="1">
      <c r="A74" s="511" t="s">
        <v>521</v>
      </c>
      <c r="C74" s="516">
        <v>0</v>
      </c>
      <c r="D74" s="516">
        <v>0</v>
      </c>
      <c r="E74" s="516">
        <v>-12</v>
      </c>
      <c r="F74" s="516">
        <v>-32</v>
      </c>
      <c r="G74" s="516">
        <v>-101</v>
      </c>
      <c r="H74" s="516">
        <v>-220</v>
      </c>
      <c r="I74" s="516">
        <v>-258</v>
      </c>
      <c r="J74" s="516">
        <v>-331</v>
      </c>
      <c r="K74" s="516">
        <v>-33</v>
      </c>
      <c r="L74" s="516">
        <v>-168</v>
      </c>
      <c r="M74" s="516"/>
      <c r="N74" s="516"/>
      <c r="O74" s="516"/>
      <c r="P74" s="516"/>
      <c r="Q74" s="516"/>
      <c r="R74" s="516"/>
      <c r="T74" s="516">
        <f t="shared" si="32"/>
        <v>-33</v>
      </c>
      <c r="U74" s="516">
        <f t="shared" si="33"/>
        <v>-135</v>
      </c>
      <c r="V74" s="124"/>
    </row>
    <row r="75" spans="1:22" outlineLevel="1">
      <c r="A75" s="511" t="s">
        <v>522</v>
      </c>
      <c r="C75" s="516">
        <v>0</v>
      </c>
      <c r="D75" s="516">
        <v>0</v>
      </c>
      <c r="E75" s="516">
        <v>-2276</v>
      </c>
      <c r="F75" s="516">
        <v>-73</v>
      </c>
      <c r="G75" s="516">
        <v>-70</v>
      </c>
      <c r="H75" s="516">
        <v>-237</v>
      </c>
      <c r="I75" s="516">
        <v>-404</v>
      </c>
      <c r="J75" s="516">
        <v>-2060</v>
      </c>
      <c r="K75" s="516">
        <v>-416</v>
      </c>
      <c r="L75" s="516">
        <v>-915</v>
      </c>
      <c r="M75" s="516"/>
      <c r="N75" s="516"/>
      <c r="O75" s="516"/>
      <c r="P75" s="516"/>
      <c r="Q75" s="516"/>
      <c r="R75" s="516"/>
      <c r="T75" s="516">
        <f t="shared" si="32"/>
        <v>-416</v>
      </c>
      <c r="U75" s="516">
        <f t="shared" si="33"/>
        <v>-499</v>
      </c>
      <c r="V75" s="124"/>
    </row>
    <row r="76" spans="1:22" outlineLevel="1">
      <c r="A76" s="511" t="s">
        <v>523</v>
      </c>
      <c r="C76" s="516">
        <v>0</v>
      </c>
      <c r="D76" s="516">
        <v>0</v>
      </c>
      <c r="E76" s="516">
        <v>-5763</v>
      </c>
      <c r="F76" s="516">
        <v>-12500</v>
      </c>
      <c r="G76" s="516">
        <v>-6736</v>
      </c>
      <c r="H76" s="516">
        <v>-13473</v>
      </c>
      <c r="I76" s="516">
        <v>-20209</v>
      </c>
      <c r="J76" s="516">
        <v>-26946</v>
      </c>
      <c r="K76" s="516">
        <v>-6736</v>
      </c>
      <c r="L76" s="516">
        <v>-13473</v>
      </c>
      <c r="M76" s="516"/>
      <c r="N76" s="516"/>
      <c r="O76" s="516"/>
      <c r="P76" s="516"/>
      <c r="Q76" s="516"/>
      <c r="R76" s="516"/>
      <c r="T76" s="516">
        <f t="shared" si="32"/>
        <v>-6736</v>
      </c>
      <c r="U76" s="516">
        <f t="shared" si="33"/>
        <v>-6737</v>
      </c>
      <c r="V76" s="124"/>
    </row>
    <row r="77" spans="1:22">
      <c r="A77" s="510" t="s">
        <v>524</v>
      </c>
      <c r="C77" s="515">
        <v>0</v>
      </c>
      <c r="D77" s="515">
        <v>0</v>
      </c>
      <c r="E77" s="515">
        <v>0</v>
      </c>
      <c r="F77" s="515">
        <v>0</v>
      </c>
      <c r="G77" s="515">
        <v>0</v>
      </c>
      <c r="H77" s="515">
        <v>0</v>
      </c>
      <c r="I77" s="515">
        <v>0</v>
      </c>
      <c r="J77" s="515"/>
      <c r="K77" s="515"/>
      <c r="L77" s="515">
        <v>0</v>
      </c>
      <c r="M77" s="515"/>
      <c r="N77" s="515"/>
      <c r="O77" s="515"/>
      <c r="P77" s="515"/>
      <c r="Q77" s="515"/>
      <c r="R77" s="515"/>
      <c r="T77" s="515">
        <f t="shared" si="32"/>
        <v>0</v>
      </c>
      <c r="U77" s="515">
        <f t="shared" si="33"/>
        <v>0</v>
      </c>
    </row>
    <row r="78" spans="1:22">
      <c r="A78" s="510" t="s">
        <v>525</v>
      </c>
      <c r="C78" s="515">
        <f t="shared" ref="C78:K78" si="34">SUM(C79:C81)</f>
        <v>0</v>
      </c>
      <c r="D78" s="515">
        <f t="shared" si="34"/>
        <v>-15</v>
      </c>
      <c r="E78" s="515">
        <f t="shared" si="34"/>
        <v>-103</v>
      </c>
      <c r="F78" s="515">
        <f t="shared" si="34"/>
        <v>-352</v>
      </c>
      <c r="G78" s="515">
        <f t="shared" si="34"/>
        <v>-152</v>
      </c>
      <c r="H78" s="515">
        <f t="shared" si="34"/>
        <v>-459</v>
      </c>
      <c r="I78" s="515">
        <f t="shared" si="34"/>
        <v>-775</v>
      </c>
      <c r="J78" s="515">
        <f t="shared" si="34"/>
        <v>-1539</v>
      </c>
      <c r="K78" s="515">
        <f t="shared" si="34"/>
        <v>-723</v>
      </c>
      <c r="L78" s="515">
        <f>SUM(L79:L81)</f>
        <v>-1380</v>
      </c>
      <c r="M78" s="515"/>
      <c r="N78" s="515"/>
      <c r="O78" s="515"/>
      <c r="P78" s="515"/>
      <c r="Q78" s="515"/>
      <c r="R78" s="515"/>
      <c r="T78" s="515">
        <f t="shared" ref="T78:U78" si="35">SUM(T79:T81)</f>
        <v>-723</v>
      </c>
      <c r="U78" s="515">
        <f t="shared" si="35"/>
        <v>-657</v>
      </c>
      <c r="V78" s="124"/>
    </row>
    <row r="79" spans="1:22" outlineLevel="1">
      <c r="A79" s="511" t="s">
        <v>526</v>
      </c>
      <c r="C79" s="516">
        <v>0</v>
      </c>
      <c r="D79" s="516">
        <v>-15</v>
      </c>
      <c r="E79" s="516">
        <v>-103</v>
      </c>
      <c r="F79" s="516">
        <v>-352</v>
      </c>
      <c r="G79" s="516">
        <v>-152</v>
      </c>
      <c r="H79" s="516">
        <v>-459</v>
      </c>
      <c r="I79" s="516">
        <v>-775</v>
      </c>
      <c r="J79" s="516">
        <v>-1539</v>
      </c>
      <c r="K79" s="516">
        <v>-459</v>
      </c>
      <c r="L79" s="516">
        <v>-1247</v>
      </c>
      <c r="M79" s="516"/>
      <c r="N79" s="516"/>
      <c r="O79" s="516"/>
      <c r="P79" s="516"/>
      <c r="Q79" s="516"/>
      <c r="R79" s="516"/>
      <c r="T79" s="516">
        <f t="shared" ref="T79:T80" si="36">K79</f>
        <v>-459</v>
      </c>
      <c r="U79" s="516">
        <f t="shared" ref="U79:U81" si="37">L79-T79</f>
        <v>-788</v>
      </c>
    </row>
    <row r="80" spans="1:22" outlineLevel="1">
      <c r="A80" s="511" t="s">
        <v>527</v>
      </c>
      <c r="C80" s="516">
        <v>0</v>
      </c>
      <c r="D80" s="516">
        <v>0</v>
      </c>
      <c r="E80" s="516">
        <v>0</v>
      </c>
      <c r="F80" s="516">
        <v>0</v>
      </c>
      <c r="G80" s="516">
        <v>0</v>
      </c>
      <c r="H80" s="516">
        <v>0</v>
      </c>
      <c r="I80" s="516">
        <v>0</v>
      </c>
      <c r="J80" s="516">
        <v>0</v>
      </c>
      <c r="K80" s="516">
        <v>-264</v>
      </c>
      <c r="L80" s="516">
        <v>-133</v>
      </c>
      <c r="M80" s="516"/>
      <c r="N80" s="516"/>
      <c r="O80" s="516"/>
      <c r="P80" s="516"/>
      <c r="Q80" s="516"/>
      <c r="R80" s="516"/>
      <c r="T80" s="516">
        <f t="shared" si="36"/>
        <v>-264</v>
      </c>
      <c r="U80" s="516">
        <f t="shared" si="37"/>
        <v>131</v>
      </c>
    </row>
    <row r="81" spans="1:22" outlineLevel="1">
      <c r="A81" s="511" t="s">
        <v>528</v>
      </c>
      <c r="C81" s="516"/>
      <c r="D81" s="516"/>
      <c r="E81" s="516"/>
      <c r="F81" s="516"/>
      <c r="G81" s="516"/>
      <c r="H81" s="516"/>
      <c r="I81" s="516"/>
      <c r="J81" s="516"/>
      <c r="K81" s="516"/>
      <c r="L81" s="516"/>
      <c r="M81" s="516"/>
      <c r="N81" s="516"/>
      <c r="O81" s="516"/>
      <c r="P81" s="516"/>
      <c r="Q81" s="516"/>
      <c r="R81" s="516"/>
      <c r="T81" s="516"/>
      <c r="U81" s="516">
        <f t="shared" si="37"/>
        <v>0</v>
      </c>
    </row>
    <row r="82" spans="1:22">
      <c r="A82" s="510"/>
      <c r="C82" s="510"/>
      <c r="D82" s="510"/>
      <c r="E82" s="510"/>
      <c r="F82" s="515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0"/>
      <c r="T82" s="510"/>
      <c r="U82" s="510"/>
    </row>
    <row r="83" spans="1:22">
      <c r="A83" s="522" t="s">
        <v>529</v>
      </c>
      <c r="C83" s="513">
        <f t="shared" ref="C83:H83" si="38">C85-C75-C52-C76</f>
        <v>-3341</v>
      </c>
      <c r="D83" s="513">
        <f t="shared" si="38"/>
        <v>-3843</v>
      </c>
      <c r="E83" s="513">
        <f t="shared" si="38"/>
        <v>-7536</v>
      </c>
      <c r="F83" s="513">
        <f t="shared" si="38"/>
        <v>488</v>
      </c>
      <c r="G83" s="513">
        <f t="shared" si="38"/>
        <v>1454</v>
      </c>
      <c r="H83" s="513">
        <f t="shared" si="38"/>
        <v>-7433</v>
      </c>
      <c r="I83" s="513">
        <f>I85-I75-I52-I76</f>
        <v>-24066</v>
      </c>
      <c r="J83" s="513">
        <f>J85-J75-J52-J76</f>
        <v>-37875</v>
      </c>
      <c r="K83" s="513">
        <f>K85-K75-K52-K76</f>
        <v>-5396</v>
      </c>
      <c r="L83" s="513">
        <f>L85-L75-L52-L76</f>
        <v>-9061</v>
      </c>
      <c r="M83" s="513"/>
      <c r="N83" s="513"/>
      <c r="O83" s="513"/>
      <c r="P83" s="513"/>
      <c r="Q83" s="513"/>
      <c r="R83" s="513"/>
      <c r="T83" s="513">
        <f>T85-T75-T52-T76</f>
        <v>-5396</v>
      </c>
      <c r="U83" s="513">
        <f>U85-U75-U52-U76</f>
        <v>-3665</v>
      </c>
      <c r="V83" s="124"/>
    </row>
    <row r="84" spans="1:22">
      <c r="A84" s="510"/>
      <c r="C84" s="510"/>
      <c r="D84" s="510"/>
      <c r="E84" s="510"/>
      <c r="F84" s="510"/>
      <c r="G84" s="510"/>
      <c r="H84" s="510"/>
      <c r="I84" s="510"/>
      <c r="J84" s="510"/>
      <c r="K84" s="510"/>
      <c r="L84" s="510"/>
      <c r="M84" s="510"/>
      <c r="N84" s="510"/>
      <c r="O84" s="510"/>
      <c r="P84" s="510"/>
      <c r="Q84" s="510"/>
      <c r="R84" s="510"/>
      <c r="T84" s="510"/>
      <c r="U84" s="510"/>
    </row>
    <row r="85" spans="1:22">
      <c r="A85" s="522" t="s">
        <v>530</v>
      </c>
      <c r="C85" s="513">
        <f t="shared" ref="C85:H85" si="39">C57+C59</f>
        <v>-3341</v>
      </c>
      <c r="D85" s="513">
        <f t="shared" si="39"/>
        <v>-3843</v>
      </c>
      <c r="E85" s="513">
        <f t="shared" si="39"/>
        <v>-13299</v>
      </c>
      <c r="F85" s="513">
        <f t="shared" si="39"/>
        <v>-12085</v>
      </c>
      <c r="G85" s="513">
        <f t="shared" si="39"/>
        <v>-5352</v>
      </c>
      <c r="H85" s="513">
        <f t="shared" si="39"/>
        <v>-21143</v>
      </c>
      <c r="I85" s="513">
        <f>I57+I59</f>
        <v>-44679</v>
      </c>
      <c r="J85" s="513">
        <f>J57+J59</f>
        <v>-66881</v>
      </c>
      <c r="K85" s="513">
        <f>K57+K59</f>
        <v>-12632</v>
      </c>
      <c r="L85" s="513">
        <f>L57+L59</f>
        <v>-23659</v>
      </c>
      <c r="M85" s="513"/>
      <c r="N85" s="513"/>
      <c r="O85" s="513"/>
      <c r="P85" s="513"/>
      <c r="Q85" s="513"/>
      <c r="R85" s="513"/>
      <c r="T85" s="513">
        <f>T57+T59</f>
        <v>-12632</v>
      </c>
      <c r="U85" s="513">
        <f>U57+U59</f>
        <v>-11027</v>
      </c>
    </row>
    <row r="86" spans="1:22">
      <c r="A86" s="510"/>
      <c r="C86" s="510"/>
      <c r="D86" s="510"/>
      <c r="E86" s="510"/>
      <c r="F86" s="510"/>
      <c r="G86" s="510"/>
      <c r="H86" s="510"/>
      <c r="I86" s="510"/>
      <c r="J86" s="510"/>
      <c r="K86" s="510"/>
      <c r="L86" s="510"/>
      <c r="M86" s="510"/>
      <c r="N86" s="510"/>
      <c r="O86" s="510"/>
      <c r="P86" s="510"/>
      <c r="Q86" s="510"/>
      <c r="R86" s="510"/>
      <c r="T86" s="510"/>
      <c r="U86" s="510"/>
    </row>
    <row r="87" spans="1:22">
      <c r="A87" s="522" t="s">
        <v>531</v>
      </c>
      <c r="C87" s="513">
        <f t="shared" ref="C87:H87" si="40">C89+C98</f>
        <v>-16150</v>
      </c>
      <c r="D87" s="513">
        <f t="shared" si="40"/>
        <v>-46643</v>
      </c>
      <c r="E87" s="513">
        <f t="shared" si="40"/>
        <v>-95235</v>
      </c>
      <c r="F87" s="513">
        <f t="shared" si="40"/>
        <v>-134070</v>
      </c>
      <c r="G87" s="513">
        <f t="shared" si="40"/>
        <v>-42104</v>
      </c>
      <c r="H87" s="513">
        <f t="shared" si="40"/>
        <v>-83259</v>
      </c>
      <c r="I87" s="513">
        <f>I89+I98</f>
        <v>-126442</v>
      </c>
      <c r="J87" s="513">
        <f>J89+J98</f>
        <v>-167198</v>
      </c>
      <c r="K87" s="513">
        <f>K89+K98</f>
        <v>-44297</v>
      </c>
      <c r="L87" s="513">
        <f>L89+L98</f>
        <v>-82352</v>
      </c>
      <c r="M87" s="513"/>
      <c r="N87" s="513"/>
      <c r="O87" s="513"/>
      <c r="P87" s="513"/>
      <c r="Q87" s="513"/>
      <c r="R87" s="513"/>
      <c r="T87" s="513">
        <f>T89+T98</f>
        <v>-44297</v>
      </c>
      <c r="U87" s="513">
        <f>U89+U98</f>
        <v>-38055</v>
      </c>
      <c r="V87" s="124"/>
    </row>
    <row r="88" spans="1:22">
      <c r="A88" s="509"/>
      <c r="C88" s="510"/>
      <c r="D88" s="510"/>
      <c r="E88" s="510"/>
      <c r="F88" s="510"/>
      <c r="G88" s="510"/>
      <c r="H88" s="510"/>
      <c r="I88" s="510"/>
      <c r="J88" s="510"/>
      <c r="K88" s="510"/>
      <c r="L88" s="510"/>
      <c r="M88" s="510"/>
      <c r="N88" s="510"/>
      <c r="O88" s="510"/>
      <c r="P88" s="510"/>
      <c r="Q88" s="510"/>
      <c r="R88" s="510"/>
      <c r="T88" s="510"/>
      <c r="U88" s="510"/>
    </row>
    <row r="89" spans="1:22">
      <c r="A89" s="510" t="s">
        <v>532</v>
      </c>
      <c r="C89" s="517">
        <f t="shared" ref="C89:H89" si="41">SUM(C90:C97)</f>
        <v>1634</v>
      </c>
      <c r="D89" s="517">
        <f t="shared" si="41"/>
        <v>4384</v>
      </c>
      <c r="E89" s="517">
        <f t="shared" si="41"/>
        <v>8165</v>
      </c>
      <c r="F89" s="517">
        <f t="shared" si="41"/>
        <v>9825</v>
      </c>
      <c r="G89" s="517">
        <f t="shared" si="41"/>
        <v>982</v>
      </c>
      <c r="H89" s="517">
        <f t="shared" si="41"/>
        <v>1653</v>
      </c>
      <c r="I89" s="517">
        <f>SUM(I90:I97)</f>
        <v>3891</v>
      </c>
      <c r="J89" s="517">
        <f>SUM(J90:J97)</f>
        <v>11827</v>
      </c>
      <c r="K89" s="517">
        <f>SUM(K90:K97)</f>
        <v>2962</v>
      </c>
      <c r="L89" s="517">
        <f>SUM(L90:L97)</f>
        <v>6341</v>
      </c>
      <c r="M89" s="517"/>
      <c r="N89" s="517"/>
      <c r="O89" s="517"/>
      <c r="P89" s="517"/>
      <c r="Q89" s="517"/>
      <c r="R89" s="517"/>
      <c r="T89" s="517">
        <f>SUM(T90:T97)</f>
        <v>2962</v>
      </c>
      <c r="U89" s="517">
        <f>SUM(U90:U97)</f>
        <v>3379</v>
      </c>
    </row>
    <row r="90" spans="1:22" outlineLevel="1">
      <c r="A90" s="511" t="s">
        <v>533</v>
      </c>
      <c r="C90" s="516">
        <v>1705</v>
      </c>
      <c r="D90" s="516">
        <v>4647</v>
      </c>
      <c r="E90" s="516">
        <v>8563</v>
      </c>
      <c r="F90" s="516">
        <v>10304</v>
      </c>
      <c r="G90" s="516">
        <v>1030</v>
      </c>
      <c r="H90" s="516">
        <v>1733</v>
      </c>
      <c r="I90" s="516">
        <v>4080</v>
      </c>
      <c r="J90" s="516">
        <v>12403</v>
      </c>
      <c r="K90" s="516">
        <v>3096</v>
      </c>
      <c r="L90" s="516">
        <v>6699</v>
      </c>
      <c r="M90" s="516"/>
      <c r="N90" s="516"/>
      <c r="O90" s="516"/>
      <c r="P90" s="516"/>
      <c r="Q90" s="516"/>
      <c r="R90" s="516"/>
      <c r="T90" s="516">
        <f t="shared" ref="T90:T97" si="42">K90</f>
        <v>3096</v>
      </c>
      <c r="U90" s="516">
        <f t="shared" ref="U90:U97" si="43">L90-T90</f>
        <v>3603</v>
      </c>
    </row>
    <row r="91" spans="1:22" outlineLevel="1">
      <c r="A91" s="511" t="s">
        <v>534</v>
      </c>
      <c r="C91" s="516">
        <v>-71</v>
      </c>
      <c r="D91" s="516">
        <v>-263</v>
      </c>
      <c r="E91" s="516">
        <v>-398</v>
      </c>
      <c r="F91" s="516">
        <v>-479</v>
      </c>
      <c r="G91" s="516">
        <v>-48</v>
      </c>
      <c r="H91" s="516">
        <v>-80</v>
      </c>
      <c r="I91" s="516">
        <v>-189</v>
      </c>
      <c r="J91" s="516">
        <v>-576</v>
      </c>
      <c r="K91" s="516">
        <v>-134</v>
      </c>
      <c r="L91" s="516">
        <v>-358</v>
      </c>
      <c r="M91" s="516"/>
      <c r="N91" s="516"/>
      <c r="O91" s="516"/>
      <c r="P91" s="516"/>
      <c r="Q91" s="516"/>
      <c r="R91" s="516"/>
      <c r="T91" s="516">
        <f t="shared" si="42"/>
        <v>-134</v>
      </c>
      <c r="U91" s="516">
        <f t="shared" si="43"/>
        <v>-224</v>
      </c>
    </row>
    <row r="92" spans="1:22" outlineLevel="1">
      <c r="A92" s="511" t="s">
        <v>535</v>
      </c>
      <c r="C92" s="516">
        <v>0</v>
      </c>
      <c r="D92" s="516">
        <v>0</v>
      </c>
      <c r="E92" s="516">
        <v>0</v>
      </c>
      <c r="F92" s="516">
        <v>0</v>
      </c>
      <c r="G92" s="516">
        <v>0</v>
      </c>
      <c r="H92" s="516">
        <v>0</v>
      </c>
      <c r="I92" s="516">
        <v>0</v>
      </c>
      <c r="J92" s="516">
        <v>0</v>
      </c>
      <c r="K92" s="516">
        <v>0</v>
      </c>
      <c r="L92" s="516">
        <v>0</v>
      </c>
      <c r="M92" s="516"/>
      <c r="N92" s="516"/>
      <c r="O92" s="516"/>
      <c r="P92" s="516"/>
      <c r="Q92" s="516"/>
      <c r="R92" s="516"/>
      <c r="T92" s="516">
        <f t="shared" si="42"/>
        <v>0</v>
      </c>
      <c r="U92" s="516">
        <f t="shared" si="43"/>
        <v>0</v>
      </c>
    </row>
    <row r="93" spans="1:22" outlineLevel="1">
      <c r="A93" s="511" t="s">
        <v>536</v>
      </c>
      <c r="C93" s="516">
        <v>0</v>
      </c>
      <c r="D93" s="516">
        <v>0</v>
      </c>
      <c r="E93" s="516">
        <v>0</v>
      </c>
      <c r="F93" s="516">
        <v>0</v>
      </c>
      <c r="G93" s="516">
        <v>0</v>
      </c>
      <c r="H93" s="516">
        <v>0</v>
      </c>
      <c r="I93" s="516">
        <v>0</v>
      </c>
      <c r="J93" s="516">
        <v>0</v>
      </c>
      <c r="K93" s="516">
        <v>0</v>
      </c>
      <c r="L93" s="516">
        <v>0</v>
      </c>
      <c r="M93" s="516"/>
      <c r="N93" s="516"/>
      <c r="O93" s="516"/>
      <c r="P93" s="516"/>
      <c r="Q93" s="516"/>
      <c r="R93" s="516"/>
      <c r="T93" s="516">
        <f t="shared" si="42"/>
        <v>0</v>
      </c>
      <c r="U93" s="516">
        <f t="shared" si="43"/>
        <v>0</v>
      </c>
    </row>
    <row r="94" spans="1:22" outlineLevel="1">
      <c r="A94" s="511" t="s">
        <v>537</v>
      </c>
      <c r="C94" s="516">
        <v>0</v>
      </c>
      <c r="D94" s="516">
        <v>0</v>
      </c>
      <c r="E94" s="516">
        <v>0</v>
      </c>
      <c r="F94" s="516">
        <v>0</v>
      </c>
      <c r="G94" s="516">
        <v>0</v>
      </c>
      <c r="H94" s="516">
        <v>0</v>
      </c>
      <c r="I94" s="516">
        <v>0</v>
      </c>
      <c r="J94" s="516">
        <v>0</v>
      </c>
      <c r="K94" s="516">
        <v>0</v>
      </c>
      <c r="L94" s="516">
        <v>0</v>
      </c>
      <c r="M94" s="516"/>
      <c r="N94" s="516"/>
      <c r="O94" s="516"/>
      <c r="P94" s="516"/>
      <c r="Q94" s="516"/>
      <c r="R94" s="516"/>
      <c r="T94" s="516">
        <f t="shared" si="42"/>
        <v>0</v>
      </c>
      <c r="U94" s="516">
        <f t="shared" si="43"/>
        <v>0</v>
      </c>
    </row>
    <row r="95" spans="1:22" outlineLevel="1">
      <c r="A95" s="511" t="s">
        <v>538</v>
      </c>
      <c r="C95" s="516">
        <v>0</v>
      </c>
      <c r="D95" s="516">
        <v>0</v>
      </c>
      <c r="E95" s="516">
        <v>0</v>
      </c>
      <c r="F95" s="516">
        <v>0</v>
      </c>
      <c r="G95" s="516">
        <v>0</v>
      </c>
      <c r="H95" s="516">
        <v>0</v>
      </c>
      <c r="I95" s="516">
        <v>0</v>
      </c>
      <c r="J95" s="516">
        <v>0</v>
      </c>
      <c r="K95" s="516">
        <v>0</v>
      </c>
      <c r="L95" s="516">
        <v>0</v>
      </c>
      <c r="M95" s="516"/>
      <c r="N95" s="516"/>
      <c r="O95" s="516"/>
      <c r="P95" s="516"/>
      <c r="Q95" s="516"/>
      <c r="R95" s="516"/>
      <c r="T95" s="516">
        <f t="shared" si="42"/>
        <v>0</v>
      </c>
      <c r="U95" s="516">
        <f t="shared" si="43"/>
        <v>0</v>
      </c>
    </row>
    <row r="96" spans="1:22" outlineLevel="1">
      <c r="A96" s="511" t="s">
        <v>539</v>
      </c>
      <c r="C96" s="516">
        <v>0</v>
      </c>
      <c r="D96" s="516">
        <v>0</v>
      </c>
      <c r="E96" s="516">
        <v>0</v>
      </c>
      <c r="F96" s="516">
        <v>0</v>
      </c>
      <c r="G96" s="516">
        <v>0</v>
      </c>
      <c r="H96" s="516">
        <v>0</v>
      </c>
      <c r="I96" s="516">
        <v>0</v>
      </c>
      <c r="J96" s="516">
        <v>0</v>
      </c>
      <c r="K96" s="516">
        <v>0</v>
      </c>
      <c r="L96" s="516">
        <v>0</v>
      </c>
      <c r="M96" s="516"/>
      <c r="N96" s="516"/>
      <c r="O96" s="516"/>
      <c r="P96" s="516"/>
      <c r="Q96" s="516"/>
      <c r="R96" s="516"/>
      <c r="T96" s="516">
        <f t="shared" si="42"/>
        <v>0</v>
      </c>
      <c r="U96" s="516">
        <f t="shared" si="43"/>
        <v>0</v>
      </c>
    </row>
    <row r="97" spans="1:21" outlineLevel="1">
      <c r="A97" s="511" t="s">
        <v>540</v>
      </c>
      <c r="C97" s="516">
        <v>0</v>
      </c>
      <c r="D97" s="516">
        <v>0</v>
      </c>
      <c r="E97" s="516">
        <v>0</v>
      </c>
      <c r="F97" s="516">
        <v>0</v>
      </c>
      <c r="G97" s="516">
        <v>0</v>
      </c>
      <c r="H97" s="516">
        <v>0</v>
      </c>
      <c r="I97" s="516">
        <v>0</v>
      </c>
      <c r="J97" s="516">
        <v>0</v>
      </c>
      <c r="K97" s="516">
        <v>0</v>
      </c>
      <c r="L97" s="516">
        <v>0</v>
      </c>
      <c r="M97" s="516"/>
      <c r="N97" s="516"/>
      <c r="O97" s="516"/>
      <c r="P97" s="516"/>
      <c r="Q97" s="516"/>
      <c r="R97" s="516"/>
      <c r="T97" s="516">
        <f t="shared" si="42"/>
        <v>0</v>
      </c>
      <c r="U97" s="516">
        <f t="shared" si="43"/>
        <v>0</v>
      </c>
    </row>
    <row r="98" spans="1:21">
      <c r="A98" s="510" t="s">
        <v>541</v>
      </c>
      <c r="C98" s="515">
        <f t="shared" ref="C98:H98" si="44">SUM(C99:C107)</f>
        <v>-17784</v>
      </c>
      <c r="D98" s="515">
        <f t="shared" si="44"/>
        <v>-51027</v>
      </c>
      <c r="E98" s="515">
        <f t="shared" si="44"/>
        <v>-103400</v>
      </c>
      <c r="F98" s="515">
        <f t="shared" si="44"/>
        <v>-143895</v>
      </c>
      <c r="G98" s="515">
        <f t="shared" si="44"/>
        <v>-43086</v>
      </c>
      <c r="H98" s="515">
        <f t="shared" si="44"/>
        <v>-84912</v>
      </c>
      <c r="I98" s="515">
        <f>SUM(I99:I107)</f>
        <v>-130333</v>
      </c>
      <c r="J98" s="515">
        <f>SUM(J99:J107)</f>
        <v>-179025</v>
      </c>
      <c r="K98" s="515">
        <f>SUM(K99:K107)</f>
        <v>-47259</v>
      </c>
      <c r="L98" s="515">
        <f>SUM(L99:L107)</f>
        <v>-88693</v>
      </c>
      <c r="M98" s="515"/>
      <c r="N98" s="515"/>
      <c r="O98" s="515"/>
      <c r="P98" s="515"/>
      <c r="Q98" s="515"/>
      <c r="R98" s="515"/>
      <c r="T98" s="515">
        <f>SUM(T99:T107)</f>
        <v>-47259</v>
      </c>
      <c r="U98" s="515">
        <f>SUM(U99:U107)</f>
        <v>-41434</v>
      </c>
    </row>
    <row r="99" spans="1:21" outlineLevel="1">
      <c r="A99" s="511" t="s">
        <v>542</v>
      </c>
      <c r="C99" s="516">
        <v>-17483</v>
      </c>
      <c r="D99" s="516">
        <v>-50901</v>
      </c>
      <c r="E99" s="516">
        <v>-103131</v>
      </c>
      <c r="F99" s="516">
        <v>-143215</v>
      </c>
      <c r="G99" s="516">
        <v>-42433</v>
      </c>
      <c r="H99" s="516">
        <v>-84994</v>
      </c>
      <c r="I99" s="516">
        <v>-130510</v>
      </c>
      <c r="J99" s="516">
        <v>-171749</v>
      </c>
      <c r="K99" s="516">
        <v>-29704</v>
      </c>
      <c r="L99" s="516">
        <v>-60121</v>
      </c>
      <c r="M99" s="516"/>
      <c r="N99" s="516"/>
      <c r="O99" s="516"/>
      <c r="P99" s="516"/>
      <c r="Q99" s="516"/>
      <c r="R99" s="516"/>
      <c r="T99" s="516">
        <f t="shared" ref="T99:T107" si="45">K99</f>
        <v>-29704</v>
      </c>
      <c r="U99" s="516">
        <f t="shared" ref="U99:U107" si="46">L99-T99</f>
        <v>-30417</v>
      </c>
    </row>
    <row r="100" spans="1:21" outlineLevel="1">
      <c r="A100" s="511" t="s">
        <v>543</v>
      </c>
      <c r="C100" s="516">
        <v>0</v>
      </c>
      <c r="D100" s="516">
        <v>0</v>
      </c>
      <c r="E100" s="516">
        <v>0</v>
      </c>
      <c r="F100" s="516">
        <v>0</v>
      </c>
      <c r="G100" s="516">
        <v>0</v>
      </c>
      <c r="H100" s="516">
        <v>0</v>
      </c>
      <c r="I100" s="516">
        <v>0</v>
      </c>
      <c r="J100" s="516">
        <v>0</v>
      </c>
      <c r="K100" s="516">
        <v>0</v>
      </c>
      <c r="L100" s="516">
        <v>0</v>
      </c>
      <c r="M100" s="516"/>
      <c r="N100" s="516"/>
      <c r="O100" s="516"/>
      <c r="P100" s="516"/>
      <c r="Q100" s="516"/>
      <c r="R100" s="516"/>
      <c r="T100" s="516">
        <f t="shared" si="45"/>
        <v>0</v>
      </c>
      <c r="U100" s="516">
        <f t="shared" si="46"/>
        <v>0</v>
      </c>
    </row>
    <row r="101" spans="1:21" outlineLevel="1">
      <c r="A101" s="511" t="s">
        <v>544</v>
      </c>
      <c r="C101" s="516">
        <v>0</v>
      </c>
      <c r="D101" s="516">
        <v>0</v>
      </c>
      <c r="E101" s="516">
        <v>0</v>
      </c>
      <c r="F101" s="516">
        <v>0</v>
      </c>
      <c r="G101" s="516">
        <v>0</v>
      </c>
      <c r="H101" s="516">
        <v>922</v>
      </c>
      <c r="I101" s="516">
        <v>1121</v>
      </c>
      <c r="J101" s="516">
        <v>-3959</v>
      </c>
      <c r="K101" s="516">
        <v>-16152</v>
      </c>
      <c r="L101" s="516">
        <v>-26163</v>
      </c>
      <c r="M101" s="516"/>
      <c r="N101" s="516"/>
      <c r="O101" s="516"/>
      <c r="P101" s="516"/>
      <c r="Q101" s="516"/>
      <c r="R101" s="516"/>
      <c r="T101" s="516">
        <f t="shared" si="45"/>
        <v>-16152</v>
      </c>
      <c r="U101" s="516">
        <f t="shared" si="46"/>
        <v>-10011</v>
      </c>
    </row>
    <row r="102" spans="1:21" outlineLevel="1">
      <c r="A102" s="511" t="s">
        <v>545</v>
      </c>
      <c r="C102" s="516">
        <v>0</v>
      </c>
      <c r="D102" s="516">
        <v>0</v>
      </c>
      <c r="E102" s="516">
        <v>0</v>
      </c>
      <c r="F102" s="516">
        <v>0</v>
      </c>
      <c r="G102" s="516">
        <v>0</v>
      </c>
      <c r="H102" s="516">
        <v>0</v>
      </c>
      <c r="I102" s="516">
        <v>0</v>
      </c>
      <c r="J102" s="516">
        <v>0</v>
      </c>
      <c r="K102" s="516">
        <v>0</v>
      </c>
      <c r="L102" s="516">
        <v>0</v>
      </c>
      <c r="M102" s="516"/>
      <c r="N102" s="516"/>
      <c r="O102" s="516"/>
      <c r="P102" s="516"/>
      <c r="Q102" s="516"/>
      <c r="R102" s="516"/>
      <c r="T102" s="516">
        <f t="shared" si="45"/>
        <v>0</v>
      </c>
      <c r="U102" s="516">
        <f t="shared" si="46"/>
        <v>0</v>
      </c>
    </row>
    <row r="103" spans="1:21" outlineLevel="1">
      <c r="A103" s="511" t="s">
        <v>546</v>
      </c>
      <c r="C103" s="516">
        <v>0</v>
      </c>
      <c r="D103" s="516">
        <v>0</v>
      </c>
      <c r="E103" s="516">
        <v>0</v>
      </c>
      <c r="F103" s="516">
        <v>0</v>
      </c>
      <c r="G103" s="516">
        <v>0</v>
      </c>
      <c r="H103" s="516">
        <v>0</v>
      </c>
      <c r="I103" s="516">
        <v>0</v>
      </c>
      <c r="J103" s="516">
        <v>0</v>
      </c>
      <c r="K103" s="516">
        <v>0</v>
      </c>
      <c r="L103" s="516">
        <v>0</v>
      </c>
      <c r="M103" s="516"/>
      <c r="N103" s="516"/>
      <c r="O103" s="516"/>
      <c r="P103" s="516"/>
      <c r="Q103" s="516"/>
      <c r="R103" s="516"/>
      <c r="T103" s="516">
        <f t="shared" si="45"/>
        <v>0</v>
      </c>
      <c r="U103" s="516">
        <f t="shared" si="46"/>
        <v>0</v>
      </c>
    </row>
    <row r="104" spans="1:21" outlineLevel="1">
      <c r="A104" s="511" t="s">
        <v>547</v>
      </c>
      <c r="C104" s="516">
        <v>0</v>
      </c>
      <c r="D104" s="516">
        <v>-20</v>
      </c>
      <c r="E104" s="516">
        <v>-24</v>
      </c>
      <c r="F104" s="516">
        <v>-31</v>
      </c>
      <c r="G104" s="516">
        <v>-3</v>
      </c>
      <c r="H104" s="516">
        <v>-6</v>
      </c>
      <c r="I104" s="516">
        <v>-7</v>
      </c>
      <c r="J104" s="516">
        <v>-8</v>
      </c>
      <c r="K104" s="516">
        <v>-1</v>
      </c>
      <c r="L104" s="516">
        <v>-4</v>
      </c>
      <c r="M104" s="516"/>
      <c r="N104" s="516"/>
      <c r="O104" s="516"/>
      <c r="P104" s="516"/>
      <c r="Q104" s="516"/>
      <c r="R104" s="516"/>
      <c r="T104" s="516">
        <f t="shared" si="45"/>
        <v>-1</v>
      </c>
      <c r="U104" s="516">
        <f t="shared" si="46"/>
        <v>-3</v>
      </c>
    </row>
    <row r="105" spans="1:21" outlineLevel="1">
      <c r="A105" s="511" t="s">
        <v>548</v>
      </c>
      <c r="C105" s="516">
        <v>0</v>
      </c>
      <c r="D105" s="516">
        <v>0</v>
      </c>
      <c r="E105" s="516">
        <v>0</v>
      </c>
      <c r="F105" s="516">
        <v>0</v>
      </c>
      <c r="G105" s="516">
        <v>0</v>
      </c>
      <c r="H105" s="516">
        <v>0</v>
      </c>
      <c r="I105" s="516">
        <v>0</v>
      </c>
      <c r="J105" s="516">
        <v>0</v>
      </c>
      <c r="K105" s="516">
        <v>0</v>
      </c>
      <c r="L105" s="516">
        <v>0</v>
      </c>
      <c r="M105" s="516"/>
      <c r="N105" s="516"/>
      <c r="O105" s="516"/>
      <c r="P105" s="516"/>
      <c r="Q105" s="516"/>
      <c r="R105" s="516"/>
      <c r="T105" s="516">
        <f t="shared" si="45"/>
        <v>0</v>
      </c>
      <c r="U105" s="516">
        <f t="shared" si="46"/>
        <v>0</v>
      </c>
    </row>
    <row r="106" spans="1:21" outlineLevel="1">
      <c r="A106" s="511" t="s">
        <v>549</v>
      </c>
      <c r="C106" s="516">
        <v>0</v>
      </c>
      <c r="D106" s="516">
        <v>0</v>
      </c>
      <c r="E106" s="516">
        <v>0</v>
      </c>
      <c r="F106" s="516">
        <v>0</v>
      </c>
      <c r="G106" s="516">
        <v>0</v>
      </c>
      <c r="H106" s="516">
        <v>0</v>
      </c>
      <c r="I106" s="516">
        <v>0</v>
      </c>
      <c r="J106" s="516">
        <v>0</v>
      </c>
      <c r="K106" s="516">
        <v>0</v>
      </c>
      <c r="L106" s="516">
        <v>0</v>
      </c>
      <c r="M106" s="516"/>
      <c r="N106" s="516"/>
      <c r="O106" s="516"/>
      <c r="P106" s="516"/>
      <c r="Q106" s="516"/>
      <c r="R106" s="516"/>
      <c r="T106" s="516">
        <f t="shared" si="45"/>
        <v>0</v>
      </c>
      <c r="U106" s="516">
        <f t="shared" si="46"/>
        <v>0</v>
      </c>
    </row>
    <row r="107" spans="1:21" outlineLevel="1">
      <c r="A107" s="511" t="s">
        <v>550</v>
      </c>
      <c r="C107" s="516">
        <v>-301</v>
      </c>
      <c r="D107" s="516">
        <v>-106</v>
      </c>
      <c r="E107" s="516">
        <v>-245</v>
      </c>
      <c r="F107" s="516">
        <v>-649</v>
      </c>
      <c r="G107" s="516">
        <v>-650</v>
      </c>
      <c r="H107" s="516">
        <v>-834</v>
      </c>
      <c r="I107" s="516">
        <v>-937</v>
      </c>
      <c r="J107" s="516">
        <v>-3309</v>
      </c>
      <c r="K107" s="516">
        <v>-1402</v>
      </c>
      <c r="L107" s="516">
        <v>-2405</v>
      </c>
      <c r="M107" s="516"/>
      <c r="N107" s="516"/>
      <c r="O107" s="516"/>
      <c r="P107" s="516"/>
      <c r="Q107" s="516"/>
      <c r="R107" s="516"/>
      <c r="T107" s="516">
        <f t="shared" si="45"/>
        <v>-1402</v>
      </c>
      <c r="U107" s="516">
        <f t="shared" si="46"/>
        <v>-1003</v>
      </c>
    </row>
    <row r="108" spans="1:21">
      <c r="A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T108" s="510"/>
      <c r="U108" s="510"/>
    </row>
    <row r="109" spans="1:21">
      <c r="A109" s="522" t="s">
        <v>551</v>
      </c>
      <c r="C109" s="513">
        <f t="shared" ref="C109:H109" si="47">C85+C87</f>
        <v>-19491</v>
      </c>
      <c r="D109" s="513">
        <f t="shared" si="47"/>
        <v>-50486</v>
      </c>
      <c r="E109" s="513">
        <f t="shared" si="47"/>
        <v>-108534</v>
      </c>
      <c r="F109" s="513">
        <f t="shared" si="47"/>
        <v>-146155</v>
      </c>
      <c r="G109" s="513">
        <f t="shared" si="47"/>
        <v>-47456</v>
      </c>
      <c r="H109" s="513">
        <f t="shared" si="47"/>
        <v>-104402</v>
      </c>
      <c r="I109" s="513">
        <f>I85+I87</f>
        <v>-171121</v>
      </c>
      <c r="J109" s="513">
        <f>J85+J87</f>
        <v>-234079</v>
      </c>
      <c r="K109" s="513">
        <f>K85+K87</f>
        <v>-56929</v>
      </c>
      <c r="L109" s="513">
        <f>L85+L87</f>
        <v>-106011</v>
      </c>
      <c r="M109" s="513"/>
      <c r="N109" s="513"/>
      <c r="O109" s="513"/>
      <c r="P109" s="513"/>
      <c r="Q109" s="513"/>
      <c r="R109" s="513"/>
      <c r="T109" s="513">
        <f>T85+T87</f>
        <v>-56929</v>
      </c>
      <c r="U109" s="513">
        <f>U85+U87</f>
        <v>-49082</v>
      </c>
    </row>
    <row r="110" spans="1:21">
      <c r="A110" s="510"/>
      <c r="C110" s="510"/>
      <c r="D110" s="510"/>
      <c r="E110" s="510"/>
      <c r="F110" s="510"/>
      <c r="G110" s="510"/>
      <c r="H110" s="510"/>
      <c r="I110" s="510"/>
      <c r="J110" s="510"/>
      <c r="K110" s="510"/>
      <c r="L110" s="510"/>
      <c r="M110" s="510"/>
      <c r="N110" s="510"/>
      <c r="O110" s="510"/>
      <c r="P110" s="510"/>
      <c r="Q110" s="510"/>
      <c r="R110" s="510"/>
      <c r="T110" s="510"/>
      <c r="U110" s="510"/>
    </row>
    <row r="111" spans="1:21">
      <c r="A111" s="509" t="s">
        <v>552</v>
      </c>
      <c r="C111" s="517">
        <f t="shared" ref="C111:H111" si="48">SUM(C113:C116)</f>
        <v>0</v>
      </c>
      <c r="D111" s="517">
        <f t="shared" si="48"/>
        <v>0</v>
      </c>
      <c r="E111" s="517">
        <f t="shared" si="48"/>
        <v>0</v>
      </c>
      <c r="F111" s="517">
        <f t="shared" si="48"/>
        <v>0</v>
      </c>
      <c r="G111" s="517">
        <f t="shared" si="48"/>
        <v>0</v>
      </c>
      <c r="H111" s="517">
        <f t="shared" si="48"/>
        <v>0</v>
      </c>
      <c r="I111" s="517">
        <f>SUM(I113:I116)</f>
        <v>0</v>
      </c>
      <c r="J111" s="517">
        <f>SUM(J113:J116)</f>
        <v>0</v>
      </c>
      <c r="K111" s="517">
        <f>SUM(K113:K116)</f>
        <v>0</v>
      </c>
      <c r="L111" s="517">
        <f>SUM(L113:L116)</f>
        <v>0</v>
      </c>
      <c r="M111" s="517"/>
      <c r="N111" s="517"/>
      <c r="O111" s="517"/>
      <c r="P111" s="517"/>
      <c r="Q111" s="517"/>
      <c r="R111" s="517"/>
      <c r="T111" s="517">
        <f>SUM(T113:T116)</f>
        <v>0</v>
      </c>
      <c r="U111" s="517">
        <f>SUM(U113:U116)</f>
        <v>0</v>
      </c>
    </row>
    <row r="112" spans="1:21">
      <c r="A112" s="510"/>
      <c r="C112" s="510"/>
      <c r="D112" s="510"/>
      <c r="E112" s="510"/>
      <c r="F112" s="510"/>
      <c r="G112" s="510"/>
      <c r="H112" s="510"/>
      <c r="I112" s="510"/>
      <c r="J112" s="510"/>
      <c r="K112" s="510"/>
      <c r="L112" s="510"/>
      <c r="M112" s="510"/>
      <c r="N112" s="510"/>
      <c r="O112" s="510"/>
      <c r="P112" s="510"/>
      <c r="Q112" s="510"/>
      <c r="R112" s="510"/>
      <c r="T112" s="510"/>
      <c r="U112" s="510"/>
    </row>
    <row r="113" spans="1:22">
      <c r="A113" s="510" t="s">
        <v>553</v>
      </c>
      <c r="C113" s="518">
        <v>0</v>
      </c>
      <c r="D113" s="518">
        <v>0</v>
      </c>
      <c r="E113" s="518">
        <v>0</v>
      </c>
      <c r="F113" s="518">
        <v>0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/>
      <c r="N113" s="518"/>
      <c r="O113" s="518"/>
      <c r="P113" s="518"/>
      <c r="Q113" s="518"/>
      <c r="R113" s="518"/>
      <c r="T113" s="518">
        <f t="shared" ref="T113:T116" si="49">K113</f>
        <v>0</v>
      </c>
      <c r="U113" s="518">
        <f t="shared" ref="U113:U116" si="50">L113-T113</f>
        <v>0</v>
      </c>
    </row>
    <row r="114" spans="1:22">
      <c r="A114" s="510" t="s">
        <v>554</v>
      </c>
      <c r="C114" s="518">
        <v>0</v>
      </c>
      <c r="D114" s="518">
        <v>0</v>
      </c>
      <c r="E114" s="518">
        <v>0</v>
      </c>
      <c r="F114" s="518">
        <v>0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/>
      <c r="N114" s="518"/>
      <c r="O114" s="518"/>
      <c r="P114" s="518"/>
      <c r="Q114" s="518"/>
      <c r="R114" s="518"/>
      <c r="T114" s="518">
        <f t="shared" si="49"/>
        <v>0</v>
      </c>
      <c r="U114" s="518">
        <f t="shared" si="50"/>
        <v>0</v>
      </c>
    </row>
    <row r="115" spans="1:22">
      <c r="A115" s="510" t="s">
        <v>555</v>
      </c>
      <c r="C115" s="518">
        <v>0</v>
      </c>
      <c r="D115" s="518">
        <v>0</v>
      </c>
      <c r="E115" s="518">
        <v>0</v>
      </c>
      <c r="F115" s="518">
        <v>0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/>
      <c r="N115" s="518"/>
      <c r="O115" s="518"/>
      <c r="P115" s="518"/>
      <c r="Q115" s="518"/>
      <c r="R115" s="518"/>
      <c r="T115" s="518">
        <f t="shared" si="49"/>
        <v>0</v>
      </c>
      <c r="U115" s="518">
        <f t="shared" si="50"/>
        <v>0</v>
      </c>
    </row>
    <row r="116" spans="1:22">
      <c r="A116" s="510" t="s">
        <v>556</v>
      </c>
      <c r="C116" s="518">
        <v>0</v>
      </c>
      <c r="D116" s="518">
        <v>0</v>
      </c>
      <c r="E116" s="518">
        <v>0</v>
      </c>
      <c r="F116" s="518">
        <v>0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/>
      <c r="N116" s="518"/>
      <c r="O116" s="518"/>
      <c r="P116" s="518"/>
      <c r="Q116" s="518"/>
      <c r="R116" s="518"/>
      <c r="T116" s="518">
        <f t="shared" si="49"/>
        <v>0</v>
      </c>
      <c r="U116" s="518">
        <f t="shared" si="50"/>
        <v>0</v>
      </c>
    </row>
    <row r="117" spans="1:22">
      <c r="A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  <c r="T117" s="510"/>
      <c r="U117" s="510"/>
    </row>
    <row r="118" spans="1:22" ht="15" thickBot="1">
      <c r="A118" s="523" t="s">
        <v>557</v>
      </c>
      <c r="C118" s="519">
        <f t="shared" ref="C118:H118" si="51">C109+C111</f>
        <v>-19491</v>
      </c>
      <c r="D118" s="519">
        <f t="shared" si="51"/>
        <v>-50486</v>
      </c>
      <c r="E118" s="519">
        <f t="shared" si="51"/>
        <v>-108534</v>
      </c>
      <c r="F118" s="519">
        <f t="shared" si="51"/>
        <v>-146155</v>
      </c>
      <c r="G118" s="519">
        <f t="shared" si="51"/>
        <v>-47456</v>
      </c>
      <c r="H118" s="519">
        <f t="shared" si="51"/>
        <v>-104402</v>
      </c>
      <c r="I118" s="519">
        <f>I109+I111</f>
        <v>-171121</v>
      </c>
      <c r="J118" s="519">
        <f>J109+J111</f>
        <v>-234079</v>
      </c>
      <c r="K118" s="519">
        <f>K109+K111</f>
        <v>-56929</v>
      </c>
      <c r="L118" s="519">
        <f>L109+L111</f>
        <v>-106011</v>
      </c>
      <c r="M118" s="519"/>
      <c r="N118" s="519"/>
      <c r="O118" s="519"/>
      <c r="P118" s="519"/>
      <c r="Q118" s="519"/>
      <c r="R118" s="519"/>
      <c r="T118" s="519">
        <f>T109+T111</f>
        <v>-56929</v>
      </c>
      <c r="U118" s="519">
        <f>U109+U111</f>
        <v>-49082</v>
      </c>
    </row>
    <row r="119" spans="1:22" ht="15" thickTop="1">
      <c r="A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  <c r="T119" s="510"/>
      <c r="U119" s="510"/>
    </row>
    <row r="120" spans="1:22">
      <c r="A120" s="509" t="s">
        <v>558</v>
      </c>
      <c r="C120" s="518"/>
      <c r="D120" s="518"/>
      <c r="E120" s="518"/>
      <c r="F120" s="518"/>
      <c r="G120" s="518"/>
      <c r="H120" s="518"/>
      <c r="I120" s="518"/>
      <c r="J120" s="518"/>
      <c r="K120" s="518"/>
      <c r="L120" s="518"/>
      <c r="M120" s="518"/>
      <c r="N120" s="518"/>
      <c r="O120" s="518"/>
      <c r="P120" s="518"/>
      <c r="Q120" s="518"/>
      <c r="R120" s="518"/>
      <c r="T120" s="518"/>
      <c r="U120" s="518"/>
    </row>
    <row r="121" spans="1:22">
      <c r="A121" s="510" t="s">
        <v>559</v>
      </c>
      <c r="C121" s="518">
        <f t="shared" ref="C121:H121" si="52">C118-C122</f>
        <v>-15592.8</v>
      </c>
      <c r="D121" s="518">
        <f t="shared" si="52"/>
        <v>-40388.800000000003</v>
      </c>
      <c r="E121" s="518">
        <f t="shared" si="52"/>
        <v>-86827.199999999997</v>
      </c>
      <c r="F121" s="518">
        <f t="shared" si="52"/>
        <v>-116924</v>
      </c>
      <c r="G121" s="518">
        <f t="shared" si="52"/>
        <v>-37964.800000000003</v>
      </c>
      <c r="H121" s="518">
        <f t="shared" si="52"/>
        <v>-83521.600000000006</v>
      </c>
      <c r="I121" s="518">
        <f>I118-I122</f>
        <v>-136896.79999999999</v>
      </c>
      <c r="J121" s="518">
        <f>J118-J122</f>
        <v>-187263.2</v>
      </c>
      <c r="K121" s="518">
        <v>-45544</v>
      </c>
      <c r="L121" s="518">
        <v>-84809</v>
      </c>
      <c r="M121" s="518"/>
      <c r="N121" s="518"/>
      <c r="O121" s="518"/>
      <c r="P121" s="518"/>
      <c r="Q121" s="518"/>
      <c r="R121" s="518"/>
      <c r="T121" s="518">
        <f t="shared" ref="T121:T122" si="53">K121</f>
        <v>-45544</v>
      </c>
      <c r="U121" s="518">
        <f t="shared" ref="U121:U122" si="54">L121-T121</f>
        <v>-39265</v>
      </c>
    </row>
    <row r="122" spans="1:22">
      <c r="A122" s="510" t="s">
        <v>560</v>
      </c>
      <c r="C122" s="518">
        <f t="shared" ref="C122:H122" si="55">C118*C127</f>
        <v>-3898.2000000000003</v>
      </c>
      <c r="D122" s="518">
        <f t="shared" si="55"/>
        <v>-10097.200000000001</v>
      </c>
      <c r="E122" s="518">
        <f t="shared" si="55"/>
        <v>-21706.800000000003</v>
      </c>
      <c r="F122" s="518">
        <f t="shared" si="55"/>
        <v>-29231</v>
      </c>
      <c r="G122" s="518">
        <f t="shared" si="55"/>
        <v>-9491.2000000000007</v>
      </c>
      <c r="H122" s="518">
        <f t="shared" si="55"/>
        <v>-20880.400000000001</v>
      </c>
      <c r="I122" s="518">
        <f>I118*I127</f>
        <v>-34224.200000000004</v>
      </c>
      <c r="J122" s="518">
        <f>J118*J127</f>
        <v>-46815.8</v>
      </c>
      <c r="K122" s="518">
        <v>-11385</v>
      </c>
      <c r="L122" s="518">
        <v>-21202</v>
      </c>
      <c r="M122" s="518"/>
      <c r="N122" s="518"/>
      <c r="O122" s="518"/>
      <c r="P122" s="518"/>
      <c r="Q122" s="518"/>
      <c r="R122" s="518"/>
      <c r="T122" s="518">
        <f t="shared" si="53"/>
        <v>-11385</v>
      </c>
      <c r="U122" s="518">
        <f t="shared" si="54"/>
        <v>-9817</v>
      </c>
    </row>
    <row r="123" spans="1:22">
      <c r="A123" s="510"/>
      <c r="C123" s="510"/>
      <c r="D123" s="510"/>
      <c r="E123" s="510"/>
      <c r="F123" s="510"/>
      <c r="G123" s="510"/>
      <c r="H123" s="510"/>
      <c r="I123" s="510"/>
      <c r="J123" s="510"/>
      <c r="K123" s="510"/>
      <c r="L123" s="510"/>
      <c r="M123" s="510"/>
      <c r="N123" s="510"/>
      <c r="O123" s="510"/>
      <c r="P123" s="510"/>
      <c r="Q123" s="510"/>
      <c r="R123" s="510"/>
      <c r="T123" s="510"/>
      <c r="U123" s="510"/>
    </row>
    <row r="124" spans="1:22" ht="15" thickBot="1">
      <c r="A124" s="523" t="s">
        <v>557</v>
      </c>
      <c r="C124" s="519">
        <f t="shared" ref="C124:H124" si="56">SUM(C121:C122)</f>
        <v>-19491</v>
      </c>
      <c r="D124" s="519">
        <f t="shared" si="56"/>
        <v>-50486</v>
      </c>
      <c r="E124" s="519">
        <f t="shared" si="56"/>
        <v>-108534</v>
      </c>
      <c r="F124" s="519">
        <f t="shared" si="56"/>
        <v>-146155</v>
      </c>
      <c r="G124" s="519">
        <f t="shared" si="56"/>
        <v>-47456</v>
      </c>
      <c r="H124" s="519">
        <f t="shared" si="56"/>
        <v>-104402</v>
      </c>
      <c r="I124" s="519">
        <f>SUM(I121:I122)</f>
        <v>-171121</v>
      </c>
      <c r="J124" s="519">
        <f>SUM(J121:J122)</f>
        <v>-234079</v>
      </c>
      <c r="K124" s="519">
        <f>SUM(K121:K122)</f>
        <v>-56929</v>
      </c>
      <c r="L124" s="519">
        <f>SUM(L121:L122)</f>
        <v>-106011</v>
      </c>
      <c r="M124" s="519"/>
      <c r="N124" s="519"/>
      <c r="O124" s="519"/>
      <c r="P124" s="519"/>
      <c r="Q124" s="519"/>
      <c r="R124" s="519"/>
      <c r="T124" s="519">
        <f>SUM(T121:T122)</f>
        <v>-56929</v>
      </c>
      <c r="U124" s="519">
        <f>SUM(U121:U122)</f>
        <v>-49082</v>
      </c>
      <c r="V124" s="124"/>
    </row>
    <row r="125" spans="1:22" ht="15" thickTop="1"/>
    <row r="126" spans="1:22" s="525" customFormat="1" ht="10.5">
      <c r="A126" s="524" t="s">
        <v>561</v>
      </c>
      <c r="C126" s="526">
        <v>0.8</v>
      </c>
      <c r="D126" s="526">
        <v>0.8</v>
      </c>
      <c r="E126" s="526">
        <v>0.8</v>
      </c>
      <c r="F126" s="526">
        <v>0.8</v>
      </c>
      <c r="G126" s="526">
        <v>0.8</v>
      </c>
      <c r="H126" s="526">
        <v>0.8</v>
      </c>
      <c r="I126" s="526">
        <v>0.8</v>
      </c>
      <c r="J126" s="526">
        <v>0.8</v>
      </c>
      <c r="K126" s="526">
        <v>0.8</v>
      </c>
      <c r="L126" s="526">
        <v>0.8</v>
      </c>
      <c r="T126" s="526">
        <f t="shared" ref="T126:T127" si="57">K126</f>
        <v>0.8</v>
      </c>
      <c r="U126" s="526">
        <v>0.8</v>
      </c>
    </row>
    <row r="127" spans="1:22" s="525" customFormat="1" ht="10.5">
      <c r="A127" s="524" t="s">
        <v>562</v>
      </c>
      <c r="C127" s="526">
        <v>0.2</v>
      </c>
      <c r="D127" s="526">
        <v>0.2</v>
      </c>
      <c r="E127" s="526">
        <v>0.2</v>
      </c>
      <c r="F127" s="526">
        <v>0.2</v>
      </c>
      <c r="G127" s="526">
        <v>0.2</v>
      </c>
      <c r="H127" s="526">
        <v>0.2</v>
      </c>
      <c r="I127" s="526">
        <v>0.2</v>
      </c>
      <c r="J127" s="526">
        <v>0.2</v>
      </c>
      <c r="K127" s="526">
        <v>0.2</v>
      </c>
      <c r="L127" s="526">
        <v>0.2</v>
      </c>
      <c r="T127" s="526">
        <f t="shared" si="57"/>
        <v>0.2</v>
      </c>
      <c r="U127" s="526">
        <v>0.2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0.79998168889431442"/>
  </sheetPr>
  <dimension ref="A4:U127"/>
  <sheetViews>
    <sheetView showGridLines="0" zoomScale="85" zoomScaleNormal="85" workbookViewId="0">
      <pane xSplit="1" ySplit="4" topLeftCell="B5" activePane="bottomRight" state="frozen"/>
      <selection pane="topRight"/>
      <selection pane="bottomLeft"/>
      <selection pane="bottomRight" activeCell="L81" sqref="L81"/>
    </sheetView>
  </sheetViews>
  <sheetFormatPr defaultRowHeight="14.5" outlineLevelRow="1"/>
  <cols>
    <col min="1" max="1" width="65.7265625" bestFit="1" customWidth="1"/>
    <col min="2" max="2" width="1.54296875" customWidth="1"/>
    <col min="3" max="12" width="15.1796875" customWidth="1"/>
    <col min="13" max="18" width="15.1796875" hidden="1" customWidth="1"/>
    <col min="19" max="19" width="1.54296875" customWidth="1"/>
    <col min="20" max="20" width="15.1796875" hidden="1" customWidth="1"/>
    <col min="21" max="21" width="15.1796875" customWidth="1"/>
  </cols>
  <sheetData>
    <row r="4" spans="1:21">
      <c r="A4" s="521" t="s">
        <v>579</v>
      </c>
      <c r="C4" s="520" t="s">
        <v>453</v>
      </c>
      <c r="D4" s="520" t="s">
        <v>454</v>
      </c>
      <c r="E4" s="520" t="s">
        <v>455</v>
      </c>
      <c r="F4" s="520">
        <v>2022</v>
      </c>
      <c r="G4" s="520" t="s">
        <v>456</v>
      </c>
      <c r="H4" s="520" t="s">
        <v>457</v>
      </c>
      <c r="I4" s="520" t="s">
        <v>458</v>
      </c>
      <c r="J4" s="520">
        <v>2023</v>
      </c>
      <c r="K4" s="520" t="s">
        <v>459</v>
      </c>
      <c r="L4" s="520" t="s">
        <v>460</v>
      </c>
      <c r="M4" s="520" t="s">
        <v>461</v>
      </c>
      <c r="N4" s="520">
        <v>2024</v>
      </c>
      <c r="O4" s="520" t="s">
        <v>462</v>
      </c>
      <c r="P4" s="520" t="s">
        <v>463</v>
      </c>
      <c r="Q4" s="520" t="s">
        <v>464</v>
      </c>
      <c r="R4" s="520">
        <v>2025</v>
      </c>
      <c r="T4" s="520" t="s">
        <v>53</v>
      </c>
      <c r="U4" s="520" t="s">
        <v>54</v>
      </c>
    </row>
    <row r="5" spans="1:21" ht="6.65" customHeight="1"/>
    <row r="6" spans="1:21">
      <c r="A6" s="522" t="s">
        <v>465</v>
      </c>
      <c r="C6" s="513">
        <f t="shared" ref="C6:H6" si="0">SUM(C8,C11:C17)</f>
        <v>77170</v>
      </c>
      <c r="D6" s="513">
        <f t="shared" si="0"/>
        <v>184571</v>
      </c>
      <c r="E6" s="513">
        <f t="shared" si="0"/>
        <v>307314</v>
      </c>
      <c r="F6" s="513">
        <f t="shared" si="0"/>
        <v>435255</v>
      </c>
      <c r="G6" s="513">
        <f t="shared" si="0"/>
        <v>212054</v>
      </c>
      <c r="H6" s="513">
        <f t="shared" si="0"/>
        <v>361239</v>
      </c>
      <c r="I6" s="513">
        <f t="shared" ref="I6:N6" si="1">SUM(I8,I11:I17)</f>
        <v>538827</v>
      </c>
      <c r="J6" s="513">
        <f t="shared" si="1"/>
        <v>490228</v>
      </c>
      <c r="K6" s="513">
        <f t="shared" si="1"/>
        <v>186247</v>
      </c>
      <c r="L6" s="513">
        <f t="shared" si="1"/>
        <v>369537</v>
      </c>
      <c r="M6" s="513">
        <f t="shared" si="1"/>
        <v>0</v>
      </c>
      <c r="N6" s="513">
        <f t="shared" si="1"/>
        <v>0</v>
      </c>
      <c r="O6" s="513">
        <f>SUM(O8,O11:O17)</f>
        <v>0</v>
      </c>
      <c r="P6" s="513"/>
      <c r="Q6" s="513"/>
      <c r="R6" s="513"/>
      <c r="T6" s="513">
        <f t="shared" ref="T6:U6" si="2">SUM(T8,T11:T17)</f>
        <v>186247</v>
      </c>
      <c r="U6" s="513">
        <f t="shared" si="2"/>
        <v>183290</v>
      </c>
    </row>
    <row r="7" spans="1:21">
      <c r="A7" s="509"/>
      <c r="C7" s="514"/>
      <c r="D7" s="514"/>
      <c r="E7" s="514"/>
      <c r="F7" s="514"/>
      <c r="G7" s="514"/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514"/>
      <c r="T7" s="514"/>
      <c r="U7" s="514"/>
    </row>
    <row r="8" spans="1:21">
      <c r="A8" s="510" t="s">
        <v>466</v>
      </c>
      <c r="C8" s="515">
        <f t="shared" ref="C8:H8" si="3">SUM(C9:C10)</f>
        <v>38604</v>
      </c>
      <c r="D8" s="515">
        <f t="shared" si="3"/>
        <v>101441</v>
      </c>
      <c r="E8" s="515">
        <f t="shared" si="3"/>
        <v>195169</v>
      </c>
      <c r="F8" s="515">
        <f t="shared" si="3"/>
        <v>302368</v>
      </c>
      <c r="G8" s="515">
        <f t="shared" si="3"/>
        <v>69646</v>
      </c>
      <c r="H8" s="515">
        <f t="shared" si="3"/>
        <v>133179</v>
      </c>
      <c r="I8" s="515">
        <f>SUM(I9:I10)</f>
        <v>200340</v>
      </c>
      <c r="J8" s="515">
        <f>SUM(J9:J10)</f>
        <v>271698</v>
      </c>
      <c r="K8" s="515">
        <f>SUM(K9:K10)</f>
        <v>78294</v>
      </c>
      <c r="L8" s="515">
        <f>SUM(L9:L10)</f>
        <v>168565</v>
      </c>
      <c r="M8" s="515"/>
      <c r="N8" s="515"/>
      <c r="O8" s="515"/>
      <c r="P8" s="515"/>
      <c r="Q8" s="515"/>
      <c r="R8" s="515"/>
      <c r="T8" s="515">
        <f>SUM(T9:T10)</f>
        <v>78294</v>
      </c>
      <c r="U8" s="515">
        <f>SUM(U9:U10)</f>
        <v>90271</v>
      </c>
    </row>
    <row r="9" spans="1:21" outlineLevel="1">
      <c r="A9" s="511" t="s">
        <v>466</v>
      </c>
      <c r="C9" s="516">
        <v>38604</v>
      </c>
      <c r="D9" s="516">
        <v>101441</v>
      </c>
      <c r="E9" s="516">
        <v>195169</v>
      </c>
      <c r="F9" s="516">
        <v>302368</v>
      </c>
      <c r="G9" s="516">
        <v>69646</v>
      </c>
      <c r="H9" s="516">
        <v>133179</v>
      </c>
      <c r="I9" s="516">
        <v>200340</v>
      </c>
      <c r="J9" s="516">
        <v>271698</v>
      </c>
      <c r="K9" s="516">
        <v>78294</v>
      </c>
      <c r="L9" s="516">
        <v>168565</v>
      </c>
      <c r="M9" s="516"/>
      <c r="N9" s="516"/>
      <c r="O9" s="516"/>
      <c r="P9" s="516"/>
      <c r="Q9" s="516"/>
      <c r="R9" s="516"/>
      <c r="T9" s="516">
        <f>K9</f>
        <v>78294</v>
      </c>
      <c r="U9" s="516">
        <f>L9-T9</f>
        <v>90271</v>
      </c>
    </row>
    <row r="10" spans="1:21" outlineLevel="1">
      <c r="A10" s="511" t="s">
        <v>467</v>
      </c>
      <c r="C10" s="516">
        <v>0</v>
      </c>
      <c r="D10" s="516">
        <v>0</v>
      </c>
      <c r="E10" s="516">
        <v>0</v>
      </c>
      <c r="F10" s="516">
        <v>0</v>
      </c>
      <c r="G10" s="516">
        <v>0</v>
      </c>
      <c r="H10" s="516">
        <v>0</v>
      </c>
      <c r="I10" s="516">
        <v>0</v>
      </c>
      <c r="J10" s="516">
        <v>0</v>
      </c>
      <c r="K10" s="516">
        <v>0</v>
      </c>
      <c r="L10" s="516">
        <v>0</v>
      </c>
      <c r="M10" s="516"/>
      <c r="N10" s="516"/>
      <c r="O10" s="516"/>
      <c r="P10" s="516"/>
      <c r="Q10" s="516"/>
      <c r="R10" s="516"/>
      <c r="T10" s="516">
        <f t="shared" ref="T10:T25" si="4">K10</f>
        <v>0</v>
      </c>
      <c r="U10" s="516">
        <f t="shared" ref="U10:U16" si="5">L10-T10</f>
        <v>0</v>
      </c>
    </row>
    <row r="11" spans="1:21">
      <c r="A11" s="510" t="s">
        <v>468</v>
      </c>
      <c r="C11" s="515">
        <v>0</v>
      </c>
      <c r="D11" s="515">
        <v>0</v>
      </c>
      <c r="E11" s="515">
        <v>0</v>
      </c>
      <c r="F11" s="515">
        <v>0</v>
      </c>
      <c r="G11" s="515">
        <v>0</v>
      </c>
      <c r="H11" s="515">
        <v>0</v>
      </c>
      <c r="I11" s="515">
        <v>0</v>
      </c>
      <c r="J11" s="515">
        <v>0</v>
      </c>
      <c r="K11" s="515">
        <v>0</v>
      </c>
      <c r="L11" s="515">
        <v>0</v>
      </c>
      <c r="M11" s="515"/>
      <c r="N11" s="515"/>
      <c r="O11" s="515"/>
      <c r="P11" s="515"/>
      <c r="Q11" s="515"/>
      <c r="R11" s="515"/>
      <c r="T11" s="515">
        <f t="shared" si="4"/>
        <v>0</v>
      </c>
      <c r="U11" s="515">
        <f t="shared" si="5"/>
        <v>0</v>
      </c>
    </row>
    <row r="12" spans="1:21">
      <c r="A12" s="510" t="s">
        <v>469</v>
      </c>
      <c r="C12" s="515">
        <v>0</v>
      </c>
      <c r="D12" s="515">
        <v>0</v>
      </c>
      <c r="E12" s="515">
        <v>0</v>
      </c>
      <c r="F12" s="515">
        <v>0</v>
      </c>
      <c r="G12" s="515">
        <v>0</v>
      </c>
      <c r="H12" s="515">
        <v>0</v>
      </c>
      <c r="I12" s="515">
        <v>0</v>
      </c>
      <c r="J12" s="515">
        <v>0</v>
      </c>
      <c r="K12" s="515">
        <v>0</v>
      </c>
      <c r="L12" s="515">
        <v>0</v>
      </c>
      <c r="M12" s="515"/>
      <c r="N12" s="515"/>
      <c r="O12" s="515"/>
      <c r="P12" s="515"/>
      <c r="Q12" s="515"/>
      <c r="R12" s="515"/>
      <c r="T12" s="515">
        <f t="shared" si="4"/>
        <v>0</v>
      </c>
      <c r="U12" s="515">
        <f t="shared" si="5"/>
        <v>0</v>
      </c>
    </row>
    <row r="13" spans="1:21">
      <c r="A13" s="510" t="s">
        <v>470</v>
      </c>
      <c r="C13" s="515">
        <v>0</v>
      </c>
      <c r="D13" s="515">
        <v>0</v>
      </c>
      <c r="E13" s="515">
        <v>0</v>
      </c>
      <c r="F13" s="515">
        <v>0</v>
      </c>
      <c r="G13" s="515">
        <v>0</v>
      </c>
      <c r="H13" s="515">
        <v>0</v>
      </c>
      <c r="I13" s="515">
        <v>0</v>
      </c>
      <c r="J13" s="515">
        <v>0</v>
      </c>
      <c r="K13" s="515">
        <v>0</v>
      </c>
      <c r="L13" s="515">
        <v>0</v>
      </c>
      <c r="M13" s="515"/>
      <c r="N13" s="515"/>
      <c r="O13" s="515"/>
      <c r="P13" s="515"/>
      <c r="Q13" s="515"/>
      <c r="R13" s="515"/>
      <c r="T13" s="515">
        <f t="shared" si="4"/>
        <v>0</v>
      </c>
      <c r="U13" s="515">
        <f t="shared" si="5"/>
        <v>0</v>
      </c>
    </row>
    <row r="14" spans="1:21">
      <c r="A14" s="510" t="s">
        <v>471</v>
      </c>
      <c r="C14" s="515">
        <v>0</v>
      </c>
      <c r="D14" s="515">
        <v>0</v>
      </c>
      <c r="E14" s="515">
        <v>0</v>
      </c>
      <c r="F14" s="515">
        <v>0</v>
      </c>
      <c r="G14" s="515">
        <v>0</v>
      </c>
      <c r="H14" s="515">
        <v>0</v>
      </c>
      <c r="I14" s="515">
        <v>0</v>
      </c>
      <c r="J14" s="515">
        <v>0</v>
      </c>
      <c r="K14" s="515">
        <v>0</v>
      </c>
      <c r="L14" s="515">
        <v>0</v>
      </c>
      <c r="M14" s="515"/>
      <c r="N14" s="515"/>
      <c r="O14" s="515"/>
      <c r="P14" s="515"/>
      <c r="Q14" s="515"/>
      <c r="R14" s="515"/>
      <c r="T14" s="515">
        <f t="shared" si="4"/>
        <v>0</v>
      </c>
      <c r="U14" s="515">
        <f t="shared" si="5"/>
        <v>0</v>
      </c>
    </row>
    <row r="15" spans="1:21">
      <c r="A15" s="510" t="s">
        <v>472</v>
      </c>
      <c r="C15" s="515">
        <v>0</v>
      </c>
      <c r="D15" s="515">
        <v>0</v>
      </c>
      <c r="E15" s="515">
        <v>0</v>
      </c>
      <c r="F15" s="515">
        <v>0</v>
      </c>
      <c r="G15" s="515">
        <v>0</v>
      </c>
      <c r="H15" s="515">
        <v>0</v>
      </c>
      <c r="I15" s="515">
        <v>0</v>
      </c>
      <c r="J15" s="515">
        <v>0</v>
      </c>
      <c r="K15" s="515">
        <v>0</v>
      </c>
      <c r="L15" s="515">
        <v>0</v>
      </c>
      <c r="M15" s="515"/>
      <c r="N15" s="515"/>
      <c r="O15" s="515"/>
      <c r="P15" s="515"/>
      <c r="Q15" s="515"/>
      <c r="R15" s="515"/>
      <c r="T15" s="515">
        <f t="shared" si="4"/>
        <v>0</v>
      </c>
      <c r="U15" s="515">
        <f t="shared" si="5"/>
        <v>0</v>
      </c>
    </row>
    <row r="16" spans="1:21">
      <c r="A16" s="510" t="s">
        <v>473</v>
      </c>
      <c r="C16" s="515">
        <v>0</v>
      </c>
      <c r="D16" s="515">
        <v>0</v>
      </c>
      <c r="E16" s="515">
        <v>0</v>
      </c>
      <c r="F16" s="515">
        <v>0</v>
      </c>
      <c r="G16" s="515">
        <v>0</v>
      </c>
      <c r="H16" s="515">
        <v>0</v>
      </c>
      <c r="I16" s="515">
        <v>0</v>
      </c>
      <c r="J16" s="515">
        <v>0</v>
      </c>
      <c r="K16" s="515">
        <v>0</v>
      </c>
      <c r="L16" s="515">
        <v>0</v>
      </c>
      <c r="M16" s="515"/>
      <c r="N16" s="515"/>
      <c r="O16" s="515"/>
      <c r="P16" s="515"/>
      <c r="Q16" s="515"/>
      <c r="R16" s="515"/>
      <c r="T16" s="515">
        <f t="shared" si="4"/>
        <v>0</v>
      </c>
      <c r="U16" s="515">
        <f t="shared" si="5"/>
        <v>0</v>
      </c>
    </row>
    <row r="17" spans="1:21">
      <c r="A17" s="510" t="s">
        <v>474</v>
      </c>
      <c r="C17" s="515">
        <f t="shared" ref="C17:H17" si="6">SUM(C18:C25)</f>
        <v>38566</v>
      </c>
      <c r="D17" s="515">
        <f t="shared" si="6"/>
        <v>83130</v>
      </c>
      <c r="E17" s="515">
        <f t="shared" si="6"/>
        <v>112145</v>
      </c>
      <c r="F17" s="515">
        <f t="shared" si="6"/>
        <v>132887</v>
      </c>
      <c r="G17" s="515">
        <f t="shared" si="6"/>
        <v>142408</v>
      </c>
      <c r="H17" s="515">
        <f t="shared" si="6"/>
        <v>228060</v>
      </c>
      <c r="I17" s="515">
        <f>SUM(I18:I25)</f>
        <v>338487</v>
      </c>
      <c r="J17" s="515">
        <f>SUM(J18:J25)</f>
        <v>218530</v>
      </c>
      <c r="K17" s="515">
        <f>SUM(K18:K25)</f>
        <v>107953</v>
      </c>
      <c r="L17" s="515">
        <f>SUM(L18:L25)</f>
        <v>200972</v>
      </c>
      <c r="M17" s="515"/>
      <c r="N17" s="515"/>
      <c r="O17" s="515"/>
      <c r="P17" s="515"/>
      <c r="Q17" s="515"/>
      <c r="R17" s="515"/>
      <c r="T17" s="515">
        <f>SUM(T18:T25)</f>
        <v>107953</v>
      </c>
      <c r="U17" s="515">
        <f>SUM(U18:U25)</f>
        <v>93019</v>
      </c>
    </row>
    <row r="18" spans="1:21" outlineLevel="1">
      <c r="A18" s="511" t="s">
        <v>475</v>
      </c>
      <c r="C18" s="516">
        <v>0</v>
      </c>
      <c r="D18" s="516">
        <v>0</v>
      </c>
      <c r="E18" s="516">
        <v>0</v>
      </c>
      <c r="F18" s="516">
        <v>0</v>
      </c>
      <c r="G18" s="516">
        <v>0</v>
      </c>
      <c r="H18" s="516">
        <v>0</v>
      </c>
      <c r="I18" s="516">
        <v>0</v>
      </c>
      <c r="J18" s="516">
        <v>0</v>
      </c>
      <c r="K18" s="516">
        <v>0</v>
      </c>
      <c r="L18" s="516">
        <v>0</v>
      </c>
      <c r="M18" s="516"/>
      <c r="N18" s="516"/>
      <c r="O18" s="516"/>
      <c r="P18" s="516"/>
      <c r="Q18" s="516"/>
      <c r="R18" s="516"/>
      <c r="T18" s="516">
        <f t="shared" si="4"/>
        <v>0</v>
      </c>
      <c r="U18" s="516">
        <f t="shared" ref="U18:U25" si="7">L18-T18</f>
        <v>0</v>
      </c>
    </row>
    <row r="19" spans="1:21" outlineLevel="1">
      <c r="A19" s="511" t="s">
        <v>476</v>
      </c>
      <c r="C19" s="516">
        <v>0</v>
      </c>
      <c r="D19" s="516">
        <v>0</v>
      </c>
      <c r="E19" s="516">
        <v>0</v>
      </c>
      <c r="F19" s="516">
        <v>0</v>
      </c>
      <c r="G19" s="516">
        <v>0</v>
      </c>
      <c r="H19" s="516">
        <v>0</v>
      </c>
      <c r="I19" s="516">
        <v>0</v>
      </c>
      <c r="J19" s="516">
        <v>0</v>
      </c>
      <c r="K19" s="516">
        <v>0</v>
      </c>
      <c r="L19" s="516">
        <v>0</v>
      </c>
      <c r="M19" s="516"/>
      <c r="N19" s="516"/>
      <c r="O19" s="516"/>
      <c r="P19" s="516"/>
      <c r="Q19" s="516"/>
      <c r="R19" s="516"/>
      <c r="T19" s="516">
        <f t="shared" si="4"/>
        <v>0</v>
      </c>
      <c r="U19" s="516">
        <f t="shared" si="7"/>
        <v>0</v>
      </c>
    </row>
    <row r="20" spans="1:21" outlineLevel="1">
      <c r="A20" s="511" t="s">
        <v>477</v>
      </c>
      <c r="C20" s="516">
        <v>0</v>
      </c>
      <c r="D20" s="516">
        <v>0</v>
      </c>
      <c r="E20" s="516">
        <v>0</v>
      </c>
      <c r="F20" s="516">
        <v>0</v>
      </c>
      <c r="G20" s="516">
        <v>0</v>
      </c>
      <c r="H20" s="516">
        <v>0</v>
      </c>
      <c r="I20" s="516">
        <v>0</v>
      </c>
      <c r="J20" s="516">
        <v>0</v>
      </c>
      <c r="K20" s="516">
        <v>0</v>
      </c>
      <c r="L20" s="516">
        <v>0</v>
      </c>
      <c r="M20" s="516"/>
      <c r="N20" s="516"/>
      <c r="O20" s="516"/>
      <c r="P20" s="516"/>
      <c r="Q20" s="516"/>
      <c r="R20" s="516"/>
      <c r="T20" s="516">
        <f t="shared" si="4"/>
        <v>0</v>
      </c>
      <c r="U20" s="516">
        <f t="shared" si="7"/>
        <v>0</v>
      </c>
    </row>
    <row r="21" spans="1:21" outlineLevel="1">
      <c r="A21" s="511" t="s">
        <v>478</v>
      </c>
      <c r="C21" s="516">
        <v>0</v>
      </c>
      <c r="D21" s="516">
        <v>0</v>
      </c>
      <c r="E21" s="516">
        <v>0</v>
      </c>
      <c r="F21" s="516">
        <v>0</v>
      </c>
      <c r="G21" s="516">
        <v>0</v>
      </c>
      <c r="H21" s="516">
        <v>0</v>
      </c>
      <c r="I21" s="516">
        <v>0</v>
      </c>
      <c r="J21" s="516">
        <v>0</v>
      </c>
      <c r="K21" s="516">
        <v>0</v>
      </c>
      <c r="L21" s="516">
        <v>0</v>
      </c>
      <c r="M21" s="516"/>
      <c r="N21" s="516"/>
      <c r="O21" s="516"/>
      <c r="P21" s="516"/>
      <c r="Q21" s="516"/>
      <c r="R21" s="516"/>
      <c r="T21" s="516">
        <f t="shared" si="4"/>
        <v>0</v>
      </c>
      <c r="U21" s="516">
        <f t="shared" si="7"/>
        <v>0</v>
      </c>
    </row>
    <row r="22" spans="1:21" outlineLevel="1">
      <c r="A22" s="511" t="s">
        <v>479</v>
      </c>
      <c r="C22" s="516">
        <v>0</v>
      </c>
      <c r="D22" s="516">
        <v>0</v>
      </c>
      <c r="E22" s="516">
        <v>0</v>
      </c>
      <c r="F22" s="516">
        <v>0</v>
      </c>
      <c r="G22" s="516">
        <v>0</v>
      </c>
      <c r="H22" s="516">
        <v>0</v>
      </c>
      <c r="I22" s="516">
        <v>0</v>
      </c>
      <c r="J22" s="516">
        <v>0</v>
      </c>
      <c r="K22" s="516">
        <v>0</v>
      </c>
      <c r="L22" s="516">
        <v>0</v>
      </c>
      <c r="M22" s="516"/>
      <c r="N22" s="516"/>
      <c r="O22" s="516"/>
      <c r="P22" s="516"/>
      <c r="Q22" s="516"/>
      <c r="R22" s="516"/>
      <c r="T22" s="516">
        <f t="shared" si="4"/>
        <v>0</v>
      </c>
      <c r="U22" s="516">
        <f t="shared" si="7"/>
        <v>0</v>
      </c>
    </row>
    <row r="23" spans="1:21" outlineLevel="1">
      <c r="A23" s="511" t="s">
        <v>480</v>
      </c>
      <c r="C23" s="516">
        <v>0</v>
      </c>
      <c r="D23" s="516">
        <v>0</v>
      </c>
      <c r="E23" s="516">
        <v>0</v>
      </c>
      <c r="F23" s="516">
        <v>0</v>
      </c>
      <c r="G23" s="516">
        <v>0</v>
      </c>
      <c r="H23" s="516">
        <v>0</v>
      </c>
      <c r="I23" s="516">
        <v>0</v>
      </c>
      <c r="J23" s="516">
        <v>0</v>
      </c>
      <c r="K23" s="516">
        <v>0</v>
      </c>
      <c r="L23" s="516">
        <v>0</v>
      </c>
      <c r="M23" s="516"/>
      <c r="N23" s="516"/>
      <c r="O23" s="516"/>
      <c r="P23" s="516"/>
      <c r="Q23" s="516"/>
      <c r="R23" s="516"/>
      <c r="T23" s="516">
        <f t="shared" si="4"/>
        <v>0</v>
      </c>
      <c r="U23" s="516">
        <f t="shared" si="7"/>
        <v>0</v>
      </c>
    </row>
    <row r="24" spans="1:21" outlineLevel="1">
      <c r="A24" s="511" t="s">
        <v>481</v>
      </c>
      <c r="C24" s="516">
        <v>0</v>
      </c>
      <c r="D24" s="516">
        <v>0</v>
      </c>
      <c r="E24" s="516">
        <v>-11403</v>
      </c>
      <c r="F24" s="516">
        <v>-48704</v>
      </c>
      <c r="G24" s="516">
        <v>84126</v>
      </c>
      <c r="H24" s="516">
        <v>115969</v>
      </c>
      <c r="I24" s="516">
        <v>143180</v>
      </c>
      <c r="J24" s="516">
        <v>-50587</v>
      </c>
      <c r="K24" s="516">
        <v>19954</v>
      </c>
      <c r="L24" s="516">
        <v>19569</v>
      </c>
      <c r="M24" s="516"/>
      <c r="N24" s="516"/>
      <c r="O24" s="516"/>
      <c r="P24" s="516"/>
      <c r="Q24" s="516"/>
      <c r="R24" s="516"/>
      <c r="T24" s="516">
        <f t="shared" si="4"/>
        <v>19954</v>
      </c>
      <c r="U24" s="516">
        <f t="shared" si="7"/>
        <v>-385</v>
      </c>
    </row>
    <row r="25" spans="1:21" outlineLevel="1">
      <c r="A25" s="511" t="s">
        <v>474</v>
      </c>
      <c r="C25" s="516">
        <v>38566</v>
      </c>
      <c r="D25" s="516">
        <v>83130</v>
      </c>
      <c r="E25" s="516">
        <v>123548</v>
      </c>
      <c r="F25" s="516">
        <v>181591</v>
      </c>
      <c r="G25" s="516">
        <v>58282</v>
      </c>
      <c r="H25" s="516">
        <v>112091</v>
      </c>
      <c r="I25" s="516">
        <v>195307</v>
      </c>
      <c r="J25" s="516">
        <v>269117</v>
      </c>
      <c r="K25" s="516">
        <v>87999</v>
      </c>
      <c r="L25" s="516">
        <v>181403</v>
      </c>
      <c r="M25" s="516"/>
      <c r="N25" s="516"/>
      <c r="O25" s="516"/>
      <c r="P25" s="516"/>
      <c r="Q25" s="516"/>
      <c r="R25" s="516"/>
      <c r="T25" s="516">
        <f t="shared" si="4"/>
        <v>87999</v>
      </c>
      <c r="U25" s="516">
        <f t="shared" si="7"/>
        <v>93404</v>
      </c>
    </row>
    <row r="26" spans="1:21">
      <c r="A26" s="510"/>
      <c r="C26" s="510"/>
      <c r="D26" s="510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  <c r="T26" s="510"/>
      <c r="U26" s="510"/>
    </row>
    <row r="27" spans="1:21">
      <c r="A27" s="522" t="s">
        <v>482</v>
      </c>
      <c r="C27" s="513">
        <f t="shared" ref="C27:H27" si="8">SUM(C29:C37)</f>
        <v>-9023</v>
      </c>
      <c r="D27" s="513">
        <f t="shared" si="8"/>
        <v>-20905</v>
      </c>
      <c r="E27" s="513">
        <f t="shared" si="8"/>
        <v>-33963</v>
      </c>
      <c r="F27" s="513">
        <f t="shared" si="8"/>
        <v>-66769</v>
      </c>
      <c r="G27" s="513">
        <f t="shared" si="8"/>
        <v>-29162</v>
      </c>
      <c r="H27" s="513">
        <f t="shared" si="8"/>
        <v>-42872</v>
      </c>
      <c r="I27" s="513">
        <f>SUM(I29:I37)</f>
        <v>-66496</v>
      </c>
      <c r="J27" s="513">
        <f>SUM(J29:J37)</f>
        <v>-71461</v>
      </c>
      <c r="K27" s="513">
        <f>SUM(K29:K37)</f>
        <v>-23269</v>
      </c>
      <c r="L27" s="513">
        <f>SUM(L29:L37)</f>
        <v>-51248</v>
      </c>
      <c r="M27" s="513"/>
      <c r="N27" s="513"/>
      <c r="O27" s="513"/>
      <c r="P27" s="513"/>
      <c r="Q27" s="513"/>
      <c r="R27" s="513"/>
      <c r="T27" s="513">
        <f>SUM(T29:T37)</f>
        <v>-23269</v>
      </c>
      <c r="U27" s="513">
        <f>SUM(U29:U37)</f>
        <v>-27979</v>
      </c>
    </row>
    <row r="28" spans="1:21">
      <c r="A28" s="509"/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T28" s="514"/>
      <c r="U28" s="514"/>
    </row>
    <row r="29" spans="1:21" outlineLevel="1">
      <c r="A29" s="511" t="s">
        <v>483</v>
      </c>
      <c r="C29" s="516">
        <v>-1042</v>
      </c>
      <c r="D29" s="516">
        <v>-2171</v>
      </c>
      <c r="E29" s="516">
        <v>-3007</v>
      </c>
      <c r="F29" s="516">
        <v>-14829</v>
      </c>
      <c r="G29" s="516">
        <v>-8635</v>
      </c>
      <c r="H29" s="516">
        <v>-15294</v>
      </c>
      <c r="I29" s="516">
        <v>-20164</v>
      </c>
      <c r="J29" s="516">
        <v>-25077</v>
      </c>
      <c r="K29" s="516">
        <v>-3168</v>
      </c>
      <c r="L29" s="516">
        <v>-6161</v>
      </c>
      <c r="M29" s="516"/>
      <c r="N29" s="516"/>
      <c r="O29" s="516"/>
      <c r="P29" s="516"/>
      <c r="Q29" s="516"/>
      <c r="R29" s="516"/>
      <c r="T29" s="516">
        <f t="shared" ref="T29:T37" si="9">K29</f>
        <v>-3168</v>
      </c>
      <c r="U29" s="516">
        <f t="shared" ref="U29:U37" si="10">L29-T29</f>
        <v>-2993</v>
      </c>
    </row>
    <row r="30" spans="1:21" outlineLevel="1">
      <c r="A30" s="511" t="s">
        <v>484</v>
      </c>
      <c r="C30" s="516">
        <v>-6033</v>
      </c>
      <c r="D30" s="516">
        <v>-14453</v>
      </c>
      <c r="E30" s="516">
        <v>-25831</v>
      </c>
      <c r="F30" s="516">
        <v>-38718</v>
      </c>
      <c r="G30" s="516">
        <v>-9716</v>
      </c>
      <c r="H30" s="516">
        <v>-18994</v>
      </c>
      <c r="I30" s="516">
        <v>-30830</v>
      </c>
      <c r="J30" s="516">
        <v>-43622</v>
      </c>
      <c r="K30" s="516">
        <v>-13401</v>
      </c>
      <c r="L30" s="516">
        <v>-32605</v>
      </c>
      <c r="M30" s="516"/>
      <c r="N30" s="516"/>
      <c r="O30" s="516"/>
      <c r="P30" s="516"/>
      <c r="Q30" s="516"/>
      <c r="R30" s="516"/>
      <c r="T30" s="516">
        <f t="shared" si="9"/>
        <v>-13401</v>
      </c>
      <c r="U30" s="516">
        <f t="shared" si="10"/>
        <v>-19204</v>
      </c>
    </row>
    <row r="31" spans="1:21" outlineLevel="1">
      <c r="A31" s="511" t="s">
        <v>485</v>
      </c>
      <c r="C31" s="516">
        <v>0</v>
      </c>
      <c r="D31" s="516">
        <v>0</v>
      </c>
      <c r="E31" s="516">
        <v>0</v>
      </c>
      <c r="F31" s="516">
        <v>-3958</v>
      </c>
      <c r="G31" s="516">
        <v>-7782</v>
      </c>
      <c r="H31" s="516">
        <v>-2265</v>
      </c>
      <c r="I31" s="516">
        <v>-4782</v>
      </c>
      <c r="J31" s="516">
        <v>13142</v>
      </c>
      <c r="K31" s="516">
        <v>-1845</v>
      </c>
      <c r="L31" s="516">
        <v>-1810</v>
      </c>
      <c r="M31" s="516"/>
      <c r="N31" s="516"/>
      <c r="O31" s="516"/>
      <c r="P31" s="516"/>
      <c r="Q31" s="516"/>
      <c r="R31" s="516"/>
      <c r="T31" s="516">
        <f t="shared" si="9"/>
        <v>-1845</v>
      </c>
      <c r="U31" s="516">
        <f t="shared" si="10"/>
        <v>35</v>
      </c>
    </row>
    <row r="32" spans="1:21" outlineLevel="1">
      <c r="A32" s="511" t="s">
        <v>486</v>
      </c>
      <c r="C32" s="516">
        <v>0</v>
      </c>
      <c r="D32" s="516">
        <v>0</v>
      </c>
      <c r="E32" s="516">
        <v>0</v>
      </c>
      <c r="F32" s="516">
        <v>0</v>
      </c>
      <c r="G32" s="516">
        <v>0</v>
      </c>
      <c r="H32" s="516">
        <v>0</v>
      </c>
      <c r="I32" s="516">
        <v>0</v>
      </c>
      <c r="J32" s="516">
        <v>0</v>
      </c>
      <c r="K32" s="516">
        <v>0</v>
      </c>
      <c r="L32" s="516">
        <v>0</v>
      </c>
      <c r="M32" s="516"/>
      <c r="N32" s="516"/>
      <c r="O32" s="516"/>
      <c r="P32" s="516"/>
      <c r="Q32" s="516"/>
      <c r="R32" s="516"/>
      <c r="T32" s="516">
        <f t="shared" si="9"/>
        <v>0</v>
      </c>
      <c r="U32" s="516">
        <f t="shared" si="10"/>
        <v>0</v>
      </c>
    </row>
    <row r="33" spans="1:21" outlineLevel="1">
      <c r="A33" s="511" t="s">
        <v>487</v>
      </c>
      <c r="C33" s="516">
        <v>0</v>
      </c>
      <c r="D33" s="516">
        <v>0</v>
      </c>
      <c r="E33" s="516">
        <v>0</v>
      </c>
      <c r="F33" s="516">
        <v>0</v>
      </c>
      <c r="G33" s="516">
        <v>0</v>
      </c>
      <c r="H33" s="516">
        <v>0</v>
      </c>
      <c r="I33" s="516">
        <v>0</v>
      </c>
      <c r="J33" s="516">
        <v>0</v>
      </c>
      <c r="K33" s="516">
        <v>0</v>
      </c>
      <c r="L33" s="516">
        <v>0</v>
      </c>
      <c r="M33" s="516"/>
      <c r="N33" s="516"/>
      <c r="O33" s="516"/>
      <c r="P33" s="516"/>
      <c r="Q33" s="516"/>
      <c r="R33" s="516"/>
      <c r="T33" s="516">
        <f t="shared" si="9"/>
        <v>0</v>
      </c>
      <c r="U33" s="516">
        <f t="shared" si="10"/>
        <v>0</v>
      </c>
    </row>
    <row r="34" spans="1:21" outlineLevel="1">
      <c r="A34" s="511" t="s">
        <v>488</v>
      </c>
      <c r="C34" s="516">
        <v>0</v>
      </c>
      <c r="D34" s="516">
        <v>0</v>
      </c>
      <c r="E34" s="516">
        <v>0</v>
      </c>
      <c r="F34" s="516">
        <v>0</v>
      </c>
      <c r="G34" s="516">
        <v>0</v>
      </c>
      <c r="H34" s="516">
        <v>0</v>
      </c>
      <c r="I34" s="516">
        <v>0</v>
      </c>
      <c r="J34" s="516">
        <v>0</v>
      </c>
      <c r="K34" s="516">
        <v>0</v>
      </c>
      <c r="L34" s="516">
        <v>0</v>
      </c>
      <c r="M34" s="516"/>
      <c r="N34" s="516"/>
      <c r="O34" s="516"/>
      <c r="P34" s="516"/>
      <c r="Q34" s="516"/>
      <c r="R34" s="516"/>
      <c r="T34" s="516">
        <f t="shared" si="9"/>
        <v>0</v>
      </c>
      <c r="U34" s="516">
        <f t="shared" si="10"/>
        <v>0</v>
      </c>
    </row>
    <row r="35" spans="1:21" outlineLevel="1">
      <c r="A35" s="511" t="s">
        <v>489</v>
      </c>
      <c r="C35" s="516">
        <v>0</v>
      </c>
      <c r="D35" s="516">
        <v>0</v>
      </c>
      <c r="E35" s="516">
        <v>0</v>
      </c>
      <c r="F35" s="516">
        <v>0</v>
      </c>
      <c r="G35" s="516">
        <v>0</v>
      </c>
      <c r="H35" s="516">
        <v>0</v>
      </c>
      <c r="I35" s="516">
        <v>0</v>
      </c>
      <c r="J35" s="516">
        <v>0</v>
      </c>
      <c r="K35" s="516">
        <v>0</v>
      </c>
      <c r="L35" s="516">
        <v>0</v>
      </c>
      <c r="M35" s="516"/>
      <c r="N35" s="516"/>
      <c r="O35" s="516"/>
      <c r="P35" s="516"/>
      <c r="Q35" s="516"/>
      <c r="R35" s="516"/>
      <c r="T35" s="516">
        <f t="shared" si="9"/>
        <v>0</v>
      </c>
      <c r="U35" s="516">
        <f t="shared" si="10"/>
        <v>0</v>
      </c>
    </row>
    <row r="36" spans="1:21" outlineLevel="1">
      <c r="A36" s="511" t="s">
        <v>490</v>
      </c>
      <c r="C36" s="516">
        <v>-950</v>
      </c>
      <c r="D36" s="516">
        <v>-2001</v>
      </c>
      <c r="E36" s="516">
        <v>-2944</v>
      </c>
      <c r="F36" s="516">
        <v>-4428</v>
      </c>
      <c r="G36" s="516">
        <v>-1374</v>
      </c>
      <c r="H36" s="516">
        <v>-2830</v>
      </c>
      <c r="I36" s="516">
        <v>-4691</v>
      </c>
      <c r="J36" s="516">
        <v>-7372</v>
      </c>
      <c r="K36" s="516">
        <v>-2156</v>
      </c>
      <c r="L36" s="516">
        <v>-4246</v>
      </c>
      <c r="M36" s="516"/>
      <c r="N36" s="516"/>
      <c r="O36" s="516"/>
      <c r="P36" s="516"/>
      <c r="Q36" s="516"/>
      <c r="R36" s="516"/>
      <c r="T36" s="516">
        <f t="shared" si="9"/>
        <v>-2156</v>
      </c>
      <c r="U36" s="516">
        <f t="shared" si="10"/>
        <v>-2090</v>
      </c>
    </row>
    <row r="37" spans="1:21" outlineLevel="1">
      <c r="A37" s="511" t="s">
        <v>59</v>
      </c>
      <c r="C37" s="516">
        <v>-998</v>
      </c>
      <c r="D37" s="516">
        <v>-2280</v>
      </c>
      <c r="E37" s="516">
        <v>-2181</v>
      </c>
      <c r="F37" s="516">
        <v>-4836</v>
      </c>
      <c r="G37" s="516">
        <v>-1655</v>
      </c>
      <c r="H37" s="516">
        <v>-3489</v>
      </c>
      <c r="I37" s="516">
        <v>-6029</v>
      </c>
      <c r="J37" s="516">
        <v>-8532</v>
      </c>
      <c r="K37" s="516">
        <v>-2699</v>
      </c>
      <c r="L37" s="516">
        <v>-6426</v>
      </c>
      <c r="M37" s="516"/>
      <c r="N37" s="516"/>
      <c r="O37" s="516"/>
      <c r="P37" s="516"/>
      <c r="Q37" s="516"/>
      <c r="R37" s="516"/>
      <c r="T37" s="516">
        <f t="shared" si="9"/>
        <v>-2699</v>
      </c>
      <c r="U37" s="516">
        <f t="shared" si="10"/>
        <v>-3727</v>
      </c>
    </row>
    <row r="38" spans="1:21">
      <c r="A38" s="510"/>
      <c r="C38" s="510"/>
      <c r="D38" s="510"/>
      <c r="E38" s="510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P38" s="510"/>
      <c r="Q38" s="510"/>
      <c r="R38" s="510"/>
      <c r="T38" s="510"/>
      <c r="U38" s="510"/>
    </row>
    <row r="39" spans="1:21">
      <c r="A39" s="522" t="s">
        <v>491</v>
      </c>
      <c r="C39" s="513">
        <f t="shared" ref="C39:H39" si="11">C27+C6</f>
        <v>68147</v>
      </c>
      <c r="D39" s="513">
        <f t="shared" si="11"/>
        <v>163666</v>
      </c>
      <c r="E39" s="513">
        <f t="shared" si="11"/>
        <v>273351</v>
      </c>
      <c r="F39" s="513">
        <f t="shared" si="11"/>
        <v>368486</v>
      </c>
      <c r="G39" s="513">
        <f t="shared" si="11"/>
        <v>182892</v>
      </c>
      <c r="H39" s="513">
        <f t="shared" si="11"/>
        <v>318367</v>
      </c>
      <c r="I39" s="513">
        <f>I27+I6</f>
        <v>472331</v>
      </c>
      <c r="J39" s="513">
        <f>J27+J6</f>
        <v>418767</v>
      </c>
      <c r="K39" s="513">
        <f>K27+K6</f>
        <v>162978</v>
      </c>
      <c r="L39" s="513">
        <f>L27+L6</f>
        <v>318289</v>
      </c>
      <c r="M39" s="513"/>
      <c r="N39" s="513"/>
      <c r="O39" s="513"/>
      <c r="P39" s="513"/>
      <c r="Q39" s="513"/>
      <c r="R39" s="513"/>
      <c r="T39" s="513">
        <f>T27+T6</f>
        <v>162978</v>
      </c>
      <c r="U39" s="513">
        <f>U27+U6</f>
        <v>155311</v>
      </c>
    </row>
    <row r="40" spans="1:21">
      <c r="A40" s="510"/>
      <c r="C40" s="510"/>
      <c r="D40" s="510"/>
      <c r="E40" s="510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P40" s="510"/>
      <c r="Q40" s="510"/>
      <c r="R40" s="510"/>
      <c r="T40" s="510"/>
      <c r="U40" s="510"/>
    </row>
    <row r="41" spans="1:21">
      <c r="A41" s="509" t="s">
        <v>492</v>
      </c>
      <c r="C41" s="517">
        <f t="shared" ref="C41:H41" si="12">SUM(C43:C48)</f>
        <v>-51408</v>
      </c>
      <c r="D41" s="517">
        <f t="shared" si="12"/>
        <v>-118012</v>
      </c>
      <c r="E41" s="517">
        <f t="shared" si="12"/>
        <v>-215765</v>
      </c>
      <c r="F41" s="517">
        <f t="shared" si="12"/>
        <v>-317102</v>
      </c>
      <c r="G41" s="517">
        <f t="shared" si="12"/>
        <v>-73162</v>
      </c>
      <c r="H41" s="517">
        <f t="shared" si="12"/>
        <v>-145147</v>
      </c>
      <c r="I41" s="517">
        <f>SUM(I43:I48)</f>
        <v>-229204</v>
      </c>
      <c r="J41" s="517">
        <f>SUM(J43:J48)</f>
        <v>-331897</v>
      </c>
      <c r="K41" s="517">
        <f>SUM(K43:K48)</f>
        <v>-105301</v>
      </c>
      <c r="L41" s="517">
        <f>SUM(L43:L48)</f>
        <v>-238418</v>
      </c>
      <c r="M41" s="517"/>
      <c r="N41" s="517"/>
      <c r="O41" s="517"/>
      <c r="P41" s="517"/>
      <c r="Q41" s="517"/>
      <c r="R41" s="517"/>
      <c r="T41" s="517">
        <f>SUM(T43:T48)</f>
        <v>-105301</v>
      </c>
      <c r="U41" s="517">
        <f>SUM(U43:U48)</f>
        <v>-133117</v>
      </c>
    </row>
    <row r="42" spans="1:21">
      <c r="A42" s="509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T42" s="514"/>
      <c r="U42" s="514"/>
    </row>
    <row r="43" spans="1:21">
      <c r="A43" s="510" t="s">
        <v>493</v>
      </c>
      <c r="C43" s="515">
        <v>-34223</v>
      </c>
      <c r="D43" s="515">
        <v>-89548</v>
      </c>
      <c r="E43" s="515">
        <v>-173472</v>
      </c>
      <c r="F43" s="515">
        <v>-245410</v>
      </c>
      <c r="G43" s="515">
        <v>-50218</v>
      </c>
      <c r="H43" s="515">
        <v>-96067</v>
      </c>
      <c r="I43" s="515">
        <v>-148406</v>
      </c>
      <c r="J43" s="515">
        <v>-211862</v>
      </c>
      <c r="K43" s="515">
        <v>-65322</v>
      </c>
      <c r="L43" s="515">
        <v>-150313</v>
      </c>
      <c r="M43" s="515"/>
      <c r="N43" s="515"/>
      <c r="O43" s="515"/>
      <c r="P43" s="515"/>
      <c r="Q43" s="515"/>
      <c r="R43" s="515"/>
      <c r="T43" s="515">
        <f t="shared" ref="T43:T47" si="13">K43</f>
        <v>-65322</v>
      </c>
      <c r="U43" s="515">
        <f t="shared" ref="U43:U47" si="14">L43-T43</f>
        <v>-84991</v>
      </c>
    </row>
    <row r="44" spans="1:21">
      <c r="A44" s="510" t="s">
        <v>494</v>
      </c>
      <c r="C44" s="515">
        <v>0</v>
      </c>
      <c r="D44" s="515">
        <v>0</v>
      </c>
      <c r="E44" s="515">
        <v>0</v>
      </c>
      <c r="F44" s="515">
        <v>0</v>
      </c>
      <c r="G44" s="515">
        <v>0</v>
      </c>
      <c r="H44" s="515">
        <v>0</v>
      </c>
      <c r="I44" s="515">
        <v>0</v>
      </c>
      <c r="J44" s="515">
        <v>0</v>
      </c>
      <c r="K44" s="515">
        <v>0</v>
      </c>
      <c r="L44" s="515">
        <v>0</v>
      </c>
      <c r="M44" s="515"/>
      <c r="N44" s="515"/>
      <c r="O44" s="515"/>
      <c r="P44" s="515"/>
      <c r="Q44" s="515"/>
      <c r="R44" s="515"/>
      <c r="T44" s="515">
        <f t="shared" si="13"/>
        <v>0</v>
      </c>
      <c r="U44" s="515">
        <f t="shared" si="14"/>
        <v>0</v>
      </c>
    </row>
    <row r="45" spans="1:21">
      <c r="A45" s="510" t="s">
        <v>495</v>
      </c>
      <c r="C45" s="515">
        <v>0</v>
      </c>
      <c r="D45" s="515">
        <v>0</v>
      </c>
      <c r="E45" s="515">
        <v>0</v>
      </c>
      <c r="F45" s="515">
        <v>0</v>
      </c>
      <c r="G45" s="515">
        <v>0</v>
      </c>
      <c r="H45" s="515">
        <v>0</v>
      </c>
      <c r="I45" s="515">
        <v>0</v>
      </c>
      <c r="J45" s="515">
        <v>0</v>
      </c>
      <c r="K45" s="515">
        <v>0</v>
      </c>
      <c r="L45" s="515">
        <v>0</v>
      </c>
      <c r="M45" s="515"/>
      <c r="N45" s="515"/>
      <c r="O45" s="515"/>
      <c r="P45" s="515"/>
      <c r="Q45" s="515"/>
      <c r="R45" s="515"/>
      <c r="T45" s="515">
        <f t="shared" si="13"/>
        <v>0</v>
      </c>
      <c r="U45" s="515">
        <f t="shared" si="14"/>
        <v>0</v>
      </c>
    </row>
    <row r="46" spans="1:21">
      <c r="A46" s="510" t="s">
        <v>496</v>
      </c>
      <c r="C46" s="515">
        <v>0</v>
      </c>
      <c r="D46" s="515">
        <v>0</v>
      </c>
      <c r="E46" s="515">
        <v>0</v>
      </c>
      <c r="F46" s="515">
        <v>0</v>
      </c>
      <c r="G46" s="515">
        <v>0</v>
      </c>
      <c r="H46" s="515">
        <v>0</v>
      </c>
      <c r="I46" s="515">
        <v>0</v>
      </c>
      <c r="J46" s="515">
        <v>0</v>
      </c>
      <c r="K46" s="515">
        <v>0</v>
      </c>
      <c r="L46" s="515">
        <v>0</v>
      </c>
      <c r="M46" s="515"/>
      <c r="N46" s="515"/>
      <c r="O46" s="515"/>
      <c r="P46" s="515"/>
      <c r="Q46" s="515"/>
      <c r="R46" s="515"/>
      <c r="T46" s="515">
        <f t="shared" si="13"/>
        <v>0</v>
      </c>
      <c r="U46" s="515">
        <f t="shared" si="14"/>
        <v>0</v>
      </c>
    </row>
    <row r="47" spans="1:21">
      <c r="A47" s="510" t="s">
        <v>497</v>
      </c>
      <c r="C47" s="515">
        <v>0</v>
      </c>
      <c r="D47" s="515">
        <v>0</v>
      </c>
      <c r="E47" s="515">
        <v>0</v>
      </c>
      <c r="F47" s="515">
        <v>0</v>
      </c>
      <c r="G47" s="515">
        <v>0</v>
      </c>
      <c r="H47" s="515">
        <v>0</v>
      </c>
      <c r="I47" s="515">
        <v>0</v>
      </c>
      <c r="J47" s="515">
        <v>0</v>
      </c>
      <c r="K47" s="515">
        <v>0</v>
      </c>
      <c r="L47" s="515">
        <v>0</v>
      </c>
      <c r="M47" s="515"/>
      <c r="N47" s="515"/>
      <c r="O47" s="515"/>
      <c r="P47" s="515"/>
      <c r="Q47" s="515"/>
      <c r="R47" s="515"/>
      <c r="T47" s="515">
        <f t="shared" si="13"/>
        <v>0</v>
      </c>
      <c r="U47" s="515">
        <f t="shared" si="14"/>
        <v>0</v>
      </c>
    </row>
    <row r="48" spans="1:21">
      <c r="A48" s="510" t="s">
        <v>498</v>
      </c>
      <c r="C48" s="515">
        <f t="shared" ref="C48:H48" si="15">SUM(C49:C55)</f>
        <v>-17185</v>
      </c>
      <c r="D48" s="515">
        <f t="shared" si="15"/>
        <v>-28464</v>
      </c>
      <c r="E48" s="515">
        <f t="shared" si="15"/>
        <v>-42293</v>
      </c>
      <c r="F48" s="515">
        <f t="shared" si="15"/>
        <v>-71692</v>
      </c>
      <c r="G48" s="515">
        <f t="shared" si="15"/>
        <v>-22944</v>
      </c>
      <c r="H48" s="515">
        <f t="shared" si="15"/>
        <v>-49080</v>
      </c>
      <c r="I48" s="515">
        <f>SUM(I49:I55)</f>
        <v>-80798</v>
      </c>
      <c r="J48" s="515">
        <f>SUM(J49:J55)</f>
        <v>-120035</v>
      </c>
      <c r="K48" s="515">
        <f>SUM(K49:K55)</f>
        <v>-39979</v>
      </c>
      <c r="L48" s="515">
        <f>SUM(L49:L55)</f>
        <v>-88105</v>
      </c>
      <c r="M48" s="515"/>
      <c r="N48" s="515"/>
      <c r="O48" s="515"/>
      <c r="P48" s="515"/>
      <c r="Q48" s="515"/>
      <c r="R48" s="515"/>
      <c r="T48" s="515">
        <f>SUM(T49:T55)</f>
        <v>-39979</v>
      </c>
      <c r="U48" s="515">
        <f>SUM(U49:U55)</f>
        <v>-48126</v>
      </c>
    </row>
    <row r="49" spans="1:21" outlineLevel="1">
      <c r="A49" s="511" t="s">
        <v>499</v>
      </c>
      <c r="C49" s="516">
        <v>-8839</v>
      </c>
      <c r="D49" s="516">
        <v>-18212</v>
      </c>
      <c r="E49" s="516">
        <v>-30022</v>
      </c>
      <c r="F49" s="516">
        <v>-40668</v>
      </c>
      <c r="G49" s="516">
        <v>-14692</v>
      </c>
      <c r="H49" s="516">
        <v>-28740</v>
      </c>
      <c r="I49" s="516">
        <v>-43806</v>
      </c>
      <c r="J49" s="516">
        <v>-62780</v>
      </c>
      <c r="K49" s="516">
        <v>-23095</v>
      </c>
      <c r="L49" s="516">
        <v>-47246</v>
      </c>
      <c r="M49" s="516"/>
      <c r="N49" s="516"/>
      <c r="O49" s="516"/>
      <c r="P49" s="516"/>
      <c r="Q49" s="516"/>
      <c r="R49" s="516"/>
      <c r="T49" s="516">
        <f t="shared" ref="T49:T55" si="16">K49</f>
        <v>-23095</v>
      </c>
      <c r="U49" s="516">
        <f t="shared" ref="U49:U55" si="17">L49-T49</f>
        <v>-24151</v>
      </c>
    </row>
    <row r="50" spans="1:21" outlineLevel="1">
      <c r="A50" s="511" t="s">
        <v>500</v>
      </c>
      <c r="C50" s="516">
        <v>-5957</v>
      </c>
      <c r="D50" s="516">
        <v>-6281</v>
      </c>
      <c r="E50" s="516">
        <v>-6482</v>
      </c>
      <c r="F50" s="516">
        <v>-22839</v>
      </c>
      <c r="G50" s="516">
        <v>-2209</v>
      </c>
      <c r="H50" s="516">
        <v>-9940</v>
      </c>
      <c r="I50" s="516">
        <v>-12087</v>
      </c>
      <c r="J50" s="516">
        <v>-12286</v>
      </c>
      <c r="K50" s="516">
        <v>-643</v>
      </c>
      <c r="L50" s="516">
        <v>-1321</v>
      </c>
      <c r="M50" s="516"/>
      <c r="N50" s="516"/>
      <c r="O50" s="516"/>
      <c r="P50" s="516"/>
      <c r="Q50" s="516"/>
      <c r="R50" s="516"/>
      <c r="T50" s="516">
        <f t="shared" si="16"/>
        <v>-643</v>
      </c>
      <c r="U50" s="516">
        <f t="shared" si="17"/>
        <v>-678</v>
      </c>
    </row>
    <row r="51" spans="1:21" outlineLevel="1">
      <c r="A51" s="511" t="s">
        <v>501</v>
      </c>
      <c r="C51" s="516">
        <v>-351</v>
      </c>
      <c r="D51" s="516">
        <v>-325</v>
      </c>
      <c r="E51" s="516">
        <v>-701</v>
      </c>
      <c r="F51" s="516">
        <v>-789</v>
      </c>
      <c r="G51" s="516">
        <v>-266</v>
      </c>
      <c r="H51" s="516">
        <v>-1338</v>
      </c>
      <c r="I51" s="516">
        <v>-3208</v>
      </c>
      <c r="J51" s="516">
        <v>-6441</v>
      </c>
      <c r="K51" s="516">
        <v>-2512</v>
      </c>
      <c r="L51" s="516">
        <v>-6497</v>
      </c>
      <c r="M51" s="516"/>
      <c r="N51" s="516"/>
      <c r="O51" s="516"/>
      <c r="P51" s="516"/>
      <c r="Q51" s="516"/>
      <c r="R51" s="516"/>
      <c r="T51" s="516">
        <f t="shared" si="16"/>
        <v>-2512</v>
      </c>
      <c r="U51" s="516">
        <f t="shared" si="17"/>
        <v>-3985</v>
      </c>
    </row>
    <row r="52" spans="1:21" outlineLevel="1">
      <c r="A52" s="511" t="s">
        <v>502</v>
      </c>
      <c r="C52" s="516">
        <v>0</v>
      </c>
      <c r="D52" s="516">
        <v>-2</v>
      </c>
      <c r="E52" s="516">
        <v>-405</v>
      </c>
      <c r="F52" s="516">
        <v>-575</v>
      </c>
      <c r="G52" s="516">
        <v>-253</v>
      </c>
      <c r="H52" s="516">
        <v>-558</v>
      </c>
      <c r="I52" s="516">
        <v>-947</v>
      </c>
      <c r="J52" s="516">
        <v>-1338</v>
      </c>
      <c r="K52" s="516">
        <v>-391</v>
      </c>
      <c r="L52" s="516">
        <v>-946</v>
      </c>
      <c r="M52" s="516"/>
      <c r="N52" s="516"/>
      <c r="O52" s="516"/>
      <c r="P52" s="516"/>
      <c r="Q52" s="516"/>
      <c r="R52" s="516"/>
      <c r="T52" s="516">
        <f t="shared" si="16"/>
        <v>-391</v>
      </c>
      <c r="U52" s="516">
        <f t="shared" si="17"/>
        <v>-555</v>
      </c>
    </row>
    <row r="53" spans="1:21" outlineLevel="1">
      <c r="A53" s="511" t="s">
        <v>503</v>
      </c>
      <c r="C53" s="516">
        <v>0</v>
      </c>
      <c r="D53" s="516">
        <v>0</v>
      </c>
      <c r="E53" s="516">
        <v>0</v>
      </c>
      <c r="F53" s="516">
        <v>0</v>
      </c>
      <c r="G53" s="516">
        <v>0</v>
      </c>
      <c r="H53" s="516">
        <v>0</v>
      </c>
      <c r="I53" s="516">
        <v>0</v>
      </c>
      <c r="J53" s="516">
        <v>0</v>
      </c>
      <c r="K53" s="516">
        <v>0</v>
      </c>
      <c r="L53" s="516">
        <v>0</v>
      </c>
      <c r="M53" s="516"/>
      <c r="N53" s="516"/>
      <c r="O53" s="516"/>
      <c r="P53" s="516"/>
      <c r="Q53" s="516"/>
      <c r="R53" s="516"/>
      <c r="T53" s="516">
        <f t="shared" si="16"/>
        <v>0</v>
      </c>
      <c r="U53" s="516">
        <f t="shared" si="17"/>
        <v>0</v>
      </c>
    </row>
    <row r="54" spans="1:21" outlineLevel="1">
      <c r="A54" s="511" t="s">
        <v>504</v>
      </c>
      <c r="C54" s="516">
        <v>-80</v>
      </c>
      <c r="D54" s="516">
        <v>-135</v>
      </c>
      <c r="E54" s="516">
        <v>-190</v>
      </c>
      <c r="F54" s="516">
        <v>-340</v>
      </c>
      <c r="G54" s="516">
        <v>-92</v>
      </c>
      <c r="H54" s="516">
        <v>-197</v>
      </c>
      <c r="I54" s="516">
        <v>-496</v>
      </c>
      <c r="J54" s="516">
        <v>-557</v>
      </c>
      <c r="K54" s="516">
        <v>-138</v>
      </c>
      <c r="L54" s="516">
        <v>-787</v>
      </c>
      <c r="M54" s="516"/>
      <c r="N54" s="516"/>
      <c r="O54" s="516"/>
      <c r="P54" s="516"/>
      <c r="Q54" s="516"/>
      <c r="R54" s="516"/>
      <c r="T54" s="516">
        <f t="shared" si="16"/>
        <v>-138</v>
      </c>
      <c r="U54" s="516">
        <f t="shared" si="17"/>
        <v>-649</v>
      </c>
    </row>
    <row r="55" spans="1:21" outlineLevel="1">
      <c r="A55" s="511" t="s">
        <v>505</v>
      </c>
      <c r="C55" s="516">
        <v>-1958</v>
      </c>
      <c r="D55" s="516">
        <v>-3509</v>
      </c>
      <c r="E55" s="516">
        <v>-4493</v>
      </c>
      <c r="F55" s="516">
        <v>-6481</v>
      </c>
      <c r="G55" s="516">
        <v>-5432</v>
      </c>
      <c r="H55" s="516">
        <v>-8307</v>
      </c>
      <c r="I55" s="516">
        <v>-20254</v>
      </c>
      <c r="J55" s="516">
        <v>-36633</v>
      </c>
      <c r="K55" s="516">
        <v>-13200</v>
      </c>
      <c r="L55" s="516">
        <v>-31308</v>
      </c>
      <c r="M55" s="516"/>
      <c r="N55" s="516"/>
      <c r="O55" s="516"/>
      <c r="P55" s="516"/>
      <c r="Q55" s="516"/>
      <c r="R55" s="516"/>
      <c r="T55" s="516">
        <f t="shared" si="16"/>
        <v>-13200</v>
      </c>
      <c r="U55" s="516">
        <f t="shared" si="17"/>
        <v>-18108</v>
      </c>
    </row>
    <row r="56" spans="1:21">
      <c r="A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0"/>
      <c r="T56" s="510"/>
      <c r="U56" s="510"/>
    </row>
    <row r="57" spans="1:21">
      <c r="A57" s="522" t="s">
        <v>506</v>
      </c>
      <c r="C57" s="513">
        <f t="shared" ref="C57:H57" si="18">C39+C41</f>
        <v>16739</v>
      </c>
      <c r="D57" s="513">
        <f t="shared" si="18"/>
        <v>45654</v>
      </c>
      <c r="E57" s="513">
        <f t="shared" si="18"/>
        <v>57586</v>
      </c>
      <c r="F57" s="513">
        <f t="shared" si="18"/>
        <v>51384</v>
      </c>
      <c r="G57" s="513">
        <f t="shared" si="18"/>
        <v>109730</v>
      </c>
      <c r="H57" s="513">
        <f t="shared" si="18"/>
        <v>173220</v>
      </c>
      <c r="I57" s="513">
        <f>I39+I41</f>
        <v>243127</v>
      </c>
      <c r="J57" s="513">
        <f>J39+J41</f>
        <v>86870</v>
      </c>
      <c r="K57" s="513">
        <f>K39+K41</f>
        <v>57677</v>
      </c>
      <c r="L57" s="513">
        <f>L39+L41</f>
        <v>79871</v>
      </c>
      <c r="M57" s="513"/>
      <c r="N57" s="513"/>
      <c r="O57" s="513"/>
      <c r="P57" s="513"/>
      <c r="Q57" s="513"/>
      <c r="R57" s="513"/>
      <c r="T57" s="513">
        <f>T39+T41</f>
        <v>57677</v>
      </c>
      <c r="U57" s="513">
        <f>U39+U41</f>
        <v>22194</v>
      </c>
    </row>
    <row r="58" spans="1:21">
      <c r="A58" s="510"/>
      <c r="C58" s="510"/>
      <c r="D58" s="510"/>
      <c r="E58" s="510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P58" s="510"/>
      <c r="Q58" s="510"/>
      <c r="R58" s="510"/>
      <c r="T58" s="510"/>
      <c r="U58" s="510"/>
    </row>
    <row r="59" spans="1:21">
      <c r="A59" s="509" t="s">
        <v>507</v>
      </c>
      <c r="C59" s="517">
        <f t="shared" ref="C59:H59" si="19">C61+C67+C68+C77+C78</f>
        <v>-12951</v>
      </c>
      <c r="D59" s="517">
        <f t="shared" si="19"/>
        <v>-33909</v>
      </c>
      <c r="E59" s="517">
        <f t="shared" si="19"/>
        <v>-51875</v>
      </c>
      <c r="F59" s="517">
        <f t="shared" si="19"/>
        <v>-81398</v>
      </c>
      <c r="G59" s="517">
        <f t="shared" si="19"/>
        <v>-25353</v>
      </c>
      <c r="H59" s="517">
        <f t="shared" si="19"/>
        <v>-48650</v>
      </c>
      <c r="I59" s="517">
        <f>I61+I67+I68+I77+I78</f>
        <v>-74397</v>
      </c>
      <c r="J59" s="517">
        <f>J61+J67+J68+J77+J78</f>
        <v>-97643</v>
      </c>
      <c r="K59" s="517">
        <f>K61+K67+K68+K77+K78</f>
        <v>-30369</v>
      </c>
      <c r="L59" s="517">
        <f>L61+L67+L68+L77+L78</f>
        <v>-46727</v>
      </c>
      <c r="M59" s="517"/>
      <c r="N59" s="517"/>
      <c r="O59" s="517"/>
      <c r="P59" s="517"/>
      <c r="Q59" s="517"/>
      <c r="R59" s="517"/>
      <c r="T59" s="517">
        <f>T61+T67+T68+T77+T78</f>
        <v>-30369</v>
      </c>
      <c r="U59" s="517">
        <f>U61+U67+U68+U77+U78</f>
        <v>-16358</v>
      </c>
    </row>
    <row r="60" spans="1:21">
      <c r="A60" s="509"/>
      <c r="C60" s="514"/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514"/>
      <c r="R60" s="514"/>
      <c r="T60" s="514"/>
      <c r="U60" s="514"/>
    </row>
    <row r="61" spans="1:21">
      <c r="A61" s="512" t="s">
        <v>508</v>
      </c>
      <c r="C61" s="515">
        <f t="shared" ref="C61:H61" si="20">SUM(C62:C66)</f>
        <v>-4027</v>
      </c>
      <c r="D61" s="515">
        <f t="shared" si="20"/>
        <v>-11334</v>
      </c>
      <c r="E61" s="515">
        <f t="shared" si="20"/>
        <v>-16180</v>
      </c>
      <c r="F61" s="515">
        <f t="shared" si="20"/>
        <v>-22364</v>
      </c>
      <c r="G61" s="515">
        <f t="shared" si="20"/>
        <v>-8965</v>
      </c>
      <c r="H61" s="515">
        <f t="shared" si="20"/>
        <v>-14507</v>
      </c>
      <c r="I61" s="515">
        <f>SUM(I62:I66)</f>
        <v>-22695</v>
      </c>
      <c r="J61" s="515">
        <f>SUM(J62:J66)</f>
        <v>-38989</v>
      </c>
      <c r="K61" s="515">
        <f t="shared" ref="K61:L61" si="21">SUM(K62:K66)</f>
        <v>-10298</v>
      </c>
      <c r="L61" s="515">
        <f t="shared" si="21"/>
        <v>-14134</v>
      </c>
      <c r="M61" s="515"/>
      <c r="N61" s="515"/>
      <c r="O61" s="515"/>
      <c r="P61" s="515"/>
      <c r="Q61" s="515"/>
      <c r="R61" s="515"/>
      <c r="T61" s="515">
        <f t="shared" ref="T61:U61" si="22">SUM(T62:T66)</f>
        <v>-10298</v>
      </c>
      <c r="U61" s="515">
        <f t="shared" si="22"/>
        <v>-3836</v>
      </c>
    </row>
    <row r="62" spans="1:21" outlineLevel="1">
      <c r="A62" s="511" t="s">
        <v>509</v>
      </c>
      <c r="C62" s="516">
        <v>-3108</v>
      </c>
      <c r="D62" s="516">
        <v>-8064</v>
      </c>
      <c r="E62" s="516">
        <v>-11297</v>
      </c>
      <c r="F62" s="516">
        <v>-15337</v>
      </c>
      <c r="G62" s="516">
        <v>-4322</v>
      </c>
      <c r="H62" s="516">
        <v>-8252</v>
      </c>
      <c r="I62" s="516">
        <v>-12797</v>
      </c>
      <c r="J62" s="516">
        <v>-17521</v>
      </c>
      <c r="K62" s="516">
        <v>-4397</v>
      </c>
      <c r="L62" s="516">
        <v>-8032</v>
      </c>
      <c r="M62" s="516"/>
      <c r="N62" s="516"/>
      <c r="O62" s="516"/>
      <c r="P62" s="516"/>
      <c r="Q62" s="516"/>
      <c r="R62" s="516"/>
      <c r="T62" s="516">
        <f t="shared" ref="T62:T67" si="23">K62</f>
        <v>-4397</v>
      </c>
      <c r="U62" s="516">
        <f t="shared" ref="U62:U67" si="24">L62-T62</f>
        <v>-3635</v>
      </c>
    </row>
    <row r="63" spans="1:21" outlineLevel="1">
      <c r="A63" s="511" t="s">
        <v>510</v>
      </c>
      <c r="C63" s="516">
        <v>-41</v>
      </c>
      <c r="D63" s="516">
        <v>-237</v>
      </c>
      <c r="E63" s="516">
        <v>-327</v>
      </c>
      <c r="F63" s="516">
        <v>-537</v>
      </c>
      <c r="G63" s="516">
        <v>-242</v>
      </c>
      <c r="H63" s="516">
        <v>-388</v>
      </c>
      <c r="I63" s="516">
        <v>-576</v>
      </c>
      <c r="J63" s="516">
        <v>-805</v>
      </c>
      <c r="K63" s="516">
        <v>-256</v>
      </c>
      <c r="L63" s="516">
        <v>-80</v>
      </c>
      <c r="M63" s="516"/>
      <c r="N63" s="516"/>
      <c r="O63" s="516"/>
      <c r="P63" s="516"/>
      <c r="Q63" s="516"/>
      <c r="R63" s="516"/>
      <c r="T63" s="516">
        <f t="shared" si="23"/>
        <v>-256</v>
      </c>
      <c r="U63" s="516">
        <f t="shared" si="24"/>
        <v>176</v>
      </c>
    </row>
    <row r="64" spans="1:21" outlineLevel="1">
      <c r="A64" s="511" t="s">
        <v>511</v>
      </c>
      <c r="C64" s="516">
        <v>-162</v>
      </c>
      <c r="D64" s="516">
        <v>-464</v>
      </c>
      <c r="E64" s="516">
        <v>-749</v>
      </c>
      <c r="F64" s="516">
        <v>-1254</v>
      </c>
      <c r="G64" s="516">
        <v>-403</v>
      </c>
      <c r="H64" s="516">
        <v>-900</v>
      </c>
      <c r="I64" s="516">
        <v>-1288</v>
      </c>
      <c r="J64" s="516">
        <v>-1474</v>
      </c>
      <c r="K64" s="516">
        <v>-627</v>
      </c>
      <c r="L64" s="516">
        <v>850</v>
      </c>
      <c r="M64" s="516"/>
      <c r="N64" s="516"/>
      <c r="O64" s="516"/>
      <c r="P64" s="516"/>
      <c r="Q64" s="516"/>
      <c r="R64" s="516"/>
      <c r="T64" s="516">
        <f t="shared" si="23"/>
        <v>-627</v>
      </c>
      <c r="U64" s="516">
        <f t="shared" si="24"/>
        <v>1477</v>
      </c>
    </row>
    <row r="65" spans="1:21" outlineLevel="1">
      <c r="A65" s="511" t="s">
        <v>512</v>
      </c>
      <c r="C65" s="516">
        <v>-13</v>
      </c>
      <c r="D65" s="516">
        <v>-39</v>
      </c>
      <c r="E65" s="516">
        <v>-60</v>
      </c>
      <c r="F65" s="516">
        <v>-86</v>
      </c>
      <c r="G65" s="516">
        <v>-19</v>
      </c>
      <c r="H65" s="516">
        <v>-38</v>
      </c>
      <c r="I65" s="516">
        <v>-60</v>
      </c>
      <c r="J65" s="516">
        <v>-83</v>
      </c>
      <c r="K65" s="516">
        <v>-22</v>
      </c>
      <c r="L65" s="516">
        <v>-17</v>
      </c>
      <c r="M65" s="516"/>
      <c r="N65" s="516"/>
      <c r="O65" s="516"/>
      <c r="P65" s="516"/>
      <c r="Q65" s="516"/>
      <c r="R65" s="516"/>
      <c r="T65" s="516">
        <f t="shared" si="23"/>
        <v>-22</v>
      </c>
      <c r="U65" s="516">
        <f t="shared" si="24"/>
        <v>5</v>
      </c>
    </row>
    <row r="66" spans="1:21" outlineLevel="1">
      <c r="A66" s="511" t="s">
        <v>513</v>
      </c>
      <c r="C66" s="516">
        <v>-703</v>
      </c>
      <c r="D66" s="516">
        <v>-2530</v>
      </c>
      <c r="E66" s="516">
        <v>-3747</v>
      </c>
      <c r="F66" s="516">
        <v>-5150</v>
      </c>
      <c r="G66" s="516">
        <v>-3979</v>
      </c>
      <c r="H66" s="516">
        <v>-4929</v>
      </c>
      <c r="I66" s="516">
        <v>-7974</v>
      </c>
      <c r="J66" s="516">
        <v>-19106</v>
      </c>
      <c r="K66" s="516">
        <v>-4996</v>
      </c>
      <c r="L66" s="516">
        <v>-6855</v>
      </c>
      <c r="M66" s="516"/>
      <c r="N66" s="516"/>
      <c r="O66" s="516"/>
      <c r="P66" s="516"/>
      <c r="Q66" s="516"/>
      <c r="R66" s="516"/>
      <c r="T66" s="516">
        <f t="shared" si="23"/>
        <v>-4996</v>
      </c>
      <c r="U66" s="516">
        <f t="shared" si="24"/>
        <v>-1859</v>
      </c>
    </row>
    <row r="67" spans="1:21">
      <c r="A67" s="510" t="s">
        <v>514</v>
      </c>
      <c r="C67" s="518">
        <v>24</v>
      </c>
      <c r="D67" s="518">
        <v>14</v>
      </c>
      <c r="E67" s="518">
        <v>17</v>
      </c>
      <c r="F67" s="518">
        <v>-5</v>
      </c>
      <c r="G67" s="518">
        <v>-770</v>
      </c>
      <c r="H67" s="518">
        <v>-290</v>
      </c>
      <c r="I67" s="518">
        <v>-339</v>
      </c>
      <c r="J67" s="518">
        <v>-709</v>
      </c>
      <c r="K67" s="518">
        <v>-97</v>
      </c>
      <c r="L67" s="518">
        <v>-1240</v>
      </c>
      <c r="M67" s="518"/>
      <c r="N67" s="518"/>
      <c r="O67" s="518"/>
      <c r="P67" s="518"/>
      <c r="Q67" s="518"/>
      <c r="R67" s="518"/>
      <c r="T67" s="518">
        <f t="shared" si="23"/>
        <v>-97</v>
      </c>
      <c r="U67" s="518">
        <f t="shared" si="24"/>
        <v>-1143</v>
      </c>
    </row>
    <row r="68" spans="1:21">
      <c r="A68" s="510" t="s">
        <v>515</v>
      </c>
      <c r="C68" s="515">
        <f t="shared" ref="C68:H68" si="25">SUM(C69:C76)</f>
        <v>-8904</v>
      </c>
      <c r="D68" s="515">
        <f t="shared" si="25"/>
        <v>-21450</v>
      </c>
      <c r="E68" s="515">
        <f t="shared" si="25"/>
        <v>-33041</v>
      </c>
      <c r="F68" s="515">
        <f t="shared" si="25"/>
        <v>-52184</v>
      </c>
      <c r="G68" s="515">
        <f t="shared" si="25"/>
        <v>-14906</v>
      </c>
      <c r="H68" s="515">
        <f t="shared" si="25"/>
        <v>-31263</v>
      </c>
      <c r="I68" s="515">
        <f>SUM(I69:I76)</f>
        <v>-47703</v>
      </c>
      <c r="J68" s="515">
        <f>SUM(J69:J76)</f>
        <v>-52129</v>
      </c>
      <c r="K68" s="515">
        <f>SUM(K69:K76)</f>
        <v>-15902</v>
      </c>
      <c r="L68" s="515">
        <f>SUM(L69:L76)</f>
        <v>-25531</v>
      </c>
      <c r="M68" s="515"/>
      <c r="N68" s="515"/>
      <c r="O68" s="515"/>
      <c r="P68" s="515"/>
      <c r="Q68" s="515"/>
      <c r="R68" s="515"/>
      <c r="T68" s="515">
        <f>SUM(T69:T76)</f>
        <v>-15902</v>
      </c>
      <c r="U68" s="515">
        <f>SUM(U69:U76)</f>
        <v>-9629</v>
      </c>
    </row>
    <row r="69" spans="1:21" outlineLevel="1">
      <c r="A69" s="511" t="s">
        <v>516</v>
      </c>
      <c r="C69" s="516">
        <v>-5779</v>
      </c>
      <c r="D69" s="516">
        <v>-12895</v>
      </c>
      <c r="E69" s="516">
        <v>-18804</v>
      </c>
      <c r="F69" s="516">
        <v>-27195</v>
      </c>
      <c r="G69" s="516">
        <v>-10324</v>
      </c>
      <c r="H69" s="516">
        <v>-21161</v>
      </c>
      <c r="I69" s="516">
        <v>-32783</v>
      </c>
      <c r="J69" s="516">
        <v>-40399</v>
      </c>
      <c r="K69" s="516">
        <v>-11404</v>
      </c>
      <c r="L69" s="516">
        <v>-18702</v>
      </c>
      <c r="M69" s="516"/>
      <c r="N69" s="516"/>
      <c r="O69" s="516"/>
      <c r="P69" s="516"/>
      <c r="Q69" s="516"/>
      <c r="R69" s="516"/>
      <c r="T69" s="516">
        <f t="shared" ref="T69:T77" si="26">K69</f>
        <v>-11404</v>
      </c>
      <c r="U69" s="516">
        <f t="shared" ref="U69:U77" si="27">L69-T69</f>
        <v>-7298</v>
      </c>
    </row>
    <row r="70" spans="1:21" outlineLevel="1">
      <c r="A70" s="511" t="s">
        <v>517</v>
      </c>
      <c r="C70" s="516">
        <v>-279</v>
      </c>
      <c r="D70" s="516">
        <v>-612</v>
      </c>
      <c r="E70" s="516">
        <v>-1354</v>
      </c>
      <c r="F70" s="516">
        <v>-2385</v>
      </c>
      <c r="G70" s="516">
        <v>-636</v>
      </c>
      <c r="H70" s="516">
        <v>-821</v>
      </c>
      <c r="I70" s="516">
        <v>-1745</v>
      </c>
      <c r="J70" s="516">
        <v>-2829</v>
      </c>
      <c r="K70" s="516">
        <v>-561</v>
      </c>
      <c r="L70" s="516">
        <v>-889</v>
      </c>
      <c r="M70" s="516"/>
      <c r="N70" s="516"/>
      <c r="O70" s="516"/>
      <c r="P70" s="516"/>
      <c r="Q70" s="516"/>
      <c r="R70" s="516"/>
      <c r="T70" s="516">
        <f t="shared" si="26"/>
        <v>-561</v>
      </c>
      <c r="U70" s="516">
        <f t="shared" si="27"/>
        <v>-328</v>
      </c>
    </row>
    <row r="71" spans="1:21" outlineLevel="1">
      <c r="A71" s="511" t="s">
        <v>518</v>
      </c>
      <c r="C71" s="516">
        <v>-2155</v>
      </c>
      <c r="D71" s="516">
        <v>-4930</v>
      </c>
      <c r="E71" s="516">
        <v>-8560</v>
      </c>
      <c r="F71" s="516">
        <v>-12714</v>
      </c>
      <c r="G71" s="516">
        <v>-1891</v>
      </c>
      <c r="H71" s="516">
        <v>-764</v>
      </c>
      <c r="I71" s="516">
        <v>-1354</v>
      </c>
      <c r="J71" s="516">
        <v>4967</v>
      </c>
      <c r="K71" s="516">
        <v>-731</v>
      </c>
      <c r="L71" s="516">
        <v>1373</v>
      </c>
      <c r="M71" s="516"/>
      <c r="N71" s="516"/>
      <c r="O71" s="516"/>
      <c r="P71" s="516"/>
      <c r="Q71" s="516"/>
      <c r="R71" s="516"/>
      <c r="T71" s="516">
        <f t="shared" si="26"/>
        <v>-731</v>
      </c>
      <c r="U71" s="516">
        <f t="shared" si="27"/>
        <v>2104</v>
      </c>
    </row>
    <row r="72" spans="1:21" outlineLevel="1">
      <c r="A72" s="511" t="s">
        <v>519</v>
      </c>
      <c r="C72" s="516">
        <v>-177</v>
      </c>
      <c r="D72" s="516">
        <v>-313</v>
      </c>
      <c r="E72" s="516">
        <v>-399</v>
      </c>
      <c r="F72" s="516">
        <v>-653</v>
      </c>
      <c r="G72" s="516">
        <v>-427</v>
      </c>
      <c r="H72" s="516">
        <v>-1409</v>
      </c>
      <c r="I72" s="516">
        <v>-2012</v>
      </c>
      <c r="J72" s="516">
        <v>-1211</v>
      </c>
      <c r="K72" s="516">
        <v>-534</v>
      </c>
      <c r="L72" s="516">
        <v>-991</v>
      </c>
      <c r="M72" s="516"/>
      <c r="N72" s="516"/>
      <c r="O72" s="516"/>
      <c r="P72" s="516"/>
      <c r="Q72" s="516"/>
      <c r="R72" s="516"/>
      <c r="T72" s="516">
        <f t="shared" si="26"/>
        <v>-534</v>
      </c>
      <c r="U72" s="516">
        <f t="shared" si="27"/>
        <v>-457</v>
      </c>
    </row>
    <row r="73" spans="1:21" outlineLevel="1">
      <c r="A73" s="511" t="s">
        <v>520</v>
      </c>
      <c r="C73" s="516">
        <v>-54</v>
      </c>
      <c r="D73" s="516">
        <v>-133</v>
      </c>
      <c r="E73" s="516">
        <v>-278</v>
      </c>
      <c r="F73" s="516">
        <v>-4221</v>
      </c>
      <c r="G73" s="516">
        <v>-290</v>
      </c>
      <c r="H73" s="516">
        <v>-3870</v>
      </c>
      <c r="I73" s="516">
        <v>-4695</v>
      </c>
      <c r="J73" s="516">
        <v>-4958</v>
      </c>
      <c r="K73" s="516">
        <v>-638</v>
      </c>
      <c r="L73" s="516">
        <v>-1785</v>
      </c>
      <c r="M73" s="516"/>
      <c r="N73" s="516"/>
      <c r="O73" s="516"/>
      <c r="P73" s="516"/>
      <c r="Q73" s="516"/>
      <c r="R73" s="516"/>
      <c r="T73" s="516">
        <f t="shared" si="26"/>
        <v>-638</v>
      </c>
      <c r="U73" s="516">
        <f t="shared" si="27"/>
        <v>-1147</v>
      </c>
    </row>
    <row r="74" spans="1:21" outlineLevel="1">
      <c r="A74" s="511" t="s">
        <v>521</v>
      </c>
      <c r="C74" s="516">
        <v>-399</v>
      </c>
      <c r="D74" s="516">
        <v>-2445</v>
      </c>
      <c r="E74" s="516">
        <v>-2745</v>
      </c>
      <c r="F74" s="516">
        <v>-2880</v>
      </c>
      <c r="G74" s="516">
        <v>-124</v>
      </c>
      <c r="H74" s="516">
        <v>-488</v>
      </c>
      <c r="I74" s="516">
        <v>-803</v>
      </c>
      <c r="J74" s="516">
        <v>-1005</v>
      </c>
      <c r="K74" s="516">
        <v>268</v>
      </c>
      <c r="L74" s="516">
        <v>-76</v>
      </c>
      <c r="M74" s="516"/>
      <c r="N74" s="516"/>
      <c r="O74" s="516"/>
      <c r="P74" s="516"/>
      <c r="Q74" s="516"/>
      <c r="R74" s="516"/>
      <c r="T74" s="516">
        <f t="shared" si="26"/>
        <v>268</v>
      </c>
      <c r="U74" s="516">
        <f t="shared" si="27"/>
        <v>-344</v>
      </c>
    </row>
    <row r="75" spans="1:21" outlineLevel="1">
      <c r="A75" s="511" t="s">
        <v>522</v>
      </c>
      <c r="C75" s="516">
        <v>-61</v>
      </c>
      <c r="D75" s="516">
        <v>-122</v>
      </c>
      <c r="E75" s="516">
        <v>-901</v>
      </c>
      <c r="F75" s="516">
        <v>-2136</v>
      </c>
      <c r="G75" s="516">
        <v>-1214</v>
      </c>
      <c r="H75" s="516">
        <v>-2750</v>
      </c>
      <c r="I75" s="516">
        <v>-4311</v>
      </c>
      <c r="J75" s="516">
        <v>-6694</v>
      </c>
      <c r="K75" s="516">
        <v>-2302</v>
      </c>
      <c r="L75" s="516">
        <v>-4461</v>
      </c>
      <c r="M75" s="516"/>
      <c r="N75" s="516"/>
      <c r="O75" s="516"/>
      <c r="P75" s="516"/>
      <c r="Q75" s="516"/>
      <c r="R75" s="516"/>
      <c r="T75" s="516">
        <f t="shared" si="26"/>
        <v>-2302</v>
      </c>
      <c r="U75" s="516">
        <f t="shared" si="27"/>
        <v>-2159</v>
      </c>
    </row>
    <row r="76" spans="1:21" outlineLevel="1">
      <c r="A76" s="511" t="s">
        <v>523</v>
      </c>
      <c r="C76" s="516">
        <v>0</v>
      </c>
      <c r="D76" s="516">
        <v>0</v>
      </c>
      <c r="E76" s="516">
        <v>0</v>
      </c>
      <c r="F76" s="516">
        <v>0</v>
      </c>
      <c r="G76" s="516">
        <v>0</v>
      </c>
      <c r="H76" s="516">
        <v>0</v>
      </c>
      <c r="I76" s="516">
        <v>0</v>
      </c>
      <c r="J76" s="516">
        <v>0</v>
      </c>
      <c r="K76" s="516">
        <v>0</v>
      </c>
      <c r="L76" s="516">
        <v>0</v>
      </c>
      <c r="M76" s="516"/>
      <c r="N76" s="516"/>
      <c r="O76" s="516"/>
      <c r="P76" s="516"/>
      <c r="Q76" s="516"/>
      <c r="R76" s="516"/>
      <c r="T76" s="516">
        <f t="shared" si="26"/>
        <v>0</v>
      </c>
      <c r="U76" s="516">
        <f t="shared" si="27"/>
        <v>0</v>
      </c>
    </row>
    <row r="77" spans="1:21">
      <c r="A77" s="510" t="s">
        <v>524</v>
      </c>
      <c r="C77" s="515">
        <v>0</v>
      </c>
      <c r="D77" s="515">
        <v>0</v>
      </c>
      <c r="E77" s="515">
        <v>0</v>
      </c>
      <c r="F77" s="515">
        <v>0</v>
      </c>
      <c r="G77" s="515">
        <v>0</v>
      </c>
      <c r="H77" s="515">
        <v>0</v>
      </c>
      <c r="I77" s="515">
        <v>0</v>
      </c>
      <c r="J77" s="515"/>
      <c r="K77" s="515"/>
      <c r="L77" s="515">
        <v>-605</v>
      </c>
      <c r="M77" s="515"/>
      <c r="N77" s="515"/>
      <c r="O77" s="515"/>
      <c r="P77" s="515"/>
      <c r="Q77" s="515"/>
      <c r="R77" s="515"/>
      <c r="T77" s="515">
        <f t="shared" si="26"/>
        <v>0</v>
      </c>
      <c r="U77" s="515">
        <f t="shared" si="27"/>
        <v>-605</v>
      </c>
    </row>
    <row r="78" spans="1:21">
      <c r="A78" s="510" t="s">
        <v>525</v>
      </c>
      <c r="C78" s="515">
        <f t="shared" ref="C78:K78" si="28">SUM(C79:C81)</f>
        <v>-44</v>
      </c>
      <c r="D78" s="515">
        <f t="shared" si="28"/>
        <v>-1139</v>
      </c>
      <c r="E78" s="515">
        <f t="shared" si="28"/>
        <v>-2671</v>
      </c>
      <c r="F78" s="515">
        <f t="shared" si="28"/>
        <v>-6845</v>
      </c>
      <c r="G78" s="515">
        <f t="shared" si="28"/>
        <v>-712</v>
      </c>
      <c r="H78" s="515">
        <f t="shared" si="28"/>
        <v>-2590</v>
      </c>
      <c r="I78" s="515">
        <f t="shared" si="28"/>
        <v>-3660</v>
      </c>
      <c r="J78" s="515">
        <f t="shared" si="28"/>
        <v>-5816</v>
      </c>
      <c r="K78" s="515">
        <f t="shared" si="28"/>
        <v>-4072</v>
      </c>
      <c r="L78" s="515">
        <f>SUM(L79:L81)</f>
        <v>-5217</v>
      </c>
      <c r="M78" s="515"/>
      <c r="N78" s="515"/>
      <c r="O78" s="515"/>
      <c r="P78" s="515"/>
      <c r="Q78" s="515"/>
      <c r="R78" s="515"/>
      <c r="T78" s="515">
        <f t="shared" ref="T78" si="29">SUM(T79:T81)</f>
        <v>-4072</v>
      </c>
      <c r="U78" s="515">
        <f>SUM(U79:U81)</f>
        <v>-1145</v>
      </c>
    </row>
    <row r="79" spans="1:21" outlineLevel="1">
      <c r="A79" s="511" t="s">
        <v>526</v>
      </c>
      <c r="C79" s="516">
        <v>-44</v>
      </c>
      <c r="D79" s="516">
        <v>-1139</v>
      </c>
      <c r="E79" s="516">
        <v>-2671</v>
      </c>
      <c r="F79" s="516">
        <v>-3715</v>
      </c>
      <c r="G79" s="516">
        <v>-712</v>
      </c>
      <c r="H79" s="516">
        <v>-2311</v>
      </c>
      <c r="I79" s="516">
        <v>-3382</v>
      </c>
      <c r="J79" s="516">
        <v>-5379</v>
      </c>
      <c r="K79" s="516">
        <v>-3893</v>
      </c>
      <c r="L79" s="516">
        <v>-5724</v>
      </c>
      <c r="M79" s="516"/>
      <c r="N79" s="516"/>
      <c r="O79" s="516"/>
      <c r="P79" s="516"/>
      <c r="Q79" s="516"/>
      <c r="R79" s="516"/>
      <c r="T79" s="516">
        <f t="shared" ref="T79:T80" si="30">K79</f>
        <v>-3893</v>
      </c>
      <c r="U79" s="516">
        <f t="shared" ref="U79:U81" si="31">L79-T79</f>
        <v>-1831</v>
      </c>
    </row>
    <row r="80" spans="1:21" outlineLevel="1">
      <c r="A80" s="511" t="s">
        <v>527</v>
      </c>
      <c r="C80" s="516">
        <v>0</v>
      </c>
      <c r="D80" s="516">
        <v>0</v>
      </c>
      <c r="E80" s="516">
        <v>0</v>
      </c>
      <c r="F80" s="516">
        <v>-3130</v>
      </c>
      <c r="G80" s="516">
        <v>0</v>
      </c>
      <c r="H80" s="516">
        <v>-279</v>
      </c>
      <c r="I80" s="516">
        <v>-278</v>
      </c>
      <c r="J80" s="516">
        <v>-437</v>
      </c>
      <c r="K80" s="516">
        <v>-179</v>
      </c>
      <c r="L80" s="516">
        <v>507</v>
      </c>
      <c r="M80" s="516"/>
      <c r="N80" s="516"/>
      <c r="O80" s="516"/>
      <c r="P80" s="516"/>
      <c r="Q80" s="516"/>
      <c r="R80" s="516"/>
      <c r="T80" s="516">
        <f t="shared" si="30"/>
        <v>-179</v>
      </c>
      <c r="U80" s="516">
        <f t="shared" si="31"/>
        <v>686</v>
      </c>
    </row>
    <row r="81" spans="1:21" outlineLevel="1">
      <c r="A81" s="511" t="s">
        <v>528</v>
      </c>
      <c r="C81" s="516"/>
      <c r="D81" s="516"/>
      <c r="E81" s="516"/>
      <c r="F81" s="516"/>
      <c r="G81" s="516"/>
      <c r="H81" s="516"/>
      <c r="I81" s="516"/>
      <c r="J81" s="516"/>
      <c r="K81" s="516"/>
      <c r="L81" s="516"/>
      <c r="M81" s="516"/>
      <c r="N81" s="516"/>
      <c r="O81" s="516"/>
      <c r="P81" s="516"/>
      <c r="Q81" s="516"/>
      <c r="R81" s="516"/>
      <c r="T81" s="516"/>
      <c r="U81" s="516">
        <f t="shared" si="31"/>
        <v>0</v>
      </c>
    </row>
    <row r="82" spans="1:21">
      <c r="A82" s="510"/>
      <c r="C82" s="510"/>
      <c r="D82" s="510"/>
      <c r="E82" s="510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0"/>
      <c r="T82" s="510"/>
      <c r="U82" s="510"/>
    </row>
    <row r="83" spans="1:21">
      <c r="A83" s="522" t="s">
        <v>529</v>
      </c>
      <c r="C83" s="513">
        <f t="shared" ref="C83:H83" si="32">C85-C75-C52-C76</f>
        <v>3849</v>
      </c>
      <c r="D83" s="513">
        <f t="shared" si="32"/>
        <v>11869</v>
      </c>
      <c r="E83" s="513">
        <f t="shared" si="32"/>
        <v>7017</v>
      </c>
      <c r="F83" s="513">
        <f t="shared" si="32"/>
        <v>-27303</v>
      </c>
      <c r="G83" s="513">
        <f t="shared" si="32"/>
        <v>85844</v>
      </c>
      <c r="H83" s="513">
        <f t="shared" si="32"/>
        <v>127878</v>
      </c>
      <c r="I83" s="513">
        <f>I85-I75-I52-I76</f>
        <v>173988</v>
      </c>
      <c r="J83" s="513">
        <f>J85-J75-J52-J76</f>
        <v>-2741</v>
      </c>
      <c r="K83" s="513">
        <f>K85-K75-K52-K76</f>
        <v>30001</v>
      </c>
      <c r="L83" s="513">
        <f>L85-L75-L52-L76</f>
        <v>38551</v>
      </c>
      <c r="M83" s="513"/>
      <c r="N83" s="513"/>
      <c r="O83" s="513"/>
      <c r="P83" s="513"/>
      <c r="Q83" s="513"/>
      <c r="R83" s="513"/>
      <c r="T83" s="513">
        <f>T85-T75-T52-T76</f>
        <v>30001</v>
      </c>
      <c r="U83" s="513">
        <f>U85-U75-U52-U76</f>
        <v>8550</v>
      </c>
    </row>
    <row r="84" spans="1:21">
      <c r="A84" s="510"/>
      <c r="C84" s="510"/>
      <c r="D84" s="510"/>
      <c r="E84" s="510"/>
      <c r="F84" s="510"/>
      <c r="G84" s="510"/>
      <c r="H84" s="510"/>
      <c r="I84" s="510"/>
      <c r="J84" s="510"/>
      <c r="K84" s="510"/>
      <c r="L84" s="510"/>
      <c r="M84" s="510"/>
      <c r="N84" s="510"/>
      <c r="O84" s="510"/>
      <c r="P84" s="510"/>
      <c r="Q84" s="510"/>
      <c r="R84" s="510"/>
      <c r="T84" s="510"/>
      <c r="U84" s="510"/>
    </row>
    <row r="85" spans="1:21">
      <c r="A85" s="522" t="s">
        <v>530</v>
      </c>
      <c r="C85" s="513">
        <f t="shared" ref="C85:H85" si="33">C57+C59</f>
        <v>3788</v>
      </c>
      <c r="D85" s="513">
        <f t="shared" si="33"/>
        <v>11745</v>
      </c>
      <c r="E85" s="513">
        <f t="shared" si="33"/>
        <v>5711</v>
      </c>
      <c r="F85" s="513">
        <f t="shared" si="33"/>
        <v>-30014</v>
      </c>
      <c r="G85" s="513">
        <f t="shared" si="33"/>
        <v>84377</v>
      </c>
      <c r="H85" s="513">
        <f t="shared" si="33"/>
        <v>124570</v>
      </c>
      <c r="I85" s="513">
        <f>I57+I59</f>
        <v>168730</v>
      </c>
      <c r="J85" s="513">
        <f>J57+J59</f>
        <v>-10773</v>
      </c>
      <c r="K85" s="513">
        <f>K57+K59</f>
        <v>27308</v>
      </c>
      <c r="L85" s="513">
        <f>L57+L59</f>
        <v>33144</v>
      </c>
      <c r="M85" s="513"/>
      <c r="N85" s="513"/>
      <c r="O85" s="513"/>
      <c r="P85" s="513"/>
      <c r="Q85" s="513"/>
      <c r="R85" s="513"/>
      <c r="T85" s="513">
        <f>T57+T59</f>
        <v>27308</v>
      </c>
      <c r="U85" s="513">
        <f>U57+U59</f>
        <v>5836</v>
      </c>
    </row>
    <row r="86" spans="1:21">
      <c r="A86" s="510"/>
      <c r="C86" s="510"/>
      <c r="D86" s="510"/>
      <c r="E86" s="510"/>
      <c r="F86" s="510"/>
      <c r="G86" s="510"/>
      <c r="H86" s="510"/>
      <c r="I86" s="510"/>
      <c r="J86" s="510"/>
      <c r="K86" s="510"/>
      <c r="L86" s="510"/>
      <c r="M86" s="510"/>
      <c r="N86" s="510"/>
      <c r="O86" s="510"/>
      <c r="P86" s="510"/>
      <c r="Q86" s="510"/>
      <c r="R86" s="510"/>
      <c r="T86" s="510"/>
      <c r="U86" s="510"/>
    </row>
    <row r="87" spans="1:21">
      <c r="A87" s="522" t="s">
        <v>531</v>
      </c>
      <c r="C87" s="513">
        <f t="shared" ref="C87:H87" si="34">C89+C98</f>
        <v>1183</v>
      </c>
      <c r="D87" s="513">
        <f t="shared" si="34"/>
        <v>2219</v>
      </c>
      <c r="E87" s="513">
        <f t="shared" si="34"/>
        <v>3624</v>
      </c>
      <c r="F87" s="513">
        <f t="shared" si="34"/>
        <v>3212</v>
      </c>
      <c r="G87" s="513">
        <f t="shared" si="34"/>
        <v>1720</v>
      </c>
      <c r="H87" s="513">
        <f t="shared" si="34"/>
        <v>1344</v>
      </c>
      <c r="I87" s="513">
        <f>I89+I98</f>
        <v>-785</v>
      </c>
      <c r="J87" s="513">
        <f>J89+J98</f>
        <v>-4306</v>
      </c>
      <c r="K87" s="513">
        <f>K89+K98</f>
        <v>-4922</v>
      </c>
      <c r="L87" s="513">
        <f>L89+L98</f>
        <v>-14174</v>
      </c>
      <c r="M87" s="513"/>
      <c r="N87" s="513"/>
      <c r="O87" s="513"/>
      <c r="P87" s="513"/>
      <c r="Q87" s="513"/>
      <c r="R87" s="513"/>
      <c r="T87" s="513">
        <f>T89+T98</f>
        <v>-4922</v>
      </c>
      <c r="U87" s="513">
        <f>U89+U98</f>
        <v>-9252</v>
      </c>
    </row>
    <row r="88" spans="1:21">
      <c r="A88" s="509"/>
      <c r="C88" s="510"/>
      <c r="D88" s="510"/>
      <c r="E88" s="510"/>
      <c r="F88" s="510"/>
      <c r="G88" s="510"/>
      <c r="H88" s="510"/>
      <c r="I88" s="510"/>
      <c r="J88" s="510"/>
      <c r="K88" s="510"/>
      <c r="L88" s="510"/>
      <c r="M88" s="510"/>
      <c r="N88" s="510"/>
      <c r="O88" s="510"/>
      <c r="P88" s="510"/>
      <c r="Q88" s="510"/>
      <c r="R88" s="510"/>
      <c r="T88" s="510"/>
      <c r="U88" s="510"/>
    </row>
    <row r="89" spans="1:21">
      <c r="A89" s="510" t="s">
        <v>532</v>
      </c>
      <c r="C89" s="517">
        <f t="shared" ref="C89:H89" si="35">SUM(C90:C97)</f>
        <v>5260</v>
      </c>
      <c r="D89" s="517">
        <f t="shared" si="35"/>
        <v>12052</v>
      </c>
      <c r="E89" s="517">
        <f t="shared" si="35"/>
        <v>24152</v>
      </c>
      <c r="F89" s="517">
        <f t="shared" si="35"/>
        <v>33646</v>
      </c>
      <c r="G89" s="517">
        <f t="shared" si="35"/>
        <v>15333</v>
      </c>
      <c r="H89" s="517">
        <f t="shared" si="35"/>
        <v>28794</v>
      </c>
      <c r="I89" s="517">
        <f>SUM(I90:I97)</f>
        <v>33687</v>
      </c>
      <c r="J89" s="517">
        <f>SUM(J90:J97)</f>
        <v>39903</v>
      </c>
      <c r="K89" s="517">
        <f>SUM(K90:K97)</f>
        <v>9175</v>
      </c>
      <c r="L89" s="517">
        <f>SUM(L90:L97)</f>
        <v>26072</v>
      </c>
      <c r="M89" s="517"/>
      <c r="N89" s="517"/>
      <c r="O89" s="517"/>
      <c r="P89" s="517"/>
      <c r="Q89" s="517"/>
      <c r="R89" s="517"/>
      <c r="T89" s="517">
        <f>SUM(T90:T97)</f>
        <v>9175</v>
      </c>
      <c r="U89" s="517">
        <f>SUM(U90:U97)</f>
        <v>16897</v>
      </c>
    </row>
    <row r="90" spans="1:21" outlineLevel="1">
      <c r="A90" s="511" t="s">
        <v>533</v>
      </c>
      <c r="C90" s="516">
        <v>2402</v>
      </c>
      <c r="D90" s="516">
        <v>8166</v>
      </c>
      <c r="E90" s="516">
        <v>18868</v>
      </c>
      <c r="F90" s="516">
        <v>27111</v>
      </c>
      <c r="G90" s="516">
        <v>12492</v>
      </c>
      <c r="H90" s="516">
        <v>23823</v>
      </c>
      <c r="I90" s="516">
        <v>29275</v>
      </c>
      <c r="J90" s="516">
        <v>35140</v>
      </c>
      <c r="K90" s="516">
        <v>8912</v>
      </c>
      <c r="L90" s="516">
        <v>25742</v>
      </c>
      <c r="M90" s="516"/>
      <c r="N90" s="516"/>
      <c r="O90" s="516"/>
      <c r="P90" s="516"/>
      <c r="Q90" s="516"/>
      <c r="R90" s="516"/>
      <c r="T90" s="516">
        <f t="shared" ref="T90:T97" si="36">K90</f>
        <v>8912</v>
      </c>
      <c r="U90" s="516">
        <f t="shared" ref="U90:U97" si="37">L90-T90</f>
        <v>16830</v>
      </c>
    </row>
    <row r="91" spans="1:21" outlineLevel="1">
      <c r="A91" s="511" t="s">
        <v>534</v>
      </c>
      <c r="C91" s="516">
        <v>-58</v>
      </c>
      <c r="D91" s="516">
        <v>-105</v>
      </c>
      <c r="E91" s="516">
        <v>-178</v>
      </c>
      <c r="F91" s="516">
        <v>-243</v>
      </c>
      <c r="G91" s="516">
        <v>-48</v>
      </c>
      <c r="H91" s="516">
        <v>-106</v>
      </c>
      <c r="I91" s="516">
        <v>-164</v>
      </c>
      <c r="J91" s="516">
        <v>-205</v>
      </c>
      <c r="K91" s="516">
        <v>-28</v>
      </c>
      <c r="L91" s="516">
        <v>-81</v>
      </c>
      <c r="M91" s="516"/>
      <c r="N91" s="516"/>
      <c r="O91" s="516"/>
      <c r="P91" s="516"/>
      <c r="Q91" s="516"/>
      <c r="R91" s="516"/>
      <c r="T91" s="516">
        <f t="shared" si="36"/>
        <v>-28</v>
      </c>
      <c r="U91" s="516">
        <f t="shared" si="37"/>
        <v>-53</v>
      </c>
    </row>
    <row r="92" spans="1:21" outlineLevel="1">
      <c r="A92" s="511" t="s">
        <v>535</v>
      </c>
      <c r="C92" s="516">
        <v>0</v>
      </c>
      <c r="D92" s="516">
        <v>0</v>
      </c>
      <c r="E92" s="516">
        <v>0</v>
      </c>
      <c r="F92" s="516">
        <v>0</v>
      </c>
      <c r="G92" s="516">
        <v>0</v>
      </c>
      <c r="H92" s="516">
        <v>0</v>
      </c>
      <c r="I92" s="516">
        <v>0</v>
      </c>
      <c r="J92" s="516">
        <v>0</v>
      </c>
      <c r="K92" s="516">
        <v>0</v>
      </c>
      <c r="L92" s="516">
        <v>0</v>
      </c>
      <c r="M92" s="516"/>
      <c r="N92" s="516"/>
      <c r="O92" s="516"/>
      <c r="P92" s="516"/>
      <c r="Q92" s="516"/>
      <c r="R92" s="516"/>
      <c r="T92" s="516">
        <f t="shared" si="36"/>
        <v>0</v>
      </c>
      <c r="U92" s="516">
        <f t="shared" si="37"/>
        <v>0</v>
      </c>
    </row>
    <row r="93" spans="1:21" outlineLevel="1">
      <c r="A93" s="511" t="s">
        <v>536</v>
      </c>
      <c r="C93" s="516">
        <v>0</v>
      </c>
      <c r="D93" s="516">
        <v>0</v>
      </c>
      <c r="E93" s="516">
        <v>0</v>
      </c>
      <c r="F93" s="516">
        <v>0</v>
      </c>
      <c r="G93" s="516">
        <v>0</v>
      </c>
      <c r="H93" s="516">
        <v>0</v>
      </c>
      <c r="I93" s="516">
        <v>0</v>
      </c>
      <c r="J93" s="516">
        <v>0</v>
      </c>
      <c r="K93" s="516">
        <v>0</v>
      </c>
      <c r="L93" s="516">
        <v>0</v>
      </c>
      <c r="M93" s="516"/>
      <c r="N93" s="516"/>
      <c r="O93" s="516"/>
      <c r="P93" s="516"/>
      <c r="Q93" s="516"/>
      <c r="R93" s="516"/>
      <c r="T93" s="516">
        <f t="shared" si="36"/>
        <v>0</v>
      </c>
      <c r="U93" s="516">
        <f t="shared" si="37"/>
        <v>0</v>
      </c>
    </row>
    <row r="94" spans="1:21" outlineLevel="1">
      <c r="A94" s="511" t="s">
        <v>537</v>
      </c>
      <c r="C94" s="516">
        <v>0</v>
      </c>
      <c r="D94" s="516">
        <v>0</v>
      </c>
      <c r="E94" s="516">
        <v>0</v>
      </c>
      <c r="F94" s="516">
        <v>0</v>
      </c>
      <c r="G94" s="516">
        <v>0</v>
      </c>
      <c r="H94" s="516">
        <v>0</v>
      </c>
      <c r="I94" s="516">
        <v>0</v>
      </c>
      <c r="J94" s="516">
        <v>0</v>
      </c>
      <c r="K94" s="516">
        <v>0</v>
      </c>
      <c r="L94" s="516">
        <v>0</v>
      </c>
      <c r="M94" s="516"/>
      <c r="N94" s="516"/>
      <c r="O94" s="516"/>
      <c r="P94" s="516"/>
      <c r="Q94" s="516"/>
      <c r="R94" s="516"/>
      <c r="T94" s="516">
        <f t="shared" si="36"/>
        <v>0</v>
      </c>
      <c r="U94" s="516">
        <f t="shared" si="37"/>
        <v>0</v>
      </c>
    </row>
    <row r="95" spans="1:21" outlineLevel="1">
      <c r="A95" s="511" t="s">
        <v>538</v>
      </c>
      <c r="C95" s="516">
        <v>0</v>
      </c>
      <c r="D95" s="516">
        <v>0</v>
      </c>
      <c r="E95" s="516">
        <v>0</v>
      </c>
      <c r="F95" s="516">
        <v>0</v>
      </c>
      <c r="G95" s="516">
        <v>0</v>
      </c>
      <c r="H95" s="516">
        <v>0</v>
      </c>
      <c r="I95" s="516">
        <v>0</v>
      </c>
      <c r="J95" s="516">
        <v>0</v>
      </c>
      <c r="K95" s="516">
        <v>0</v>
      </c>
      <c r="L95" s="516">
        <v>0</v>
      </c>
      <c r="M95" s="516"/>
      <c r="N95" s="516"/>
      <c r="O95" s="516"/>
      <c r="P95" s="516"/>
      <c r="Q95" s="516"/>
      <c r="R95" s="516"/>
      <c r="T95" s="516">
        <f t="shared" si="36"/>
        <v>0</v>
      </c>
      <c r="U95" s="516">
        <f t="shared" si="37"/>
        <v>0</v>
      </c>
    </row>
    <row r="96" spans="1:21" outlineLevel="1">
      <c r="A96" s="511" t="s">
        <v>539</v>
      </c>
      <c r="C96" s="516">
        <v>13</v>
      </c>
      <c r="D96" s="516">
        <v>37</v>
      </c>
      <c r="E96" s="516">
        <v>60</v>
      </c>
      <c r="F96" s="516">
        <v>111</v>
      </c>
      <c r="G96" s="516">
        <v>82</v>
      </c>
      <c r="H96" s="516">
        <v>5</v>
      </c>
      <c r="I96" s="516">
        <v>6</v>
      </c>
      <c r="J96" s="516">
        <v>10</v>
      </c>
      <c r="K96" s="516">
        <v>0</v>
      </c>
      <c r="L96" s="516">
        <v>99</v>
      </c>
      <c r="M96" s="516"/>
      <c r="N96" s="516"/>
      <c r="O96" s="516"/>
      <c r="P96" s="516"/>
      <c r="Q96" s="516"/>
      <c r="R96" s="516"/>
      <c r="T96" s="516">
        <f t="shared" si="36"/>
        <v>0</v>
      </c>
      <c r="U96" s="516">
        <f t="shared" si="37"/>
        <v>99</v>
      </c>
    </row>
    <row r="97" spans="1:21" outlineLevel="1">
      <c r="A97" s="511" t="s">
        <v>540</v>
      </c>
      <c r="C97" s="516">
        <v>2903</v>
      </c>
      <c r="D97" s="516">
        <v>3954</v>
      </c>
      <c r="E97" s="516">
        <v>5402</v>
      </c>
      <c r="F97" s="516">
        <v>6667</v>
      </c>
      <c r="G97" s="516">
        <v>2807</v>
      </c>
      <c r="H97" s="516">
        <v>5072</v>
      </c>
      <c r="I97" s="516">
        <v>4570</v>
      </c>
      <c r="J97" s="516">
        <v>4958</v>
      </c>
      <c r="K97" s="516">
        <v>291</v>
      </c>
      <c r="L97" s="516">
        <v>312</v>
      </c>
      <c r="M97" s="516"/>
      <c r="N97" s="516"/>
      <c r="O97" s="516"/>
      <c r="P97" s="516"/>
      <c r="Q97" s="516"/>
      <c r="R97" s="516"/>
      <c r="T97" s="516">
        <f t="shared" si="36"/>
        <v>291</v>
      </c>
      <c r="U97" s="516">
        <f t="shared" si="37"/>
        <v>21</v>
      </c>
    </row>
    <row r="98" spans="1:21">
      <c r="A98" s="510" t="s">
        <v>541</v>
      </c>
      <c r="C98" s="515">
        <f t="shared" ref="C98:H98" si="38">SUM(C99:C107)</f>
        <v>-4077</v>
      </c>
      <c r="D98" s="515">
        <f t="shared" si="38"/>
        <v>-9833</v>
      </c>
      <c r="E98" s="515">
        <f t="shared" si="38"/>
        <v>-20528</v>
      </c>
      <c r="F98" s="515">
        <f t="shared" si="38"/>
        <v>-30434</v>
      </c>
      <c r="G98" s="515">
        <f t="shared" si="38"/>
        <v>-13613</v>
      </c>
      <c r="H98" s="515">
        <f t="shared" si="38"/>
        <v>-27450</v>
      </c>
      <c r="I98" s="517">
        <f>SUM(I99:I107)</f>
        <v>-34472</v>
      </c>
      <c r="J98" s="517">
        <f>SUM(J99:J107)</f>
        <v>-44209</v>
      </c>
      <c r="K98" s="517">
        <f>SUM(K99:K107)</f>
        <v>-14097</v>
      </c>
      <c r="L98" s="517">
        <f>SUM(L99:L107)</f>
        <v>-40246</v>
      </c>
      <c r="M98" s="515"/>
      <c r="N98" s="515"/>
      <c r="O98" s="515"/>
      <c r="P98" s="515"/>
      <c r="Q98" s="515"/>
      <c r="R98" s="515"/>
      <c r="T98" s="515">
        <f>SUM(T99:T107)</f>
        <v>-14097</v>
      </c>
      <c r="U98" s="517">
        <f>SUM(U99:U107)</f>
        <v>-26149</v>
      </c>
    </row>
    <row r="99" spans="1:21" outlineLevel="1">
      <c r="A99" s="511" t="s">
        <v>542</v>
      </c>
      <c r="C99" s="516">
        <v>-94</v>
      </c>
      <c r="D99" s="516">
        <v>-6428</v>
      </c>
      <c r="E99" s="516">
        <v>-14884</v>
      </c>
      <c r="F99" s="516">
        <v>-14449</v>
      </c>
      <c r="G99" s="516">
        <v>-3239</v>
      </c>
      <c r="H99" s="516">
        <v>-4929</v>
      </c>
      <c r="I99" s="516">
        <v>-12292</v>
      </c>
      <c r="J99" s="516">
        <v>-11369</v>
      </c>
      <c r="K99" s="516">
        <v>-7897</v>
      </c>
      <c r="L99" s="516">
        <v>-16904</v>
      </c>
      <c r="M99" s="516"/>
      <c r="N99" s="516"/>
      <c r="O99" s="516"/>
      <c r="P99" s="516"/>
      <c r="Q99" s="516"/>
      <c r="R99" s="516"/>
      <c r="T99" s="516">
        <f t="shared" ref="T99:T107" si="39">K99</f>
        <v>-7897</v>
      </c>
      <c r="U99" s="516">
        <f t="shared" ref="U99:U107" si="40">L99-T99</f>
        <v>-9007</v>
      </c>
    </row>
    <row r="100" spans="1:21" outlineLevel="1">
      <c r="A100" s="511" t="s">
        <v>543</v>
      </c>
      <c r="C100" s="516">
        <v>0</v>
      </c>
      <c r="D100" s="516">
        <v>0</v>
      </c>
      <c r="E100" s="516">
        <v>0</v>
      </c>
      <c r="F100" s="516">
        <v>0</v>
      </c>
      <c r="G100" s="516">
        <v>0</v>
      </c>
      <c r="H100" s="516">
        <v>0</v>
      </c>
      <c r="I100" s="516">
        <v>0</v>
      </c>
      <c r="J100" s="516">
        <v>0</v>
      </c>
      <c r="K100" s="516">
        <v>0</v>
      </c>
      <c r="L100" s="516">
        <v>0</v>
      </c>
      <c r="M100" s="516"/>
      <c r="N100" s="516"/>
      <c r="O100" s="516"/>
      <c r="P100" s="516"/>
      <c r="Q100" s="516"/>
      <c r="R100" s="516"/>
      <c r="T100" s="516">
        <f t="shared" si="39"/>
        <v>0</v>
      </c>
      <c r="U100" s="516">
        <f t="shared" si="40"/>
        <v>0</v>
      </c>
    </row>
    <row r="101" spans="1:21" outlineLevel="1">
      <c r="A101" s="511" t="s">
        <v>544</v>
      </c>
      <c r="C101" s="516">
        <v>-3899</v>
      </c>
      <c r="D101" s="516">
        <v>-2814</v>
      </c>
      <c r="E101" s="516">
        <v>-4583</v>
      </c>
      <c r="F101" s="516">
        <v>-13120</v>
      </c>
      <c r="G101" s="516">
        <v>-9860</v>
      </c>
      <c r="H101" s="516">
        <v>-21483</v>
      </c>
      <c r="I101" s="516">
        <v>-20760</v>
      </c>
      <c r="J101" s="516">
        <v>-30559</v>
      </c>
      <c r="K101" s="516">
        <v>-5323</v>
      </c>
      <c r="L101" s="516">
        <v>-17272</v>
      </c>
      <c r="M101" s="516"/>
      <c r="N101" s="516"/>
      <c r="O101" s="516"/>
      <c r="P101" s="516"/>
      <c r="Q101" s="516"/>
      <c r="R101" s="516"/>
      <c r="T101" s="516">
        <f t="shared" si="39"/>
        <v>-5323</v>
      </c>
      <c r="U101" s="516">
        <f t="shared" si="40"/>
        <v>-11949</v>
      </c>
    </row>
    <row r="102" spans="1:21" outlineLevel="1">
      <c r="A102" s="511" t="s">
        <v>545</v>
      </c>
      <c r="C102" s="516">
        <v>0</v>
      </c>
      <c r="D102" s="516">
        <v>0</v>
      </c>
      <c r="E102" s="516">
        <v>0</v>
      </c>
      <c r="F102" s="516">
        <v>0</v>
      </c>
      <c r="G102" s="516">
        <v>0</v>
      </c>
      <c r="H102" s="516">
        <v>0</v>
      </c>
      <c r="I102" s="516">
        <v>0</v>
      </c>
      <c r="J102" s="516">
        <v>0</v>
      </c>
      <c r="K102" s="516">
        <v>0</v>
      </c>
      <c r="L102" s="516">
        <v>0</v>
      </c>
      <c r="M102" s="516"/>
      <c r="N102" s="516"/>
      <c r="O102" s="516"/>
      <c r="P102" s="516"/>
      <c r="Q102" s="516"/>
      <c r="R102" s="516"/>
      <c r="T102" s="516">
        <f t="shared" si="39"/>
        <v>0</v>
      </c>
      <c r="U102" s="516">
        <f t="shared" si="40"/>
        <v>0</v>
      </c>
    </row>
    <row r="103" spans="1:21" outlineLevel="1">
      <c r="A103" s="511" t="s">
        <v>546</v>
      </c>
      <c r="C103" s="516">
        <v>0</v>
      </c>
      <c r="D103" s="516">
        <v>0</v>
      </c>
      <c r="E103" s="516">
        <v>0</v>
      </c>
      <c r="F103" s="516">
        <v>0</v>
      </c>
      <c r="G103" s="516">
        <v>0</v>
      </c>
      <c r="H103" s="516">
        <v>0</v>
      </c>
      <c r="I103" s="516">
        <v>0</v>
      </c>
      <c r="J103" s="516">
        <v>0</v>
      </c>
      <c r="K103" s="516">
        <v>0</v>
      </c>
      <c r="L103" s="516">
        <v>0</v>
      </c>
      <c r="M103" s="516"/>
      <c r="N103" s="516"/>
      <c r="O103" s="516"/>
      <c r="P103" s="516"/>
      <c r="Q103" s="516"/>
      <c r="R103" s="516"/>
      <c r="T103" s="516">
        <f t="shared" si="39"/>
        <v>0</v>
      </c>
      <c r="U103" s="516">
        <f t="shared" si="40"/>
        <v>0</v>
      </c>
    </row>
    <row r="104" spans="1:21" outlineLevel="1">
      <c r="A104" s="511" t="s">
        <v>547</v>
      </c>
      <c r="C104" s="516">
        <v>0</v>
      </c>
      <c r="D104" s="516">
        <v>-16</v>
      </c>
      <c r="E104" s="516">
        <v>-47</v>
      </c>
      <c r="F104" s="516">
        <v>-65</v>
      </c>
      <c r="G104" s="516">
        <v>-16</v>
      </c>
      <c r="H104" s="516">
        <v>-43</v>
      </c>
      <c r="I104" s="516">
        <v>-60</v>
      </c>
      <c r="J104" s="516">
        <v>-97</v>
      </c>
      <c r="K104" s="516">
        <v>-38</v>
      </c>
      <c r="L104" s="516">
        <v>-242</v>
      </c>
      <c r="M104" s="516"/>
      <c r="N104" s="516"/>
      <c r="O104" s="516"/>
      <c r="P104" s="516"/>
      <c r="Q104" s="516"/>
      <c r="R104" s="516"/>
      <c r="T104" s="516">
        <f t="shared" si="39"/>
        <v>-38</v>
      </c>
      <c r="U104" s="516">
        <f t="shared" si="40"/>
        <v>-204</v>
      </c>
    </row>
    <row r="105" spans="1:21" outlineLevel="1">
      <c r="A105" s="511" t="s">
        <v>548</v>
      </c>
      <c r="C105" s="516">
        <v>0</v>
      </c>
      <c r="D105" s="516">
        <v>0</v>
      </c>
      <c r="E105" s="516">
        <v>0</v>
      </c>
      <c r="F105" s="516">
        <v>0</v>
      </c>
      <c r="G105" s="516">
        <v>0</v>
      </c>
      <c r="H105" s="516">
        <v>0</v>
      </c>
      <c r="I105" s="516">
        <v>0</v>
      </c>
      <c r="J105" s="516">
        <v>0</v>
      </c>
      <c r="K105" s="516">
        <v>0</v>
      </c>
      <c r="L105" s="516">
        <v>0</v>
      </c>
      <c r="M105" s="516"/>
      <c r="N105" s="516"/>
      <c r="O105" s="516"/>
      <c r="P105" s="516"/>
      <c r="Q105" s="516"/>
      <c r="R105" s="516"/>
      <c r="T105" s="516">
        <f t="shared" si="39"/>
        <v>0</v>
      </c>
      <c r="U105" s="516">
        <f t="shared" si="40"/>
        <v>0</v>
      </c>
    </row>
    <row r="106" spans="1:21" outlineLevel="1">
      <c r="A106" s="511" t="s">
        <v>549</v>
      </c>
      <c r="C106" s="516">
        <v>0</v>
      </c>
      <c r="D106" s="516">
        <v>0</v>
      </c>
      <c r="E106" s="516">
        <v>0</v>
      </c>
      <c r="F106" s="516">
        <v>0</v>
      </c>
      <c r="G106" s="516">
        <v>0</v>
      </c>
      <c r="H106" s="516">
        <v>0</v>
      </c>
      <c r="I106" s="516">
        <v>0</v>
      </c>
      <c r="J106" s="516">
        <v>0</v>
      </c>
      <c r="K106" s="516">
        <v>0</v>
      </c>
      <c r="L106" s="516">
        <v>0</v>
      </c>
      <c r="M106" s="516"/>
      <c r="N106" s="516"/>
      <c r="O106" s="516"/>
      <c r="P106" s="516"/>
      <c r="Q106" s="516"/>
      <c r="R106" s="516"/>
      <c r="T106" s="516">
        <f t="shared" si="39"/>
        <v>0</v>
      </c>
      <c r="U106" s="516">
        <f t="shared" si="40"/>
        <v>0</v>
      </c>
    </row>
    <row r="107" spans="1:21" outlineLevel="1">
      <c r="A107" s="511" t="s">
        <v>550</v>
      </c>
      <c r="C107" s="516">
        <v>-84</v>
      </c>
      <c r="D107" s="516">
        <v>-575</v>
      </c>
      <c r="E107" s="516">
        <v>-1014</v>
      </c>
      <c r="F107" s="516">
        <v>-2800</v>
      </c>
      <c r="G107" s="516">
        <v>-498</v>
      </c>
      <c r="H107" s="516">
        <v>-995</v>
      </c>
      <c r="I107" s="516">
        <v>-1360</v>
      </c>
      <c r="J107" s="516">
        <v>-2184</v>
      </c>
      <c r="K107" s="516">
        <v>-839</v>
      </c>
      <c r="L107" s="516">
        <v>-5828</v>
      </c>
      <c r="M107" s="516"/>
      <c r="N107" s="516"/>
      <c r="O107" s="516"/>
      <c r="P107" s="516"/>
      <c r="Q107" s="516"/>
      <c r="R107" s="516"/>
      <c r="T107" s="516">
        <f t="shared" si="39"/>
        <v>-839</v>
      </c>
      <c r="U107" s="516">
        <f t="shared" si="40"/>
        <v>-4989</v>
      </c>
    </row>
    <row r="108" spans="1:21">
      <c r="A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T108" s="510"/>
      <c r="U108" s="510"/>
    </row>
    <row r="109" spans="1:21">
      <c r="A109" s="522" t="s">
        <v>551</v>
      </c>
      <c r="C109" s="513">
        <f t="shared" ref="C109:H109" si="41">C85+C87</f>
        <v>4971</v>
      </c>
      <c r="D109" s="513">
        <f t="shared" si="41"/>
        <v>13964</v>
      </c>
      <c r="E109" s="513">
        <f t="shared" si="41"/>
        <v>9335</v>
      </c>
      <c r="F109" s="513">
        <f t="shared" si="41"/>
        <v>-26802</v>
      </c>
      <c r="G109" s="513">
        <f t="shared" si="41"/>
        <v>86097</v>
      </c>
      <c r="H109" s="513">
        <f t="shared" si="41"/>
        <v>125914</v>
      </c>
      <c r="I109" s="513">
        <f>I85+I87</f>
        <v>167945</v>
      </c>
      <c r="J109" s="513">
        <f>J85+J87</f>
        <v>-15079</v>
      </c>
      <c r="K109" s="513">
        <f>K85+K87</f>
        <v>22386</v>
      </c>
      <c r="L109" s="513">
        <f>L85+L87</f>
        <v>18970</v>
      </c>
      <c r="M109" s="513"/>
      <c r="N109" s="513"/>
      <c r="O109" s="513"/>
      <c r="P109" s="513"/>
      <c r="Q109" s="513"/>
      <c r="R109" s="513"/>
      <c r="T109" s="513">
        <f>T85+T87</f>
        <v>22386</v>
      </c>
      <c r="U109" s="513">
        <f>U85+U87</f>
        <v>-3416</v>
      </c>
    </row>
    <row r="110" spans="1:21">
      <c r="A110" s="510"/>
      <c r="C110" s="510"/>
      <c r="D110" s="510"/>
      <c r="E110" s="510"/>
      <c r="F110" s="510"/>
      <c r="G110" s="510"/>
      <c r="H110" s="510"/>
      <c r="I110" s="510"/>
      <c r="J110" s="510"/>
      <c r="K110" s="510"/>
      <c r="L110" s="510"/>
      <c r="M110" s="510"/>
      <c r="N110" s="510"/>
      <c r="O110" s="510"/>
      <c r="P110" s="510"/>
      <c r="Q110" s="510"/>
      <c r="R110" s="510"/>
      <c r="T110" s="510"/>
      <c r="U110" s="510"/>
    </row>
    <row r="111" spans="1:21">
      <c r="A111" s="509" t="s">
        <v>552</v>
      </c>
      <c r="C111" s="517">
        <f t="shared" ref="C111:H111" si="42">SUM(C113:C116)</f>
        <v>-2803</v>
      </c>
      <c r="D111" s="517">
        <f t="shared" si="42"/>
        <v>-6785</v>
      </c>
      <c r="E111" s="517">
        <f t="shared" si="42"/>
        <v>-4001</v>
      </c>
      <c r="F111" s="517">
        <f t="shared" si="42"/>
        <v>2763</v>
      </c>
      <c r="G111" s="517">
        <f t="shared" si="42"/>
        <v>-32163</v>
      </c>
      <c r="H111" s="517">
        <f t="shared" si="42"/>
        <v>-49478</v>
      </c>
      <c r="I111" s="517">
        <f>SUM(I113:I116)</f>
        <v>-66637</v>
      </c>
      <c r="J111" s="517">
        <f>SUM(J113:J116)</f>
        <v>-10346</v>
      </c>
      <c r="K111" s="517">
        <f>SUM(K113:K116)</f>
        <v>-11075</v>
      </c>
      <c r="L111" s="517">
        <f>SUM(L113:L116)</f>
        <v>-18773</v>
      </c>
      <c r="M111" s="517"/>
      <c r="N111" s="517"/>
      <c r="O111" s="517"/>
      <c r="P111" s="517"/>
      <c r="Q111" s="517"/>
      <c r="R111" s="517"/>
      <c r="T111" s="517">
        <f>SUM(T113:T116)</f>
        <v>-11075</v>
      </c>
      <c r="U111" s="517">
        <f>SUM(U113:U116)</f>
        <v>-7698</v>
      </c>
    </row>
    <row r="112" spans="1:21">
      <c r="A112" s="510"/>
      <c r="C112" s="510"/>
      <c r="D112" s="510"/>
      <c r="E112" s="510"/>
      <c r="F112" s="510"/>
      <c r="G112" s="510"/>
      <c r="H112" s="510"/>
      <c r="I112" s="510"/>
      <c r="J112" s="510"/>
      <c r="K112" s="510"/>
      <c r="L112" s="510"/>
      <c r="M112" s="510"/>
      <c r="N112" s="510"/>
      <c r="O112" s="510"/>
      <c r="P112" s="510"/>
      <c r="Q112" s="510"/>
      <c r="R112" s="510"/>
      <c r="T112" s="510"/>
      <c r="U112" s="510"/>
    </row>
    <row r="113" spans="1:21">
      <c r="A113" s="510" t="s">
        <v>553</v>
      </c>
      <c r="C113" s="518">
        <v>-785</v>
      </c>
      <c r="D113" s="518">
        <v>-1842</v>
      </c>
      <c r="E113" s="518">
        <v>-2033</v>
      </c>
      <c r="F113" s="518">
        <v>-3328</v>
      </c>
      <c r="G113" s="518">
        <v>-1693</v>
      </c>
      <c r="H113" s="518">
        <v>-3813</v>
      </c>
      <c r="I113" s="518">
        <v>-6271</v>
      </c>
      <c r="J113" s="518">
        <v>-7309</v>
      </c>
      <c r="K113" s="518">
        <v>-1324</v>
      </c>
      <c r="L113" s="518">
        <v>-3289</v>
      </c>
      <c r="M113" s="518"/>
      <c r="N113" s="518"/>
      <c r="O113" s="518"/>
      <c r="P113" s="518"/>
      <c r="Q113" s="518"/>
      <c r="R113" s="518"/>
      <c r="T113" s="518">
        <f t="shared" ref="T113:T116" si="43">K113</f>
        <v>-1324</v>
      </c>
      <c r="U113" s="518">
        <f t="shared" ref="U113:U116" si="44">L113-T113</f>
        <v>-1965</v>
      </c>
    </row>
    <row r="114" spans="1:21">
      <c r="A114" s="510" t="s">
        <v>554</v>
      </c>
      <c r="C114" s="518">
        <v>-2018</v>
      </c>
      <c r="D114" s="518">
        <v>-4943</v>
      </c>
      <c r="E114" s="518">
        <v>-5449</v>
      </c>
      <c r="F114" s="518">
        <v>-8937</v>
      </c>
      <c r="G114" s="518">
        <v>-4513</v>
      </c>
      <c r="H114" s="518">
        <v>-9883</v>
      </c>
      <c r="I114" s="518">
        <v>-16188</v>
      </c>
      <c r="J114" s="518">
        <v>-18645</v>
      </c>
      <c r="K114" s="518">
        <v>-3594</v>
      </c>
      <c r="L114" s="518">
        <v>-9445</v>
      </c>
      <c r="M114" s="518"/>
      <c r="N114" s="518"/>
      <c r="O114" s="518"/>
      <c r="P114" s="518"/>
      <c r="Q114" s="518"/>
      <c r="R114" s="518"/>
      <c r="T114" s="518">
        <f t="shared" si="43"/>
        <v>-3594</v>
      </c>
      <c r="U114" s="518">
        <f t="shared" si="44"/>
        <v>-5851</v>
      </c>
    </row>
    <row r="115" spans="1:21">
      <c r="A115" s="510" t="s">
        <v>555</v>
      </c>
      <c r="C115" s="518">
        <v>0</v>
      </c>
      <c r="D115" s="518">
        <v>0</v>
      </c>
      <c r="E115" s="518">
        <v>-37</v>
      </c>
      <c r="F115" s="518">
        <v>0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/>
      <c r="N115" s="518"/>
      <c r="O115" s="518"/>
      <c r="P115" s="518"/>
      <c r="Q115" s="518"/>
      <c r="R115" s="518"/>
      <c r="T115" s="518">
        <f t="shared" si="43"/>
        <v>0</v>
      </c>
      <c r="U115" s="518">
        <f t="shared" si="44"/>
        <v>0</v>
      </c>
    </row>
    <row r="116" spans="1:21">
      <c r="A116" s="510" t="s">
        <v>556</v>
      </c>
      <c r="C116" s="518">
        <v>0</v>
      </c>
      <c r="D116" s="518">
        <v>0</v>
      </c>
      <c r="E116" s="518">
        <v>3518</v>
      </c>
      <c r="F116" s="518">
        <v>15028</v>
      </c>
      <c r="G116" s="518">
        <v>-25957</v>
      </c>
      <c r="H116" s="518">
        <v>-35782</v>
      </c>
      <c r="I116" s="518">
        <v>-44178</v>
      </c>
      <c r="J116" s="518">
        <v>15608</v>
      </c>
      <c r="K116" s="518">
        <v>-6157</v>
      </c>
      <c r="L116" s="518">
        <v>-6039</v>
      </c>
      <c r="M116" s="518"/>
      <c r="N116" s="518"/>
      <c r="O116" s="518"/>
      <c r="P116" s="518"/>
      <c r="Q116" s="518"/>
      <c r="R116" s="518"/>
      <c r="T116" s="518">
        <f t="shared" si="43"/>
        <v>-6157</v>
      </c>
      <c r="U116" s="518">
        <f t="shared" si="44"/>
        <v>118</v>
      </c>
    </row>
    <row r="117" spans="1:21">
      <c r="A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  <c r="T117" s="510"/>
      <c r="U117" s="510"/>
    </row>
    <row r="118" spans="1:21" ht="15" thickBot="1">
      <c r="A118" s="523" t="s">
        <v>557</v>
      </c>
      <c r="C118" s="519">
        <f t="shared" ref="C118:H118" si="45">C109+C111</f>
        <v>2168</v>
      </c>
      <c r="D118" s="519">
        <f t="shared" si="45"/>
        <v>7179</v>
      </c>
      <c r="E118" s="519">
        <f t="shared" si="45"/>
        <v>5334</v>
      </c>
      <c r="F118" s="519">
        <f t="shared" si="45"/>
        <v>-24039</v>
      </c>
      <c r="G118" s="519">
        <f t="shared" si="45"/>
        <v>53934</v>
      </c>
      <c r="H118" s="519">
        <f t="shared" si="45"/>
        <v>76436</v>
      </c>
      <c r="I118" s="519">
        <f>I109+I111</f>
        <v>101308</v>
      </c>
      <c r="J118" s="519">
        <f>J109+J111</f>
        <v>-25425</v>
      </c>
      <c r="K118" s="519">
        <f>K109+K111</f>
        <v>11311</v>
      </c>
      <c r="L118" s="519">
        <f>L109+L111</f>
        <v>197</v>
      </c>
      <c r="M118" s="519"/>
      <c r="N118" s="519"/>
      <c r="O118" s="519"/>
      <c r="P118" s="519"/>
      <c r="Q118" s="519"/>
      <c r="R118" s="519"/>
      <c r="T118" s="519">
        <f>T109+T111</f>
        <v>11311</v>
      </c>
      <c r="U118" s="519">
        <f>U109+U111</f>
        <v>-11114</v>
      </c>
    </row>
    <row r="119" spans="1:21" ht="15" thickTop="1">
      <c r="A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  <c r="T119" s="510"/>
      <c r="U119" s="510"/>
    </row>
    <row r="120" spans="1:21">
      <c r="A120" s="509" t="s">
        <v>558</v>
      </c>
      <c r="C120" s="518"/>
      <c r="D120" s="518"/>
      <c r="E120" s="518"/>
      <c r="F120" s="518"/>
      <c r="G120" s="518"/>
      <c r="H120" s="518"/>
      <c r="I120" s="518"/>
      <c r="J120" s="518"/>
      <c r="K120" s="518"/>
      <c r="L120" s="518"/>
      <c r="M120" s="518"/>
      <c r="N120" s="518"/>
      <c r="O120" s="518"/>
      <c r="P120" s="518"/>
      <c r="Q120" s="518"/>
      <c r="R120" s="518"/>
      <c r="T120" s="518"/>
      <c r="U120" s="518"/>
    </row>
    <row r="121" spans="1:21">
      <c r="A121" s="510" t="s">
        <v>559</v>
      </c>
      <c r="C121" s="518">
        <f t="shared" ref="C121:H121" si="46">C118-C122</f>
        <v>2168</v>
      </c>
      <c r="D121" s="518">
        <f t="shared" si="46"/>
        <v>7179</v>
      </c>
      <c r="E121" s="518">
        <f t="shared" si="46"/>
        <v>5334</v>
      </c>
      <c r="F121" s="518">
        <f t="shared" si="46"/>
        <v>-24039</v>
      </c>
      <c r="G121" s="518">
        <f t="shared" si="46"/>
        <v>53934</v>
      </c>
      <c r="H121" s="518">
        <f t="shared" si="46"/>
        <v>76436</v>
      </c>
      <c r="I121" s="518">
        <f>I118-I122</f>
        <v>101308</v>
      </c>
      <c r="J121" s="518">
        <f>J118-J122</f>
        <v>-25425</v>
      </c>
      <c r="K121" s="518">
        <v>11311</v>
      </c>
      <c r="L121" s="518">
        <v>197</v>
      </c>
      <c r="M121" s="518"/>
      <c r="N121" s="518"/>
      <c r="O121" s="518"/>
      <c r="P121" s="518"/>
      <c r="Q121" s="518"/>
      <c r="R121" s="518"/>
      <c r="T121" s="518">
        <f t="shared" ref="T121:T122" si="47">K121</f>
        <v>11311</v>
      </c>
      <c r="U121" s="518">
        <f t="shared" ref="U121:U122" si="48">L121-T121</f>
        <v>-11114</v>
      </c>
    </row>
    <row r="122" spans="1:21">
      <c r="A122" s="510" t="s">
        <v>560</v>
      </c>
      <c r="C122" s="518">
        <f t="shared" ref="C122:H122" si="49">C118*C127</f>
        <v>0</v>
      </c>
      <c r="D122" s="518">
        <f t="shared" si="49"/>
        <v>0</v>
      </c>
      <c r="E122" s="518">
        <f t="shared" si="49"/>
        <v>0</v>
      </c>
      <c r="F122" s="518">
        <f t="shared" si="49"/>
        <v>0</v>
      </c>
      <c r="G122" s="518">
        <f t="shared" si="49"/>
        <v>0</v>
      </c>
      <c r="H122" s="518">
        <f t="shared" si="49"/>
        <v>0</v>
      </c>
      <c r="I122" s="518">
        <f>I118*I127</f>
        <v>0</v>
      </c>
      <c r="J122" s="518">
        <f>J118*J127</f>
        <v>0</v>
      </c>
      <c r="K122" s="518">
        <v>0</v>
      </c>
      <c r="L122" s="518">
        <v>0</v>
      </c>
      <c r="M122" s="518"/>
      <c r="N122" s="518"/>
      <c r="O122" s="518"/>
      <c r="P122" s="518"/>
      <c r="Q122" s="518"/>
      <c r="R122" s="518"/>
      <c r="T122" s="518">
        <f t="shared" si="47"/>
        <v>0</v>
      </c>
      <c r="U122" s="518">
        <f t="shared" si="48"/>
        <v>0</v>
      </c>
    </row>
    <row r="123" spans="1:21">
      <c r="A123" s="510"/>
      <c r="C123" s="510"/>
      <c r="D123" s="510"/>
      <c r="E123" s="510"/>
      <c r="F123" s="510"/>
      <c r="G123" s="510"/>
      <c r="H123" s="510"/>
      <c r="I123" s="510"/>
      <c r="J123" s="510"/>
      <c r="K123" s="510"/>
      <c r="L123" s="510"/>
      <c r="M123" s="510"/>
      <c r="N123" s="510"/>
      <c r="O123" s="510"/>
      <c r="P123" s="510"/>
      <c r="Q123" s="510"/>
      <c r="R123" s="510"/>
      <c r="T123" s="510"/>
      <c r="U123" s="510"/>
    </row>
    <row r="124" spans="1:21" ht="15" thickBot="1">
      <c r="A124" s="523" t="s">
        <v>557</v>
      </c>
      <c r="C124" s="519">
        <f t="shared" ref="C124:H124" si="50">SUM(C121:C122)</f>
        <v>2168</v>
      </c>
      <c r="D124" s="519">
        <f t="shared" si="50"/>
        <v>7179</v>
      </c>
      <c r="E124" s="519">
        <f t="shared" si="50"/>
        <v>5334</v>
      </c>
      <c r="F124" s="519">
        <f t="shared" si="50"/>
        <v>-24039</v>
      </c>
      <c r="G124" s="519">
        <f t="shared" si="50"/>
        <v>53934</v>
      </c>
      <c r="H124" s="519">
        <f t="shared" si="50"/>
        <v>76436</v>
      </c>
      <c r="I124" s="519">
        <f>SUM(I121:I122)</f>
        <v>101308</v>
      </c>
      <c r="J124" s="519">
        <f>SUM(J121:J122)</f>
        <v>-25425</v>
      </c>
      <c r="K124" s="519">
        <f>SUM(K121:K122)</f>
        <v>11311</v>
      </c>
      <c r="L124" s="519">
        <f>SUM(L121:L122)</f>
        <v>197</v>
      </c>
      <c r="M124" s="519"/>
      <c r="N124" s="519"/>
      <c r="O124" s="519"/>
      <c r="P124" s="519"/>
      <c r="Q124" s="519"/>
      <c r="R124" s="519"/>
      <c r="T124" s="519">
        <f>SUM(T121:T122)</f>
        <v>11311</v>
      </c>
      <c r="U124" s="519">
        <f>SUM(U121:U122)</f>
        <v>-11114</v>
      </c>
    </row>
    <row r="125" spans="1:21" ht="15" thickTop="1"/>
    <row r="126" spans="1:21" s="525" customFormat="1" ht="10.5">
      <c r="A126" s="524" t="s">
        <v>561</v>
      </c>
      <c r="C126" s="526">
        <v>1</v>
      </c>
      <c r="D126" s="526">
        <v>1</v>
      </c>
      <c r="E126" s="526">
        <v>1</v>
      </c>
      <c r="F126" s="526">
        <v>1</v>
      </c>
      <c r="G126" s="526">
        <v>1</v>
      </c>
      <c r="H126" s="526">
        <v>1</v>
      </c>
      <c r="I126" s="526">
        <v>1</v>
      </c>
      <c r="J126" s="526">
        <v>1</v>
      </c>
      <c r="K126" s="526">
        <v>1</v>
      </c>
      <c r="L126" s="526">
        <v>1</v>
      </c>
      <c r="T126" s="526">
        <f t="shared" ref="T126:T127" si="51">K126</f>
        <v>1</v>
      </c>
      <c r="U126" s="526">
        <v>1</v>
      </c>
    </row>
    <row r="127" spans="1:21" s="525" customFormat="1" ht="10.5">
      <c r="A127" s="524" t="s">
        <v>562</v>
      </c>
      <c r="C127" s="526">
        <v>0</v>
      </c>
      <c r="D127" s="526">
        <v>0</v>
      </c>
      <c r="E127" s="526">
        <v>0</v>
      </c>
      <c r="F127" s="526">
        <v>0</v>
      </c>
      <c r="G127" s="526">
        <v>0</v>
      </c>
      <c r="H127" s="526">
        <v>0</v>
      </c>
      <c r="I127" s="526">
        <v>0</v>
      </c>
      <c r="J127" s="526">
        <v>0</v>
      </c>
      <c r="K127" s="526">
        <v>0</v>
      </c>
      <c r="L127" s="526">
        <v>0</v>
      </c>
      <c r="T127" s="526">
        <f t="shared" si="51"/>
        <v>0</v>
      </c>
      <c r="U127" s="526"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0.79998168889431442"/>
  </sheetPr>
  <dimension ref="A4:U127"/>
  <sheetViews>
    <sheetView showGridLines="0" zoomScale="85" zoomScaleNormal="85" workbookViewId="0">
      <pane xSplit="1" ySplit="4" topLeftCell="B5" activePane="bottomRight" state="frozen"/>
      <selection pane="topRight"/>
      <selection pane="bottomLeft"/>
      <selection pane="bottomRight" activeCell="K11" sqref="K11"/>
    </sheetView>
  </sheetViews>
  <sheetFormatPr defaultRowHeight="14.5" outlineLevelRow="1"/>
  <cols>
    <col min="1" max="1" width="65.7265625" bestFit="1" customWidth="1"/>
    <col min="2" max="2" width="1.54296875" customWidth="1"/>
    <col min="3" max="12" width="15.1796875" customWidth="1"/>
    <col min="13" max="18" width="15.1796875" hidden="1" customWidth="1"/>
    <col min="19" max="19" width="1.54296875" customWidth="1"/>
    <col min="20" max="20" width="15.1796875" hidden="1" customWidth="1"/>
    <col min="21" max="21" width="15.1796875" customWidth="1"/>
  </cols>
  <sheetData>
    <row r="4" spans="1:21">
      <c r="A4" s="521" t="s">
        <v>580</v>
      </c>
      <c r="C4" s="520" t="s">
        <v>453</v>
      </c>
      <c r="D4" s="520" t="s">
        <v>454</v>
      </c>
      <c r="E4" s="520" t="s">
        <v>455</v>
      </c>
      <c r="F4" s="520">
        <v>2022</v>
      </c>
      <c r="G4" s="520" t="s">
        <v>456</v>
      </c>
      <c r="H4" s="520" t="s">
        <v>457</v>
      </c>
      <c r="I4" s="520" t="s">
        <v>458</v>
      </c>
      <c r="J4" s="520">
        <v>2023</v>
      </c>
      <c r="K4" s="520" t="s">
        <v>459</v>
      </c>
      <c r="L4" s="520" t="s">
        <v>460</v>
      </c>
      <c r="M4" s="520" t="s">
        <v>461</v>
      </c>
      <c r="N4" s="520">
        <v>2024</v>
      </c>
      <c r="O4" s="520" t="s">
        <v>462</v>
      </c>
      <c r="P4" s="520" t="s">
        <v>463</v>
      </c>
      <c r="Q4" s="520" t="s">
        <v>464</v>
      </c>
      <c r="R4" s="520">
        <v>2025</v>
      </c>
      <c r="T4" s="520" t="s">
        <v>53</v>
      </c>
      <c r="U4" s="520" t="s">
        <v>54</v>
      </c>
    </row>
    <row r="5" spans="1:21" ht="6.65" customHeight="1"/>
    <row r="6" spans="1:21">
      <c r="A6" s="522" t="s">
        <v>465</v>
      </c>
      <c r="C6" s="513">
        <f t="shared" ref="C6:H6" si="0">SUM(C8,C11:C17)</f>
        <v>0</v>
      </c>
      <c r="D6" s="513">
        <f t="shared" si="0"/>
        <v>0</v>
      </c>
      <c r="E6" s="513">
        <f t="shared" si="0"/>
        <v>0</v>
      </c>
      <c r="F6" s="513">
        <f t="shared" si="0"/>
        <v>0</v>
      </c>
      <c r="G6" s="513">
        <f t="shared" si="0"/>
        <v>0</v>
      </c>
      <c r="H6" s="513">
        <f t="shared" si="0"/>
        <v>0</v>
      </c>
      <c r="I6" s="513">
        <f>SUM(I8,I11:I17)</f>
        <v>0</v>
      </c>
      <c r="J6" s="513">
        <f>SUM(J8,J11:J17)</f>
        <v>0</v>
      </c>
      <c r="K6" s="513">
        <f t="shared" ref="K6" si="1">SUM(K8,K11:K17)</f>
        <v>0</v>
      </c>
      <c r="L6" s="513">
        <f t="shared" ref="L6" si="2">SUM(L8,L11:L17)</f>
        <v>0</v>
      </c>
      <c r="M6" s="513"/>
      <c r="N6" s="513"/>
      <c r="O6" s="513"/>
      <c r="P6" s="513"/>
      <c r="Q6" s="513"/>
      <c r="R6" s="513"/>
      <c r="T6" s="513">
        <f t="shared" ref="T6:U6" si="3">SUM(T8,T11:T17)</f>
        <v>0</v>
      </c>
      <c r="U6" s="513">
        <f t="shared" si="3"/>
        <v>0</v>
      </c>
    </row>
    <row r="7" spans="1:21">
      <c r="A7" s="509"/>
      <c r="C7" s="514"/>
      <c r="D7" s="514"/>
      <c r="E7" s="514"/>
      <c r="F7" s="514"/>
      <c r="G7" s="514"/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514"/>
      <c r="T7" s="514"/>
      <c r="U7" s="514"/>
    </row>
    <row r="8" spans="1:21">
      <c r="A8" s="510" t="s">
        <v>466</v>
      </c>
      <c r="C8" s="515">
        <f t="shared" ref="C8:H8" si="4">SUM(C9:C10)</f>
        <v>0</v>
      </c>
      <c r="D8" s="515">
        <f t="shared" si="4"/>
        <v>0</v>
      </c>
      <c r="E8" s="515">
        <f t="shared" si="4"/>
        <v>0</v>
      </c>
      <c r="F8" s="515">
        <f t="shared" si="4"/>
        <v>0</v>
      </c>
      <c r="G8" s="515">
        <f t="shared" si="4"/>
        <v>0</v>
      </c>
      <c r="H8" s="515">
        <f t="shared" si="4"/>
        <v>0</v>
      </c>
      <c r="I8" s="515">
        <f>SUM(I9:I10)</f>
        <v>0</v>
      </c>
      <c r="J8" s="515">
        <f>SUM(J9:J10)</f>
        <v>0</v>
      </c>
      <c r="K8" s="515">
        <f>SUM(K9:K10)</f>
        <v>0</v>
      </c>
      <c r="L8" s="515">
        <f>SUM(L9:L10)</f>
        <v>0</v>
      </c>
      <c r="M8" s="515"/>
      <c r="N8" s="515"/>
      <c r="O8" s="515"/>
      <c r="P8" s="515"/>
      <c r="Q8" s="515"/>
      <c r="R8" s="515"/>
      <c r="T8" s="515">
        <f>SUM(T9:T10)</f>
        <v>0</v>
      </c>
      <c r="U8" s="515">
        <f>SUM(U9:U10)</f>
        <v>0</v>
      </c>
    </row>
    <row r="9" spans="1:21" outlineLevel="1">
      <c r="A9" s="511" t="s">
        <v>466</v>
      </c>
      <c r="C9" s="516">
        <v>0</v>
      </c>
      <c r="D9" s="516">
        <v>0</v>
      </c>
      <c r="E9" s="516">
        <v>0</v>
      </c>
      <c r="F9" s="516">
        <v>0</v>
      </c>
      <c r="G9" s="516">
        <v>0</v>
      </c>
      <c r="H9" s="516">
        <v>0</v>
      </c>
      <c r="I9" s="516">
        <v>0</v>
      </c>
      <c r="J9" s="516">
        <v>0</v>
      </c>
      <c r="K9" s="516">
        <v>0</v>
      </c>
      <c r="L9" s="516">
        <v>0</v>
      </c>
      <c r="M9" s="516"/>
      <c r="N9" s="516"/>
      <c r="O9" s="516"/>
      <c r="P9" s="516"/>
      <c r="Q9" s="516"/>
      <c r="R9" s="516"/>
      <c r="T9" s="516">
        <f>K9</f>
        <v>0</v>
      </c>
      <c r="U9" s="516">
        <f>L9-T9</f>
        <v>0</v>
      </c>
    </row>
    <row r="10" spans="1:21" outlineLevel="1">
      <c r="A10" s="511" t="s">
        <v>467</v>
      </c>
      <c r="C10" s="516">
        <v>0</v>
      </c>
      <c r="D10" s="516">
        <v>0</v>
      </c>
      <c r="E10" s="516">
        <v>0</v>
      </c>
      <c r="F10" s="516">
        <v>0</v>
      </c>
      <c r="G10" s="516">
        <v>0</v>
      </c>
      <c r="H10" s="516">
        <v>0</v>
      </c>
      <c r="I10" s="516">
        <v>0</v>
      </c>
      <c r="J10" s="516">
        <v>0</v>
      </c>
      <c r="K10" s="516">
        <v>0</v>
      </c>
      <c r="L10" s="516">
        <v>0</v>
      </c>
      <c r="M10" s="516"/>
      <c r="N10" s="516"/>
      <c r="O10" s="516"/>
      <c r="P10" s="516"/>
      <c r="Q10" s="516"/>
      <c r="R10" s="516"/>
      <c r="T10" s="516">
        <f t="shared" ref="T10:T25" si="5">K10</f>
        <v>0</v>
      </c>
      <c r="U10" s="516">
        <f t="shared" ref="U10:U16" si="6">L10-T10</f>
        <v>0</v>
      </c>
    </row>
    <row r="11" spans="1:21">
      <c r="A11" s="510" t="s">
        <v>468</v>
      </c>
      <c r="C11" s="515">
        <v>0</v>
      </c>
      <c r="D11" s="515">
        <v>0</v>
      </c>
      <c r="E11" s="515">
        <v>0</v>
      </c>
      <c r="F11" s="515">
        <v>0</v>
      </c>
      <c r="G11" s="515">
        <v>0</v>
      </c>
      <c r="H11" s="515">
        <v>0</v>
      </c>
      <c r="I11" s="515">
        <v>0</v>
      </c>
      <c r="J11" s="515">
        <v>0</v>
      </c>
      <c r="K11" s="515">
        <v>0</v>
      </c>
      <c r="L11" s="515">
        <v>0</v>
      </c>
      <c r="M11" s="515"/>
      <c r="N11" s="515"/>
      <c r="O11" s="515"/>
      <c r="P11" s="515"/>
      <c r="Q11" s="515"/>
      <c r="R11" s="515"/>
      <c r="T11" s="515">
        <f t="shared" si="5"/>
        <v>0</v>
      </c>
      <c r="U11" s="515">
        <f t="shared" si="6"/>
        <v>0</v>
      </c>
    </row>
    <row r="12" spans="1:21">
      <c r="A12" s="510" t="s">
        <v>469</v>
      </c>
      <c r="C12" s="515">
        <v>0</v>
      </c>
      <c r="D12" s="515">
        <v>0</v>
      </c>
      <c r="E12" s="515">
        <v>0</v>
      </c>
      <c r="F12" s="515">
        <v>0</v>
      </c>
      <c r="G12" s="515">
        <v>0</v>
      </c>
      <c r="H12" s="515">
        <v>0</v>
      </c>
      <c r="I12" s="515">
        <v>0</v>
      </c>
      <c r="J12" s="515">
        <v>0</v>
      </c>
      <c r="K12" s="515">
        <v>0</v>
      </c>
      <c r="L12" s="515">
        <v>0</v>
      </c>
      <c r="M12" s="515"/>
      <c r="N12" s="515"/>
      <c r="O12" s="515"/>
      <c r="P12" s="515"/>
      <c r="Q12" s="515"/>
      <c r="R12" s="515"/>
      <c r="T12" s="515">
        <f t="shared" si="5"/>
        <v>0</v>
      </c>
      <c r="U12" s="515">
        <f t="shared" si="6"/>
        <v>0</v>
      </c>
    </row>
    <row r="13" spans="1:21">
      <c r="A13" s="510" t="s">
        <v>470</v>
      </c>
      <c r="C13" s="515">
        <v>0</v>
      </c>
      <c r="D13" s="515">
        <v>0</v>
      </c>
      <c r="E13" s="515">
        <v>0</v>
      </c>
      <c r="F13" s="515">
        <v>0</v>
      </c>
      <c r="G13" s="515">
        <v>0</v>
      </c>
      <c r="H13" s="515">
        <v>0</v>
      </c>
      <c r="I13" s="515">
        <v>0</v>
      </c>
      <c r="J13" s="515">
        <v>0</v>
      </c>
      <c r="K13" s="515">
        <v>0</v>
      </c>
      <c r="L13" s="515">
        <v>0</v>
      </c>
      <c r="M13" s="515"/>
      <c r="N13" s="515"/>
      <c r="O13" s="515"/>
      <c r="P13" s="515"/>
      <c r="Q13" s="515"/>
      <c r="R13" s="515"/>
      <c r="T13" s="515">
        <f t="shared" si="5"/>
        <v>0</v>
      </c>
      <c r="U13" s="515">
        <f t="shared" si="6"/>
        <v>0</v>
      </c>
    </row>
    <row r="14" spans="1:21">
      <c r="A14" s="510" t="s">
        <v>471</v>
      </c>
      <c r="C14" s="515">
        <v>0</v>
      </c>
      <c r="D14" s="515">
        <v>0</v>
      </c>
      <c r="E14" s="515">
        <v>0</v>
      </c>
      <c r="F14" s="515">
        <v>0</v>
      </c>
      <c r="G14" s="515">
        <v>0</v>
      </c>
      <c r="H14" s="515">
        <v>0</v>
      </c>
      <c r="I14" s="515">
        <v>0</v>
      </c>
      <c r="J14" s="515">
        <v>0</v>
      </c>
      <c r="K14" s="515">
        <v>0</v>
      </c>
      <c r="L14" s="515">
        <v>0</v>
      </c>
      <c r="M14" s="515"/>
      <c r="N14" s="515"/>
      <c r="O14" s="515"/>
      <c r="P14" s="515"/>
      <c r="Q14" s="515"/>
      <c r="R14" s="515"/>
      <c r="T14" s="515">
        <f t="shared" si="5"/>
        <v>0</v>
      </c>
      <c r="U14" s="515">
        <f t="shared" si="6"/>
        <v>0</v>
      </c>
    </row>
    <row r="15" spans="1:21">
      <c r="A15" s="510" t="s">
        <v>472</v>
      </c>
      <c r="C15" s="515">
        <v>0</v>
      </c>
      <c r="D15" s="515">
        <v>0</v>
      </c>
      <c r="E15" s="515">
        <v>0</v>
      </c>
      <c r="F15" s="515">
        <v>0</v>
      </c>
      <c r="G15" s="515">
        <v>0</v>
      </c>
      <c r="H15" s="515">
        <v>0</v>
      </c>
      <c r="I15" s="515">
        <v>0</v>
      </c>
      <c r="J15" s="515">
        <v>0</v>
      </c>
      <c r="K15" s="515">
        <v>0</v>
      </c>
      <c r="L15" s="515">
        <v>0</v>
      </c>
      <c r="M15" s="515"/>
      <c r="N15" s="515"/>
      <c r="O15" s="515"/>
      <c r="P15" s="515"/>
      <c r="Q15" s="515"/>
      <c r="R15" s="515"/>
      <c r="T15" s="515">
        <f t="shared" si="5"/>
        <v>0</v>
      </c>
      <c r="U15" s="515">
        <f t="shared" si="6"/>
        <v>0</v>
      </c>
    </row>
    <row r="16" spans="1:21">
      <c r="A16" s="510" t="s">
        <v>473</v>
      </c>
      <c r="C16" s="515">
        <v>0</v>
      </c>
      <c r="D16" s="515">
        <v>0</v>
      </c>
      <c r="E16" s="515">
        <v>0</v>
      </c>
      <c r="F16" s="515">
        <v>0</v>
      </c>
      <c r="G16" s="515">
        <v>0</v>
      </c>
      <c r="H16" s="515">
        <v>0</v>
      </c>
      <c r="I16" s="515">
        <v>0</v>
      </c>
      <c r="J16" s="515">
        <v>0</v>
      </c>
      <c r="K16" s="515">
        <v>0</v>
      </c>
      <c r="L16" s="515">
        <v>0</v>
      </c>
      <c r="M16" s="515"/>
      <c r="N16" s="515"/>
      <c r="O16" s="515"/>
      <c r="P16" s="515"/>
      <c r="Q16" s="515"/>
      <c r="R16" s="515"/>
      <c r="T16" s="515">
        <f t="shared" si="5"/>
        <v>0</v>
      </c>
      <c r="U16" s="515">
        <f t="shared" si="6"/>
        <v>0</v>
      </c>
    </row>
    <row r="17" spans="1:21">
      <c r="A17" s="510" t="s">
        <v>474</v>
      </c>
      <c r="C17" s="515">
        <f t="shared" ref="C17:H17" si="7">SUM(C18:C25)</f>
        <v>0</v>
      </c>
      <c r="D17" s="515">
        <f t="shared" si="7"/>
        <v>0</v>
      </c>
      <c r="E17" s="515">
        <f t="shared" si="7"/>
        <v>0</v>
      </c>
      <c r="F17" s="515">
        <f t="shared" si="7"/>
        <v>0</v>
      </c>
      <c r="G17" s="515">
        <f t="shared" si="7"/>
        <v>0</v>
      </c>
      <c r="H17" s="515">
        <f t="shared" si="7"/>
        <v>0</v>
      </c>
      <c r="I17" s="515">
        <f>SUM(I18:I25)</f>
        <v>0</v>
      </c>
      <c r="J17" s="515">
        <f>SUM(J18:J25)</f>
        <v>0</v>
      </c>
      <c r="K17" s="515">
        <f>SUM(K18:K25)</f>
        <v>0</v>
      </c>
      <c r="L17" s="515">
        <f>SUM(L18:L25)</f>
        <v>0</v>
      </c>
      <c r="M17" s="515"/>
      <c r="N17" s="515"/>
      <c r="O17" s="515"/>
      <c r="P17" s="515"/>
      <c r="Q17" s="515"/>
      <c r="R17" s="515"/>
      <c r="T17" s="515">
        <f>SUM(T18:T25)</f>
        <v>0</v>
      </c>
      <c r="U17" s="515">
        <f>SUM(U18:U25)</f>
        <v>0</v>
      </c>
    </row>
    <row r="18" spans="1:21" outlineLevel="1">
      <c r="A18" s="511" t="s">
        <v>475</v>
      </c>
      <c r="C18" s="516">
        <v>0</v>
      </c>
      <c r="D18" s="516">
        <v>0</v>
      </c>
      <c r="E18" s="516">
        <v>0</v>
      </c>
      <c r="F18" s="516">
        <v>0</v>
      </c>
      <c r="G18" s="516">
        <v>0</v>
      </c>
      <c r="H18" s="516">
        <v>0</v>
      </c>
      <c r="I18" s="516">
        <v>0</v>
      </c>
      <c r="J18" s="516">
        <v>0</v>
      </c>
      <c r="K18" s="516">
        <v>0</v>
      </c>
      <c r="L18" s="516">
        <v>0</v>
      </c>
      <c r="M18" s="516"/>
      <c r="N18" s="516"/>
      <c r="O18" s="516"/>
      <c r="P18" s="516"/>
      <c r="Q18" s="516"/>
      <c r="R18" s="516"/>
      <c r="T18" s="516">
        <f t="shared" si="5"/>
        <v>0</v>
      </c>
      <c r="U18" s="516">
        <f t="shared" ref="U18:U25" si="8">L18-T18</f>
        <v>0</v>
      </c>
    </row>
    <row r="19" spans="1:21" outlineLevel="1">
      <c r="A19" s="511" t="s">
        <v>476</v>
      </c>
      <c r="C19" s="516">
        <v>0</v>
      </c>
      <c r="D19" s="516">
        <v>0</v>
      </c>
      <c r="E19" s="516">
        <v>0</v>
      </c>
      <c r="F19" s="516">
        <v>0</v>
      </c>
      <c r="G19" s="516">
        <v>0</v>
      </c>
      <c r="H19" s="516">
        <v>0</v>
      </c>
      <c r="I19" s="516">
        <v>0</v>
      </c>
      <c r="J19" s="516">
        <v>0</v>
      </c>
      <c r="K19" s="516">
        <v>0</v>
      </c>
      <c r="L19" s="516">
        <v>0</v>
      </c>
      <c r="M19" s="516"/>
      <c r="N19" s="516"/>
      <c r="O19" s="516"/>
      <c r="P19" s="516"/>
      <c r="Q19" s="516"/>
      <c r="R19" s="516"/>
      <c r="T19" s="516">
        <f t="shared" si="5"/>
        <v>0</v>
      </c>
      <c r="U19" s="516">
        <f t="shared" si="8"/>
        <v>0</v>
      </c>
    </row>
    <row r="20" spans="1:21" outlineLevel="1">
      <c r="A20" s="511" t="s">
        <v>477</v>
      </c>
      <c r="C20" s="516">
        <v>0</v>
      </c>
      <c r="D20" s="516">
        <v>0</v>
      </c>
      <c r="E20" s="516">
        <v>0</v>
      </c>
      <c r="F20" s="516">
        <v>0</v>
      </c>
      <c r="G20" s="516">
        <v>0</v>
      </c>
      <c r="H20" s="516">
        <v>0</v>
      </c>
      <c r="I20" s="516">
        <v>0</v>
      </c>
      <c r="J20" s="516">
        <v>0</v>
      </c>
      <c r="K20" s="516">
        <v>0</v>
      </c>
      <c r="L20" s="516">
        <v>0</v>
      </c>
      <c r="M20" s="516"/>
      <c r="N20" s="516"/>
      <c r="O20" s="516"/>
      <c r="P20" s="516"/>
      <c r="Q20" s="516"/>
      <c r="R20" s="516"/>
      <c r="T20" s="516">
        <f t="shared" si="5"/>
        <v>0</v>
      </c>
      <c r="U20" s="516">
        <f t="shared" si="8"/>
        <v>0</v>
      </c>
    </row>
    <row r="21" spans="1:21" outlineLevel="1">
      <c r="A21" s="511" t="s">
        <v>478</v>
      </c>
      <c r="C21" s="516">
        <v>0</v>
      </c>
      <c r="D21" s="516">
        <v>0</v>
      </c>
      <c r="E21" s="516">
        <v>0</v>
      </c>
      <c r="F21" s="516">
        <v>0</v>
      </c>
      <c r="G21" s="516">
        <v>0</v>
      </c>
      <c r="H21" s="516">
        <v>0</v>
      </c>
      <c r="I21" s="516">
        <v>0</v>
      </c>
      <c r="J21" s="516">
        <v>0</v>
      </c>
      <c r="K21" s="516">
        <v>0</v>
      </c>
      <c r="L21" s="516">
        <v>0</v>
      </c>
      <c r="M21" s="516"/>
      <c r="N21" s="516"/>
      <c r="O21" s="516"/>
      <c r="P21" s="516"/>
      <c r="Q21" s="516"/>
      <c r="R21" s="516"/>
      <c r="T21" s="516">
        <f t="shared" si="5"/>
        <v>0</v>
      </c>
      <c r="U21" s="516">
        <f t="shared" si="8"/>
        <v>0</v>
      </c>
    </row>
    <row r="22" spans="1:21" outlineLevel="1">
      <c r="A22" s="511" t="s">
        <v>479</v>
      </c>
      <c r="C22" s="516">
        <v>0</v>
      </c>
      <c r="D22" s="516">
        <v>0</v>
      </c>
      <c r="E22" s="516">
        <v>0</v>
      </c>
      <c r="F22" s="516">
        <v>0</v>
      </c>
      <c r="G22" s="516">
        <v>0</v>
      </c>
      <c r="H22" s="516">
        <v>0</v>
      </c>
      <c r="I22" s="516">
        <v>0</v>
      </c>
      <c r="J22" s="516">
        <v>0</v>
      </c>
      <c r="K22" s="516">
        <v>0</v>
      </c>
      <c r="L22" s="516">
        <v>0</v>
      </c>
      <c r="M22" s="516"/>
      <c r="N22" s="516"/>
      <c r="O22" s="516"/>
      <c r="P22" s="516"/>
      <c r="Q22" s="516"/>
      <c r="R22" s="516"/>
      <c r="T22" s="516">
        <f t="shared" si="5"/>
        <v>0</v>
      </c>
      <c r="U22" s="516">
        <f t="shared" si="8"/>
        <v>0</v>
      </c>
    </row>
    <row r="23" spans="1:21" outlineLevel="1">
      <c r="A23" s="511" t="s">
        <v>480</v>
      </c>
      <c r="C23" s="516">
        <v>0</v>
      </c>
      <c r="D23" s="516">
        <v>0</v>
      </c>
      <c r="E23" s="516">
        <v>0</v>
      </c>
      <c r="F23" s="516">
        <v>0</v>
      </c>
      <c r="G23" s="516">
        <v>0</v>
      </c>
      <c r="H23" s="516">
        <v>0</v>
      </c>
      <c r="I23" s="516">
        <v>0</v>
      </c>
      <c r="J23" s="516">
        <v>0</v>
      </c>
      <c r="K23" s="516">
        <v>0</v>
      </c>
      <c r="L23" s="516">
        <v>0</v>
      </c>
      <c r="M23" s="516"/>
      <c r="N23" s="516"/>
      <c r="O23" s="516"/>
      <c r="P23" s="516"/>
      <c r="Q23" s="516"/>
      <c r="R23" s="516"/>
      <c r="T23" s="516">
        <f t="shared" si="5"/>
        <v>0</v>
      </c>
      <c r="U23" s="516">
        <f t="shared" si="8"/>
        <v>0</v>
      </c>
    </row>
    <row r="24" spans="1:21" outlineLevel="1">
      <c r="A24" s="511" t="s">
        <v>481</v>
      </c>
      <c r="C24" s="516">
        <v>0</v>
      </c>
      <c r="D24" s="516">
        <v>0</v>
      </c>
      <c r="E24" s="516">
        <v>0</v>
      </c>
      <c r="F24" s="516">
        <v>0</v>
      </c>
      <c r="G24" s="516">
        <v>0</v>
      </c>
      <c r="H24" s="516">
        <v>0</v>
      </c>
      <c r="I24" s="516">
        <v>0</v>
      </c>
      <c r="J24" s="516">
        <v>0</v>
      </c>
      <c r="K24" s="516">
        <v>0</v>
      </c>
      <c r="L24" s="516">
        <v>0</v>
      </c>
      <c r="M24" s="516"/>
      <c r="N24" s="516"/>
      <c r="O24" s="516"/>
      <c r="P24" s="516"/>
      <c r="Q24" s="516"/>
      <c r="R24" s="516"/>
      <c r="T24" s="516">
        <f t="shared" si="5"/>
        <v>0</v>
      </c>
      <c r="U24" s="516">
        <f t="shared" si="8"/>
        <v>0</v>
      </c>
    </row>
    <row r="25" spans="1:21" outlineLevel="1">
      <c r="A25" s="511" t="s">
        <v>474</v>
      </c>
      <c r="C25" s="516">
        <v>0</v>
      </c>
      <c r="D25" s="516">
        <v>0</v>
      </c>
      <c r="E25" s="516">
        <v>0</v>
      </c>
      <c r="F25" s="516">
        <v>0</v>
      </c>
      <c r="G25" s="516">
        <v>0</v>
      </c>
      <c r="H25" s="516">
        <v>0</v>
      </c>
      <c r="I25" s="516">
        <v>0</v>
      </c>
      <c r="J25" s="516">
        <v>0</v>
      </c>
      <c r="K25" s="516">
        <v>0</v>
      </c>
      <c r="L25" s="516">
        <v>0</v>
      </c>
      <c r="M25" s="516"/>
      <c r="N25" s="516"/>
      <c r="O25" s="516"/>
      <c r="P25" s="516"/>
      <c r="Q25" s="516"/>
      <c r="R25" s="516"/>
      <c r="T25" s="516">
        <f t="shared" si="5"/>
        <v>0</v>
      </c>
      <c r="U25" s="516">
        <f t="shared" si="8"/>
        <v>0</v>
      </c>
    </row>
    <row r="26" spans="1:21">
      <c r="A26" s="510"/>
      <c r="C26" s="510"/>
      <c r="D26" s="510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  <c r="T26" s="510"/>
      <c r="U26" s="510"/>
    </row>
    <row r="27" spans="1:21">
      <c r="A27" s="522" t="s">
        <v>482</v>
      </c>
      <c r="C27" s="513">
        <f t="shared" ref="C27:H27" si="9">SUM(C29:C37)</f>
        <v>0</v>
      </c>
      <c r="D27" s="513">
        <f t="shared" si="9"/>
        <v>0</v>
      </c>
      <c r="E27" s="513">
        <f t="shared" si="9"/>
        <v>0</v>
      </c>
      <c r="F27" s="513">
        <f t="shared" si="9"/>
        <v>0</v>
      </c>
      <c r="G27" s="513">
        <f t="shared" si="9"/>
        <v>0</v>
      </c>
      <c r="H27" s="513">
        <f t="shared" si="9"/>
        <v>0</v>
      </c>
      <c r="I27" s="513">
        <f>SUM(I29:I37)</f>
        <v>0</v>
      </c>
      <c r="J27" s="513">
        <f>SUM(J29:J37)</f>
        <v>0</v>
      </c>
      <c r="K27" s="513">
        <f>SUM(K29:K37)</f>
        <v>0</v>
      </c>
      <c r="L27" s="513">
        <f>SUM(L29:L37)</f>
        <v>0</v>
      </c>
      <c r="M27" s="513"/>
      <c r="N27" s="513"/>
      <c r="O27" s="513"/>
      <c r="P27" s="513"/>
      <c r="Q27" s="513"/>
      <c r="R27" s="513"/>
      <c r="T27" s="513">
        <f>SUM(T29:T37)</f>
        <v>0</v>
      </c>
      <c r="U27" s="513">
        <f>SUM(U29:U37)</f>
        <v>0</v>
      </c>
    </row>
    <row r="28" spans="1:21">
      <c r="A28" s="509"/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T28" s="514"/>
      <c r="U28" s="514"/>
    </row>
    <row r="29" spans="1:21" outlineLevel="1">
      <c r="A29" s="511" t="s">
        <v>483</v>
      </c>
      <c r="C29" s="516">
        <v>0</v>
      </c>
      <c r="D29" s="516">
        <v>0</v>
      </c>
      <c r="E29" s="516">
        <v>0</v>
      </c>
      <c r="F29" s="516">
        <v>0</v>
      </c>
      <c r="G29" s="516">
        <v>0</v>
      </c>
      <c r="H29" s="516">
        <v>0</v>
      </c>
      <c r="I29" s="516">
        <v>0</v>
      </c>
      <c r="J29" s="516">
        <v>0</v>
      </c>
      <c r="K29" s="516">
        <v>0</v>
      </c>
      <c r="L29" s="516">
        <v>0</v>
      </c>
      <c r="M29" s="516"/>
      <c r="N29" s="516"/>
      <c r="O29" s="516"/>
      <c r="P29" s="516"/>
      <c r="Q29" s="516"/>
      <c r="R29" s="516"/>
      <c r="T29" s="516">
        <f t="shared" ref="T29:T37" si="10">K29</f>
        <v>0</v>
      </c>
      <c r="U29" s="516">
        <f t="shared" ref="U29:U37" si="11">L29-T29</f>
        <v>0</v>
      </c>
    </row>
    <row r="30" spans="1:21" outlineLevel="1">
      <c r="A30" s="511" t="s">
        <v>484</v>
      </c>
      <c r="C30" s="516">
        <v>0</v>
      </c>
      <c r="D30" s="516">
        <v>0</v>
      </c>
      <c r="E30" s="516">
        <v>0</v>
      </c>
      <c r="F30" s="516">
        <v>0</v>
      </c>
      <c r="G30" s="516">
        <v>0</v>
      </c>
      <c r="H30" s="516">
        <v>0</v>
      </c>
      <c r="I30" s="516">
        <v>0</v>
      </c>
      <c r="J30" s="516">
        <v>0</v>
      </c>
      <c r="K30" s="516">
        <v>0</v>
      </c>
      <c r="L30" s="516">
        <v>0</v>
      </c>
      <c r="M30" s="516"/>
      <c r="N30" s="516"/>
      <c r="O30" s="516"/>
      <c r="P30" s="516"/>
      <c r="Q30" s="516"/>
      <c r="R30" s="516"/>
      <c r="T30" s="516">
        <f t="shared" si="10"/>
        <v>0</v>
      </c>
      <c r="U30" s="516">
        <f t="shared" si="11"/>
        <v>0</v>
      </c>
    </row>
    <row r="31" spans="1:21" outlineLevel="1">
      <c r="A31" s="511" t="s">
        <v>485</v>
      </c>
      <c r="C31" s="516">
        <v>0</v>
      </c>
      <c r="D31" s="516">
        <v>0</v>
      </c>
      <c r="E31" s="516">
        <v>0</v>
      </c>
      <c r="F31" s="516">
        <v>0</v>
      </c>
      <c r="G31" s="516">
        <v>0</v>
      </c>
      <c r="H31" s="516">
        <v>0</v>
      </c>
      <c r="I31" s="516">
        <v>0</v>
      </c>
      <c r="J31" s="516">
        <v>0</v>
      </c>
      <c r="K31" s="516">
        <v>0</v>
      </c>
      <c r="L31" s="516">
        <v>0</v>
      </c>
      <c r="M31" s="516"/>
      <c r="N31" s="516"/>
      <c r="O31" s="516"/>
      <c r="P31" s="516"/>
      <c r="Q31" s="516"/>
      <c r="R31" s="516"/>
      <c r="T31" s="516">
        <f t="shared" si="10"/>
        <v>0</v>
      </c>
      <c r="U31" s="516">
        <f t="shared" si="11"/>
        <v>0</v>
      </c>
    </row>
    <row r="32" spans="1:21" outlineLevel="1">
      <c r="A32" s="511" t="s">
        <v>486</v>
      </c>
      <c r="C32" s="516">
        <v>0</v>
      </c>
      <c r="D32" s="516">
        <v>0</v>
      </c>
      <c r="E32" s="516">
        <v>0</v>
      </c>
      <c r="F32" s="516">
        <v>0</v>
      </c>
      <c r="G32" s="516">
        <v>0</v>
      </c>
      <c r="H32" s="516">
        <v>0</v>
      </c>
      <c r="I32" s="516">
        <v>0</v>
      </c>
      <c r="J32" s="516">
        <v>0</v>
      </c>
      <c r="K32" s="516">
        <v>0</v>
      </c>
      <c r="L32" s="516">
        <v>0</v>
      </c>
      <c r="M32" s="516"/>
      <c r="N32" s="516"/>
      <c r="O32" s="516"/>
      <c r="P32" s="516"/>
      <c r="Q32" s="516"/>
      <c r="R32" s="516"/>
      <c r="T32" s="516">
        <f t="shared" si="10"/>
        <v>0</v>
      </c>
      <c r="U32" s="516">
        <f t="shared" si="11"/>
        <v>0</v>
      </c>
    </row>
    <row r="33" spans="1:21" outlineLevel="1">
      <c r="A33" s="511" t="s">
        <v>487</v>
      </c>
      <c r="C33" s="516">
        <v>0</v>
      </c>
      <c r="D33" s="516">
        <v>0</v>
      </c>
      <c r="E33" s="516">
        <v>0</v>
      </c>
      <c r="F33" s="516">
        <v>0</v>
      </c>
      <c r="G33" s="516">
        <v>0</v>
      </c>
      <c r="H33" s="516">
        <v>0</v>
      </c>
      <c r="I33" s="516">
        <v>0</v>
      </c>
      <c r="J33" s="516">
        <v>0</v>
      </c>
      <c r="K33" s="516">
        <v>0</v>
      </c>
      <c r="L33" s="516">
        <v>0</v>
      </c>
      <c r="M33" s="516"/>
      <c r="N33" s="516"/>
      <c r="O33" s="516"/>
      <c r="P33" s="516"/>
      <c r="Q33" s="516"/>
      <c r="R33" s="516"/>
      <c r="T33" s="516">
        <f t="shared" si="10"/>
        <v>0</v>
      </c>
      <c r="U33" s="516">
        <f t="shared" si="11"/>
        <v>0</v>
      </c>
    </row>
    <row r="34" spans="1:21" outlineLevel="1">
      <c r="A34" s="511" t="s">
        <v>488</v>
      </c>
      <c r="C34" s="516">
        <v>0</v>
      </c>
      <c r="D34" s="516">
        <v>0</v>
      </c>
      <c r="E34" s="516">
        <v>0</v>
      </c>
      <c r="F34" s="516">
        <v>0</v>
      </c>
      <c r="G34" s="516">
        <v>0</v>
      </c>
      <c r="H34" s="516">
        <v>0</v>
      </c>
      <c r="I34" s="516">
        <v>0</v>
      </c>
      <c r="J34" s="516">
        <v>0</v>
      </c>
      <c r="K34" s="516">
        <v>0</v>
      </c>
      <c r="L34" s="516">
        <v>0</v>
      </c>
      <c r="M34" s="516"/>
      <c r="N34" s="516"/>
      <c r="O34" s="516"/>
      <c r="P34" s="516"/>
      <c r="Q34" s="516"/>
      <c r="R34" s="516"/>
      <c r="T34" s="516">
        <f t="shared" si="10"/>
        <v>0</v>
      </c>
      <c r="U34" s="516">
        <f t="shared" si="11"/>
        <v>0</v>
      </c>
    </row>
    <row r="35" spans="1:21" outlineLevel="1">
      <c r="A35" s="511" t="s">
        <v>489</v>
      </c>
      <c r="C35" s="516">
        <v>0</v>
      </c>
      <c r="D35" s="516">
        <v>0</v>
      </c>
      <c r="E35" s="516">
        <v>0</v>
      </c>
      <c r="F35" s="516">
        <v>0</v>
      </c>
      <c r="G35" s="516">
        <v>0</v>
      </c>
      <c r="H35" s="516">
        <v>0</v>
      </c>
      <c r="I35" s="516">
        <v>0</v>
      </c>
      <c r="J35" s="516">
        <v>0</v>
      </c>
      <c r="K35" s="516">
        <v>0</v>
      </c>
      <c r="L35" s="516">
        <v>0</v>
      </c>
      <c r="M35" s="516"/>
      <c r="N35" s="516"/>
      <c r="O35" s="516"/>
      <c r="P35" s="516"/>
      <c r="Q35" s="516"/>
      <c r="R35" s="516"/>
      <c r="T35" s="516">
        <f t="shared" si="10"/>
        <v>0</v>
      </c>
      <c r="U35" s="516">
        <f t="shared" si="11"/>
        <v>0</v>
      </c>
    </row>
    <row r="36" spans="1:21" outlineLevel="1">
      <c r="A36" s="511" t="s">
        <v>490</v>
      </c>
      <c r="C36" s="516">
        <v>0</v>
      </c>
      <c r="D36" s="516">
        <v>0</v>
      </c>
      <c r="E36" s="516">
        <v>0</v>
      </c>
      <c r="F36" s="516">
        <v>0</v>
      </c>
      <c r="G36" s="516">
        <v>0</v>
      </c>
      <c r="H36" s="516">
        <v>0</v>
      </c>
      <c r="I36" s="516">
        <v>0</v>
      </c>
      <c r="J36" s="516">
        <v>0</v>
      </c>
      <c r="K36" s="516">
        <v>0</v>
      </c>
      <c r="L36" s="516">
        <v>0</v>
      </c>
      <c r="M36" s="516"/>
      <c r="N36" s="516"/>
      <c r="O36" s="516"/>
      <c r="P36" s="516"/>
      <c r="Q36" s="516"/>
      <c r="R36" s="516"/>
      <c r="T36" s="516">
        <f t="shared" si="10"/>
        <v>0</v>
      </c>
      <c r="U36" s="516">
        <f t="shared" si="11"/>
        <v>0</v>
      </c>
    </row>
    <row r="37" spans="1:21" outlineLevel="1">
      <c r="A37" s="511" t="s">
        <v>59</v>
      </c>
      <c r="C37" s="516">
        <v>0</v>
      </c>
      <c r="D37" s="516">
        <v>0</v>
      </c>
      <c r="E37" s="516">
        <v>0</v>
      </c>
      <c r="F37" s="516">
        <v>0</v>
      </c>
      <c r="G37" s="516">
        <v>0</v>
      </c>
      <c r="H37" s="516">
        <v>0</v>
      </c>
      <c r="I37" s="516">
        <v>0</v>
      </c>
      <c r="J37" s="516">
        <v>0</v>
      </c>
      <c r="K37" s="516">
        <v>0</v>
      </c>
      <c r="L37" s="516">
        <v>0</v>
      </c>
      <c r="M37" s="516"/>
      <c r="N37" s="516"/>
      <c r="O37" s="516"/>
      <c r="P37" s="516"/>
      <c r="Q37" s="516"/>
      <c r="R37" s="516"/>
      <c r="T37" s="516">
        <f t="shared" si="10"/>
        <v>0</v>
      </c>
      <c r="U37" s="516">
        <f t="shared" si="11"/>
        <v>0</v>
      </c>
    </row>
    <row r="38" spans="1:21">
      <c r="A38" s="510"/>
      <c r="C38" s="510"/>
      <c r="D38" s="510"/>
      <c r="E38" s="510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P38" s="510"/>
      <c r="Q38" s="510"/>
      <c r="R38" s="510"/>
      <c r="T38" s="510"/>
      <c r="U38" s="510"/>
    </row>
    <row r="39" spans="1:21">
      <c r="A39" s="522" t="s">
        <v>491</v>
      </c>
      <c r="C39" s="513">
        <f t="shared" ref="C39:H39" si="12">C27+C6</f>
        <v>0</v>
      </c>
      <c r="D39" s="513">
        <f t="shared" si="12"/>
        <v>0</v>
      </c>
      <c r="E39" s="513">
        <f t="shared" si="12"/>
        <v>0</v>
      </c>
      <c r="F39" s="513">
        <f t="shared" si="12"/>
        <v>0</v>
      </c>
      <c r="G39" s="513">
        <f t="shared" si="12"/>
        <v>0</v>
      </c>
      <c r="H39" s="513">
        <f t="shared" si="12"/>
        <v>0</v>
      </c>
      <c r="I39" s="513">
        <f>I27+I6</f>
        <v>0</v>
      </c>
      <c r="J39" s="513">
        <f>J27+J6</f>
        <v>0</v>
      </c>
      <c r="K39" s="513">
        <f>K27+K6</f>
        <v>0</v>
      </c>
      <c r="L39" s="513">
        <f>L27+L6</f>
        <v>0</v>
      </c>
      <c r="M39" s="513"/>
      <c r="N39" s="513"/>
      <c r="O39" s="513"/>
      <c r="P39" s="513"/>
      <c r="Q39" s="513"/>
      <c r="R39" s="513"/>
      <c r="T39" s="513">
        <f>T27+T6</f>
        <v>0</v>
      </c>
      <c r="U39" s="513">
        <f>U27+U6</f>
        <v>0</v>
      </c>
    </row>
    <row r="40" spans="1:21">
      <c r="A40" s="510"/>
      <c r="C40" s="510"/>
      <c r="D40" s="510"/>
      <c r="E40" s="510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P40" s="510"/>
      <c r="Q40" s="510"/>
      <c r="R40" s="510"/>
      <c r="T40" s="510"/>
      <c r="U40" s="510"/>
    </row>
    <row r="41" spans="1:21">
      <c r="A41" s="509" t="s">
        <v>492</v>
      </c>
      <c r="C41" s="517">
        <f t="shared" ref="C41:H41" si="13">SUM(C43:C48)</f>
        <v>0</v>
      </c>
      <c r="D41" s="517">
        <f t="shared" si="13"/>
        <v>0</v>
      </c>
      <c r="E41" s="517">
        <f t="shared" si="13"/>
        <v>0</v>
      </c>
      <c r="F41" s="517">
        <f t="shared" si="13"/>
        <v>0</v>
      </c>
      <c r="G41" s="517">
        <f t="shared" si="13"/>
        <v>0</v>
      </c>
      <c r="H41" s="517">
        <f t="shared" si="13"/>
        <v>0</v>
      </c>
      <c r="I41" s="517">
        <f>SUM(I43:I48)</f>
        <v>0</v>
      </c>
      <c r="J41" s="517">
        <f>SUM(J43:J48)</f>
        <v>0</v>
      </c>
      <c r="K41" s="517">
        <f>SUM(K43:K48)</f>
        <v>0</v>
      </c>
      <c r="L41" s="517">
        <f>SUM(L43:L48)</f>
        <v>0</v>
      </c>
      <c r="M41" s="517"/>
      <c r="N41" s="517"/>
      <c r="O41" s="517"/>
      <c r="P41" s="517"/>
      <c r="Q41" s="517"/>
      <c r="R41" s="517"/>
      <c r="T41" s="517">
        <f>SUM(T43:T48)</f>
        <v>0</v>
      </c>
      <c r="U41" s="517">
        <f>SUM(U43:U48)</f>
        <v>0</v>
      </c>
    </row>
    <row r="42" spans="1:21">
      <c r="A42" s="509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T42" s="514"/>
      <c r="U42" s="514"/>
    </row>
    <row r="43" spans="1:21">
      <c r="A43" s="510" t="s">
        <v>493</v>
      </c>
      <c r="C43" s="515">
        <v>0</v>
      </c>
      <c r="D43" s="515">
        <v>0</v>
      </c>
      <c r="E43" s="515">
        <v>0</v>
      </c>
      <c r="F43" s="515">
        <v>0</v>
      </c>
      <c r="G43" s="515">
        <v>0</v>
      </c>
      <c r="H43" s="515">
        <v>0</v>
      </c>
      <c r="I43" s="515">
        <v>0</v>
      </c>
      <c r="J43" s="515">
        <v>0</v>
      </c>
      <c r="K43" s="515">
        <v>0</v>
      </c>
      <c r="L43" s="515">
        <v>0</v>
      </c>
      <c r="M43" s="515"/>
      <c r="N43" s="515"/>
      <c r="O43" s="515"/>
      <c r="P43" s="515"/>
      <c r="Q43" s="515"/>
      <c r="R43" s="515"/>
      <c r="T43" s="515">
        <f t="shared" ref="T43:T47" si="14">K43</f>
        <v>0</v>
      </c>
      <c r="U43" s="515">
        <f t="shared" ref="U43:U47" si="15">L43-T43</f>
        <v>0</v>
      </c>
    </row>
    <row r="44" spans="1:21">
      <c r="A44" s="510" t="s">
        <v>494</v>
      </c>
      <c r="C44" s="515">
        <v>0</v>
      </c>
      <c r="D44" s="515">
        <v>0</v>
      </c>
      <c r="E44" s="515">
        <v>0</v>
      </c>
      <c r="F44" s="515">
        <v>0</v>
      </c>
      <c r="G44" s="515">
        <v>0</v>
      </c>
      <c r="H44" s="515">
        <v>0</v>
      </c>
      <c r="I44" s="515">
        <v>0</v>
      </c>
      <c r="J44" s="515">
        <v>0</v>
      </c>
      <c r="K44" s="515">
        <v>0</v>
      </c>
      <c r="L44" s="515">
        <v>0</v>
      </c>
      <c r="M44" s="515"/>
      <c r="N44" s="515"/>
      <c r="O44" s="515"/>
      <c r="P44" s="515"/>
      <c r="Q44" s="515"/>
      <c r="R44" s="515"/>
      <c r="T44" s="515">
        <f t="shared" si="14"/>
        <v>0</v>
      </c>
      <c r="U44" s="515">
        <f t="shared" si="15"/>
        <v>0</v>
      </c>
    </row>
    <row r="45" spans="1:21">
      <c r="A45" s="510" t="s">
        <v>495</v>
      </c>
      <c r="C45" s="515">
        <v>0</v>
      </c>
      <c r="D45" s="515">
        <v>0</v>
      </c>
      <c r="E45" s="515">
        <v>0</v>
      </c>
      <c r="F45" s="515">
        <v>0</v>
      </c>
      <c r="G45" s="515">
        <v>0</v>
      </c>
      <c r="H45" s="515">
        <v>0</v>
      </c>
      <c r="I45" s="515">
        <v>0</v>
      </c>
      <c r="J45" s="515">
        <v>0</v>
      </c>
      <c r="K45" s="515">
        <v>0</v>
      </c>
      <c r="L45" s="515">
        <v>0</v>
      </c>
      <c r="M45" s="515"/>
      <c r="N45" s="515"/>
      <c r="O45" s="515"/>
      <c r="P45" s="515"/>
      <c r="Q45" s="515"/>
      <c r="R45" s="515"/>
      <c r="T45" s="515">
        <f t="shared" si="14"/>
        <v>0</v>
      </c>
      <c r="U45" s="515">
        <f t="shared" si="15"/>
        <v>0</v>
      </c>
    </row>
    <row r="46" spans="1:21">
      <c r="A46" s="510" t="s">
        <v>496</v>
      </c>
      <c r="C46" s="515">
        <v>0</v>
      </c>
      <c r="D46" s="515">
        <v>0</v>
      </c>
      <c r="E46" s="515">
        <v>0</v>
      </c>
      <c r="F46" s="515">
        <v>0</v>
      </c>
      <c r="G46" s="515">
        <v>0</v>
      </c>
      <c r="H46" s="515">
        <v>0</v>
      </c>
      <c r="I46" s="515">
        <v>0</v>
      </c>
      <c r="J46" s="515">
        <v>0</v>
      </c>
      <c r="K46" s="515">
        <v>0</v>
      </c>
      <c r="L46" s="515">
        <v>0</v>
      </c>
      <c r="M46" s="515"/>
      <c r="N46" s="515"/>
      <c r="O46" s="515"/>
      <c r="P46" s="515"/>
      <c r="Q46" s="515"/>
      <c r="R46" s="515"/>
      <c r="T46" s="515">
        <f t="shared" si="14"/>
        <v>0</v>
      </c>
      <c r="U46" s="515">
        <f t="shared" si="15"/>
        <v>0</v>
      </c>
    </row>
    <row r="47" spans="1:21">
      <c r="A47" s="510" t="s">
        <v>497</v>
      </c>
      <c r="C47" s="515">
        <v>0</v>
      </c>
      <c r="D47" s="515">
        <v>0</v>
      </c>
      <c r="E47" s="515">
        <v>0</v>
      </c>
      <c r="F47" s="515">
        <v>0</v>
      </c>
      <c r="G47" s="515">
        <v>0</v>
      </c>
      <c r="H47" s="515">
        <v>0</v>
      </c>
      <c r="I47" s="515">
        <v>0</v>
      </c>
      <c r="J47" s="515">
        <v>0</v>
      </c>
      <c r="K47" s="515">
        <v>0</v>
      </c>
      <c r="L47" s="515">
        <v>0</v>
      </c>
      <c r="M47" s="515"/>
      <c r="N47" s="515"/>
      <c r="O47" s="515"/>
      <c r="P47" s="515"/>
      <c r="Q47" s="515"/>
      <c r="R47" s="515"/>
      <c r="T47" s="515">
        <f t="shared" si="14"/>
        <v>0</v>
      </c>
      <c r="U47" s="515">
        <f t="shared" si="15"/>
        <v>0</v>
      </c>
    </row>
    <row r="48" spans="1:21">
      <c r="A48" s="510" t="s">
        <v>498</v>
      </c>
      <c r="C48" s="515">
        <f t="shared" ref="C48:H48" si="16">SUM(C49:C55)</f>
        <v>0</v>
      </c>
      <c r="D48" s="515">
        <f t="shared" si="16"/>
        <v>0</v>
      </c>
      <c r="E48" s="515">
        <f t="shared" si="16"/>
        <v>0</v>
      </c>
      <c r="F48" s="515">
        <f t="shared" si="16"/>
        <v>0</v>
      </c>
      <c r="G48" s="515">
        <f t="shared" si="16"/>
        <v>0</v>
      </c>
      <c r="H48" s="515">
        <f t="shared" si="16"/>
        <v>0</v>
      </c>
      <c r="I48" s="515">
        <f>SUM(I49:I55)</f>
        <v>0</v>
      </c>
      <c r="J48" s="515">
        <f>SUM(J49:J55)</f>
        <v>0</v>
      </c>
      <c r="K48" s="515">
        <f>SUM(K49:K55)</f>
        <v>0</v>
      </c>
      <c r="L48" s="515">
        <f>SUM(L49:L55)</f>
        <v>0</v>
      </c>
      <c r="M48" s="515"/>
      <c r="N48" s="515"/>
      <c r="O48" s="515"/>
      <c r="P48" s="515"/>
      <c r="Q48" s="515"/>
      <c r="R48" s="515"/>
      <c r="T48" s="515">
        <f>SUM(T49:T55)</f>
        <v>0</v>
      </c>
      <c r="U48" s="515">
        <f>SUM(U49:U55)</f>
        <v>0</v>
      </c>
    </row>
    <row r="49" spans="1:21" outlineLevel="1">
      <c r="A49" s="511" t="s">
        <v>499</v>
      </c>
      <c r="C49" s="516">
        <v>0</v>
      </c>
      <c r="D49" s="516">
        <v>0</v>
      </c>
      <c r="E49" s="516">
        <v>0</v>
      </c>
      <c r="F49" s="516">
        <v>0</v>
      </c>
      <c r="G49" s="516">
        <v>0</v>
      </c>
      <c r="H49" s="516">
        <v>0</v>
      </c>
      <c r="I49" s="516">
        <v>0</v>
      </c>
      <c r="J49" s="516">
        <v>0</v>
      </c>
      <c r="K49" s="516">
        <v>0</v>
      </c>
      <c r="L49" s="516">
        <v>0</v>
      </c>
      <c r="M49" s="516"/>
      <c r="N49" s="516"/>
      <c r="O49" s="516"/>
      <c r="P49" s="516"/>
      <c r="Q49" s="516"/>
      <c r="R49" s="516"/>
      <c r="T49" s="516">
        <f t="shared" ref="T49:T55" si="17">K49</f>
        <v>0</v>
      </c>
      <c r="U49" s="516">
        <f t="shared" ref="U49:U55" si="18">L49-T49</f>
        <v>0</v>
      </c>
    </row>
    <row r="50" spans="1:21" outlineLevel="1">
      <c r="A50" s="511" t="s">
        <v>500</v>
      </c>
      <c r="C50" s="516">
        <v>0</v>
      </c>
      <c r="D50" s="516">
        <v>0</v>
      </c>
      <c r="E50" s="516">
        <v>0</v>
      </c>
      <c r="F50" s="516">
        <v>0</v>
      </c>
      <c r="G50" s="516">
        <v>0</v>
      </c>
      <c r="H50" s="516">
        <v>0</v>
      </c>
      <c r="I50" s="516">
        <v>0</v>
      </c>
      <c r="J50" s="516">
        <v>0</v>
      </c>
      <c r="K50" s="516">
        <v>0</v>
      </c>
      <c r="L50" s="516">
        <v>0</v>
      </c>
      <c r="M50" s="516"/>
      <c r="N50" s="516"/>
      <c r="O50" s="516"/>
      <c r="P50" s="516"/>
      <c r="Q50" s="516"/>
      <c r="R50" s="516"/>
      <c r="T50" s="516">
        <f t="shared" si="17"/>
        <v>0</v>
      </c>
      <c r="U50" s="516">
        <f t="shared" si="18"/>
        <v>0</v>
      </c>
    </row>
    <row r="51" spans="1:21" outlineLevel="1">
      <c r="A51" s="511" t="s">
        <v>501</v>
      </c>
      <c r="C51" s="516">
        <v>0</v>
      </c>
      <c r="D51" s="516">
        <v>0</v>
      </c>
      <c r="E51" s="516">
        <v>0</v>
      </c>
      <c r="F51" s="516">
        <v>0</v>
      </c>
      <c r="G51" s="516">
        <v>0</v>
      </c>
      <c r="H51" s="516">
        <v>0</v>
      </c>
      <c r="I51" s="516">
        <v>0</v>
      </c>
      <c r="J51" s="516">
        <v>0</v>
      </c>
      <c r="K51" s="516">
        <v>0</v>
      </c>
      <c r="L51" s="516">
        <v>0</v>
      </c>
      <c r="M51" s="516"/>
      <c r="N51" s="516"/>
      <c r="O51" s="516"/>
      <c r="P51" s="516"/>
      <c r="Q51" s="516"/>
      <c r="R51" s="516"/>
      <c r="T51" s="516">
        <f t="shared" si="17"/>
        <v>0</v>
      </c>
      <c r="U51" s="516">
        <f t="shared" si="18"/>
        <v>0</v>
      </c>
    </row>
    <row r="52" spans="1:21" outlineLevel="1">
      <c r="A52" s="511" t="s">
        <v>502</v>
      </c>
      <c r="C52" s="516">
        <v>0</v>
      </c>
      <c r="D52" s="516">
        <v>0</v>
      </c>
      <c r="E52" s="516">
        <v>0</v>
      </c>
      <c r="F52" s="516">
        <v>0</v>
      </c>
      <c r="G52" s="516">
        <v>0</v>
      </c>
      <c r="H52" s="516">
        <v>0</v>
      </c>
      <c r="I52" s="516">
        <v>0</v>
      </c>
      <c r="J52" s="516">
        <v>0</v>
      </c>
      <c r="K52" s="516">
        <v>0</v>
      </c>
      <c r="L52" s="516">
        <v>0</v>
      </c>
      <c r="M52" s="516"/>
      <c r="N52" s="516"/>
      <c r="O52" s="516"/>
      <c r="P52" s="516"/>
      <c r="Q52" s="516"/>
      <c r="R52" s="516"/>
      <c r="T52" s="516">
        <f t="shared" si="17"/>
        <v>0</v>
      </c>
      <c r="U52" s="516">
        <f t="shared" si="18"/>
        <v>0</v>
      </c>
    </row>
    <row r="53" spans="1:21" outlineLevel="1">
      <c r="A53" s="511" t="s">
        <v>503</v>
      </c>
      <c r="C53" s="516">
        <v>0</v>
      </c>
      <c r="D53" s="516">
        <v>0</v>
      </c>
      <c r="E53" s="516">
        <v>0</v>
      </c>
      <c r="F53" s="516">
        <v>0</v>
      </c>
      <c r="G53" s="516">
        <v>0</v>
      </c>
      <c r="H53" s="516">
        <v>0</v>
      </c>
      <c r="I53" s="516">
        <v>0</v>
      </c>
      <c r="J53" s="516">
        <v>0</v>
      </c>
      <c r="K53" s="516">
        <v>0</v>
      </c>
      <c r="L53" s="516">
        <v>0</v>
      </c>
      <c r="M53" s="516"/>
      <c r="N53" s="516"/>
      <c r="O53" s="516"/>
      <c r="P53" s="516"/>
      <c r="Q53" s="516"/>
      <c r="R53" s="516"/>
      <c r="T53" s="516">
        <f t="shared" si="17"/>
        <v>0</v>
      </c>
      <c r="U53" s="516">
        <f t="shared" si="18"/>
        <v>0</v>
      </c>
    </row>
    <row r="54" spans="1:21" outlineLevel="1">
      <c r="A54" s="511" t="s">
        <v>504</v>
      </c>
      <c r="C54" s="516">
        <v>0</v>
      </c>
      <c r="D54" s="516">
        <v>0</v>
      </c>
      <c r="E54" s="516">
        <v>0</v>
      </c>
      <c r="F54" s="516">
        <v>0</v>
      </c>
      <c r="G54" s="516">
        <v>0</v>
      </c>
      <c r="H54" s="516">
        <v>0</v>
      </c>
      <c r="I54" s="516">
        <v>0</v>
      </c>
      <c r="J54" s="516">
        <v>0</v>
      </c>
      <c r="K54" s="516">
        <v>0</v>
      </c>
      <c r="L54" s="516">
        <v>0</v>
      </c>
      <c r="M54" s="516"/>
      <c r="N54" s="516"/>
      <c r="O54" s="516"/>
      <c r="P54" s="516"/>
      <c r="Q54" s="516"/>
      <c r="R54" s="516"/>
      <c r="T54" s="516">
        <f t="shared" si="17"/>
        <v>0</v>
      </c>
      <c r="U54" s="516">
        <f t="shared" si="18"/>
        <v>0</v>
      </c>
    </row>
    <row r="55" spans="1:21" outlineLevel="1">
      <c r="A55" s="511" t="s">
        <v>505</v>
      </c>
      <c r="C55" s="516">
        <v>0</v>
      </c>
      <c r="D55" s="516">
        <v>0</v>
      </c>
      <c r="E55" s="516">
        <v>0</v>
      </c>
      <c r="F55" s="516">
        <v>0</v>
      </c>
      <c r="G55" s="516">
        <v>0</v>
      </c>
      <c r="H55" s="516">
        <v>0</v>
      </c>
      <c r="I55" s="516">
        <v>0</v>
      </c>
      <c r="J55" s="516">
        <v>0</v>
      </c>
      <c r="K55" s="516">
        <v>0</v>
      </c>
      <c r="L55" s="516">
        <v>0</v>
      </c>
      <c r="M55" s="516"/>
      <c r="N55" s="516"/>
      <c r="O55" s="516"/>
      <c r="P55" s="516"/>
      <c r="Q55" s="516"/>
      <c r="R55" s="516"/>
      <c r="T55" s="516">
        <f t="shared" si="17"/>
        <v>0</v>
      </c>
      <c r="U55" s="516">
        <f t="shared" si="18"/>
        <v>0</v>
      </c>
    </row>
    <row r="56" spans="1:21">
      <c r="A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0"/>
      <c r="T56" s="510"/>
      <c r="U56" s="510"/>
    </row>
    <row r="57" spans="1:21">
      <c r="A57" s="522" t="s">
        <v>506</v>
      </c>
      <c r="C57" s="513">
        <f t="shared" ref="C57:H57" si="19">C39+C41</f>
        <v>0</v>
      </c>
      <c r="D57" s="513">
        <f t="shared" si="19"/>
        <v>0</v>
      </c>
      <c r="E57" s="513">
        <f t="shared" si="19"/>
        <v>0</v>
      </c>
      <c r="F57" s="513">
        <f t="shared" si="19"/>
        <v>0</v>
      </c>
      <c r="G57" s="513">
        <f t="shared" si="19"/>
        <v>0</v>
      </c>
      <c r="H57" s="513">
        <f t="shared" si="19"/>
        <v>0</v>
      </c>
      <c r="I57" s="513">
        <f>I39+I41</f>
        <v>0</v>
      </c>
      <c r="J57" s="513">
        <f>J39+J41</f>
        <v>0</v>
      </c>
      <c r="K57" s="513">
        <f>K39+K41</f>
        <v>0</v>
      </c>
      <c r="L57" s="513">
        <f>L39+L41</f>
        <v>0</v>
      </c>
      <c r="M57" s="513"/>
      <c r="N57" s="513"/>
      <c r="O57" s="513"/>
      <c r="P57" s="513"/>
      <c r="Q57" s="513"/>
      <c r="R57" s="513"/>
      <c r="T57" s="513">
        <f>T39+T41</f>
        <v>0</v>
      </c>
      <c r="U57" s="513">
        <f>U39+U41</f>
        <v>0</v>
      </c>
    </row>
    <row r="58" spans="1:21">
      <c r="A58" s="510"/>
      <c r="C58" s="510"/>
      <c r="D58" s="510"/>
      <c r="E58" s="510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P58" s="510"/>
      <c r="Q58" s="510"/>
      <c r="R58" s="510"/>
      <c r="T58" s="510"/>
      <c r="U58" s="510"/>
    </row>
    <row r="59" spans="1:21">
      <c r="A59" s="509" t="s">
        <v>507</v>
      </c>
      <c r="C59" s="517">
        <f t="shared" ref="C59:H59" si="20">C61+C67+C68+C77+C78</f>
        <v>626795</v>
      </c>
      <c r="D59" s="517">
        <f t="shared" si="20"/>
        <v>605786</v>
      </c>
      <c r="E59" s="517">
        <f t="shared" si="20"/>
        <v>1174785</v>
      </c>
      <c r="F59" s="517">
        <f t="shared" si="20"/>
        <v>1691380</v>
      </c>
      <c r="G59" s="517">
        <f t="shared" si="20"/>
        <v>477573</v>
      </c>
      <c r="H59" s="517">
        <f t="shared" si="20"/>
        <v>1095701</v>
      </c>
      <c r="I59" s="517">
        <f>I61+I67+I68+I77+I78</f>
        <v>1989970</v>
      </c>
      <c r="J59" s="517">
        <f>J61+J67+J68+J77+J78</f>
        <v>2676130</v>
      </c>
      <c r="K59" s="517">
        <f>K61+K67+K68+K77+K78</f>
        <v>333057</v>
      </c>
      <c r="L59" s="517">
        <f>L61+L67+L68+L77+L78</f>
        <v>746149</v>
      </c>
      <c r="M59" s="517"/>
      <c r="N59" s="517"/>
      <c r="O59" s="517"/>
      <c r="P59" s="517"/>
      <c r="Q59" s="517"/>
      <c r="R59" s="517"/>
      <c r="T59" s="517">
        <f>T61+T67+T68+T77+T78</f>
        <v>333057</v>
      </c>
      <c r="U59" s="517">
        <f>U61+U67+U68+U77+U78</f>
        <v>413092</v>
      </c>
    </row>
    <row r="60" spans="1:21">
      <c r="A60" s="509"/>
      <c r="C60" s="514"/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514"/>
      <c r="R60" s="514"/>
      <c r="T60" s="514"/>
      <c r="U60" s="514"/>
    </row>
    <row r="61" spans="1:21">
      <c r="A61" s="512" t="s">
        <v>508</v>
      </c>
      <c r="C61" s="515">
        <f t="shared" ref="C61:H61" si="21">SUM(C62:C66)</f>
        <v>0</v>
      </c>
      <c r="D61" s="515">
        <f t="shared" si="21"/>
        <v>0</v>
      </c>
      <c r="E61" s="515">
        <f t="shared" si="21"/>
        <v>0</v>
      </c>
      <c r="F61" s="515">
        <f t="shared" si="21"/>
        <v>0</v>
      </c>
      <c r="G61" s="515">
        <f t="shared" si="21"/>
        <v>0</v>
      </c>
      <c r="H61" s="515">
        <f t="shared" si="21"/>
        <v>0</v>
      </c>
      <c r="I61" s="515">
        <f>SUM(I62:I66)</f>
        <v>0</v>
      </c>
      <c r="J61" s="515">
        <f>SUM(J62:J66)</f>
        <v>0</v>
      </c>
      <c r="K61" s="515">
        <f t="shared" ref="K61:L61" si="22">SUM(K62:K66)</f>
        <v>0</v>
      </c>
      <c r="L61" s="515">
        <f t="shared" si="22"/>
        <v>-11953</v>
      </c>
      <c r="M61" s="515"/>
      <c r="N61" s="515"/>
      <c r="O61" s="515"/>
      <c r="P61" s="515"/>
      <c r="Q61" s="515"/>
      <c r="R61" s="515"/>
      <c r="T61" s="515">
        <f t="shared" ref="T61:U61" si="23">SUM(T62:T66)</f>
        <v>0</v>
      </c>
      <c r="U61" s="515">
        <f t="shared" si="23"/>
        <v>-11953</v>
      </c>
    </row>
    <row r="62" spans="1:21" outlineLevel="1">
      <c r="A62" s="511" t="s">
        <v>509</v>
      </c>
      <c r="C62" s="516">
        <v>0</v>
      </c>
      <c r="D62" s="516">
        <v>0</v>
      </c>
      <c r="E62" s="516">
        <v>0</v>
      </c>
      <c r="F62" s="516">
        <v>0</v>
      </c>
      <c r="G62" s="516">
        <v>0</v>
      </c>
      <c r="H62" s="516">
        <v>0</v>
      </c>
      <c r="I62" s="516">
        <v>0</v>
      </c>
      <c r="J62" s="516">
        <v>0</v>
      </c>
      <c r="K62" s="516">
        <v>0</v>
      </c>
      <c r="L62" s="516">
        <v>-725</v>
      </c>
      <c r="M62" s="516"/>
      <c r="N62" s="516"/>
      <c r="O62" s="516"/>
      <c r="P62" s="516"/>
      <c r="Q62" s="516"/>
      <c r="R62" s="516"/>
      <c r="T62" s="516">
        <f t="shared" ref="T62:T67" si="24">K62</f>
        <v>0</v>
      </c>
      <c r="U62" s="516">
        <f t="shared" ref="U62:U67" si="25">L62-T62</f>
        <v>-725</v>
      </c>
    </row>
    <row r="63" spans="1:21" outlineLevel="1">
      <c r="A63" s="511" t="s">
        <v>510</v>
      </c>
      <c r="C63" s="516">
        <v>0</v>
      </c>
      <c r="D63" s="516">
        <v>0</v>
      </c>
      <c r="E63" s="516">
        <v>0</v>
      </c>
      <c r="F63" s="516">
        <v>0</v>
      </c>
      <c r="G63" s="516">
        <v>0</v>
      </c>
      <c r="H63" s="516">
        <v>0</v>
      </c>
      <c r="I63" s="516">
        <v>0</v>
      </c>
      <c r="J63" s="516">
        <v>0</v>
      </c>
      <c r="K63" s="516">
        <v>0</v>
      </c>
      <c r="L63" s="516">
        <v>0</v>
      </c>
      <c r="M63" s="516"/>
      <c r="N63" s="516"/>
      <c r="O63" s="516"/>
      <c r="P63" s="516"/>
      <c r="Q63" s="516"/>
      <c r="R63" s="516"/>
      <c r="T63" s="516">
        <f t="shared" si="24"/>
        <v>0</v>
      </c>
      <c r="U63" s="516">
        <f t="shared" si="25"/>
        <v>0</v>
      </c>
    </row>
    <row r="64" spans="1:21" outlineLevel="1">
      <c r="A64" s="511" t="s">
        <v>511</v>
      </c>
      <c r="C64" s="516">
        <v>0</v>
      </c>
      <c r="D64" s="516">
        <v>0</v>
      </c>
      <c r="E64" s="516">
        <v>0</v>
      </c>
      <c r="F64" s="516">
        <v>0</v>
      </c>
      <c r="G64" s="516">
        <v>0</v>
      </c>
      <c r="H64" s="516">
        <v>0</v>
      </c>
      <c r="I64" s="516">
        <v>0</v>
      </c>
      <c r="J64" s="516">
        <v>0</v>
      </c>
      <c r="K64" s="516">
        <v>0</v>
      </c>
      <c r="L64" s="516">
        <v>-11228</v>
      </c>
      <c r="M64" s="516"/>
      <c r="N64" s="516"/>
      <c r="O64" s="516"/>
      <c r="P64" s="516"/>
      <c r="Q64" s="516"/>
      <c r="R64" s="516"/>
      <c r="T64" s="516">
        <f t="shared" si="24"/>
        <v>0</v>
      </c>
      <c r="U64" s="516">
        <f t="shared" si="25"/>
        <v>-11228</v>
      </c>
    </row>
    <row r="65" spans="1:21" outlineLevel="1">
      <c r="A65" s="511" t="s">
        <v>512</v>
      </c>
      <c r="C65" s="516">
        <v>0</v>
      </c>
      <c r="D65" s="516">
        <v>0</v>
      </c>
      <c r="E65" s="516">
        <v>0</v>
      </c>
      <c r="F65" s="516">
        <v>0</v>
      </c>
      <c r="G65" s="516">
        <v>0</v>
      </c>
      <c r="H65" s="516">
        <v>0</v>
      </c>
      <c r="I65" s="516">
        <v>0</v>
      </c>
      <c r="J65" s="516">
        <v>0</v>
      </c>
      <c r="K65" s="516">
        <v>0</v>
      </c>
      <c r="L65" s="516">
        <v>0</v>
      </c>
      <c r="M65" s="516"/>
      <c r="N65" s="516"/>
      <c r="O65" s="516"/>
      <c r="P65" s="516"/>
      <c r="Q65" s="516"/>
      <c r="R65" s="516"/>
      <c r="T65" s="516">
        <f t="shared" si="24"/>
        <v>0</v>
      </c>
      <c r="U65" s="516">
        <f t="shared" si="25"/>
        <v>0</v>
      </c>
    </row>
    <row r="66" spans="1:21" outlineLevel="1">
      <c r="A66" s="511" t="s">
        <v>513</v>
      </c>
      <c r="C66" s="516">
        <v>0</v>
      </c>
      <c r="D66" s="516">
        <v>0</v>
      </c>
      <c r="E66" s="516">
        <v>0</v>
      </c>
      <c r="F66" s="516">
        <v>0</v>
      </c>
      <c r="G66" s="516">
        <v>0</v>
      </c>
      <c r="H66" s="516">
        <v>0</v>
      </c>
      <c r="I66" s="516">
        <v>0</v>
      </c>
      <c r="J66" s="516">
        <v>0</v>
      </c>
      <c r="K66" s="516">
        <v>0</v>
      </c>
      <c r="L66" s="516">
        <v>0</v>
      </c>
      <c r="M66" s="516"/>
      <c r="N66" s="516"/>
      <c r="O66" s="516"/>
      <c r="P66" s="516"/>
      <c r="Q66" s="516"/>
      <c r="R66" s="516"/>
      <c r="T66" s="516">
        <f t="shared" si="24"/>
        <v>0</v>
      </c>
      <c r="U66" s="516">
        <f t="shared" si="25"/>
        <v>0</v>
      </c>
    </row>
    <row r="67" spans="1:21">
      <c r="A67" s="510" t="s">
        <v>514</v>
      </c>
      <c r="C67" s="518">
        <v>0</v>
      </c>
      <c r="D67" s="518">
        <v>0</v>
      </c>
      <c r="E67" s="518">
        <v>0</v>
      </c>
      <c r="F67" s="518">
        <v>0</v>
      </c>
      <c r="G67" s="518">
        <v>0</v>
      </c>
      <c r="H67" s="518">
        <v>0</v>
      </c>
      <c r="I67" s="518">
        <v>0</v>
      </c>
      <c r="J67" s="518">
        <v>0</v>
      </c>
      <c r="K67" s="518">
        <v>0</v>
      </c>
      <c r="L67" s="518">
        <v>0</v>
      </c>
      <c r="M67" s="518"/>
      <c r="N67" s="518"/>
      <c r="O67" s="518"/>
      <c r="P67" s="518"/>
      <c r="Q67" s="518"/>
      <c r="R67" s="518"/>
      <c r="T67" s="518">
        <f t="shared" si="24"/>
        <v>0</v>
      </c>
      <c r="U67" s="518">
        <f t="shared" si="25"/>
        <v>0</v>
      </c>
    </row>
    <row r="68" spans="1:21">
      <c r="A68" s="510" t="s">
        <v>515</v>
      </c>
      <c r="C68" s="515">
        <f t="shared" ref="C68:H68" si="26">SUM(C69:C76)</f>
        <v>-51794</v>
      </c>
      <c r="D68" s="515">
        <f t="shared" si="26"/>
        <v>-92169</v>
      </c>
      <c r="E68" s="515">
        <f t="shared" si="26"/>
        <v>-129967</v>
      </c>
      <c r="F68" s="515">
        <f t="shared" si="26"/>
        <v>-168895</v>
      </c>
      <c r="G68" s="515">
        <f t="shared" si="26"/>
        <v>-39673</v>
      </c>
      <c r="H68" s="515">
        <f t="shared" si="26"/>
        <v>-67224</v>
      </c>
      <c r="I68" s="515">
        <f>SUM(I69:I76)</f>
        <v>-99181</v>
      </c>
      <c r="J68" s="515">
        <f>SUM(J69:J76)</f>
        <v>-125960</v>
      </c>
      <c r="K68" s="515">
        <f>SUM(K69:K76)</f>
        <v>-40061</v>
      </c>
      <c r="L68" s="515">
        <f>SUM(L69:L76)</f>
        <v>-67820</v>
      </c>
      <c r="M68" s="515"/>
      <c r="N68" s="515"/>
      <c r="O68" s="515"/>
      <c r="P68" s="515"/>
      <c r="Q68" s="515"/>
      <c r="R68" s="515"/>
      <c r="T68" s="515">
        <f>SUM(T69:T76)</f>
        <v>-40061</v>
      </c>
      <c r="U68" s="515">
        <f>SUM(U69:U76)</f>
        <v>-27759</v>
      </c>
    </row>
    <row r="69" spans="1:21" outlineLevel="1">
      <c r="A69" s="511" t="s">
        <v>516</v>
      </c>
      <c r="C69" s="516">
        <v>-6300</v>
      </c>
      <c r="D69" s="516">
        <v>-12272</v>
      </c>
      <c r="E69" s="516">
        <v>-18831</v>
      </c>
      <c r="F69" s="516">
        <v>-25084</v>
      </c>
      <c r="G69" s="516">
        <v>-6335</v>
      </c>
      <c r="H69" s="516">
        <v>-14392</v>
      </c>
      <c r="I69" s="516">
        <v>-23668</v>
      </c>
      <c r="J69" s="516">
        <v>-35135</v>
      </c>
      <c r="K69" s="516">
        <v>-15749</v>
      </c>
      <c r="L69" s="516">
        <v>-25208</v>
      </c>
      <c r="M69" s="516"/>
      <c r="N69" s="516"/>
      <c r="O69" s="516"/>
      <c r="P69" s="516"/>
      <c r="Q69" s="516"/>
      <c r="R69" s="516"/>
      <c r="T69" s="516">
        <f t="shared" ref="T69:T77" si="27">K69</f>
        <v>-15749</v>
      </c>
      <c r="U69" s="516">
        <f t="shared" ref="U69:U77" si="28">L69-T69</f>
        <v>-9459</v>
      </c>
    </row>
    <row r="70" spans="1:21" outlineLevel="1">
      <c r="A70" s="511" t="s">
        <v>517</v>
      </c>
      <c r="C70" s="516">
        <v>-32</v>
      </c>
      <c r="D70" s="516">
        <v>-74</v>
      </c>
      <c r="E70" s="516">
        <v>-126</v>
      </c>
      <c r="F70" s="516">
        <v>-211</v>
      </c>
      <c r="G70" s="516">
        <v>-93</v>
      </c>
      <c r="H70" s="516">
        <v>-170</v>
      </c>
      <c r="I70" s="516">
        <v>-214</v>
      </c>
      <c r="J70" s="516">
        <v>-257</v>
      </c>
      <c r="K70" s="516">
        <v>-62</v>
      </c>
      <c r="L70" s="516">
        <v>-124</v>
      </c>
      <c r="M70" s="516"/>
      <c r="N70" s="516"/>
      <c r="O70" s="516"/>
      <c r="P70" s="516"/>
      <c r="Q70" s="516"/>
      <c r="R70" s="516"/>
      <c r="T70" s="516">
        <f t="shared" si="27"/>
        <v>-62</v>
      </c>
      <c r="U70" s="516">
        <f t="shared" si="28"/>
        <v>-62</v>
      </c>
    </row>
    <row r="71" spans="1:21" outlineLevel="1">
      <c r="A71" s="511" t="s">
        <v>518</v>
      </c>
      <c r="C71" s="516">
        <v>-19753</v>
      </c>
      <c r="D71" s="516">
        <v>-29616</v>
      </c>
      <c r="E71" s="516">
        <v>-37511</v>
      </c>
      <c r="F71" s="516">
        <v>-45142</v>
      </c>
      <c r="G71" s="516">
        <v>-11602</v>
      </c>
      <c r="H71" s="516">
        <v>-20026</v>
      </c>
      <c r="I71" s="516">
        <v>-26334</v>
      </c>
      <c r="J71" s="516">
        <v>-30507</v>
      </c>
      <c r="K71" s="516">
        <v>-12554</v>
      </c>
      <c r="L71" s="516">
        <v>-20830</v>
      </c>
      <c r="M71" s="516"/>
      <c r="N71" s="516"/>
      <c r="O71" s="516"/>
      <c r="P71" s="516"/>
      <c r="Q71" s="516"/>
      <c r="R71" s="516"/>
      <c r="T71" s="516">
        <f t="shared" si="27"/>
        <v>-12554</v>
      </c>
      <c r="U71" s="516">
        <f t="shared" si="28"/>
        <v>-8276</v>
      </c>
    </row>
    <row r="72" spans="1:21" outlineLevel="1">
      <c r="A72" s="511" t="s">
        <v>519</v>
      </c>
      <c r="C72" s="516">
        <v>24</v>
      </c>
      <c r="D72" s="516">
        <v>21</v>
      </c>
      <c r="E72" s="516">
        <v>-72</v>
      </c>
      <c r="F72" s="516">
        <v>-72</v>
      </c>
      <c r="G72" s="516">
        <v>0</v>
      </c>
      <c r="H72" s="516">
        <v>-2</v>
      </c>
      <c r="I72" s="516">
        <v>-31</v>
      </c>
      <c r="J72" s="516">
        <v>-65</v>
      </c>
      <c r="K72" s="516">
        <v>-21</v>
      </c>
      <c r="L72" s="516">
        <v>-57</v>
      </c>
      <c r="M72" s="516"/>
      <c r="N72" s="516"/>
      <c r="O72" s="516"/>
      <c r="P72" s="516"/>
      <c r="Q72" s="516"/>
      <c r="R72" s="516"/>
      <c r="T72" s="516">
        <f t="shared" si="27"/>
        <v>-21</v>
      </c>
      <c r="U72" s="516">
        <f t="shared" si="28"/>
        <v>-36</v>
      </c>
    </row>
    <row r="73" spans="1:21" outlineLevel="1">
      <c r="A73" s="511" t="s">
        <v>520</v>
      </c>
      <c r="C73" s="516">
        <v>-1396</v>
      </c>
      <c r="D73" s="516">
        <v>-1561</v>
      </c>
      <c r="E73" s="516">
        <v>-433</v>
      </c>
      <c r="F73" s="516">
        <v>-1065</v>
      </c>
      <c r="G73" s="516">
        <v>-1831</v>
      </c>
      <c r="H73" s="516">
        <v>-2042</v>
      </c>
      <c r="I73" s="516">
        <v>-7562</v>
      </c>
      <c r="J73" s="516">
        <v>-7800</v>
      </c>
      <c r="K73" s="516">
        <v>-892</v>
      </c>
      <c r="L73" s="516">
        <v>-1194</v>
      </c>
      <c r="M73" s="516"/>
      <c r="N73" s="516"/>
      <c r="O73" s="516"/>
      <c r="P73" s="516"/>
      <c r="Q73" s="516"/>
      <c r="R73" s="516"/>
      <c r="T73" s="516">
        <f t="shared" si="27"/>
        <v>-892</v>
      </c>
      <c r="U73" s="516">
        <f t="shared" si="28"/>
        <v>-302</v>
      </c>
    </row>
    <row r="74" spans="1:21" outlineLevel="1">
      <c r="A74" s="511" t="s">
        <v>521</v>
      </c>
      <c r="C74" s="516">
        <v>0</v>
      </c>
      <c r="D74" s="516">
        <v>0</v>
      </c>
      <c r="E74" s="516">
        <v>0</v>
      </c>
      <c r="F74" s="516">
        <v>0</v>
      </c>
      <c r="G74" s="516">
        <v>0</v>
      </c>
      <c r="H74" s="516">
        <v>0</v>
      </c>
      <c r="I74" s="516">
        <v>0</v>
      </c>
      <c r="J74" s="516">
        <v>0</v>
      </c>
      <c r="K74" s="516">
        <v>0</v>
      </c>
      <c r="L74" s="516">
        <v>0</v>
      </c>
      <c r="M74" s="516"/>
      <c r="N74" s="516"/>
      <c r="O74" s="516"/>
      <c r="P74" s="516"/>
      <c r="Q74" s="516"/>
      <c r="R74" s="516"/>
      <c r="T74" s="516">
        <f t="shared" si="27"/>
        <v>0</v>
      </c>
      <c r="U74" s="516">
        <f t="shared" si="28"/>
        <v>0</v>
      </c>
    </row>
    <row r="75" spans="1:21" outlineLevel="1">
      <c r="A75" s="511" t="s">
        <v>522</v>
      </c>
      <c r="C75" s="516">
        <v>-59</v>
      </c>
      <c r="D75" s="516">
        <v>-77</v>
      </c>
      <c r="E75" s="516">
        <v>-95</v>
      </c>
      <c r="F75" s="516">
        <v>-113</v>
      </c>
      <c r="G75" s="516">
        <v>-18</v>
      </c>
      <c r="H75" s="516">
        <v>-36</v>
      </c>
      <c r="I75" s="516">
        <v>-54</v>
      </c>
      <c r="J75" s="516">
        <v>-115</v>
      </c>
      <c r="K75" s="516">
        <v>-21</v>
      </c>
      <c r="L75" s="516">
        <v>-42</v>
      </c>
      <c r="M75" s="516"/>
      <c r="N75" s="516"/>
      <c r="O75" s="516"/>
      <c r="P75" s="516"/>
      <c r="Q75" s="516"/>
      <c r="R75" s="516"/>
      <c r="T75" s="516">
        <f t="shared" si="27"/>
        <v>-21</v>
      </c>
      <c r="U75" s="516">
        <f t="shared" si="28"/>
        <v>-21</v>
      </c>
    </row>
    <row r="76" spans="1:21" outlineLevel="1">
      <c r="A76" s="511" t="s">
        <v>523</v>
      </c>
      <c r="C76" s="516">
        <v>-24278</v>
      </c>
      <c r="D76" s="516">
        <v>-48590</v>
      </c>
      <c r="E76" s="516">
        <v>-72899</v>
      </c>
      <c r="F76" s="516">
        <v>-97208</v>
      </c>
      <c r="G76" s="516">
        <v>-19794</v>
      </c>
      <c r="H76" s="516">
        <v>-30556</v>
      </c>
      <c r="I76" s="516">
        <v>-41318</v>
      </c>
      <c r="J76" s="516">
        <v>-52081</v>
      </c>
      <c r="K76" s="516">
        <v>-10762</v>
      </c>
      <c r="L76" s="516">
        <v>-20365</v>
      </c>
      <c r="M76" s="516"/>
      <c r="N76" s="516"/>
      <c r="O76" s="516"/>
      <c r="P76" s="516"/>
      <c r="Q76" s="516"/>
      <c r="R76" s="516"/>
      <c r="T76" s="516">
        <f t="shared" si="27"/>
        <v>-10762</v>
      </c>
      <c r="U76" s="516">
        <f t="shared" si="28"/>
        <v>-9603</v>
      </c>
    </row>
    <row r="77" spans="1:21">
      <c r="A77" s="510" t="s">
        <v>524</v>
      </c>
      <c r="C77" s="515">
        <v>678638</v>
      </c>
      <c r="D77" s="515">
        <v>734570</v>
      </c>
      <c r="E77" s="515">
        <v>1339376</v>
      </c>
      <c r="F77" s="515">
        <v>1894989</v>
      </c>
      <c r="G77" s="515">
        <v>517741</v>
      </c>
      <c r="H77" s="515">
        <v>1163559</v>
      </c>
      <c r="I77" s="515">
        <v>2089924</v>
      </c>
      <c r="J77" s="515">
        <v>2802997</v>
      </c>
      <c r="K77" s="515">
        <v>370431</v>
      </c>
      <c r="L77" s="515">
        <v>834621</v>
      </c>
      <c r="M77" s="515"/>
      <c r="N77" s="515"/>
      <c r="O77" s="515"/>
      <c r="P77" s="515"/>
      <c r="Q77" s="515"/>
      <c r="R77" s="515"/>
      <c r="T77" s="515">
        <f t="shared" si="27"/>
        <v>370431</v>
      </c>
      <c r="U77" s="515">
        <f t="shared" si="28"/>
        <v>464190</v>
      </c>
    </row>
    <row r="78" spans="1:21">
      <c r="A78" s="510" t="s">
        <v>525</v>
      </c>
      <c r="C78" s="515">
        <f t="shared" ref="C78:J78" si="29">SUM(C79:C81)</f>
        <v>-49</v>
      </c>
      <c r="D78" s="515">
        <f t="shared" si="29"/>
        <v>-36615</v>
      </c>
      <c r="E78" s="515">
        <f t="shared" si="29"/>
        <v>-34624</v>
      </c>
      <c r="F78" s="515">
        <f t="shared" si="29"/>
        <v>-34714</v>
      </c>
      <c r="G78" s="515">
        <f t="shared" si="29"/>
        <v>-495</v>
      </c>
      <c r="H78" s="515">
        <f t="shared" si="29"/>
        <v>-634</v>
      </c>
      <c r="I78" s="515">
        <f t="shared" si="29"/>
        <v>-773</v>
      </c>
      <c r="J78" s="515">
        <f t="shared" si="29"/>
        <v>-907</v>
      </c>
      <c r="K78" s="515">
        <f>SUM(K79:K81)</f>
        <v>2687</v>
      </c>
      <c r="L78" s="515">
        <f t="shared" ref="L78" si="30">SUM(L79:L81)</f>
        <v>-8699</v>
      </c>
      <c r="M78" s="515"/>
      <c r="N78" s="515"/>
      <c r="O78" s="515"/>
      <c r="P78" s="515"/>
      <c r="Q78" s="515"/>
      <c r="R78" s="515"/>
      <c r="T78" s="515">
        <f t="shared" ref="T78:U78" si="31">SUM(T79:T81)</f>
        <v>2687</v>
      </c>
      <c r="U78" s="515">
        <f t="shared" si="31"/>
        <v>-11386</v>
      </c>
    </row>
    <row r="79" spans="1:21" outlineLevel="1">
      <c r="A79" s="511" t="s">
        <v>526</v>
      </c>
      <c r="C79" s="516">
        <v>-49</v>
      </c>
      <c r="D79" s="516">
        <v>-36632</v>
      </c>
      <c r="E79" s="516">
        <v>-34641</v>
      </c>
      <c r="F79" s="516">
        <v>-34731</v>
      </c>
      <c r="G79" s="516">
        <v>-495</v>
      </c>
      <c r="H79" s="516">
        <v>-634</v>
      </c>
      <c r="I79" s="516">
        <v>-773</v>
      </c>
      <c r="J79" s="516">
        <v>-907</v>
      </c>
      <c r="K79" s="516">
        <v>-85</v>
      </c>
      <c r="L79" s="516">
        <v>-280</v>
      </c>
      <c r="M79" s="516"/>
      <c r="N79" s="516"/>
      <c r="O79" s="516"/>
      <c r="P79" s="516"/>
      <c r="Q79" s="516"/>
      <c r="R79" s="516"/>
      <c r="T79" s="516">
        <f t="shared" ref="T79:T80" si="32">K79</f>
        <v>-85</v>
      </c>
      <c r="U79" s="516">
        <f t="shared" ref="U79:U81" si="33">L79-T79</f>
        <v>-195</v>
      </c>
    </row>
    <row r="80" spans="1:21" outlineLevel="1">
      <c r="A80" s="511" t="s">
        <v>527</v>
      </c>
      <c r="C80" s="516">
        <v>0</v>
      </c>
      <c r="D80" s="516">
        <v>17</v>
      </c>
      <c r="E80" s="516">
        <v>17</v>
      </c>
      <c r="F80" s="516">
        <v>17</v>
      </c>
      <c r="G80" s="516">
        <v>0</v>
      </c>
      <c r="H80" s="516">
        <v>0</v>
      </c>
      <c r="I80" s="516">
        <v>0</v>
      </c>
      <c r="J80" s="516">
        <v>0</v>
      </c>
      <c r="K80" s="516">
        <v>2772</v>
      </c>
      <c r="L80" s="516">
        <v>-8419</v>
      </c>
      <c r="M80" s="516"/>
      <c r="N80" s="516"/>
      <c r="O80" s="516"/>
      <c r="P80" s="516"/>
      <c r="Q80" s="516"/>
      <c r="R80" s="516"/>
      <c r="T80" s="516">
        <f t="shared" si="32"/>
        <v>2772</v>
      </c>
      <c r="U80" s="516">
        <f t="shared" si="33"/>
        <v>-11191</v>
      </c>
    </row>
    <row r="81" spans="1:21" outlineLevel="1">
      <c r="A81" s="511" t="s">
        <v>528</v>
      </c>
      <c r="C81" s="516"/>
      <c r="D81" s="516"/>
      <c r="E81" s="516"/>
      <c r="F81" s="516"/>
      <c r="G81" s="516"/>
      <c r="H81" s="516"/>
      <c r="I81" s="516"/>
      <c r="J81" s="516"/>
      <c r="K81" s="516"/>
      <c r="L81" s="516">
        <v>0</v>
      </c>
      <c r="M81" s="516"/>
      <c r="N81" s="516"/>
      <c r="O81" s="516"/>
      <c r="P81" s="516"/>
      <c r="Q81" s="516"/>
      <c r="R81" s="516"/>
      <c r="T81" s="516"/>
      <c r="U81" s="516">
        <f t="shared" si="33"/>
        <v>0</v>
      </c>
    </row>
    <row r="82" spans="1:21">
      <c r="A82" s="510"/>
      <c r="C82" s="510"/>
      <c r="D82" s="510"/>
      <c r="E82" s="510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0"/>
      <c r="T82" s="510"/>
      <c r="U82" s="510"/>
    </row>
    <row r="83" spans="1:21">
      <c r="A83" s="522" t="s">
        <v>529</v>
      </c>
      <c r="C83" s="513">
        <f t="shared" ref="C83:H83" si="34">C85-C75-C52-C76</f>
        <v>651132</v>
      </c>
      <c r="D83" s="513">
        <f t="shared" si="34"/>
        <v>654453</v>
      </c>
      <c r="E83" s="513">
        <f t="shared" si="34"/>
        <v>1247779</v>
      </c>
      <c r="F83" s="513">
        <f t="shared" si="34"/>
        <v>1788701</v>
      </c>
      <c r="G83" s="513">
        <f t="shared" si="34"/>
        <v>497385</v>
      </c>
      <c r="H83" s="513">
        <f t="shared" si="34"/>
        <v>1126293</v>
      </c>
      <c r="I83" s="513">
        <f>I85-I75-I52-I76</f>
        <v>2031342</v>
      </c>
      <c r="J83" s="513">
        <f>J85-J75-J52-J76</f>
        <v>2728326</v>
      </c>
      <c r="K83" s="513">
        <f>K85-K75-K52-K76</f>
        <v>343840</v>
      </c>
      <c r="L83" s="513">
        <f>L85-L75-L52-L76</f>
        <v>766556</v>
      </c>
      <c r="M83" s="513"/>
      <c r="N83" s="513"/>
      <c r="O83" s="513"/>
      <c r="P83" s="513"/>
      <c r="Q83" s="513"/>
      <c r="R83" s="513"/>
      <c r="T83" s="513">
        <f>T85-T75-T52-T76</f>
        <v>343840</v>
      </c>
      <c r="U83" s="513">
        <f>U85-U75-U52-U76</f>
        <v>422716</v>
      </c>
    </row>
    <row r="84" spans="1:21">
      <c r="A84" s="510"/>
      <c r="C84" s="510"/>
      <c r="D84" s="510"/>
      <c r="E84" s="510"/>
      <c r="F84" s="510"/>
      <c r="G84" s="510"/>
      <c r="H84" s="510"/>
      <c r="I84" s="510"/>
      <c r="J84" s="510"/>
      <c r="K84" s="510"/>
      <c r="L84" s="510"/>
      <c r="M84" s="510"/>
      <c r="N84" s="510"/>
      <c r="O84" s="510"/>
      <c r="P84" s="510"/>
      <c r="Q84" s="510"/>
      <c r="R84" s="510"/>
      <c r="T84" s="510"/>
      <c r="U84" s="510"/>
    </row>
    <row r="85" spans="1:21">
      <c r="A85" s="522" t="s">
        <v>530</v>
      </c>
      <c r="C85" s="513">
        <f t="shared" ref="C85:H85" si="35">C57+C59</f>
        <v>626795</v>
      </c>
      <c r="D85" s="513">
        <f t="shared" si="35"/>
        <v>605786</v>
      </c>
      <c r="E85" s="513">
        <f t="shared" si="35"/>
        <v>1174785</v>
      </c>
      <c r="F85" s="513">
        <f t="shared" si="35"/>
        <v>1691380</v>
      </c>
      <c r="G85" s="513">
        <f t="shared" si="35"/>
        <v>477573</v>
      </c>
      <c r="H85" s="513">
        <f t="shared" si="35"/>
        <v>1095701</v>
      </c>
      <c r="I85" s="513">
        <f>I57+I59</f>
        <v>1989970</v>
      </c>
      <c r="J85" s="513">
        <f>J57+J59</f>
        <v>2676130</v>
      </c>
      <c r="K85" s="513">
        <f>K57+K59</f>
        <v>333057</v>
      </c>
      <c r="L85" s="513">
        <f>L57+L59</f>
        <v>746149</v>
      </c>
      <c r="M85" s="513"/>
      <c r="N85" s="513"/>
      <c r="O85" s="513"/>
      <c r="P85" s="513"/>
      <c r="Q85" s="513"/>
      <c r="R85" s="513"/>
      <c r="T85" s="513">
        <f>T57+T59</f>
        <v>333057</v>
      </c>
      <c r="U85" s="513">
        <f>U57+U59</f>
        <v>413092</v>
      </c>
    </row>
    <row r="86" spans="1:21">
      <c r="A86" s="510"/>
      <c r="C86" s="510"/>
      <c r="D86" s="510"/>
      <c r="E86" s="510"/>
      <c r="F86" s="510"/>
      <c r="G86" s="510"/>
      <c r="H86" s="510"/>
      <c r="I86" s="510"/>
      <c r="J86" s="510"/>
      <c r="K86" s="510"/>
      <c r="L86" s="510"/>
      <c r="M86" s="510"/>
      <c r="N86" s="510"/>
      <c r="O86" s="510"/>
      <c r="P86" s="510"/>
      <c r="Q86" s="510"/>
      <c r="R86" s="510"/>
      <c r="T86" s="510"/>
      <c r="U86" s="510"/>
    </row>
    <row r="87" spans="1:21">
      <c r="A87" s="522" t="s">
        <v>531</v>
      </c>
      <c r="C87" s="513">
        <f t="shared" ref="C87:H87" si="36">C89+C98</f>
        <v>-33375</v>
      </c>
      <c r="D87" s="513">
        <f t="shared" si="36"/>
        <v>-120987</v>
      </c>
      <c r="E87" s="513">
        <f t="shared" si="36"/>
        <v>-220571</v>
      </c>
      <c r="F87" s="513">
        <f t="shared" si="36"/>
        <v>-258951</v>
      </c>
      <c r="G87" s="513">
        <f t="shared" si="36"/>
        <v>-414419</v>
      </c>
      <c r="H87" s="513">
        <f t="shared" si="36"/>
        <v>-532562</v>
      </c>
      <c r="I87" s="513">
        <f>I89+I98</f>
        <v>-725423</v>
      </c>
      <c r="J87" s="513">
        <f>J89+J98</f>
        <v>-724408</v>
      </c>
      <c r="K87" s="513">
        <f>K89+K98</f>
        <v>-89842</v>
      </c>
      <c r="L87" s="513">
        <f>L89+L98</f>
        <v>22880</v>
      </c>
      <c r="M87" s="513"/>
      <c r="N87" s="513"/>
      <c r="O87" s="513"/>
      <c r="P87" s="513"/>
      <c r="Q87" s="513"/>
      <c r="R87" s="513"/>
      <c r="T87" s="513">
        <f>T89+T98</f>
        <v>-89842</v>
      </c>
      <c r="U87" s="513">
        <f>U89+U98</f>
        <v>112722</v>
      </c>
    </row>
    <row r="88" spans="1:21">
      <c r="A88" s="509"/>
      <c r="C88" s="510"/>
      <c r="D88" s="510"/>
      <c r="E88" s="510"/>
      <c r="F88" s="510"/>
      <c r="G88" s="510"/>
      <c r="H88" s="510"/>
      <c r="I88" s="510"/>
      <c r="J88" s="510"/>
      <c r="K88" s="510"/>
      <c r="L88" s="510"/>
      <c r="M88" s="510"/>
      <c r="N88" s="510"/>
      <c r="O88" s="510"/>
      <c r="P88" s="510"/>
      <c r="Q88" s="510"/>
      <c r="R88" s="510"/>
      <c r="T88" s="510"/>
      <c r="U88" s="510"/>
    </row>
    <row r="89" spans="1:21">
      <c r="A89" s="510" t="s">
        <v>532</v>
      </c>
      <c r="C89" s="517">
        <f t="shared" ref="C89:H89" si="37">SUM(C90:C97)</f>
        <v>106479</v>
      </c>
      <c r="D89" s="517">
        <f t="shared" si="37"/>
        <v>168938</v>
      </c>
      <c r="E89" s="517">
        <f t="shared" si="37"/>
        <v>237812</v>
      </c>
      <c r="F89" s="517">
        <f t="shared" si="37"/>
        <v>364627</v>
      </c>
      <c r="G89" s="517">
        <f t="shared" si="37"/>
        <v>115928</v>
      </c>
      <c r="H89" s="517">
        <f t="shared" si="37"/>
        <v>210851</v>
      </c>
      <c r="I89" s="517">
        <f>SUM(I90:I97)</f>
        <v>320818</v>
      </c>
      <c r="J89" s="517">
        <f>SUM(J90:J97)</f>
        <v>519151</v>
      </c>
      <c r="K89" s="517">
        <f>SUM(K90:K97)</f>
        <v>106877</v>
      </c>
      <c r="L89" s="517">
        <f>SUM(L90:L97)</f>
        <v>252935</v>
      </c>
      <c r="M89" s="517"/>
      <c r="N89" s="517"/>
      <c r="O89" s="517"/>
      <c r="P89" s="517"/>
      <c r="Q89" s="517"/>
      <c r="R89" s="517"/>
      <c r="T89" s="517">
        <f>SUM(T90:T97)</f>
        <v>106877</v>
      </c>
      <c r="U89" s="517">
        <f>SUM(U90:U97)</f>
        <v>146058</v>
      </c>
    </row>
    <row r="90" spans="1:21" outlineLevel="1">
      <c r="A90" s="511" t="s">
        <v>533</v>
      </c>
      <c r="C90" s="516">
        <v>62853</v>
      </c>
      <c r="D90" s="516">
        <v>81523</v>
      </c>
      <c r="E90" s="516">
        <v>112595</v>
      </c>
      <c r="F90" s="516">
        <v>189595</v>
      </c>
      <c r="G90" s="516">
        <v>68789</v>
      </c>
      <c r="H90" s="516">
        <v>172838</v>
      </c>
      <c r="I90" s="516">
        <v>287557</v>
      </c>
      <c r="J90" s="516">
        <v>418494</v>
      </c>
      <c r="K90" s="516">
        <v>112107</v>
      </c>
      <c r="L90" s="516">
        <v>212118</v>
      </c>
      <c r="M90" s="516"/>
      <c r="N90" s="516"/>
      <c r="O90" s="516"/>
      <c r="P90" s="516"/>
      <c r="Q90" s="516"/>
      <c r="R90" s="516"/>
      <c r="T90" s="516">
        <f t="shared" ref="T90:T97" si="38">K90</f>
        <v>112107</v>
      </c>
      <c r="U90" s="516">
        <f t="shared" ref="U90:U97" si="39">L90-T90</f>
        <v>100011</v>
      </c>
    </row>
    <row r="91" spans="1:21" outlineLevel="1">
      <c r="A91" s="511" t="s">
        <v>534</v>
      </c>
      <c r="C91" s="516">
        <v>-2923</v>
      </c>
      <c r="D91" s="516">
        <v>-3105</v>
      </c>
      <c r="E91" s="516">
        <v>-4066</v>
      </c>
      <c r="F91" s="516">
        <v>-8014</v>
      </c>
      <c r="G91" s="516">
        <v>-3212</v>
      </c>
      <c r="H91" s="516">
        <v>-8050</v>
      </c>
      <c r="I91" s="516">
        <v>-13410</v>
      </c>
      <c r="J91" s="516">
        <v>-20198</v>
      </c>
      <c r="K91" s="516">
        <v>-5353</v>
      </c>
      <c r="L91" s="516">
        <v>-10128</v>
      </c>
      <c r="M91" s="516"/>
      <c r="N91" s="516"/>
      <c r="O91" s="516"/>
      <c r="P91" s="516"/>
      <c r="Q91" s="516"/>
      <c r="R91" s="516"/>
      <c r="T91" s="516">
        <f t="shared" si="38"/>
        <v>-5353</v>
      </c>
      <c r="U91" s="516">
        <f t="shared" si="39"/>
        <v>-4775</v>
      </c>
    </row>
    <row r="92" spans="1:21" outlineLevel="1">
      <c r="A92" s="511" t="s">
        <v>535</v>
      </c>
      <c r="C92" s="516">
        <v>0</v>
      </c>
      <c r="D92" s="516">
        <v>0</v>
      </c>
      <c r="E92" s="516">
        <v>0</v>
      </c>
      <c r="F92" s="516">
        <v>0</v>
      </c>
      <c r="G92" s="516">
        <v>0</v>
      </c>
      <c r="H92" s="516">
        <v>0</v>
      </c>
      <c r="I92" s="516">
        <v>0</v>
      </c>
      <c r="J92" s="516">
        <v>0</v>
      </c>
      <c r="K92" s="516">
        <v>0</v>
      </c>
      <c r="L92" s="516">
        <v>0</v>
      </c>
      <c r="M92" s="516"/>
      <c r="N92" s="516"/>
      <c r="O92" s="516"/>
      <c r="P92" s="516"/>
      <c r="Q92" s="516"/>
      <c r="R92" s="516"/>
      <c r="T92" s="516">
        <f t="shared" si="38"/>
        <v>0</v>
      </c>
      <c r="U92" s="516">
        <f t="shared" si="39"/>
        <v>0</v>
      </c>
    </row>
    <row r="93" spans="1:21" outlineLevel="1">
      <c r="A93" s="511" t="s">
        <v>536</v>
      </c>
      <c r="C93" s="516">
        <v>0</v>
      </c>
      <c r="D93" s="516">
        <v>0</v>
      </c>
      <c r="E93" s="516">
        <v>0</v>
      </c>
      <c r="F93" s="516">
        <v>0</v>
      </c>
      <c r="G93" s="516">
        <v>0</v>
      </c>
      <c r="H93" s="516">
        <v>0</v>
      </c>
      <c r="I93" s="516">
        <v>0</v>
      </c>
      <c r="J93" s="516">
        <v>0</v>
      </c>
      <c r="K93" s="516">
        <v>0</v>
      </c>
      <c r="L93" s="516">
        <v>0</v>
      </c>
      <c r="M93" s="516"/>
      <c r="N93" s="516"/>
      <c r="O93" s="516"/>
      <c r="P93" s="516"/>
      <c r="Q93" s="516"/>
      <c r="R93" s="516"/>
      <c r="T93" s="516">
        <f t="shared" si="38"/>
        <v>0</v>
      </c>
      <c r="U93" s="516">
        <f t="shared" si="39"/>
        <v>0</v>
      </c>
    </row>
    <row r="94" spans="1:21" outlineLevel="1">
      <c r="A94" s="511" t="s">
        <v>537</v>
      </c>
      <c r="C94" s="516">
        <v>0</v>
      </c>
      <c r="D94" s="516">
        <v>0</v>
      </c>
      <c r="E94" s="516">
        <v>0</v>
      </c>
      <c r="F94" s="516">
        <v>0</v>
      </c>
      <c r="G94" s="516">
        <v>0</v>
      </c>
      <c r="H94" s="516">
        <v>0</v>
      </c>
      <c r="I94" s="516">
        <v>0</v>
      </c>
      <c r="J94" s="516">
        <v>0</v>
      </c>
      <c r="K94" s="516">
        <v>0</v>
      </c>
      <c r="L94" s="516">
        <v>0</v>
      </c>
      <c r="M94" s="516"/>
      <c r="N94" s="516"/>
      <c r="O94" s="516"/>
      <c r="P94" s="516"/>
      <c r="Q94" s="516"/>
      <c r="R94" s="516"/>
      <c r="T94" s="516">
        <f t="shared" si="38"/>
        <v>0</v>
      </c>
      <c r="U94" s="516">
        <f t="shared" si="39"/>
        <v>0</v>
      </c>
    </row>
    <row r="95" spans="1:21" outlineLevel="1">
      <c r="A95" s="511" t="s">
        <v>538</v>
      </c>
      <c r="C95" s="516">
        <v>0</v>
      </c>
      <c r="D95" s="516">
        <v>0</v>
      </c>
      <c r="E95" s="516">
        <v>0</v>
      </c>
      <c r="F95" s="516">
        <v>0</v>
      </c>
      <c r="G95" s="516">
        <v>0</v>
      </c>
      <c r="H95" s="516">
        <v>0</v>
      </c>
      <c r="I95" s="516">
        <v>0</v>
      </c>
      <c r="J95" s="516">
        <v>0</v>
      </c>
      <c r="K95" s="516">
        <v>0</v>
      </c>
      <c r="L95" s="516">
        <v>0</v>
      </c>
      <c r="M95" s="516"/>
      <c r="N95" s="516"/>
      <c r="O95" s="516"/>
      <c r="P95" s="516"/>
      <c r="Q95" s="516"/>
      <c r="R95" s="516"/>
      <c r="T95" s="516">
        <f t="shared" si="38"/>
        <v>0</v>
      </c>
      <c r="U95" s="516">
        <f t="shared" si="39"/>
        <v>0</v>
      </c>
    </row>
    <row r="96" spans="1:21" outlineLevel="1">
      <c r="A96" s="511" t="s">
        <v>539</v>
      </c>
      <c r="C96" s="516">
        <v>46549</v>
      </c>
      <c r="D96" s="516">
        <v>90520</v>
      </c>
      <c r="E96" s="516">
        <v>129283</v>
      </c>
      <c r="F96" s="516">
        <v>183046</v>
      </c>
      <c r="G96" s="516">
        <v>50351</v>
      </c>
      <c r="H96" s="516">
        <v>46063</v>
      </c>
      <c r="I96" s="516">
        <v>46671</v>
      </c>
      <c r="J96" s="516">
        <v>120855</v>
      </c>
      <c r="K96" s="516">
        <v>123</v>
      </c>
      <c r="L96" s="516">
        <v>50945</v>
      </c>
      <c r="M96" s="516"/>
      <c r="N96" s="516"/>
      <c r="O96" s="516"/>
      <c r="P96" s="516"/>
      <c r="Q96" s="516"/>
      <c r="R96" s="516"/>
      <c r="T96" s="516">
        <f t="shared" si="38"/>
        <v>123</v>
      </c>
      <c r="U96" s="516">
        <f t="shared" si="39"/>
        <v>50822</v>
      </c>
    </row>
    <row r="97" spans="1:21" outlineLevel="1">
      <c r="A97" s="511" t="s">
        <v>540</v>
      </c>
      <c r="C97" s="516">
        <v>0</v>
      </c>
      <c r="D97" s="516">
        <v>0</v>
      </c>
      <c r="E97" s="516">
        <v>0</v>
      </c>
      <c r="F97" s="516">
        <v>0</v>
      </c>
      <c r="G97" s="516">
        <v>0</v>
      </c>
      <c r="H97" s="516">
        <v>0</v>
      </c>
      <c r="I97" s="516">
        <v>0</v>
      </c>
      <c r="J97" s="516">
        <v>0</v>
      </c>
      <c r="K97" s="516">
        <v>0</v>
      </c>
      <c r="L97" s="516">
        <v>0</v>
      </c>
      <c r="M97" s="516"/>
      <c r="N97" s="516"/>
      <c r="O97" s="516"/>
      <c r="P97" s="516"/>
      <c r="Q97" s="516"/>
      <c r="R97" s="516"/>
      <c r="T97" s="516">
        <f t="shared" si="38"/>
        <v>0</v>
      </c>
      <c r="U97" s="516">
        <f t="shared" si="39"/>
        <v>0</v>
      </c>
    </row>
    <row r="98" spans="1:21">
      <c r="A98" s="510" t="s">
        <v>541</v>
      </c>
      <c r="C98" s="515">
        <f t="shared" ref="C98:H98" si="40">SUM(C99:C107)</f>
        <v>-139854</v>
      </c>
      <c r="D98" s="515">
        <f t="shared" si="40"/>
        <v>-289925</v>
      </c>
      <c r="E98" s="515">
        <f t="shared" si="40"/>
        <v>-458383</v>
      </c>
      <c r="F98" s="515">
        <f t="shared" si="40"/>
        <v>-623578</v>
      </c>
      <c r="G98" s="515">
        <f t="shared" si="40"/>
        <v>-530347</v>
      </c>
      <c r="H98" s="515">
        <f t="shared" si="40"/>
        <v>-743413</v>
      </c>
      <c r="I98" s="515">
        <f>SUM(I99:I107)</f>
        <v>-1046241</v>
      </c>
      <c r="J98" s="515">
        <f>SUM(J99:J107)</f>
        <v>-1243559</v>
      </c>
      <c r="K98" s="515">
        <f>SUM(K99:K107)</f>
        <v>-196719</v>
      </c>
      <c r="L98" s="515">
        <f>SUM(L99:L107)</f>
        <v>-230055</v>
      </c>
      <c r="M98" s="515"/>
      <c r="N98" s="515"/>
      <c r="O98" s="515"/>
      <c r="P98" s="515"/>
      <c r="Q98" s="515"/>
      <c r="R98" s="515"/>
      <c r="T98" s="515">
        <f>SUM(T99:T107)</f>
        <v>-196719</v>
      </c>
      <c r="U98" s="515">
        <f>SUM(U99:U107)</f>
        <v>-33336</v>
      </c>
    </row>
    <row r="99" spans="1:21" outlineLevel="1">
      <c r="A99" s="511" t="s">
        <v>542</v>
      </c>
      <c r="C99" s="516">
        <v>-91545</v>
      </c>
      <c r="D99" s="516">
        <v>-240407</v>
      </c>
      <c r="E99" s="516">
        <v>-408210</v>
      </c>
      <c r="F99" s="516">
        <v>-572637</v>
      </c>
      <c r="G99" s="516">
        <v>-181583</v>
      </c>
      <c r="H99" s="516">
        <v>-341905</v>
      </c>
      <c r="I99" s="516">
        <v>-505788</v>
      </c>
      <c r="J99" s="516">
        <v>-662549</v>
      </c>
      <c r="K99" s="516">
        <v>-84520</v>
      </c>
      <c r="L99" s="516">
        <v>-145658</v>
      </c>
      <c r="M99" s="516"/>
      <c r="N99" s="516"/>
      <c r="O99" s="516"/>
      <c r="P99" s="516"/>
      <c r="Q99" s="516"/>
      <c r="R99" s="516"/>
      <c r="T99" s="516">
        <f t="shared" ref="T99:T107" si="41">K99</f>
        <v>-84520</v>
      </c>
      <c r="U99" s="516">
        <f t="shared" ref="U99:U107" si="42">L99-T99</f>
        <v>-61138</v>
      </c>
    </row>
    <row r="100" spans="1:21" outlineLevel="1">
      <c r="A100" s="511" t="s">
        <v>543</v>
      </c>
      <c r="C100" s="516">
        <v>0</v>
      </c>
      <c r="D100" s="516">
        <v>0</v>
      </c>
      <c r="E100" s="516">
        <v>0</v>
      </c>
      <c r="F100" s="516">
        <v>0</v>
      </c>
      <c r="G100" s="516">
        <v>0</v>
      </c>
      <c r="H100" s="516">
        <v>0</v>
      </c>
      <c r="I100" s="516">
        <v>0</v>
      </c>
      <c r="J100" s="516">
        <v>0</v>
      </c>
      <c r="K100" s="516">
        <v>0</v>
      </c>
      <c r="L100" s="516">
        <v>0</v>
      </c>
      <c r="M100" s="516"/>
      <c r="N100" s="516"/>
      <c r="O100" s="516"/>
      <c r="P100" s="516"/>
      <c r="Q100" s="516"/>
      <c r="R100" s="516"/>
      <c r="T100" s="516">
        <f t="shared" si="41"/>
        <v>0</v>
      </c>
      <c r="U100" s="516">
        <f t="shared" si="42"/>
        <v>0</v>
      </c>
    </row>
    <row r="101" spans="1:21" outlineLevel="1">
      <c r="A101" s="511" t="s">
        <v>544</v>
      </c>
      <c r="C101" s="516">
        <v>0</v>
      </c>
      <c r="D101" s="516">
        <v>0</v>
      </c>
      <c r="E101" s="516">
        <v>0</v>
      </c>
      <c r="F101" s="516">
        <v>0</v>
      </c>
      <c r="G101" s="516">
        <v>0</v>
      </c>
      <c r="H101" s="516">
        <v>0</v>
      </c>
      <c r="I101" s="516">
        <v>0</v>
      </c>
      <c r="J101" s="516">
        <v>0</v>
      </c>
      <c r="K101" s="516">
        <v>0</v>
      </c>
      <c r="L101" s="516">
        <v>0</v>
      </c>
      <c r="M101" s="516"/>
      <c r="N101" s="516"/>
      <c r="O101" s="516"/>
      <c r="P101" s="516"/>
      <c r="Q101" s="516"/>
      <c r="R101" s="516"/>
      <c r="T101" s="516">
        <f t="shared" si="41"/>
        <v>0</v>
      </c>
      <c r="U101" s="516">
        <f t="shared" si="42"/>
        <v>0</v>
      </c>
    </row>
    <row r="102" spans="1:21" outlineLevel="1">
      <c r="A102" s="511" t="s">
        <v>545</v>
      </c>
      <c r="C102" s="516">
        <v>0</v>
      </c>
      <c r="D102" s="516">
        <v>0</v>
      </c>
      <c r="E102" s="516">
        <v>0</v>
      </c>
      <c r="F102" s="516">
        <v>0</v>
      </c>
      <c r="G102" s="516">
        <v>0</v>
      </c>
      <c r="H102" s="516">
        <v>0</v>
      </c>
      <c r="I102" s="516">
        <v>0</v>
      </c>
      <c r="J102" s="516">
        <v>0</v>
      </c>
      <c r="K102" s="516">
        <v>0</v>
      </c>
      <c r="L102" s="516">
        <v>0</v>
      </c>
      <c r="M102" s="516"/>
      <c r="N102" s="516"/>
      <c r="O102" s="516"/>
      <c r="P102" s="516"/>
      <c r="Q102" s="516"/>
      <c r="R102" s="516"/>
      <c r="T102" s="516">
        <f t="shared" si="41"/>
        <v>0</v>
      </c>
      <c r="U102" s="516">
        <f t="shared" si="42"/>
        <v>0</v>
      </c>
    </row>
    <row r="103" spans="1:21" outlineLevel="1">
      <c r="A103" s="511" t="s">
        <v>546</v>
      </c>
      <c r="C103" s="516">
        <v>0</v>
      </c>
      <c r="D103" s="516">
        <v>0</v>
      </c>
      <c r="E103" s="516">
        <v>0</v>
      </c>
      <c r="F103" s="516">
        <v>0</v>
      </c>
      <c r="G103" s="516">
        <v>0</v>
      </c>
      <c r="H103" s="516">
        <v>0</v>
      </c>
      <c r="I103" s="516">
        <v>0</v>
      </c>
      <c r="J103" s="516">
        <v>0</v>
      </c>
      <c r="K103" s="516">
        <v>0</v>
      </c>
      <c r="L103" s="516">
        <v>0</v>
      </c>
      <c r="M103" s="516"/>
      <c r="N103" s="516"/>
      <c r="O103" s="516"/>
      <c r="P103" s="516"/>
      <c r="Q103" s="516"/>
      <c r="R103" s="516"/>
      <c r="T103" s="516">
        <f t="shared" si="41"/>
        <v>0</v>
      </c>
      <c r="U103" s="516">
        <f t="shared" si="42"/>
        <v>0</v>
      </c>
    </row>
    <row r="104" spans="1:21" outlineLevel="1">
      <c r="A104" s="511" t="s">
        <v>547</v>
      </c>
      <c r="C104" s="516">
        <v>-8</v>
      </c>
      <c r="D104" s="516">
        <v>-9</v>
      </c>
      <c r="E104" s="516">
        <v>-10</v>
      </c>
      <c r="F104" s="516">
        <v>0</v>
      </c>
      <c r="G104" s="516">
        <v>0</v>
      </c>
      <c r="H104" s="516">
        <v>-9</v>
      </c>
      <c r="I104" s="516">
        <v>-17</v>
      </c>
      <c r="J104" s="516">
        <v>-19</v>
      </c>
      <c r="K104" s="516">
        <v>0</v>
      </c>
      <c r="L104" s="516">
        <v>-1</v>
      </c>
      <c r="M104" s="516"/>
      <c r="N104" s="516"/>
      <c r="O104" s="516"/>
      <c r="P104" s="516"/>
      <c r="Q104" s="516"/>
      <c r="R104" s="516"/>
      <c r="T104" s="516">
        <f t="shared" si="41"/>
        <v>0</v>
      </c>
      <c r="U104" s="516">
        <f t="shared" si="42"/>
        <v>-1</v>
      </c>
    </row>
    <row r="105" spans="1:21" outlineLevel="1">
      <c r="A105" s="511" t="s">
        <v>548</v>
      </c>
      <c r="C105" s="516">
        <v>0</v>
      </c>
      <c r="D105" s="516">
        <v>0</v>
      </c>
      <c r="E105" s="516">
        <v>0</v>
      </c>
      <c r="F105" s="516">
        <v>0</v>
      </c>
      <c r="G105" s="516">
        <v>0</v>
      </c>
      <c r="H105" s="516">
        <v>0</v>
      </c>
      <c r="I105" s="516">
        <v>0</v>
      </c>
      <c r="J105" s="516">
        <v>0</v>
      </c>
      <c r="K105" s="516">
        <v>0</v>
      </c>
      <c r="L105" s="516">
        <v>0</v>
      </c>
      <c r="M105" s="516"/>
      <c r="N105" s="516"/>
      <c r="O105" s="516"/>
      <c r="P105" s="516"/>
      <c r="Q105" s="516"/>
      <c r="R105" s="516"/>
      <c r="T105" s="516">
        <f t="shared" si="41"/>
        <v>0</v>
      </c>
      <c r="U105" s="516">
        <f t="shared" si="42"/>
        <v>0</v>
      </c>
    </row>
    <row r="106" spans="1:21" outlineLevel="1">
      <c r="A106" s="511" t="s">
        <v>549</v>
      </c>
      <c r="C106" s="516">
        <v>0</v>
      </c>
      <c r="D106" s="516">
        <v>0</v>
      </c>
      <c r="E106" s="516">
        <v>0</v>
      </c>
      <c r="F106" s="516">
        <v>0</v>
      </c>
      <c r="G106" s="516">
        <v>0</v>
      </c>
      <c r="H106" s="516">
        <v>0</v>
      </c>
      <c r="I106" s="516">
        <v>0</v>
      </c>
      <c r="J106" s="516">
        <v>0</v>
      </c>
      <c r="K106" s="516">
        <v>0</v>
      </c>
      <c r="L106" s="516">
        <v>0</v>
      </c>
      <c r="M106" s="516"/>
      <c r="N106" s="516"/>
      <c r="O106" s="516"/>
      <c r="P106" s="516"/>
      <c r="Q106" s="516"/>
      <c r="R106" s="516"/>
      <c r="T106" s="516">
        <f t="shared" si="41"/>
        <v>0</v>
      </c>
      <c r="U106" s="516">
        <f t="shared" si="42"/>
        <v>0</v>
      </c>
    </row>
    <row r="107" spans="1:21" outlineLevel="1">
      <c r="A107" s="511" t="s">
        <v>550</v>
      </c>
      <c r="C107" s="516">
        <v>-48301</v>
      </c>
      <c r="D107" s="516">
        <v>-49509</v>
      </c>
      <c r="E107" s="516">
        <v>-50163</v>
      </c>
      <c r="F107" s="516">
        <v>-50941</v>
      </c>
      <c r="G107" s="516">
        <v>-348764</v>
      </c>
      <c r="H107" s="516">
        <v>-401499</v>
      </c>
      <c r="I107" s="516">
        <v>-540436</v>
      </c>
      <c r="J107" s="516">
        <v>-580991</v>
      </c>
      <c r="K107" s="516">
        <v>-112199</v>
      </c>
      <c r="L107" s="516">
        <v>-84396</v>
      </c>
      <c r="M107" s="516"/>
      <c r="N107" s="516"/>
      <c r="O107" s="516"/>
      <c r="P107" s="516"/>
      <c r="Q107" s="516"/>
      <c r="R107" s="516"/>
      <c r="T107" s="516">
        <f t="shared" si="41"/>
        <v>-112199</v>
      </c>
      <c r="U107" s="516">
        <f t="shared" si="42"/>
        <v>27803</v>
      </c>
    </row>
    <row r="108" spans="1:21">
      <c r="A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T108" s="510"/>
      <c r="U108" s="510"/>
    </row>
    <row r="109" spans="1:21">
      <c r="A109" s="522" t="s">
        <v>551</v>
      </c>
      <c r="C109" s="513">
        <f t="shared" ref="C109:H109" si="43">C85+C87</f>
        <v>593420</v>
      </c>
      <c r="D109" s="513">
        <f t="shared" si="43"/>
        <v>484799</v>
      </c>
      <c r="E109" s="513">
        <f t="shared" si="43"/>
        <v>954214</v>
      </c>
      <c r="F109" s="513">
        <f t="shared" si="43"/>
        <v>1432429</v>
      </c>
      <c r="G109" s="513">
        <f t="shared" si="43"/>
        <v>63154</v>
      </c>
      <c r="H109" s="513">
        <f t="shared" si="43"/>
        <v>563139</v>
      </c>
      <c r="I109" s="513">
        <f>I85+I87</f>
        <v>1264547</v>
      </c>
      <c r="J109" s="513">
        <f>J85+J87</f>
        <v>1951722</v>
      </c>
      <c r="K109" s="513">
        <f>K85+K87</f>
        <v>243215</v>
      </c>
      <c r="L109" s="513">
        <f>L85+L87</f>
        <v>769029</v>
      </c>
      <c r="M109" s="513"/>
      <c r="N109" s="513"/>
      <c r="O109" s="513"/>
      <c r="P109" s="513"/>
      <c r="Q109" s="513"/>
      <c r="R109" s="513"/>
      <c r="T109" s="513">
        <f>T85+T87</f>
        <v>243215</v>
      </c>
      <c r="U109" s="513">
        <f>U85+U87</f>
        <v>525814</v>
      </c>
    </row>
    <row r="110" spans="1:21">
      <c r="A110" s="510"/>
      <c r="C110" s="510"/>
      <c r="D110" s="510"/>
      <c r="E110" s="510"/>
      <c r="F110" s="510"/>
      <c r="G110" s="510"/>
      <c r="H110" s="510"/>
      <c r="I110" s="510"/>
      <c r="J110" s="510"/>
      <c r="K110" s="510"/>
      <c r="L110" s="510"/>
      <c r="M110" s="510"/>
      <c r="N110" s="510"/>
      <c r="O110" s="510"/>
      <c r="P110" s="510"/>
      <c r="Q110" s="510"/>
      <c r="R110" s="510"/>
      <c r="T110" s="510"/>
      <c r="U110" s="510"/>
    </row>
    <row r="111" spans="1:21">
      <c r="A111" s="509" t="s">
        <v>552</v>
      </c>
      <c r="C111" s="517">
        <f t="shared" ref="C111:H111" si="44">SUM(C113:C116)</f>
        <v>-13344</v>
      </c>
      <c r="D111" s="517">
        <f t="shared" si="44"/>
        <v>-26873</v>
      </c>
      <c r="E111" s="517">
        <f t="shared" si="44"/>
        <v>-40180</v>
      </c>
      <c r="F111" s="517">
        <f t="shared" si="44"/>
        <v>-58491</v>
      </c>
      <c r="G111" s="517">
        <f t="shared" si="44"/>
        <v>100532</v>
      </c>
      <c r="H111" s="517">
        <f t="shared" si="44"/>
        <v>118246</v>
      </c>
      <c r="I111" s="517">
        <f>SUM(I113:I116)</f>
        <v>136861</v>
      </c>
      <c r="J111" s="517">
        <f>SUM(J113:J116)</f>
        <v>123871</v>
      </c>
      <c r="K111" s="517">
        <f>SUM(K113:K116)</f>
        <v>36230</v>
      </c>
      <c r="L111" s="517">
        <f>SUM(L113:L116)</f>
        <v>18890</v>
      </c>
      <c r="M111" s="517"/>
      <c r="N111" s="517"/>
      <c r="O111" s="517"/>
      <c r="P111" s="517"/>
      <c r="Q111" s="517"/>
      <c r="R111" s="517"/>
      <c r="T111" s="517">
        <f>SUM(T113:T116)</f>
        <v>36230</v>
      </c>
      <c r="U111" s="517">
        <f>SUM(U113:U116)</f>
        <v>-17340</v>
      </c>
    </row>
    <row r="112" spans="1:21">
      <c r="A112" s="510"/>
      <c r="C112" s="510"/>
      <c r="D112" s="510"/>
      <c r="E112" s="510"/>
      <c r="F112" s="510"/>
      <c r="G112" s="510"/>
      <c r="H112" s="510"/>
      <c r="I112" s="510"/>
      <c r="J112" s="510"/>
      <c r="K112" s="510"/>
      <c r="L112" s="510"/>
      <c r="M112" s="510"/>
      <c r="N112" s="510"/>
      <c r="O112" s="510"/>
      <c r="P112" s="510"/>
      <c r="Q112" s="510"/>
      <c r="R112" s="510"/>
      <c r="T112" s="510"/>
      <c r="U112" s="510"/>
    </row>
    <row r="113" spans="1:21">
      <c r="A113" s="510" t="s">
        <v>553</v>
      </c>
      <c r="C113" s="518">
        <v>0</v>
      </c>
      <c r="D113" s="518">
        <v>0</v>
      </c>
      <c r="E113" s="518">
        <v>0</v>
      </c>
      <c r="F113" s="518">
        <v>0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/>
      <c r="N113" s="518"/>
      <c r="O113" s="518"/>
      <c r="P113" s="518"/>
      <c r="Q113" s="518"/>
      <c r="R113" s="518"/>
      <c r="T113" s="518">
        <f t="shared" ref="T113:T116" si="45">K113</f>
        <v>0</v>
      </c>
      <c r="U113" s="518">
        <f t="shared" ref="U113:U116" si="46">L113-T113</f>
        <v>0</v>
      </c>
    </row>
    <row r="114" spans="1:21">
      <c r="A114" s="510" t="s">
        <v>554</v>
      </c>
      <c r="C114" s="518">
        <v>0</v>
      </c>
      <c r="D114" s="518">
        <v>0</v>
      </c>
      <c r="E114" s="518">
        <v>0</v>
      </c>
      <c r="F114" s="518">
        <v>0</v>
      </c>
      <c r="G114" s="518">
        <v>0</v>
      </c>
      <c r="H114" s="518">
        <v>0</v>
      </c>
      <c r="I114" s="518">
        <v>0</v>
      </c>
      <c r="J114" s="518">
        <v>0</v>
      </c>
      <c r="K114" s="518">
        <v>-111</v>
      </c>
      <c r="L114" s="518">
        <v>0</v>
      </c>
      <c r="M114" s="518"/>
      <c r="N114" s="518"/>
      <c r="O114" s="518"/>
      <c r="P114" s="518"/>
      <c r="Q114" s="518"/>
      <c r="R114" s="518"/>
      <c r="T114" s="518">
        <f t="shared" si="45"/>
        <v>-111</v>
      </c>
      <c r="U114" s="518">
        <f t="shared" si="46"/>
        <v>111</v>
      </c>
    </row>
    <row r="115" spans="1:21">
      <c r="A115" s="510" t="s">
        <v>555</v>
      </c>
      <c r="C115" s="518">
        <v>0</v>
      </c>
      <c r="D115" s="518">
        <v>0</v>
      </c>
      <c r="E115" s="518">
        <v>0</v>
      </c>
      <c r="F115" s="518">
        <v>0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/>
      <c r="N115" s="518"/>
      <c r="O115" s="518"/>
      <c r="P115" s="518"/>
      <c r="Q115" s="518"/>
      <c r="R115" s="518"/>
      <c r="T115" s="518">
        <f t="shared" si="45"/>
        <v>0</v>
      </c>
      <c r="U115" s="518">
        <f t="shared" si="46"/>
        <v>0</v>
      </c>
    </row>
    <row r="116" spans="1:21">
      <c r="A116" s="510" t="s">
        <v>556</v>
      </c>
      <c r="C116" s="518">
        <v>-13344</v>
      </c>
      <c r="D116" s="518">
        <v>-26873</v>
      </c>
      <c r="E116" s="518">
        <v>-40180</v>
      </c>
      <c r="F116" s="518">
        <v>-58491</v>
      </c>
      <c r="G116" s="518">
        <v>100532</v>
      </c>
      <c r="H116" s="518">
        <v>118246</v>
      </c>
      <c r="I116" s="518">
        <v>136861</v>
      </c>
      <c r="J116" s="518">
        <v>123871</v>
      </c>
      <c r="K116" s="518">
        <v>36341</v>
      </c>
      <c r="L116" s="518">
        <v>18890</v>
      </c>
      <c r="M116" s="518"/>
      <c r="N116" s="518"/>
      <c r="O116" s="518"/>
      <c r="P116" s="518"/>
      <c r="Q116" s="518"/>
      <c r="R116" s="518"/>
      <c r="T116" s="518">
        <f t="shared" si="45"/>
        <v>36341</v>
      </c>
      <c r="U116" s="518">
        <f t="shared" si="46"/>
        <v>-17451</v>
      </c>
    </row>
    <row r="117" spans="1:21">
      <c r="A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  <c r="T117" s="510"/>
      <c r="U117" s="510"/>
    </row>
    <row r="118" spans="1:21" ht="15" thickBot="1">
      <c r="A118" s="523" t="s">
        <v>557</v>
      </c>
      <c r="C118" s="519">
        <f t="shared" ref="C118:H118" si="47">C109+C111</f>
        <v>580076</v>
      </c>
      <c r="D118" s="519">
        <f t="shared" si="47"/>
        <v>457926</v>
      </c>
      <c r="E118" s="519">
        <f t="shared" si="47"/>
        <v>914034</v>
      </c>
      <c r="F118" s="519">
        <f t="shared" si="47"/>
        <v>1373938</v>
      </c>
      <c r="G118" s="519">
        <f t="shared" si="47"/>
        <v>163686</v>
      </c>
      <c r="H118" s="519">
        <f t="shared" si="47"/>
        <v>681385</v>
      </c>
      <c r="I118" s="519">
        <f>I109+I111</f>
        <v>1401408</v>
      </c>
      <c r="J118" s="519">
        <f>J109+J111</f>
        <v>2075593</v>
      </c>
      <c r="K118" s="519">
        <f>K109+K111</f>
        <v>279445</v>
      </c>
      <c r="L118" s="519">
        <f>L109+L111</f>
        <v>787919</v>
      </c>
      <c r="M118" s="519"/>
      <c r="N118" s="519"/>
      <c r="O118" s="519"/>
      <c r="P118" s="519"/>
      <c r="Q118" s="519"/>
      <c r="R118" s="519"/>
      <c r="T118" s="519">
        <f>T109+T111</f>
        <v>279445</v>
      </c>
      <c r="U118" s="519">
        <f>U109+U111</f>
        <v>508474</v>
      </c>
    </row>
    <row r="119" spans="1:21" ht="15" thickTop="1">
      <c r="A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  <c r="T119" s="510"/>
      <c r="U119" s="510"/>
    </row>
    <row r="120" spans="1:21">
      <c r="A120" s="509" t="s">
        <v>558</v>
      </c>
      <c r="C120" s="518"/>
      <c r="D120" s="518"/>
      <c r="E120" s="518"/>
      <c r="F120" s="518"/>
      <c r="G120" s="518"/>
      <c r="H120" s="518"/>
      <c r="I120" s="518"/>
      <c r="J120" s="518"/>
      <c r="K120" s="518"/>
      <c r="L120" s="518"/>
      <c r="M120" s="518"/>
      <c r="N120" s="518"/>
      <c r="O120" s="518"/>
      <c r="P120" s="518"/>
      <c r="Q120" s="518"/>
      <c r="R120" s="518"/>
      <c r="T120" s="518"/>
      <c r="U120" s="518"/>
    </row>
    <row r="121" spans="1:21">
      <c r="K121" s="518"/>
      <c r="T121" s="518">
        <f t="shared" ref="T121:T122" si="48">K121</f>
        <v>0</v>
      </c>
      <c r="U121" s="518"/>
    </row>
    <row r="122" spans="1:21">
      <c r="K122" s="518"/>
      <c r="T122" s="518">
        <f t="shared" si="48"/>
        <v>0</v>
      </c>
      <c r="U122" s="518"/>
    </row>
    <row r="123" spans="1:21">
      <c r="K123" s="510"/>
      <c r="T123" s="510"/>
      <c r="U123" s="510"/>
    </row>
    <row r="124" spans="1:21" ht="15" thickBot="1">
      <c r="K124" s="514"/>
      <c r="T124" s="519">
        <f>SUM(T121:T122)</f>
        <v>0</v>
      </c>
      <c r="U124" s="510"/>
    </row>
    <row r="125" spans="1:21" ht="15" thickTop="1"/>
    <row r="126" spans="1:21">
      <c r="T126" s="526">
        <f t="shared" ref="T126:T127" si="49">K126</f>
        <v>0</v>
      </c>
      <c r="U126" s="526"/>
    </row>
    <row r="127" spans="1:21">
      <c r="T127" s="526">
        <f t="shared" si="49"/>
        <v>0</v>
      </c>
      <c r="U127" s="526"/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 tint="0.79998168889431442"/>
  </sheetPr>
  <dimension ref="A4:V127"/>
  <sheetViews>
    <sheetView showGridLines="0" zoomScale="85" zoomScaleNormal="85" workbookViewId="0">
      <pane xSplit="1" ySplit="4" topLeftCell="B5" activePane="bottomRight" state="frozen"/>
      <selection pane="topRight"/>
      <selection pane="bottomLeft"/>
      <selection pane="bottomRight" activeCell="L9" sqref="L9"/>
    </sheetView>
  </sheetViews>
  <sheetFormatPr defaultRowHeight="14.5" outlineLevelRow="1"/>
  <cols>
    <col min="1" max="1" width="65.7265625" bestFit="1" customWidth="1"/>
    <col min="2" max="2" width="1.54296875" customWidth="1"/>
    <col min="3" max="12" width="15.1796875" customWidth="1"/>
    <col min="13" max="18" width="15.1796875" hidden="1" customWidth="1"/>
    <col min="19" max="19" width="1.54296875" customWidth="1"/>
    <col min="20" max="20" width="15.1796875" hidden="1" customWidth="1"/>
    <col min="21" max="21" width="15.1796875" customWidth="1"/>
    <col min="22" max="22" width="9.26953125" bestFit="1" customWidth="1"/>
  </cols>
  <sheetData>
    <row r="4" spans="1:21">
      <c r="A4" s="521" t="s">
        <v>581</v>
      </c>
      <c r="C4" s="520" t="s">
        <v>453</v>
      </c>
      <c r="D4" s="520" t="s">
        <v>454</v>
      </c>
      <c r="E4" s="520" t="s">
        <v>455</v>
      </c>
      <c r="F4" s="520">
        <v>2022</v>
      </c>
      <c r="G4" s="520" t="s">
        <v>456</v>
      </c>
      <c r="H4" s="520" t="s">
        <v>457</v>
      </c>
      <c r="I4" s="520" t="s">
        <v>458</v>
      </c>
      <c r="J4" s="520">
        <v>2023</v>
      </c>
      <c r="K4" s="520" t="s">
        <v>459</v>
      </c>
      <c r="L4" s="520" t="s">
        <v>460</v>
      </c>
      <c r="M4" s="520" t="s">
        <v>461</v>
      </c>
      <c r="N4" s="520">
        <v>2024</v>
      </c>
      <c r="O4" s="520" t="s">
        <v>462</v>
      </c>
      <c r="P4" s="520" t="s">
        <v>463</v>
      </c>
      <c r="Q4" s="520" t="s">
        <v>464</v>
      </c>
      <c r="R4" s="520">
        <v>2025</v>
      </c>
      <c r="T4" s="520" t="s">
        <v>53</v>
      </c>
      <c r="U4" s="520" t="s">
        <v>54</v>
      </c>
    </row>
    <row r="5" spans="1:21" ht="6.65" customHeight="1"/>
    <row r="6" spans="1:21">
      <c r="A6" s="522" t="s">
        <v>465</v>
      </c>
      <c r="C6" s="513">
        <f t="shared" ref="C6:I6" si="0">SUM(C8,C11:C17)</f>
        <v>8665672</v>
      </c>
      <c r="D6" s="513">
        <f t="shared" si="0"/>
        <v>17755932</v>
      </c>
      <c r="E6" s="513">
        <f t="shared" si="0"/>
        <v>26727084</v>
      </c>
      <c r="F6" s="513">
        <f t="shared" si="0"/>
        <v>36812186</v>
      </c>
      <c r="G6" s="513">
        <f t="shared" si="0"/>
        <v>13238356</v>
      </c>
      <c r="H6" s="513">
        <f t="shared" si="0"/>
        <v>26032433</v>
      </c>
      <c r="I6" s="513">
        <f t="shared" si="0"/>
        <v>39618350</v>
      </c>
      <c r="J6" s="513">
        <f t="shared" ref="J6:L6" si="1">SUM(J8,J11:J17)</f>
        <v>54865607.314999998</v>
      </c>
      <c r="K6" s="513">
        <f t="shared" si="1"/>
        <v>13837155.754999999</v>
      </c>
      <c r="L6" s="513">
        <f t="shared" si="1"/>
        <v>28368395.754999999</v>
      </c>
      <c r="M6" s="513"/>
      <c r="N6" s="513"/>
      <c r="O6" s="513"/>
      <c r="P6" s="513"/>
      <c r="Q6" s="513"/>
      <c r="R6" s="513"/>
      <c r="T6" s="513">
        <f t="shared" ref="T6:U6" si="2">SUM(T8,T11:T17)</f>
        <v>13837155.754999999</v>
      </c>
      <c r="U6" s="513">
        <f t="shared" si="2"/>
        <v>14531240</v>
      </c>
    </row>
    <row r="7" spans="1:21">
      <c r="A7" s="509"/>
      <c r="C7" s="514"/>
      <c r="D7" s="514"/>
      <c r="E7" s="514"/>
      <c r="F7" s="514"/>
      <c r="G7" s="514"/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514"/>
      <c r="T7" s="514"/>
      <c r="U7" s="514"/>
    </row>
    <row r="8" spans="1:21">
      <c r="A8" s="510" t="s">
        <v>466</v>
      </c>
      <c r="C8" s="515">
        <f t="shared" ref="C8:H8" si="3">SUM(C9:C10)</f>
        <v>6505347</v>
      </c>
      <c r="D8" s="515">
        <f t="shared" si="3"/>
        <v>12896498</v>
      </c>
      <c r="E8" s="515">
        <f t="shared" si="3"/>
        <v>19290015</v>
      </c>
      <c r="F8" s="515">
        <f t="shared" si="3"/>
        <v>26274660</v>
      </c>
      <c r="G8" s="515">
        <f t="shared" si="3"/>
        <v>9068794</v>
      </c>
      <c r="H8" s="515">
        <f t="shared" si="3"/>
        <v>17957280</v>
      </c>
      <c r="I8" s="515">
        <f>SUM(I9:I10)</f>
        <v>27523778</v>
      </c>
      <c r="J8" s="515">
        <v>38277778</v>
      </c>
      <c r="K8" s="515">
        <f>SUM(K9:K10)</f>
        <v>10166242</v>
      </c>
      <c r="L8" s="515">
        <f>SUM(L9:L10)</f>
        <v>20543598</v>
      </c>
      <c r="M8" s="515"/>
      <c r="N8" s="515"/>
      <c r="O8" s="515"/>
      <c r="P8" s="515"/>
      <c r="Q8" s="515"/>
      <c r="R8" s="515"/>
      <c r="T8" s="515">
        <f>SUM(T9:T10)</f>
        <v>10166242</v>
      </c>
      <c r="U8" s="515">
        <f>SUM(U9:U10)</f>
        <v>10377356</v>
      </c>
    </row>
    <row r="9" spans="1:21" outlineLevel="1">
      <c r="A9" s="511" t="s">
        <v>466</v>
      </c>
      <c r="C9" s="516">
        <v>7011770</v>
      </c>
      <c r="D9" s="516">
        <v>13046421</v>
      </c>
      <c r="E9" s="516">
        <v>19122233</v>
      </c>
      <c r="F9" s="516">
        <v>25604245</v>
      </c>
      <c r="G9" s="516">
        <v>8740935</v>
      </c>
      <c r="H9" s="516">
        <v>17206931</v>
      </c>
      <c r="I9" s="516">
        <v>26529193</v>
      </c>
      <c r="J9" s="516">
        <v>37070572</v>
      </c>
      <c r="K9" s="516">
        <v>10122258</v>
      </c>
      <c r="L9" s="516">
        <v>20058568</v>
      </c>
      <c r="M9" s="516"/>
      <c r="N9" s="516"/>
      <c r="O9" s="516"/>
      <c r="P9" s="516"/>
      <c r="Q9" s="516"/>
      <c r="R9" s="516"/>
      <c r="T9" s="516">
        <f>K9</f>
        <v>10122258</v>
      </c>
      <c r="U9" s="516">
        <f>L9-T9</f>
        <v>9936310</v>
      </c>
    </row>
    <row r="10" spans="1:21" outlineLevel="1">
      <c r="A10" s="511" t="s">
        <v>467</v>
      </c>
      <c r="C10" s="516">
        <v>-506423</v>
      </c>
      <c r="D10" s="516">
        <v>-149923</v>
      </c>
      <c r="E10" s="516">
        <v>167782</v>
      </c>
      <c r="F10" s="516">
        <v>670415</v>
      </c>
      <c r="G10" s="516">
        <v>327859</v>
      </c>
      <c r="H10" s="516">
        <v>750349</v>
      </c>
      <c r="I10" s="516">
        <v>994585</v>
      </c>
      <c r="J10" s="516">
        <v>1207206</v>
      </c>
      <c r="K10" s="516">
        <v>43984</v>
      </c>
      <c r="L10" s="516">
        <v>485030</v>
      </c>
      <c r="M10" s="516"/>
      <c r="N10" s="516"/>
      <c r="O10" s="516"/>
      <c r="P10" s="516"/>
      <c r="Q10" s="516"/>
      <c r="R10" s="516"/>
      <c r="T10" s="516">
        <f t="shared" ref="T10:T25" si="4">K10</f>
        <v>43984</v>
      </c>
      <c r="U10" s="516">
        <f t="shared" ref="U10:U16" si="5">L10-T10</f>
        <v>441046</v>
      </c>
    </row>
    <row r="11" spans="1:21">
      <c r="A11" s="510" t="s">
        <v>468</v>
      </c>
      <c r="C11" s="515">
        <v>69935</v>
      </c>
      <c r="D11" s="515">
        <v>180421</v>
      </c>
      <c r="E11" s="515">
        <v>274294</v>
      </c>
      <c r="F11" s="515">
        <v>365487</v>
      </c>
      <c r="G11" s="515">
        <v>96740</v>
      </c>
      <c r="H11" s="515">
        <v>220806</v>
      </c>
      <c r="I11" s="515">
        <v>331144</v>
      </c>
      <c r="J11" s="515">
        <v>511046</v>
      </c>
      <c r="K11" s="515">
        <v>62768</v>
      </c>
      <c r="L11" s="515">
        <v>153201</v>
      </c>
      <c r="M11" s="515"/>
      <c r="N11" s="515"/>
      <c r="O11" s="515"/>
      <c r="P11" s="515"/>
      <c r="Q11" s="515"/>
      <c r="R11" s="515"/>
      <c r="T11" s="515">
        <f t="shared" si="4"/>
        <v>62768</v>
      </c>
      <c r="U11" s="515">
        <f t="shared" si="5"/>
        <v>90433</v>
      </c>
    </row>
    <row r="12" spans="1:21">
      <c r="A12" s="510" t="s">
        <v>469</v>
      </c>
      <c r="C12" s="515">
        <v>66744</v>
      </c>
      <c r="D12" s="515">
        <v>265619</v>
      </c>
      <c r="E12" s="515">
        <v>573582</v>
      </c>
      <c r="F12" s="515">
        <v>862231</v>
      </c>
      <c r="G12" s="515">
        <v>250025</v>
      </c>
      <c r="H12" s="515">
        <v>465137</v>
      </c>
      <c r="I12" s="515">
        <v>751476</v>
      </c>
      <c r="J12" s="515">
        <v>1067589</v>
      </c>
      <c r="K12" s="515">
        <v>210521</v>
      </c>
      <c r="L12" s="515">
        <v>436367</v>
      </c>
      <c r="M12" s="515"/>
      <c r="N12" s="515"/>
      <c r="O12" s="515"/>
      <c r="P12" s="515"/>
      <c r="Q12" s="515"/>
      <c r="R12" s="515"/>
      <c r="T12" s="515">
        <f t="shared" si="4"/>
        <v>210521</v>
      </c>
      <c r="U12" s="515">
        <f t="shared" si="5"/>
        <v>225846</v>
      </c>
    </row>
    <row r="13" spans="1:21">
      <c r="A13" s="510" t="s">
        <v>470</v>
      </c>
      <c r="C13" s="515">
        <v>830324</v>
      </c>
      <c r="D13" s="515">
        <v>1944544</v>
      </c>
      <c r="E13" s="515">
        <v>3506153</v>
      </c>
      <c r="F13" s="515">
        <v>5255337</v>
      </c>
      <c r="G13" s="515">
        <v>2345841</v>
      </c>
      <c r="H13" s="515">
        <v>4389957</v>
      </c>
      <c r="I13" s="515">
        <v>6118944</v>
      </c>
      <c r="J13" s="515">
        <v>8162226</v>
      </c>
      <c r="K13" s="515">
        <v>1564880</v>
      </c>
      <c r="L13" s="515">
        <v>3562833</v>
      </c>
      <c r="M13" s="515"/>
      <c r="N13" s="515"/>
      <c r="O13" s="515"/>
      <c r="P13" s="515"/>
      <c r="Q13" s="515"/>
      <c r="R13" s="515"/>
      <c r="T13" s="515">
        <f t="shared" si="4"/>
        <v>1564880</v>
      </c>
      <c r="U13" s="515">
        <f t="shared" si="5"/>
        <v>1997953</v>
      </c>
    </row>
    <row r="14" spans="1:21">
      <c r="A14" s="510" t="s">
        <v>471</v>
      </c>
      <c r="C14" s="515">
        <v>0</v>
      </c>
      <c r="D14" s="515">
        <v>0</v>
      </c>
      <c r="E14" s="515">
        <v>0</v>
      </c>
      <c r="F14" s="515">
        <v>0</v>
      </c>
      <c r="G14" s="515">
        <v>0</v>
      </c>
      <c r="H14" s="515">
        <v>0</v>
      </c>
      <c r="I14" s="515">
        <v>0</v>
      </c>
      <c r="J14" s="515">
        <v>0</v>
      </c>
      <c r="K14" s="515">
        <v>0</v>
      </c>
      <c r="L14" s="515">
        <v>0</v>
      </c>
      <c r="M14" s="515"/>
      <c r="N14" s="515"/>
      <c r="O14" s="515"/>
      <c r="P14" s="515"/>
      <c r="Q14" s="515"/>
      <c r="R14" s="515"/>
      <c r="T14" s="515">
        <f t="shared" si="4"/>
        <v>0</v>
      </c>
      <c r="U14" s="515">
        <f t="shared" si="5"/>
        <v>0</v>
      </c>
    </row>
    <row r="15" spans="1:21">
      <c r="A15" s="510" t="s">
        <v>472</v>
      </c>
      <c r="C15" s="515">
        <v>19337</v>
      </c>
      <c r="D15" s="515">
        <v>49828</v>
      </c>
      <c r="E15" s="515">
        <v>78466</v>
      </c>
      <c r="F15" s="515">
        <v>114440</v>
      </c>
      <c r="G15" s="515">
        <v>28883</v>
      </c>
      <c r="H15" s="515">
        <v>56768</v>
      </c>
      <c r="I15" s="515">
        <v>107332</v>
      </c>
      <c r="J15" s="515">
        <v>138513</v>
      </c>
      <c r="K15" s="515">
        <v>28220</v>
      </c>
      <c r="L15" s="515">
        <v>55714</v>
      </c>
      <c r="M15" s="515"/>
      <c r="N15" s="515"/>
      <c r="O15" s="515"/>
      <c r="P15" s="515"/>
      <c r="Q15" s="515"/>
      <c r="R15" s="515"/>
      <c r="T15" s="515">
        <f t="shared" si="4"/>
        <v>28220</v>
      </c>
      <c r="U15" s="515">
        <f t="shared" si="5"/>
        <v>27494</v>
      </c>
    </row>
    <row r="16" spans="1:21">
      <c r="A16" s="510" t="s">
        <v>473</v>
      </c>
      <c r="C16" s="515">
        <v>0</v>
      </c>
      <c r="D16" s="515">
        <v>0</v>
      </c>
      <c r="E16" s="515">
        <v>13428</v>
      </c>
      <c r="F16" s="515">
        <v>34088</v>
      </c>
      <c r="G16" s="515">
        <v>27047</v>
      </c>
      <c r="H16" s="515">
        <v>47681</v>
      </c>
      <c r="I16" s="515">
        <v>66460</v>
      </c>
      <c r="J16" s="515">
        <v>84149</v>
      </c>
      <c r="K16" s="515">
        <v>21842</v>
      </c>
      <c r="L16" s="515">
        <v>44659</v>
      </c>
      <c r="M16" s="515"/>
      <c r="N16" s="515"/>
      <c r="O16" s="515"/>
      <c r="P16" s="515"/>
      <c r="Q16" s="515"/>
      <c r="R16" s="515"/>
      <c r="T16" s="515">
        <f t="shared" si="4"/>
        <v>21842</v>
      </c>
      <c r="U16" s="515">
        <f t="shared" si="5"/>
        <v>22817</v>
      </c>
    </row>
    <row r="17" spans="1:21">
      <c r="A17" s="510" t="s">
        <v>474</v>
      </c>
      <c r="C17" s="515">
        <f t="shared" ref="C17:H17" si="6">SUM(C18:C25)</f>
        <v>1173985</v>
      </c>
      <c r="D17" s="515">
        <f t="shared" si="6"/>
        <v>2419022</v>
      </c>
      <c r="E17" s="515">
        <f t="shared" si="6"/>
        <v>2991146</v>
      </c>
      <c r="F17" s="515">
        <f t="shared" si="6"/>
        <v>3905943</v>
      </c>
      <c r="G17" s="515">
        <f t="shared" si="6"/>
        <v>1421026</v>
      </c>
      <c r="H17" s="515">
        <f t="shared" si="6"/>
        <v>2894804</v>
      </c>
      <c r="I17" s="515">
        <f>SUM(I18:I25)</f>
        <v>4719216</v>
      </c>
      <c r="J17" s="515">
        <f>SUM(J18:J25)</f>
        <v>6624306.3150000004</v>
      </c>
      <c r="K17" s="515">
        <f>SUM(K18:K25)</f>
        <v>1782682.7549999999</v>
      </c>
      <c r="L17" s="515">
        <f>SUM(L18:L25)</f>
        <v>3572023.7549999999</v>
      </c>
      <c r="M17" s="515"/>
      <c r="N17" s="515"/>
      <c r="O17" s="515"/>
      <c r="P17" s="515"/>
      <c r="Q17" s="515"/>
      <c r="R17" s="515"/>
      <c r="T17" s="515">
        <f>SUM(T18:T25)</f>
        <v>1782682.7549999999</v>
      </c>
      <c r="U17" s="515">
        <f>SUM(U18:U25)</f>
        <v>1789341</v>
      </c>
    </row>
    <row r="18" spans="1:21" outlineLevel="1">
      <c r="A18" s="511" t="s">
        <v>475</v>
      </c>
      <c r="C18" s="516">
        <v>288726</v>
      </c>
      <c r="D18" s="516">
        <v>579563</v>
      </c>
      <c r="E18" s="516">
        <v>860569</v>
      </c>
      <c r="F18" s="516">
        <v>1130043</v>
      </c>
      <c r="G18" s="516">
        <v>548202</v>
      </c>
      <c r="H18" s="516">
        <v>1082349</v>
      </c>
      <c r="I18" s="516">
        <v>1729199</v>
      </c>
      <c r="J18" s="516">
        <v>2505930</v>
      </c>
      <c r="K18" s="516">
        <v>681202</v>
      </c>
      <c r="L18" s="516">
        <v>1402128</v>
      </c>
      <c r="M18" s="516"/>
      <c r="N18" s="516"/>
      <c r="O18" s="516"/>
      <c r="P18" s="516"/>
      <c r="Q18" s="516"/>
      <c r="R18" s="516"/>
      <c r="T18" s="516">
        <f t="shared" si="4"/>
        <v>681202</v>
      </c>
      <c r="U18" s="516">
        <f t="shared" ref="U18:U25" si="7">L18-T18</f>
        <v>720926</v>
      </c>
    </row>
    <row r="19" spans="1:21" outlineLevel="1">
      <c r="A19" s="511" t="s">
        <v>476</v>
      </c>
      <c r="C19" s="516">
        <v>163013</v>
      </c>
      <c r="D19" s="516">
        <v>402102</v>
      </c>
      <c r="E19" s="516">
        <v>192629</v>
      </c>
      <c r="F19" s="516">
        <v>325698</v>
      </c>
      <c r="G19" s="516">
        <v>32570</v>
      </c>
      <c r="H19" s="516">
        <v>128832</v>
      </c>
      <c r="I19" s="516">
        <v>421300</v>
      </c>
      <c r="J19" s="516">
        <v>618930</v>
      </c>
      <c r="K19" s="516">
        <v>200727</v>
      </c>
      <c r="L19" s="516">
        <v>370306</v>
      </c>
      <c r="M19" s="516"/>
      <c r="N19" s="516"/>
      <c r="O19" s="516"/>
      <c r="P19" s="516"/>
      <c r="Q19" s="516"/>
      <c r="R19" s="516"/>
      <c r="T19" s="516">
        <f t="shared" si="4"/>
        <v>200727</v>
      </c>
      <c r="U19" s="516">
        <f t="shared" si="7"/>
        <v>169579</v>
      </c>
    </row>
    <row r="20" spans="1:21" outlineLevel="1">
      <c r="A20" s="511" t="s">
        <v>477</v>
      </c>
      <c r="C20" s="516">
        <v>0</v>
      </c>
      <c r="D20" s="516">
        <v>14956</v>
      </c>
      <c r="E20" s="516">
        <v>14956</v>
      </c>
      <c r="F20" s="516">
        <v>0</v>
      </c>
      <c r="G20" s="516">
        <v>0</v>
      </c>
      <c r="H20" s="516">
        <v>0</v>
      </c>
      <c r="I20" s="516">
        <v>0</v>
      </c>
      <c r="J20" s="516">
        <v>116</v>
      </c>
      <c r="K20" s="516">
        <v>296</v>
      </c>
      <c r="L20" s="516">
        <v>642</v>
      </c>
      <c r="M20" s="516"/>
      <c r="N20" s="516"/>
      <c r="O20" s="516"/>
      <c r="P20" s="516"/>
      <c r="Q20" s="516"/>
      <c r="R20" s="516"/>
      <c r="T20" s="516">
        <f t="shared" si="4"/>
        <v>296</v>
      </c>
      <c r="U20" s="516">
        <f t="shared" si="7"/>
        <v>346</v>
      </c>
    </row>
    <row r="21" spans="1:21" outlineLevel="1">
      <c r="A21" s="511" t="s">
        <v>478</v>
      </c>
      <c r="C21" s="516">
        <v>415881</v>
      </c>
      <c r="D21" s="516">
        <v>786326</v>
      </c>
      <c r="E21" s="516">
        <v>1172886</v>
      </c>
      <c r="F21" s="516">
        <v>1578951</v>
      </c>
      <c r="G21" s="516">
        <v>394547</v>
      </c>
      <c r="H21" s="516">
        <v>822278</v>
      </c>
      <c r="I21" s="516">
        <v>1228782</v>
      </c>
      <c r="J21" s="516">
        <v>1622095</v>
      </c>
      <c r="K21" s="516">
        <v>403273</v>
      </c>
      <c r="L21" s="516">
        <v>774055</v>
      </c>
      <c r="M21" s="516"/>
      <c r="N21" s="516"/>
      <c r="O21" s="516"/>
      <c r="P21" s="516"/>
      <c r="Q21" s="516"/>
      <c r="R21" s="516"/>
      <c r="T21" s="516">
        <f t="shared" si="4"/>
        <v>403273</v>
      </c>
      <c r="U21" s="516">
        <f t="shared" si="7"/>
        <v>370782</v>
      </c>
    </row>
    <row r="22" spans="1:21" outlineLevel="1">
      <c r="A22" s="511" t="s">
        <v>479</v>
      </c>
      <c r="C22" s="516">
        <v>-38469</v>
      </c>
      <c r="D22" s="516">
        <v>-74119</v>
      </c>
      <c r="E22" s="516">
        <v>-109876</v>
      </c>
      <c r="F22" s="516">
        <v>-146053</v>
      </c>
      <c r="G22" s="516">
        <v>-36495</v>
      </c>
      <c r="H22" s="516">
        <v>-76061</v>
      </c>
      <c r="I22" s="516">
        <v>-113662</v>
      </c>
      <c r="J22" s="516">
        <v>-97609.684999999998</v>
      </c>
      <c r="K22" s="516">
        <v>-22857.244999999999</v>
      </c>
      <c r="L22" s="516">
        <v>-44141.245000000003</v>
      </c>
      <c r="M22" s="516"/>
      <c r="N22" s="516"/>
      <c r="O22" s="516"/>
      <c r="P22" s="516"/>
      <c r="Q22" s="516"/>
      <c r="R22" s="516"/>
      <c r="T22" s="516">
        <f t="shared" si="4"/>
        <v>-22857.244999999999</v>
      </c>
      <c r="U22" s="516">
        <f t="shared" si="7"/>
        <v>-21284.000000000004</v>
      </c>
    </row>
    <row r="23" spans="1:21" outlineLevel="1">
      <c r="A23" s="511" t="s">
        <v>480</v>
      </c>
      <c r="C23" s="516">
        <v>0</v>
      </c>
      <c r="D23" s="516">
        <v>0</v>
      </c>
      <c r="E23" s="516">
        <v>0</v>
      </c>
      <c r="F23" s="516">
        <v>0</v>
      </c>
      <c r="G23" s="516">
        <v>0</v>
      </c>
      <c r="H23" s="516">
        <v>0</v>
      </c>
      <c r="I23" s="516">
        <v>0</v>
      </c>
      <c r="J23" s="516">
        <v>0</v>
      </c>
      <c r="K23" s="516">
        <v>0</v>
      </c>
      <c r="L23" s="516">
        <v>0</v>
      </c>
      <c r="M23" s="516"/>
      <c r="N23" s="516"/>
      <c r="O23" s="516"/>
      <c r="P23" s="516"/>
      <c r="Q23" s="516"/>
      <c r="R23" s="516"/>
      <c r="T23" s="516">
        <f t="shared" si="4"/>
        <v>0</v>
      </c>
      <c r="U23" s="516">
        <f t="shared" si="7"/>
        <v>0</v>
      </c>
    </row>
    <row r="24" spans="1:21" outlineLevel="1">
      <c r="A24" s="511" t="s">
        <v>481</v>
      </c>
      <c r="C24" s="516">
        <v>0</v>
      </c>
      <c r="D24" s="516">
        <v>0</v>
      </c>
      <c r="E24" s="516">
        <v>-11403</v>
      </c>
      <c r="F24" s="516">
        <v>-48704</v>
      </c>
      <c r="G24" s="516">
        <v>84126</v>
      </c>
      <c r="H24" s="516">
        <v>115969</v>
      </c>
      <c r="I24" s="516">
        <v>143180</v>
      </c>
      <c r="J24" s="516">
        <v>-51115</v>
      </c>
      <c r="K24" s="516">
        <v>19877</v>
      </c>
      <c r="L24" s="516">
        <v>19445</v>
      </c>
      <c r="M24" s="516"/>
      <c r="N24" s="516"/>
      <c r="O24" s="516"/>
      <c r="P24" s="516"/>
      <c r="Q24" s="516"/>
      <c r="R24" s="516"/>
      <c r="T24" s="516">
        <f t="shared" si="4"/>
        <v>19877</v>
      </c>
      <c r="U24" s="516">
        <f t="shared" si="7"/>
        <v>-432</v>
      </c>
    </row>
    <row r="25" spans="1:21" outlineLevel="1">
      <c r="A25" s="511" t="s">
        <v>474</v>
      </c>
      <c r="C25" s="516">
        <v>344834</v>
      </c>
      <c r="D25" s="516">
        <v>710194</v>
      </c>
      <c r="E25" s="516">
        <v>871385</v>
      </c>
      <c r="F25" s="516">
        <v>1066008</v>
      </c>
      <c r="G25" s="516">
        <v>398076</v>
      </c>
      <c r="H25" s="516">
        <v>821437</v>
      </c>
      <c r="I25" s="516">
        <v>1310417</v>
      </c>
      <c r="J25" s="516">
        <v>2025960</v>
      </c>
      <c r="K25" s="516">
        <v>500165</v>
      </c>
      <c r="L25" s="516">
        <v>1049589</v>
      </c>
      <c r="M25" s="516"/>
      <c r="N25" s="516"/>
      <c r="O25" s="516"/>
      <c r="P25" s="516"/>
      <c r="Q25" s="516"/>
      <c r="R25" s="516"/>
      <c r="T25" s="516">
        <f t="shared" si="4"/>
        <v>500165</v>
      </c>
      <c r="U25" s="516">
        <f t="shared" si="7"/>
        <v>549424</v>
      </c>
    </row>
    <row r="26" spans="1:21">
      <c r="A26" s="510"/>
      <c r="C26" s="510"/>
      <c r="D26" s="510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  <c r="T26" s="510"/>
      <c r="U26" s="510"/>
    </row>
    <row r="27" spans="1:21">
      <c r="A27" s="522" t="s">
        <v>482</v>
      </c>
      <c r="C27" s="513">
        <f t="shared" ref="C27:H27" si="8">SUM(C29:C37)</f>
        <v>-2822483</v>
      </c>
      <c r="D27" s="513">
        <f t="shared" si="8"/>
        <v>-5372396</v>
      </c>
      <c r="E27" s="513">
        <f t="shared" si="8"/>
        <v>-7511512</v>
      </c>
      <c r="F27" s="513">
        <f t="shared" si="8"/>
        <v>-9679679</v>
      </c>
      <c r="G27" s="513">
        <f t="shared" si="8"/>
        <v>-3061782</v>
      </c>
      <c r="H27" s="513">
        <f t="shared" si="8"/>
        <v>-6400537</v>
      </c>
      <c r="I27" s="513">
        <f>SUM(I29:I37)</f>
        <v>-9878781</v>
      </c>
      <c r="J27" s="513">
        <f>SUM(J29:J37)</f>
        <v>-13880530.314999999</v>
      </c>
      <c r="K27" s="513">
        <f>SUM(K29:K37)</f>
        <v>-3938997.7549999999</v>
      </c>
      <c r="L27" s="513">
        <f>SUM(L29:L37)</f>
        <v>-7983069.7549999999</v>
      </c>
      <c r="M27" s="513"/>
      <c r="N27" s="513"/>
      <c r="O27" s="513"/>
      <c r="P27" s="513"/>
      <c r="Q27" s="513"/>
      <c r="R27" s="513"/>
      <c r="T27" s="513">
        <f>SUM(T29:T37)</f>
        <v>-3938997.7549999999</v>
      </c>
      <c r="U27" s="513">
        <f>SUM(U29:U37)</f>
        <v>-4044072</v>
      </c>
    </row>
    <row r="28" spans="1:21">
      <c r="A28" s="509"/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T28" s="514"/>
      <c r="U28" s="514"/>
    </row>
    <row r="29" spans="1:21" outlineLevel="1">
      <c r="A29" s="511" t="s">
        <v>483</v>
      </c>
      <c r="C29" s="516">
        <v>-1560242</v>
      </c>
      <c r="D29" s="516">
        <v>-2884357</v>
      </c>
      <c r="E29" s="516">
        <v>-3868885</v>
      </c>
      <c r="F29" s="516">
        <v>-4775531</v>
      </c>
      <c r="G29" s="516">
        <v>-1290353</v>
      </c>
      <c r="H29" s="516">
        <v>-2811027</v>
      </c>
      <c r="I29" s="516">
        <v>-4428826</v>
      </c>
      <c r="J29" s="516">
        <v>-6355412</v>
      </c>
      <c r="K29" s="516">
        <v>-1791641</v>
      </c>
      <c r="L29" s="516">
        <v>-3641789</v>
      </c>
      <c r="M29" s="516"/>
      <c r="N29" s="516"/>
      <c r="O29" s="516"/>
      <c r="P29" s="516"/>
      <c r="Q29" s="516"/>
      <c r="R29" s="516"/>
      <c r="T29" s="516">
        <f t="shared" ref="T29:T37" si="9">K29</f>
        <v>-1791641</v>
      </c>
      <c r="U29" s="516">
        <f t="shared" ref="U29:U37" si="10">L29-T29</f>
        <v>-1850148</v>
      </c>
    </row>
    <row r="30" spans="1:21" outlineLevel="1">
      <c r="A30" s="511" t="s">
        <v>484</v>
      </c>
      <c r="C30" s="516">
        <v>-624032</v>
      </c>
      <c r="D30" s="516">
        <v>-1184940</v>
      </c>
      <c r="E30" s="516">
        <v>-1773062</v>
      </c>
      <c r="F30" s="516">
        <v>-2402073</v>
      </c>
      <c r="G30" s="516">
        <v>-816891</v>
      </c>
      <c r="H30" s="516">
        <v>-1633110</v>
      </c>
      <c r="I30" s="516">
        <v>-2483217</v>
      </c>
      <c r="J30" s="516">
        <v>-3450413</v>
      </c>
      <c r="K30" s="516">
        <v>-881299</v>
      </c>
      <c r="L30" s="516">
        <v>-1828500</v>
      </c>
      <c r="M30" s="516"/>
      <c r="N30" s="516"/>
      <c r="O30" s="516"/>
      <c r="P30" s="516"/>
      <c r="Q30" s="516"/>
      <c r="R30" s="516"/>
      <c r="T30" s="516">
        <f t="shared" si="9"/>
        <v>-881299</v>
      </c>
      <c r="U30" s="516">
        <f t="shared" si="10"/>
        <v>-947201</v>
      </c>
    </row>
    <row r="31" spans="1:21" outlineLevel="1">
      <c r="A31" s="511" t="s">
        <v>485</v>
      </c>
      <c r="C31" s="516">
        <v>-9614</v>
      </c>
      <c r="D31" s="516">
        <v>-9964</v>
      </c>
      <c r="E31" s="516">
        <v>-9299</v>
      </c>
      <c r="F31" s="516">
        <v>-13923</v>
      </c>
      <c r="G31" s="516">
        <v>-7907</v>
      </c>
      <c r="H31" s="516">
        <v>-3059</v>
      </c>
      <c r="I31" s="516">
        <v>-11907</v>
      </c>
      <c r="J31" s="516">
        <v>4111.6850000000013</v>
      </c>
      <c r="K31" s="516">
        <v>-2401.7550000000001</v>
      </c>
      <c r="L31" s="516">
        <v>-2495.7550000000001</v>
      </c>
      <c r="M31" s="516"/>
      <c r="N31" s="516"/>
      <c r="O31" s="516"/>
      <c r="P31" s="516"/>
      <c r="Q31" s="516"/>
      <c r="R31" s="516"/>
      <c r="T31" s="516">
        <f t="shared" si="9"/>
        <v>-2401.7550000000001</v>
      </c>
      <c r="U31" s="516">
        <f t="shared" si="10"/>
        <v>-94</v>
      </c>
    </row>
    <row r="32" spans="1:21" outlineLevel="1">
      <c r="A32" s="511" t="s">
        <v>486</v>
      </c>
      <c r="C32" s="516">
        <v>-1301</v>
      </c>
      <c r="D32" s="516">
        <v>-2602</v>
      </c>
      <c r="E32" s="516">
        <v>-3833</v>
      </c>
      <c r="F32" s="516">
        <v>-5029</v>
      </c>
      <c r="G32" s="516">
        <v>-1196</v>
      </c>
      <c r="H32" s="516">
        <v>-2392</v>
      </c>
      <c r="I32" s="516">
        <v>-3813</v>
      </c>
      <c r="J32" s="516">
        <v>-5347</v>
      </c>
      <c r="K32" s="516">
        <v>-1534</v>
      </c>
      <c r="L32" s="516">
        <v>-1534</v>
      </c>
      <c r="M32" s="516"/>
      <c r="N32" s="516"/>
      <c r="O32" s="516"/>
      <c r="P32" s="516"/>
      <c r="Q32" s="516"/>
      <c r="R32" s="516"/>
      <c r="T32" s="516">
        <f t="shared" si="9"/>
        <v>-1534</v>
      </c>
      <c r="U32" s="516">
        <f t="shared" si="10"/>
        <v>0</v>
      </c>
    </row>
    <row r="33" spans="1:21" outlineLevel="1">
      <c r="A33" s="511" t="s">
        <v>487</v>
      </c>
      <c r="C33" s="516">
        <v>-50142</v>
      </c>
      <c r="D33" s="516">
        <v>-93452</v>
      </c>
      <c r="E33" s="516">
        <v>-128899</v>
      </c>
      <c r="F33" s="516">
        <v>-192120</v>
      </c>
      <c r="G33" s="516">
        <v>-65393</v>
      </c>
      <c r="H33" s="516">
        <v>-140150</v>
      </c>
      <c r="I33" s="516">
        <v>-221751</v>
      </c>
      <c r="J33" s="516">
        <v>-312270</v>
      </c>
      <c r="K33" s="516">
        <v>-78252</v>
      </c>
      <c r="L33" s="516">
        <v>-153384</v>
      </c>
      <c r="M33" s="516"/>
      <c r="N33" s="516"/>
      <c r="O33" s="516"/>
      <c r="P33" s="516"/>
      <c r="Q33" s="516"/>
      <c r="R33" s="516"/>
      <c r="T33" s="516">
        <f t="shared" si="9"/>
        <v>-78252</v>
      </c>
      <c r="U33" s="516">
        <f t="shared" si="10"/>
        <v>-75132</v>
      </c>
    </row>
    <row r="34" spans="1:21" outlineLevel="1">
      <c r="A34" s="511" t="s">
        <v>488</v>
      </c>
      <c r="C34" s="516">
        <v>-11996</v>
      </c>
      <c r="D34" s="516">
        <v>-22451</v>
      </c>
      <c r="E34" s="516">
        <v>-34900</v>
      </c>
      <c r="F34" s="516">
        <v>-48524</v>
      </c>
      <c r="G34" s="516">
        <v>-16732</v>
      </c>
      <c r="H34" s="516">
        <v>-22979</v>
      </c>
      <c r="I34" s="516">
        <v>-34180</v>
      </c>
      <c r="J34" s="516">
        <v>-47541</v>
      </c>
      <c r="K34" s="516">
        <v>-12386</v>
      </c>
      <c r="L34" s="516">
        <v>-24654</v>
      </c>
      <c r="M34" s="516"/>
      <c r="N34" s="516"/>
      <c r="O34" s="516"/>
      <c r="P34" s="516"/>
      <c r="Q34" s="516"/>
      <c r="R34" s="516"/>
      <c r="T34" s="516">
        <f t="shared" si="9"/>
        <v>-12386</v>
      </c>
      <c r="U34" s="516">
        <f t="shared" si="10"/>
        <v>-12268</v>
      </c>
    </row>
    <row r="35" spans="1:21" outlineLevel="1">
      <c r="A35" s="511" t="s">
        <v>489</v>
      </c>
      <c r="C35" s="516">
        <v>-499162</v>
      </c>
      <c r="D35" s="516">
        <v>-1005220</v>
      </c>
      <c r="E35" s="516">
        <v>-1498100</v>
      </c>
      <c r="F35" s="516">
        <v>-1989694</v>
      </c>
      <c r="G35" s="516">
        <v>-800956</v>
      </c>
      <c r="H35" s="516">
        <v>-1655950</v>
      </c>
      <c r="I35" s="516">
        <v>-2519814</v>
      </c>
      <c r="J35" s="516">
        <v>-3441127</v>
      </c>
      <c r="K35" s="516">
        <v>-1031356</v>
      </c>
      <c r="L35" s="516">
        <v>-2080514</v>
      </c>
      <c r="M35" s="516"/>
      <c r="N35" s="516"/>
      <c r="O35" s="516"/>
      <c r="P35" s="516"/>
      <c r="Q35" s="516"/>
      <c r="R35" s="516"/>
      <c r="T35" s="516">
        <f t="shared" si="9"/>
        <v>-1031356</v>
      </c>
      <c r="U35" s="516">
        <f t="shared" si="10"/>
        <v>-1049158</v>
      </c>
    </row>
    <row r="36" spans="1:21" outlineLevel="1">
      <c r="A36" s="511" t="s">
        <v>490</v>
      </c>
      <c r="C36" s="516">
        <v>-2205</v>
      </c>
      <c r="D36" s="516">
        <v>-4462</v>
      </c>
      <c r="E36" s="516">
        <v>-6500</v>
      </c>
      <c r="F36" s="516">
        <v>-9300</v>
      </c>
      <c r="G36" s="516">
        <v>-3603</v>
      </c>
      <c r="H36" s="516">
        <v>-6371</v>
      </c>
      <c r="I36" s="516">
        <v>-9546</v>
      </c>
      <c r="J36" s="516">
        <v>-13806</v>
      </c>
      <c r="K36" s="516">
        <v>-3536</v>
      </c>
      <c r="L36" s="516">
        <v>-7212</v>
      </c>
      <c r="M36" s="516"/>
      <c r="N36" s="516"/>
      <c r="O36" s="516"/>
      <c r="P36" s="516"/>
      <c r="Q36" s="516"/>
      <c r="R36" s="516"/>
      <c r="T36" s="516">
        <f t="shared" si="9"/>
        <v>-3536</v>
      </c>
      <c r="U36" s="516">
        <f t="shared" si="10"/>
        <v>-3676</v>
      </c>
    </row>
    <row r="37" spans="1:21" outlineLevel="1">
      <c r="A37" s="511" t="s">
        <v>59</v>
      </c>
      <c r="C37" s="516">
        <v>-63789</v>
      </c>
      <c r="D37" s="516">
        <v>-164948</v>
      </c>
      <c r="E37" s="516">
        <v>-188034</v>
      </c>
      <c r="F37" s="516">
        <v>-243485</v>
      </c>
      <c r="G37" s="516">
        <v>-58751</v>
      </c>
      <c r="H37" s="516">
        <v>-125499</v>
      </c>
      <c r="I37" s="516">
        <v>-165727</v>
      </c>
      <c r="J37" s="516">
        <v>-258726</v>
      </c>
      <c r="K37" s="516">
        <v>-136592</v>
      </c>
      <c r="L37" s="516">
        <v>-242987</v>
      </c>
      <c r="M37" s="516"/>
      <c r="N37" s="516"/>
      <c r="O37" s="516"/>
      <c r="P37" s="516"/>
      <c r="Q37" s="516"/>
      <c r="R37" s="516"/>
      <c r="T37" s="516">
        <f t="shared" si="9"/>
        <v>-136592</v>
      </c>
      <c r="U37" s="516">
        <f t="shared" si="10"/>
        <v>-106395</v>
      </c>
    </row>
    <row r="38" spans="1:21">
      <c r="A38" s="510"/>
      <c r="C38" s="510"/>
      <c r="D38" s="510"/>
      <c r="E38" s="510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P38" s="510"/>
      <c r="Q38" s="510"/>
      <c r="R38" s="510"/>
      <c r="T38" s="510"/>
      <c r="U38" s="510"/>
    </row>
    <row r="39" spans="1:21">
      <c r="A39" s="522" t="s">
        <v>491</v>
      </c>
      <c r="C39" s="513">
        <f t="shared" ref="C39:H39" si="11">C27+C6</f>
        <v>5843189</v>
      </c>
      <c r="D39" s="513">
        <f t="shared" si="11"/>
        <v>12383536</v>
      </c>
      <c r="E39" s="513">
        <f t="shared" si="11"/>
        <v>19215572</v>
      </c>
      <c r="F39" s="513">
        <f t="shared" si="11"/>
        <v>27132507</v>
      </c>
      <c r="G39" s="513">
        <f t="shared" si="11"/>
        <v>10176574</v>
      </c>
      <c r="H39" s="513">
        <f t="shared" si="11"/>
        <v>19631896</v>
      </c>
      <c r="I39" s="513">
        <f>I27+I6</f>
        <v>29739569</v>
      </c>
      <c r="J39" s="513">
        <f>J27+J6</f>
        <v>40985077</v>
      </c>
      <c r="K39" s="513">
        <f>K27+K6</f>
        <v>9898158</v>
      </c>
      <c r="L39" s="513">
        <f>L27+L6</f>
        <v>20385326</v>
      </c>
      <c r="M39" s="513"/>
      <c r="N39" s="513"/>
      <c r="O39" s="513"/>
      <c r="P39" s="513"/>
      <c r="Q39" s="513"/>
      <c r="R39" s="513"/>
      <c r="T39" s="513">
        <f>T27+T6</f>
        <v>9898158</v>
      </c>
      <c r="U39" s="513">
        <f>U27+U6</f>
        <v>10487168</v>
      </c>
    </row>
    <row r="40" spans="1:21">
      <c r="A40" s="510"/>
      <c r="C40" s="510"/>
      <c r="D40" s="510"/>
      <c r="E40" s="510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P40" s="510"/>
      <c r="Q40" s="510"/>
      <c r="R40" s="510"/>
      <c r="T40" s="510"/>
      <c r="U40" s="510"/>
    </row>
    <row r="41" spans="1:21">
      <c r="A41" s="509" t="s">
        <v>492</v>
      </c>
      <c r="C41" s="517">
        <f t="shared" ref="C41:H41" si="12">SUM(C43:C48)</f>
        <v>-3844293</v>
      </c>
      <c r="D41" s="517">
        <f t="shared" si="12"/>
        <v>-8224780</v>
      </c>
      <c r="E41" s="517">
        <f t="shared" si="12"/>
        <v>-13107635</v>
      </c>
      <c r="F41" s="517">
        <f t="shared" si="12"/>
        <v>-18565736</v>
      </c>
      <c r="G41" s="517">
        <f t="shared" si="12"/>
        <v>-7380981</v>
      </c>
      <c r="H41" s="517">
        <f t="shared" si="12"/>
        <v>-14072959</v>
      </c>
      <c r="I41" s="517">
        <f>SUM(I43:I48)</f>
        <v>-20874221</v>
      </c>
      <c r="J41" s="517">
        <f>SUM(J43:J48)</f>
        <v>-28842545</v>
      </c>
      <c r="K41" s="517">
        <f>SUM(K43:K48)</f>
        <v>-6766947</v>
      </c>
      <c r="L41" s="517">
        <f>SUM(L43:L48)</f>
        <v>-14099970</v>
      </c>
      <c r="M41" s="517"/>
      <c r="N41" s="517"/>
      <c r="O41" s="517"/>
      <c r="P41" s="517"/>
      <c r="Q41" s="517"/>
      <c r="R41" s="517"/>
      <c r="T41" s="517">
        <f>SUM(T43:T48)</f>
        <v>-6766947</v>
      </c>
      <c r="U41" s="517">
        <f>SUM(U43:U48)</f>
        <v>-7333023</v>
      </c>
    </row>
    <row r="42" spans="1:21">
      <c r="A42" s="509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T42" s="514"/>
      <c r="U42" s="514"/>
    </row>
    <row r="43" spans="1:21">
      <c r="A43" s="510" t="s">
        <v>493</v>
      </c>
      <c r="C43" s="515">
        <v>-2502942</v>
      </c>
      <c r="D43" s="515">
        <v>-5153736</v>
      </c>
      <c r="E43" s="515">
        <v>-7946223</v>
      </c>
      <c r="F43" s="515">
        <v>-10921316</v>
      </c>
      <c r="G43" s="515">
        <v>-4023373</v>
      </c>
      <c r="H43" s="515">
        <v>-7932754</v>
      </c>
      <c r="I43" s="515">
        <v>-12050138</v>
      </c>
      <c r="J43" s="515">
        <v>-17012953</v>
      </c>
      <c r="K43" s="515">
        <v>-4129600</v>
      </c>
      <c r="L43" s="515">
        <v>-8480451</v>
      </c>
      <c r="M43" s="515"/>
      <c r="N43" s="515"/>
      <c r="O43" s="515"/>
      <c r="P43" s="515"/>
      <c r="Q43" s="515"/>
      <c r="R43" s="515"/>
      <c r="T43" s="515">
        <f t="shared" ref="T43:T47" si="13">K43</f>
        <v>-4129600</v>
      </c>
      <c r="U43" s="515">
        <f t="shared" ref="U43:U47" si="14">L43-T43</f>
        <v>-4350851</v>
      </c>
    </row>
    <row r="44" spans="1:21">
      <c r="A44" s="510" t="s">
        <v>494</v>
      </c>
      <c r="C44" s="515">
        <v>-728259</v>
      </c>
      <c r="D44" s="515">
        <v>-1842486</v>
      </c>
      <c r="E44" s="515">
        <v>-3404095</v>
      </c>
      <c r="F44" s="515">
        <v>-5153279</v>
      </c>
      <c r="G44" s="515">
        <v>-2345389</v>
      </c>
      <c r="H44" s="515">
        <v>-4387094</v>
      </c>
      <c r="I44" s="515">
        <v>-6095659</v>
      </c>
      <c r="J44" s="515">
        <v>-8129445</v>
      </c>
      <c r="K44" s="515">
        <v>-1562777</v>
      </c>
      <c r="L44" s="515">
        <v>-3560233</v>
      </c>
      <c r="M44" s="515"/>
      <c r="N44" s="515"/>
      <c r="O44" s="515"/>
      <c r="P44" s="515"/>
      <c r="Q44" s="515"/>
      <c r="R44" s="515"/>
      <c r="T44" s="515">
        <f t="shared" si="13"/>
        <v>-1562777</v>
      </c>
      <c r="U44" s="515">
        <f t="shared" si="14"/>
        <v>-1997456</v>
      </c>
    </row>
    <row r="45" spans="1:21">
      <c r="A45" s="510" t="s">
        <v>495</v>
      </c>
      <c r="C45" s="515">
        <v>-110182</v>
      </c>
      <c r="D45" s="515">
        <v>-147000</v>
      </c>
      <c r="E45" s="515">
        <v>-118080</v>
      </c>
      <c r="F45" s="515">
        <v>-118080</v>
      </c>
      <c r="G45" s="515">
        <v>0</v>
      </c>
      <c r="H45" s="515">
        <v>0</v>
      </c>
      <c r="I45" s="515">
        <v>0</v>
      </c>
      <c r="J45" s="515">
        <v>0</v>
      </c>
      <c r="K45" s="515">
        <v>0</v>
      </c>
      <c r="L45" s="515">
        <v>0</v>
      </c>
      <c r="M45" s="515"/>
      <c r="N45" s="515"/>
      <c r="O45" s="515"/>
      <c r="P45" s="515"/>
      <c r="Q45" s="515"/>
      <c r="R45" s="515"/>
      <c r="T45" s="515">
        <f t="shared" si="13"/>
        <v>0</v>
      </c>
      <c r="U45" s="515">
        <f t="shared" si="14"/>
        <v>0</v>
      </c>
    </row>
    <row r="46" spans="1:21">
      <c r="A46" s="510" t="s">
        <v>496</v>
      </c>
      <c r="C46" s="515">
        <v>10194</v>
      </c>
      <c r="D46" s="515">
        <v>13597</v>
      </c>
      <c r="E46" s="515">
        <v>10923</v>
      </c>
      <c r="F46" s="515">
        <v>10923</v>
      </c>
      <c r="G46" s="515">
        <v>0</v>
      </c>
      <c r="H46" s="515">
        <v>0</v>
      </c>
      <c r="I46" s="515">
        <v>0</v>
      </c>
      <c r="J46" s="515">
        <v>0</v>
      </c>
      <c r="K46" s="515">
        <v>0</v>
      </c>
      <c r="L46" s="515">
        <v>0</v>
      </c>
      <c r="M46" s="515"/>
      <c r="N46" s="515"/>
      <c r="O46" s="515"/>
      <c r="P46" s="515"/>
      <c r="Q46" s="515"/>
      <c r="R46" s="515"/>
      <c r="T46" s="515">
        <f t="shared" si="13"/>
        <v>0</v>
      </c>
      <c r="U46" s="515">
        <f t="shared" si="14"/>
        <v>0</v>
      </c>
    </row>
    <row r="47" spans="1:21">
      <c r="A47" s="510" t="s">
        <v>497</v>
      </c>
      <c r="C47" s="515">
        <v>0</v>
      </c>
      <c r="D47" s="515">
        <v>0</v>
      </c>
      <c r="E47" s="515">
        <v>0</v>
      </c>
      <c r="F47" s="515">
        <v>0</v>
      </c>
      <c r="G47" s="515">
        <v>0</v>
      </c>
      <c r="H47" s="515">
        <v>0</v>
      </c>
      <c r="I47" s="515">
        <v>0</v>
      </c>
      <c r="J47" s="515">
        <v>0</v>
      </c>
      <c r="K47" s="515">
        <v>0</v>
      </c>
      <c r="L47" s="515">
        <v>0</v>
      </c>
      <c r="M47" s="515"/>
      <c r="N47" s="515"/>
      <c r="O47" s="515"/>
      <c r="P47" s="515"/>
      <c r="Q47" s="515"/>
      <c r="R47" s="515"/>
      <c r="T47" s="515">
        <f t="shared" si="13"/>
        <v>0</v>
      </c>
      <c r="U47" s="515">
        <f t="shared" si="14"/>
        <v>0</v>
      </c>
    </row>
    <row r="48" spans="1:21">
      <c r="A48" s="510" t="s">
        <v>498</v>
      </c>
      <c r="C48" s="515">
        <f t="shared" ref="C48:H48" si="15">SUM(C49:C55)</f>
        <v>-513104</v>
      </c>
      <c r="D48" s="515">
        <f t="shared" si="15"/>
        <v>-1095155</v>
      </c>
      <c r="E48" s="515">
        <f t="shared" si="15"/>
        <v>-1650160</v>
      </c>
      <c r="F48" s="515">
        <f t="shared" si="15"/>
        <v>-2383984</v>
      </c>
      <c r="G48" s="515">
        <f t="shared" si="15"/>
        <v>-1012219</v>
      </c>
      <c r="H48" s="515">
        <f t="shared" si="15"/>
        <v>-1753111</v>
      </c>
      <c r="I48" s="515">
        <f>SUM(I49:I55)</f>
        <v>-2728424</v>
      </c>
      <c r="J48" s="515">
        <f>SUM(J49:J55)</f>
        <v>-3700147</v>
      </c>
      <c r="K48" s="515">
        <f>SUM(K49:K55)</f>
        <v>-1074570</v>
      </c>
      <c r="L48" s="515">
        <f>SUM(L49:L55)</f>
        <v>-2059286</v>
      </c>
      <c r="M48" s="515"/>
      <c r="N48" s="515"/>
      <c r="O48" s="515"/>
      <c r="P48" s="515"/>
      <c r="Q48" s="515"/>
      <c r="R48" s="515"/>
      <c r="T48" s="515">
        <f>SUM(T49:T55)</f>
        <v>-1074570</v>
      </c>
      <c r="U48" s="515">
        <f>SUM(U49:U55)</f>
        <v>-984716</v>
      </c>
    </row>
    <row r="49" spans="1:22" outlineLevel="1">
      <c r="A49" s="511" t="s">
        <v>499</v>
      </c>
      <c r="C49" s="516">
        <v>-112193</v>
      </c>
      <c r="D49" s="516">
        <v>-220407</v>
      </c>
      <c r="E49" s="516">
        <v>-305680</v>
      </c>
      <c r="F49" s="516">
        <v>-399075</v>
      </c>
      <c r="G49" s="516">
        <v>-108934</v>
      </c>
      <c r="H49" s="516">
        <v>-167230</v>
      </c>
      <c r="I49" s="516">
        <v>-248256</v>
      </c>
      <c r="J49" s="516">
        <v>-370694</v>
      </c>
      <c r="K49" s="516">
        <v>-123649</v>
      </c>
      <c r="L49" s="516">
        <v>-228578</v>
      </c>
      <c r="M49" s="516"/>
      <c r="N49" s="516"/>
      <c r="O49" s="516"/>
      <c r="P49" s="516"/>
      <c r="Q49" s="516"/>
      <c r="R49" s="516"/>
      <c r="T49" s="516">
        <f t="shared" ref="T49:T55" si="16">K49</f>
        <v>-123649</v>
      </c>
      <c r="U49" s="516">
        <f t="shared" ref="U49:U55" si="17">L49-T49</f>
        <v>-104929</v>
      </c>
      <c r="V49" s="124"/>
    </row>
    <row r="50" spans="1:22" outlineLevel="1">
      <c r="A50" s="511" t="s">
        <v>500</v>
      </c>
      <c r="C50" s="516">
        <v>-20049</v>
      </c>
      <c r="D50" s="516">
        <v>-37983</v>
      </c>
      <c r="E50" s="516">
        <v>-60638</v>
      </c>
      <c r="F50" s="516">
        <v>-94222</v>
      </c>
      <c r="G50" s="516">
        <v>-25333</v>
      </c>
      <c r="H50" s="516">
        <v>-48037</v>
      </c>
      <c r="I50" s="516">
        <v>-85672</v>
      </c>
      <c r="J50" s="516">
        <v>-118436</v>
      </c>
      <c r="K50" s="516">
        <v>-28948</v>
      </c>
      <c r="L50" s="516">
        <v>-52794</v>
      </c>
      <c r="M50" s="516"/>
      <c r="N50" s="516"/>
      <c r="O50" s="516"/>
      <c r="P50" s="516"/>
      <c r="Q50" s="516"/>
      <c r="R50" s="516"/>
      <c r="T50" s="516">
        <f t="shared" si="16"/>
        <v>-28948</v>
      </c>
      <c r="U50" s="516">
        <f t="shared" si="17"/>
        <v>-23846</v>
      </c>
      <c r="V50" s="124"/>
    </row>
    <row r="51" spans="1:22" outlineLevel="1">
      <c r="A51" s="511" t="s">
        <v>501</v>
      </c>
      <c r="C51" s="516">
        <v>-121484</v>
      </c>
      <c r="D51" s="516">
        <v>-265644</v>
      </c>
      <c r="E51" s="516">
        <v>-369949</v>
      </c>
      <c r="F51" s="516">
        <v>-632566</v>
      </c>
      <c r="G51" s="516">
        <v>-404953</v>
      </c>
      <c r="H51" s="516">
        <v>-644464</v>
      </c>
      <c r="I51" s="516">
        <v>-982058</v>
      </c>
      <c r="J51" s="516">
        <v>-1285382</v>
      </c>
      <c r="K51" s="516">
        <v>-383418</v>
      </c>
      <c r="L51" s="516">
        <v>-698745</v>
      </c>
      <c r="M51" s="516"/>
      <c r="N51" s="516"/>
      <c r="O51" s="516"/>
      <c r="P51" s="516"/>
      <c r="Q51" s="516"/>
      <c r="R51" s="516"/>
      <c r="T51" s="516">
        <f t="shared" si="16"/>
        <v>-383418</v>
      </c>
      <c r="U51" s="516">
        <f t="shared" si="17"/>
        <v>-315327</v>
      </c>
      <c r="V51" s="124"/>
    </row>
    <row r="52" spans="1:22" outlineLevel="1">
      <c r="A52" s="511" t="s">
        <v>502</v>
      </c>
      <c r="C52" s="516">
        <v>-208295</v>
      </c>
      <c r="D52" s="516">
        <v>-472223</v>
      </c>
      <c r="E52" s="516">
        <v>-743900</v>
      </c>
      <c r="F52" s="516">
        <v>-1055241</v>
      </c>
      <c r="G52" s="516">
        <v>-389894</v>
      </c>
      <c r="H52" s="516">
        <v>-755380</v>
      </c>
      <c r="I52" s="516">
        <v>-1212233</v>
      </c>
      <c r="J52" s="516">
        <v>-1677607</v>
      </c>
      <c r="K52" s="516">
        <v>-465034</v>
      </c>
      <c r="L52" s="516">
        <v>-936103</v>
      </c>
      <c r="M52" s="516"/>
      <c r="N52" s="516"/>
      <c r="O52" s="516"/>
      <c r="P52" s="516"/>
      <c r="Q52" s="516"/>
      <c r="R52" s="516"/>
      <c r="T52" s="516">
        <f t="shared" si="16"/>
        <v>-465034</v>
      </c>
      <c r="U52" s="516">
        <f t="shared" si="17"/>
        <v>-471069</v>
      </c>
      <c r="V52" s="124"/>
    </row>
    <row r="53" spans="1:22" outlineLevel="1">
      <c r="A53" s="511" t="s">
        <v>503</v>
      </c>
      <c r="C53" s="516">
        <v>-33042</v>
      </c>
      <c r="D53" s="516">
        <v>-34194</v>
      </c>
      <c r="E53" s="516">
        <v>-50781</v>
      </c>
      <c r="F53" s="516">
        <v>-38269</v>
      </c>
      <c r="G53" s="516">
        <v>-7576</v>
      </c>
      <c r="H53" s="516">
        <v>-8072</v>
      </c>
      <c r="I53" s="516">
        <v>2313</v>
      </c>
      <c r="J53" s="516">
        <v>-3336</v>
      </c>
      <c r="K53" s="516">
        <v>4966</v>
      </c>
      <c r="L53" s="516">
        <v>9589</v>
      </c>
      <c r="M53" s="516"/>
      <c r="N53" s="516"/>
      <c r="O53" s="516"/>
      <c r="P53" s="516"/>
      <c r="Q53" s="516"/>
      <c r="R53" s="516"/>
      <c r="T53" s="516">
        <f t="shared" si="16"/>
        <v>4966</v>
      </c>
      <c r="U53" s="516">
        <f t="shared" si="17"/>
        <v>4623</v>
      </c>
      <c r="V53" s="124"/>
    </row>
    <row r="54" spans="1:22" outlineLevel="1">
      <c r="A54" s="511" t="s">
        <v>504</v>
      </c>
      <c r="C54" s="516">
        <v>-2113</v>
      </c>
      <c r="D54" s="516">
        <v>607</v>
      </c>
      <c r="E54" s="516">
        <v>1164</v>
      </c>
      <c r="F54" s="516">
        <v>478</v>
      </c>
      <c r="G54" s="516">
        <v>-1697</v>
      </c>
      <c r="H54" s="516">
        <v>1219</v>
      </c>
      <c r="I54" s="516">
        <v>-490</v>
      </c>
      <c r="J54" s="516">
        <v>6707</v>
      </c>
      <c r="K54" s="516">
        <v>2140</v>
      </c>
      <c r="L54" s="516">
        <v>2626</v>
      </c>
      <c r="M54" s="516"/>
      <c r="N54" s="516"/>
      <c r="O54" s="516"/>
      <c r="P54" s="516"/>
      <c r="Q54" s="516"/>
      <c r="R54" s="516"/>
      <c r="T54" s="516">
        <f t="shared" si="16"/>
        <v>2140</v>
      </c>
      <c r="U54" s="516">
        <f t="shared" si="17"/>
        <v>486</v>
      </c>
      <c r="V54" s="124"/>
    </row>
    <row r="55" spans="1:22" outlineLevel="1">
      <c r="A55" s="511" t="s">
        <v>505</v>
      </c>
      <c r="C55" s="516">
        <v>-15928</v>
      </c>
      <c r="D55" s="516">
        <v>-65311</v>
      </c>
      <c r="E55" s="516">
        <v>-120376</v>
      </c>
      <c r="F55" s="516">
        <v>-165089</v>
      </c>
      <c r="G55" s="516">
        <v>-73832</v>
      </c>
      <c r="H55" s="516">
        <v>-131147</v>
      </c>
      <c r="I55" s="516">
        <v>-202028</v>
      </c>
      <c r="J55" s="516">
        <v>-251399</v>
      </c>
      <c r="K55" s="516">
        <v>-80627</v>
      </c>
      <c r="L55" s="516">
        <v>-155281</v>
      </c>
      <c r="M55" s="516"/>
      <c r="N55" s="516"/>
      <c r="O55" s="516"/>
      <c r="P55" s="516"/>
      <c r="Q55" s="516"/>
      <c r="R55" s="516"/>
      <c r="T55" s="516">
        <f t="shared" si="16"/>
        <v>-80627</v>
      </c>
      <c r="U55" s="516">
        <f t="shared" si="17"/>
        <v>-74654</v>
      </c>
      <c r="V55" s="124"/>
    </row>
    <row r="56" spans="1:22">
      <c r="A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0"/>
      <c r="T56" s="510"/>
      <c r="U56" s="510"/>
      <c r="V56" s="124"/>
    </row>
    <row r="57" spans="1:22">
      <c r="A57" s="522" t="s">
        <v>506</v>
      </c>
      <c r="C57" s="513">
        <f t="shared" ref="C57:H57" si="18">C39+C41</f>
        <v>1998896</v>
      </c>
      <c r="D57" s="513">
        <f t="shared" si="18"/>
        <v>4158756</v>
      </c>
      <c r="E57" s="513">
        <f t="shared" si="18"/>
        <v>6107937</v>
      </c>
      <c r="F57" s="513">
        <f t="shared" si="18"/>
        <v>8566771</v>
      </c>
      <c r="G57" s="513">
        <f t="shared" si="18"/>
        <v>2795593</v>
      </c>
      <c r="H57" s="513">
        <f t="shared" si="18"/>
        <v>5558937</v>
      </c>
      <c r="I57" s="513">
        <f>I39+I41</f>
        <v>8865348</v>
      </c>
      <c r="J57" s="513">
        <f>J39+J41</f>
        <v>12142532</v>
      </c>
      <c r="K57" s="513">
        <f>K39+K41</f>
        <v>3131211</v>
      </c>
      <c r="L57" s="513">
        <f>L39+L41</f>
        <v>6285356</v>
      </c>
      <c r="M57" s="513"/>
      <c r="N57" s="513"/>
      <c r="O57" s="513"/>
      <c r="P57" s="513"/>
      <c r="Q57" s="513"/>
      <c r="R57" s="513"/>
      <c r="T57" s="513">
        <f>T39+T41</f>
        <v>3131211</v>
      </c>
      <c r="U57" s="513">
        <f>U39+U41</f>
        <v>3154145</v>
      </c>
    </row>
    <row r="58" spans="1:22">
      <c r="A58" s="510"/>
      <c r="C58" s="510"/>
      <c r="D58" s="510"/>
      <c r="E58" s="510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P58" s="510"/>
      <c r="Q58" s="510"/>
      <c r="R58" s="510"/>
      <c r="T58" s="510"/>
      <c r="U58" s="510"/>
    </row>
    <row r="59" spans="1:22">
      <c r="A59" s="509" t="s">
        <v>507</v>
      </c>
      <c r="C59" s="517">
        <f t="shared" ref="C59:H59" si="19">C61+C67+C68+C77+C78</f>
        <v>-729355</v>
      </c>
      <c r="D59" s="517">
        <f t="shared" si="19"/>
        <v>-1664752</v>
      </c>
      <c r="E59" s="517">
        <f t="shared" si="19"/>
        <v>-2432215</v>
      </c>
      <c r="F59" s="517">
        <f t="shared" si="19"/>
        <v>-3289558</v>
      </c>
      <c r="G59" s="517">
        <f t="shared" si="19"/>
        <v>-921902</v>
      </c>
      <c r="H59" s="517">
        <f t="shared" si="19"/>
        <v>-1883470</v>
      </c>
      <c r="I59" s="517">
        <f>I61+I67+I68+I77+I78</f>
        <v>-2988507</v>
      </c>
      <c r="J59" s="517">
        <f>J61+J67+J68+J77+J78</f>
        <v>-4495123</v>
      </c>
      <c r="K59" s="517">
        <f>K61+K67+K68+K77+K78</f>
        <v>-1143995</v>
      </c>
      <c r="L59" s="517">
        <f>L61+L67+L68+L77+L78</f>
        <v>-2359481</v>
      </c>
      <c r="M59" s="517"/>
      <c r="N59" s="517"/>
      <c r="O59" s="517"/>
      <c r="P59" s="517"/>
      <c r="Q59" s="517"/>
      <c r="R59" s="517"/>
      <c r="T59" s="517">
        <f>T61+T67+T68+T77+T78</f>
        <v>-1143995</v>
      </c>
      <c r="U59" s="517">
        <f>U61+U67+U68+U77+U78</f>
        <v>-1215486</v>
      </c>
    </row>
    <row r="60" spans="1:22">
      <c r="A60" s="509"/>
      <c r="C60" s="514"/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514"/>
      <c r="R60" s="514"/>
      <c r="T60" s="514"/>
      <c r="U60" s="514"/>
    </row>
    <row r="61" spans="1:22">
      <c r="A61" s="512" t="s">
        <v>508</v>
      </c>
      <c r="C61" s="515">
        <f t="shared" ref="C61:H61" si="20">SUM(C62:C66)</f>
        <v>-174055</v>
      </c>
      <c r="D61" s="515">
        <f t="shared" si="20"/>
        <v>-389406</v>
      </c>
      <c r="E61" s="515">
        <f t="shared" si="20"/>
        <v>-596929</v>
      </c>
      <c r="F61" s="515">
        <f t="shared" si="20"/>
        <v>-789078</v>
      </c>
      <c r="G61" s="515">
        <f t="shared" si="20"/>
        <v>-242005</v>
      </c>
      <c r="H61" s="515">
        <f t="shared" si="20"/>
        <v>-482904</v>
      </c>
      <c r="I61" s="515">
        <f>SUM(I62:I66)</f>
        <v>-713887</v>
      </c>
      <c r="J61" s="515">
        <f>SUM(J62:J66)</f>
        <v>-982349</v>
      </c>
      <c r="K61" s="515">
        <f t="shared" ref="K61:L61" si="21">SUM(K62:K66)</f>
        <v>-255870</v>
      </c>
      <c r="L61" s="515">
        <f t="shared" si="21"/>
        <v>-565917</v>
      </c>
      <c r="M61" s="515"/>
      <c r="N61" s="515"/>
      <c r="O61" s="515"/>
      <c r="P61" s="515"/>
      <c r="Q61" s="515"/>
      <c r="R61" s="515"/>
      <c r="T61" s="515">
        <f t="shared" ref="T61:U61" si="22">SUM(T62:T66)</f>
        <v>-255870</v>
      </c>
      <c r="U61" s="515">
        <f t="shared" si="22"/>
        <v>-310047</v>
      </c>
    </row>
    <row r="62" spans="1:22" outlineLevel="1">
      <c r="A62" s="511" t="s">
        <v>509</v>
      </c>
      <c r="C62" s="516">
        <v>-53565</v>
      </c>
      <c r="D62" s="516">
        <v>-114495</v>
      </c>
      <c r="E62" s="516">
        <v>-152028</v>
      </c>
      <c r="F62" s="516">
        <v>-186435</v>
      </c>
      <c r="G62" s="516">
        <v>-62773</v>
      </c>
      <c r="H62" s="516">
        <v>-98719</v>
      </c>
      <c r="I62" s="516">
        <v>-136672</v>
      </c>
      <c r="J62" s="516">
        <v>-206147</v>
      </c>
      <c r="K62" s="516">
        <v>-50855</v>
      </c>
      <c r="L62" s="516">
        <v>-117434</v>
      </c>
      <c r="M62" s="516"/>
      <c r="N62" s="516"/>
      <c r="O62" s="516"/>
      <c r="P62" s="516"/>
      <c r="Q62" s="516"/>
      <c r="R62" s="516"/>
      <c r="T62" s="516">
        <f t="shared" ref="T62:T67" si="23">K62</f>
        <v>-50855</v>
      </c>
      <c r="U62" s="516">
        <f t="shared" ref="U62:U67" si="24">L62-T62</f>
        <v>-66579</v>
      </c>
    </row>
    <row r="63" spans="1:22" outlineLevel="1">
      <c r="A63" s="511" t="s">
        <v>510</v>
      </c>
      <c r="C63" s="516">
        <v>-6677</v>
      </c>
      <c r="D63" s="516">
        <v>-12626</v>
      </c>
      <c r="E63" s="516">
        <v>-20771</v>
      </c>
      <c r="F63" s="516">
        <v>-30737</v>
      </c>
      <c r="G63" s="516">
        <v>-7292</v>
      </c>
      <c r="H63" s="516">
        <v>-19052</v>
      </c>
      <c r="I63" s="516">
        <v>-30547</v>
      </c>
      <c r="J63" s="516">
        <v>-42687</v>
      </c>
      <c r="K63" s="516">
        <v>-11120</v>
      </c>
      <c r="L63" s="516">
        <v>-30557</v>
      </c>
      <c r="M63" s="516"/>
      <c r="N63" s="516"/>
      <c r="O63" s="516"/>
      <c r="P63" s="516"/>
      <c r="Q63" s="516"/>
      <c r="R63" s="516"/>
      <c r="T63" s="516">
        <f t="shared" si="23"/>
        <v>-11120</v>
      </c>
      <c r="U63" s="516">
        <f t="shared" si="24"/>
        <v>-19437</v>
      </c>
    </row>
    <row r="64" spans="1:22" outlineLevel="1">
      <c r="A64" s="511" t="s">
        <v>511</v>
      </c>
      <c r="C64" s="516">
        <v>-110381</v>
      </c>
      <c r="D64" s="516">
        <v>-252529</v>
      </c>
      <c r="E64" s="516">
        <v>-411199</v>
      </c>
      <c r="F64" s="516">
        <v>-545118</v>
      </c>
      <c r="G64" s="516">
        <v>-156565</v>
      </c>
      <c r="H64" s="516">
        <v>-350996</v>
      </c>
      <c r="I64" s="516">
        <v>-528294</v>
      </c>
      <c r="J64" s="516">
        <v>-688232</v>
      </c>
      <c r="K64" s="516">
        <v>-184744</v>
      </c>
      <c r="L64" s="516">
        <v>-399175</v>
      </c>
      <c r="M64" s="516"/>
      <c r="N64" s="516"/>
      <c r="O64" s="516"/>
      <c r="P64" s="516"/>
      <c r="Q64" s="516"/>
      <c r="R64" s="516"/>
      <c r="T64" s="516">
        <f t="shared" si="23"/>
        <v>-184744</v>
      </c>
      <c r="U64" s="516">
        <f t="shared" si="24"/>
        <v>-214431</v>
      </c>
    </row>
    <row r="65" spans="1:21" outlineLevel="1">
      <c r="A65" s="511" t="s">
        <v>512</v>
      </c>
      <c r="C65" s="516">
        <v>-2371</v>
      </c>
      <c r="D65" s="516">
        <v>-4495</v>
      </c>
      <c r="E65" s="516">
        <v>-7410</v>
      </c>
      <c r="F65" s="516">
        <v>-10548</v>
      </c>
      <c r="G65" s="516">
        <v>-3249</v>
      </c>
      <c r="H65" s="516">
        <v>-6085</v>
      </c>
      <c r="I65" s="516">
        <v>-9301</v>
      </c>
      <c r="J65" s="516">
        <v>-16501</v>
      </c>
      <c r="K65" s="516">
        <v>-4441</v>
      </c>
      <c r="L65" s="516">
        <v>-9289</v>
      </c>
      <c r="M65" s="516"/>
      <c r="N65" s="516"/>
      <c r="O65" s="516"/>
      <c r="P65" s="516"/>
      <c r="Q65" s="516"/>
      <c r="R65" s="516"/>
      <c r="T65" s="516">
        <f t="shared" si="23"/>
        <v>-4441</v>
      </c>
      <c r="U65" s="516">
        <f t="shared" si="24"/>
        <v>-4848</v>
      </c>
    </row>
    <row r="66" spans="1:21" outlineLevel="1">
      <c r="A66" s="511" t="s">
        <v>513</v>
      </c>
      <c r="C66" s="516">
        <v>-1061</v>
      </c>
      <c r="D66" s="516">
        <v>-5261</v>
      </c>
      <c r="E66" s="516">
        <v>-5521</v>
      </c>
      <c r="F66" s="516">
        <v>-16240</v>
      </c>
      <c r="G66" s="516">
        <v>-12126</v>
      </c>
      <c r="H66" s="516">
        <v>-8052</v>
      </c>
      <c r="I66" s="516">
        <v>-9073</v>
      </c>
      <c r="J66" s="516">
        <v>-28782</v>
      </c>
      <c r="K66" s="516">
        <v>-4710</v>
      </c>
      <c r="L66" s="516">
        <v>-9462</v>
      </c>
      <c r="M66" s="516"/>
      <c r="N66" s="516"/>
      <c r="O66" s="516"/>
      <c r="P66" s="516"/>
      <c r="Q66" s="516"/>
      <c r="R66" s="516"/>
      <c r="T66" s="516">
        <f t="shared" si="23"/>
        <v>-4710</v>
      </c>
      <c r="U66" s="516">
        <f t="shared" si="24"/>
        <v>-4752</v>
      </c>
    </row>
    <row r="67" spans="1:21">
      <c r="A67" s="510" t="s">
        <v>514</v>
      </c>
      <c r="C67" s="518">
        <v>-125508</v>
      </c>
      <c r="D67" s="518">
        <v>-207329</v>
      </c>
      <c r="E67" s="518">
        <v>-291250</v>
      </c>
      <c r="F67" s="518">
        <v>-264995</v>
      </c>
      <c r="G67" s="518">
        <v>-131090</v>
      </c>
      <c r="H67" s="518">
        <v>-52809</v>
      </c>
      <c r="I67" s="518">
        <v>-185099</v>
      </c>
      <c r="J67" s="518">
        <v>-642522</v>
      </c>
      <c r="K67" s="518">
        <v>-154843</v>
      </c>
      <c r="L67" s="518">
        <v>-292778</v>
      </c>
      <c r="M67" s="518"/>
      <c r="N67" s="518"/>
      <c r="O67" s="518"/>
      <c r="P67" s="518"/>
      <c r="Q67" s="518"/>
      <c r="R67" s="518"/>
      <c r="T67" s="518">
        <f t="shared" si="23"/>
        <v>-154843</v>
      </c>
      <c r="U67" s="518">
        <f t="shared" si="24"/>
        <v>-137935</v>
      </c>
    </row>
    <row r="68" spans="1:21">
      <c r="A68" s="510" t="s">
        <v>515</v>
      </c>
      <c r="C68" s="515">
        <f t="shared" ref="C68:H68" si="25">SUM(C69:C76)</f>
        <v>-328011</v>
      </c>
      <c r="D68" s="515">
        <f t="shared" si="25"/>
        <v>-768912</v>
      </c>
      <c r="E68" s="515">
        <f t="shared" si="25"/>
        <v>-1131993</v>
      </c>
      <c r="F68" s="515">
        <f t="shared" si="25"/>
        <v>-1598146</v>
      </c>
      <c r="G68" s="515">
        <f t="shared" si="25"/>
        <v>-535252</v>
      </c>
      <c r="H68" s="515">
        <f t="shared" si="25"/>
        <v>-1113272</v>
      </c>
      <c r="I68" s="515">
        <f>SUM(I69:I76)</f>
        <v>-1687049</v>
      </c>
      <c r="J68" s="515">
        <f>SUM(J69:J76)</f>
        <v>-2278845</v>
      </c>
      <c r="K68" s="515">
        <f>SUM(K69:K76)</f>
        <v>-575892</v>
      </c>
      <c r="L68" s="515">
        <f>SUM(L69:L76)</f>
        <v>-1082629</v>
      </c>
      <c r="M68" s="515"/>
      <c r="N68" s="515"/>
      <c r="O68" s="515"/>
      <c r="P68" s="515"/>
      <c r="Q68" s="515"/>
      <c r="R68" s="515"/>
      <c r="T68" s="515">
        <f>SUM(T69:T76)</f>
        <v>-575892</v>
      </c>
      <c r="U68" s="515">
        <f>SUM(U69:U76)</f>
        <v>-506737</v>
      </c>
    </row>
    <row r="69" spans="1:21" outlineLevel="1">
      <c r="A69" s="511" t="s">
        <v>516</v>
      </c>
      <c r="C69" s="516">
        <v>-88589</v>
      </c>
      <c r="D69" s="516">
        <v>-182276</v>
      </c>
      <c r="E69" s="516">
        <v>-281548</v>
      </c>
      <c r="F69" s="516">
        <v>-435193</v>
      </c>
      <c r="G69" s="516">
        <v>-160046</v>
      </c>
      <c r="H69" s="516">
        <v>-402491</v>
      </c>
      <c r="I69" s="516">
        <v>-600800</v>
      </c>
      <c r="J69" s="516">
        <v>-709100</v>
      </c>
      <c r="K69" s="516">
        <v>-135111</v>
      </c>
      <c r="L69" s="516">
        <v>-276080</v>
      </c>
      <c r="M69" s="516"/>
      <c r="N69" s="516"/>
      <c r="O69" s="516"/>
      <c r="P69" s="516"/>
      <c r="Q69" s="516"/>
      <c r="R69" s="516"/>
      <c r="T69" s="516">
        <f t="shared" ref="T69:T77" si="26">K69</f>
        <v>-135111</v>
      </c>
      <c r="U69" s="516">
        <f t="shared" ref="U69:U77" si="27">L69-T69</f>
        <v>-140969</v>
      </c>
    </row>
    <row r="70" spans="1:21" outlineLevel="1">
      <c r="A70" s="511" t="s">
        <v>517</v>
      </c>
      <c r="C70" s="516">
        <v>-5383</v>
      </c>
      <c r="D70" s="516">
        <v>-9149</v>
      </c>
      <c r="E70" s="516">
        <v>-13672</v>
      </c>
      <c r="F70" s="516">
        <v>-15142</v>
      </c>
      <c r="G70" s="516">
        <v>-13222</v>
      </c>
      <c r="H70" s="516">
        <v>349</v>
      </c>
      <c r="I70" s="516">
        <v>7653</v>
      </c>
      <c r="J70" s="516">
        <v>-22113</v>
      </c>
      <c r="K70" s="516">
        <v>-797</v>
      </c>
      <c r="L70" s="516">
        <v>-3772</v>
      </c>
      <c r="M70" s="516"/>
      <c r="N70" s="516"/>
      <c r="O70" s="516"/>
      <c r="P70" s="516"/>
      <c r="Q70" s="516"/>
      <c r="R70" s="516"/>
      <c r="T70" s="516">
        <f t="shared" si="26"/>
        <v>-797</v>
      </c>
      <c r="U70" s="516">
        <f t="shared" si="27"/>
        <v>-2975</v>
      </c>
    </row>
    <row r="71" spans="1:21" outlineLevel="1">
      <c r="A71" s="511" t="s">
        <v>518</v>
      </c>
      <c r="C71" s="516">
        <v>-92712</v>
      </c>
      <c r="D71" s="516">
        <v>-205347</v>
      </c>
      <c r="E71" s="516">
        <v>-274418</v>
      </c>
      <c r="F71" s="516">
        <v>-362403</v>
      </c>
      <c r="G71" s="516">
        <v>-98756</v>
      </c>
      <c r="H71" s="516">
        <v>-170173</v>
      </c>
      <c r="I71" s="516">
        <v>-312573</v>
      </c>
      <c r="J71" s="516">
        <v>-619357</v>
      </c>
      <c r="K71" s="516">
        <v>-182495</v>
      </c>
      <c r="L71" s="516">
        <v>-344871</v>
      </c>
      <c r="M71" s="516"/>
      <c r="N71" s="516"/>
      <c r="O71" s="516"/>
      <c r="P71" s="516"/>
      <c r="Q71" s="516"/>
      <c r="R71" s="516"/>
      <c r="T71" s="516">
        <f t="shared" si="26"/>
        <v>-182495</v>
      </c>
      <c r="U71" s="516">
        <f t="shared" si="27"/>
        <v>-162376</v>
      </c>
    </row>
    <row r="72" spans="1:21" outlineLevel="1">
      <c r="A72" s="511" t="s">
        <v>519</v>
      </c>
      <c r="C72" s="516">
        <v>-301</v>
      </c>
      <c r="D72" s="516">
        <v>-2582</v>
      </c>
      <c r="E72" s="516">
        <v>-4011</v>
      </c>
      <c r="F72" s="516">
        <v>-7720</v>
      </c>
      <c r="G72" s="516">
        <v>1762</v>
      </c>
      <c r="H72" s="516">
        <v>-5729</v>
      </c>
      <c r="I72" s="516">
        <v>-12653</v>
      </c>
      <c r="J72" s="516">
        <v>-15265</v>
      </c>
      <c r="K72" s="516">
        <v>-1979</v>
      </c>
      <c r="L72" s="516">
        <v>-2851</v>
      </c>
      <c r="M72" s="516"/>
      <c r="N72" s="516"/>
      <c r="O72" s="516"/>
      <c r="P72" s="516"/>
      <c r="Q72" s="516"/>
      <c r="R72" s="516"/>
      <c r="T72" s="516">
        <f t="shared" si="26"/>
        <v>-1979</v>
      </c>
      <c r="U72" s="516">
        <f t="shared" si="27"/>
        <v>-872</v>
      </c>
    </row>
    <row r="73" spans="1:21" outlineLevel="1">
      <c r="A73" s="511" t="s">
        <v>520</v>
      </c>
      <c r="C73" s="516">
        <v>-6017</v>
      </c>
      <c r="D73" s="516">
        <v>-11787</v>
      </c>
      <c r="E73" s="516">
        <v>-697</v>
      </c>
      <c r="F73" s="516">
        <v>-5335</v>
      </c>
      <c r="G73" s="516">
        <v>-22589</v>
      </c>
      <c r="H73" s="516">
        <v>-58849</v>
      </c>
      <c r="I73" s="516">
        <v>-95101</v>
      </c>
      <c r="J73" s="516">
        <v>-101719</v>
      </c>
      <c r="K73" s="516">
        <v>-37734</v>
      </c>
      <c r="L73" s="516">
        <v>-81681</v>
      </c>
      <c r="M73" s="516"/>
      <c r="N73" s="516"/>
      <c r="O73" s="516"/>
      <c r="P73" s="516"/>
      <c r="Q73" s="516"/>
      <c r="R73" s="516"/>
      <c r="T73" s="516">
        <f t="shared" si="26"/>
        <v>-37734</v>
      </c>
      <c r="U73" s="516">
        <f t="shared" si="27"/>
        <v>-43947</v>
      </c>
    </row>
    <row r="74" spans="1:21" outlineLevel="1">
      <c r="A74" s="511" t="s">
        <v>521</v>
      </c>
      <c r="C74" s="516">
        <v>-21124</v>
      </c>
      <c r="D74" s="516">
        <v>-34568</v>
      </c>
      <c r="E74" s="516">
        <v>-62889</v>
      </c>
      <c r="F74" s="516">
        <v>-102476</v>
      </c>
      <c r="G74" s="516">
        <v>-41152</v>
      </c>
      <c r="H74" s="516">
        <v>-72641</v>
      </c>
      <c r="I74" s="516">
        <v>-95204</v>
      </c>
      <c r="J74" s="516">
        <v>-42091</v>
      </c>
      <c r="K74" s="516">
        <v>-26140</v>
      </c>
      <c r="L74" s="516">
        <v>4991</v>
      </c>
      <c r="M74" s="516"/>
      <c r="N74" s="516"/>
      <c r="O74" s="516"/>
      <c r="P74" s="516"/>
      <c r="Q74" s="516"/>
      <c r="R74" s="516"/>
      <c r="T74" s="516">
        <f t="shared" si="26"/>
        <v>-26140</v>
      </c>
      <c r="U74" s="516">
        <f t="shared" si="27"/>
        <v>31131</v>
      </c>
    </row>
    <row r="75" spans="1:21" outlineLevel="1">
      <c r="A75" s="511" t="s">
        <v>522</v>
      </c>
      <c r="C75" s="516">
        <v>-47365</v>
      </c>
      <c r="D75" s="516">
        <v>-94979</v>
      </c>
      <c r="E75" s="516">
        <v>-122422</v>
      </c>
      <c r="F75" s="516">
        <v>-154475</v>
      </c>
      <c r="G75" s="516">
        <v>-51196</v>
      </c>
      <c r="H75" s="516">
        <v>-117960</v>
      </c>
      <c r="I75" s="516">
        <v>-148766</v>
      </c>
      <c r="J75" s="516">
        <v>-195764</v>
      </c>
      <c r="K75" s="516">
        <v>-47809</v>
      </c>
      <c r="L75" s="516">
        <v>-91867</v>
      </c>
      <c r="M75" s="516"/>
      <c r="N75" s="516"/>
      <c r="O75" s="516"/>
      <c r="P75" s="516"/>
      <c r="Q75" s="516"/>
      <c r="R75" s="516"/>
      <c r="T75" s="516">
        <f t="shared" si="26"/>
        <v>-47809</v>
      </c>
      <c r="U75" s="516">
        <f t="shared" si="27"/>
        <v>-44058</v>
      </c>
    </row>
    <row r="76" spans="1:21" outlineLevel="1">
      <c r="A76" s="511" t="s">
        <v>523</v>
      </c>
      <c r="C76" s="516">
        <v>-66520</v>
      </c>
      <c r="D76" s="516">
        <v>-228224</v>
      </c>
      <c r="E76" s="516">
        <v>-372336</v>
      </c>
      <c r="F76" s="516">
        <v>-515402</v>
      </c>
      <c r="G76" s="516">
        <v>-150053</v>
      </c>
      <c r="H76" s="516">
        <v>-285778</v>
      </c>
      <c r="I76" s="516">
        <v>-429605</v>
      </c>
      <c r="J76" s="516">
        <v>-573436</v>
      </c>
      <c r="K76" s="516">
        <v>-143827</v>
      </c>
      <c r="L76" s="516">
        <v>-286498</v>
      </c>
      <c r="M76" s="516"/>
      <c r="N76" s="516"/>
      <c r="O76" s="516"/>
      <c r="P76" s="516"/>
      <c r="Q76" s="516"/>
      <c r="R76" s="516"/>
      <c r="T76" s="516">
        <f t="shared" si="26"/>
        <v>-143827</v>
      </c>
      <c r="U76" s="516">
        <f t="shared" si="27"/>
        <v>-142671</v>
      </c>
    </row>
    <row r="77" spans="1:21">
      <c r="A77" s="510" t="s">
        <v>524</v>
      </c>
      <c r="C77" s="515">
        <v>0</v>
      </c>
      <c r="D77" s="515">
        <v>0</v>
      </c>
      <c r="E77" s="515">
        <v>0</v>
      </c>
      <c r="F77" s="515">
        <v>0</v>
      </c>
      <c r="G77" s="515">
        <v>0</v>
      </c>
      <c r="H77" s="515">
        <v>0</v>
      </c>
      <c r="I77" s="515">
        <v>0</v>
      </c>
      <c r="J77" s="515"/>
      <c r="K77" s="515"/>
      <c r="L77" s="515">
        <v>0</v>
      </c>
      <c r="M77" s="515"/>
      <c r="N77" s="515"/>
      <c r="O77" s="515"/>
      <c r="P77" s="515"/>
      <c r="Q77" s="515"/>
      <c r="R77" s="515"/>
      <c r="T77" s="515">
        <f t="shared" si="26"/>
        <v>0</v>
      </c>
      <c r="U77" s="515">
        <f t="shared" si="27"/>
        <v>0</v>
      </c>
    </row>
    <row r="78" spans="1:21">
      <c r="A78" s="510" t="s">
        <v>525</v>
      </c>
      <c r="C78" s="515">
        <f t="shared" ref="C78:L78" si="28">SUM(C79:C81)</f>
        <v>-101781</v>
      </c>
      <c r="D78" s="515">
        <f t="shared" si="28"/>
        <v>-299105</v>
      </c>
      <c r="E78" s="515">
        <f t="shared" si="28"/>
        <v>-412043</v>
      </c>
      <c r="F78" s="515">
        <f t="shared" si="28"/>
        <v>-637339</v>
      </c>
      <c r="G78" s="515">
        <f t="shared" si="28"/>
        <v>-13555</v>
      </c>
      <c r="H78" s="515">
        <f t="shared" si="28"/>
        <v>-234485</v>
      </c>
      <c r="I78" s="515">
        <f t="shared" si="28"/>
        <v>-402472</v>
      </c>
      <c r="J78" s="515">
        <f t="shared" si="28"/>
        <v>-591407</v>
      </c>
      <c r="K78" s="515">
        <f t="shared" si="28"/>
        <v>-157390</v>
      </c>
      <c r="L78" s="515">
        <f t="shared" si="28"/>
        <v>-418157</v>
      </c>
      <c r="M78" s="515"/>
      <c r="N78" s="515"/>
      <c r="O78" s="515"/>
      <c r="P78" s="515"/>
      <c r="Q78" s="515"/>
      <c r="R78" s="515"/>
      <c r="T78" s="515">
        <f>SUM(T79:T81)</f>
        <v>-157390</v>
      </c>
      <c r="U78" s="515">
        <f>SUM(U79:U81)</f>
        <v>-260767</v>
      </c>
    </row>
    <row r="79" spans="1:21" outlineLevel="1">
      <c r="A79" s="511" t="s">
        <v>526</v>
      </c>
      <c r="C79" s="516">
        <v>-13637</v>
      </c>
      <c r="D79" s="516">
        <v>-62675</v>
      </c>
      <c r="E79" s="516">
        <v>-95942</v>
      </c>
      <c r="F79" s="516">
        <v>-104006</v>
      </c>
      <c r="G79" s="516">
        <v>-13440</v>
      </c>
      <c r="H79" s="516">
        <v>-33113</v>
      </c>
      <c r="I79" s="516">
        <v>-62630</v>
      </c>
      <c r="J79" s="516">
        <v>-150098</v>
      </c>
      <c r="K79" s="516">
        <v>-54183</v>
      </c>
      <c r="L79" s="516">
        <v>-59051</v>
      </c>
      <c r="M79" s="516"/>
      <c r="N79" s="516"/>
      <c r="O79" s="516"/>
      <c r="P79" s="516"/>
      <c r="Q79" s="516"/>
      <c r="R79" s="516"/>
      <c r="T79" s="516">
        <f t="shared" ref="T79:T80" si="29">K79</f>
        <v>-54183</v>
      </c>
      <c r="U79" s="516">
        <f t="shared" ref="U79:U81" si="30">L79-T79</f>
        <v>-4868</v>
      </c>
    </row>
    <row r="80" spans="1:21" outlineLevel="1">
      <c r="A80" s="511" t="s">
        <v>527</v>
      </c>
      <c r="C80" s="516">
        <v>-88144</v>
      </c>
      <c r="D80" s="516">
        <v>-236430</v>
      </c>
      <c r="E80" s="516">
        <v>-316101</v>
      </c>
      <c r="F80" s="516">
        <v>-533333</v>
      </c>
      <c r="G80" s="516">
        <v>-115</v>
      </c>
      <c r="H80" s="516">
        <v>-201372</v>
      </c>
      <c r="I80" s="516">
        <v>-339842</v>
      </c>
      <c r="J80" s="516">
        <v>-441309</v>
      </c>
      <c r="K80" s="516">
        <v>-103207</v>
      </c>
      <c r="L80" s="516">
        <v>-240853</v>
      </c>
      <c r="M80" s="516"/>
      <c r="N80" s="516"/>
      <c r="O80" s="516"/>
      <c r="P80" s="516"/>
      <c r="Q80" s="516"/>
      <c r="R80" s="516"/>
      <c r="T80" s="516">
        <f t="shared" si="29"/>
        <v>-103207</v>
      </c>
      <c r="U80" s="516">
        <f t="shared" si="30"/>
        <v>-137646</v>
      </c>
    </row>
    <row r="81" spans="1:21" outlineLevel="1">
      <c r="A81" s="511" t="s">
        <v>528</v>
      </c>
      <c r="C81" s="516"/>
      <c r="D81" s="516"/>
      <c r="E81" s="516"/>
      <c r="F81" s="516"/>
      <c r="G81" s="516"/>
      <c r="H81" s="516"/>
      <c r="I81" s="516"/>
      <c r="J81" s="516"/>
      <c r="K81" s="516"/>
      <c r="L81" s="516">
        <v>-118253</v>
      </c>
      <c r="M81" s="516"/>
      <c r="N81" s="516"/>
      <c r="O81" s="516"/>
      <c r="P81" s="516"/>
      <c r="Q81" s="516"/>
      <c r="R81" s="516"/>
      <c r="T81" s="516"/>
      <c r="U81" s="516">
        <f t="shared" si="30"/>
        <v>-118253</v>
      </c>
    </row>
    <row r="82" spans="1:21">
      <c r="A82" s="510"/>
      <c r="C82" s="510"/>
      <c r="D82" s="510"/>
      <c r="E82" s="510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0"/>
      <c r="T82" s="510"/>
      <c r="U82" s="510"/>
    </row>
    <row r="83" spans="1:21">
      <c r="A83" s="522" t="s">
        <v>529</v>
      </c>
      <c r="C83" s="513">
        <f t="shared" ref="C83:H83" si="31">C85-C75-C52-C76</f>
        <v>1591721</v>
      </c>
      <c r="D83" s="513">
        <f t="shared" si="31"/>
        <v>3289430</v>
      </c>
      <c r="E83" s="513">
        <f t="shared" si="31"/>
        <v>4914380</v>
      </c>
      <c r="F83" s="513">
        <f t="shared" si="31"/>
        <v>7002331</v>
      </c>
      <c r="G83" s="513">
        <f t="shared" si="31"/>
        <v>2464834</v>
      </c>
      <c r="H83" s="513">
        <f t="shared" si="31"/>
        <v>4834585</v>
      </c>
      <c r="I83" s="513">
        <f>I85-I75-I52-I76</f>
        <v>7667445</v>
      </c>
      <c r="J83" s="513">
        <f>J85-J75-J52-J76</f>
        <v>10094216</v>
      </c>
      <c r="K83" s="513">
        <f>K85-K75-K52-K76</f>
        <v>2643886</v>
      </c>
      <c r="L83" s="513">
        <f>L85-L75-L52-L76</f>
        <v>5240343</v>
      </c>
      <c r="M83" s="513"/>
      <c r="N83" s="513"/>
      <c r="O83" s="513"/>
      <c r="P83" s="513"/>
      <c r="Q83" s="513"/>
      <c r="R83" s="513"/>
      <c r="T83" s="513">
        <f>T85-T75-T52-T76</f>
        <v>2643886</v>
      </c>
      <c r="U83" s="513">
        <f>U85-U75-U52-U76</f>
        <v>2596457</v>
      </c>
    </row>
    <row r="84" spans="1:21">
      <c r="A84" s="510"/>
      <c r="C84" s="510"/>
      <c r="D84" s="510"/>
      <c r="E84" s="510"/>
      <c r="F84" s="510"/>
      <c r="G84" s="510"/>
      <c r="H84" s="510"/>
      <c r="I84" s="510"/>
      <c r="J84" s="510"/>
      <c r="K84" s="510"/>
      <c r="L84" s="510"/>
      <c r="M84" s="510"/>
      <c r="N84" s="510"/>
      <c r="O84" s="510"/>
      <c r="P84" s="510"/>
      <c r="Q84" s="510"/>
      <c r="R84" s="510"/>
      <c r="T84" s="510"/>
      <c r="U84" s="510"/>
    </row>
    <row r="85" spans="1:21">
      <c r="A85" s="522" t="s">
        <v>530</v>
      </c>
      <c r="C85" s="513">
        <f t="shared" ref="C85:H85" si="32">C57+C59</f>
        <v>1269541</v>
      </c>
      <c r="D85" s="513">
        <f t="shared" si="32"/>
        <v>2494004</v>
      </c>
      <c r="E85" s="513">
        <f t="shared" si="32"/>
        <v>3675722</v>
      </c>
      <c r="F85" s="513">
        <f t="shared" si="32"/>
        <v>5277213</v>
      </c>
      <c r="G85" s="513">
        <f t="shared" si="32"/>
        <v>1873691</v>
      </c>
      <c r="H85" s="513">
        <f t="shared" si="32"/>
        <v>3675467</v>
      </c>
      <c r="I85" s="513">
        <f>I57+I59</f>
        <v>5876841</v>
      </c>
      <c r="J85" s="513">
        <f>J57+J59</f>
        <v>7647409</v>
      </c>
      <c r="K85" s="513">
        <f>K57+K59</f>
        <v>1987216</v>
      </c>
      <c r="L85" s="513">
        <f>L57+L59</f>
        <v>3925875</v>
      </c>
      <c r="M85" s="513"/>
      <c r="N85" s="513"/>
      <c r="O85" s="513"/>
      <c r="P85" s="513"/>
      <c r="Q85" s="513"/>
      <c r="R85" s="513"/>
      <c r="T85" s="513">
        <f>T57+T59</f>
        <v>1987216</v>
      </c>
      <c r="U85" s="513">
        <f>U57+U59</f>
        <v>1938659</v>
      </c>
    </row>
    <row r="86" spans="1:21">
      <c r="A86" s="510"/>
      <c r="C86" s="510"/>
      <c r="D86" s="510"/>
      <c r="E86" s="510"/>
      <c r="F86" s="510"/>
      <c r="G86" s="510"/>
      <c r="H86" s="510"/>
      <c r="I86" s="510"/>
      <c r="J86" s="510"/>
      <c r="K86" s="510"/>
      <c r="L86" s="510"/>
      <c r="M86" s="510"/>
      <c r="N86" s="510"/>
      <c r="O86" s="510"/>
      <c r="P86" s="510"/>
      <c r="Q86" s="510"/>
      <c r="R86" s="510"/>
      <c r="T86" s="510"/>
      <c r="U86" s="510"/>
    </row>
    <row r="87" spans="1:21">
      <c r="A87" s="522" t="s">
        <v>531</v>
      </c>
      <c r="C87" s="513">
        <f t="shared" ref="C87:H87" si="33">C89+C98</f>
        <v>-360477</v>
      </c>
      <c r="D87" s="513">
        <f t="shared" si="33"/>
        <v>-1461204</v>
      </c>
      <c r="E87" s="513">
        <f t="shared" si="33"/>
        <v>-1906799</v>
      </c>
      <c r="F87" s="513">
        <f t="shared" si="33"/>
        <v>-2584476</v>
      </c>
      <c r="G87" s="513">
        <f t="shared" si="33"/>
        <v>-1500353</v>
      </c>
      <c r="H87" s="513">
        <f t="shared" si="33"/>
        <v>-2598176</v>
      </c>
      <c r="I87" s="513">
        <f>I89+I98</f>
        <v>-3586325</v>
      </c>
      <c r="J87" s="513">
        <f>J89+J98</f>
        <v>-4612620</v>
      </c>
      <c r="K87" s="513">
        <f>K89+K98</f>
        <v>-1275764</v>
      </c>
      <c r="L87" s="513">
        <f>L89+L98</f>
        <v>-2219919</v>
      </c>
      <c r="M87" s="513"/>
      <c r="N87" s="513"/>
      <c r="O87" s="513"/>
      <c r="P87" s="513"/>
      <c r="Q87" s="513"/>
      <c r="R87" s="513"/>
      <c r="T87" s="513">
        <f>T89+T98</f>
        <v>-1275764</v>
      </c>
      <c r="U87" s="513">
        <f>U89+U98</f>
        <v>-944155</v>
      </c>
    </row>
    <row r="88" spans="1:21">
      <c r="A88" s="509"/>
      <c r="C88" s="510"/>
      <c r="D88" s="510"/>
      <c r="E88" s="510"/>
      <c r="F88" s="510"/>
      <c r="G88" s="510"/>
      <c r="H88" s="510"/>
      <c r="I88" s="510"/>
      <c r="J88" s="510"/>
      <c r="K88" s="510"/>
      <c r="L88" s="510"/>
      <c r="M88" s="510"/>
      <c r="N88" s="510"/>
      <c r="O88" s="510"/>
      <c r="P88" s="510"/>
      <c r="Q88" s="510"/>
      <c r="R88" s="510"/>
      <c r="T88" s="510"/>
      <c r="U88" s="510"/>
    </row>
    <row r="89" spans="1:21">
      <c r="A89" s="510" t="s">
        <v>532</v>
      </c>
      <c r="C89" s="517">
        <f t="shared" ref="C89:H89" si="34">SUM(C90:C97)</f>
        <v>1338297</v>
      </c>
      <c r="D89" s="517">
        <f t="shared" si="34"/>
        <v>2000796</v>
      </c>
      <c r="E89" s="517">
        <f t="shared" si="34"/>
        <v>2773003</v>
      </c>
      <c r="F89" s="517">
        <f t="shared" si="34"/>
        <v>3498413</v>
      </c>
      <c r="G89" s="517">
        <f t="shared" si="34"/>
        <v>931568</v>
      </c>
      <c r="H89" s="517">
        <f t="shared" si="34"/>
        <v>1907414</v>
      </c>
      <c r="I89" s="517">
        <f>SUM(I90:I97)</f>
        <v>2530212</v>
      </c>
      <c r="J89" s="517">
        <f>SUM(J90:J97)</f>
        <v>3395525</v>
      </c>
      <c r="K89" s="517">
        <f>SUM(K90:K97)</f>
        <v>909857</v>
      </c>
      <c r="L89" s="517">
        <f>SUM(L90:L97)</f>
        <v>1966682</v>
      </c>
      <c r="M89" s="517"/>
      <c r="N89" s="517"/>
      <c r="O89" s="517"/>
      <c r="P89" s="517"/>
      <c r="Q89" s="517"/>
      <c r="R89" s="517"/>
      <c r="T89" s="517">
        <f>SUM(T90:T97)</f>
        <v>909857</v>
      </c>
      <c r="U89" s="517">
        <f>SUM(U90:U97)</f>
        <v>1056825</v>
      </c>
    </row>
    <row r="90" spans="1:21" outlineLevel="1">
      <c r="A90" s="511" t="s">
        <v>533</v>
      </c>
      <c r="C90" s="516">
        <v>417871</v>
      </c>
      <c r="D90" s="516">
        <v>912819</v>
      </c>
      <c r="E90" s="516">
        <v>1395621</v>
      </c>
      <c r="F90" s="516">
        <v>1865491</v>
      </c>
      <c r="G90" s="516">
        <v>546482</v>
      </c>
      <c r="H90" s="516">
        <v>1160011</v>
      </c>
      <c r="I90" s="516">
        <v>1645332</v>
      </c>
      <c r="J90" s="516">
        <v>2105453</v>
      </c>
      <c r="K90" s="516">
        <v>790399</v>
      </c>
      <c r="L90" s="516">
        <v>1798035</v>
      </c>
      <c r="M90" s="516"/>
      <c r="N90" s="516"/>
      <c r="O90" s="516"/>
      <c r="P90" s="516"/>
      <c r="Q90" s="516"/>
      <c r="R90" s="516"/>
      <c r="T90" s="516">
        <f t="shared" ref="T90:T97" si="35">K90</f>
        <v>790399</v>
      </c>
      <c r="U90" s="516">
        <f t="shared" ref="U90:U97" si="36">L90-T90</f>
        <v>1007636</v>
      </c>
    </row>
    <row r="91" spans="1:21" outlineLevel="1">
      <c r="A91" s="511" t="s">
        <v>534</v>
      </c>
      <c r="C91" s="516">
        <v>-36268</v>
      </c>
      <c r="D91" s="516">
        <v>-66458</v>
      </c>
      <c r="E91" s="516">
        <v>-106288</v>
      </c>
      <c r="F91" s="516">
        <v>-122771</v>
      </c>
      <c r="G91" s="516">
        <v>-29827</v>
      </c>
      <c r="H91" s="516">
        <v>-58089</v>
      </c>
      <c r="I91" s="516">
        <v>-89850</v>
      </c>
      <c r="J91" s="516">
        <v>-114392</v>
      </c>
      <c r="K91" s="516">
        <v>-40104</v>
      </c>
      <c r="L91" s="516">
        <v>-52646</v>
      </c>
      <c r="M91" s="516"/>
      <c r="N91" s="516"/>
      <c r="O91" s="516"/>
      <c r="P91" s="516"/>
      <c r="Q91" s="516"/>
      <c r="R91" s="516"/>
      <c r="T91" s="516">
        <f t="shared" si="35"/>
        <v>-40104</v>
      </c>
      <c r="U91" s="516">
        <f t="shared" si="36"/>
        <v>-12542</v>
      </c>
    </row>
    <row r="92" spans="1:21" outlineLevel="1">
      <c r="A92" s="511" t="s">
        <v>535</v>
      </c>
      <c r="C92" s="516">
        <v>5349</v>
      </c>
      <c r="D92" s="516">
        <v>0</v>
      </c>
      <c r="E92" s="516">
        <v>0</v>
      </c>
      <c r="F92" s="516">
        <v>0</v>
      </c>
      <c r="G92" s="516">
        <v>0</v>
      </c>
      <c r="H92" s="516">
        <v>0</v>
      </c>
      <c r="I92" s="516">
        <v>0</v>
      </c>
      <c r="J92" s="516">
        <v>0</v>
      </c>
      <c r="K92" s="516">
        <v>0</v>
      </c>
      <c r="L92" s="516">
        <v>0</v>
      </c>
      <c r="M92" s="516"/>
      <c r="N92" s="516"/>
      <c r="O92" s="516"/>
      <c r="P92" s="516"/>
      <c r="Q92" s="516"/>
      <c r="R92" s="516"/>
      <c r="T92" s="516">
        <f t="shared" si="35"/>
        <v>0</v>
      </c>
      <c r="U92" s="516">
        <f t="shared" si="36"/>
        <v>0</v>
      </c>
    </row>
    <row r="93" spans="1:21" outlineLevel="1">
      <c r="A93" s="511" t="s">
        <v>536</v>
      </c>
      <c r="C93" s="516">
        <v>156370</v>
      </c>
      <c r="D93" s="516">
        <v>386645</v>
      </c>
      <c r="E93" s="516">
        <v>622980</v>
      </c>
      <c r="F93" s="516">
        <v>743158</v>
      </c>
      <c r="G93" s="516">
        <v>103231</v>
      </c>
      <c r="H93" s="516">
        <v>212260</v>
      </c>
      <c r="I93" s="516">
        <v>312536</v>
      </c>
      <c r="J93" s="516">
        <v>417223</v>
      </c>
      <c r="K93" s="516">
        <v>103663</v>
      </c>
      <c r="L93" s="516">
        <v>222067</v>
      </c>
      <c r="M93" s="516"/>
      <c r="N93" s="516"/>
      <c r="O93" s="516"/>
      <c r="P93" s="516"/>
      <c r="Q93" s="516"/>
      <c r="R93" s="516"/>
      <c r="T93" s="516">
        <f t="shared" si="35"/>
        <v>103663</v>
      </c>
      <c r="U93" s="516">
        <f t="shared" si="36"/>
        <v>118404</v>
      </c>
    </row>
    <row r="94" spans="1:21" outlineLevel="1">
      <c r="A94" s="511" t="s">
        <v>537</v>
      </c>
      <c r="C94" s="516">
        <v>0</v>
      </c>
      <c r="D94" s="516">
        <v>0</v>
      </c>
      <c r="E94" s="516">
        <v>0</v>
      </c>
      <c r="F94" s="516">
        <v>0</v>
      </c>
      <c r="G94" s="516">
        <v>0</v>
      </c>
      <c r="H94" s="516">
        <v>0</v>
      </c>
      <c r="I94" s="516">
        <v>0</v>
      </c>
      <c r="J94" s="516">
        <v>0</v>
      </c>
      <c r="K94" s="516">
        <v>0</v>
      </c>
      <c r="L94" s="516">
        <v>0</v>
      </c>
      <c r="M94" s="516"/>
      <c r="N94" s="516"/>
      <c r="O94" s="516"/>
      <c r="P94" s="516"/>
      <c r="Q94" s="516"/>
      <c r="R94" s="516"/>
      <c r="T94" s="516">
        <f t="shared" si="35"/>
        <v>0</v>
      </c>
      <c r="U94" s="516">
        <f t="shared" si="36"/>
        <v>0</v>
      </c>
    </row>
    <row r="95" spans="1:21" outlineLevel="1">
      <c r="A95" s="511" t="s">
        <v>538</v>
      </c>
      <c r="C95" s="516">
        <v>0</v>
      </c>
      <c r="D95" s="516">
        <v>0</v>
      </c>
      <c r="E95" s="516">
        <v>0</v>
      </c>
      <c r="F95" s="516">
        <v>0</v>
      </c>
      <c r="G95" s="516">
        <v>0</v>
      </c>
      <c r="H95" s="516">
        <v>0</v>
      </c>
      <c r="I95" s="516">
        <v>0</v>
      </c>
      <c r="J95" s="516">
        <v>0</v>
      </c>
      <c r="K95" s="516">
        <v>0</v>
      </c>
      <c r="L95" s="516">
        <v>0</v>
      </c>
      <c r="M95" s="516"/>
      <c r="N95" s="516"/>
      <c r="O95" s="516"/>
      <c r="P95" s="516"/>
      <c r="Q95" s="516"/>
      <c r="R95" s="516"/>
      <c r="T95" s="516">
        <f t="shared" si="35"/>
        <v>0</v>
      </c>
      <c r="U95" s="516">
        <f t="shared" si="36"/>
        <v>0</v>
      </c>
    </row>
    <row r="96" spans="1:21" outlineLevel="1">
      <c r="A96" s="511" t="s">
        <v>539</v>
      </c>
      <c r="C96" s="516">
        <v>288430</v>
      </c>
      <c r="D96" s="516">
        <v>160429</v>
      </c>
      <c r="E96" s="516">
        <v>251815</v>
      </c>
      <c r="F96" s="516">
        <v>314577</v>
      </c>
      <c r="G96" s="516">
        <v>188884</v>
      </c>
      <c r="H96" s="516">
        <v>138310</v>
      </c>
      <c r="I96" s="516">
        <v>137840</v>
      </c>
      <c r="J96" s="516">
        <v>216257</v>
      </c>
      <c r="K96" s="516">
        <v>-583</v>
      </c>
      <c r="L96" s="516">
        <v>-61341</v>
      </c>
      <c r="M96" s="516"/>
      <c r="N96" s="516"/>
      <c r="O96" s="516"/>
      <c r="P96" s="516"/>
      <c r="Q96" s="516"/>
      <c r="R96" s="516"/>
      <c r="T96" s="516">
        <f t="shared" si="35"/>
        <v>-583</v>
      </c>
      <c r="U96" s="516">
        <f t="shared" si="36"/>
        <v>-60758</v>
      </c>
    </row>
    <row r="97" spans="1:21" outlineLevel="1">
      <c r="A97" s="511" t="s">
        <v>540</v>
      </c>
      <c r="C97" s="516">
        <v>506545</v>
      </c>
      <c r="D97" s="516">
        <v>607361</v>
      </c>
      <c r="E97" s="516">
        <v>608875</v>
      </c>
      <c r="F97" s="516">
        <v>697958</v>
      </c>
      <c r="G97" s="516">
        <v>122798</v>
      </c>
      <c r="H97" s="516">
        <v>454922</v>
      </c>
      <c r="I97" s="516">
        <v>524354</v>
      </c>
      <c r="J97" s="516">
        <v>770984</v>
      </c>
      <c r="K97" s="516">
        <v>56482</v>
      </c>
      <c r="L97" s="516">
        <v>60567</v>
      </c>
      <c r="M97" s="516"/>
      <c r="N97" s="516"/>
      <c r="O97" s="516"/>
      <c r="P97" s="516"/>
      <c r="Q97" s="516"/>
      <c r="R97" s="516"/>
      <c r="T97" s="516">
        <f t="shared" si="35"/>
        <v>56482</v>
      </c>
      <c r="U97" s="516">
        <f t="shared" si="36"/>
        <v>4085</v>
      </c>
    </row>
    <row r="98" spans="1:21">
      <c r="A98" s="510" t="s">
        <v>541</v>
      </c>
      <c r="C98" s="515">
        <f t="shared" ref="C98:H98" si="37">SUM(C99:C107)</f>
        <v>-1698774</v>
      </c>
      <c r="D98" s="515">
        <f t="shared" si="37"/>
        <v>-3462000</v>
      </c>
      <c r="E98" s="515">
        <f t="shared" si="37"/>
        <v>-4679802</v>
      </c>
      <c r="F98" s="515">
        <f t="shared" si="37"/>
        <v>-6082889</v>
      </c>
      <c r="G98" s="515">
        <f t="shared" si="37"/>
        <v>-2431921</v>
      </c>
      <c r="H98" s="515">
        <f t="shared" si="37"/>
        <v>-4505590</v>
      </c>
      <c r="I98" s="515">
        <f>SUM(I99:I107)</f>
        <v>-6116537</v>
      </c>
      <c r="J98" s="515">
        <f>SUM(J99:J107)</f>
        <v>-8008145</v>
      </c>
      <c r="K98" s="515">
        <f>SUM(K99:K107)</f>
        <v>-2185621</v>
      </c>
      <c r="L98" s="515">
        <f>SUM(L99:L107)</f>
        <v>-4186601</v>
      </c>
      <c r="M98" s="515"/>
      <c r="N98" s="515"/>
      <c r="O98" s="515"/>
      <c r="P98" s="515"/>
      <c r="Q98" s="515"/>
      <c r="R98" s="515"/>
      <c r="T98" s="515">
        <f>SUM(T99:T107)</f>
        <v>-2185621</v>
      </c>
      <c r="U98" s="515">
        <f>SUM(U99:U107)</f>
        <v>-2000980</v>
      </c>
    </row>
    <row r="99" spans="1:21" outlineLevel="1">
      <c r="A99" s="511" t="s">
        <v>542</v>
      </c>
      <c r="C99" s="516">
        <v>-554676</v>
      </c>
      <c r="D99" s="516">
        <v>-1583396</v>
      </c>
      <c r="E99" s="516">
        <v>-2248679</v>
      </c>
      <c r="F99" s="516">
        <v>-2914706</v>
      </c>
      <c r="G99" s="516">
        <v>-1143018</v>
      </c>
      <c r="H99" s="516">
        <v>-2302302</v>
      </c>
      <c r="I99" s="516">
        <v>-3483135</v>
      </c>
      <c r="J99" s="516">
        <v>-4507143</v>
      </c>
      <c r="K99" s="516">
        <v>-1070409</v>
      </c>
      <c r="L99" s="516">
        <v>-2380074</v>
      </c>
      <c r="M99" s="516"/>
      <c r="N99" s="516"/>
      <c r="O99" s="516"/>
      <c r="P99" s="516"/>
      <c r="Q99" s="516"/>
      <c r="R99" s="516"/>
      <c r="T99" s="516">
        <f t="shared" ref="T99:T107" si="38">K99</f>
        <v>-1070409</v>
      </c>
      <c r="U99" s="516">
        <f t="shared" ref="U99:U107" si="39">L99-T99</f>
        <v>-1309665</v>
      </c>
    </row>
    <row r="100" spans="1:21" outlineLevel="1">
      <c r="A100" s="511" t="s">
        <v>543</v>
      </c>
      <c r="C100" s="516">
        <v>-12994</v>
      </c>
      <c r="D100" s="516">
        <v>-25917</v>
      </c>
      <c r="E100" s="516">
        <v>-39073</v>
      </c>
      <c r="F100" s="516">
        <v>-52072</v>
      </c>
      <c r="G100" s="516">
        <v>-12439</v>
      </c>
      <c r="H100" s="516">
        <v>-24618</v>
      </c>
      <c r="I100" s="516">
        <v>-37277</v>
      </c>
      <c r="J100" s="516">
        <v>-49852</v>
      </c>
      <c r="K100" s="516">
        <v>-12437</v>
      </c>
      <c r="L100" s="516">
        <v>-24881</v>
      </c>
      <c r="M100" s="516"/>
      <c r="N100" s="516"/>
      <c r="O100" s="516"/>
      <c r="P100" s="516"/>
      <c r="Q100" s="516"/>
      <c r="R100" s="516"/>
      <c r="T100" s="516">
        <f t="shared" si="38"/>
        <v>-12437</v>
      </c>
      <c r="U100" s="516">
        <f t="shared" si="39"/>
        <v>-12444</v>
      </c>
    </row>
    <row r="101" spans="1:21" outlineLevel="1">
      <c r="A101" s="511" t="s">
        <v>544</v>
      </c>
      <c r="C101" s="516">
        <v>-661882</v>
      </c>
      <c r="D101" s="516">
        <v>-1002542</v>
      </c>
      <c r="E101" s="516">
        <v>-1122133</v>
      </c>
      <c r="F101" s="516">
        <v>-1335633</v>
      </c>
      <c r="G101" s="516">
        <v>-518449</v>
      </c>
      <c r="H101" s="516">
        <v>-1115820</v>
      </c>
      <c r="I101" s="516">
        <v>-1207094</v>
      </c>
      <c r="J101" s="516">
        <v>-1604608</v>
      </c>
      <c r="K101" s="516">
        <v>-627891</v>
      </c>
      <c r="L101" s="516">
        <v>-917510</v>
      </c>
      <c r="M101" s="516"/>
      <c r="N101" s="516"/>
      <c r="O101" s="516"/>
      <c r="P101" s="516"/>
      <c r="Q101" s="516"/>
      <c r="R101" s="516"/>
      <c r="T101" s="516">
        <f t="shared" si="38"/>
        <v>-627891</v>
      </c>
      <c r="U101" s="516">
        <f t="shared" si="39"/>
        <v>-289619</v>
      </c>
    </row>
    <row r="102" spans="1:21" outlineLevel="1">
      <c r="A102" s="511" t="s">
        <v>545</v>
      </c>
      <c r="C102" s="516">
        <v>-2005</v>
      </c>
      <c r="D102" s="516">
        <v>-3420</v>
      </c>
      <c r="E102" s="516">
        <v>-5463</v>
      </c>
      <c r="F102" s="516">
        <v>-6879</v>
      </c>
      <c r="G102" s="516">
        <v>-1984</v>
      </c>
      <c r="H102" s="516">
        <v>-3361</v>
      </c>
      <c r="I102" s="516">
        <v>-5061</v>
      </c>
      <c r="J102" s="516">
        <v>-6738</v>
      </c>
      <c r="K102" s="516">
        <v>-1678</v>
      </c>
      <c r="L102" s="516">
        <v>-3332</v>
      </c>
      <c r="M102" s="516"/>
      <c r="N102" s="516"/>
      <c r="O102" s="516"/>
      <c r="P102" s="516"/>
      <c r="Q102" s="516"/>
      <c r="R102" s="516"/>
      <c r="T102" s="516">
        <f t="shared" si="38"/>
        <v>-1678</v>
      </c>
      <c r="U102" s="516">
        <f t="shared" si="39"/>
        <v>-1654</v>
      </c>
    </row>
    <row r="103" spans="1:21" outlineLevel="1">
      <c r="A103" s="511" t="s">
        <v>546</v>
      </c>
      <c r="C103" s="516">
        <v>-58457</v>
      </c>
      <c r="D103" s="516">
        <v>-127911</v>
      </c>
      <c r="E103" s="516">
        <v>-215833</v>
      </c>
      <c r="F103" s="516">
        <v>-264002</v>
      </c>
      <c r="G103" s="516">
        <v>-65692</v>
      </c>
      <c r="H103" s="516">
        <v>-148359</v>
      </c>
      <c r="I103" s="516">
        <v>-200118</v>
      </c>
      <c r="J103" s="516">
        <v>-340748</v>
      </c>
      <c r="K103" s="516">
        <v>-82326</v>
      </c>
      <c r="L103" s="516">
        <v>-152054</v>
      </c>
      <c r="M103" s="516"/>
      <c r="N103" s="516"/>
      <c r="O103" s="516"/>
      <c r="P103" s="516"/>
      <c r="Q103" s="516"/>
      <c r="R103" s="516"/>
      <c r="T103" s="516">
        <f t="shared" si="38"/>
        <v>-82326</v>
      </c>
      <c r="U103" s="516">
        <f t="shared" si="39"/>
        <v>-69728</v>
      </c>
    </row>
    <row r="104" spans="1:21" outlineLevel="1">
      <c r="A104" s="511" t="s">
        <v>547</v>
      </c>
      <c r="C104" s="516">
        <v>-4515</v>
      </c>
      <c r="D104" s="516">
        <v>-12312</v>
      </c>
      <c r="E104" s="516">
        <v>-15414</v>
      </c>
      <c r="F104" s="516">
        <v>-26716</v>
      </c>
      <c r="G104" s="516">
        <v>-14761</v>
      </c>
      <c r="H104" s="516">
        <v>-20167</v>
      </c>
      <c r="I104" s="516">
        <v>-29414</v>
      </c>
      <c r="J104" s="516">
        <v>-44344</v>
      </c>
      <c r="K104" s="516">
        <v>-20310</v>
      </c>
      <c r="L104" s="516">
        <v>-31737</v>
      </c>
      <c r="M104" s="516"/>
      <c r="N104" s="516"/>
      <c r="O104" s="516"/>
      <c r="P104" s="516"/>
      <c r="Q104" s="516"/>
      <c r="R104" s="516"/>
      <c r="T104" s="516">
        <f t="shared" si="38"/>
        <v>-20310</v>
      </c>
      <c r="U104" s="516">
        <f t="shared" si="39"/>
        <v>-11427</v>
      </c>
    </row>
    <row r="105" spans="1:21" outlineLevel="1">
      <c r="A105" s="511" t="s">
        <v>548</v>
      </c>
      <c r="C105" s="516">
        <v>0</v>
      </c>
      <c r="D105" s="516">
        <v>0</v>
      </c>
      <c r="E105" s="516">
        <v>0</v>
      </c>
      <c r="F105" s="516">
        <v>0</v>
      </c>
      <c r="G105" s="516">
        <v>0</v>
      </c>
      <c r="H105" s="516">
        <v>0</v>
      </c>
      <c r="I105" s="516">
        <v>0</v>
      </c>
      <c r="J105" s="516">
        <v>0</v>
      </c>
      <c r="K105" s="516">
        <v>0</v>
      </c>
      <c r="L105" s="516">
        <v>0</v>
      </c>
      <c r="M105" s="516"/>
      <c r="N105" s="516"/>
      <c r="O105" s="516"/>
      <c r="P105" s="516"/>
      <c r="Q105" s="516"/>
      <c r="R105" s="516"/>
      <c r="T105" s="516">
        <f t="shared" si="38"/>
        <v>0</v>
      </c>
      <c r="U105" s="516">
        <f t="shared" si="39"/>
        <v>0</v>
      </c>
    </row>
    <row r="106" spans="1:21" outlineLevel="1">
      <c r="A106" s="511" t="s">
        <v>549</v>
      </c>
      <c r="C106" s="516">
        <v>-5930</v>
      </c>
      <c r="D106" s="516">
        <v>-11298</v>
      </c>
      <c r="E106" s="516">
        <v>-17369</v>
      </c>
      <c r="F106" s="516">
        <v>-33893</v>
      </c>
      <c r="G106" s="516">
        <v>-7738</v>
      </c>
      <c r="H106" s="516">
        <v>-15392</v>
      </c>
      <c r="I106" s="516">
        <v>-23875</v>
      </c>
      <c r="J106" s="516">
        <v>-31677</v>
      </c>
      <c r="K106" s="516">
        <v>-5003</v>
      </c>
      <c r="L106" s="516">
        <v>-10964</v>
      </c>
      <c r="M106" s="516"/>
      <c r="N106" s="516"/>
      <c r="O106" s="516"/>
      <c r="P106" s="516"/>
      <c r="Q106" s="516"/>
      <c r="R106" s="516"/>
      <c r="T106" s="516">
        <f t="shared" si="38"/>
        <v>-5003</v>
      </c>
      <c r="U106" s="516">
        <f t="shared" si="39"/>
        <v>-5961</v>
      </c>
    </row>
    <row r="107" spans="1:21" outlineLevel="1">
      <c r="A107" s="511" t="s">
        <v>550</v>
      </c>
      <c r="C107" s="516">
        <v>-398315</v>
      </c>
      <c r="D107" s="516">
        <v>-695204</v>
      </c>
      <c r="E107" s="516">
        <v>-1015838</v>
      </c>
      <c r="F107" s="516">
        <v>-1448988</v>
      </c>
      <c r="G107" s="516">
        <v>-667840</v>
      </c>
      <c r="H107" s="516">
        <v>-875571</v>
      </c>
      <c r="I107" s="516">
        <v>-1130563</v>
      </c>
      <c r="J107" s="516">
        <v>-1423035</v>
      </c>
      <c r="K107" s="516">
        <v>-365567</v>
      </c>
      <c r="L107" s="516">
        <v>-666049</v>
      </c>
      <c r="M107" s="516"/>
      <c r="N107" s="516"/>
      <c r="O107" s="516"/>
      <c r="P107" s="516"/>
      <c r="Q107" s="516"/>
      <c r="R107" s="516"/>
      <c r="T107" s="516">
        <f t="shared" si="38"/>
        <v>-365567</v>
      </c>
      <c r="U107" s="516">
        <f t="shared" si="39"/>
        <v>-300482</v>
      </c>
    </row>
    <row r="108" spans="1:21">
      <c r="A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T108" s="510"/>
      <c r="U108" s="510"/>
    </row>
    <row r="109" spans="1:21">
      <c r="A109" s="522" t="s">
        <v>551</v>
      </c>
      <c r="C109" s="513">
        <f t="shared" ref="C109:H109" si="40">C85+C87</f>
        <v>909064</v>
      </c>
      <c r="D109" s="513">
        <f t="shared" si="40"/>
        <v>1032800</v>
      </c>
      <c r="E109" s="513">
        <f t="shared" si="40"/>
        <v>1768923</v>
      </c>
      <c r="F109" s="513">
        <f t="shared" si="40"/>
        <v>2692737</v>
      </c>
      <c r="G109" s="513">
        <f t="shared" si="40"/>
        <v>373338</v>
      </c>
      <c r="H109" s="513">
        <f t="shared" si="40"/>
        <v>1077291</v>
      </c>
      <c r="I109" s="513">
        <f>I85+I87</f>
        <v>2290516</v>
      </c>
      <c r="J109" s="513">
        <f>J85+J87</f>
        <v>3034789</v>
      </c>
      <c r="K109" s="513">
        <f>K85+K87</f>
        <v>711452</v>
      </c>
      <c r="L109" s="513">
        <f>L85+L87</f>
        <v>1705956</v>
      </c>
      <c r="M109" s="513"/>
      <c r="N109" s="513"/>
      <c r="O109" s="513"/>
      <c r="P109" s="513"/>
      <c r="Q109" s="513"/>
      <c r="R109" s="513"/>
      <c r="T109" s="513">
        <f>T85+T87</f>
        <v>711452</v>
      </c>
      <c r="U109" s="513">
        <f>U85+U87</f>
        <v>994504</v>
      </c>
    </row>
    <row r="110" spans="1:21">
      <c r="A110" s="510"/>
      <c r="C110" s="510"/>
      <c r="D110" s="510"/>
      <c r="E110" s="510"/>
      <c r="F110" s="510"/>
      <c r="G110" s="510"/>
      <c r="H110" s="510"/>
      <c r="I110" s="510"/>
      <c r="J110" s="510"/>
      <c r="K110" s="510"/>
      <c r="L110" s="510"/>
      <c r="M110" s="510"/>
      <c r="N110" s="510"/>
      <c r="O110" s="510"/>
      <c r="P110" s="510"/>
      <c r="Q110" s="510"/>
      <c r="R110" s="510"/>
      <c r="T110" s="510"/>
      <c r="U110" s="510"/>
    </row>
    <row r="111" spans="1:21">
      <c r="A111" s="509" t="s">
        <v>552</v>
      </c>
      <c r="C111" s="517">
        <f t="shared" ref="C111:H111" si="41">SUM(C113:C116)</f>
        <v>-230467</v>
      </c>
      <c r="D111" s="517">
        <f t="shared" si="41"/>
        <v>-418510</v>
      </c>
      <c r="E111" s="517">
        <f t="shared" si="41"/>
        <v>-618274</v>
      </c>
      <c r="F111" s="517">
        <f t="shared" si="41"/>
        <v>-770734</v>
      </c>
      <c r="G111" s="517">
        <f t="shared" si="41"/>
        <v>-85459</v>
      </c>
      <c r="H111" s="517">
        <f t="shared" si="41"/>
        <v>-118762</v>
      </c>
      <c r="I111" s="517">
        <f>SUM(I113:I116)</f>
        <v>-404302</v>
      </c>
      <c r="J111" s="517">
        <f>SUM(J113:J116)</f>
        <v>-158505</v>
      </c>
      <c r="K111" s="517">
        <f>SUM(K113:K116)</f>
        <v>-132020</v>
      </c>
      <c r="L111" s="517">
        <f>SUM(L113:L116)</f>
        <v>-431429</v>
      </c>
      <c r="M111" s="517"/>
      <c r="N111" s="517"/>
      <c r="O111" s="517"/>
      <c r="P111" s="517"/>
      <c r="Q111" s="517"/>
      <c r="R111" s="517"/>
      <c r="T111" s="517">
        <f>SUM(T113:T116)</f>
        <v>-132020</v>
      </c>
      <c r="U111" s="517">
        <f>SUM(U113:U116)</f>
        <v>-299409</v>
      </c>
    </row>
    <row r="112" spans="1:21">
      <c r="A112" s="510"/>
      <c r="C112" s="510"/>
      <c r="D112" s="510"/>
      <c r="E112" s="510"/>
      <c r="F112" s="510"/>
      <c r="G112" s="510"/>
      <c r="H112" s="510"/>
      <c r="I112" s="510"/>
      <c r="J112" s="510"/>
      <c r="K112" s="510"/>
      <c r="L112" s="510"/>
      <c r="M112" s="510"/>
      <c r="N112" s="510"/>
      <c r="O112" s="510"/>
      <c r="P112" s="510"/>
      <c r="Q112" s="510"/>
      <c r="R112" s="510"/>
      <c r="T112" s="510"/>
      <c r="U112" s="510"/>
    </row>
    <row r="113" spans="1:21">
      <c r="A113" s="510" t="s">
        <v>553</v>
      </c>
      <c r="C113" s="518">
        <v>-87684</v>
      </c>
      <c r="D113" s="518">
        <v>-149736</v>
      </c>
      <c r="E113" s="518">
        <v>-254052</v>
      </c>
      <c r="F113" s="518">
        <v>-356508</v>
      </c>
      <c r="G113" s="518">
        <v>-98588</v>
      </c>
      <c r="H113" s="518">
        <v>-207046</v>
      </c>
      <c r="I113" s="518">
        <v>-317617</v>
      </c>
      <c r="J113" s="518">
        <v>-288255</v>
      </c>
      <c r="K113" s="518">
        <v>-71012</v>
      </c>
      <c r="L113" s="518">
        <v>-145699</v>
      </c>
      <c r="M113" s="518"/>
      <c r="N113" s="518"/>
      <c r="O113" s="518"/>
      <c r="P113" s="518"/>
      <c r="Q113" s="518"/>
      <c r="R113" s="518"/>
      <c r="T113" s="518">
        <f t="shared" ref="T113:T116" si="42">K113</f>
        <v>-71012</v>
      </c>
      <c r="U113" s="518">
        <f t="shared" ref="U113:U116" si="43">L113-T113</f>
        <v>-74687</v>
      </c>
    </row>
    <row r="114" spans="1:21">
      <c r="A114" s="510" t="s">
        <v>554</v>
      </c>
      <c r="C114" s="518">
        <v>-260158</v>
      </c>
      <c r="D114" s="518">
        <v>-435407</v>
      </c>
      <c r="E114" s="518">
        <v>-724203</v>
      </c>
      <c r="F114" s="518">
        <v>-1038100</v>
      </c>
      <c r="G114" s="518">
        <v>-284953</v>
      </c>
      <c r="H114" s="518">
        <v>-597101</v>
      </c>
      <c r="I114" s="518">
        <v>-908320</v>
      </c>
      <c r="J114" s="518">
        <v>-917279</v>
      </c>
      <c r="K114" s="518">
        <v>-215219</v>
      </c>
      <c r="L114" s="518">
        <v>-444346</v>
      </c>
      <c r="M114" s="518"/>
      <c r="N114" s="518"/>
      <c r="O114" s="518"/>
      <c r="P114" s="518"/>
      <c r="Q114" s="518"/>
      <c r="R114" s="518"/>
      <c r="T114" s="518">
        <f t="shared" si="42"/>
        <v>-215219</v>
      </c>
      <c r="U114" s="518">
        <f t="shared" si="43"/>
        <v>-229127</v>
      </c>
    </row>
    <row r="115" spans="1:21">
      <c r="A115" s="510" t="s">
        <v>555</v>
      </c>
      <c r="C115" s="518">
        <v>130814</v>
      </c>
      <c r="D115" s="518">
        <v>294475</v>
      </c>
      <c r="E115" s="518">
        <v>481998</v>
      </c>
      <c r="F115" s="518">
        <v>788949</v>
      </c>
      <c r="G115" s="518">
        <v>226845</v>
      </c>
      <c r="H115" s="518">
        <v>438945</v>
      </c>
      <c r="I115" s="518">
        <v>684095</v>
      </c>
      <c r="J115" s="518">
        <v>957177</v>
      </c>
      <c r="K115" s="518">
        <v>175948</v>
      </c>
      <c r="L115" s="518">
        <v>346566</v>
      </c>
      <c r="M115" s="518"/>
      <c r="N115" s="518"/>
      <c r="O115" s="518"/>
      <c r="P115" s="518"/>
      <c r="Q115" s="518"/>
      <c r="R115" s="518"/>
      <c r="T115" s="518">
        <f t="shared" si="42"/>
        <v>175948</v>
      </c>
      <c r="U115" s="518">
        <f t="shared" si="43"/>
        <v>170618</v>
      </c>
    </row>
    <row r="116" spans="1:21">
      <c r="A116" s="510" t="s">
        <v>556</v>
      </c>
      <c r="C116" s="518">
        <v>-13439</v>
      </c>
      <c r="D116" s="518">
        <v>-127842</v>
      </c>
      <c r="E116" s="518">
        <v>-122017</v>
      </c>
      <c r="F116" s="518">
        <v>-165075</v>
      </c>
      <c r="G116" s="518">
        <v>71237</v>
      </c>
      <c r="H116" s="518">
        <v>246440</v>
      </c>
      <c r="I116" s="518">
        <v>137540</v>
      </c>
      <c r="J116" s="518">
        <v>89852</v>
      </c>
      <c r="K116" s="518">
        <v>-21737</v>
      </c>
      <c r="L116" s="518">
        <v>-187950</v>
      </c>
      <c r="M116" s="518"/>
      <c r="N116" s="518"/>
      <c r="O116" s="518"/>
      <c r="P116" s="518"/>
      <c r="Q116" s="518"/>
      <c r="R116" s="518"/>
      <c r="T116" s="518">
        <f t="shared" si="42"/>
        <v>-21737</v>
      </c>
      <c r="U116" s="518">
        <f t="shared" si="43"/>
        <v>-166213</v>
      </c>
    </row>
    <row r="117" spans="1:21">
      <c r="A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  <c r="T117" s="510"/>
      <c r="U117" s="510"/>
    </row>
    <row r="118" spans="1:21" ht="15" thickBot="1">
      <c r="A118" s="523" t="s">
        <v>557</v>
      </c>
      <c r="C118" s="519">
        <f t="shared" ref="C118:H118" si="44">C109+C111</f>
        <v>678597</v>
      </c>
      <c r="D118" s="519">
        <f t="shared" si="44"/>
        <v>614290</v>
      </c>
      <c r="E118" s="519">
        <f t="shared" si="44"/>
        <v>1150649</v>
      </c>
      <c r="F118" s="519">
        <f t="shared" si="44"/>
        <v>1922003</v>
      </c>
      <c r="G118" s="519">
        <f t="shared" si="44"/>
        <v>287879</v>
      </c>
      <c r="H118" s="519">
        <f t="shared" si="44"/>
        <v>958529</v>
      </c>
      <c r="I118" s="519">
        <f>I109+I111</f>
        <v>1886214</v>
      </c>
      <c r="J118" s="519">
        <f>J109+J111</f>
        <v>2876284</v>
      </c>
      <c r="K118" s="519">
        <f>K109+K111</f>
        <v>579432</v>
      </c>
      <c r="L118" s="519">
        <f>L109+L111</f>
        <v>1274527</v>
      </c>
      <c r="M118" s="519"/>
      <c r="N118" s="519"/>
      <c r="O118" s="519"/>
      <c r="P118" s="519"/>
      <c r="Q118" s="519"/>
      <c r="R118" s="519"/>
      <c r="T118" s="519">
        <f>T109+T111</f>
        <v>579432</v>
      </c>
      <c r="U118" s="519">
        <f>U109+U111</f>
        <v>695095</v>
      </c>
    </row>
    <row r="119" spans="1:21" ht="15" thickTop="1">
      <c r="A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  <c r="T119" s="510"/>
      <c r="U119" s="510"/>
    </row>
    <row r="120" spans="1:21">
      <c r="K120" s="518"/>
      <c r="T120" s="518"/>
      <c r="U120" s="518"/>
    </row>
    <row r="121" spans="1:21">
      <c r="K121" s="518"/>
      <c r="T121" s="518">
        <f t="shared" ref="T121:T122" si="45">K121</f>
        <v>0</v>
      </c>
      <c r="U121" s="518"/>
    </row>
    <row r="122" spans="1:21">
      <c r="K122" s="518"/>
      <c r="T122" s="518">
        <f t="shared" si="45"/>
        <v>0</v>
      </c>
      <c r="U122" s="518"/>
    </row>
    <row r="123" spans="1:21">
      <c r="K123" s="510"/>
      <c r="T123" s="510"/>
      <c r="U123" s="510"/>
    </row>
    <row r="124" spans="1:21" ht="15" thickBot="1">
      <c r="K124" s="519">
        <f>SUM(K121:K122)</f>
        <v>0</v>
      </c>
      <c r="T124" s="519">
        <f>SUM(T121:T122)</f>
        <v>0</v>
      </c>
      <c r="U124" s="519"/>
    </row>
    <row r="125" spans="1:21" ht="15" thickTop="1"/>
    <row r="126" spans="1:21">
      <c r="T126" s="526">
        <f t="shared" ref="T126:T127" si="46">K126</f>
        <v>0</v>
      </c>
      <c r="U126" s="526"/>
    </row>
    <row r="127" spans="1:21">
      <c r="T127" s="526">
        <f t="shared" si="46"/>
        <v>0</v>
      </c>
      <c r="U127" s="526"/>
    </row>
  </sheetData>
  <phoneticPr fontId="30" type="noConversion"/>
  <pageMargins left="0.511811024" right="0.511811024" top="0.78740157499999996" bottom="0.78740157499999996" header="0.31496062000000002" footer="0.31496062000000002"/>
  <ignoredErrors>
    <ignoredError sqref="S78:U78" formula="1"/>
  </ignoredError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2060"/>
  </sheetPr>
  <dimension ref="B4:AF8"/>
  <sheetViews>
    <sheetView showGridLines="0" zoomScale="85" zoomScaleNormal="85" workbookViewId="0"/>
  </sheetViews>
  <sheetFormatPr defaultRowHeight="14.5"/>
  <cols>
    <col min="2" max="2" width="1.453125" customWidth="1"/>
    <col min="8" max="8" width="2" customWidth="1"/>
    <col min="13" max="13" width="2" customWidth="1"/>
    <col min="18" max="18" width="2" customWidth="1"/>
    <col min="23" max="23" width="2" customWidth="1"/>
    <col min="28" max="28" width="2" customWidth="1"/>
  </cols>
  <sheetData>
    <row r="4" spans="2:32" s="1" customFormat="1" ht="32.5" customHeight="1">
      <c r="B4" s="2" t="s">
        <v>582</v>
      </c>
    </row>
    <row r="8" spans="2:32" ht="30" customHeight="1">
      <c r="D8" s="35" t="s">
        <v>5</v>
      </c>
      <c r="E8" s="36"/>
      <c r="F8" s="36"/>
      <c r="G8" s="36"/>
      <c r="I8" s="35" t="s">
        <v>450</v>
      </c>
      <c r="J8" s="36"/>
      <c r="K8" s="36"/>
      <c r="L8" s="36"/>
      <c r="N8" s="35" t="s">
        <v>6</v>
      </c>
      <c r="O8" s="36"/>
      <c r="P8" s="36"/>
      <c r="Q8" s="36"/>
      <c r="S8" s="35" t="s">
        <v>7</v>
      </c>
      <c r="T8" s="36"/>
      <c r="U8" s="36"/>
      <c r="V8" s="36"/>
      <c r="X8" s="35" t="s">
        <v>451</v>
      </c>
      <c r="Y8" s="36"/>
      <c r="Z8" s="36"/>
      <c r="AA8" s="36"/>
      <c r="AC8" s="35" t="s">
        <v>583</v>
      </c>
      <c r="AD8" s="36"/>
      <c r="AE8" s="36"/>
      <c r="AF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 tint="0.79998168889431442"/>
  </sheetPr>
  <dimension ref="A7:AV47"/>
  <sheetViews>
    <sheetView showGridLines="0" zoomScaleNormal="100" workbookViewId="0">
      <pane xSplit="1" ySplit="8" topLeftCell="AN17" activePane="bottomRight" state="frozen"/>
      <selection pane="topRight" activeCell="AN17" sqref="AN17"/>
      <selection pane="bottomLeft" activeCell="AN17" sqref="AN17"/>
      <selection pane="bottomRight" activeCell="AN17" sqref="AN17"/>
    </sheetView>
  </sheetViews>
  <sheetFormatPr defaultColWidth="9.1796875" defaultRowHeight="14.5" outlineLevelCol="1"/>
  <cols>
    <col min="1" max="1" width="44.453125" style="37" bestFit="1" customWidth="1"/>
    <col min="2" max="2" width="0.7265625" style="37" customWidth="1"/>
    <col min="3" max="38" width="9.1796875" style="37" hidden="1" customWidth="1" outlineLevel="1"/>
    <col min="39" max="39" width="9.1796875" style="37" collapsed="1"/>
    <col min="40" max="16384" width="9.1796875" style="37"/>
  </cols>
  <sheetData>
    <row r="7" spans="1:48">
      <c r="A7" s="41" t="s">
        <v>584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</row>
    <row r="8" spans="1:48" ht="15" thickBot="1">
      <c r="A8" s="544" t="s">
        <v>585</v>
      </c>
      <c r="C8" s="545" t="s">
        <v>9</v>
      </c>
      <c r="D8" s="563" t="s">
        <v>10</v>
      </c>
      <c r="E8" s="545" t="s">
        <v>11</v>
      </c>
      <c r="F8" s="563" t="s">
        <v>12</v>
      </c>
      <c r="G8" s="545" t="s">
        <v>13</v>
      </c>
      <c r="H8" s="563" t="s">
        <v>14</v>
      </c>
      <c r="I8" s="545" t="s">
        <v>15</v>
      </c>
      <c r="J8" s="563" t="s">
        <v>16</v>
      </c>
      <c r="K8" s="545" t="s">
        <v>17</v>
      </c>
      <c r="L8" s="563" t="s">
        <v>18</v>
      </c>
      <c r="M8" s="545" t="s">
        <v>19</v>
      </c>
      <c r="N8" s="563" t="s">
        <v>20</v>
      </c>
      <c r="O8" s="545" t="s">
        <v>21</v>
      </c>
      <c r="P8" s="563" t="s">
        <v>22</v>
      </c>
      <c r="Q8" s="545" t="s">
        <v>23</v>
      </c>
      <c r="R8" s="563" t="s">
        <v>24</v>
      </c>
      <c r="S8" s="545" t="s">
        <v>25</v>
      </c>
      <c r="T8" s="563" t="s">
        <v>26</v>
      </c>
      <c r="U8" s="545" t="s">
        <v>27</v>
      </c>
      <c r="V8" s="563" t="s">
        <v>28</v>
      </c>
      <c r="W8" s="545" t="s">
        <v>29</v>
      </c>
      <c r="X8" s="545" t="s">
        <v>30</v>
      </c>
      <c r="Y8" s="545" t="s">
        <v>31</v>
      </c>
      <c r="Z8" s="545" t="s">
        <v>32</v>
      </c>
      <c r="AA8" s="545" t="s">
        <v>33</v>
      </c>
      <c r="AB8" s="545" t="s">
        <v>34</v>
      </c>
      <c r="AC8" s="546" t="s">
        <v>35</v>
      </c>
      <c r="AD8" s="545" t="s">
        <v>36</v>
      </c>
      <c r="AE8" s="545" t="s">
        <v>37</v>
      </c>
      <c r="AF8" s="545" t="s">
        <v>38</v>
      </c>
      <c r="AG8" s="546" t="s">
        <v>39</v>
      </c>
      <c r="AH8" s="546" t="s">
        <v>40</v>
      </c>
      <c r="AI8" s="546" t="s">
        <v>41</v>
      </c>
      <c r="AJ8" s="546" t="s">
        <v>42</v>
      </c>
      <c r="AK8" s="546" t="s">
        <v>43</v>
      </c>
      <c r="AL8" s="546" t="s">
        <v>44</v>
      </c>
      <c r="AM8" s="546" t="s">
        <v>45</v>
      </c>
      <c r="AN8" s="546" t="s">
        <v>46</v>
      </c>
      <c r="AO8" s="546" t="s">
        <v>47</v>
      </c>
      <c r="AP8" s="546" t="s">
        <v>48</v>
      </c>
      <c r="AQ8" s="546" t="s">
        <v>49</v>
      </c>
      <c r="AR8" s="546" t="s">
        <v>50</v>
      </c>
      <c r="AS8" s="556" t="s">
        <v>51</v>
      </c>
      <c r="AT8" s="556" t="s">
        <v>52</v>
      </c>
      <c r="AU8" s="556" t="s">
        <v>53</v>
      </c>
      <c r="AV8" s="556" t="s">
        <v>54</v>
      </c>
    </row>
    <row r="9" spans="1:48" ht="15" thickBot="1">
      <c r="A9" s="140" t="s">
        <v>465</v>
      </c>
      <c r="C9" s="319">
        <f>SUM(C10:C13)</f>
        <v>626424</v>
      </c>
      <c r="D9" s="319">
        <f t="shared" ref="D9:AR9" si="0">SUM(D10:D13)</f>
        <v>614416.38441000006</v>
      </c>
      <c r="E9" s="319">
        <f t="shared" si="0"/>
        <v>614963.54881000018</v>
      </c>
      <c r="F9" s="319">
        <f t="shared" si="0"/>
        <v>686408.18412000011</v>
      </c>
      <c r="G9" s="319">
        <f t="shared" si="0"/>
        <v>631615.85896999994</v>
      </c>
      <c r="H9" s="319">
        <f t="shared" si="0"/>
        <v>653889.14103000017</v>
      </c>
      <c r="I9" s="319">
        <f t="shared" si="0"/>
        <v>719264.91234000027</v>
      </c>
      <c r="J9" s="319">
        <f t="shared" si="0"/>
        <v>1167281.7308800002</v>
      </c>
      <c r="K9" s="319">
        <f t="shared" si="0"/>
        <v>860737</v>
      </c>
      <c r="L9" s="319">
        <f t="shared" si="0"/>
        <v>854470</v>
      </c>
      <c r="M9" s="319">
        <f t="shared" si="0"/>
        <v>950320.11650999868</v>
      </c>
      <c r="N9" s="319">
        <f t="shared" si="0"/>
        <v>1084277.4538300021</v>
      </c>
      <c r="O9" s="319">
        <f t="shared" si="0"/>
        <v>986234.24057000014</v>
      </c>
      <c r="P9" s="319">
        <f t="shared" si="0"/>
        <v>961594.61793000018</v>
      </c>
      <c r="Q9" s="319">
        <f t="shared" si="0"/>
        <v>1057758.4452800001</v>
      </c>
      <c r="R9" s="319">
        <f t="shared" si="0"/>
        <v>1190313.4544399998</v>
      </c>
      <c r="S9" s="319">
        <f t="shared" si="0"/>
        <v>942072.01203999983</v>
      </c>
      <c r="T9" s="319">
        <f t="shared" si="0"/>
        <v>1127189</v>
      </c>
      <c r="U9" s="319">
        <f t="shared" si="0"/>
        <v>1254887</v>
      </c>
      <c r="V9" s="319">
        <f t="shared" si="0"/>
        <v>1357997.7</v>
      </c>
      <c r="W9" s="319">
        <f t="shared" si="0"/>
        <v>1230896</v>
      </c>
      <c r="X9" s="319">
        <f t="shared" si="0"/>
        <v>1263506</v>
      </c>
      <c r="Y9" s="319">
        <f t="shared" si="0"/>
        <v>1400057</v>
      </c>
      <c r="Z9" s="319">
        <f t="shared" si="0"/>
        <v>1376435</v>
      </c>
      <c r="AA9" s="319">
        <f t="shared" si="0"/>
        <v>1241693</v>
      </c>
      <c r="AB9" s="319">
        <f t="shared" si="0"/>
        <v>1280973</v>
      </c>
      <c r="AC9" s="319">
        <f t="shared" si="0"/>
        <v>1319076</v>
      </c>
      <c r="AD9" s="319">
        <f t="shared" si="0"/>
        <v>1439049</v>
      </c>
      <c r="AE9" s="319">
        <f t="shared" si="0"/>
        <v>1245076</v>
      </c>
      <c r="AF9" s="319">
        <f t="shared" si="0"/>
        <v>1090881</v>
      </c>
      <c r="AG9" s="319">
        <f t="shared" si="0"/>
        <v>1397686</v>
      </c>
      <c r="AH9" s="319">
        <f t="shared" si="0"/>
        <v>1732527</v>
      </c>
      <c r="AI9" s="319">
        <f t="shared" si="0"/>
        <v>1460485</v>
      </c>
      <c r="AJ9" s="319">
        <f t="shared" si="0"/>
        <v>1386391</v>
      </c>
      <c r="AK9" s="319">
        <f t="shared" si="0"/>
        <v>1992140</v>
      </c>
      <c r="AL9" s="319">
        <f t="shared" si="0"/>
        <v>2243562</v>
      </c>
      <c r="AM9" s="319">
        <f t="shared" si="0"/>
        <v>1512745</v>
      </c>
      <c r="AN9" s="319">
        <f t="shared" si="0"/>
        <v>1621748</v>
      </c>
      <c r="AO9" s="319">
        <f t="shared" si="0"/>
        <v>1613586</v>
      </c>
      <c r="AP9" s="319">
        <f t="shared" si="0"/>
        <v>1882683</v>
      </c>
      <c r="AQ9" s="319">
        <f t="shared" si="0"/>
        <v>1638410</v>
      </c>
      <c r="AR9" s="319">
        <f t="shared" si="0"/>
        <v>1747926</v>
      </c>
      <c r="AS9" s="319">
        <f>SUM(AS10:AS13)</f>
        <v>1973674.753</v>
      </c>
      <c r="AT9" s="319">
        <f>SUM(AT10:AT13)</f>
        <v>2183563.0350000001</v>
      </c>
      <c r="AU9" s="319">
        <f>SUM(AU10:AU13)</f>
        <v>1877206.0110000002</v>
      </c>
      <c r="AV9" s="319">
        <f>SUM(AV10:AV13)</f>
        <v>2063230.797</v>
      </c>
    </row>
    <row r="10" spans="1:48">
      <c r="A10" s="137" t="s">
        <v>586</v>
      </c>
      <c r="C10" s="320">
        <v>513324</v>
      </c>
      <c r="D10" s="320">
        <v>520291.55387000006</v>
      </c>
      <c r="E10" s="320">
        <v>542021.40479000018</v>
      </c>
      <c r="F10" s="320">
        <v>525454.14749000012</v>
      </c>
      <c r="G10" s="320">
        <v>498499.73233999993</v>
      </c>
      <c r="H10" s="320">
        <v>533353.26766000013</v>
      </c>
      <c r="I10" s="320">
        <v>595438.19998000027</v>
      </c>
      <c r="J10" s="320">
        <v>1052143.52654</v>
      </c>
      <c r="K10" s="320">
        <v>745712</v>
      </c>
      <c r="L10" s="320">
        <v>759988</v>
      </c>
      <c r="M10" s="320">
        <v>834572.69127999875</v>
      </c>
      <c r="N10" s="320">
        <v>905084.34483000217</v>
      </c>
      <c r="O10" s="320">
        <v>809833.71102000005</v>
      </c>
      <c r="P10" s="320">
        <v>791536.27199000027</v>
      </c>
      <c r="Q10" s="320">
        <v>867531.94495000003</v>
      </c>
      <c r="R10" s="320">
        <v>1020093.6375899999</v>
      </c>
      <c r="S10" s="320">
        <v>803735.63104999973</v>
      </c>
      <c r="T10" s="320">
        <v>1013159</v>
      </c>
      <c r="U10" s="320">
        <v>1092028</v>
      </c>
      <c r="V10" s="320">
        <v>1202577</v>
      </c>
      <c r="W10" s="320">
        <v>969173</v>
      </c>
      <c r="X10" s="320">
        <v>1109352</v>
      </c>
      <c r="Y10" s="320">
        <v>1236208</v>
      </c>
      <c r="Z10" s="320">
        <v>1191253</v>
      </c>
      <c r="AA10" s="320">
        <v>1116485</v>
      </c>
      <c r="AB10" s="320">
        <v>1135586</v>
      </c>
      <c r="AC10" s="321">
        <v>1179604</v>
      </c>
      <c r="AD10" s="321">
        <v>1232358</v>
      </c>
      <c r="AE10" s="321">
        <v>1064497</v>
      </c>
      <c r="AF10" s="321">
        <v>916742</v>
      </c>
      <c r="AG10" s="321">
        <v>1232779</v>
      </c>
      <c r="AH10" s="321">
        <v>1436738</v>
      </c>
      <c r="AI10" s="321">
        <v>1210335</v>
      </c>
      <c r="AJ10" s="321">
        <v>1245504</v>
      </c>
      <c r="AK10" s="321">
        <v>1668696</v>
      </c>
      <c r="AL10" s="321">
        <v>1669884</v>
      </c>
      <c r="AM10" s="321">
        <v>1177051</v>
      </c>
      <c r="AN10" s="321">
        <v>1241905</v>
      </c>
      <c r="AO10" s="321">
        <v>1317627</v>
      </c>
      <c r="AP10" s="322">
        <v>1437171</v>
      </c>
      <c r="AQ10" s="322">
        <v>1336610</v>
      </c>
      <c r="AR10" s="322">
        <v>1425721</v>
      </c>
      <c r="AS10" s="323">
        <v>1538121.929</v>
      </c>
      <c r="AT10" s="323">
        <v>1648222.16</v>
      </c>
      <c r="AU10" s="323">
        <v>1495093.09</v>
      </c>
      <c r="AV10" s="323">
        <v>1635280.4950000001</v>
      </c>
    </row>
    <row r="11" spans="1:48">
      <c r="A11" s="137" t="s">
        <v>468</v>
      </c>
      <c r="C11" s="320">
        <v>24776</v>
      </c>
      <c r="D11" s="320">
        <v>24094.197650000002</v>
      </c>
      <c r="E11" s="320">
        <v>5970.2228000000032</v>
      </c>
      <c r="F11" s="320">
        <v>6887.0060599999852</v>
      </c>
      <c r="G11" s="320">
        <v>27152.44586</v>
      </c>
      <c r="H11" s="320">
        <v>2788.5541400000002</v>
      </c>
      <c r="I11" s="320">
        <v>315.84540999999808</v>
      </c>
      <c r="J11" s="320">
        <v>9008.0691699999916</v>
      </c>
      <c r="K11" s="320">
        <v>4851</v>
      </c>
      <c r="L11" s="320">
        <v>739</v>
      </c>
      <c r="M11" s="320">
        <v>2269.5153899999996</v>
      </c>
      <c r="N11" s="320">
        <v>3201.5187399999986</v>
      </c>
      <c r="O11" s="320">
        <v>16712.394390000001</v>
      </c>
      <c r="P11" s="320">
        <v>15102.483209999999</v>
      </c>
      <c r="Q11" s="320">
        <v>15191.030709999999</v>
      </c>
      <c r="R11" s="320">
        <v>3228.981270000007</v>
      </c>
      <c r="S11" s="320">
        <v>8278.9912899999999</v>
      </c>
      <c r="T11" s="320">
        <v>1560</v>
      </c>
      <c r="U11" s="320">
        <v>906</v>
      </c>
      <c r="V11" s="320">
        <v>5318</v>
      </c>
      <c r="W11" s="320">
        <v>168323</v>
      </c>
      <c r="X11" s="320">
        <v>14636</v>
      </c>
      <c r="Y11" s="320">
        <v>22692</v>
      </c>
      <c r="Z11" s="320">
        <v>5529</v>
      </c>
      <c r="AA11" s="320">
        <v>4732</v>
      </c>
      <c r="AB11" s="320">
        <v>1857</v>
      </c>
      <c r="AC11" s="321">
        <v>8288</v>
      </c>
      <c r="AD11" s="321">
        <v>1199</v>
      </c>
      <c r="AE11" s="321">
        <v>19736</v>
      </c>
      <c r="AF11" s="321">
        <v>5955</v>
      </c>
      <c r="AG11" s="321">
        <v>1597</v>
      </c>
      <c r="AH11" s="321">
        <v>3732</v>
      </c>
      <c r="AI11" s="321">
        <v>6762</v>
      </c>
      <c r="AJ11" s="321">
        <v>14011</v>
      </c>
      <c r="AK11" s="321">
        <v>25809</v>
      </c>
      <c r="AL11" s="321">
        <v>70294</v>
      </c>
      <c r="AM11" s="321">
        <v>12542</v>
      </c>
      <c r="AN11" s="321">
        <v>2250</v>
      </c>
      <c r="AO11" s="321">
        <v>867</v>
      </c>
      <c r="AP11" s="322">
        <v>6753</v>
      </c>
      <c r="AQ11" s="322">
        <v>5126</v>
      </c>
      <c r="AR11" s="322">
        <v>343</v>
      </c>
      <c r="AS11" s="323">
        <v>2400.2739999999999</v>
      </c>
      <c r="AT11" s="323">
        <v>135.86099999999999</v>
      </c>
      <c r="AU11" s="323">
        <v>459.85899999999998</v>
      </c>
      <c r="AV11" s="323">
        <v>4438.6790000000001</v>
      </c>
    </row>
    <row r="12" spans="1:48">
      <c r="A12" s="137" t="s">
        <v>470</v>
      </c>
      <c r="C12" s="320">
        <v>80938</v>
      </c>
      <c r="D12" s="320">
        <v>62592.461889999977</v>
      </c>
      <c r="E12" s="320">
        <v>59043.72431000002</v>
      </c>
      <c r="F12" s="320">
        <v>105336.87851000001</v>
      </c>
      <c r="G12" s="320">
        <v>85467.940920000008</v>
      </c>
      <c r="H12" s="320">
        <v>98297.059079999992</v>
      </c>
      <c r="I12" s="320">
        <v>105419.87208</v>
      </c>
      <c r="J12" s="320">
        <v>93173.212040000013</v>
      </c>
      <c r="K12" s="320">
        <v>90366</v>
      </c>
      <c r="L12" s="320">
        <v>71758</v>
      </c>
      <c r="M12" s="320">
        <v>99409.160029999999</v>
      </c>
      <c r="N12" s="320">
        <v>162865.06043000007</v>
      </c>
      <c r="O12" s="320">
        <v>153997.04321</v>
      </c>
      <c r="P12" s="320">
        <v>141808.5624</v>
      </c>
      <c r="Q12" s="320">
        <v>165701.63649999999</v>
      </c>
      <c r="R12" s="320">
        <v>146269.27710000004</v>
      </c>
      <c r="S12" s="320">
        <v>139625.28456</v>
      </c>
      <c r="T12" s="320">
        <v>87943</v>
      </c>
      <c r="U12" s="320">
        <v>89243</v>
      </c>
      <c r="V12" s="320">
        <v>110192.7</v>
      </c>
      <c r="W12" s="320">
        <v>70310</v>
      </c>
      <c r="X12" s="320">
        <v>101767</v>
      </c>
      <c r="Y12" s="320">
        <v>94687</v>
      </c>
      <c r="Z12" s="320">
        <v>111509</v>
      </c>
      <c r="AA12" s="320">
        <v>79932</v>
      </c>
      <c r="AB12" s="320">
        <v>100988</v>
      </c>
      <c r="AC12" s="321">
        <v>93306</v>
      </c>
      <c r="AD12" s="321">
        <v>135157</v>
      </c>
      <c r="AE12" s="321">
        <v>134536</v>
      </c>
      <c r="AF12" s="321">
        <v>130240</v>
      </c>
      <c r="AG12" s="321">
        <v>108255</v>
      </c>
      <c r="AH12" s="321">
        <v>187713</v>
      </c>
      <c r="AI12" s="321">
        <v>136841</v>
      </c>
      <c r="AJ12" s="324">
        <v>72451</v>
      </c>
      <c r="AK12" s="324">
        <v>159568</v>
      </c>
      <c r="AL12" s="324">
        <v>175159</v>
      </c>
      <c r="AM12" s="324">
        <v>140638</v>
      </c>
      <c r="AN12" s="324">
        <v>242771</v>
      </c>
      <c r="AO12" s="321">
        <v>285898</v>
      </c>
      <c r="AP12" s="322">
        <v>283332</v>
      </c>
      <c r="AQ12" s="322">
        <v>197896</v>
      </c>
      <c r="AR12" s="322">
        <v>232172</v>
      </c>
      <c r="AS12" s="323">
        <v>323577.005</v>
      </c>
      <c r="AT12" s="323">
        <v>290898.36099999998</v>
      </c>
      <c r="AU12" s="323">
        <v>220141.641</v>
      </c>
      <c r="AV12" s="323">
        <v>290485.43099999998</v>
      </c>
    </row>
    <row r="13" spans="1:48" ht="15" thickBot="1">
      <c r="A13" s="137" t="s">
        <v>474</v>
      </c>
      <c r="C13" s="320">
        <v>7386</v>
      </c>
      <c r="D13" s="320">
        <v>7438.1710000000003</v>
      </c>
      <c r="E13" s="320">
        <v>7928.1969100000042</v>
      </c>
      <c r="F13" s="320">
        <v>48730.152059999993</v>
      </c>
      <c r="G13" s="320">
        <v>20495.739850000002</v>
      </c>
      <c r="H13" s="320">
        <v>19450.260149999998</v>
      </c>
      <c r="I13" s="320">
        <v>18090.994870000002</v>
      </c>
      <c r="J13" s="320">
        <v>12956.923129999996</v>
      </c>
      <c r="K13" s="320">
        <v>19808</v>
      </c>
      <c r="L13" s="320">
        <v>21985</v>
      </c>
      <c r="M13" s="320">
        <v>14068.749810000001</v>
      </c>
      <c r="N13" s="320">
        <v>13126.529829999992</v>
      </c>
      <c r="O13" s="320">
        <v>5691.09195</v>
      </c>
      <c r="P13" s="320">
        <v>13147.300330000002</v>
      </c>
      <c r="Q13" s="320">
        <v>9333.8331199999993</v>
      </c>
      <c r="R13" s="320">
        <v>20721.558479999985</v>
      </c>
      <c r="S13" s="320">
        <v>-9567.8948600000022</v>
      </c>
      <c r="T13" s="320">
        <v>24527</v>
      </c>
      <c r="U13" s="320">
        <v>72710</v>
      </c>
      <c r="V13" s="320">
        <v>39910</v>
      </c>
      <c r="W13" s="320">
        <v>23090</v>
      </c>
      <c r="X13" s="320">
        <v>37751</v>
      </c>
      <c r="Y13" s="320">
        <v>46470</v>
      </c>
      <c r="Z13" s="320">
        <v>68144</v>
      </c>
      <c r="AA13" s="320">
        <v>40544</v>
      </c>
      <c r="AB13" s="320">
        <v>42542</v>
      </c>
      <c r="AC13" s="321">
        <v>37878</v>
      </c>
      <c r="AD13" s="321">
        <v>70335</v>
      </c>
      <c r="AE13" s="321">
        <v>26307</v>
      </c>
      <c r="AF13" s="321">
        <v>37944</v>
      </c>
      <c r="AG13" s="321">
        <v>55055</v>
      </c>
      <c r="AH13" s="321">
        <v>104344</v>
      </c>
      <c r="AI13" s="321">
        <v>106547</v>
      </c>
      <c r="AJ13" s="324">
        <v>54425</v>
      </c>
      <c r="AK13" s="324">
        <v>138067</v>
      </c>
      <c r="AL13" s="324">
        <v>328225</v>
      </c>
      <c r="AM13" s="324">
        <v>182514</v>
      </c>
      <c r="AN13" s="324">
        <v>134822</v>
      </c>
      <c r="AO13" s="321">
        <v>9194</v>
      </c>
      <c r="AP13" s="322">
        <v>155427</v>
      </c>
      <c r="AQ13" s="322">
        <v>98778</v>
      </c>
      <c r="AR13" s="322">
        <v>89690</v>
      </c>
      <c r="AS13" s="323">
        <v>109575.545</v>
      </c>
      <c r="AT13" s="323">
        <v>244306.65299999999</v>
      </c>
      <c r="AU13" s="323">
        <v>161511.421</v>
      </c>
      <c r="AV13" s="323">
        <v>133026.19199999998</v>
      </c>
    </row>
    <row r="14" spans="1:48" ht="15" thickBot="1">
      <c r="A14" s="140" t="s">
        <v>587</v>
      </c>
      <c r="C14" s="319">
        <v>-137470</v>
      </c>
      <c r="D14" s="319">
        <v>-140099.10317999998</v>
      </c>
      <c r="E14" s="319">
        <v>-145201.19839000009</v>
      </c>
      <c r="F14" s="319">
        <v>-150668.22579</v>
      </c>
      <c r="G14" s="319">
        <v>-141494.45685000002</v>
      </c>
      <c r="H14" s="319">
        <v>-142747.54314999998</v>
      </c>
      <c r="I14" s="319">
        <v>-174318.47358999995</v>
      </c>
      <c r="J14" s="319">
        <v>-229272.90873000008</v>
      </c>
      <c r="K14" s="319">
        <v>-205186</v>
      </c>
      <c r="L14" s="319">
        <v>-227379</v>
      </c>
      <c r="M14" s="319">
        <v>-273021.06302000012</v>
      </c>
      <c r="N14" s="319">
        <v>-303413.10375999985</v>
      </c>
      <c r="O14" s="319">
        <v>-276080.64013999992</v>
      </c>
      <c r="P14" s="319">
        <v>-261632.34419000006</v>
      </c>
      <c r="Q14" s="319">
        <v>-255607.46419999999</v>
      </c>
      <c r="R14" s="319">
        <v>-331313.70226999989</v>
      </c>
      <c r="S14" s="319">
        <v>-261192.31418999998</v>
      </c>
      <c r="T14" s="319">
        <v>-297290</v>
      </c>
      <c r="U14" s="319">
        <v>-357309</v>
      </c>
      <c r="V14" s="319">
        <v>-395518</v>
      </c>
      <c r="W14" s="319">
        <v>-324320</v>
      </c>
      <c r="X14" s="319">
        <v>-383689</v>
      </c>
      <c r="Y14" s="319">
        <v>-410211</v>
      </c>
      <c r="Z14" s="319">
        <v>-355902</v>
      </c>
      <c r="AA14" s="319">
        <v>-370719</v>
      </c>
      <c r="AB14" s="319">
        <v>-363294</v>
      </c>
      <c r="AC14" s="325">
        <v>-388895</v>
      </c>
      <c r="AD14" s="325">
        <v>-364325</v>
      </c>
      <c r="AE14" s="325">
        <v>-332671</v>
      </c>
      <c r="AF14" s="325">
        <v>-260844</v>
      </c>
      <c r="AG14" s="325">
        <v>-383365</v>
      </c>
      <c r="AH14" s="325">
        <v>-382298</v>
      </c>
      <c r="AI14" s="325">
        <v>-349837</v>
      </c>
      <c r="AJ14" s="326">
        <v>-395062</v>
      </c>
      <c r="AK14" s="326">
        <v>-404525</v>
      </c>
      <c r="AL14" s="326">
        <v>-543511</v>
      </c>
      <c r="AM14" s="326">
        <v>-466451</v>
      </c>
      <c r="AN14" s="326">
        <v>-496070</v>
      </c>
      <c r="AO14" s="326">
        <v>-405231</v>
      </c>
      <c r="AP14" s="326">
        <v>-420294</v>
      </c>
      <c r="AQ14" s="326">
        <v>-395546</v>
      </c>
      <c r="AR14" s="326">
        <v>-438693</v>
      </c>
      <c r="AS14" s="327">
        <v>-498663.81800000003</v>
      </c>
      <c r="AT14" s="327">
        <v>-541318.79299999995</v>
      </c>
      <c r="AU14" s="327">
        <v>-526512.67200000002</v>
      </c>
      <c r="AV14" s="327">
        <v>-582523.18500000006</v>
      </c>
    </row>
    <row r="15" spans="1:48" ht="15" thickBot="1">
      <c r="A15" s="140" t="s">
        <v>491</v>
      </c>
      <c r="C15" s="319">
        <f t="shared" ref="C15:AR15" si="1">C9+C14</f>
        <v>488954</v>
      </c>
      <c r="D15" s="319">
        <f t="shared" si="1"/>
        <v>474317.28123000008</v>
      </c>
      <c r="E15" s="319">
        <f t="shared" si="1"/>
        <v>469762.35042000009</v>
      </c>
      <c r="F15" s="319">
        <f t="shared" si="1"/>
        <v>535739.95833000005</v>
      </c>
      <c r="G15" s="319">
        <f t="shared" si="1"/>
        <v>490121.40211999993</v>
      </c>
      <c r="H15" s="319">
        <f t="shared" si="1"/>
        <v>511141.59788000019</v>
      </c>
      <c r="I15" s="319">
        <f t="shared" si="1"/>
        <v>544946.43875000032</v>
      </c>
      <c r="J15" s="319">
        <f t="shared" si="1"/>
        <v>938008.82215000014</v>
      </c>
      <c r="K15" s="319">
        <f t="shared" si="1"/>
        <v>655551</v>
      </c>
      <c r="L15" s="319">
        <f t="shared" si="1"/>
        <v>627091</v>
      </c>
      <c r="M15" s="319">
        <f t="shared" si="1"/>
        <v>677299.05348999857</v>
      </c>
      <c r="N15" s="319">
        <f t="shared" si="1"/>
        <v>780864.35007000226</v>
      </c>
      <c r="O15" s="319">
        <f t="shared" si="1"/>
        <v>710153.60043000022</v>
      </c>
      <c r="P15" s="319">
        <f t="shared" si="1"/>
        <v>699962.27374000009</v>
      </c>
      <c r="Q15" s="319">
        <f t="shared" si="1"/>
        <v>802150.98108000006</v>
      </c>
      <c r="R15" s="319">
        <f t="shared" si="1"/>
        <v>858999.75216999988</v>
      </c>
      <c r="S15" s="319">
        <f t="shared" si="1"/>
        <v>680879.69784999988</v>
      </c>
      <c r="T15" s="319">
        <f t="shared" si="1"/>
        <v>829899</v>
      </c>
      <c r="U15" s="319">
        <f t="shared" si="1"/>
        <v>897578</v>
      </c>
      <c r="V15" s="319">
        <f t="shared" si="1"/>
        <v>962479.7</v>
      </c>
      <c r="W15" s="319">
        <f t="shared" si="1"/>
        <v>906576</v>
      </c>
      <c r="X15" s="319">
        <f t="shared" si="1"/>
        <v>879817</v>
      </c>
      <c r="Y15" s="319">
        <f t="shared" si="1"/>
        <v>989846</v>
      </c>
      <c r="Z15" s="319">
        <f t="shared" si="1"/>
        <v>1020533</v>
      </c>
      <c r="AA15" s="319">
        <f t="shared" si="1"/>
        <v>870974</v>
      </c>
      <c r="AB15" s="319">
        <f t="shared" si="1"/>
        <v>917679</v>
      </c>
      <c r="AC15" s="319">
        <f t="shared" si="1"/>
        <v>930181</v>
      </c>
      <c r="AD15" s="319">
        <f t="shared" si="1"/>
        <v>1074724</v>
      </c>
      <c r="AE15" s="319">
        <f t="shared" si="1"/>
        <v>912405</v>
      </c>
      <c r="AF15" s="319">
        <f t="shared" si="1"/>
        <v>830037</v>
      </c>
      <c r="AG15" s="319">
        <f t="shared" si="1"/>
        <v>1014321</v>
      </c>
      <c r="AH15" s="319">
        <f t="shared" si="1"/>
        <v>1350229</v>
      </c>
      <c r="AI15" s="319">
        <f t="shared" si="1"/>
        <v>1110648</v>
      </c>
      <c r="AJ15" s="319">
        <f t="shared" si="1"/>
        <v>991329</v>
      </c>
      <c r="AK15" s="319">
        <f t="shared" si="1"/>
        <v>1587615</v>
      </c>
      <c r="AL15" s="319">
        <f t="shared" si="1"/>
        <v>1700051</v>
      </c>
      <c r="AM15" s="319">
        <f t="shared" si="1"/>
        <v>1046294</v>
      </c>
      <c r="AN15" s="319">
        <f t="shared" si="1"/>
        <v>1125678</v>
      </c>
      <c r="AO15" s="319">
        <f t="shared" si="1"/>
        <v>1208355</v>
      </c>
      <c r="AP15" s="319">
        <f t="shared" si="1"/>
        <v>1462389</v>
      </c>
      <c r="AQ15" s="319">
        <f t="shared" si="1"/>
        <v>1242864</v>
      </c>
      <c r="AR15" s="319">
        <f t="shared" si="1"/>
        <v>1309233</v>
      </c>
      <c r="AS15" s="319">
        <f>AS9+AS14</f>
        <v>1475010.9350000001</v>
      </c>
      <c r="AT15" s="319">
        <f>AT9+AT14</f>
        <v>1642244.2420000001</v>
      </c>
      <c r="AU15" s="319">
        <f>AU9+AU14</f>
        <v>1350693.3390000002</v>
      </c>
      <c r="AV15" s="319">
        <f>AV9+AV14</f>
        <v>1480707.612</v>
      </c>
    </row>
    <row r="16" spans="1:48" ht="15" thickBot="1">
      <c r="A16" s="140" t="s">
        <v>588</v>
      </c>
      <c r="C16" s="319">
        <f t="shared" ref="C16:AR16" si="2">SUM(C17:C20)</f>
        <v>-299244</v>
      </c>
      <c r="D16" s="319">
        <f t="shared" si="2"/>
        <v>-256354</v>
      </c>
      <c r="E16" s="319">
        <f t="shared" si="2"/>
        <v>-184589.96658999985</v>
      </c>
      <c r="F16" s="319">
        <f t="shared" si="2"/>
        <v>-304387.6041</v>
      </c>
      <c r="G16" s="319">
        <f t="shared" si="2"/>
        <v>-324336.06970999995</v>
      </c>
      <c r="H16" s="319">
        <f t="shared" si="2"/>
        <v>-393708.93029000005</v>
      </c>
      <c r="I16" s="319">
        <f t="shared" si="2"/>
        <v>-279342.62115000002</v>
      </c>
      <c r="J16" s="319">
        <f t="shared" si="2"/>
        <v>-448617.54712000035</v>
      </c>
      <c r="K16" s="319">
        <f t="shared" si="2"/>
        <v>-420897</v>
      </c>
      <c r="L16" s="319">
        <f t="shared" si="2"/>
        <v>-408023.13576999994</v>
      </c>
      <c r="M16" s="319">
        <f t="shared" si="2"/>
        <v>-403542.60175999993</v>
      </c>
      <c r="N16" s="319">
        <f t="shared" si="2"/>
        <v>-489160.93742999987</v>
      </c>
      <c r="O16" s="319">
        <f t="shared" si="2"/>
        <v>-483945.95909999992</v>
      </c>
      <c r="P16" s="319">
        <f t="shared" si="2"/>
        <v>-420927.70497000002</v>
      </c>
      <c r="Q16" s="319">
        <f t="shared" si="2"/>
        <v>-488989.49725000001</v>
      </c>
      <c r="R16" s="319">
        <f t="shared" si="2"/>
        <v>-518821.05398999993</v>
      </c>
      <c r="S16" s="319">
        <f t="shared" si="2"/>
        <v>-436539.83806000004</v>
      </c>
      <c r="T16" s="319">
        <f t="shared" si="2"/>
        <v>-518170</v>
      </c>
      <c r="U16" s="319">
        <f t="shared" si="2"/>
        <v>-504555</v>
      </c>
      <c r="V16" s="319">
        <f t="shared" si="2"/>
        <v>-585529.30000000005</v>
      </c>
      <c r="W16" s="319">
        <f t="shared" si="2"/>
        <v>-596958</v>
      </c>
      <c r="X16" s="319">
        <f t="shared" si="2"/>
        <v>-535506</v>
      </c>
      <c r="Y16" s="319">
        <f t="shared" si="2"/>
        <v>-626849</v>
      </c>
      <c r="Z16" s="319">
        <f t="shared" si="2"/>
        <v>-518729</v>
      </c>
      <c r="AA16" s="319">
        <f t="shared" si="2"/>
        <v>-512119</v>
      </c>
      <c r="AB16" s="319">
        <f t="shared" si="2"/>
        <v>-502705</v>
      </c>
      <c r="AC16" s="319">
        <f t="shared" si="2"/>
        <v>-539124</v>
      </c>
      <c r="AD16" s="319">
        <f t="shared" si="2"/>
        <v>-618878</v>
      </c>
      <c r="AE16" s="319">
        <f t="shared" si="2"/>
        <v>-543255</v>
      </c>
      <c r="AF16" s="319">
        <f t="shared" si="2"/>
        <v>-467825</v>
      </c>
      <c r="AG16" s="319">
        <f t="shared" si="2"/>
        <v>-556081</v>
      </c>
      <c r="AH16" s="319">
        <f t="shared" si="2"/>
        <v>-799906</v>
      </c>
      <c r="AI16" s="319">
        <f t="shared" si="2"/>
        <v>-638800</v>
      </c>
      <c r="AJ16" s="319">
        <f t="shared" si="2"/>
        <v>-555898</v>
      </c>
      <c r="AK16" s="319">
        <f t="shared" si="2"/>
        <v>-1090613</v>
      </c>
      <c r="AL16" s="319">
        <f t="shared" si="2"/>
        <v>-999516</v>
      </c>
      <c r="AM16" s="319">
        <f t="shared" si="2"/>
        <v>-609624</v>
      </c>
      <c r="AN16" s="319">
        <f t="shared" si="2"/>
        <v>-722699</v>
      </c>
      <c r="AO16" s="319">
        <f t="shared" si="2"/>
        <v>-800073</v>
      </c>
      <c r="AP16" s="319">
        <f t="shared" si="2"/>
        <v>-842936</v>
      </c>
      <c r="AQ16" s="319">
        <f t="shared" si="2"/>
        <v>-749432</v>
      </c>
      <c r="AR16" s="319">
        <f t="shared" si="2"/>
        <v>-794685</v>
      </c>
      <c r="AS16" s="319">
        <f>SUM(AS17:AS20)</f>
        <v>-932487.92</v>
      </c>
      <c r="AT16" s="319">
        <f>SUM(AT17:AT20)</f>
        <v>-964625.99099999992</v>
      </c>
      <c r="AU16" s="319">
        <f>SUM(AU17:AU20)</f>
        <v>-792987.63899999997</v>
      </c>
      <c r="AV16" s="319">
        <f>SUM(AV17:AV20)</f>
        <v>-920299.75300000003</v>
      </c>
    </row>
    <row r="17" spans="1:48">
      <c r="A17" s="137" t="s">
        <v>589</v>
      </c>
      <c r="C17" s="320">
        <v>-207101</v>
      </c>
      <c r="D17" s="320">
        <v>-183069</v>
      </c>
      <c r="E17" s="320">
        <v>-112334.78253999987</v>
      </c>
      <c r="F17" s="320">
        <v>-188271.77510999999</v>
      </c>
      <c r="G17" s="320">
        <v>-227433.34256999992</v>
      </c>
      <c r="H17" s="320">
        <v>-283621.65743000008</v>
      </c>
      <c r="I17" s="320">
        <v>-156601.64410999999</v>
      </c>
      <c r="J17" s="320">
        <v>-445804.1306200003</v>
      </c>
      <c r="K17" s="320">
        <v>-315226</v>
      </c>
      <c r="L17" s="320">
        <v>-316380.96017999994</v>
      </c>
      <c r="M17" s="320">
        <v>-280290.84745999996</v>
      </c>
      <c r="N17" s="320">
        <v>-307326.24317999976</v>
      </c>
      <c r="O17" s="320">
        <v>-297072.32466999994</v>
      </c>
      <c r="P17" s="320">
        <v>-264431.81996000005</v>
      </c>
      <c r="Q17" s="320">
        <v>-300945.10044000001</v>
      </c>
      <c r="R17" s="320">
        <v>-351043.75544999994</v>
      </c>
      <c r="S17" s="320">
        <v>-276037.47010000004</v>
      </c>
      <c r="T17" s="320">
        <v>-408984</v>
      </c>
      <c r="U17" s="320">
        <v>-376540</v>
      </c>
      <c r="V17" s="320">
        <v>-415802</v>
      </c>
      <c r="W17" s="320">
        <v>-462504</v>
      </c>
      <c r="X17" s="320">
        <v>-369247</v>
      </c>
      <c r="Y17" s="320">
        <v>-483138</v>
      </c>
      <c r="Z17" s="320">
        <v>-356519</v>
      </c>
      <c r="AA17" s="320">
        <v>-379411</v>
      </c>
      <c r="AB17" s="320">
        <v>-348618</v>
      </c>
      <c r="AC17" s="321">
        <v>-386929</v>
      </c>
      <c r="AD17" s="321">
        <v>-430375</v>
      </c>
      <c r="AE17" s="321">
        <v>-343603</v>
      </c>
      <c r="AF17" s="321">
        <v>-280544</v>
      </c>
      <c r="AG17" s="321">
        <v>-355394</v>
      </c>
      <c r="AH17" s="321">
        <v>-518348</v>
      </c>
      <c r="AI17" s="321">
        <v>-404897</v>
      </c>
      <c r="AJ17" s="324">
        <v>-383728</v>
      </c>
      <c r="AK17" s="324">
        <v>-841448</v>
      </c>
      <c r="AL17" s="324">
        <v>-734534</v>
      </c>
      <c r="AM17" s="324">
        <v>-463813</v>
      </c>
      <c r="AN17" s="324">
        <v>-475078</v>
      </c>
      <c r="AO17" s="324">
        <v>-508782</v>
      </c>
      <c r="AP17" s="328">
        <v>-554159</v>
      </c>
      <c r="AQ17" s="328">
        <v>-544135</v>
      </c>
      <c r="AR17" s="328">
        <v>-555867</v>
      </c>
      <c r="AS17" s="329">
        <v>-599663.50600000005</v>
      </c>
      <c r="AT17" s="329">
        <v>-664573.64</v>
      </c>
      <c r="AU17" s="329">
        <v>-564714.38800000004</v>
      </c>
      <c r="AV17" s="329">
        <v>-621740.45200000005</v>
      </c>
    </row>
    <row r="18" spans="1:48">
      <c r="A18" s="137" t="s">
        <v>590</v>
      </c>
      <c r="C18" s="320">
        <v>-11205</v>
      </c>
      <c r="D18" s="320">
        <v>-10693</v>
      </c>
      <c r="E18" s="320">
        <v>-13210.99785</v>
      </c>
      <c r="F18" s="320">
        <v>-10778.950480000007</v>
      </c>
      <c r="G18" s="320">
        <v>-11434.78622</v>
      </c>
      <c r="H18" s="320">
        <v>-11790.21378</v>
      </c>
      <c r="I18" s="320">
        <v>-17321.104960000004</v>
      </c>
      <c r="J18" s="320">
        <v>25505.795539999992</v>
      </c>
      <c r="K18" s="320">
        <v>-15305</v>
      </c>
      <c r="L18" s="320">
        <v>-19884.488669999992</v>
      </c>
      <c r="M18" s="320">
        <v>-22839.414990000005</v>
      </c>
      <c r="N18" s="320">
        <v>-17959.946020000003</v>
      </c>
      <c r="O18" s="320">
        <v>-31866.903420000002</v>
      </c>
      <c r="P18" s="320">
        <v>-14687.322610000003</v>
      </c>
      <c r="Q18" s="320">
        <v>-22342.760309999998</v>
      </c>
      <c r="R18" s="320">
        <v>-21508.021439999997</v>
      </c>
      <c r="S18" s="320">
        <v>-20877.083400000003</v>
      </c>
      <c r="T18" s="320">
        <v>-21243</v>
      </c>
      <c r="U18" s="320">
        <v>-38772</v>
      </c>
      <c r="V18" s="320">
        <v>-59534</v>
      </c>
      <c r="W18" s="320">
        <v>-64144</v>
      </c>
      <c r="X18" s="320">
        <v>-64492</v>
      </c>
      <c r="Y18" s="320">
        <v>-49024</v>
      </c>
      <c r="Z18" s="320">
        <v>-50701</v>
      </c>
      <c r="AA18" s="320">
        <v>-52776</v>
      </c>
      <c r="AB18" s="320">
        <v>-53099</v>
      </c>
      <c r="AC18" s="321">
        <v>-58889</v>
      </c>
      <c r="AD18" s="321">
        <v>-53346</v>
      </c>
      <c r="AE18" s="321">
        <v>-65117.000000000007</v>
      </c>
      <c r="AF18" s="321">
        <v>-57041</v>
      </c>
      <c r="AG18" s="321">
        <v>-92432</v>
      </c>
      <c r="AH18" s="321">
        <v>-93845</v>
      </c>
      <c r="AI18" s="321">
        <v>-97062</v>
      </c>
      <c r="AJ18" s="324">
        <v>-99719</v>
      </c>
      <c r="AK18" s="324">
        <v>-89597</v>
      </c>
      <c r="AL18" s="324">
        <v>-89823</v>
      </c>
      <c r="AM18" s="324">
        <v>-5173</v>
      </c>
      <c r="AN18" s="324">
        <v>-4850</v>
      </c>
      <c r="AO18" s="324">
        <v>-5393</v>
      </c>
      <c r="AP18" s="328">
        <v>-5445</v>
      </c>
      <c r="AQ18" s="328">
        <v>-7401</v>
      </c>
      <c r="AR18" s="328">
        <v>-6646</v>
      </c>
      <c r="AS18" s="329">
        <v>-9247.4089999999997</v>
      </c>
      <c r="AT18" s="329">
        <v>-9153.99</v>
      </c>
      <c r="AU18" s="329">
        <v>-8131.61</v>
      </c>
      <c r="AV18" s="329">
        <v>-8073.87</v>
      </c>
    </row>
    <row r="19" spans="1:48">
      <c r="A19" s="137" t="s">
        <v>591</v>
      </c>
      <c r="C19" s="320">
        <v>-80938</v>
      </c>
      <c r="D19" s="320">
        <v>-62592</v>
      </c>
      <c r="E19" s="320">
        <v>-59044.186199999996</v>
      </c>
      <c r="F19" s="320">
        <v>-105336.87851000001</v>
      </c>
      <c r="G19" s="320">
        <v>-85467.940920000008</v>
      </c>
      <c r="H19" s="320">
        <v>-98297.059079999992</v>
      </c>
      <c r="I19" s="320">
        <v>-105419.87208</v>
      </c>
      <c r="J19" s="320">
        <v>-93173.212040000013</v>
      </c>
      <c r="K19" s="320">
        <v>-90366</v>
      </c>
      <c r="L19" s="320">
        <v>-71757.686919999978</v>
      </c>
      <c r="M19" s="320">
        <v>-99409.160029999999</v>
      </c>
      <c r="N19" s="320">
        <v>-162865.06043000007</v>
      </c>
      <c r="O19" s="320">
        <v>-153997.04321</v>
      </c>
      <c r="P19" s="320">
        <v>-141808.5624</v>
      </c>
      <c r="Q19" s="320">
        <v>-165701.63649999999</v>
      </c>
      <c r="R19" s="320">
        <v>-146269.27710000004</v>
      </c>
      <c r="S19" s="320">
        <v>-139625.28456</v>
      </c>
      <c r="T19" s="320">
        <v>-87943</v>
      </c>
      <c r="U19" s="320">
        <v>-89243</v>
      </c>
      <c r="V19" s="320">
        <v>-110193.3</v>
      </c>
      <c r="W19" s="320">
        <v>-70310</v>
      </c>
      <c r="X19" s="320">
        <v>-101767</v>
      </c>
      <c r="Y19" s="320">
        <v>-94687</v>
      </c>
      <c r="Z19" s="320">
        <v>-111509</v>
      </c>
      <c r="AA19" s="320">
        <v>-79932</v>
      </c>
      <c r="AB19" s="320">
        <v>-100988</v>
      </c>
      <c r="AC19" s="321">
        <v>-93306</v>
      </c>
      <c r="AD19" s="321">
        <v>-135157</v>
      </c>
      <c r="AE19" s="321">
        <v>-134535</v>
      </c>
      <c r="AF19" s="321">
        <v>-130240</v>
      </c>
      <c r="AG19" s="321">
        <v>-108255</v>
      </c>
      <c r="AH19" s="321">
        <v>-187713</v>
      </c>
      <c r="AI19" s="321">
        <v>-136841</v>
      </c>
      <c r="AJ19" s="324">
        <v>-72451</v>
      </c>
      <c r="AK19" s="324">
        <v>-159568</v>
      </c>
      <c r="AL19" s="324">
        <v>-175159</v>
      </c>
      <c r="AM19" s="324">
        <v>-140638</v>
      </c>
      <c r="AN19" s="324">
        <v>-242771</v>
      </c>
      <c r="AO19" s="324">
        <v>-285898</v>
      </c>
      <c r="AP19" s="328">
        <v>-283332</v>
      </c>
      <c r="AQ19" s="328">
        <v>-197896</v>
      </c>
      <c r="AR19" s="328">
        <v>-232172</v>
      </c>
      <c r="AS19" s="329">
        <v>-323577.005</v>
      </c>
      <c r="AT19" s="329">
        <v>-290898.36099999998</v>
      </c>
      <c r="AU19" s="329">
        <v>-220141.641</v>
      </c>
      <c r="AV19" s="329">
        <v>-290485.43099999998</v>
      </c>
    </row>
    <row r="20" spans="1:48" ht="15" thickBot="1">
      <c r="A20" s="137" t="s">
        <v>592</v>
      </c>
      <c r="C20" s="330"/>
      <c r="D20" s="330"/>
      <c r="E20" s="330"/>
      <c r="F20" s="330"/>
      <c r="G20" s="330"/>
      <c r="H20" s="330"/>
      <c r="I20" s="330"/>
      <c r="J20" s="330">
        <v>64854</v>
      </c>
      <c r="K20" s="330"/>
      <c r="L20" s="330"/>
      <c r="M20" s="330">
        <v>-1003.1792799999996</v>
      </c>
      <c r="N20" s="330">
        <v>-1009.6878000000006</v>
      </c>
      <c r="O20" s="330">
        <v>-1009.6878</v>
      </c>
      <c r="P20" s="330">
        <v>0</v>
      </c>
      <c r="Q20" s="330">
        <v>0</v>
      </c>
      <c r="R20" s="330">
        <v>0</v>
      </c>
      <c r="S20" s="330"/>
      <c r="T20" s="330">
        <v>0</v>
      </c>
      <c r="U20" s="330">
        <v>0</v>
      </c>
      <c r="V20" s="330">
        <v>0</v>
      </c>
      <c r="W20" s="330"/>
      <c r="X20" s="330"/>
      <c r="Y20" s="330"/>
      <c r="Z20" s="330"/>
      <c r="AA20" s="330">
        <v>0</v>
      </c>
      <c r="AB20" s="330">
        <v>0</v>
      </c>
      <c r="AC20" s="331">
        <v>0</v>
      </c>
      <c r="AD20" s="321">
        <v>0</v>
      </c>
      <c r="AE20" s="321">
        <v>0</v>
      </c>
      <c r="AF20" s="321"/>
      <c r="AG20" s="321"/>
      <c r="AH20" s="321">
        <v>0</v>
      </c>
      <c r="AI20" s="321">
        <v>0</v>
      </c>
      <c r="AJ20" s="321">
        <v>0</v>
      </c>
      <c r="AK20" s="321">
        <v>0</v>
      </c>
      <c r="AL20" s="321">
        <v>0</v>
      </c>
      <c r="AM20" s="321"/>
      <c r="AN20" s="321"/>
      <c r="AO20" s="321"/>
      <c r="AP20" s="322"/>
      <c r="AQ20" s="322"/>
      <c r="AR20" s="322"/>
      <c r="AS20" s="323"/>
      <c r="AT20" s="323"/>
      <c r="AU20" s="323"/>
      <c r="AV20" s="323"/>
    </row>
    <row r="21" spans="1:48" ht="15" thickBot="1">
      <c r="A21" s="140" t="s">
        <v>593</v>
      </c>
      <c r="C21" s="319">
        <f t="shared" ref="C21:AR21" si="3">C15+C16</f>
        <v>189710</v>
      </c>
      <c r="D21" s="319">
        <f t="shared" si="3"/>
        <v>217963.28123000008</v>
      </c>
      <c r="E21" s="319">
        <f t="shared" si="3"/>
        <v>285172.38383000024</v>
      </c>
      <c r="F21" s="319">
        <f t="shared" si="3"/>
        <v>231352.35423000006</v>
      </c>
      <c r="G21" s="319">
        <f t="shared" si="3"/>
        <v>165785.33240999997</v>
      </c>
      <c r="H21" s="319">
        <f t="shared" si="3"/>
        <v>117432.66759000014</v>
      </c>
      <c r="I21" s="319">
        <f t="shared" si="3"/>
        <v>265603.8176000003</v>
      </c>
      <c r="J21" s="319">
        <f t="shared" si="3"/>
        <v>489391.27502999979</v>
      </c>
      <c r="K21" s="319">
        <f t="shared" si="3"/>
        <v>234654</v>
      </c>
      <c r="L21" s="319">
        <f t="shared" si="3"/>
        <v>219067.86423000006</v>
      </c>
      <c r="M21" s="319">
        <f t="shared" si="3"/>
        <v>273756.45172999863</v>
      </c>
      <c r="N21" s="319">
        <f t="shared" si="3"/>
        <v>291703.41264000238</v>
      </c>
      <c r="O21" s="319">
        <f t="shared" si="3"/>
        <v>226207.6413300003</v>
      </c>
      <c r="P21" s="319">
        <f t="shared" si="3"/>
        <v>279034.56877000007</v>
      </c>
      <c r="Q21" s="319">
        <f t="shared" si="3"/>
        <v>313161.48383000004</v>
      </c>
      <c r="R21" s="319">
        <f t="shared" si="3"/>
        <v>340178.69817999995</v>
      </c>
      <c r="S21" s="319">
        <f t="shared" si="3"/>
        <v>244339.85978999984</v>
      </c>
      <c r="T21" s="319">
        <f t="shared" si="3"/>
        <v>311729</v>
      </c>
      <c r="U21" s="319">
        <f t="shared" si="3"/>
        <v>393023</v>
      </c>
      <c r="V21" s="319">
        <f t="shared" si="3"/>
        <v>376950.39999999991</v>
      </c>
      <c r="W21" s="319">
        <f t="shared" si="3"/>
        <v>309618</v>
      </c>
      <c r="X21" s="319">
        <f t="shared" si="3"/>
        <v>344311</v>
      </c>
      <c r="Y21" s="319">
        <f t="shared" si="3"/>
        <v>362997</v>
      </c>
      <c r="Z21" s="319">
        <f t="shared" si="3"/>
        <v>501804</v>
      </c>
      <c r="AA21" s="319">
        <f t="shared" si="3"/>
        <v>358855</v>
      </c>
      <c r="AB21" s="319">
        <f t="shared" si="3"/>
        <v>414974</v>
      </c>
      <c r="AC21" s="319">
        <f t="shared" si="3"/>
        <v>391057</v>
      </c>
      <c r="AD21" s="319">
        <f t="shared" si="3"/>
        <v>455846</v>
      </c>
      <c r="AE21" s="319">
        <f t="shared" si="3"/>
        <v>369150</v>
      </c>
      <c r="AF21" s="319">
        <f t="shared" si="3"/>
        <v>362212</v>
      </c>
      <c r="AG21" s="319">
        <f t="shared" si="3"/>
        <v>458240</v>
      </c>
      <c r="AH21" s="319">
        <f t="shared" si="3"/>
        <v>550323</v>
      </c>
      <c r="AI21" s="319">
        <f t="shared" si="3"/>
        <v>471848</v>
      </c>
      <c r="AJ21" s="319">
        <f t="shared" si="3"/>
        <v>435431</v>
      </c>
      <c r="AK21" s="319">
        <f t="shared" si="3"/>
        <v>497002</v>
      </c>
      <c r="AL21" s="319">
        <f t="shared" si="3"/>
        <v>700535</v>
      </c>
      <c r="AM21" s="319">
        <f t="shared" si="3"/>
        <v>436670</v>
      </c>
      <c r="AN21" s="319">
        <f t="shared" si="3"/>
        <v>402979</v>
      </c>
      <c r="AO21" s="319">
        <f t="shared" si="3"/>
        <v>408282</v>
      </c>
      <c r="AP21" s="319">
        <f t="shared" si="3"/>
        <v>619453</v>
      </c>
      <c r="AQ21" s="319">
        <f t="shared" si="3"/>
        <v>493432</v>
      </c>
      <c r="AR21" s="319">
        <f t="shared" si="3"/>
        <v>514548</v>
      </c>
      <c r="AS21" s="319">
        <f>AS15+AS16</f>
        <v>542523.01500000001</v>
      </c>
      <c r="AT21" s="319">
        <f>AT15+AT16</f>
        <v>677618.25100000016</v>
      </c>
      <c r="AU21" s="319">
        <f>AU15+AU16</f>
        <v>557705.70000000019</v>
      </c>
      <c r="AV21" s="319">
        <f>AV15+AV16</f>
        <v>560407.85899999994</v>
      </c>
    </row>
    <row r="22" spans="1:48" ht="15" thickBot="1">
      <c r="A22" s="140" t="s">
        <v>594</v>
      </c>
      <c r="C22" s="319">
        <f t="shared" ref="C22:AR22" si="4">SUM(C23:C28)</f>
        <v>-118827</v>
      </c>
      <c r="D22" s="319">
        <f t="shared" si="4"/>
        <v>-101515</v>
      </c>
      <c r="E22" s="319">
        <f t="shared" si="4"/>
        <v>-116993.08495999996</v>
      </c>
      <c r="F22" s="319">
        <f t="shared" si="4"/>
        <v>-127755.34806999999</v>
      </c>
      <c r="G22" s="319">
        <f t="shared" si="4"/>
        <v>-91242.08259999998</v>
      </c>
      <c r="H22" s="319">
        <f t="shared" si="4"/>
        <v>-102885.91739999999</v>
      </c>
      <c r="I22" s="319">
        <f t="shared" si="4"/>
        <v>-98378.061969999995</v>
      </c>
      <c r="J22" s="319">
        <f t="shared" si="4"/>
        <v>-129927.74609000006</v>
      </c>
      <c r="K22" s="319">
        <f t="shared" si="4"/>
        <v>-105662.45723000001</v>
      </c>
      <c r="L22" s="319">
        <f t="shared" si="4"/>
        <v>-98048.662709999946</v>
      </c>
      <c r="M22" s="319">
        <f t="shared" si="4"/>
        <v>-110640.55699999999</v>
      </c>
      <c r="N22" s="319">
        <f t="shared" si="4"/>
        <v>-154850.25174000009</v>
      </c>
      <c r="O22" s="319">
        <f t="shared" si="4"/>
        <v>-116374.97566000003</v>
      </c>
      <c r="P22" s="319">
        <f t="shared" si="4"/>
        <v>-120263.96012</v>
      </c>
      <c r="Q22" s="319">
        <f t="shared" si="4"/>
        <v>-133798.12986999998</v>
      </c>
      <c r="R22" s="319">
        <f t="shared" si="4"/>
        <v>-186309.43487</v>
      </c>
      <c r="S22" s="319">
        <f t="shared" si="4"/>
        <v>-149696.69298999998</v>
      </c>
      <c r="T22" s="319">
        <f t="shared" si="4"/>
        <v>-113570</v>
      </c>
      <c r="U22" s="319">
        <f t="shared" si="4"/>
        <v>-126558</v>
      </c>
      <c r="V22" s="319">
        <f t="shared" si="4"/>
        <v>-151126.35012999998</v>
      </c>
      <c r="W22" s="319">
        <f t="shared" si="4"/>
        <v>-148491</v>
      </c>
      <c r="X22" s="319">
        <f t="shared" si="4"/>
        <v>-149763</v>
      </c>
      <c r="Y22" s="319">
        <f t="shared" si="4"/>
        <v>-117870</v>
      </c>
      <c r="Z22" s="319">
        <f t="shared" si="4"/>
        <v>-148455</v>
      </c>
      <c r="AA22" s="319">
        <f t="shared" si="4"/>
        <v>-150039</v>
      </c>
      <c r="AB22" s="319">
        <f t="shared" si="4"/>
        <v>-152140</v>
      </c>
      <c r="AC22" s="319">
        <f t="shared" si="4"/>
        <v>-164413</v>
      </c>
      <c r="AD22" s="319">
        <f t="shared" si="4"/>
        <v>-170904</v>
      </c>
      <c r="AE22" s="319">
        <f t="shared" si="4"/>
        <v>-139544</v>
      </c>
      <c r="AF22" s="319">
        <f t="shared" si="4"/>
        <v>-167481</v>
      </c>
      <c r="AG22" s="319">
        <f t="shared" si="4"/>
        <v>-171289</v>
      </c>
      <c r="AH22" s="319">
        <f t="shared" si="4"/>
        <v>-175666</v>
      </c>
      <c r="AI22" s="319">
        <f t="shared" si="4"/>
        <v>-145866</v>
      </c>
      <c r="AJ22" s="319">
        <f t="shared" si="4"/>
        <v>-139442</v>
      </c>
      <c r="AK22" s="319">
        <f t="shared" si="4"/>
        <v>-152136</v>
      </c>
      <c r="AL22" s="319">
        <f t="shared" si="4"/>
        <v>-201850</v>
      </c>
      <c r="AM22" s="319">
        <f t="shared" si="4"/>
        <v>-202440</v>
      </c>
      <c r="AN22" s="319">
        <f t="shared" si="4"/>
        <v>-215523</v>
      </c>
      <c r="AO22" s="319">
        <f t="shared" si="4"/>
        <v>-188701</v>
      </c>
      <c r="AP22" s="319">
        <f t="shared" si="4"/>
        <v>-80985</v>
      </c>
      <c r="AQ22" s="319">
        <f t="shared" si="4"/>
        <v>-235302</v>
      </c>
      <c r="AR22" s="319">
        <f t="shared" si="4"/>
        <v>-214174</v>
      </c>
      <c r="AS22" s="319">
        <f>SUM(AS23:AS28)</f>
        <v>-222625.514</v>
      </c>
      <c r="AT22" s="319">
        <f>SUM(AT23:AT28)</f>
        <v>-347844.29800000001</v>
      </c>
      <c r="AU22" s="319">
        <f>SUM(AU23:AU28)</f>
        <v>-233004.28299999997</v>
      </c>
      <c r="AV22" s="319">
        <f>SUM(AV23:AV28)</f>
        <v>-244216.82900000003</v>
      </c>
    </row>
    <row r="23" spans="1:48">
      <c r="A23" s="137" t="s">
        <v>595</v>
      </c>
      <c r="C23" s="320">
        <v>-22339</v>
      </c>
      <c r="D23" s="320">
        <v>-21797</v>
      </c>
      <c r="E23" s="320">
        <v>-23342.783800000005</v>
      </c>
      <c r="F23" s="320">
        <v>-30510.823649999977</v>
      </c>
      <c r="G23" s="320">
        <v>-23667.50995</v>
      </c>
      <c r="H23" s="320">
        <v>-23638.49005</v>
      </c>
      <c r="I23" s="320">
        <v>-23491.287279999975</v>
      </c>
      <c r="J23" s="320">
        <v>-26011.195260000095</v>
      </c>
      <c r="K23" s="320">
        <v>-25402.941879999998</v>
      </c>
      <c r="L23" s="320">
        <v>-24893.064429999991</v>
      </c>
      <c r="M23" s="320">
        <v>-26284.700710000012</v>
      </c>
      <c r="N23" s="320">
        <v>-30761.917729999986</v>
      </c>
      <c r="O23" s="320">
        <v>-29126.086100000008</v>
      </c>
      <c r="P23" s="320">
        <v>-28327.835269999992</v>
      </c>
      <c r="Q23" s="320">
        <v>-26258.337759999995</v>
      </c>
      <c r="R23" s="320">
        <v>-35070.594250000009</v>
      </c>
      <c r="S23" s="320">
        <v>-28587.317339999987</v>
      </c>
      <c r="T23" s="320">
        <v>-28072</v>
      </c>
      <c r="U23" s="320">
        <v>-27589</v>
      </c>
      <c r="V23" s="320">
        <v>-27920.637489999979</v>
      </c>
      <c r="W23" s="320">
        <v>-29775</v>
      </c>
      <c r="X23" s="320">
        <v>-27902</v>
      </c>
      <c r="Y23" s="320">
        <v>-27200</v>
      </c>
      <c r="Z23" s="320">
        <v>-22069</v>
      </c>
      <c r="AA23" s="320">
        <v>-30530</v>
      </c>
      <c r="AB23" s="320">
        <v>-31238</v>
      </c>
      <c r="AC23" s="321">
        <v>-32523</v>
      </c>
      <c r="AD23" s="321">
        <v>-30609</v>
      </c>
      <c r="AE23" s="321">
        <v>-31631</v>
      </c>
      <c r="AF23" s="321">
        <v>-30498</v>
      </c>
      <c r="AG23" s="321">
        <v>-30430</v>
      </c>
      <c r="AH23" s="321">
        <v>-54314</v>
      </c>
      <c r="AI23" s="321">
        <v>-36273</v>
      </c>
      <c r="AJ23" s="321">
        <v>-41585</v>
      </c>
      <c r="AK23" s="321">
        <v>-35481</v>
      </c>
      <c r="AL23" s="321">
        <v>-46425</v>
      </c>
      <c r="AM23" s="321">
        <v>-28870</v>
      </c>
      <c r="AN23" s="321">
        <v>-44615</v>
      </c>
      <c r="AO23" s="321">
        <v>-38819</v>
      </c>
      <c r="AP23" s="322">
        <v>-41102</v>
      </c>
      <c r="AQ23" s="322">
        <v>-47089</v>
      </c>
      <c r="AR23" s="322">
        <v>-48117</v>
      </c>
      <c r="AS23" s="323">
        <v>-54536.79</v>
      </c>
      <c r="AT23" s="323">
        <v>-44683.502</v>
      </c>
      <c r="AU23" s="323">
        <v>-44697.635999999999</v>
      </c>
      <c r="AV23" s="323">
        <v>-58964.220999999998</v>
      </c>
    </row>
    <row r="24" spans="1:48">
      <c r="A24" s="137" t="s">
        <v>596</v>
      </c>
      <c r="C24" s="320">
        <v>-1773</v>
      </c>
      <c r="D24" s="320">
        <v>-1447</v>
      </c>
      <c r="E24" s="320">
        <v>-3096.9437000000089</v>
      </c>
      <c r="F24" s="320">
        <v>-10099.68149999999</v>
      </c>
      <c r="G24" s="320">
        <v>-3319.9168200000008</v>
      </c>
      <c r="H24" s="320">
        <v>-3041.0831799999992</v>
      </c>
      <c r="I24" s="320">
        <v>-1689.8555399999987</v>
      </c>
      <c r="J24" s="320">
        <v>-4404.5413200000075</v>
      </c>
      <c r="K24" s="320">
        <v>-3155.5558000000001</v>
      </c>
      <c r="L24" s="320">
        <v>-1803.1039099999998</v>
      </c>
      <c r="M24" s="320">
        <v>-3994.2679399999997</v>
      </c>
      <c r="N24" s="320">
        <v>-3127.5439399999996</v>
      </c>
      <c r="O24" s="320">
        <v>-1577.86761</v>
      </c>
      <c r="P24" s="320">
        <v>-1718.8589799999997</v>
      </c>
      <c r="Q24" s="320">
        <v>-749.06453000000022</v>
      </c>
      <c r="R24" s="320">
        <v>-634.52695000000017</v>
      </c>
      <c r="S24" s="320">
        <v>-3598.7363799999998</v>
      </c>
      <c r="T24" s="320">
        <v>-2180</v>
      </c>
      <c r="U24" s="320">
        <v>-2563</v>
      </c>
      <c r="V24" s="320">
        <v>-6675</v>
      </c>
      <c r="W24" s="320">
        <v>-2110</v>
      </c>
      <c r="X24" s="320">
        <v>-2608</v>
      </c>
      <c r="Y24" s="320">
        <v>-3119</v>
      </c>
      <c r="Z24" s="320">
        <v>-15249</v>
      </c>
      <c r="AA24" s="320">
        <v>-2016</v>
      </c>
      <c r="AB24" s="320">
        <v>-3983</v>
      </c>
      <c r="AC24" s="321">
        <v>-3987</v>
      </c>
      <c r="AD24" s="321">
        <v>-2554</v>
      </c>
      <c r="AE24" s="321">
        <v>-2429</v>
      </c>
      <c r="AF24" s="321">
        <v>-2393</v>
      </c>
      <c r="AG24" s="321">
        <v>-8591</v>
      </c>
      <c r="AH24" s="321">
        <v>-12179</v>
      </c>
      <c r="AI24" s="321">
        <v>-5272</v>
      </c>
      <c r="AJ24" s="321">
        <v>132</v>
      </c>
      <c r="AK24" s="321">
        <v>-3721</v>
      </c>
      <c r="AL24" s="321">
        <v>-5913</v>
      </c>
      <c r="AM24" s="321">
        <v>-5078</v>
      </c>
      <c r="AN24" s="321">
        <v>-4313</v>
      </c>
      <c r="AO24" s="321">
        <v>-6211</v>
      </c>
      <c r="AP24" s="322">
        <v>-3672</v>
      </c>
      <c r="AQ24" s="322">
        <v>-4677</v>
      </c>
      <c r="AR24" s="322">
        <v>-4876</v>
      </c>
      <c r="AS24" s="323">
        <v>-3124.971</v>
      </c>
      <c r="AT24" s="323">
        <v>-11367.259</v>
      </c>
      <c r="AU24" s="323">
        <v>-4539.8829999999998</v>
      </c>
      <c r="AV24" s="323">
        <v>-5763.1090000000004</v>
      </c>
    </row>
    <row r="25" spans="1:48">
      <c r="A25" s="137" t="s">
        <v>597</v>
      </c>
      <c r="C25" s="320">
        <v>-55426</v>
      </c>
      <c r="D25" s="320">
        <v>-53615</v>
      </c>
      <c r="E25" s="320">
        <v>-65447.560059999931</v>
      </c>
      <c r="F25" s="320">
        <v>-58611.621570000076</v>
      </c>
      <c r="G25" s="320">
        <v>-52152.801899999999</v>
      </c>
      <c r="H25" s="320">
        <v>-52522.198100000001</v>
      </c>
      <c r="I25" s="320">
        <v>-54882.911450000014</v>
      </c>
      <c r="J25" s="320">
        <v>-61086.640189999976</v>
      </c>
      <c r="K25" s="320">
        <v>-54311.539060000003</v>
      </c>
      <c r="L25" s="320">
        <v>-53885.452569999958</v>
      </c>
      <c r="M25" s="320">
        <v>-55875.633739999961</v>
      </c>
      <c r="N25" s="320">
        <v>-86791.016160000087</v>
      </c>
      <c r="O25" s="320">
        <v>-57097.830810000007</v>
      </c>
      <c r="P25" s="320">
        <v>-58982.305059999999</v>
      </c>
      <c r="Q25" s="320">
        <v>-66503.563939999993</v>
      </c>
      <c r="R25" s="320">
        <v>-104679.06632999997</v>
      </c>
      <c r="S25" s="320">
        <v>-71101.010909999997</v>
      </c>
      <c r="T25" s="320">
        <v>-62596</v>
      </c>
      <c r="U25" s="320">
        <v>-65642</v>
      </c>
      <c r="V25" s="320">
        <v>-68725</v>
      </c>
      <c r="W25" s="320">
        <v>-74164</v>
      </c>
      <c r="X25" s="320">
        <v>-74163</v>
      </c>
      <c r="Y25" s="320">
        <v>-71638</v>
      </c>
      <c r="Z25" s="320">
        <v>-70786</v>
      </c>
      <c r="AA25" s="320">
        <v>-78776</v>
      </c>
      <c r="AB25" s="320">
        <v>-75965</v>
      </c>
      <c r="AC25" s="321">
        <v>-83860</v>
      </c>
      <c r="AD25" s="321">
        <v>-97935</v>
      </c>
      <c r="AE25" s="321">
        <v>-79762</v>
      </c>
      <c r="AF25" s="321">
        <v>-88918</v>
      </c>
      <c r="AG25" s="321">
        <v>-111724</v>
      </c>
      <c r="AH25" s="321">
        <v>-111049</v>
      </c>
      <c r="AI25" s="321">
        <v>-83360</v>
      </c>
      <c r="AJ25" s="321">
        <v>-77017</v>
      </c>
      <c r="AK25" s="321">
        <v>-85305</v>
      </c>
      <c r="AL25" s="321">
        <v>-93601</v>
      </c>
      <c r="AM25" s="321">
        <v>-85732</v>
      </c>
      <c r="AN25" s="321">
        <v>-100936</v>
      </c>
      <c r="AO25" s="321">
        <v>-85980</v>
      </c>
      <c r="AP25" s="322">
        <v>-60173</v>
      </c>
      <c r="AQ25" s="322">
        <v>-93165</v>
      </c>
      <c r="AR25" s="322">
        <v>-119544</v>
      </c>
      <c r="AS25" s="323">
        <v>-103227.32799999999</v>
      </c>
      <c r="AT25" s="323">
        <v>-130851.45299999999</v>
      </c>
      <c r="AU25" s="323">
        <v>-123698.613</v>
      </c>
      <c r="AV25" s="323">
        <v>-114989.694</v>
      </c>
    </row>
    <row r="26" spans="1:48">
      <c r="A26" s="137" t="s">
        <v>598</v>
      </c>
      <c r="C26" s="320">
        <v>-17785</v>
      </c>
      <c r="D26" s="320">
        <v>-14382</v>
      </c>
      <c r="E26" s="320">
        <v>-15901.481900000028</v>
      </c>
      <c r="F26" s="320">
        <v>-11332.536849999946</v>
      </c>
      <c r="G26" s="320">
        <v>-5744.8809900000015</v>
      </c>
      <c r="H26" s="320">
        <v>-12797.304569999997</v>
      </c>
      <c r="I26" s="320">
        <v>-8320.6144699999968</v>
      </c>
      <c r="J26" s="320">
        <v>-21134.058219999988</v>
      </c>
      <c r="K26" s="320">
        <v>-9534.0817099999986</v>
      </c>
      <c r="L26" s="320">
        <v>-7176.1695700000018</v>
      </c>
      <c r="M26" s="320">
        <v>-7596.1238599999997</v>
      </c>
      <c r="N26" s="320">
        <v>-20480.809129999998</v>
      </c>
      <c r="O26" s="320">
        <v>-14255.162160000009</v>
      </c>
      <c r="P26" s="320">
        <v>-23205.540080000013</v>
      </c>
      <c r="Q26" s="320">
        <v>-25116.089929999973</v>
      </c>
      <c r="R26" s="320">
        <v>-21443.833699999977</v>
      </c>
      <c r="S26" s="320">
        <v>-35198.354300000006</v>
      </c>
      <c r="T26" s="320">
        <v>-3716</v>
      </c>
      <c r="U26" s="320">
        <v>-19493</v>
      </c>
      <c r="V26" s="320">
        <v>-22845</v>
      </c>
      <c r="W26" s="320">
        <v>-32292</v>
      </c>
      <c r="X26" s="320">
        <v>-36649</v>
      </c>
      <c r="Y26" s="320">
        <v>-7394</v>
      </c>
      <c r="Z26" s="320">
        <v>-32382</v>
      </c>
      <c r="AA26" s="320">
        <v>-33180</v>
      </c>
      <c r="AB26" s="320">
        <v>-25465</v>
      </c>
      <c r="AC26" s="321">
        <v>-9695</v>
      </c>
      <c r="AD26" s="321">
        <v>-45217</v>
      </c>
      <c r="AE26" s="321">
        <v>-21746.000000000004</v>
      </c>
      <c r="AF26" s="321">
        <v>-39941</v>
      </c>
      <c r="AG26" s="321">
        <v>-16444</v>
      </c>
      <c r="AH26" s="321">
        <v>7800</v>
      </c>
      <c r="AI26" s="321">
        <v>-19673</v>
      </c>
      <c r="AJ26" s="321">
        <v>-16487</v>
      </c>
      <c r="AK26" s="321">
        <v>-25440</v>
      </c>
      <c r="AL26" s="321">
        <v>-25692</v>
      </c>
      <c r="AM26" s="321">
        <v>-31233</v>
      </c>
      <c r="AN26" s="321">
        <v>-25330</v>
      </c>
      <c r="AO26" s="321">
        <v>-26484</v>
      </c>
      <c r="AP26" s="322">
        <v>26585</v>
      </c>
      <c r="AQ26" s="322">
        <v>-31377</v>
      </c>
      <c r="AR26" s="322">
        <v>-28067</v>
      </c>
      <c r="AS26" s="323">
        <v>-27313.641</v>
      </c>
      <c r="AT26" s="323">
        <v>-112403.144</v>
      </c>
      <c r="AU26" s="323">
        <v>-37721.394</v>
      </c>
      <c r="AV26" s="323">
        <v>-32112.083999999999</v>
      </c>
    </row>
    <row r="27" spans="1:48">
      <c r="A27" s="137" t="s">
        <v>59</v>
      </c>
      <c r="C27" s="320">
        <v>-5067</v>
      </c>
      <c r="D27" s="320">
        <v>-5274</v>
      </c>
      <c r="E27" s="320">
        <v>-5090.3155000000006</v>
      </c>
      <c r="F27" s="320">
        <v>-8167.6844999999994</v>
      </c>
      <c r="G27" s="320">
        <v>-4469.9729399999796</v>
      </c>
      <c r="H27" s="320">
        <v>-4735.8415000000005</v>
      </c>
      <c r="I27" s="320">
        <v>-5305.3932299999997</v>
      </c>
      <c r="J27" s="320">
        <v>-4755.2833799999989</v>
      </c>
      <c r="K27" s="320">
        <v>-8697.33878</v>
      </c>
      <c r="L27" s="320">
        <v>-7036.8722300000009</v>
      </c>
      <c r="M27" s="320">
        <v>-6189.1158999999971</v>
      </c>
      <c r="N27" s="320">
        <v>-4641.3381300000001</v>
      </c>
      <c r="O27" s="320">
        <v>-7217.5887400000011</v>
      </c>
      <c r="P27" s="320">
        <v>-4300.4007700000002</v>
      </c>
      <c r="Q27" s="320">
        <v>-4391.3890599999968</v>
      </c>
      <c r="R27" s="320">
        <v>-4895.4560799999999</v>
      </c>
      <c r="S27" s="320">
        <v>-7501.7936100000015</v>
      </c>
      <c r="T27" s="320">
        <v>-6261</v>
      </c>
      <c r="U27" s="320">
        <v>-5702</v>
      </c>
      <c r="V27" s="320">
        <v>-653</v>
      </c>
      <c r="W27" s="320">
        <v>-2986</v>
      </c>
      <c r="X27" s="320">
        <v>-3644</v>
      </c>
      <c r="Y27" s="320">
        <v>-4964</v>
      </c>
      <c r="Z27" s="320">
        <v>-4205</v>
      </c>
      <c r="AA27" s="320">
        <v>-3455</v>
      </c>
      <c r="AB27" s="320">
        <v>-12421</v>
      </c>
      <c r="AC27" s="321">
        <v>-4446</v>
      </c>
      <c r="AD27" s="321">
        <v>1095</v>
      </c>
      <c r="AE27" s="321">
        <v>-2911</v>
      </c>
      <c r="AF27" s="321">
        <v>-5406</v>
      </c>
      <c r="AG27" s="321">
        <v>-4050</v>
      </c>
      <c r="AH27" s="321">
        <v>-5082</v>
      </c>
      <c r="AI27" s="321">
        <v>-2143</v>
      </c>
      <c r="AJ27" s="321">
        <v>-3344</v>
      </c>
      <c r="AK27" s="321">
        <v>-1216</v>
      </c>
      <c r="AL27" s="321">
        <v>-8222</v>
      </c>
      <c r="AM27" s="321">
        <v>-3466</v>
      </c>
      <c r="AN27" s="321">
        <v>-3069</v>
      </c>
      <c r="AO27" s="321">
        <v>-24485</v>
      </c>
      <c r="AP27" s="322">
        <v>-4626</v>
      </c>
      <c r="AQ27" s="322">
        <v>-6829</v>
      </c>
      <c r="AR27" s="322">
        <v>-4057</v>
      </c>
      <c r="AS27" s="323">
        <v>-3717.8249999999998</v>
      </c>
      <c r="AT27" s="323">
        <v>-10228.311</v>
      </c>
      <c r="AU27" s="323">
        <v>-5560.0389999999998</v>
      </c>
      <c r="AV27" s="323">
        <v>-7132.5540000000001</v>
      </c>
    </row>
    <row r="28" spans="1:48">
      <c r="A28" s="137" t="s">
        <v>599</v>
      </c>
      <c r="C28" s="320">
        <v>-16437</v>
      </c>
      <c r="D28" s="320">
        <v>-5000</v>
      </c>
      <c r="E28" s="320">
        <v>-4114</v>
      </c>
      <c r="F28" s="320">
        <v>-9033</v>
      </c>
      <c r="G28" s="320">
        <v>-1887</v>
      </c>
      <c r="H28" s="320">
        <v>-6151</v>
      </c>
      <c r="I28" s="320">
        <v>-4688</v>
      </c>
      <c r="J28" s="320">
        <v>-12536.027720000004</v>
      </c>
      <c r="K28" s="320">
        <v>-4561</v>
      </c>
      <c r="L28" s="320">
        <v>-3254</v>
      </c>
      <c r="M28" s="320">
        <v>-10700.71485</v>
      </c>
      <c r="N28" s="320">
        <v>-9047.6266500000056</v>
      </c>
      <c r="O28" s="320">
        <v>-7100.4402399999999</v>
      </c>
      <c r="P28" s="320">
        <v>-3729.0199600000005</v>
      </c>
      <c r="Q28" s="320">
        <v>-10779.684650000003</v>
      </c>
      <c r="R28" s="320">
        <v>-19585.957560000006</v>
      </c>
      <c r="S28" s="320">
        <v>-3709.4804500000005</v>
      </c>
      <c r="T28" s="320">
        <v>-10745</v>
      </c>
      <c r="U28" s="320">
        <v>-5569</v>
      </c>
      <c r="V28" s="320">
        <v>-24307.712639999998</v>
      </c>
      <c r="W28" s="320">
        <v>-7164</v>
      </c>
      <c r="X28" s="320">
        <v>-4797</v>
      </c>
      <c r="Y28" s="320">
        <v>-3555</v>
      </c>
      <c r="Z28" s="320">
        <v>-3764</v>
      </c>
      <c r="AA28" s="320">
        <v>-2082</v>
      </c>
      <c r="AB28" s="320">
        <v>-3068</v>
      </c>
      <c r="AC28" s="321">
        <v>-29902</v>
      </c>
      <c r="AD28" s="321">
        <v>4316</v>
      </c>
      <c r="AE28" s="321">
        <v>-1065</v>
      </c>
      <c r="AF28" s="321">
        <v>-325</v>
      </c>
      <c r="AG28" s="321">
        <v>-50</v>
      </c>
      <c r="AH28" s="321">
        <v>-842</v>
      </c>
      <c r="AI28" s="321">
        <v>855</v>
      </c>
      <c r="AJ28" s="321">
        <v>-1141</v>
      </c>
      <c r="AK28" s="321">
        <v>-973</v>
      </c>
      <c r="AL28" s="321">
        <v>-21997</v>
      </c>
      <c r="AM28" s="321">
        <v>-48061</v>
      </c>
      <c r="AN28" s="321">
        <v>-37260</v>
      </c>
      <c r="AO28" s="321">
        <v>-6722</v>
      </c>
      <c r="AP28" s="322">
        <v>2003</v>
      </c>
      <c r="AQ28" s="322">
        <v>-52165</v>
      </c>
      <c r="AR28" s="322">
        <v>-9513</v>
      </c>
      <c r="AS28" s="323">
        <v>-30704.958999999999</v>
      </c>
      <c r="AT28" s="323">
        <v>-38310.629000000001</v>
      </c>
      <c r="AU28" s="323">
        <v>-16786.718000000001</v>
      </c>
      <c r="AV28" s="323">
        <v>-25255.167000000001</v>
      </c>
    </row>
    <row r="29" spans="1:48">
      <c r="A29" s="551" t="s">
        <v>529</v>
      </c>
      <c r="C29" s="557">
        <f t="shared" ref="C29:AR29" si="5">C15+C16+C22</f>
        <v>70883</v>
      </c>
      <c r="D29" s="557">
        <f t="shared" si="5"/>
        <v>116448.28123000008</v>
      </c>
      <c r="E29" s="557">
        <f t="shared" si="5"/>
        <v>168179.29887000029</v>
      </c>
      <c r="F29" s="557">
        <f t="shared" si="5"/>
        <v>103597.00616000006</v>
      </c>
      <c r="G29" s="557">
        <f t="shared" si="5"/>
        <v>74543.249809999994</v>
      </c>
      <c r="H29" s="557">
        <f t="shared" si="5"/>
        <v>14546.750190000152</v>
      </c>
      <c r="I29" s="557">
        <f t="shared" si="5"/>
        <v>167225.75563000032</v>
      </c>
      <c r="J29" s="557">
        <f t="shared" si="5"/>
        <v>359463.52893999976</v>
      </c>
      <c r="K29" s="557">
        <f t="shared" si="5"/>
        <v>128991.54276999999</v>
      </c>
      <c r="L29" s="557">
        <f t="shared" si="5"/>
        <v>121019.20152000012</v>
      </c>
      <c r="M29" s="557">
        <f t="shared" si="5"/>
        <v>163115.89472999866</v>
      </c>
      <c r="N29" s="557">
        <f t="shared" si="5"/>
        <v>136853.16090000229</v>
      </c>
      <c r="O29" s="557">
        <f t="shared" si="5"/>
        <v>109832.66567000028</v>
      </c>
      <c r="P29" s="557">
        <f t="shared" si="5"/>
        <v>158770.60865000007</v>
      </c>
      <c r="Q29" s="557">
        <f t="shared" si="5"/>
        <v>179363.35396000007</v>
      </c>
      <c r="R29" s="557">
        <f t="shared" si="5"/>
        <v>153869.26330999995</v>
      </c>
      <c r="S29" s="557">
        <f t="shared" si="5"/>
        <v>94643.166799999861</v>
      </c>
      <c r="T29" s="557">
        <f t="shared" si="5"/>
        <v>198159</v>
      </c>
      <c r="U29" s="557">
        <f t="shared" si="5"/>
        <v>266465</v>
      </c>
      <c r="V29" s="557">
        <f t="shared" si="5"/>
        <v>225824.04986999993</v>
      </c>
      <c r="W29" s="557">
        <f t="shared" si="5"/>
        <v>161127</v>
      </c>
      <c r="X29" s="557">
        <f t="shared" si="5"/>
        <v>194548</v>
      </c>
      <c r="Y29" s="557">
        <f t="shared" si="5"/>
        <v>245127</v>
      </c>
      <c r="Z29" s="557">
        <f t="shared" si="5"/>
        <v>353349</v>
      </c>
      <c r="AA29" s="557">
        <f t="shared" si="5"/>
        <v>208816</v>
      </c>
      <c r="AB29" s="557">
        <f t="shared" si="5"/>
        <v>262834</v>
      </c>
      <c r="AC29" s="557">
        <f t="shared" si="5"/>
        <v>226644</v>
      </c>
      <c r="AD29" s="557">
        <f t="shared" si="5"/>
        <v>284942</v>
      </c>
      <c r="AE29" s="557">
        <f t="shared" si="5"/>
        <v>229606</v>
      </c>
      <c r="AF29" s="557">
        <f t="shared" si="5"/>
        <v>194731</v>
      </c>
      <c r="AG29" s="557">
        <f t="shared" si="5"/>
        <v>286951</v>
      </c>
      <c r="AH29" s="557">
        <f t="shared" si="5"/>
        <v>374657</v>
      </c>
      <c r="AI29" s="557">
        <f t="shared" si="5"/>
        <v>325982</v>
      </c>
      <c r="AJ29" s="557">
        <f t="shared" si="5"/>
        <v>295989</v>
      </c>
      <c r="AK29" s="557">
        <f t="shared" si="5"/>
        <v>344866</v>
      </c>
      <c r="AL29" s="557">
        <f t="shared" si="5"/>
        <v>498685</v>
      </c>
      <c r="AM29" s="557">
        <f t="shared" si="5"/>
        <v>234230</v>
      </c>
      <c r="AN29" s="557">
        <f t="shared" si="5"/>
        <v>187456</v>
      </c>
      <c r="AO29" s="557">
        <f t="shared" si="5"/>
        <v>219581</v>
      </c>
      <c r="AP29" s="557">
        <f t="shared" si="5"/>
        <v>538468</v>
      </c>
      <c r="AQ29" s="557">
        <f t="shared" si="5"/>
        <v>258130</v>
      </c>
      <c r="AR29" s="557">
        <f t="shared" si="5"/>
        <v>300374</v>
      </c>
      <c r="AS29" s="557">
        <f>AS15+AS16+AS22</f>
        <v>319897.50100000005</v>
      </c>
      <c r="AT29" s="557">
        <f>AT15+AT16+AT22</f>
        <v>329773.95300000015</v>
      </c>
      <c r="AU29" s="557">
        <f>AU15+AU16+AU22</f>
        <v>324701.41700000025</v>
      </c>
      <c r="AV29" s="557">
        <f>AV15+AV16+AV22</f>
        <v>316191.02999999991</v>
      </c>
    </row>
    <row r="30" spans="1:48" ht="15" thickBot="1">
      <c r="A30" s="137" t="s">
        <v>600</v>
      </c>
      <c r="C30" s="320">
        <v>-22669</v>
      </c>
      <c r="D30" s="320">
        <v>-26072</v>
      </c>
      <c r="E30" s="320">
        <v>-31798.745699999999</v>
      </c>
      <c r="F30" s="320">
        <v>-29174.089900000021</v>
      </c>
      <c r="G30" s="320">
        <v>-29917.190419999999</v>
      </c>
      <c r="H30" s="320">
        <v>-30526.809580000001</v>
      </c>
      <c r="I30" s="320">
        <v>-30933.04571999998</v>
      </c>
      <c r="J30" s="320">
        <v>-30391.668840000013</v>
      </c>
      <c r="K30" s="320">
        <v>-30992.056799999998</v>
      </c>
      <c r="L30" s="320">
        <v>-31125.228160000006</v>
      </c>
      <c r="M30" s="320">
        <v>-32066.886929999979</v>
      </c>
      <c r="N30" s="320">
        <v>-32864.329920000033</v>
      </c>
      <c r="O30" s="320">
        <v>-33743.273390000002</v>
      </c>
      <c r="P30" s="320">
        <v>-34717.168469999997</v>
      </c>
      <c r="Q30" s="320">
        <v>-36816.449590000004</v>
      </c>
      <c r="R30" s="320">
        <v>-38350.81914</v>
      </c>
      <c r="S30" s="320">
        <v>-40847.335009999995</v>
      </c>
      <c r="T30" s="320">
        <v>-42803</v>
      </c>
      <c r="U30" s="320">
        <v>-42398</v>
      </c>
      <c r="V30" s="320">
        <v>-42516</v>
      </c>
      <c r="W30" s="320">
        <v>-43043</v>
      </c>
      <c r="X30" s="320">
        <v>-40500</v>
      </c>
      <c r="Y30" s="320">
        <v>-43720</v>
      </c>
      <c r="Z30" s="320">
        <v>-44426</v>
      </c>
      <c r="AA30" s="320">
        <v>-44957</v>
      </c>
      <c r="AB30" s="320">
        <v>-45623</v>
      </c>
      <c r="AC30" s="321">
        <v>-45469</v>
      </c>
      <c r="AD30" s="321">
        <v>-47742</v>
      </c>
      <c r="AE30" s="321">
        <v>-47240</v>
      </c>
      <c r="AF30" s="321">
        <v>-46604</v>
      </c>
      <c r="AG30" s="321">
        <v>-47991</v>
      </c>
      <c r="AH30" s="321">
        <v>-48632</v>
      </c>
      <c r="AI30" s="321">
        <v>-53288</v>
      </c>
      <c r="AJ30" s="321">
        <v>-53277</v>
      </c>
      <c r="AK30" s="321">
        <v>-53687</v>
      </c>
      <c r="AL30" s="321">
        <v>-62309</v>
      </c>
      <c r="AM30" s="321">
        <v>-55792</v>
      </c>
      <c r="AN30" s="321">
        <v>-56117</v>
      </c>
      <c r="AO30" s="321">
        <v>-56798</v>
      </c>
      <c r="AP30" s="322">
        <v>-61615</v>
      </c>
      <c r="AQ30" s="322">
        <v>-60576</v>
      </c>
      <c r="AR30" s="322">
        <v>-57595</v>
      </c>
      <c r="AS30" s="323">
        <v>-62471.908000000003</v>
      </c>
      <c r="AT30" s="323">
        <v>-71274.297000000006</v>
      </c>
      <c r="AU30" s="323">
        <v>-69652.099000000002</v>
      </c>
      <c r="AV30" s="323">
        <v>-71988.197</v>
      </c>
    </row>
    <row r="31" spans="1:48" ht="15" thickBot="1">
      <c r="A31" s="140" t="s">
        <v>601</v>
      </c>
      <c r="C31" s="319">
        <f t="shared" ref="C31" si="6">SUM(C29:C30)</f>
        <v>48214</v>
      </c>
      <c r="D31" s="319">
        <f t="shared" ref="D31:AR31" si="7">SUM(D29:D30)</f>
        <v>90376.281230000081</v>
      </c>
      <c r="E31" s="319">
        <f t="shared" si="7"/>
        <v>136380.55317000029</v>
      </c>
      <c r="F31" s="319">
        <f t="shared" si="7"/>
        <v>74422.916260000042</v>
      </c>
      <c r="G31" s="319">
        <f t="shared" si="7"/>
        <v>44626.059389999995</v>
      </c>
      <c r="H31" s="319">
        <f t="shared" si="7"/>
        <v>-15980.059389999849</v>
      </c>
      <c r="I31" s="319">
        <f t="shared" si="7"/>
        <v>136292.70991000033</v>
      </c>
      <c r="J31" s="319">
        <f t="shared" si="7"/>
        <v>329071.86009999976</v>
      </c>
      <c r="K31" s="319">
        <f t="shared" si="7"/>
        <v>97999.48596999998</v>
      </c>
      <c r="L31" s="319">
        <f t="shared" si="7"/>
        <v>89893.97336000012</v>
      </c>
      <c r="M31" s="319">
        <f t="shared" si="7"/>
        <v>131049.00779999868</v>
      </c>
      <c r="N31" s="319">
        <f t="shared" si="7"/>
        <v>103988.83098000225</v>
      </c>
      <c r="O31" s="319">
        <f t="shared" si="7"/>
        <v>76089.392280000277</v>
      </c>
      <c r="P31" s="319">
        <f t="shared" si="7"/>
        <v>124053.44018000006</v>
      </c>
      <c r="Q31" s="319">
        <f t="shared" si="7"/>
        <v>142546.90437000006</v>
      </c>
      <c r="R31" s="319">
        <f t="shared" si="7"/>
        <v>115518.44416999994</v>
      </c>
      <c r="S31" s="319">
        <f t="shared" si="7"/>
        <v>53795.831789999866</v>
      </c>
      <c r="T31" s="319">
        <f t="shared" si="7"/>
        <v>155356</v>
      </c>
      <c r="U31" s="319">
        <f t="shared" si="7"/>
        <v>224067</v>
      </c>
      <c r="V31" s="319">
        <f t="shared" si="7"/>
        <v>183308.04986999993</v>
      </c>
      <c r="W31" s="319">
        <f t="shared" si="7"/>
        <v>118084</v>
      </c>
      <c r="X31" s="319">
        <f t="shared" si="7"/>
        <v>154048</v>
      </c>
      <c r="Y31" s="319">
        <f t="shared" si="7"/>
        <v>201407</v>
      </c>
      <c r="Z31" s="319">
        <f t="shared" si="7"/>
        <v>308923</v>
      </c>
      <c r="AA31" s="319">
        <f t="shared" si="7"/>
        <v>163859</v>
      </c>
      <c r="AB31" s="319">
        <f t="shared" si="7"/>
        <v>217211</v>
      </c>
      <c r="AC31" s="319">
        <f t="shared" si="7"/>
        <v>181175</v>
      </c>
      <c r="AD31" s="319">
        <f t="shared" si="7"/>
        <v>237200</v>
      </c>
      <c r="AE31" s="319">
        <f t="shared" si="7"/>
        <v>182366</v>
      </c>
      <c r="AF31" s="319">
        <f t="shared" si="7"/>
        <v>148127</v>
      </c>
      <c r="AG31" s="319">
        <f t="shared" si="7"/>
        <v>238960</v>
      </c>
      <c r="AH31" s="319">
        <f t="shared" si="7"/>
        <v>326025</v>
      </c>
      <c r="AI31" s="319">
        <f t="shared" si="7"/>
        <v>272694</v>
      </c>
      <c r="AJ31" s="319">
        <f t="shared" si="7"/>
        <v>242712</v>
      </c>
      <c r="AK31" s="319">
        <f t="shared" si="7"/>
        <v>291179</v>
      </c>
      <c r="AL31" s="319">
        <f t="shared" si="7"/>
        <v>436376</v>
      </c>
      <c r="AM31" s="319">
        <f t="shared" si="7"/>
        <v>178438</v>
      </c>
      <c r="AN31" s="319">
        <f t="shared" si="7"/>
        <v>131339</v>
      </c>
      <c r="AO31" s="319">
        <f t="shared" si="7"/>
        <v>162783</v>
      </c>
      <c r="AP31" s="319">
        <f t="shared" si="7"/>
        <v>476853</v>
      </c>
      <c r="AQ31" s="319">
        <f t="shared" si="7"/>
        <v>197554</v>
      </c>
      <c r="AR31" s="319">
        <f t="shared" si="7"/>
        <v>242779</v>
      </c>
      <c r="AS31" s="319">
        <f>SUM(AS29:AS30)</f>
        <v>257425.59300000005</v>
      </c>
      <c r="AT31" s="319">
        <f>SUM(AT29:AT30)</f>
        <v>258499.65600000013</v>
      </c>
      <c r="AU31" s="319">
        <f>SUM(AU29:AU30)</f>
        <v>255049.31800000026</v>
      </c>
      <c r="AV31" s="319">
        <f>SUM(AV29:AV30)</f>
        <v>244202.83299999993</v>
      </c>
    </row>
    <row r="32" spans="1:48" ht="15" thickBot="1">
      <c r="A32" s="140" t="s">
        <v>531</v>
      </c>
      <c r="C32" s="332">
        <f>SUM(C33:C34)</f>
        <v>-18211.854940000005</v>
      </c>
      <c r="D32" s="332">
        <f t="shared" ref="D32:AR32" si="8">SUM(D33:D34)</f>
        <v>-18650.770120000001</v>
      </c>
      <c r="E32" s="332">
        <f t="shared" si="8"/>
        <v>-39178.374939999994</v>
      </c>
      <c r="F32" s="332">
        <f t="shared" si="8"/>
        <v>-31866.495669999989</v>
      </c>
      <c r="G32" s="332">
        <f t="shared" si="8"/>
        <v>-17452.059389999995</v>
      </c>
      <c r="H32" s="332">
        <f t="shared" si="8"/>
        <v>-15162.940610000005</v>
      </c>
      <c r="I32" s="332">
        <f t="shared" si="8"/>
        <v>-30901.846819999962</v>
      </c>
      <c r="J32" s="332">
        <f t="shared" si="8"/>
        <v>-29988.389330000035</v>
      </c>
      <c r="K32" s="332">
        <f t="shared" si="8"/>
        <v>-23003</v>
      </c>
      <c r="L32" s="332">
        <f t="shared" si="8"/>
        <v>4507</v>
      </c>
      <c r="M32" s="332">
        <f t="shared" si="8"/>
        <v>-6117.6607900001691</v>
      </c>
      <c r="N32" s="332">
        <f t="shared" si="8"/>
        <v>44796.693980000156</v>
      </c>
      <c r="O32" s="332">
        <f t="shared" si="8"/>
        <v>19430.372239999997</v>
      </c>
      <c r="P32" s="332">
        <f t="shared" si="8"/>
        <v>15242.782919999969</v>
      </c>
      <c r="Q32" s="332">
        <f t="shared" si="8"/>
        <v>10420.635799999989</v>
      </c>
      <c r="R32" s="332">
        <f t="shared" si="8"/>
        <v>-13889.206259999992</v>
      </c>
      <c r="S32" s="332">
        <f t="shared" si="8"/>
        <v>-15541.344730000004</v>
      </c>
      <c r="T32" s="332">
        <f t="shared" si="8"/>
        <v>-12071</v>
      </c>
      <c r="U32" s="332">
        <f t="shared" si="8"/>
        <v>4338</v>
      </c>
      <c r="V32" s="332">
        <f t="shared" si="8"/>
        <v>-1693</v>
      </c>
      <c r="W32" s="332">
        <f t="shared" si="8"/>
        <v>-14873</v>
      </c>
      <c r="X32" s="332">
        <f t="shared" si="8"/>
        <v>-15305</v>
      </c>
      <c r="Y32" s="332">
        <f t="shared" si="8"/>
        <v>-10574</v>
      </c>
      <c r="Z32" s="332">
        <f t="shared" si="8"/>
        <v>71567</v>
      </c>
      <c r="AA32" s="332">
        <f t="shared" si="8"/>
        <v>-8221</v>
      </c>
      <c r="AB32" s="332">
        <f t="shared" si="8"/>
        <v>-10624</v>
      </c>
      <c r="AC32" s="332">
        <f t="shared" si="8"/>
        <v>656</v>
      </c>
      <c r="AD32" s="332">
        <f t="shared" si="8"/>
        <v>3224</v>
      </c>
      <c r="AE32" s="332">
        <f t="shared" si="8"/>
        <v>-16393</v>
      </c>
      <c r="AF32" s="332">
        <f t="shared" si="8"/>
        <v>3809</v>
      </c>
      <c r="AG32" s="332">
        <f t="shared" si="8"/>
        <v>-9606</v>
      </c>
      <c r="AH32" s="332">
        <f t="shared" si="8"/>
        <v>-20022</v>
      </c>
      <c r="AI32" s="332">
        <f t="shared" si="8"/>
        <v>-27005</v>
      </c>
      <c r="AJ32" s="332">
        <f t="shared" si="8"/>
        <v>-10746</v>
      </c>
      <c r="AK32" s="332">
        <f t="shared" si="8"/>
        <v>-19916</v>
      </c>
      <c r="AL32" s="332">
        <f t="shared" si="8"/>
        <v>-29306</v>
      </c>
      <c r="AM32" s="332">
        <f t="shared" si="8"/>
        <v>-16502</v>
      </c>
      <c r="AN32" s="332">
        <f t="shared" si="8"/>
        <v>-132999</v>
      </c>
      <c r="AO32" s="332">
        <f t="shared" si="8"/>
        <v>-52475</v>
      </c>
      <c r="AP32" s="332">
        <f t="shared" si="8"/>
        <v>-7240</v>
      </c>
      <c r="AQ32" s="332">
        <f t="shared" si="8"/>
        <v>-45487</v>
      </c>
      <c r="AR32" s="332">
        <f t="shared" si="8"/>
        <v>-45160</v>
      </c>
      <c r="AS32" s="332">
        <f>SUM(AS33:AS34)</f>
        <v>-16716.156000000003</v>
      </c>
      <c r="AT32" s="332">
        <f>SUM(AT33:AT34)</f>
        <v>-29889.614000000001</v>
      </c>
      <c r="AU32" s="332">
        <f>SUM(AU33:AU34)</f>
        <v>-62018.052999999985</v>
      </c>
      <c r="AV32" s="332">
        <f>SUM(AV33:AV34)</f>
        <v>-58759.452000000005</v>
      </c>
    </row>
    <row r="33" spans="1:48">
      <c r="A33" s="137" t="s">
        <v>532</v>
      </c>
      <c r="C33" s="320">
        <v>31807</v>
      </c>
      <c r="D33" s="320">
        <v>27991.800000000003</v>
      </c>
      <c r="E33" s="320">
        <v>36904.199999999997</v>
      </c>
      <c r="F33" s="320">
        <v>34321.504330000011</v>
      </c>
      <c r="G33" s="320">
        <v>40661.580569999998</v>
      </c>
      <c r="H33" s="320">
        <v>38475.419430000002</v>
      </c>
      <c r="I33" s="320">
        <v>36450.92065</v>
      </c>
      <c r="J33" s="320">
        <v>268727.87357</v>
      </c>
      <c r="K33" s="320">
        <v>105378</v>
      </c>
      <c r="L33" s="320">
        <v>84076</v>
      </c>
      <c r="M33" s="320">
        <v>143230.36141999994</v>
      </c>
      <c r="N33" s="320">
        <v>133895.14516000001</v>
      </c>
      <c r="O33" s="320">
        <v>90623.914919999996</v>
      </c>
      <c r="P33" s="320">
        <v>154814.23532000004</v>
      </c>
      <c r="Q33" s="320">
        <v>81234.575330000007</v>
      </c>
      <c r="R33" s="320">
        <v>61181.272270000001</v>
      </c>
      <c r="S33" s="320">
        <v>58751.783490000009</v>
      </c>
      <c r="T33" s="320">
        <v>51485</v>
      </c>
      <c r="U33" s="320">
        <v>80233</v>
      </c>
      <c r="V33" s="320">
        <v>60471</v>
      </c>
      <c r="W33" s="320">
        <v>54563</v>
      </c>
      <c r="X33" s="320">
        <v>55295</v>
      </c>
      <c r="Y33" s="320">
        <v>51587</v>
      </c>
      <c r="Z33" s="320">
        <v>154588</v>
      </c>
      <c r="AA33" s="320">
        <v>48913</v>
      </c>
      <c r="AB33" s="320">
        <v>52231</v>
      </c>
      <c r="AC33" s="321">
        <v>52416</v>
      </c>
      <c r="AD33" s="321">
        <v>49277</v>
      </c>
      <c r="AE33" s="321">
        <v>39609</v>
      </c>
      <c r="AF33" s="324">
        <v>30295</v>
      </c>
      <c r="AG33" s="324">
        <v>35428</v>
      </c>
      <c r="AH33" s="324">
        <v>46343</v>
      </c>
      <c r="AI33" s="324">
        <v>63314</v>
      </c>
      <c r="AJ33" s="324">
        <v>41303</v>
      </c>
      <c r="AK33" s="324">
        <v>33214</v>
      </c>
      <c r="AL33" s="324">
        <v>66105</v>
      </c>
      <c r="AM33" s="324">
        <v>125366</v>
      </c>
      <c r="AN33" s="324">
        <v>59625</v>
      </c>
      <c r="AO33" s="324">
        <v>79165</v>
      </c>
      <c r="AP33" s="328">
        <v>85041</v>
      </c>
      <c r="AQ33" s="328">
        <v>93580</v>
      </c>
      <c r="AR33" s="328">
        <v>104059</v>
      </c>
      <c r="AS33" s="329">
        <v>93595.925000000003</v>
      </c>
      <c r="AT33" s="329">
        <v>132800.52600000001</v>
      </c>
      <c r="AU33" s="329">
        <v>141169.11600000001</v>
      </c>
      <c r="AV33" s="329">
        <v>112493.04700000001</v>
      </c>
    </row>
    <row r="34" spans="1:48" ht="15" thickBot="1">
      <c r="A34" s="137" t="s">
        <v>541</v>
      </c>
      <c r="C34" s="320">
        <v>-50018.854940000005</v>
      </c>
      <c r="D34" s="320">
        <v>-46642.570120000004</v>
      </c>
      <c r="E34" s="320">
        <v>-76082.574939999991</v>
      </c>
      <c r="F34" s="320">
        <v>-66188</v>
      </c>
      <c r="G34" s="320">
        <v>-58113.639959999993</v>
      </c>
      <c r="H34" s="320">
        <v>-53638.360040000007</v>
      </c>
      <c r="I34" s="320">
        <v>-67352.767469999962</v>
      </c>
      <c r="J34" s="320">
        <v>-298716.26290000003</v>
      </c>
      <c r="K34" s="320">
        <v>-128381</v>
      </c>
      <c r="L34" s="320">
        <v>-79569</v>
      </c>
      <c r="M34" s="320">
        <v>-149348.02221000011</v>
      </c>
      <c r="N34" s="320">
        <v>-89098.451179999858</v>
      </c>
      <c r="O34" s="320">
        <v>-71193.542679999999</v>
      </c>
      <c r="P34" s="320">
        <v>-139571.45240000007</v>
      </c>
      <c r="Q34" s="320">
        <v>-70813.939530000018</v>
      </c>
      <c r="R34" s="320">
        <v>-75070.478529999993</v>
      </c>
      <c r="S34" s="320">
        <v>-74293.128220000013</v>
      </c>
      <c r="T34" s="320">
        <v>-63556</v>
      </c>
      <c r="U34" s="320">
        <v>-75895</v>
      </c>
      <c r="V34" s="320">
        <v>-62164</v>
      </c>
      <c r="W34" s="320">
        <v>-69436</v>
      </c>
      <c r="X34" s="320">
        <v>-70600</v>
      </c>
      <c r="Y34" s="320">
        <v>-62161</v>
      </c>
      <c r="Z34" s="320">
        <v>-83021</v>
      </c>
      <c r="AA34" s="320">
        <v>-57134</v>
      </c>
      <c r="AB34" s="320">
        <v>-62855</v>
      </c>
      <c r="AC34" s="321">
        <v>-51760</v>
      </c>
      <c r="AD34" s="321">
        <v>-46053</v>
      </c>
      <c r="AE34" s="321">
        <v>-56002</v>
      </c>
      <c r="AF34" s="324">
        <v>-26486</v>
      </c>
      <c r="AG34" s="324">
        <v>-45034</v>
      </c>
      <c r="AH34" s="324">
        <v>-66365</v>
      </c>
      <c r="AI34" s="324">
        <v>-90319</v>
      </c>
      <c r="AJ34" s="324">
        <v>-52049</v>
      </c>
      <c r="AK34" s="324">
        <v>-53130</v>
      </c>
      <c r="AL34" s="324">
        <v>-95411</v>
      </c>
      <c r="AM34" s="324">
        <v>-141868</v>
      </c>
      <c r="AN34" s="324">
        <v>-192624</v>
      </c>
      <c r="AO34" s="324">
        <v>-131640</v>
      </c>
      <c r="AP34" s="328">
        <v>-92281</v>
      </c>
      <c r="AQ34" s="328">
        <v>-139067</v>
      </c>
      <c r="AR34" s="328">
        <v>-149219</v>
      </c>
      <c r="AS34" s="329">
        <v>-110312.08100000001</v>
      </c>
      <c r="AT34" s="329">
        <v>-162690.14000000001</v>
      </c>
      <c r="AU34" s="329">
        <v>-203187.16899999999</v>
      </c>
      <c r="AV34" s="329">
        <v>-171252.49900000001</v>
      </c>
    </row>
    <row r="35" spans="1:48" ht="15" thickBot="1">
      <c r="A35" s="140" t="s">
        <v>602</v>
      </c>
      <c r="C35" s="319">
        <f t="shared" ref="C35:AR35" si="9">SUM(C31:C32)</f>
        <v>30002.145059999995</v>
      </c>
      <c r="D35" s="319">
        <f t="shared" si="9"/>
        <v>71725.511110000079</v>
      </c>
      <c r="E35" s="319">
        <f t="shared" si="9"/>
        <v>97202.178230000296</v>
      </c>
      <c r="F35" s="319">
        <f t="shared" si="9"/>
        <v>42556.420590000052</v>
      </c>
      <c r="G35" s="319">
        <f t="shared" si="9"/>
        <v>27174</v>
      </c>
      <c r="H35" s="319">
        <f t="shared" si="9"/>
        <v>-31142.999999999854</v>
      </c>
      <c r="I35" s="319">
        <f t="shared" si="9"/>
        <v>105390.86309000036</v>
      </c>
      <c r="J35" s="319">
        <f t="shared" si="9"/>
        <v>299083.47076999972</v>
      </c>
      <c r="K35" s="319">
        <f t="shared" si="9"/>
        <v>74996.48596999998</v>
      </c>
      <c r="L35" s="319">
        <f t="shared" si="9"/>
        <v>94400.97336000012</v>
      </c>
      <c r="M35" s="319">
        <f t="shared" si="9"/>
        <v>124931.34700999851</v>
      </c>
      <c r="N35" s="319">
        <f t="shared" si="9"/>
        <v>148785.5249600024</v>
      </c>
      <c r="O35" s="319">
        <f t="shared" si="9"/>
        <v>95519.764520000273</v>
      </c>
      <c r="P35" s="319">
        <f t="shared" si="9"/>
        <v>139296.22310000003</v>
      </c>
      <c r="Q35" s="319">
        <f t="shared" si="9"/>
        <v>152967.54017000005</v>
      </c>
      <c r="R35" s="319">
        <f t="shared" si="9"/>
        <v>101629.23790999995</v>
      </c>
      <c r="S35" s="319">
        <f t="shared" si="9"/>
        <v>38254.487059999861</v>
      </c>
      <c r="T35" s="319">
        <f t="shared" si="9"/>
        <v>143285</v>
      </c>
      <c r="U35" s="319">
        <f t="shared" si="9"/>
        <v>228405</v>
      </c>
      <c r="V35" s="319">
        <f t="shared" si="9"/>
        <v>181615.04986999993</v>
      </c>
      <c r="W35" s="319">
        <f t="shared" si="9"/>
        <v>103211</v>
      </c>
      <c r="X35" s="319">
        <f t="shared" si="9"/>
        <v>138743</v>
      </c>
      <c r="Y35" s="319">
        <f t="shared" si="9"/>
        <v>190833</v>
      </c>
      <c r="Z35" s="319">
        <f t="shared" si="9"/>
        <v>380490</v>
      </c>
      <c r="AA35" s="319">
        <f t="shared" si="9"/>
        <v>155638</v>
      </c>
      <c r="AB35" s="319">
        <f t="shared" si="9"/>
        <v>206587</v>
      </c>
      <c r="AC35" s="319">
        <f t="shared" si="9"/>
        <v>181831</v>
      </c>
      <c r="AD35" s="319">
        <f t="shared" si="9"/>
        <v>240424</v>
      </c>
      <c r="AE35" s="319">
        <f t="shared" si="9"/>
        <v>165973</v>
      </c>
      <c r="AF35" s="319">
        <f t="shared" si="9"/>
        <v>151936</v>
      </c>
      <c r="AG35" s="319">
        <f t="shared" si="9"/>
        <v>229354</v>
      </c>
      <c r="AH35" s="319">
        <f t="shared" si="9"/>
        <v>306003</v>
      </c>
      <c r="AI35" s="319">
        <f t="shared" si="9"/>
        <v>245689</v>
      </c>
      <c r="AJ35" s="319">
        <f t="shared" si="9"/>
        <v>231966</v>
      </c>
      <c r="AK35" s="319">
        <f t="shared" si="9"/>
        <v>271263</v>
      </c>
      <c r="AL35" s="319">
        <f t="shared" si="9"/>
        <v>407070</v>
      </c>
      <c r="AM35" s="319">
        <f t="shared" si="9"/>
        <v>161936</v>
      </c>
      <c r="AN35" s="319">
        <f t="shared" si="9"/>
        <v>-1660</v>
      </c>
      <c r="AO35" s="319">
        <f t="shared" si="9"/>
        <v>110308</v>
      </c>
      <c r="AP35" s="319">
        <f t="shared" si="9"/>
        <v>469613</v>
      </c>
      <c r="AQ35" s="319">
        <f t="shared" si="9"/>
        <v>152067</v>
      </c>
      <c r="AR35" s="319">
        <f t="shared" si="9"/>
        <v>197619</v>
      </c>
      <c r="AS35" s="319">
        <f>SUM(AS31:AS32)</f>
        <v>240709.43700000003</v>
      </c>
      <c r="AT35" s="319">
        <f>SUM(AT31:AT32)</f>
        <v>228610.04200000013</v>
      </c>
      <c r="AU35" s="319">
        <f>SUM(AU31:AU32)</f>
        <v>193031.26500000028</v>
      </c>
      <c r="AV35" s="319">
        <f>SUM(AV31:AV32)</f>
        <v>185443.38099999994</v>
      </c>
    </row>
    <row r="36" spans="1:48">
      <c r="A36" s="137" t="s">
        <v>553</v>
      </c>
      <c r="C36" s="320">
        <v>-727</v>
      </c>
      <c r="D36" s="320">
        <v>-10949.01849</v>
      </c>
      <c r="E36" s="320">
        <v>2792.0184900000004</v>
      </c>
      <c r="F36" s="320">
        <v>-5276</v>
      </c>
      <c r="G36" s="320">
        <v>-8531</v>
      </c>
      <c r="H36" s="320">
        <v>4227</v>
      </c>
      <c r="I36" s="320">
        <v>-13948.08684</v>
      </c>
      <c r="J36" s="320">
        <v>-20824.730080000005</v>
      </c>
      <c r="K36" s="320">
        <v>-3547</v>
      </c>
      <c r="L36" s="320">
        <v>-7635.733119999999</v>
      </c>
      <c r="M36" s="320">
        <v>-5989.1582099999996</v>
      </c>
      <c r="N36" s="320">
        <v>-14796.244830000003</v>
      </c>
      <c r="O36" s="320">
        <v>-7307.72156</v>
      </c>
      <c r="P36" s="320">
        <v>-14075.58632</v>
      </c>
      <c r="Q36" s="320">
        <v>-14703.26273</v>
      </c>
      <c r="R36" s="320">
        <v>-4357.4177199999986</v>
      </c>
      <c r="S36" s="320">
        <v>-9121.3269799999998</v>
      </c>
      <c r="T36" s="320">
        <v>-9519</v>
      </c>
      <c r="U36" s="320">
        <v>-19022</v>
      </c>
      <c r="V36" s="320">
        <v>-20029</v>
      </c>
      <c r="W36" s="320">
        <v>-9143</v>
      </c>
      <c r="X36" s="320">
        <v>-12982</v>
      </c>
      <c r="Y36" s="320">
        <v>-15621</v>
      </c>
      <c r="Z36" s="320">
        <v>-35516</v>
      </c>
      <c r="AA36" s="320">
        <v>-12793</v>
      </c>
      <c r="AB36" s="320">
        <v>-17683</v>
      </c>
      <c r="AC36" s="321">
        <v>-16427</v>
      </c>
      <c r="AD36" s="321">
        <v>-20439</v>
      </c>
      <c r="AE36" s="321">
        <v>-15957</v>
      </c>
      <c r="AF36" s="324">
        <v>-14243</v>
      </c>
      <c r="AG36" s="324">
        <v>-18968</v>
      </c>
      <c r="AH36" s="324">
        <v>-25276</v>
      </c>
      <c r="AI36" s="324">
        <v>-14904</v>
      </c>
      <c r="AJ36" s="324">
        <v>-25389</v>
      </c>
      <c r="AK36" s="324">
        <v>-16190</v>
      </c>
      <c r="AL36" s="324">
        <v>-3878</v>
      </c>
      <c r="AM36" s="324">
        <v>-11934</v>
      </c>
      <c r="AN36" s="324">
        <v>0</v>
      </c>
      <c r="AO36" s="324">
        <v>-10198</v>
      </c>
      <c r="AP36" s="328">
        <v>-29190</v>
      </c>
      <c r="AQ36" s="328">
        <v>-8430</v>
      </c>
      <c r="AR36" s="328">
        <v>-20420</v>
      </c>
      <c r="AS36" s="329">
        <v>-18214.61</v>
      </c>
      <c r="AT36" s="329">
        <v>14445.191999999999</v>
      </c>
      <c r="AU36" s="329">
        <v>-6984.5630000000001</v>
      </c>
      <c r="AV36" s="329">
        <v>-7800.5110000000004</v>
      </c>
    </row>
    <row r="37" spans="1:48">
      <c r="A37" s="137" t="s">
        <v>554</v>
      </c>
      <c r="C37" s="320">
        <v>-1966</v>
      </c>
      <c r="D37" s="320">
        <v>-29500.54696</v>
      </c>
      <c r="E37" s="320">
        <v>7471.5469599999997</v>
      </c>
      <c r="F37" s="320">
        <v>-9229</v>
      </c>
      <c r="G37" s="320">
        <v>-11580</v>
      </c>
      <c r="H37" s="320">
        <v>-78</v>
      </c>
      <c r="I37" s="320">
        <v>-32543.61537</v>
      </c>
      <c r="J37" s="320">
        <v>-25648.06151</v>
      </c>
      <c r="K37" s="320">
        <v>-9611</v>
      </c>
      <c r="L37" s="320">
        <v>-20536.208760000001</v>
      </c>
      <c r="M37" s="320">
        <v>-16264.17067</v>
      </c>
      <c r="N37" s="320">
        <v>-24608.941819999993</v>
      </c>
      <c r="O37" s="320">
        <v>-13244.736929999999</v>
      </c>
      <c r="P37" s="320">
        <v>-19218.429059999999</v>
      </c>
      <c r="Q37" s="320">
        <v>-25053.904169999998</v>
      </c>
      <c r="R37" s="320">
        <v>-18191.762260000007</v>
      </c>
      <c r="S37" s="320">
        <v>-11512.129199999999</v>
      </c>
      <c r="T37" s="320">
        <v>-20375</v>
      </c>
      <c r="U37" s="320">
        <v>-32842</v>
      </c>
      <c r="V37" s="320">
        <v>-32029</v>
      </c>
      <c r="W37" s="320">
        <v>-17733</v>
      </c>
      <c r="X37" s="320">
        <v>-20965</v>
      </c>
      <c r="Y37" s="320">
        <v>-28903</v>
      </c>
      <c r="Z37" s="320">
        <v>-66768</v>
      </c>
      <c r="AA37" s="320">
        <v>-23554</v>
      </c>
      <c r="AB37" s="320">
        <v>-33995</v>
      </c>
      <c r="AC37" s="321">
        <v>-35350</v>
      </c>
      <c r="AD37" s="321">
        <v>-43067</v>
      </c>
      <c r="AE37" s="321">
        <v>-37057</v>
      </c>
      <c r="AF37" s="321">
        <v>-44898</v>
      </c>
      <c r="AG37" s="321">
        <v>-58057</v>
      </c>
      <c r="AH37" s="321">
        <v>-76743</v>
      </c>
      <c r="AI37" s="321">
        <v>-50592</v>
      </c>
      <c r="AJ37" s="321">
        <v>-75281</v>
      </c>
      <c r="AK37" s="321">
        <v>-51362</v>
      </c>
      <c r="AL37" s="321">
        <v>-19858</v>
      </c>
      <c r="AM37" s="321">
        <v>-38334</v>
      </c>
      <c r="AN37" s="321">
        <v>0</v>
      </c>
      <c r="AO37" s="324">
        <v>-29011</v>
      </c>
      <c r="AP37" s="328">
        <v>-98842</v>
      </c>
      <c r="AQ37" s="328">
        <v>-29472</v>
      </c>
      <c r="AR37" s="328">
        <v>-62844</v>
      </c>
      <c r="AS37" s="329">
        <v>-56917.595999999998</v>
      </c>
      <c r="AT37" s="329">
        <v>10362.227000000001</v>
      </c>
      <c r="AU37" s="329">
        <v>-24413.936000000002</v>
      </c>
      <c r="AV37" s="329">
        <v>-27129.073</v>
      </c>
    </row>
    <row r="38" spans="1:48">
      <c r="A38" s="137" t="s">
        <v>603</v>
      </c>
      <c r="C38" s="320">
        <v>-10891</v>
      </c>
      <c r="D38" s="320">
        <v>18790.8639</v>
      </c>
      <c r="E38" s="320">
        <v>-43035.863899999997</v>
      </c>
      <c r="F38" s="320">
        <v>179</v>
      </c>
      <c r="G38" s="320">
        <v>11030</v>
      </c>
      <c r="H38" s="320">
        <v>6228</v>
      </c>
      <c r="I38" s="320">
        <v>10579.347850000002</v>
      </c>
      <c r="J38" s="320">
        <v>-54581.189530000003</v>
      </c>
      <c r="K38" s="320">
        <v>-12530</v>
      </c>
      <c r="L38" s="320">
        <v>-3959.4448200000006</v>
      </c>
      <c r="M38" s="320">
        <v>-20303.336639999998</v>
      </c>
      <c r="N38" s="320">
        <v>-10550.412669999998</v>
      </c>
      <c r="O38" s="320">
        <v>-12235.779309999998</v>
      </c>
      <c r="P38" s="320">
        <v>-13971.265069999999</v>
      </c>
      <c r="Q38" s="320">
        <v>-12140.635629999995</v>
      </c>
      <c r="R38" s="320">
        <v>-10827.055450000007</v>
      </c>
      <c r="S38" s="320">
        <v>7434.0502800000004</v>
      </c>
      <c r="T38" s="320">
        <v>-19401</v>
      </c>
      <c r="U38" s="320">
        <v>-25591</v>
      </c>
      <c r="V38" s="320">
        <v>-6693</v>
      </c>
      <c r="W38" s="320">
        <v>-8987</v>
      </c>
      <c r="X38" s="320">
        <v>-14554</v>
      </c>
      <c r="Y38" s="320">
        <v>-17389</v>
      </c>
      <c r="Z38" s="320">
        <v>-24719</v>
      </c>
      <c r="AA38" s="320">
        <v>-16255</v>
      </c>
      <c r="AB38" s="320">
        <v>-16374</v>
      </c>
      <c r="AC38" s="321">
        <v>-11461</v>
      </c>
      <c r="AD38" s="321">
        <v>-15834</v>
      </c>
      <c r="AE38" s="321">
        <v>-3275</v>
      </c>
      <c r="AF38" s="321">
        <v>7623</v>
      </c>
      <c r="AG38" s="321">
        <v>-737</v>
      </c>
      <c r="AH38" s="321">
        <v>-9472</v>
      </c>
      <c r="AI38" s="321">
        <v>-20880</v>
      </c>
      <c r="AJ38" s="324">
        <v>24451</v>
      </c>
      <c r="AK38" s="324">
        <v>-26304</v>
      </c>
      <c r="AL38" s="324">
        <v>-76998</v>
      </c>
      <c r="AM38" s="324">
        <v>-4259</v>
      </c>
      <c r="AN38" s="324">
        <v>-174</v>
      </c>
      <c r="AO38" s="324">
        <v>-5615</v>
      </c>
      <c r="AP38" s="328">
        <v>-30013</v>
      </c>
      <c r="AQ38" s="328">
        <v>-14190</v>
      </c>
      <c r="AR38" s="328">
        <v>14687</v>
      </c>
      <c r="AS38" s="329">
        <v>-7121.0789999999997</v>
      </c>
      <c r="AT38" s="329">
        <v>-45756.873</v>
      </c>
      <c r="AU38" s="329">
        <v>-30818.718000000001</v>
      </c>
      <c r="AV38" s="329">
        <v>-25648.276999999998</v>
      </c>
    </row>
    <row r="39" spans="1:48" ht="15" thickBot="1">
      <c r="A39" s="137" t="s">
        <v>555</v>
      </c>
      <c r="C39" s="320">
        <v>1966</v>
      </c>
      <c r="D39" s="320">
        <v>29500.54696</v>
      </c>
      <c r="E39" s="320">
        <v>-7593.5469599999997</v>
      </c>
      <c r="F39" s="320">
        <v>9228</v>
      </c>
      <c r="G39" s="320">
        <v>11580</v>
      </c>
      <c r="H39" s="320">
        <v>78</v>
      </c>
      <c r="I39" s="320">
        <v>32543.61537</v>
      </c>
      <c r="J39" s="320">
        <v>25648.06151</v>
      </c>
      <c r="K39" s="320">
        <v>9611</v>
      </c>
      <c r="L39" s="320">
        <v>20536.208760000001</v>
      </c>
      <c r="M39" s="320">
        <v>16264.17067</v>
      </c>
      <c r="N39" s="320">
        <v>24608.941819999993</v>
      </c>
      <c r="O39" s="320">
        <v>13244.736929999999</v>
      </c>
      <c r="P39" s="320">
        <v>19218.429059999999</v>
      </c>
      <c r="Q39" s="320">
        <v>25053.904169999998</v>
      </c>
      <c r="R39" s="320">
        <v>18191.762260000007</v>
      </c>
      <c r="S39" s="320">
        <v>11512.129199999999</v>
      </c>
      <c r="T39" s="320">
        <v>20375</v>
      </c>
      <c r="U39" s="320">
        <v>32842</v>
      </c>
      <c r="V39" s="320">
        <v>32029</v>
      </c>
      <c r="W39" s="320">
        <v>17733</v>
      </c>
      <c r="X39" s="320">
        <v>20965</v>
      </c>
      <c r="Y39" s="320">
        <v>28903</v>
      </c>
      <c r="Z39" s="320">
        <v>64759</v>
      </c>
      <c r="AA39" s="320">
        <v>23554</v>
      </c>
      <c r="AB39" s="320">
        <v>31914</v>
      </c>
      <c r="AC39" s="321">
        <v>35125</v>
      </c>
      <c r="AD39" s="321">
        <v>35232</v>
      </c>
      <c r="AE39" s="321">
        <v>29289</v>
      </c>
      <c r="AF39" s="321">
        <v>29060</v>
      </c>
      <c r="AG39" s="321">
        <v>41464</v>
      </c>
      <c r="AH39" s="321">
        <v>44256</v>
      </c>
      <c r="AI39" s="321">
        <v>34332</v>
      </c>
      <c r="AJ39" s="321">
        <v>41019</v>
      </c>
      <c r="AK39" s="321">
        <v>37788</v>
      </c>
      <c r="AL39" s="321">
        <v>31481</v>
      </c>
      <c r="AM39" s="321">
        <v>25688</v>
      </c>
      <c r="AN39" s="321">
        <v>31924</v>
      </c>
      <c r="AO39" s="324">
        <v>27465</v>
      </c>
      <c r="AP39" s="328">
        <v>80442</v>
      </c>
      <c r="AQ39" s="328">
        <v>61691</v>
      </c>
      <c r="AR39" s="328">
        <v>40271</v>
      </c>
      <c r="AS39" s="329">
        <v>44177.292000000001</v>
      </c>
      <c r="AT39" s="329">
        <v>36117.682000000001</v>
      </c>
      <c r="AU39" s="329">
        <v>24413.936000000002</v>
      </c>
      <c r="AV39" s="329">
        <v>25762.698</v>
      </c>
    </row>
    <row r="40" spans="1:48" ht="15" thickBot="1">
      <c r="A40" s="140" t="s">
        <v>604</v>
      </c>
      <c r="C40" s="319">
        <f>SUM(C35:C39)</f>
        <v>18384.145059999995</v>
      </c>
      <c r="D40" s="319">
        <f t="shared" ref="D40:AR40" si="10">SUM(D35:D39)</f>
        <v>79567.356520000088</v>
      </c>
      <c r="E40" s="319">
        <f t="shared" si="10"/>
        <v>56836.332820000309</v>
      </c>
      <c r="F40" s="319">
        <f t="shared" si="10"/>
        <v>37458.420590000052</v>
      </c>
      <c r="G40" s="319">
        <f t="shared" si="10"/>
        <v>29673</v>
      </c>
      <c r="H40" s="319">
        <f t="shared" si="10"/>
        <v>-20687.999999999854</v>
      </c>
      <c r="I40" s="319">
        <f t="shared" si="10"/>
        <v>102022.12410000036</v>
      </c>
      <c r="J40" s="319">
        <f t="shared" si="10"/>
        <v>223677.55115999971</v>
      </c>
      <c r="K40" s="319">
        <f t="shared" si="10"/>
        <v>58919.48596999998</v>
      </c>
      <c r="L40" s="319">
        <f t="shared" si="10"/>
        <v>82805.795420000126</v>
      </c>
      <c r="M40" s="319">
        <f t="shared" si="10"/>
        <v>98638.852159998525</v>
      </c>
      <c r="N40" s="319">
        <f t="shared" si="10"/>
        <v>123438.86746000238</v>
      </c>
      <c r="O40" s="319">
        <f t="shared" si="10"/>
        <v>75976.26365000027</v>
      </c>
      <c r="P40" s="319">
        <f t="shared" si="10"/>
        <v>111249.37171000004</v>
      </c>
      <c r="Q40" s="319">
        <f t="shared" si="10"/>
        <v>126123.64181000007</v>
      </c>
      <c r="R40" s="319">
        <f t="shared" si="10"/>
        <v>86444.764739999941</v>
      </c>
      <c r="S40" s="319">
        <f t="shared" si="10"/>
        <v>36567.210359999866</v>
      </c>
      <c r="T40" s="319">
        <f t="shared" si="10"/>
        <v>114365</v>
      </c>
      <c r="U40" s="319">
        <f t="shared" si="10"/>
        <v>183792</v>
      </c>
      <c r="V40" s="319">
        <f t="shared" si="10"/>
        <v>154893.04986999993</v>
      </c>
      <c r="W40" s="319">
        <f t="shared" si="10"/>
        <v>85081</v>
      </c>
      <c r="X40" s="319">
        <f t="shared" si="10"/>
        <v>111207</v>
      </c>
      <c r="Y40" s="319">
        <f t="shared" si="10"/>
        <v>157823</v>
      </c>
      <c r="Z40" s="319">
        <f t="shared" si="10"/>
        <v>318246</v>
      </c>
      <c r="AA40" s="319">
        <f t="shared" si="10"/>
        <v>126590</v>
      </c>
      <c r="AB40" s="319">
        <f t="shared" si="10"/>
        <v>170449</v>
      </c>
      <c r="AC40" s="319">
        <f t="shared" si="10"/>
        <v>153718</v>
      </c>
      <c r="AD40" s="319">
        <f t="shared" si="10"/>
        <v>196316</v>
      </c>
      <c r="AE40" s="319">
        <f t="shared" si="10"/>
        <v>138973</v>
      </c>
      <c r="AF40" s="319">
        <f t="shared" si="10"/>
        <v>129478</v>
      </c>
      <c r="AG40" s="319">
        <f t="shared" si="10"/>
        <v>193056</v>
      </c>
      <c r="AH40" s="319">
        <f t="shared" si="10"/>
        <v>238768</v>
      </c>
      <c r="AI40" s="319">
        <f t="shared" si="10"/>
        <v>193645</v>
      </c>
      <c r="AJ40" s="319">
        <f t="shared" si="10"/>
        <v>196766</v>
      </c>
      <c r="AK40" s="319">
        <f t="shared" si="10"/>
        <v>215195</v>
      </c>
      <c r="AL40" s="319">
        <f t="shared" si="10"/>
        <v>337817</v>
      </c>
      <c r="AM40" s="319">
        <f t="shared" si="10"/>
        <v>133097</v>
      </c>
      <c r="AN40" s="319">
        <f t="shared" si="10"/>
        <v>30090</v>
      </c>
      <c r="AO40" s="319">
        <f t="shared" si="10"/>
        <v>92949</v>
      </c>
      <c r="AP40" s="319">
        <f t="shared" si="10"/>
        <v>392010</v>
      </c>
      <c r="AQ40" s="319">
        <f t="shared" si="10"/>
        <v>161666</v>
      </c>
      <c r="AR40" s="319">
        <f t="shared" si="10"/>
        <v>169313</v>
      </c>
      <c r="AS40" s="319">
        <f>SUM(AS35:AS39)</f>
        <v>202633.44400000008</v>
      </c>
      <c r="AT40" s="319">
        <f>SUM(AT35:AT39)</f>
        <v>243778.27000000016</v>
      </c>
      <c r="AU40" s="319">
        <f>SUM(AU35:AU39)</f>
        <v>155227.98400000029</v>
      </c>
      <c r="AV40" s="319">
        <f>SUM(AV35:AV39)</f>
        <v>150628.21799999994</v>
      </c>
    </row>
    <row r="41" spans="1:48">
      <c r="AP41" s="333"/>
      <c r="AQ41" s="333"/>
      <c r="AR41" s="333"/>
      <c r="AS41" s="333"/>
      <c r="AT41" s="333"/>
      <c r="AU41" s="333"/>
      <c r="AV41" s="333"/>
    </row>
    <row r="42" spans="1:48">
      <c r="AP42" s="333"/>
      <c r="AQ42" s="333"/>
      <c r="AR42" s="333"/>
      <c r="AS42" s="333"/>
      <c r="AT42" s="333"/>
      <c r="AU42" s="333"/>
      <c r="AV42" s="333"/>
    </row>
    <row r="43" spans="1:48">
      <c r="AP43" s="333"/>
      <c r="AQ43" s="333"/>
      <c r="AR43" s="333"/>
      <c r="AS43" s="333"/>
      <c r="AT43" s="333"/>
      <c r="AU43" s="333"/>
      <c r="AV43" s="333"/>
    </row>
    <row r="44" spans="1:48">
      <c r="AP44" s="333"/>
      <c r="AQ44" s="333"/>
      <c r="AR44" s="333"/>
      <c r="AS44" s="333"/>
      <c r="AT44" s="333"/>
      <c r="AU44" s="333"/>
      <c r="AV44" s="333"/>
    </row>
    <row r="45" spans="1:48">
      <c r="AP45" s="333"/>
      <c r="AQ45" s="333"/>
      <c r="AR45" s="333"/>
      <c r="AS45" s="333"/>
      <c r="AT45" s="333"/>
      <c r="AU45" s="333"/>
      <c r="AV45" s="333"/>
    </row>
    <row r="46" spans="1:48">
      <c r="AP46" s="333"/>
      <c r="AQ46" s="333"/>
      <c r="AR46" s="333"/>
      <c r="AS46" s="333"/>
      <c r="AT46" s="333"/>
      <c r="AU46" s="333"/>
      <c r="AV46" s="333"/>
    </row>
    <row r="47" spans="1:48">
      <c r="AP47" s="333"/>
      <c r="AQ47" s="333"/>
      <c r="AR47" s="333"/>
      <c r="AS47" s="333"/>
      <c r="AT47" s="333"/>
      <c r="AU47" s="333"/>
      <c r="AV47" s="333"/>
    </row>
  </sheetData>
  <pageMargins left="0.511811024" right="0.511811024" top="0.78740157499999996" bottom="0.78740157499999996" header="0.31496062000000002" footer="0.31496062000000002"/>
  <ignoredErrors>
    <ignoredError sqref="AM9:AU9" formulaRange="1"/>
  </ignoredError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 tint="0.79998168889431442"/>
  </sheetPr>
  <dimension ref="A7:AV43"/>
  <sheetViews>
    <sheetView zoomScaleNormal="100" workbookViewId="0">
      <pane xSplit="1" ySplit="8" topLeftCell="B9" activePane="bottomRight" state="frozen"/>
      <selection pane="topRight" activeCell="AN17" sqref="AN17"/>
      <selection pane="bottomLeft" activeCell="AN17" sqref="AN17"/>
      <selection pane="bottomRight" activeCell="AV10" sqref="AV10"/>
    </sheetView>
  </sheetViews>
  <sheetFormatPr defaultColWidth="9.1796875" defaultRowHeight="14.5" outlineLevelCol="1"/>
  <cols>
    <col min="1" max="1" width="44.453125" style="37" bestFit="1" customWidth="1"/>
    <col min="2" max="2" width="0.7265625" style="37" customWidth="1"/>
    <col min="3" max="3" width="11.1796875" style="37" hidden="1" customWidth="1" outlineLevel="1"/>
    <col min="4" max="4" width="12.1796875" style="37" hidden="1" customWidth="1" outlineLevel="1"/>
    <col min="5" max="5" width="11.1796875" style="37" hidden="1" customWidth="1" outlineLevel="1"/>
    <col min="6" max="6" width="12.1796875" style="37" hidden="1" customWidth="1" outlineLevel="1"/>
    <col min="7" max="7" width="11.1796875" style="37" hidden="1" customWidth="1" outlineLevel="1"/>
    <col min="8" max="10" width="12.1796875" style="37" hidden="1" customWidth="1" outlineLevel="1"/>
    <col min="11" max="11" width="11.1796875" style="37" hidden="1" customWidth="1" outlineLevel="1"/>
    <col min="12" max="12" width="12.1796875" style="37" hidden="1" customWidth="1" outlineLevel="1"/>
    <col min="13" max="13" width="10.1796875" style="37" hidden="1" customWidth="1" outlineLevel="1"/>
    <col min="14" max="14" width="11.1796875" style="37" hidden="1" customWidth="1" outlineLevel="1"/>
    <col min="15" max="28" width="9.1796875" style="37" hidden="1" customWidth="1" outlineLevel="1"/>
    <col min="29" max="38" width="9.54296875" style="37" hidden="1" customWidth="1" outlineLevel="1"/>
    <col min="39" max="39" width="9.54296875" style="37" bestFit="1" customWidth="1" collapsed="1"/>
    <col min="40" max="48" width="9.54296875" style="37" bestFit="1" customWidth="1"/>
    <col min="49" max="16384" width="9.1796875" style="37"/>
  </cols>
  <sheetData>
    <row r="7" spans="1:48">
      <c r="A7" s="41" t="s">
        <v>605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</row>
    <row r="8" spans="1:48" ht="15" thickBot="1">
      <c r="A8" s="544" t="s">
        <v>585</v>
      </c>
      <c r="B8" s="134"/>
      <c r="C8" s="545" t="s">
        <v>9</v>
      </c>
      <c r="D8" s="545" t="s">
        <v>10</v>
      </c>
      <c r="E8" s="545" t="s">
        <v>11</v>
      </c>
      <c r="F8" s="545" t="s">
        <v>12</v>
      </c>
      <c r="G8" s="545" t="s">
        <v>13</v>
      </c>
      <c r="H8" s="545" t="s">
        <v>14</v>
      </c>
      <c r="I8" s="545" t="s">
        <v>15</v>
      </c>
      <c r="J8" s="545" t="s">
        <v>16</v>
      </c>
      <c r="K8" s="545" t="s">
        <v>17</v>
      </c>
      <c r="L8" s="545" t="s">
        <v>18</v>
      </c>
      <c r="M8" s="545" t="s">
        <v>19</v>
      </c>
      <c r="N8" s="545" t="s">
        <v>20</v>
      </c>
      <c r="O8" s="545" t="s">
        <v>21</v>
      </c>
      <c r="P8" s="545" t="s">
        <v>22</v>
      </c>
      <c r="Q8" s="545" t="s">
        <v>23</v>
      </c>
      <c r="R8" s="545" t="s">
        <v>24</v>
      </c>
      <c r="S8" s="545" t="s">
        <v>25</v>
      </c>
      <c r="T8" s="545" t="s">
        <v>26</v>
      </c>
      <c r="U8" s="545" t="s">
        <v>27</v>
      </c>
      <c r="V8" s="545" t="s">
        <v>28</v>
      </c>
      <c r="W8" s="545" t="s">
        <v>29</v>
      </c>
      <c r="X8" s="545" t="s">
        <v>30</v>
      </c>
      <c r="Y8" s="545" t="s">
        <v>31</v>
      </c>
      <c r="Z8" s="545" t="s">
        <v>32</v>
      </c>
      <c r="AA8" s="545" t="s">
        <v>33</v>
      </c>
      <c r="AB8" s="545" t="s">
        <v>34</v>
      </c>
      <c r="AC8" s="546" t="s">
        <v>35</v>
      </c>
      <c r="AD8" s="546" t="s">
        <v>36</v>
      </c>
      <c r="AE8" s="546" t="s">
        <v>37</v>
      </c>
      <c r="AF8" s="546" t="s">
        <v>38</v>
      </c>
      <c r="AG8" s="546" t="s">
        <v>39</v>
      </c>
      <c r="AH8" s="546" t="s">
        <v>40</v>
      </c>
      <c r="AI8" s="546" t="s">
        <v>41</v>
      </c>
      <c r="AJ8" s="546" t="s">
        <v>42</v>
      </c>
      <c r="AK8" s="546" t="s">
        <v>43</v>
      </c>
      <c r="AL8" s="546" t="s">
        <v>44</v>
      </c>
      <c r="AM8" s="546" t="s">
        <v>45</v>
      </c>
      <c r="AN8" s="546" t="s">
        <v>46</v>
      </c>
      <c r="AO8" s="546" t="s">
        <v>47</v>
      </c>
      <c r="AP8" s="546" t="s">
        <v>48</v>
      </c>
      <c r="AQ8" s="546" t="s">
        <v>49</v>
      </c>
      <c r="AR8" s="546" t="s">
        <v>50</v>
      </c>
      <c r="AS8" s="556" t="s">
        <v>51</v>
      </c>
      <c r="AT8" s="556" t="s">
        <v>52</v>
      </c>
      <c r="AU8" s="556" t="s">
        <v>53</v>
      </c>
      <c r="AV8" s="556" t="s">
        <v>54</v>
      </c>
    </row>
    <row r="9" spans="1:48" ht="15" thickBot="1">
      <c r="A9" s="140" t="s">
        <v>465</v>
      </c>
      <c r="B9" s="137"/>
      <c r="C9" s="319">
        <f t="shared" ref="C9:AR9" si="0">SUM(C10:C13)</f>
        <v>737835.0316000001</v>
      </c>
      <c r="D9" s="319">
        <f t="shared" si="0"/>
        <v>778821.28131000011</v>
      </c>
      <c r="E9" s="319">
        <f t="shared" si="0"/>
        <v>887400.01796999958</v>
      </c>
      <c r="F9" s="319">
        <f t="shared" si="0"/>
        <v>998616.80032000085</v>
      </c>
      <c r="G9" s="319">
        <f t="shared" si="0"/>
        <v>955961.67186000035</v>
      </c>
      <c r="H9" s="319">
        <f t="shared" si="0"/>
        <v>1067022.8706999996</v>
      </c>
      <c r="I9" s="319">
        <f t="shared" si="0"/>
        <v>1398660.7319500004</v>
      </c>
      <c r="J9" s="319">
        <f t="shared" si="0"/>
        <v>1821904.0955299991</v>
      </c>
      <c r="K9" s="319">
        <f t="shared" si="0"/>
        <v>1376259.4992800003</v>
      </c>
      <c r="L9" s="319">
        <f t="shared" si="0"/>
        <v>1453164.2323400001</v>
      </c>
      <c r="M9" s="319">
        <f t="shared" si="0"/>
        <v>1676587.2142199993</v>
      </c>
      <c r="N9" s="319">
        <f t="shared" si="0"/>
        <v>1617133.4973599927</v>
      </c>
      <c r="O9" s="319">
        <f t="shared" si="0"/>
        <v>1443099.79315</v>
      </c>
      <c r="P9" s="319">
        <f t="shared" si="0"/>
        <v>1501119.4424200011</v>
      </c>
      <c r="Q9" s="319">
        <f t="shared" si="0"/>
        <v>1687895.0060699994</v>
      </c>
      <c r="R9" s="319">
        <f t="shared" si="0"/>
        <v>1963121.7770900002</v>
      </c>
      <c r="S9" s="319">
        <f t="shared" si="0"/>
        <v>1474852.7886899996</v>
      </c>
      <c r="T9" s="319">
        <f t="shared" si="0"/>
        <v>1758275.2905099995</v>
      </c>
      <c r="U9" s="319">
        <f t="shared" si="0"/>
        <v>1994086</v>
      </c>
      <c r="V9" s="319">
        <f t="shared" si="0"/>
        <v>2102405</v>
      </c>
      <c r="W9" s="319">
        <f t="shared" si="0"/>
        <v>1753198</v>
      </c>
      <c r="X9" s="319">
        <f t="shared" si="0"/>
        <v>1856683.7679199993</v>
      </c>
      <c r="Y9" s="319">
        <f t="shared" si="0"/>
        <v>2097705.19606</v>
      </c>
      <c r="Z9" s="319">
        <f t="shared" si="0"/>
        <v>1991519.0395799999</v>
      </c>
      <c r="AA9" s="319">
        <f t="shared" si="0"/>
        <v>1850157.4807299995</v>
      </c>
      <c r="AB9" s="319">
        <f t="shared" si="0"/>
        <v>1797003.6431700005</v>
      </c>
      <c r="AC9" s="319">
        <f t="shared" si="0"/>
        <v>2130290</v>
      </c>
      <c r="AD9" s="319">
        <f t="shared" si="0"/>
        <v>2375007</v>
      </c>
      <c r="AE9" s="319">
        <f t="shared" si="0"/>
        <v>1850304</v>
      </c>
      <c r="AF9" s="319">
        <f t="shared" si="0"/>
        <v>1585421</v>
      </c>
      <c r="AG9" s="319">
        <f t="shared" si="0"/>
        <v>2103658</v>
      </c>
      <c r="AH9" s="319">
        <f t="shared" si="0"/>
        <v>2472608</v>
      </c>
      <c r="AI9" s="319">
        <f t="shared" si="0"/>
        <v>2083404</v>
      </c>
      <c r="AJ9" s="319">
        <f t="shared" si="0"/>
        <v>2093924</v>
      </c>
      <c r="AK9" s="319">
        <f t="shared" si="0"/>
        <v>3186243</v>
      </c>
      <c r="AL9" s="319">
        <f t="shared" si="0"/>
        <v>3395027</v>
      </c>
      <c r="AM9" s="319">
        <f t="shared" si="0"/>
        <v>2620387</v>
      </c>
      <c r="AN9" s="319">
        <f t="shared" si="0"/>
        <v>2868206</v>
      </c>
      <c r="AO9" s="319">
        <f t="shared" si="0"/>
        <v>2702007</v>
      </c>
      <c r="AP9" s="319">
        <f t="shared" si="0"/>
        <v>3071195</v>
      </c>
      <c r="AQ9" s="319">
        <f t="shared" si="0"/>
        <v>2970012</v>
      </c>
      <c r="AR9" s="319">
        <f t="shared" si="0"/>
        <v>3062304</v>
      </c>
      <c r="AS9" s="319">
        <f>SUM(AS10:AS13)</f>
        <v>3587257.0819999999</v>
      </c>
      <c r="AT9" s="319">
        <f>SUM(AT10:AT13)</f>
        <v>3703048.9940000004</v>
      </c>
      <c r="AU9" s="319">
        <f>SUM(AU10:AU13)</f>
        <v>3209287.8759999997</v>
      </c>
      <c r="AV9" s="319">
        <f>SUM(AV10:AV13)</f>
        <v>3410702.548</v>
      </c>
    </row>
    <row r="10" spans="1:48">
      <c r="A10" s="137" t="s">
        <v>586</v>
      </c>
      <c r="B10" s="137"/>
      <c r="C10" s="320">
        <v>643614.66236000007</v>
      </c>
      <c r="D10" s="320">
        <v>640363.46860000014</v>
      </c>
      <c r="E10" s="320">
        <v>749576.08449999965</v>
      </c>
      <c r="F10" s="320">
        <v>826768.0740100008</v>
      </c>
      <c r="G10" s="320">
        <v>790217.37908000033</v>
      </c>
      <c r="H10" s="320">
        <v>861984.21748999984</v>
      </c>
      <c r="I10" s="320">
        <v>1021280.0737100004</v>
      </c>
      <c r="J10" s="320">
        <v>1627328.5173199992</v>
      </c>
      <c r="K10" s="320">
        <v>1182097.2433200004</v>
      </c>
      <c r="L10" s="320">
        <v>1298427</v>
      </c>
      <c r="M10" s="320">
        <v>1366335.568269999</v>
      </c>
      <c r="N10" s="320">
        <v>1537435.078249993</v>
      </c>
      <c r="O10" s="320">
        <v>1248583.77575</v>
      </c>
      <c r="P10" s="320">
        <v>1237497.0002000011</v>
      </c>
      <c r="Q10" s="320">
        <v>1408059.7287699995</v>
      </c>
      <c r="R10" s="320">
        <v>1626336.6168500003</v>
      </c>
      <c r="S10" s="320">
        <v>1209520.5522299996</v>
      </c>
      <c r="T10" s="320">
        <v>1495423.1860099996</v>
      </c>
      <c r="U10" s="320">
        <v>1727271</v>
      </c>
      <c r="V10" s="320">
        <v>1732674</v>
      </c>
      <c r="W10" s="320">
        <v>1298474</v>
      </c>
      <c r="X10" s="320">
        <v>1548718.3337399994</v>
      </c>
      <c r="Y10" s="320">
        <v>1744126.9170599999</v>
      </c>
      <c r="Z10" s="320">
        <v>1634617.9949199997</v>
      </c>
      <c r="AA10" s="320">
        <v>1534382.3431599995</v>
      </c>
      <c r="AB10" s="320">
        <v>1513492.9954600004</v>
      </c>
      <c r="AC10" s="321">
        <v>1777397</v>
      </c>
      <c r="AD10" s="321">
        <v>1862017</v>
      </c>
      <c r="AE10" s="321">
        <v>1580838</v>
      </c>
      <c r="AF10" s="321">
        <v>1350840</v>
      </c>
      <c r="AG10" s="321">
        <v>1844593</v>
      </c>
      <c r="AH10" s="321">
        <v>1966503</v>
      </c>
      <c r="AI10" s="321">
        <v>1763736</v>
      </c>
      <c r="AJ10" s="321">
        <v>1716106</v>
      </c>
      <c r="AK10" s="321">
        <v>2442030</v>
      </c>
      <c r="AL10" s="321">
        <v>2654050</v>
      </c>
      <c r="AM10" s="321">
        <v>1994754</v>
      </c>
      <c r="AN10" s="321">
        <v>2142547</v>
      </c>
      <c r="AO10" s="321">
        <v>2210386</v>
      </c>
      <c r="AP10" s="321">
        <v>2304221</v>
      </c>
      <c r="AQ10" s="321">
        <v>2196070</v>
      </c>
      <c r="AR10" s="321">
        <v>2336089</v>
      </c>
      <c r="AS10" s="334">
        <v>2522416.2289999998</v>
      </c>
      <c r="AT10" s="334">
        <v>2618573.7680000002</v>
      </c>
      <c r="AU10" s="334">
        <v>2380406.0159999998</v>
      </c>
      <c r="AV10" s="334">
        <v>2505097.9589999998</v>
      </c>
    </row>
    <row r="11" spans="1:48">
      <c r="A11" s="137" t="s">
        <v>468</v>
      </c>
      <c r="B11" s="137"/>
      <c r="C11" s="320">
        <v>0</v>
      </c>
      <c r="D11" s="320">
        <v>55082.11767</v>
      </c>
      <c r="E11" s="320">
        <v>14866.145670000002</v>
      </c>
      <c r="F11" s="320">
        <v>16876.485409999998</v>
      </c>
      <c r="G11" s="320">
        <v>27156.769850000001</v>
      </c>
      <c r="H11" s="320">
        <v>8668.4246700000022</v>
      </c>
      <c r="I11" s="320">
        <v>15438.547709999993</v>
      </c>
      <c r="J11" s="320">
        <v>-11641.896849999994</v>
      </c>
      <c r="K11" s="320">
        <v>8720.9460299999992</v>
      </c>
      <c r="L11" s="320">
        <v>1091.0873100000006</v>
      </c>
      <c r="M11" s="320">
        <v>149757.93368000002</v>
      </c>
      <c r="N11" s="320">
        <v>-131583.95649000001</v>
      </c>
      <c r="O11" s="320">
        <v>37063.224170000001</v>
      </c>
      <c r="P11" s="320">
        <v>49237.452680000002</v>
      </c>
      <c r="Q11" s="320">
        <v>47312.54929000001</v>
      </c>
      <c r="R11" s="320">
        <v>56511.367499999986</v>
      </c>
      <c r="S11" s="320">
        <v>13838.978580000001</v>
      </c>
      <c r="T11" s="320">
        <v>2410.3433799999993</v>
      </c>
      <c r="U11" s="320">
        <v>9944</v>
      </c>
      <c r="V11" s="320">
        <v>22808</v>
      </c>
      <c r="W11" s="320">
        <v>218788</v>
      </c>
      <c r="X11" s="320">
        <v>33721.918990000013</v>
      </c>
      <c r="Y11" s="320">
        <v>59236.028969999978</v>
      </c>
      <c r="Z11" s="320">
        <v>21376.096500000043</v>
      </c>
      <c r="AA11" s="320">
        <v>19556.677359999998</v>
      </c>
      <c r="AB11" s="320">
        <v>11539.999460000001</v>
      </c>
      <c r="AC11" s="321">
        <v>56243</v>
      </c>
      <c r="AD11" s="321">
        <v>61376</v>
      </c>
      <c r="AE11" s="321">
        <v>18721</v>
      </c>
      <c r="AF11" s="321">
        <v>8119</v>
      </c>
      <c r="AG11" s="321">
        <v>-1837</v>
      </c>
      <c r="AH11" s="321">
        <v>94094</v>
      </c>
      <c r="AI11" s="321">
        <v>6801</v>
      </c>
      <c r="AJ11" s="321">
        <v>9288</v>
      </c>
      <c r="AK11" s="321">
        <v>158336</v>
      </c>
      <c r="AL11" s="321">
        <v>131470</v>
      </c>
      <c r="AM11" s="321">
        <v>15422</v>
      </c>
      <c r="AN11" s="321">
        <v>9791</v>
      </c>
      <c r="AO11" s="321">
        <v>1184</v>
      </c>
      <c r="AP11" s="321">
        <v>7432</v>
      </c>
      <c r="AQ11" s="321">
        <v>12636</v>
      </c>
      <c r="AR11" s="321">
        <v>3437</v>
      </c>
      <c r="AS11" s="334">
        <v>6918.0450000000001</v>
      </c>
      <c r="AT11" s="334">
        <v>179.84399999999999</v>
      </c>
      <c r="AU11" s="334">
        <v>753.24900000000002</v>
      </c>
      <c r="AV11" s="334">
        <v>8502.1440000000002</v>
      </c>
    </row>
    <row r="12" spans="1:48">
      <c r="A12" s="137" t="s">
        <v>470</v>
      </c>
      <c r="B12" s="137"/>
      <c r="C12" s="320">
        <v>88051.515949999986</v>
      </c>
      <c r="D12" s="320">
        <v>76835.267430000022</v>
      </c>
      <c r="E12" s="320">
        <v>117304.14954999993</v>
      </c>
      <c r="F12" s="320">
        <v>144462.90856000013</v>
      </c>
      <c r="G12" s="320">
        <v>124861.26031999999</v>
      </c>
      <c r="H12" s="320">
        <v>181174.9455</v>
      </c>
      <c r="I12" s="320">
        <v>307998.86126000015</v>
      </c>
      <c r="J12" s="320">
        <v>244520.81526999999</v>
      </c>
      <c r="K12" s="320">
        <v>179949.73270999998</v>
      </c>
      <c r="L12" s="320">
        <v>144460.55298999994</v>
      </c>
      <c r="M12" s="320">
        <v>152046.51736000009</v>
      </c>
      <c r="N12" s="320">
        <v>186927.51971999984</v>
      </c>
      <c r="O12" s="320">
        <v>142749.01282</v>
      </c>
      <c r="P12" s="320">
        <v>207437.23362000001</v>
      </c>
      <c r="Q12" s="320">
        <v>213709.16243</v>
      </c>
      <c r="R12" s="320">
        <v>245943.62796000004</v>
      </c>
      <c r="S12" s="320">
        <v>200228.92356</v>
      </c>
      <c r="T12" s="320">
        <v>212287.28170999998</v>
      </c>
      <c r="U12" s="320">
        <v>188962</v>
      </c>
      <c r="V12" s="320">
        <v>263623</v>
      </c>
      <c r="W12" s="320">
        <v>166777</v>
      </c>
      <c r="X12" s="320">
        <v>203449.31559999997</v>
      </c>
      <c r="Y12" s="320">
        <v>191528.80671000003</v>
      </c>
      <c r="Z12" s="320">
        <v>248126.25462999998</v>
      </c>
      <c r="AA12" s="320">
        <v>193715</v>
      </c>
      <c r="AB12" s="320">
        <v>160780.81066999995</v>
      </c>
      <c r="AC12" s="321">
        <v>203397</v>
      </c>
      <c r="AD12" s="321">
        <v>215139</v>
      </c>
      <c r="AE12" s="321">
        <v>148450</v>
      </c>
      <c r="AF12" s="321">
        <v>165630</v>
      </c>
      <c r="AG12" s="321">
        <v>158004</v>
      </c>
      <c r="AH12" s="321">
        <v>208669</v>
      </c>
      <c r="AI12" s="321">
        <v>186005</v>
      </c>
      <c r="AJ12" s="321">
        <v>223051</v>
      </c>
      <c r="AK12" s="321">
        <v>342498</v>
      </c>
      <c r="AL12" s="321">
        <v>389791</v>
      </c>
      <c r="AM12" s="321">
        <v>334357</v>
      </c>
      <c r="AN12" s="321">
        <v>440645</v>
      </c>
      <c r="AO12" s="321">
        <v>497348</v>
      </c>
      <c r="AP12" s="321">
        <v>564048</v>
      </c>
      <c r="AQ12" s="321">
        <v>614464</v>
      </c>
      <c r="AR12" s="321">
        <v>477697</v>
      </c>
      <c r="AS12" s="334">
        <v>603922.06900000002</v>
      </c>
      <c r="AT12" s="334">
        <v>773379.52599999995</v>
      </c>
      <c r="AU12" s="334">
        <v>520676.67700000003</v>
      </c>
      <c r="AV12" s="334">
        <v>563300.90700000001</v>
      </c>
    </row>
    <row r="13" spans="1:48" ht="15" thickBot="1">
      <c r="A13" s="137" t="s">
        <v>474</v>
      </c>
      <c r="B13" s="137"/>
      <c r="C13" s="320">
        <v>6168.8532899999991</v>
      </c>
      <c r="D13" s="320">
        <v>6540.4276099999997</v>
      </c>
      <c r="E13" s="320">
        <v>5653.63825</v>
      </c>
      <c r="F13" s="320">
        <v>10509.332340000004</v>
      </c>
      <c r="G13" s="320">
        <v>13726.262610000003</v>
      </c>
      <c r="H13" s="320">
        <v>15195.283039999998</v>
      </c>
      <c r="I13" s="320">
        <v>53943.249269999978</v>
      </c>
      <c r="J13" s="320">
        <v>-38303.340209999988</v>
      </c>
      <c r="K13" s="320">
        <v>5491.5772200000001</v>
      </c>
      <c r="L13" s="320">
        <v>9185.5920400000032</v>
      </c>
      <c r="M13" s="320">
        <v>8447.1949100000002</v>
      </c>
      <c r="N13" s="320">
        <v>24354.855879999996</v>
      </c>
      <c r="O13" s="320">
        <v>14703.780409999999</v>
      </c>
      <c r="P13" s="320">
        <v>6947.7559199999996</v>
      </c>
      <c r="Q13" s="320">
        <v>18813.565580000002</v>
      </c>
      <c r="R13" s="320">
        <v>34330.164779999985</v>
      </c>
      <c r="S13" s="320">
        <v>51264.334320000002</v>
      </c>
      <c r="T13" s="320">
        <v>48154.47941</v>
      </c>
      <c r="U13" s="320">
        <v>67909</v>
      </c>
      <c r="V13" s="320">
        <v>83300</v>
      </c>
      <c r="W13" s="320">
        <v>69159</v>
      </c>
      <c r="X13" s="320">
        <v>70794.199590000004</v>
      </c>
      <c r="Y13" s="320">
        <v>102813.44332000001</v>
      </c>
      <c r="Z13" s="320">
        <v>87398.693530000004</v>
      </c>
      <c r="AA13" s="320">
        <v>102503.46020999999</v>
      </c>
      <c r="AB13" s="320">
        <v>111189.83758000002</v>
      </c>
      <c r="AC13" s="321">
        <v>93253</v>
      </c>
      <c r="AD13" s="321">
        <v>236475</v>
      </c>
      <c r="AE13" s="321">
        <v>102295</v>
      </c>
      <c r="AF13" s="321">
        <v>60832</v>
      </c>
      <c r="AG13" s="321">
        <v>102898</v>
      </c>
      <c r="AH13" s="321">
        <v>203342</v>
      </c>
      <c r="AI13" s="321">
        <v>126862</v>
      </c>
      <c r="AJ13" s="324">
        <v>145479</v>
      </c>
      <c r="AK13" s="324">
        <v>243379</v>
      </c>
      <c r="AL13" s="324">
        <v>219716</v>
      </c>
      <c r="AM13" s="324">
        <v>275854</v>
      </c>
      <c r="AN13" s="324">
        <v>275223</v>
      </c>
      <c r="AO13" s="321">
        <v>-6911</v>
      </c>
      <c r="AP13" s="321">
        <v>195494</v>
      </c>
      <c r="AQ13" s="321">
        <v>146842</v>
      </c>
      <c r="AR13" s="321">
        <v>245081</v>
      </c>
      <c r="AS13" s="334">
        <v>454000.739</v>
      </c>
      <c r="AT13" s="334">
        <v>310915.85600000003</v>
      </c>
      <c r="AU13" s="334">
        <v>307451.93400000001</v>
      </c>
      <c r="AV13" s="334">
        <v>333801.538</v>
      </c>
    </row>
    <row r="14" spans="1:48" ht="15" thickBot="1">
      <c r="A14" s="140" t="s">
        <v>587</v>
      </c>
      <c r="B14" s="137"/>
      <c r="C14" s="319">
        <v>-207726.94117000001</v>
      </c>
      <c r="D14" s="319">
        <v>-211738.34410000002</v>
      </c>
      <c r="E14" s="319">
        <v>-224751.47791000002</v>
      </c>
      <c r="F14" s="319">
        <v>-263463.09181999991</v>
      </c>
      <c r="G14" s="319">
        <v>-251067.95547999998</v>
      </c>
      <c r="H14" s="319">
        <v>-267792.30737000005</v>
      </c>
      <c r="I14" s="319">
        <v>-329727.48155999993</v>
      </c>
      <c r="J14" s="319">
        <v>-407783.79608000006</v>
      </c>
      <c r="K14" s="319">
        <v>-391296.20848000003</v>
      </c>
      <c r="L14" s="319">
        <v>-432818.05002999975</v>
      </c>
      <c r="M14" s="319">
        <v>-536593.74840999988</v>
      </c>
      <c r="N14" s="319">
        <v>-575123.89897000056</v>
      </c>
      <c r="O14" s="319">
        <v>-474405.36329000001</v>
      </c>
      <c r="P14" s="319">
        <v>-499100.96230000001</v>
      </c>
      <c r="Q14" s="319">
        <v>-529584.30004999996</v>
      </c>
      <c r="R14" s="319">
        <v>-563937.73337999999</v>
      </c>
      <c r="S14" s="319">
        <v>-459422.8050900001</v>
      </c>
      <c r="T14" s="319">
        <v>-511204.56771999999</v>
      </c>
      <c r="U14" s="319">
        <v>-586565.19999999995</v>
      </c>
      <c r="V14" s="319">
        <v>-621452</v>
      </c>
      <c r="W14" s="319">
        <v>-499400</v>
      </c>
      <c r="X14" s="319">
        <v>-585430</v>
      </c>
      <c r="Y14" s="319">
        <v>-613898</v>
      </c>
      <c r="Z14" s="319">
        <v>-508843</v>
      </c>
      <c r="AA14" s="319">
        <v>-568055</v>
      </c>
      <c r="AB14" s="319">
        <v>-622225</v>
      </c>
      <c r="AC14" s="325">
        <v>-670063</v>
      </c>
      <c r="AD14" s="325">
        <v>-696775</v>
      </c>
      <c r="AE14" s="325">
        <v>-565918</v>
      </c>
      <c r="AF14" s="325">
        <v>-421013</v>
      </c>
      <c r="AG14" s="325">
        <v>-566125</v>
      </c>
      <c r="AH14" s="325">
        <v>-584086</v>
      </c>
      <c r="AI14" s="325">
        <v>-548704.13422999985</v>
      </c>
      <c r="AJ14" s="326">
        <v>-528297</v>
      </c>
      <c r="AK14" s="326">
        <v>-735852</v>
      </c>
      <c r="AL14" s="326">
        <v>-811694</v>
      </c>
      <c r="AM14" s="326">
        <v>-749683</v>
      </c>
      <c r="AN14" s="326">
        <v>-726404</v>
      </c>
      <c r="AO14" s="326">
        <v>-641340</v>
      </c>
      <c r="AP14" s="326">
        <v>-631148</v>
      </c>
      <c r="AQ14" s="326">
        <v>-636024</v>
      </c>
      <c r="AR14" s="326">
        <v>-652375</v>
      </c>
      <c r="AS14" s="327">
        <v>-808149.179</v>
      </c>
      <c r="AT14" s="327">
        <v>-847728.29200000002</v>
      </c>
      <c r="AU14" s="327">
        <v>-814858.99300000002</v>
      </c>
      <c r="AV14" s="327">
        <v>-833821.55599999998</v>
      </c>
    </row>
    <row r="15" spans="1:48" ht="15" thickBot="1">
      <c r="A15" s="140" t="s">
        <v>491</v>
      </c>
      <c r="B15" s="138"/>
      <c r="C15" s="332">
        <f t="shared" ref="C15:AB15" si="1">C9+C14</f>
        <v>530108.0904300001</v>
      </c>
      <c r="D15" s="332">
        <f t="shared" si="1"/>
        <v>567082.93721000012</v>
      </c>
      <c r="E15" s="332">
        <f t="shared" si="1"/>
        <v>662648.54005999956</v>
      </c>
      <c r="F15" s="332">
        <f t="shared" si="1"/>
        <v>735153.70850000088</v>
      </c>
      <c r="G15" s="332">
        <f t="shared" si="1"/>
        <v>704893.71638000035</v>
      </c>
      <c r="H15" s="332">
        <f t="shared" si="1"/>
        <v>799230.56332999957</v>
      </c>
      <c r="I15" s="332">
        <f t="shared" si="1"/>
        <v>1068933.2503900004</v>
      </c>
      <c r="J15" s="332">
        <f t="shared" si="1"/>
        <v>1414120.2994499991</v>
      </c>
      <c r="K15" s="332">
        <f t="shared" si="1"/>
        <v>984963.29080000031</v>
      </c>
      <c r="L15" s="332">
        <f t="shared" si="1"/>
        <v>1020346.1823100003</v>
      </c>
      <c r="M15" s="332">
        <f t="shared" si="1"/>
        <v>1139993.4658099995</v>
      </c>
      <c r="N15" s="332">
        <f t="shared" si="1"/>
        <v>1042009.5983899921</v>
      </c>
      <c r="O15" s="332">
        <f t="shared" si="1"/>
        <v>968694.42986000003</v>
      </c>
      <c r="P15" s="332">
        <f t="shared" si="1"/>
        <v>1002018.4801200011</v>
      </c>
      <c r="Q15" s="332">
        <f t="shared" si="1"/>
        <v>1158310.7060199995</v>
      </c>
      <c r="R15" s="332">
        <f t="shared" si="1"/>
        <v>1399184.0437100003</v>
      </c>
      <c r="S15" s="332">
        <f t="shared" si="1"/>
        <v>1015429.9835999995</v>
      </c>
      <c r="T15" s="332">
        <f t="shared" si="1"/>
        <v>1247070.7227899996</v>
      </c>
      <c r="U15" s="332">
        <f t="shared" si="1"/>
        <v>1407520.8</v>
      </c>
      <c r="V15" s="332">
        <f t="shared" si="1"/>
        <v>1480953</v>
      </c>
      <c r="W15" s="332">
        <f t="shared" si="1"/>
        <v>1253798</v>
      </c>
      <c r="X15" s="332">
        <f t="shared" si="1"/>
        <v>1271253.7679199993</v>
      </c>
      <c r="Y15" s="332">
        <f t="shared" si="1"/>
        <v>1483807.19606</v>
      </c>
      <c r="Z15" s="332">
        <f t="shared" si="1"/>
        <v>1482676.0395799999</v>
      </c>
      <c r="AA15" s="332">
        <f t="shared" si="1"/>
        <v>1282102.4807299995</v>
      </c>
      <c r="AB15" s="332">
        <f t="shared" si="1"/>
        <v>1174778.6431700005</v>
      </c>
      <c r="AC15" s="335">
        <v>1460227</v>
      </c>
      <c r="AD15" s="335">
        <v>1678232</v>
      </c>
      <c r="AE15" s="335">
        <v>1284386</v>
      </c>
      <c r="AF15" s="335">
        <v>1164408</v>
      </c>
      <c r="AG15" s="335">
        <v>1537533</v>
      </c>
      <c r="AH15" s="335">
        <v>1888522</v>
      </c>
      <c r="AI15" s="335">
        <v>1534699.86577</v>
      </c>
      <c r="AJ15" s="336">
        <v>1565627</v>
      </c>
      <c r="AK15" s="336">
        <v>2450391</v>
      </c>
      <c r="AL15" s="336">
        <v>2568799</v>
      </c>
      <c r="AM15" s="336">
        <v>1870704</v>
      </c>
      <c r="AN15" s="332">
        <f t="shared" ref="AN15:AS15" si="2">AN9+AN14</f>
        <v>2141802</v>
      </c>
      <c r="AO15" s="332">
        <f t="shared" si="2"/>
        <v>2060667</v>
      </c>
      <c r="AP15" s="332">
        <f t="shared" si="2"/>
        <v>2440047</v>
      </c>
      <c r="AQ15" s="332">
        <f t="shared" si="2"/>
        <v>2333988</v>
      </c>
      <c r="AR15" s="332">
        <f t="shared" si="2"/>
        <v>2409929</v>
      </c>
      <c r="AS15" s="332">
        <f t="shared" si="2"/>
        <v>2779107.9029999999</v>
      </c>
      <c r="AT15" s="332">
        <f t="shared" ref="AT15:AU15" si="3">AT9+AT14</f>
        <v>2855320.7020000005</v>
      </c>
      <c r="AU15" s="332">
        <f t="shared" si="3"/>
        <v>2394428.8829999994</v>
      </c>
      <c r="AV15" s="332">
        <f t="shared" ref="AV15" si="4">AV9+AV14</f>
        <v>2576880.9920000001</v>
      </c>
    </row>
    <row r="16" spans="1:48" ht="15" thickBot="1">
      <c r="A16" s="140" t="s">
        <v>588</v>
      </c>
      <c r="B16" s="138"/>
      <c r="C16" s="332">
        <f>SUM(C17:C19)</f>
        <v>-420859.79602999997</v>
      </c>
      <c r="D16" s="332">
        <f t="shared" ref="D16:AB16" si="5">SUM(D17:D19)</f>
        <v>-503625.86268000002</v>
      </c>
      <c r="E16" s="332">
        <f t="shared" si="5"/>
        <v>-344131.27094000025</v>
      </c>
      <c r="F16" s="332">
        <f t="shared" si="5"/>
        <v>-567036.18271999992</v>
      </c>
      <c r="G16" s="332">
        <f t="shared" si="5"/>
        <v>-504867.42969999992</v>
      </c>
      <c r="H16" s="332">
        <f t="shared" si="5"/>
        <v>-756869.71080000023</v>
      </c>
      <c r="I16" s="332">
        <f t="shared" si="5"/>
        <v>-646547.37953999988</v>
      </c>
      <c r="J16" s="332">
        <f t="shared" si="5"/>
        <v>-831653.91084999987</v>
      </c>
      <c r="K16" s="332">
        <f t="shared" si="5"/>
        <v>-745425.25325000007</v>
      </c>
      <c r="L16" s="332">
        <f t="shared" si="5"/>
        <v>-751459.18751000008</v>
      </c>
      <c r="M16" s="332">
        <f t="shared" si="5"/>
        <v>-787390.59382999979</v>
      </c>
      <c r="N16" s="332">
        <f t="shared" si="5"/>
        <v>-586990.9726399997</v>
      </c>
      <c r="O16" s="332">
        <f t="shared" si="5"/>
        <v>-683055.39113999996</v>
      </c>
      <c r="P16" s="332">
        <f t="shared" si="5"/>
        <v>-686243.62390000001</v>
      </c>
      <c r="Q16" s="332">
        <f t="shared" si="5"/>
        <v>-742894.25103999989</v>
      </c>
      <c r="R16" s="332">
        <f t="shared" si="5"/>
        <v>-867663.07224000013</v>
      </c>
      <c r="S16" s="332">
        <f t="shared" si="5"/>
        <v>-651715.04867000005</v>
      </c>
      <c r="T16" s="332">
        <f t="shared" si="5"/>
        <v>-853277.17443000013</v>
      </c>
      <c r="U16" s="332">
        <f t="shared" si="5"/>
        <v>-865402</v>
      </c>
      <c r="V16" s="332">
        <f t="shared" si="5"/>
        <v>-953590</v>
      </c>
      <c r="W16" s="332">
        <f t="shared" si="5"/>
        <v>-912538.8</v>
      </c>
      <c r="X16" s="332">
        <f t="shared" si="5"/>
        <v>-859340.38951000001</v>
      </c>
      <c r="Y16" s="332">
        <f t="shared" si="5"/>
        <v>-989103.44179000007</v>
      </c>
      <c r="Z16" s="332">
        <f t="shared" si="5"/>
        <v>-864666.99235999992</v>
      </c>
      <c r="AA16" s="332">
        <f t="shared" si="5"/>
        <v>-900038.42368999997</v>
      </c>
      <c r="AB16" s="332">
        <f t="shared" si="5"/>
        <v>-795352.10846999986</v>
      </c>
      <c r="AC16" s="335">
        <v>-901918</v>
      </c>
      <c r="AD16" s="335">
        <v>-974094</v>
      </c>
      <c r="AE16" s="335">
        <v>-770507.00000000012</v>
      </c>
      <c r="AF16" s="335">
        <v>-682187</v>
      </c>
      <c r="AG16" s="335">
        <v>-842473</v>
      </c>
      <c r="AH16" s="335">
        <v>-1176824</v>
      </c>
      <c r="AI16" s="335">
        <v>-956927</v>
      </c>
      <c r="AJ16" s="337">
        <v>-945010</v>
      </c>
      <c r="AK16" s="337">
        <v>-1636183</v>
      </c>
      <c r="AL16" s="337">
        <v>-1666115</v>
      </c>
      <c r="AM16" s="337">
        <v>-1069869</v>
      </c>
      <c r="AN16" s="332">
        <f t="shared" ref="AN16:AS16" si="6">SUM(AN17:AN19)</f>
        <v>-1173639</v>
      </c>
      <c r="AO16" s="332">
        <f t="shared" si="6"/>
        <v>-1301458</v>
      </c>
      <c r="AP16" s="332">
        <f t="shared" si="6"/>
        <v>-1409876</v>
      </c>
      <c r="AQ16" s="332">
        <f t="shared" si="6"/>
        <v>-1467770</v>
      </c>
      <c r="AR16" s="332">
        <f t="shared" si="6"/>
        <v>-1350144</v>
      </c>
      <c r="AS16" s="332">
        <f t="shared" si="6"/>
        <v>-1499196.216</v>
      </c>
      <c r="AT16" s="332">
        <f t="shared" ref="AT16:AU16" si="7">SUM(AT17:AT19)</f>
        <v>-1779721.362</v>
      </c>
      <c r="AU16" s="332">
        <f t="shared" si="7"/>
        <v>-1387317.5920000002</v>
      </c>
      <c r="AV16" s="332">
        <f t="shared" ref="AV16" si="8">SUM(AV17:AV19)</f>
        <v>-1509441.5460000001</v>
      </c>
    </row>
    <row r="17" spans="1:48">
      <c r="A17" s="137" t="s">
        <v>589</v>
      </c>
      <c r="B17" s="138"/>
      <c r="C17" s="320">
        <v>-311486</v>
      </c>
      <c r="D17" s="320">
        <v>-412577.20562000002</v>
      </c>
      <c r="E17" s="320">
        <v>-208533.80779000031</v>
      </c>
      <c r="F17" s="320">
        <v>-405295.38654999982</v>
      </c>
      <c r="G17" s="320">
        <v>-360826.75384999992</v>
      </c>
      <c r="H17" s="320">
        <v>-556604.87256000016</v>
      </c>
      <c r="I17" s="320">
        <v>-308748.37651999976</v>
      </c>
      <c r="J17" s="320">
        <v>-621971.38639999984</v>
      </c>
      <c r="K17" s="320">
        <v>-539373.61273000005</v>
      </c>
      <c r="L17" s="320">
        <v>-574632.29502000019</v>
      </c>
      <c r="M17" s="320">
        <v>-603145.55429999973</v>
      </c>
      <c r="N17" s="320">
        <v>-362794.32689999987</v>
      </c>
      <c r="O17" s="320">
        <v>-490593.41399000003</v>
      </c>
      <c r="P17" s="320">
        <v>-451538.86718000006</v>
      </c>
      <c r="Q17" s="320">
        <v>-491830.94680999982</v>
      </c>
      <c r="R17" s="320">
        <v>-588305.51587000012</v>
      </c>
      <c r="S17" s="320">
        <v>-413695.39920000004</v>
      </c>
      <c r="T17" s="320">
        <v>-601212.78470000008</v>
      </c>
      <c r="U17" s="320">
        <v>-585688</v>
      </c>
      <c r="V17" s="320">
        <v>-598829</v>
      </c>
      <c r="W17" s="320">
        <v>-651674.4</v>
      </c>
      <c r="X17" s="320">
        <v>-559916.90127000003</v>
      </c>
      <c r="Y17" s="320">
        <v>-711723.98226000008</v>
      </c>
      <c r="Z17" s="320">
        <v>-530726.59700999991</v>
      </c>
      <c r="AA17" s="320">
        <v>-615039.78522999992</v>
      </c>
      <c r="AB17" s="320">
        <v>-542192.99216999998</v>
      </c>
      <c r="AC17" s="321">
        <v>-598072</v>
      </c>
      <c r="AD17" s="321">
        <v>-659268</v>
      </c>
      <c r="AE17" s="321">
        <v>-509110</v>
      </c>
      <c r="AF17" s="321">
        <v>-417435</v>
      </c>
      <c r="AG17" s="321">
        <v>-519695</v>
      </c>
      <c r="AH17" s="321">
        <v>-782591</v>
      </c>
      <c r="AI17" s="321">
        <v>-583829</v>
      </c>
      <c r="AJ17" s="324">
        <v>-534597</v>
      </c>
      <c r="AK17" s="324">
        <v>-1131589</v>
      </c>
      <c r="AL17" s="324">
        <v>-1114048</v>
      </c>
      <c r="AM17" s="324">
        <v>-731824</v>
      </c>
      <c r="AN17" s="324">
        <v>-725735</v>
      </c>
      <c r="AO17" s="324">
        <v>-795956</v>
      </c>
      <c r="AP17" s="324">
        <v>-832757</v>
      </c>
      <c r="AQ17" s="324">
        <v>-846042</v>
      </c>
      <c r="AR17" s="324">
        <v>-862355</v>
      </c>
      <c r="AS17" s="338">
        <v>-884536.96699999995</v>
      </c>
      <c r="AT17" s="338">
        <v>-994739.08799999999</v>
      </c>
      <c r="AU17" s="338">
        <v>-855762.06099999999</v>
      </c>
      <c r="AV17" s="338">
        <v>-935388.96900000004</v>
      </c>
    </row>
    <row r="18" spans="1:48">
      <c r="A18" s="137" t="s">
        <v>590</v>
      </c>
      <c r="B18" s="138"/>
      <c r="C18" s="320">
        <v>-21322.28008</v>
      </c>
      <c r="D18" s="320">
        <v>-14213.389629999992</v>
      </c>
      <c r="E18" s="320">
        <v>-18293.313600000009</v>
      </c>
      <c r="F18" s="320">
        <v>-17277.887609999998</v>
      </c>
      <c r="G18" s="320">
        <v>-19179.415530000002</v>
      </c>
      <c r="H18" s="320">
        <v>-19089.892740000003</v>
      </c>
      <c r="I18" s="320">
        <v>-29800.141759999999</v>
      </c>
      <c r="J18" s="320">
        <v>34838.290820000009</v>
      </c>
      <c r="K18" s="320">
        <v>-26101.907810000001</v>
      </c>
      <c r="L18" s="320">
        <v>-32366.339499999998</v>
      </c>
      <c r="M18" s="320">
        <v>-32198.52217</v>
      </c>
      <c r="N18" s="320">
        <v>-37269.126020000011</v>
      </c>
      <c r="O18" s="320">
        <v>-49712.964330000003</v>
      </c>
      <c r="P18" s="320">
        <v>-27267.523099999999</v>
      </c>
      <c r="Q18" s="320">
        <v>-37354.141800000012</v>
      </c>
      <c r="R18" s="320">
        <v>-33413.928409999986</v>
      </c>
      <c r="S18" s="320">
        <v>-37790.725909999994</v>
      </c>
      <c r="T18" s="320">
        <v>-39777.108020000014</v>
      </c>
      <c r="U18" s="320">
        <v>-90752</v>
      </c>
      <c r="V18" s="320">
        <v>-91138</v>
      </c>
      <c r="W18" s="320">
        <v>-94087.4</v>
      </c>
      <c r="X18" s="320">
        <v>-95974.172640000004</v>
      </c>
      <c r="Y18" s="320">
        <v>-85850.652819999988</v>
      </c>
      <c r="Z18" s="320">
        <v>-85814.14072000001</v>
      </c>
      <c r="AA18" s="320">
        <v>-91283.638460000002</v>
      </c>
      <c r="AB18" s="320">
        <v>-92378.305629999988</v>
      </c>
      <c r="AC18" s="321">
        <v>-100449</v>
      </c>
      <c r="AD18" s="321">
        <v>-99687</v>
      </c>
      <c r="AE18" s="321">
        <v>-112947</v>
      </c>
      <c r="AF18" s="321">
        <v>-99122</v>
      </c>
      <c r="AG18" s="321">
        <v>-164775</v>
      </c>
      <c r="AH18" s="321">
        <v>-185565</v>
      </c>
      <c r="AI18" s="321">
        <v>-187093</v>
      </c>
      <c r="AJ18" s="324">
        <v>-187362</v>
      </c>
      <c r="AK18" s="324">
        <v>-162096</v>
      </c>
      <c r="AL18" s="324">
        <v>-162276</v>
      </c>
      <c r="AM18" s="324">
        <v>-3688</v>
      </c>
      <c r="AN18" s="324">
        <v>-7259</v>
      </c>
      <c r="AO18" s="324">
        <v>-8154</v>
      </c>
      <c r="AP18" s="324">
        <v>-13071</v>
      </c>
      <c r="AQ18" s="324">
        <v>-7264</v>
      </c>
      <c r="AR18" s="324">
        <v>-10092</v>
      </c>
      <c r="AS18" s="338">
        <v>-10737.18</v>
      </c>
      <c r="AT18" s="338">
        <v>-11602.748</v>
      </c>
      <c r="AU18" s="338">
        <v>-10878.853999999999</v>
      </c>
      <c r="AV18" s="338">
        <v>-10751.67</v>
      </c>
    </row>
    <row r="19" spans="1:48" ht="15" thickBot="1">
      <c r="A19" s="137" t="s">
        <v>591</v>
      </c>
      <c r="B19" s="138"/>
      <c r="C19" s="320">
        <v>-88051.515949999986</v>
      </c>
      <c r="D19" s="320">
        <v>-76835.267430000022</v>
      </c>
      <c r="E19" s="320">
        <v>-117304.14954999993</v>
      </c>
      <c r="F19" s="320">
        <v>-144462.90856000013</v>
      </c>
      <c r="G19" s="320">
        <v>-124861.26031999999</v>
      </c>
      <c r="H19" s="320">
        <v>-181174.9455</v>
      </c>
      <c r="I19" s="320">
        <v>-307998.86126000015</v>
      </c>
      <c r="J19" s="320">
        <v>-244520.81526999999</v>
      </c>
      <c r="K19" s="320">
        <v>-179949.73270999998</v>
      </c>
      <c r="L19" s="320">
        <v>-144460.55298999994</v>
      </c>
      <c r="M19" s="320">
        <v>-152046.51736000009</v>
      </c>
      <c r="N19" s="320">
        <v>-186927.51971999984</v>
      </c>
      <c r="O19" s="320">
        <v>-142749.01282</v>
      </c>
      <c r="P19" s="320">
        <v>-207437.23362000001</v>
      </c>
      <c r="Q19" s="320">
        <v>-213709.16243</v>
      </c>
      <c r="R19" s="320">
        <v>-245943.62796000004</v>
      </c>
      <c r="S19" s="320">
        <v>-200228.92356</v>
      </c>
      <c r="T19" s="320">
        <v>-212287.28170999998</v>
      </c>
      <c r="U19" s="320">
        <v>-188962</v>
      </c>
      <c r="V19" s="320">
        <v>-263623</v>
      </c>
      <c r="W19" s="320">
        <v>-166777</v>
      </c>
      <c r="X19" s="320">
        <v>-203449.31559999997</v>
      </c>
      <c r="Y19" s="320">
        <v>-191528.80671000003</v>
      </c>
      <c r="Z19" s="320">
        <v>-248126.25462999998</v>
      </c>
      <c r="AA19" s="320">
        <v>-193715</v>
      </c>
      <c r="AB19" s="320">
        <v>-160780.81066999995</v>
      </c>
      <c r="AC19" s="321">
        <v>-203397</v>
      </c>
      <c r="AD19" s="321">
        <v>-215139</v>
      </c>
      <c r="AE19" s="321">
        <v>-148450</v>
      </c>
      <c r="AF19" s="321">
        <v>-165630</v>
      </c>
      <c r="AG19" s="321">
        <v>-158004</v>
      </c>
      <c r="AH19" s="321">
        <v>-208669</v>
      </c>
      <c r="AI19" s="321">
        <v>-186005</v>
      </c>
      <c r="AJ19" s="324">
        <v>-223051</v>
      </c>
      <c r="AK19" s="324">
        <v>-342498</v>
      </c>
      <c r="AL19" s="324">
        <v>-389791</v>
      </c>
      <c r="AM19" s="324">
        <v>-334357</v>
      </c>
      <c r="AN19" s="324">
        <v>-440645</v>
      </c>
      <c r="AO19" s="324">
        <v>-497348</v>
      </c>
      <c r="AP19" s="324">
        <v>-564048</v>
      </c>
      <c r="AQ19" s="324">
        <v>-614464</v>
      </c>
      <c r="AR19" s="324">
        <v>-477697</v>
      </c>
      <c r="AS19" s="338">
        <v>-603922.06900000002</v>
      </c>
      <c r="AT19" s="338">
        <v>-773379.52599999995</v>
      </c>
      <c r="AU19" s="338">
        <v>-520676.67700000003</v>
      </c>
      <c r="AV19" s="338">
        <v>-563300.90700000001</v>
      </c>
    </row>
    <row r="20" spans="1:48" ht="15" thickBot="1">
      <c r="A20" s="140" t="s">
        <v>593</v>
      </c>
      <c r="B20" s="138"/>
      <c r="C20" s="319">
        <f t="shared" ref="C20:O20" si="9">C15+C16</f>
        <v>109248.29440000013</v>
      </c>
      <c r="D20" s="319">
        <f t="shared" si="9"/>
        <v>63457.0745300001</v>
      </c>
      <c r="E20" s="319">
        <f t="shared" si="9"/>
        <v>318517.26911999931</v>
      </c>
      <c r="F20" s="319">
        <f t="shared" si="9"/>
        <v>168117.52578000096</v>
      </c>
      <c r="G20" s="319">
        <f t="shared" si="9"/>
        <v>200026.28668000043</v>
      </c>
      <c r="H20" s="319">
        <f t="shared" si="9"/>
        <v>42360.852529999334</v>
      </c>
      <c r="I20" s="319">
        <f t="shared" si="9"/>
        <v>422385.87085000053</v>
      </c>
      <c r="J20" s="319">
        <f t="shared" si="9"/>
        <v>582466.38859999925</v>
      </c>
      <c r="K20" s="319">
        <f t="shared" si="9"/>
        <v>239538.03755000024</v>
      </c>
      <c r="L20" s="319">
        <f t="shared" si="9"/>
        <v>268886.99480000022</v>
      </c>
      <c r="M20" s="319">
        <f t="shared" si="9"/>
        <v>352602.87197999971</v>
      </c>
      <c r="N20" s="319">
        <f t="shared" si="9"/>
        <v>455018.62574999244</v>
      </c>
      <c r="O20" s="319">
        <f t="shared" si="9"/>
        <v>285639.03872000007</v>
      </c>
      <c r="P20" s="319">
        <f>P15+P16</f>
        <v>315774.85622000112</v>
      </c>
      <c r="Q20" s="319">
        <f t="shared" ref="Q20:AB20" si="10">Q15+Q16</f>
        <v>415416.45497999957</v>
      </c>
      <c r="R20" s="319">
        <f t="shared" si="10"/>
        <v>531520.97147000022</v>
      </c>
      <c r="S20" s="319">
        <f t="shared" si="10"/>
        <v>363714.93492999941</v>
      </c>
      <c r="T20" s="319">
        <f t="shared" si="10"/>
        <v>393793.54835999943</v>
      </c>
      <c r="U20" s="319">
        <f t="shared" si="10"/>
        <v>542118.80000000005</v>
      </c>
      <c r="V20" s="319">
        <f t="shared" si="10"/>
        <v>527363</v>
      </c>
      <c r="W20" s="319">
        <f t="shared" si="10"/>
        <v>341259.19999999995</v>
      </c>
      <c r="X20" s="319">
        <f t="shared" si="10"/>
        <v>411913.37840999931</v>
      </c>
      <c r="Y20" s="319">
        <f t="shared" si="10"/>
        <v>494703.75426999992</v>
      </c>
      <c r="Z20" s="319">
        <f t="shared" si="10"/>
        <v>618009.04721999995</v>
      </c>
      <c r="AA20" s="319">
        <f t="shared" si="10"/>
        <v>382064.05703999952</v>
      </c>
      <c r="AB20" s="319">
        <f t="shared" si="10"/>
        <v>379426.53470000066</v>
      </c>
      <c r="AC20" s="325">
        <v>558309</v>
      </c>
      <c r="AD20" s="325">
        <v>704138</v>
      </c>
      <c r="AE20" s="325">
        <v>513878.99999999988</v>
      </c>
      <c r="AF20" s="325">
        <v>482221</v>
      </c>
      <c r="AG20" s="325">
        <v>695060</v>
      </c>
      <c r="AH20" s="325">
        <v>711698</v>
      </c>
      <c r="AI20" s="325">
        <v>577772.86577000003</v>
      </c>
      <c r="AJ20" s="326">
        <v>620617</v>
      </c>
      <c r="AK20" s="326">
        <v>814208</v>
      </c>
      <c r="AL20" s="326">
        <v>902684</v>
      </c>
      <c r="AM20" s="326">
        <v>800835</v>
      </c>
      <c r="AN20" s="319">
        <f t="shared" ref="AN20:AS20" si="11">AN15+AN16</f>
        <v>968163</v>
      </c>
      <c r="AO20" s="319">
        <f t="shared" si="11"/>
        <v>759209</v>
      </c>
      <c r="AP20" s="319">
        <f t="shared" si="11"/>
        <v>1030171</v>
      </c>
      <c r="AQ20" s="319">
        <f t="shared" si="11"/>
        <v>866218</v>
      </c>
      <c r="AR20" s="319">
        <f t="shared" si="11"/>
        <v>1059785</v>
      </c>
      <c r="AS20" s="319">
        <f t="shared" si="11"/>
        <v>1279911.6869999999</v>
      </c>
      <c r="AT20" s="319">
        <f t="shared" ref="AT20:AU20" si="12">AT15+AT16</f>
        <v>1075599.3400000005</v>
      </c>
      <c r="AU20" s="319">
        <f t="shared" si="12"/>
        <v>1007111.2909999993</v>
      </c>
      <c r="AV20" s="319">
        <f t="shared" ref="AV20" si="13">AV15+AV16</f>
        <v>1067439.446</v>
      </c>
    </row>
    <row r="21" spans="1:48" ht="15" thickBot="1">
      <c r="A21" s="140" t="s">
        <v>594</v>
      </c>
      <c r="B21" s="138"/>
      <c r="C21" s="319">
        <f>SUM(C22:C30)</f>
        <v>-128658.37661000004</v>
      </c>
      <c r="D21" s="319">
        <f t="shared" ref="D21:AB21" si="14">SUM(D22:D30)</f>
        <v>-122752.23995999995</v>
      </c>
      <c r="E21" s="319">
        <f t="shared" si="14"/>
        <v>-166285.98936999991</v>
      </c>
      <c r="F21" s="319">
        <f t="shared" si="14"/>
        <v>-154351.93518</v>
      </c>
      <c r="G21" s="319">
        <f t="shared" si="14"/>
        <v>-159229.31050999995</v>
      </c>
      <c r="H21" s="319">
        <f t="shared" si="14"/>
        <v>-141128.33766000005</v>
      </c>
      <c r="I21" s="319">
        <f t="shared" si="14"/>
        <v>-148484.21539</v>
      </c>
      <c r="J21" s="319">
        <f t="shared" si="14"/>
        <v>-230924.87460999982</v>
      </c>
      <c r="K21" s="319">
        <f t="shared" si="14"/>
        <v>-139854.06372000003</v>
      </c>
      <c r="L21" s="319">
        <f t="shared" si="14"/>
        <v>-202296.39451999994</v>
      </c>
      <c r="M21" s="319">
        <f t="shared" si="14"/>
        <v>-182219.45259999996</v>
      </c>
      <c r="N21" s="319">
        <f t="shared" si="14"/>
        <v>-326605.49509000051</v>
      </c>
      <c r="O21" s="319">
        <f t="shared" si="14"/>
        <v>-192885.92964000005</v>
      </c>
      <c r="P21" s="319">
        <f t="shared" si="14"/>
        <v>-150111.17846000008</v>
      </c>
      <c r="Q21" s="319">
        <f t="shared" si="14"/>
        <v>-189617.08134</v>
      </c>
      <c r="R21" s="319">
        <f t="shared" si="14"/>
        <v>-263238.21045000001</v>
      </c>
      <c r="S21" s="319">
        <f t="shared" si="14"/>
        <v>-247000.53056000001</v>
      </c>
      <c r="T21" s="319">
        <f t="shared" si="14"/>
        <v>-210852.79805999997</v>
      </c>
      <c r="U21" s="319">
        <f t="shared" si="14"/>
        <v>-238997.2</v>
      </c>
      <c r="V21" s="319">
        <f t="shared" si="14"/>
        <v>-189412.80000000002</v>
      </c>
      <c r="W21" s="319">
        <f t="shared" si="14"/>
        <v>-221629.69999999998</v>
      </c>
      <c r="X21" s="319">
        <f t="shared" si="14"/>
        <v>-219909.05077000003</v>
      </c>
      <c r="Y21" s="319">
        <f t="shared" si="14"/>
        <v>-196928.8622</v>
      </c>
      <c r="Z21" s="319">
        <f t="shared" si="14"/>
        <v>-179471.22866000005</v>
      </c>
      <c r="AA21" s="319">
        <f t="shared" si="14"/>
        <v>-245765.79060999997</v>
      </c>
      <c r="AB21" s="319">
        <f t="shared" si="14"/>
        <v>-194656.50264999989</v>
      </c>
      <c r="AC21" s="325">
        <v>-220774</v>
      </c>
      <c r="AD21" s="325">
        <v>-314247</v>
      </c>
      <c r="AE21" s="325">
        <v>-190429</v>
      </c>
      <c r="AF21" s="325">
        <v>-255997</v>
      </c>
      <c r="AG21" s="325">
        <v>-195063</v>
      </c>
      <c r="AH21" s="325">
        <v>-280459</v>
      </c>
      <c r="AI21" s="325">
        <v>-230682.69235000003</v>
      </c>
      <c r="AJ21" s="326">
        <v>-219008</v>
      </c>
      <c r="AK21" s="326">
        <v>-148442</v>
      </c>
      <c r="AL21" s="326">
        <v>-305910</v>
      </c>
      <c r="AM21" s="326">
        <v>-242113</v>
      </c>
      <c r="AN21" s="319">
        <f t="shared" ref="AN21:AS21" si="15">SUM(AN22:AN30)</f>
        <v>-288046</v>
      </c>
      <c r="AO21" s="319">
        <f t="shared" si="15"/>
        <v>-251332</v>
      </c>
      <c r="AP21" s="319">
        <f t="shared" si="15"/>
        <v>-377875</v>
      </c>
      <c r="AQ21" s="319">
        <f t="shared" si="15"/>
        <v>-174783</v>
      </c>
      <c r="AR21" s="319">
        <f t="shared" si="15"/>
        <v>-215878</v>
      </c>
      <c r="AS21" s="319">
        <f t="shared" si="15"/>
        <v>-287502.69099999999</v>
      </c>
      <c r="AT21" s="319">
        <f t="shared" ref="AT21:AU21" si="16">SUM(AT22:AT30)</f>
        <v>-279826.30900000001</v>
      </c>
      <c r="AU21" s="319">
        <f t="shared" si="16"/>
        <v>-269907.80900000001</v>
      </c>
      <c r="AV21" s="319">
        <f t="shared" ref="AV21" si="17">SUM(AV22:AV30)</f>
        <v>-283460.06200000003</v>
      </c>
    </row>
    <row r="22" spans="1:48">
      <c r="A22" s="137" t="s">
        <v>595</v>
      </c>
      <c r="B22" s="138"/>
      <c r="C22" s="320">
        <v>-34817.255770000003</v>
      </c>
      <c r="D22" s="320">
        <v>-33583.572919999977</v>
      </c>
      <c r="E22" s="320">
        <v>-29106.686359999985</v>
      </c>
      <c r="F22" s="320">
        <v>-43451.664970000027</v>
      </c>
      <c r="G22" s="320">
        <v>-38152.255749999989</v>
      </c>
      <c r="H22" s="320">
        <v>-39112.317339999965</v>
      </c>
      <c r="I22" s="320">
        <v>-38659.374280000106</v>
      </c>
      <c r="J22" s="320">
        <v>-41866.93276999989</v>
      </c>
      <c r="K22" s="320">
        <v>-39011.86020000001</v>
      </c>
      <c r="L22" s="320">
        <v>-34060.698419999964</v>
      </c>
      <c r="M22" s="320">
        <v>-31995.413380000056</v>
      </c>
      <c r="N22" s="320">
        <v>-53661.724850000115</v>
      </c>
      <c r="O22" s="320">
        <v>-35241.758160000019</v>
      </c>
      <c r="P22" s="320">
        <v>-34969.808659999988</v>
      </c>
      <c r="Q22" s="320">
        <v>-27133.964349999995</v>
      </c>
      <c r="R22" s="320">
        <v>-33849.49733999998</v>
      </c>
      <c r="S22" s="320">
        <v>-31490.112169999964</v>
      </c>
      <c r="T22" s="320">
        <v>-31977.793789999996</v>
      </c>
      <c r="U22" s="320">
        <v>-31114</v>
      </c>
      <c r="V22" s="320">
        <v>-37912</v>
      </c>
      <c r="W22" s="320">
        <v>-34222</v>
      </c>
      <c r="X22" s="320">
        <v>-33489.698540000012</v>
      </c>
      <c r="Y22" s="320">
        <v>-37449.320539999986</v>
      </c>
      <c r="Z22" s="320">
        <v>-38311.474230000007</v>
      </c>
      <c r="AA22" s="320">
        <v>-34063.505649999992</v>
      </c>
      <c r="AB22" s="320">
        <v>-31771.451890000011</v>
      </c>
      <c r="AC22" s="321">
        <v>-31473</v>
      </c>
      <c r="AD22" s="321">
        <v>-32885</v>
      </c>
      <c r="AE22" s="321">
        <v>-34389</v>
      </c>
      <c r="AF22" s="321">
        <v>-33812</v>
      </c>
      <c r="AG22" s="321">
        <v>-36132</v>
      </c>
      <c r="AH22" s="321">
        <v>-51736</v>
      </c>
      <c r="AI22" s="321">
        <v>-54891</v>
      </c>
      <c r="AJ22" s="321">
        <v>-43631</v>
      </c>
      <c r="AK22" s="321">
        <v>-38335</v>
      </c>
      <c r="AL22" s="321">
        <v>-38039</v>
      </c>
      <c r="AM22" s="321">
        <v>-40719</v>
      </c>
      <c r="AN22" s="321">
        <v>-43433</v>
      </c>
      <c r="AO22" s="321">
        <v>-43578</v>
      </c>
      <c r="AP22" s="321">
        <v>-50234</v>
      </c>
      <c r="AQ22" s="321">
        <v>-47910</v>
      </c>
      <c r="AR22" s="321">
        <v>-45058</v>
      </c>
      <c r="AS22" s="334">
        <v>-41614.502999999997</v>
      </c>
      <c r="AT22" s="334">
        <v>-58500.302000000003</v>
      </c>
      <c r="AU22" s="334">
        <v>-47842.468999999997</v>
      </c>
      <c r="AV22" s="334">
        <v>-48999.993999999999</v>
      </c>
    </row>
    <row r="23" spans="1:48">
      <c r="A23" s="137" t="s">
        <v>596</v>
      </c>
      <c r="B23" s="138"/>
      <c r="C23" s="320">
        <v>-3026.4941599999997</v>
      </c>
      <c r="D23" s="320">
        <v>-2221.0408499999976</v>
      </c>
      <c r="E23" s="320">
        <v>-3571.8356800000033</v>
      </c>
      <c r="F23" s="320">
        <v>-6317.1461100000033</v>
      </c>
      <c r="G23" s="320">
        <v>-4679.3890399999973</v>
      </c>
      <c r="H23" s="320">
        <v>-5770.5611900000031</v>
      </c>
      <c r="I23" s="320">
        <v>-3416.8399500000028</v>
      </c>
      <c r="J23" s="320">
        <v>-966.64258999999424</v>
      </c>
      <c r="K23" s="320">
        <v>-706.46651999999972</v>
      </c>
      <c r="L23" s="320">
        <v>-2236.1983000000014</v>
      </c>
      <c r="M23" s="320">
        <v>-1667.7134100000017</v>
      </c>
      <c r="N23" s="320">
        <v>-8584.8456900000019</v>
      </c>
      <c r="O23" s="320">
        <v>-1642.9930499999994</v>
      </c>
      <c r="P23" s="320">
        <v>22.173270000000599</v>
      </c>
      <c r="Q23" s="320">
        <v>-71.342150000000174</v>
      </c>
      <c r="R23" s="320">
        <v>-4614.7179400000005</v>
      </c>
      <c r="S23" s="320">
        <v>-616.53707999999949</v>
      </c>
      <c r="T23" s="320">
        <v>-4030.4853800000001</v>
      </c>
      <c r="U23" s="320">
        <v>-1810</v>
      </c>
      <c r="V23" s="320">
        <v>-1978</v>
      </c>
      <c r="W23" s="320">
        <v>-2408</v>
      </c>
      <c r="X23" s="320">
        <v>-3976.8454199999992</v>
      </c>
      <c r="Y23" s="320">
        <v>-5355.5485399999998</v>
      </c>
      <c r="Z23" s="320">
        <v>-174.83368999999988</v>
      </c>
      <c r="AA23" s="320">
        <v>-2062.24296</v>
      </c>
      <c r="AB23" s="320">
        <v>-1758.4424199999996</v>
      </c>
      <c r="AC23" s="321">
        <v>-2555</v>
      </c>
      <c r="AD23" s="321">
        <v>-514</v>
      </c>
      <c r="AE23" s="321">
        <v>-2204</v>
      </c>
      <c r="AF23" s="321">
        <v>-1427</v>
      </c>
      <c r="AG23" s="321">
        <v>-2253</v>
      </c>
      <c r="AH23" s="321">
        <v>-16681</v>
      </c>
      <c r="AI23" s="321">
        <v>-5748</v>
      </c>
      <c r="AJ23" s="321">
        <v>-7246</v>
      </c>
      <c r="AK23" s="321">
        <v>-5063</v>
      </c>
      <c r="AL23" s="321">
        <v>-8536</v>
      </c>
      <c r="AM23" s="321">
        <v>-6272</v>
      </c>
      <c r="AN23" s="321">
        <v>-7258</v>
      </c>
      <c r="AO23" s="321">
        <v>-7225</v>
      </c>
      <c r="AP23" s="321">
        <v>-9389</v>
      </c>
      <c r="AQ23" s="321">
        <v>-6563</v>
      </c>
      <c r="AR23" s="321">
        <v>-2976</v>
      </c>
      <c r="AS23" s="334">
        <v>-2749.65</v>
      </c>
      <c r="AT23" s="334">
        <v>-15147.346</v>
      </c>
      <c r="AU23" s="334">
        <v>-4975.9459999999999</v>
      </c>
      <c r="AV23" s="334">
        <v>-3772.4720000000002</v>
      </c>
    </row>
    <row r="24" spans="1:48">
      <c r="A24" s="137" t="s">
        <v>597</v>
      </c>
      <c r="B24" s="138"/>
      <c r="C24" s="320">
        <v>-67142.27469000002</v>
      </c>
      <c r="D24" s="320">
        <v>-73112.582029999947</v>
      </c>
      <c r="E24" s="320">
        <v>-89747.354999999938</v>
      </c>
      <c r="F24" s="320">
        <v>-97921</v>
      </c>
      <c r="G24" s="320">
        <v>-73723.75469999999</v>
      </c>
      <c r="H24" s="320">
        <v>-85344.883640000073</v>
      </c>
      <c r="I24" s="320">
        <v>-81761.532729999817</v>
      </c>
      <c r="J24" s="320">
        <v>-108828.84033999991</v>
      </c>
      <c r="K24" s="320">
        <v>-78320.539030000029</v>
      </c>
      <c r="L24" s="320">
        <v>-80800.348039999895</v>
      </c>
      <c r="M24" s="320">
        <v>-77027.118039999958</v>
      </c>
      <c r="N24" s="320">
        <v>-119899.14853000033</v>
      </c>
      <c r="O24" s="320">
        <v>-96146.446690000026</v>
      </c>
      <c r="P24" s="320">
        <v>-88095.386560000101</v>
      </c>
      <c r="Q24" s="320">
        <v>-105221</v>
      </c>
      <c r="R24" s="320">
        <v>-112584.25408999996</v>
      </c>
      <c r="S24" s="320">
        <v>-92504.00758000002</v>
      </c>
      <c r="T24" s="320">
        <v>-84541.790469999964</v>
      </c>
      <c r="U24" s="320">
        <v>-107212</v>
      </c>
      <c r="V24" s="320">
        <v>-96856</v>
      </c>
      <c r="W24" s="320">
        <v>-82341</v>
      </c>
      <c r="X24" s="320">
        <v>-88800.051520000008</v>
      </c>
      <c r="Y24" s="320">
        <v>-82923.459659999979</v>
      </c>
      <c r="Z24" s="320">
        <v>-128485.45204000002</v>
      </c>
      <c r="AA24" s="320">
        <v>-81792.068180000002</v>
      </c>
      <c r="AB24" s="320">
        <v>-84169.554299999945</v>
      </c>
      <c r="AC24" s="321">
        <v>-90824</v>
      </c>
      <c r="AD24" s="321">
        <v>-97380</v>
      </c>
      <c r="AE24" s="321">
        <v>-79237</v>
      </c>
      <c r="AF24" s="321">
        <v>-87268</v>
      </c>
      <c r="AG24" s="321">
        <v>-88103</v>
      </c>
      <c r="AH24" s="321">
        <v>-86192</v>
      </c>
      <c r="AI24" s="321">
        <v>-99257</v>
      </c>
      <c r="AJ24" s="321">
        <v>-101604</v>
      </c>
      <c r="AK24" s="321">
        <v>-106264</v>
      </c>
      <c r="AL24" s="321">
        <v>-119254</v>
      </c>
      <c r="AM24" s="321">
        <v>-106138</v>
      </c>
      <c r="AN24" s="321">
        <v>-123623</v>
      </c>
      <c r="AO24" s="321">
        <v>-120518</v>
      </c>
      <c r="AP24" s="321">
        <v>-152863</v>
      </c>
      <c r="AQ24" s="321">
        <v>-101179</v>
      </c>
      <c r="AR24" s="321">
        <v>-77721</v>
      </c>
      <c r="AS24" s="334">
        <v>-124691.321</v>
      </c>
      <c r="AT24" s="334">
        <v>-126101.952</v>
      </c>
      <c r="AU24" s="334">
        <v>-111799.31600000001</v>
      </c>
      <c r="AV24" s="334">
        <v>-120082.266</v>
      </c>
    </row>
    <row r="25" spans="1:48">
      <c r="A25" s="137" t="s">
        <v>598</v>
      </c>
      <c r="B25" s="138"/>
      <c r="C25" s="320">
        <v>-21402.250450000018</v>
      </c>
      <c r="D25" s="320">
        <v>-18888.716490000032</v>
      </c>
      <c r="E25" s="320">
        <v>-7174.8392499999936</v>
      </c>
      <c r="F25" s="320">
        <v>10588.759209999995</v>
      </c>
      <c r="G25" s="320">
        <v>-20458.857370000002</v>
      </c>
      <c r="H25" s="320">
        <v>-12143.50447</v>
      </c>
      <c r="I25" s="320">
        <v>-13529.536799999994</v>
      </c>
      <c r="J25" s="320">
        <v>-21792.250029999992</v>
      </c>
      <c r="K25" s="320">
        <v>-23088</v>
      </c>
      <c r="L25" s="320">
        <v>-23428.468800000017</v>
      </c>
      <c r="M25" s="320">
        <v>-26910.204669999977</v>
      </c>
      <c r="N25" s="320">
        <v>-47366.265610000031</v>
      </c>
      <c r="O25" s="320">
        <v>-37083.651190000004</v>
      </c>
      <c r="P25" s="320">
        <v>-17326.975889999987</v>
      </c>
      <c r="Q25" s="320">
        <v>-40716.403190000012</v>
      </c>
      <c r="R25" s="320">
        <v>-128515.71961999999</v>
      </c>
      <c r="S25" s="320">
        <v>-92170.150269999998</v>
      </c>
      <c r="T25" s="320">
        <v>-60445.683980000016</v>
      </c>
      <c r="U25" s="320">
        <v>-39723.699999999997</v>
      </c>
      <c r="V25" s="320">
        <v>-42783</v>
      </c>
      <c r="W25" s="320">
        <v>-64775</v>
      </c>
      <c r="X25" s="320">
        <v>-52695.662449999989</v>
      </c>
      <c r="Y25" s="320">
        <v>-28644.450660000017</v>
      </c>
      <c r="Z25" s="320">
        <v>20521.496890000031</v>
      </c>
      <c r="AA25" s="320">
        <v>-15036.38127</v>
      </c>
      <c r="AB25" s="320">
        <v>-50015.064679999967</v>
      </c>
      <c r="AC25" s="321">
        <v>-42122</v>
      </c>
      <c r="AD25" s="321">
        <v>-81197</v>
      </c>
      <c r="AE25" s="321">
        <v>-30584.999999999996</v>
      </c>
      <c r="AF25" s="321">
        <v>-99783</v>
      </c>
      <c r="AG25" s="321">
        <v>-27861</v>
      </c>
      <c r="AH25" s="321">
        <v>-75054</v>
      </c>
      <c r="AI25" s="321">
        <v>-37428.218369999995</v>
      </c>
      <c r="AJ25" s="321">
        <v>-38856</v>
      </c>
      <c r="AK25" s="321">
        <v>-49719</v>
      </c>
      <c r="AL25" s="321">
        <v>-46774</v>
      </c>
      <c r="AM25" s="321">
        <v>-49390</v>
      </c>
      <c r="AN25" s="321">
        <v>-37124</v>
      </c>
      <c r="AO25" s="321">
        <v>-55200</v>
      </c>
      <c r="AP25" s="321">
        <v>26658</v>
      </c>
      <c r="AQ25" s="321">
        <v>-37491</v>
      </c>
      <c r="AR25" s="321">
        <v>-46541</v>
      </c>
      <c r="AS25" s="334">
        <v>-63199.678999999996</v>
      </c>
      <c r="AT25" s="334">
        <v>-47380.656999999999</v>
      </c>
      <c r="AU25" s="334">
        <v>-71897.043000000005</v>
      </c>
      <c r="AV25" s="334">
        <v>-61938.002</v>
      </c>
    </row>
    <row r="26" spans="1:48">
      <c r="A26" s="137" t="s">
        <v>59</v>
      </c>
      <c r="B26" s="138"/>
      <c r="C26" s="320">
        <v>-5935</v>
      </c>
      <c r="D26" s="320">
        <v>-3477</v>
      </c>
      <c r="E26" s="320">
        <v>-33313.365130000006</v>
      </c>
      <c r="F26" s="320">
        <v>-9818.1055899999974</v>
      </c>
      <c r="G26" s="320">
        <v>-9481.6015599999919</v>
      </c>
      <c r="H26" s="320">
        <v>-8168.0507599999983</v>
      </c>
      <c r="I26" s="320">
        <v>-10318.174340000018</v>
      </c>
      <c r="J26" s="320">
        <v>-11627.408369999986</v>
      </c>
      <c r="K26" s="320">
        <v>18805.798760000001</v>
      </c>
      <c r="L26" s="320">
        <v>-24380.17455</v>
      </c>
      <c r="M26" s="320">
        <v>-15773.590109999996</v>
      </c>
      <c r="N26" s="320">
        <v>-35040.443719999996</v>
      </c>
      <c r="O26" s="320">
        <v>-586.00541999999803</v>
      </c>
      <c r="P26" s="320">
        <v>-11257.993200000001</v>
      </c>
      <c r="Q26" s="320">
        <v>-8540.3312400000032</v>
      </c>
      <c r="R26" s="320">
        <v>19441.084899999983</v>
      </c>
      <c r="S26" s="320">
        <v>-22808.607550000004</v>
      </c>
      <c r="T26" s="320">
        <v>-9189.6462199999969</v>
      </c>
      <c r="U26" s="320">
        <v>-9276.5</v>
      </c>
      <c r="V26" s="320">
        <v>20708</v>
      </c>
      <c r="W26" s="320">
        <v>-5702</v>
      </c>
      <c r="X26" s="320">
        <v>-3714</v>
      </c>
      <c r="Y26" s="320">
        <v>-6268.9964199999977</v>
      </c>
      <c r="Z26" s="320">
        <v>-5881.7676599999986</v>
      </c>
      <c r="AA26" s="320">
        <v>-6200.6347300000016</v>
      </c>
      <c r="AB26" s="320">
        <v>-2837.5704199999982</v>
      </c>
      <c r="AC26" s="321">
        <v>-5746</v>
      </c>
      <c r="AD26" s="321">
        <v>-13308</v>
      </c>
      <c r="AE26" s="321">
        <v>-36037</v>
      </c>
      <c r="AF26" s="321">
        <v>-8382</v>
      </c>
      <c r="AG26" s="321">
        <v>-5619</v>
      </c>
      <c r="AH26" s="321">
        <v>-3557</v>
      </c>
      <c r="AI26" s="321">
        <v>114.52601999999955</v>
      </c>
      <c r="AJ26" s="321">
        <v>-1709</v>
      </c>
      <c r="AK26" s="321">
        <v>-6600</v>
      </c>
      <c r="AL26" s="321">
        <v>-21642</v>
      </c>
      <c r="AM26" s="321">
        <v>-3143</v>
      </c>
      <c r="AN26" s="321">
        <v>-4955</v>
      </c>
      <c r="AO26" s="321">
        <v>-4593</v>
      </c>
      <c r="AP26" s="321">
        <v>-8040</v>
      </c>
      <c r="AQ26" s="321">
        <v>-4998</v>
      </c>
      <c r="AR26" s="321">
        <v>-2303</v>
      </c>
      <c r="AS26" s="334">
        <v>-122.002</v>
      </c>
      <c r="AT26" s="334">
        <v>-8371.6319999999996</v>
      </c>
      <c r="AU26" s="334">
        <v>-6576.3789999999999</v>
      </c>
      <c r="AV26" s="334">
        <v>-3772.085</v>
      </c>
    </row>
    <row r="27" spans="1:48">
      <c r="A27" s="137" t="s">
        <v>606</v>
      </c>
      <c r="B27" s="138"/>
      <c r="C27" s="320"/>
      <c r="D27" s="320"/>
      <c r="E27" s="320"/>
      <c r="F27" s="320"/>
      <c r="G27" s="320"/>
      <c r="H27" s="320"/>
      <c r="I27" s="320"/>
      <c r="J27" s="320"/>
      <c r="K27" s="320"/>
      <c r="L27" s="320"/>
      <c r="M27" s="320"/>
      <c r="N27" s="320"/>
      <c r="O27" s="320">
        <v>0</v>
      </c>
      <c r="P27" s="320">
        <v>0</v>
      </c>
      <c r="Q27" s="320">
        <v>0</v>
      </c>
      <c r="R27" s="320">
        <v>0</v>
      </c>
      <c r="S27" s="320">
        <v>-74209.911769999992</v>
      </c>
      <c r="T27" s="320">
        <v>-115906.38757000001</v>
      </c>
      <c r="U27" s="320">
        <v>-120298</v>
      </c>
      <c r="V27" s="320">
        <v>-126751.4</v>
      </c>
      <c r="W27" s="320">
        <v>-124183.3</v>
      </c>
      <c r="X27" s="320">
        <v>-129845.45475000002</v>
      </c>
      <c r="Y27" s="320">
        <v>-137334.82364999998</v>
      </c>
      <c r="Z27" s="320">
        <v>-156495.90257000001</v>
      </c>
      <c r="AA27" s="320">
        <v>-100177.11417</v>
      </c>
      <c r="AB27" s="320">
        <v>-105966.53614999999</v>
      </c>
      <c r="AC27" s="321">
        <v>-110787</v>
      </c>
      <c r="AD27" s="321">
        <v>-1251</v>
      </c>
      <c r="AE27" s="321">
        <v>0</v>
      </c>
      <c r="AF27" s="321">
        <v>0</v>
      </c>
      <c r="AG27" s="321">
        <v>-119286</v>
      </c>
      <c r="AH27" s="321">
        <v>-115406</v>
      </c>
      <c r="AI27" s="321">
        <v>-102473</v>
      </c>
      <c r="AJ27" s="321">
        <v>0</v>
      </c>
      <c r="AK27" s="321">
        <v>-133314</v>
      </c>
      <c r="AL27" s="321">
        <v>-143261</v>
      </c>
      <c r="AM27" s="321">
        <v>-136849</v>
      </c>
      <c r="AN27" s="321">
        <v>-149063</v>
      </c>
      <c r="AO27" s="321">
        <v>-178722</v>
      </c>
      <c r="AP27" s="321">
        <v>-177267</v>
      </c>
      <c r="AQ27" s="321">
        <v>-150780</v>
      </c>
      <c r="AR27" s="321"/>
      <c r="AS27" s="334"/>
      <c r="AT27" s="334"/>
      <c r="AU27" s="334"/>
      <c r="AV27" s="334"/>
    </row>
    <row r="28" spans="1:48">
      <c r="A28" s="137" t="s">
        <v>607</v>
      </c>
      <c r="B28" s="138"/>
      <c r="C28" s="320">
        <v>64422.271059999999</v>
      </c>
      <c r="D28" s="320">
        <v>80841.517189999999</v>
      </c>
      <c r="E28" s="320">
        <v>82771.578379999992</v>
      </c>
      <c r="F28" s="320">
        <v>80816.498600000021</v>
      </c>
      <c r="G28" s="320">
        <v>73953.261989999999</v>
      </c>
      <c r="H28" s="320">
        <v>61675.921660000015</v>
      </c>
      <c r="I28" s="320">
        <v>80346.189309999972</v>
      </c>
      <c r="J28" s="320">
        <v>82492.691459999973</v>
      </c>
      <c r="K28" s="320">
        <v>77168.39718</v>
      </c>
      <c r="L28" s="320">
        <v>69550.504629999996</v>
      </c>
      <c r="M28" s="320">
        <v>72250.864539999995</v>
      </c>
      <c r="N28" s="320">
        <v>82181.459530000007</v>
      </c>
      <c r="O28" s="320">
        <v>69847.556219999999</v>
      </c>
      <c r="P28" s="320">
        <v>97642.982799999998</v>
      </c>
      <c r="Q28" s="320">
        <v>69975</v>
      </c>
      <c r="R28" s="320">
        <v>72945.893639999966</v>
      </c>
      <c r="S28" s="320">
        <v>97942.626250000001</v>
      </c>
      <c r="T28" s="320">
        <v>100762.66158000001</v>
      </c>
      <c r="U28" s="320">
        <v>85925</v>
      </c>
      <c r="V28" s="320">
        <v>117659</v>
      </c>
      <c r="W28" s="320">
        <v>97796.6</v>
      </c>
      <c r="X28" s="320">
        <v>104003.66191000001</v>
      </c>
      <c r="Y28" s="320">
        <v>110046.77168000001</v>
      </c>
      <c r="Z28" s="320">
        <v>134561.29387999998</v>
      </c>
      <c r="AA28" s="320">
        <v>71545.974019999994</v>
      </c>
      <c r="AB28" s="320">
        <v>83679.428260000001</v>
      </c>
      <c r="AC28" s="321">
        <v>76719</v>
      </c>
      <c r="AD28" s="321">
        <v>-30042</v>
      </c>
      <c r="AE28" s="321">
        <v>0</v>
      </c>
      <c r="AF28" s="321">
        <v>-28975</v>
      </c>
      <c r="AG28" s="321">
        <v>83543</v>
      </c>
      <c r="AH28" s="321">
        <v>89946</v>
      </c>
      <c r="AI28" s="321">
        <v>81382</v>
      </c>
      <c r="AJ28" s="321">
        <v>-26026</v>
      </c>
      <c r="AK28" s="321">
        <v>190480</v>
      </c>
      <c r="AL28" s="321">
        <v>114784</v>
      </c>
      <c r="AM28" s="321">
        <v>139450</v>
      </c>
      <c r="AN28" s="321">
        <v>151219</v>
      </c>
      <c r="AO28" s="321">
        <v>181629</v>
      </c>
      <c r="AP28" s="321">
        <v>185534</v>
      </c>
      <c r="AQ28" s="321">
        <v>146011</v>
      </c>
      <c r="AR28" s="321">
        <v>-7693</v>
      </c>
      <c r="AS28" s="334">
        <v>-1456.037</v>
      </c>
      <c r="AT28" s="334">
        <v>-18272.892</v>
      </c>
      <c r="AU28" s="334">
        <v>-13031.239</v>
      </c>
      <c r="AV28" s="334">
        <v>-14641.038</v>
      </c>
    </row>
    <row r="29" spans="1:48">
      <c r="A29" s="137" t="s">
        <v>608</v>
      </c>
      <c r="B29" s="138"/>
      <c r="C29" s="320">
        <v>-60009.129300000008</v>
      </c>
      <c r="D29" s="320">
        <v>-66424.476009999998</v>
      </c>
      <c r="E29" s="320">
        <v>-77173.717789999966</v>
      </c>
      <c r="F29" s="320">
        <v>-79853.141730000018</v>
      </c>
      <c r="G29" s="320">
        <v>-80832.86292</v>
      </c>
      <c r="H29" s="320">
        <v>-45275.187209999996</v>
      </c>
      <c r="I29" s="320">
        <v>-69226.133069999996</v>
      </c>
      <c r="J29" s="320">
        <v>-74134.141890000043</v>
      </c>
      <c r="K29" s="320">
        <v>-71362.587579999992</v>
      </c>
      <c r="L29" s="320">
        <v>-65097.853400000022</v>
      </c>
      <c r="M29" s="320">
        <v>-71533.298929999975</v>
      </c>
      <c r="N29" s="320">
        <v>-72996.646460000004</v>
      </c>
      <c r="O29" s="320">
        <v>-88426.169249999992</v>
      </c>
      <c r="P29" s="320">
        <v>-86117.596690000006</v>
      </c>
      <c r="Q29" s="320">
        <v>-72295</v>
      </c>
      <c r="R29" s="320">
        <v>-66487</v>
      </c>
      <c r="S29" s="320">
        <v>-30395.121470000002</v>
      </c>
      <c r="T29" s="320">
        <v>-2056.8265799999999</v>
      </c>
      <c r="U29" s="320">
        <v>-2960</v>
      </c>
      <c r="V29" s="320">
        <v>-6307.4</v>
      </c>
      <c r="W29" s="320">
        <v>-2272</v>
      </c>
      <c r="X29" s="320">
        <v>-2704</v>
      </c>
      <c r="Y29" s="320">
        <v>-2348.6610400000004</v>
      </c>
      <c r="Z29" s="320">
        <v>3667.3737500000002</v>
      </c>
      <c r="AA29" s="320">
        <v>127.67474</v>
      </c>
      <c r="AB29" s="320">
        <v>131.57362000000001</v>
      </c>
      <c r="AC29" s="321">
        <v>129</v>
      </c>
      <c r="AD29" s="321">
        <v>0</v>
      </c>
      <c r="AE29" s="321">
        <v>0</v>
      </c>
      <c r="AF29" s="321">
        <v>0</v>
      </c>
      <c r="AG29" s="321">
        <v>176</v>
      </c>
      <c r="AH29" s="321">
        <v>201</v>
      </c>
      <c r="AI29" s="321">
        <v>131</v>
      </c>
      <c r="AJ29" s="321">
        <v>0</v>
      </c>
      <c r="AK29" s="321">
        <v>193</v>
      </c>
      <c r="AL29" s="321">
        <v>186</v>
      </c>
      <c r="AM29" s="321">
        <v>270</v>
      </c>
      <c r="AN29" s="321">
        <v>365</v>
      </c>
      <c r="AO29" s="321">
        <v>476</v>
      </c>
      <c r="AP29" s="321">
        <v>589</v>
      </c>
      <c r="AQ29" s="321">
        <v>0</v>
      </c>
      <c r="AR29" s="321"/>
      <c r="AS29" s="334"/>
      <c r="AT29" s="334"/>
      <c r="AU29" s="334"/>
      <c r="AV29" s="334"/>
    </row>
    <row r="30" spans="1:48">
      <c r="A30" s="137" t="s">
        <v>599</v>
      </c>
      <c r="B30" s="137"/>
      <c r="C30" s="320">
        <v>-748.24330000000009</v>
      </c>
      <c r="D30" s="320">
        <v>-5886.3688500000007</v>
      </c>
      <c r="E30" s="320">
        <v>-8969.7685400000009</v>
      </c>
      <c r="F30" s="320">
        <v>-8396.1345899999997</v>
      </c>
      <c r="G30" s="320">
        <v>-5853.8511599999993</v>
      </c>
      <c r="H30" s="320">
        <v>-6989.7547099999992</v>
      </c>
      <c r="I30" s="320">
        <v>-11918.813530000005</v>
      </c>
      <c r="J30" s="320">
        <v>-54201.350079999997</v>
      </c>
      <c r="K30" s="320">
        <v>-23338.806329999999</v>
      </c>
      <c r="L30" s="320">
        <v>-41843.157640000019</v>
      </c>
      <c r="M30" s="320">
        <v>-29562.978600000009</v>
      </c>
      <c r="N30" s="320">
        <v>-71237.879759999967</v>
      </c>
      <c r="O30" s="320">
        <v>-3606.4621000000002</v>
      </c>
      <c r="P30" s="320">
        <v>-10008.57353</v>
      </c>
      <c r="Q30" s="320">
        <v>-5614.0404100000005</v>
      </c>
      <c r="R30" s="320">
        <v>-9574</v>
      </c>
      <c r="S30" s="320">
        <v>-748.70891999999992</v>
      </c>
      <c r="T30" s="320">
        <v>-3466.8456499999993</v>
      </c>
      <c r="U30" s="320">
        <v>-12528</v>
      </c>
      <c r="V30" s="320">
        <v>-15192</v>
      </c>
      <c r="W30" s="320">
        <v>-3523</v>
      </c>
      <c r="X30" s="320">
        <v>-8687</v>
      </c>
      <c r="Y30" s="320">
        <v>-6650.3733700000003</v>
      </c>
      <c r="Z30" s="320">
        <v>-8871.9629899999982</v>
      </c>
      <c r="AA30" s="320">
        <v>-78107.492409999992</v>
      </c>
      <c r="AB30" s="320">
        <v>-1948.8846699999879</v>
      </c>
      <c r="AC30" s="321">
        <v>-14115</v>
      </c>
      <c r="AD30" s="321">
        <v>-57670</v>
      </c>
      <c r="AE30" s="321">
        <v>-7977</v>
      </c>
      <c r="AF30" s="321">
        <v>3650</v>
      </c>
      <c r="AG30" s="321">
        <v>472</v>
      </c>
      <c r="AH30" s="321">
        <v>-21980</v>
      </c>
      <c r="AI30" s="321">
        <v>-12513</v>
      </c>
      <c r="AJ30" s="321">
        <v>64</v>
      </c>
      <c r="AK30" s="321">
        <v>180</v>
      </c>
      <c r="AL30" s="321">
        <v>-57908</v>
      </c>
      <c r="AM30" s="321">
        <v>-39322</v>
      </c>
      <c r="AN30" s="321">
        <v>-74174</v>
      </c>
      <c r="AO30" s="321">
        <v>-23601</v>
      </c>
      <c r="AP30" s="321">
        <v>-192863</v>
      </c>
      <c r="AQ30" s="321">
        <v>28127</v>
      </c>
      <c r="AR30" s="321">
        <v>-33586</v>
      </c>
      <c r="AS30" s="334">
        <v>-53669.499000000003</v>
      </c>
      <c r="AT30" s="334">
        <v>-6051.5280000000002</v>
      </c>
      <c r="AU30" s="334">
        <v>-13785.416999999999</v>
      </c>
      <c r="AV30" s="334">
        <v>-30254.205000000002</v>
      </c>
    </row>
    <row r="31" spans="1:48">
      <c r="A31" s="554" t="s">
        <v>529</v>
      </c>
      <c r="B31" s="339"/>
      <c r="C31" s="561">
        <f t="shared" ref="C31:AR31" si="18">C15+C16+C21</f>
        <v>-19410.082209999906</v>
      </c>
      <c r="D31" s="561">
        <f t="shared" si="18"/>
        <v>-59295.165429999848</v>
      </c>
      <c r="E31" s="561">
        <f t="shared" si="18"/>
        <v>152231.2797499994</v>
      </c>
      <c r="F31" s="561">
        <f t="shared" si="18"/>
        <v>13765.590600000956</v>
      </c>
      <c r="G31" s="561">
        <f t="shared" si="18"/>
        <v>40796.976170000475</v>
      </c>
      <c r="H31" s="561">
        <f t="shared" si="18"/>
        <v>-98767.485130000714</v>
      </c>
      <c r="I31" s="561">
        <f t="shared" si="18"/>
        <v>273901.6554600005</v>
      </c>
      <c r="J31" s="561">
        <f t="shared" si="18"/>
        <v>351541.51398999942</v>
      </c>
      <c r="K31" s="561">
        <f t="shared" si="18"/>
        <v>99683.973830000206</v>
      </c>
      <c r="L31" s="561">
        <f t="shared" si="18"/>
        <v>66590.600280000275</v>
      </c>
      <c r="M31" s="561">
        <f t="shared" si="18"/>
        <v>170383.41937999974</v>
      </c>
      <c r="N31" s="561">
        <f t="shared" si="18"/>
        <v>128413.13065999193</v>
      </c>
      <c r="O31" s="561">
        <f t="shared" si="18"/>
        <v>92753.109080000024</v>
      </c>
      <c r="P31" s="561">
        <f t="shared" si="18"/>
        <v>165663.67776000104</v>
      </c>
      <c r="Q31" s="561">
        <f t="shared" si="18"/>
        <v>225799.37363999957</v>
      </c>
      <c r="R31" s="561">
        <f t="shared" si="18"/>
        <v>268282.76102000021</v>
      </c>
      <c r="S31" s="561">
        <f t="shared" si="18"/>
        <v>116714.40436999939</v>
      </c>
      <c r="T31" s="561">
        <f t="shared" si="18"/>
        <v>182940.75029999946</v>
      </c>
      <c r="U31" s="561">
        <f t="shared" si="18"/>
        <v>303121.60000000003</v>
      </c>
      <c r="V31" s="561">
        <f t="shared" si="18"/>
        <v>337950.19999999995</v>
      </c>
      <c r="W31" s="561">
        <f t="shared" si="18"/>
        <v>119629.49999999997</v>
      </c>
      <c r="X31" s="561">
        <f t="shared" si="18"/>
        <v>192004.32763999928</v>
      </c>
      <c r="Y31" s="561">
        <f t="shared" si="18"/>
        <v>297774.89206999994</v>
      </c>
      <c r="Z31" s="561">
        <f t="shared" si="18"/>
        <v>438537.81855999993</v>
      </c>
      <c r="AA31" s="561">
        <f t="shared" si="18"/>
        <v>136298.26642999955</v>
      </c>
      <c r="AB31" s="561">
        <f t="shared" si="18"/>
        <v>184770.03205000077</v>
      </c>
      <c r="AC31" s="561">
        <f t="shared" si="18"/>
        <v>337535</v>
      </c>
      <c r="AD31" s="561">
        <f t="shared" si="18"/>
        <v>389891</v>
      </c>
      <c r="AE31" s="561">
        <f t="shared" si="18"/>
        <v>323449.99999999988</v>
      </c>
      <c r="AF31" s="561">
        <f t="shared" si="18"/>
        <v>226224</v>
      </c>
      <c r="AG31" s="561">
        <f t="shared" si="18"/>
        <v>499997</v>
      </c>
      <c r="AH31" s="561">
        <f t="shared" si="18"/>
        <v>431239</v>
      </c>
      <c r="AI31" s="561">
        <f t="shared" si="18"/>
        <v>347090.17342000001</v>
      </c>
      <c r="AJ31" s="561">
        <f t="shared" si="18"/>
        <v>401609</v>
      </c>
      <c r="AK31" s="561">
        <f t="shared" si="18"/>
        <v>665766</v>
      </c>
      <c r="AL31" s="561">
        <f t="shared" si="18"/>
        <v>596774</v>
      </c>
      <c r="AM31" s="561">
        <f t="shared" si="18"/>
        <v>558722</v>
      </c>
      <c r="AN31" s="561">
        <f t="shared" si="18"/>
        <v>680117</v>
      </c>
      <c r="AO31" s="561">
        <f t="shared" si="18"/>
        <v>507877</v>
      </c>
      <c r="AP31" s="561">
        <f t="shared" si="18"/>
        <v>652296</v>
      </c>
      <c r="AQ31" s="561">
        <f t="shared" si="18"/>
        <v>691435</v>
      </c>
      <c r="AR31" s="561">
        <f t="shared" si="18"/>
        <v>843907</v>
      </c>
      <c r="AS31" s="562">
        <f>AS15+AS16+AS21</f>
        <v>992408.99599999993</v>
      </c>
      <c r="AT31" s="562">
        <f>AT15+AT16+AT21</f>
        <v>795773.03100000054</v>
      </c>
      <c r="AU31" s="562">
        <f>AU15+AU16+AU21</f>
        <v>737203.48199999926</v>
      </c>
      <c r="AV31" s="562">
        <f>AV15+AV16+AV21</f>
        <v>783979.38399999996</v>
      </c>
    </row>
    <row r="32" spans="1:48" ht="15" thickBot="1">
      <c r="A32" s="137" t="s">
        <v>600</v>
      </c>
      <c r="B32" s="137"/>
      <c r="C32" s="320">
        <v>-31150.374359999994</v>
      </c>
      <c r="D32" s="320">
        <v>-32181.438809999996</v>
      </c>
      <c r="E32" s="320">
        <v>-40381.733350000017</v>
      </c>
      <c r="F32" s="320">
        <v>-35892.271269999983</v>
      </c>
      <c r="G32" s="320">
        <v>-36580.159070000009</v>
      </c>
      <c r="H32" s="320">
        <v>-42917.743680000007</v>
      </c>
      <c r="I32" s="320">
        <v>-54449.164379999995</v>
      </c>
      <c r="J32" s="320">
        <v>-37105.181320000011</v>
      </c>
      <c r="K32" s="320">
        <v>-214.61177000000222</v>
      </c>
      <c r="L32" s="320">
        <v>-47953.004530000006</v>
      </c>
      <c r="M32" s="320">
        <v>-48452.161079999998</v>
      </c>
      <c r="N32" s="320">
        <v>-88494.638129999978</v>
      </c>
      <c r="O32" s="320">
        <v>-52645.274429999998</v>
      </c>
      <c r="P32" s="320">
        <v>-44721.908069999998</v>
      </c>
      <c r="Q32" s="320">
        <v>-51141</v>
      </c>
      <c r="R32" s="320">
        <v>-49894</v>
      </c>
      <c r="S32" s="320">
        <v>-52013.062829999988</v>
      </c>
      <c r="T32" s="320">
        <v>-52784.297949999993</v>
      </c>
      <c r="U32" s="320">
        <v>-53949</v>
      </c>
      <c r="V32" s="320">
        <v>-51957</v>
      </c>
      <c r="W32" s="320">
        <v>-57824</v>
      </c>
      <c r="X32" s="320">
        <v>-58342</v>
      </c>
      <c r="Y32" s="320">
        <v>-71265.924559999985</v>
      </c>
      <c r="Z32" s="320">
        <v>-62531.030320000005</v>
      </c>
      <c r="AA32" s="320">
        <v>-61021.807829999998</v>
      </c>
      <c r="AB32" s="320">
        <v>-72013.011079999997</v>
      </c>
      <c r="AC32" s="321">
        <v>-72622</v>
      </c>
      <c r="AD32" s="321">
        <v>-101307</v>
      </c>
      <c r="AE32" s="321">
        <v>-70970</v>
      </c>
      <c r="AF32" s="321">
        <v>-78269</v>
      </c>
      <c r="AG32" s="321">
        <v>-79887</v>
      </c>
      <c r="AH32" s="321">
        <v>-82917</v>
      </c>
      <c r="AI32" s="321">
        <v>-71751</v>
      </c>
      <c r="AJ32" s="321">
        <v>-94693</v>
      </c>
      <c r="AK32" s="321">
        <v>-86289</v>
      </c>
      <c r="AL32" s="321">
        <v>-112564</v>
      </c>
      <c r="AM32" s="321">
        <v>-86746</v>
      </c>
      <c r="AN32" s="321">
        <v>-94388</v>
      </c>
      <c r="AO32" s="321">
        <v>-93835</v>
      </c>
      <c r="AP32" s="321">
        <v>-105436</v>
      </c>
      <c r="AQ32" s="321">
        <v>-114894</v>
      </c>
      <c r="AR32" s="321">
        <v>-104683</v>
      </c>
      <c r="AS32" s="334">
        <v>-103781.427</v>
      </c>
      <c r="AT32" s="334">
        <v>-115713.18399999999</v>
      </c>
      <c r="AU32" s="334">
        <v>-115490.053</v>
      </c>
      <c r="AV32" s="334">
        <v>-120647.68399999999</v>
      </c>
    </row>
    <row r="33" spans="1:48" ht="15" thickBot="1">
      <c r="A33" s="140" t="s">
        <v>601</v>
      </c>
      <c r="B33" s="137"/>
      <c r="C33" s="319">
        <f t="shared" ref="C33:Y33" si="19">SUM(C31:C32)</f>
        <v>-50560.4565699999</v>
      </c>
      <c r="D33" s="319">
        <f t="shared" si="19"/>
        <v>-91476.604239999841</v>
      </c>
      <c r="E33" s="319">
        <f t="shared" si="19"/>
        <v>111849.54639999938</v>
      </c>
      <c r="F33" s="319">
        <f t="shared" si="19"/>
        <v>-22126.680669999027</v>
      </c>
      <c r="G33" s="319">
        <f t="shared" si="19"/>
        <v>4216.8171000004659</v>
      </c>
      <c r="H33" s="319">
        <f t="shared" si="19"/>
        <v>-141685.22881000073</v>
      </c>
      <c r="I33" s="319">
        <f t="shared" si="19"/>
        <v>219452.4910800005</v>
      </c>
      <c r="J33" s="319">
        <f t="shared" si="19"/>
        <v>314436.33266999939</v>
      </c>
      <c r="K33" s="319">
        <f t="shared" si="19"/>
        <v>99469.362060000203</v>
      </c>
      <c r="L33" s="319">
        <f t="shared" si="19"/>
        <v>18637.59575000027</v>
      </c>
      <c r="M33" s="319">
        <f t="shared" si="19"/>
        <v>121931.25829999975</v>
      </c>
      <c r="N33" s="319">
        <f t="shared" si="19"/>
        <v>39918.492529991956</v>
      </c>
      <c r="O33" s="319">
        <f t="shared" si="19"/>
        <v>40107.834650000026</v>
      </c>
      <c r="P33" s="319">
        <f t="shared" si="19"/>
        <v>120941.76969000103</v>
      </c>
      <c r="Q33" s="319">
        <f t="shared" si="19"/>
        <v>174658.37363999957</v>
      </c>
      <c r="R33" s="319">
        <f t="shared" si="19"/>
        <v>218388.76102000021</v>
      </c>
      <c r="S33" s="319">
        <f t="shared" si="19"/>
        <v>64701.341539999405</v>
      </c>
      <c r="T33" s="319">
        <f t="shared" si="19"/>
        <v>130156.45234999947</v>
      </c>
      <c r="U33" s="319">
        <f t="shared" si="19"/>
        <v>249172.60000000003</v>
      </c>
      <c r="V33" s="319">
        <f t="shared" si="19"/>
        <v>285993.19999999995</v>
      </c>
      <c r="W33" s="319">
        <f t="shared" si="19"/>
        <v>61805.499999999971</v>
      </c>
      <c r="X33" s="319">
        <f t="shared" si="19"/>
        <v>133662.32763999928</v>
      </c>
      <c r="Y33" s="319">
        <f t="shared" si="19"/>
        <v>226508.96750999996</v>
      </c>
      <c r="Z33" s="319">
        <f>SUM(Z31:Z32)</f>
        <v>376006.78823999991</v>
      </c>
      <c r="AA33" s="319">
        <f>SUM(AA31:AA32)</f>
        <v>75276.458599999547</v>
      </c>
      <c r="AB33" s="319">
        <f>SUM(AB31:AB32)</f>
        <v>112757.02097000077</v>
      </c>
      <c r="AC33" s="325">
        <v>264913</v>
      </c>
      <c r="AD33" s="325">
        <v>288584</v>
      </c>
      <c r="AE33" s="325">
        <v>252479.99999999994</v>
      </c>
      <c r="AF33" s="325">
        <v>147955</v>
      </c>
      <c r="AG33" s="325">
        <v>420109</v>
      </c>
      <c r="AH33" s="325">
        <v>348321</v>
      </c>
      <c r="AI33" s="325">
        <v>275339.17342000001</v>
      </c>
      <c r="AJ33" s="325">
        <v>306916</v>
      </c>
      <c r="AK33" s="325">
        <v>579477</v>
      </c>
      <c r="AL33" s="325">
        <v>484210</v>
      </c>
      <c r="AM33" s="325">
        <v>471976</v>
      </c>
      <c r="AN33" s="319">
        <f t="shared" ref="AN33:AS33" si="20">SUM(AN31:AN32)</f>
        <v>585729</v>
      </c>
      <c r="AO33" s="319">
        <f t="shared" si="20"/>
        <v>414042</v>
      </c>
      <c r="AP33" s="319">
        <f t="shared" si="20"/>
        <v>546860</v>
      </c>
      <c r="AQ33" s="319">
        <f t="shared" si="20"/>
        <v>576541</v>
      </c>
      <c r="AR33" s="319">
        <f t="shared" si="20"/>
        <v>739224</v>
      </c>
      <c r="AS33" s="319">
        <f t="shared" si="20"/>
        <v>888627.5689999999</v>
      </c>
      <c r="AT33" s="319">
        <f t="shared" ref="AT33:AU33" si="21">SUM(AT31:AT32)</f>
        <v>680059.84700000053</v>
      </c>
      <c r="AU33" s="319">
        <f t="shared" si="21"/>
        <v>621713.42899999931</v>
      </c>
      <c r="AV33" s="319">
        <f t="shared" ref="AV33" si="22">SUM(AV31:AV32)</f>
        <v>663331.69999999995</v>
      </c>
    </row>
    <row r="34" spans="1:48" ht="15" thickBot="1">
      <c r="A34" s="143" t="s">
        <v>531</v>
      </c>
      <c r="B34" s="137"/>
      <c r="C34" s="332">
        <f>SUM(C35:C36)</f>
        <v>-14128.696479999999</v>
      </c>
      <c r="D34" s="332">
        <f t="shared" ref="D34:M34" si="23">SUM(D35:D36)</f>
        <v>-71100.757640000011</v>
      </c>
      <c r="E34" s="332">
        <f t="shared" si="23"/>
        <v>-43252.478670000077</v>
      </c>
      <c r="F34" s="332">
        <f t="shared" si="23"/>
        <v>-60049.737849999947</v>
      </c>
      <c r="G34" s="332">
        <f t="shared" si="23"/>
        <v>-26038.176930000016</v>
      </c>
      <c r="H34" s="332">
        <f t="shared" si="23"/>
        <v>-63506.165870000128</v>
      </c>
      <c r="I34" s="332">
        <f t="shared" si="23"/>
        <v>-40536.831719999638</v>
      </c>
      <c r="J34" s="332">
        <f t="shared" si="23"/>
        <v>-73712.797180000285</v>
      </c>
      <c r="K34" s="332">
        <f t="shared" si="23"/>
        <v>-62716.888289999973</v>
      </c>
      <c r="L34" s="332">
        <f t="shared" si="23"/>
        <v>578042.8136699996</v>
      </c>
      <c r="M34" s="332">
        <f t="shared" si="23"/>
        <v>-91125.799569999217</v>
      </c>
      <c r="N34" s="332">
        <f>SUM(N35:N36)</f>
        <v>-106929.20554000068</v>
      </c>
      <c r="O34" s="332">
        <f t="shared" ref="O34:AB34" si="24">SUM(O35:O36)</f>
        <v>22945</v>
      </c>
      <c r="P34" s="332">
        <f t="shared" si="24"/>
        <v>-5273.2262599999958</v>
      </c>
      <c r="Q34" s="332">
        <f t="shared" si="24"/>
        <v>-70452.497499999983</v>
      </c>
      <c r="R34" s="332">
        <f t="shared" si="24"/>
        <v>-79837.257939999981</v>
      </c>
      <c r="S34" s="332">
        <f t="shared" si="24"/>
        <v>-44319.851169999951</v>
      </c>
      <c r="T34" s="332">
        <f t="shared" si="24"/>
        <v>-73008.505140000052</v>
      </c>
      <c r="U34" s="332">
        <f t="shared" si="24"/>
        <v>-37565</v>
      </c>
      <c r="V34" s="332">
        <f t="shared" si="24"/>
        <v>-52401</v>
      </c>
      <c r="W34" s="332">
        <f t="shared" si="24"/>
        <v>-62062</v>
      </c>
      <c r="X34" s="332">
        <f t="shared" si="24"/>
        <v>-69306.772880000062</v>
      </c>
      <c r="Y34" s="332">
        <f t="shared" si="24"/>
        <v>-63104.380920000025</v>
      </c>
      <c r="Z34" s="332">
        <f t="shared" si="24"/>
        <v>-40968.00391999993</v>
      </c>
      <c r="AA34" s="332">
        <f t="shared" si="24"/>
        <v>-5736.0919700000086</v>
      </c>
      <c r="AB34" s="332">
        <f t="shared" si="24"/>
        <v>-48207.559399999998</v>
      </c>
      <c r="AC34" s="335">
        <v>-41951</v>
      </c>
      <c r="AD34" s="335">
        <v>-50941</v>
      </c>
      <c r="AE34" s="335">
        <v>-56385.999999999971</v>
      </c>
      <c r="AF34" s="335">
        <v>-26809</v>
      </c>
      <c r="AG34" s="335">
        <v>-65512</v>
      </c>
      <c r="AH34" s="335">
        <v>-55360</v>
      </c>
      <c r="AI34" s="335">
        <v>-104154</v>
      </c>
      <c r="AJ34" s="335">
        <v>-46342</v>
      </c>
      <c r="AK34" s="335">
        <v>-102065</v>
      </c>
      <c r="AL34" s="335">
        <v>-94219</v>
      </c>
      <c r="AM34" s="335">
        <v>-90043</v>
      </c>
      <c r="AN34" s="332">
        <f t="shared" ref="AN34:AS34" si="25">AN35+AN36</f>
        <v>-110210</v>
      </c>
      <c r="AO34" s="332">
        <f t="shared" si="25"/>
        <v>-13515</v>
      </c>
      <c r="AP34" s="332">
        <f t="shared" si="25"/>
        <v>-69133</v>
      </c>
      <c r="AQ34" s="332">
        <f t="shared" si="25"/>
        <v>-103296</v>
      </c>
      <c r="AR34" s="332">
        <f t="shared" si="25"/>
        <v>-109763</v>
      </c>
      <c r="AS34" s="332">
        <f t="shared" si="25"/>
        <v>-40634.119999999995</v>
      </c>
      <c r="AT34" s="332">
        <f t="shared" ref="AT34:AU34" si="26">AT35+AT36</f>
        <v>-77691.156000000017</v>
      </c>
      <c r="AU34" s="332">
        <f t="shared" si="26"/>
        <v>-97115.512999999992</v>
      </c>
      <c r="AV34" s="332">
        <f t="shared" ref="AV34" si="27">AV35+AV36</f>
        <v>-77973.808999999979</v>
      </c>
    </row>
    <row r="35" spans="1:48">
      <c r="A35" s="137" t="s">
        <v>532</v>
      </c>
      <c r="B35" s="137"/>
      <c r="C35" s="320">
        <v>51894.94647000001</v>
      </c>
      <c r="D35" s="320">
        <v>40571.160889999985</v>
      </c>
      <c r="E35" s="320">
        <v>61996.41845999995</v>
      </c>
      <c r="F35" s="320">
        <v>114859.82284000004</v>
      </c>
      <c r="G35" s="320">
        <v>133992.10060000001</v>
      </c>
      <c r="H35" s="320">
        <v>57676.493979999897</v>
      </c>
      <c r="I35" s="320">
        <v>186678.29216000013</v>
      </c>
      <c r="J35" s="320">
        <v>218307.61736999999</v>
      </c>
      <c r="K35" s="320">
        <v>280919.28619000001</v>
      </c>
      <c r="L35" s="320">
        <v>691954.62032999995</v>
      </c>
      <c r="M35" s="320">
        <v>671478.90337000007</v>
      </c>
      <c r="N35" s="320">
        <v>-79638.646170000313</v>
      </c>
      <c r="O35" s="320">
        <v>204084</v>
      </c>
      <c r="P35" s="320">
        <v>159272.91652</v>
      </c>
      <c r="Q35" s="320">
        <v>22589.630030000018</v>
      </c>
      <c r="R35" s="320">
        <v>165546.68828</v>
      </c>
      <c r="S35" s="320">
        <v>79570.305909999995</v>
      </c>
      <c r="T35" s="320">
        <v>50408.528659999989</v>
      </c>
      <c r="U35" s="320">
        <v>62999</v>
      </c>
      <c r="V35" s="320">
        <v>74983</v>
      </c>
      <c r="W35" s="320">
        <v>55982</v>
      </c>
      <c r="X35" s="320">
        <v>282085.92217000003</v>
      </c>
      <c r="Y35" s="320">
        <v>-249534.80517000004</v>
      </c>
      <c r="Z35" s="320">
        <v>676435.69723000005</v>
      </c>
      <c r="AA35" s="320">
        <v>168455.24921000001</v>
      </c>
      <c r="AB35" s="320">
        <v>37376.66906</v>
      </c>
      <c r="AC35" s="321">
        <v>135310</v>
      </c>
      <c r="AD35" s="321">
        <v>78333</v>
      </c>
      <c r="AE35" s="321">
        <v>318177</v>
      </c>
      <c r="AF35" s="321">
        <v>114133</v>
      </c>
      <c r="AG35" s="321">
        <v>102592</v>
      </c>
      <c r="AH35" s="321">
        <v>-27685</v>
      </c>
      <c r="AI35" s="321">
        <v>192134</v>
      </c>
      <c r="AJ35" s="321">
        <v>89768</v>
      </c>
      <c r="AK35" s="321">
        <v>136316</v>
      </c>
      <c r="AL35" s="321">
        <v>158048</v>
      </c>
      <c r="AM35" s="321">
        <v>264289</v>
      </c>
      <c r="AN35" s="321">
        <v>230685</v>
      </c>
      <c r="AO35" s="321">
        <v>174819</v>
      </c>
      <c r="AP35" s="321">
        <v>180486</v>
      </c>
      <c r="AQ35" s="321">
        <v>147080</v>
      </c>
      <c r="AR35" s="321">
        <v>270474</v>
      </c>
      <c r="AS35" s="334">
        <v>72374.535000000003</v>
      </c>
      <c r="AT35" s="334">
        <v>167697.36199999999</v>
      </c>
      <c r="AU35" s="334">
        <v>106942.02</v>
      </c>
      <c r="AV35" s="334">
        <v>236125.644</v>
      </c>
    </row>
    <row r="36" spans="1:48" ht="15" thickBot="1">
      <c r="A36" s="137" t="s">
        <v>541</v>
      </c>
      <c r="B36" s="137"/>
      <c r="C36" s="320">
        <v>-66023.642950000009</v>
      </c>
      <c r="D36" s="320">
        <v>-111671.91853</v>
      </c>
      <c r="E36" s="320">
        <v>-105248.89713000003</v>
      </c>
      <c r="F36" s="320">
        <v>-174909.56068999998</v>
      </c>
      <c r="G36" s="320">
        <v>-160030.27753000002</v>
      </c>
      <c r="H36" s="320">
        <v>-121182.65985000003</v>
      </c>
      <c r="I36" s="320">
        <v>-227215.12387999977</v>
      </c>
      <c r="J36" s="320">
        <v>-292020.41455000028</v>
      </c>
      <c r="K36" s="320">
        <v>-343636.17447999999</v>
      </c>
      <c r="L36" s="320">
        <v>-113911.80666000032</v>
      </c>
      <c r="M36" s="320">
        <v>-762604.70293999929</v>
      </c>
      <c r="N36" s="320">
        <v>-27290.559370000363</v>
      </c>
      <c r="O36" s="320">
        <v>-181139</v>
      </c>
      <c r="P36" s="320">
        <v>-164546.14277999999</v>
      </c>
      <c r="Q36" s="320">
        <v>-93042.127529999998</v>
      </c>
      <c r="R36" s="320">
        <v>-245383.94621999998</v>
      </c>
      <c r="S36" s="320">
        <v>-123890.15707999995</v>
      </c>
      <c r="T36" s="320">
        <v>-123417.03380000003</v>
      </c>
      <c r="U36" s="320">
        <v>-100564</v>
      </c>
      <c r="V36" s="320">
        <v>-127384</v>
      </c>
      <c r="W36" s="320">
        <v>-118044</v>
      </c>
      <c r="X36" s="320">
        <v>-351392.6950500001</v>
      </c>
      <c r="Y36" s="320">
        <v>186430.42425000001</v>
      </c>
      <c r="Z36" s="320">
        <v>-717403.70114999998</v>
      </c>
      <c r="AA36" s="320">
        <v>-174191.34118000002</v>
      </c>
      <c r="AB36" s="320">
        <v>-85584.228459999998</v>
      </c>
      <c r="AC36" s="321">
        <v>-177261</v>
      </c>
      <c r="AD36" s="321">
        <v>-129274</v>
      </c>
      <c r="AE36" s="321">
        <v>-374563</v>
      </c>
      <c r="AF36" s="321">
        <v>-140942</v>
      </c>
      <c r="AG36" s="321">
        <v>-168104</v>
      </c>
      <c r="AH36" s="321">
        <v>-27675</v>
      </c>
      <c r="AI36" s="321">
        <v>-296288</v>
      </c>
      <c r="AJ36" s="321">
        <v>-136110</v>
      </c>
      <c r="AK36" s="321">
        <v>-238381</v>
      </c>
      <c r="AL36" s="321">
        <v>-252267</v>
      </c>
      <c r="AM36" s="321">
        <v>-354332</v>
      </c>
      <c r="AN36" s="321">
        <v>-340895</v>
      </c>
      <c r="AO36" s="321">
        <v>-188334</v>
      </c>
      <c r="AP36" s="321">
        <v>-249619</v>
      </c>
      <c r="AQ36" s="321">
        <v>-250376</v>
      </c>
      <c r="AR36" s="321">
        <v>-380237</v>
      </c>
      <c r="AS36" s="334">
        <v>-113008.655</v>
      </c>
      <c r="AT36" s="334">
        <v>-245388.51800000001</v>
      </c>
      <c r="AU36" s="334">
        <v>-204057.533</v>
      </c>
      <c r="AV36" s="334">
        <v>-314099.45299999998</v>
      </c>
    </row>
    <row r="37" spans="1:48" ht="15" thickBot="1">
      <c r="A37" s="140" t="s">
        <v>609</v>
      </c>
      <c r="B37" s="137"/>
      <c r="C37" s="319">
        <f>C33+C34</f>
        <v>-64689.153049999899</v>
      </c>
      <c r="D37" s="319">
        <f t="shared" ref="D37:AB37" si="28">D33+D34</f>
        <v>-162577.36187999987</v>
      </c>
      <c r="E37" s="319">
        <f t="shared" si="28"/>
        <v>68597.067729999311</v>
      </c>
      <c r="F37" s="319">
        <f t="shared" si="28"/>
        <v>-82176.418519998973</v>
      </c>
      <c r="G37" s="319">
        <f t="shared" si="28"/>
        <v>-21821.35982999955</v>
      </c>
      <c r="H37" s="319">
        <f t="shared" si="28"/>
        <v>-205191.39468000084</v>
      </c>
      <c r="I37" s="319">
        <f t="shared" si="28"/>
        <v>178915.65936000086</v>
      </c>
      <c r="J37" s="319">
        <f t="shared" si="28"/>
        <v>240723.53548999911</v>
      </c>
      <c r="K37" s="319">
        <f t="shared" si="28"/>
        <v>36752.47377000023</v>
      </c>
      <c r="L37" s="319">
        <f t="shared" si="28"/>
        <v>596680.40941999992</v>
      </c>
      <c r="M37" s="319">
        <f t="shared" si="28"/>
        <v>30805.458730000537</v>
      </c>
      <c r="N37" s="319">
        <f t="shared" si="28"/>
        <v>-67010.713010008723</v>
      </c>
      <c r="O37" s="319">
        <f t="shared" si="28"/>
        <v>63052.834650000026</v>
      </c>
      <c r="P37" s="319">
        <f t="shared" si="28"/>
        <v>115668.54343000104</v>
      </c>
      <c r="Q37" s="319">
        <f t="shared" si="28"/>
        <v>104205.87613999959</v>
      </c>
      <c r="R37" s="319">
        <f t="shared" si="28"/>
        <v>138551.50308000023</v>
      </c>
      <c r="S37" s="319">
        <f t="shared" si="28"/>
        <v>20381.490369999454</v>
      </c>
      <c r="T37" s="319">
        <f t="shared" si="28"/>
        <v>57147.947209999416</v>
      </c>
      <c r="U37" s="319">
        <f t="shared" si="28"/>
        <v>211607.60000000003</v>
      </c>
      <c r="V37" s="319">
        <f t="shared" si="28"/>
        <v>233592.19999999995</v>
      </c>
      <c r="W37" s="319">
        <f t="shared" si="28"/>
        <v>-256.5000000000291</v>
      </c>
      <c r="X37" s="319">
        <f t="shared" si="28"/>
        <v>64355.554759999213</v>
      </c>
      <c r="Y37" s="319">
        <f t="shared" si="28"/>
        <v>163404.58658999993</v>
      </c>
      <c r="Z37" s="319">
        <f t="shared" si="28"/>
        <v>335038.78431999998</v>
      </c>
      <c r="AA37" s="319">
        <f t="shared" si="28"/>
        <v>69540.366629999538</v>
      </c>
      <c r="AB37" s="319">
        <f t="shared" si="28"/>
        <v>64549.461570000771</v>
      </c>
      <c r="AC37" s="325">
        <v>222962</v>
      </c>
      <c r="AD37" s="325">
        <v>237643</v>
      </c>
      <c r="AE37" s="325">
        <v>196093.99999999997</v>
      </c>
      <c r="AF37" s="325">
        <v>121146</v>
      </c>
      <c r="AG37" s="325">
        <v>354597</v>
      </c>
      <c r="AH37" s="325">
        <v>292961</v>
      </c>
      <c r="AI37" s="325">
        <v>171186.17342000001</v>
      </c>
      <c r="AJ37" s="325">
        <v>260574</v>
      </c>
      <c r="AK37" s="325">
        <v>477412</v>
      </c>
      <c r="AL37" s="325">
        <v>389991</v>
      </c>
      <c r="AM37" s="325">
        <v>381933</v>
      </c>
      <c r="AN37" s="319">
        <f t="shared" ref="AN37:AT37" si="29">AN33+AN34</f>
        <v>475519</v>
      </c>
      <c r="AO37" s="319">
        <f t="shared" si="29"/>
        <v>400527</v>
      </c>
      <c r="AP37" s="319">
        <f t="shared" si="29"/>
        <v>477727</v>
      </c>
      <c r="AQ37" s="319">
        <f t="shared" si="29"/>
        <v>473245</v>
      </c>
      <c r="AR37" s="319">
        <f t="shared" si="29"/>
        <v>629461</v>
      </c>
      <c r="AS37" s="319">
        <f t="shared" si="29"/>
        <v>847993.44899999991</v>
      </c>
      <c r="AT37" s="319">
        <f t="shared" si="29"/>
        <v>602368.69100000057</v>
      </c>
      <c r="AU37" s="319">
        <f t="shared" ref="AU37:AV37" si="30">AU33+AU34</f>
        <v>524597.91599999927</v>
      </c>
      <c r="AV37" s="319">
        <f t="shared" si="30"/>
        <v>585357.89099999995</v>
      </c>
    </row>
    <row r="38" spans="1:48">
      <c r="A38" s="137" t="s">
        <v>553</v>
      </c>
      <c r="B38" s="137"/>
      <c r="C38" s="320">
        <v>0</v>
      </c>
      <c r="D38" s="320"/>
      <c r="E38" s="320">
        <v>0</v>
      </c>
      <c r="F38" s="320">
        <v>0</v>
      </c>
      <c r="G38" s="320">
        <v>-2368.6992300000002</v>
      </c>
      <c r="H38" s="320">
        <v>2368.6992300000002</v>
      </c>
      <c r="I38" s="320">
        <v>8453.0959000000003</v>
      </c>
      <c r="J38" s="320">
        <v>120655.71192999999</v>
      </c>
      <c r="K38" s="320">
        <v>-840.97987000000001</v>
      </c>
      <c r="L38" s="320">
        <v>-45170.367539999999</v>
      </c>
      <c r="M38" s="320">
        <v>-4586.2858300000044</v>
      </c>
      <c r="N38" s="320">
        <v>18639.783690000004</v>
      </c>
      <c r="O38" s="320">
        <v>-401.23434999999995</v>
      </c>
      <c r="P38" s="320">
        <v>-7489.9948999999997</v>
      </c>
      <c r="Q38" s="320">
        <v>-7649.7729399999998</v>
      </c>
      <c r="R38" s="320">
        <v>-15927.796619999999</v>
      </c>
      <c r="S38" s="320">
        <v>-6915.6922699999996</v>
      </c>
      <c r="T38" s="320">
        <v>5175.1941299999999</v>
      </c>
      <c r="U38" s="320">
        <v>-13970</v>
      </c>
      <c r="V38" s="320">
        <v>-12637</v>
      </c>
      <c r="W38" s="320">
        <v>-2082</v>
      </c>
      <c r="X38" s="320">
        <v>-1990.2077099999999</v>
      </c>
      <c r="Y38" s="320">
        <v>-6400.3147500000014</v>
      </c>
      <c r="Z38" s="320">
        <v>-23624.027519999996</v>
      </c>
      <c r="AA38" s="320">
        <v>-3550.38049</v>
      </c>
      <c r="AB38" s="320">
        <v>366.06508000000008</v>
      </c>
      <c r="AC38" s="321">
        <v>-12761</v>
      </c>
      <c r="AD38" s="321">
        <v>-24388</v>
      </c>
      <c r="AE38" s="321">
        <v>0</v>
      </c>
      <c r="AF38" s="321">
        <v>-7056</v>
      </c>
      <c r="AG38" s="321">
        <v>-17729</v>
      </c>
      <c r="AH38" s="321">
        <v>-23122</v>
      </c>
      <c r="AI38" s="321">
        <v>-3501</v>
      </c>
      <c r="AJ38" s="321">
        <v>-26980</v>
      </c>
      <c r="AK38" s="321">
        <v>-35693</v>
      </c>
      <c r="AL38" s="321">
        <v>-25218</v>
      </c>
      <c r="AM38" s="321">
        <v>-44200</v>
      </c>
      <c r="AN38" s="321">
        <v>-31207</v>
      </c>
      <c r="AO38" s="321">
        <v>-53882</v>
      </c>
      <c r="AP38" s="321">
        <v>-41045</v>
      </c>
      <c r="AQ38" s="321">
        <v>-49808</v>
      </c>
      <c r="AR38" s="321">
        <v>-60623</v>
      </c>
      <c r="AS38" s="334">
        <v>-50975.510999999999</v>
      </c>
      <c r="AT38" s="334">
        <v>18090.597000000002</v>
      </c>
      <c r="AU38" s="334">
        <v>-37599.226000000002</v>
      </c>
      <c r="AV38" s="334">
        <v>-31656.304</v>
      </c>
    </row>
    <row r="39" spans="1:48">
      <c r="A39" s="137" t="s">
        <v>554</v>
      </c>
      <c r="B39" s="137"/>
      <c r="C39" s="320">
        <v>6772.5655399999996</v>
      </c>
      <c r="D39" s="320">
        <v>1585</v>
      </c>
      <c r="E39" s="320">
        <v>31004.325810000002</v>
      </c>
      <c r="F39" s="320">
        <v>-28610.376230000002</v>
      </c>
      <c r="G39" s="320">
        <v>-6573.7200800000001</v>
      </c>
      <c r="H39" s="320">
        <v>6573.7200800000001</v>
      </c>
      <c r="I39" s="320">
        <v>23480.821949999998</v>
      </c>
      <c r="J39" s="320">
        <v>1.0000003385357559E-5</v>
      </c>
      <c r="K39" s="320">
        <v>-3251.1284000000001</v>
      </c>
      <c r="L39" s="320">
        <v>-135571.96908000001</v>
      </c>
      <c r="M39" s="320">
        <v>-7926.6251699999957</v>
      </c>
      <c r="N39" s="320">
        <v>49676.47073999999</v>
      </c>
      <c r="O39" s="320">
        <v>0</v>
      </c>
      <c r="P39" s="320">
        <v>-18070.494869999999</v>
      </c>
      <c r="Q39" s="320">
        <v>-21711.0412</v>
      </c>
      <c r="R39" s="320">
        <v>-18712.8979</v>
      </c>
      <c r="S39" s="320">
        <v>-1043.0300199999999</v>
      </c>
      <c r="T39" s="320">
        <v>-5611.1566300000004</v>
      </c>
      <c r="U39" s="320">
        <v>-34359</v>
      </c>
      <c r="V39" s="320">
        <v>-33403</v>
      </c>
      <c r="W39" s="320">
        <v>0</v>
      </c>
      <c r="X39" s="320">
        <v>-5922.8987400000005</v>
      </c>
      <c r="Y39" s="320">
        <v>-23197.512220000001</v>
      </c>
      <c r="Z39" s="320">
        <v>-50829.198999999993</v>
      </c>
      <c r="AA39" s="320">
        <v>-9604.3759200000004</v>
      </c>
      <c r="AB39" s="320">
        <v>1021.3029499999992</v>
      </c>
      <c r="AC39" s="321">
        <v>-34541</v>
      </c>
      <c r="AD39" s="321">
        <v>-33859</v>
      </c>
      <c r="AE39" s="321">
        <v>0</v>
      </c>
      <c r="AF39" s="321">
        <v>-21199</v>
      </c>
      <c r="AG39" s="321">
        <v>-50790</v>
      </c>
      <c r="AH39" s="321">
        <v>-44588</v>
      </c>
      <c r="AI39" s="321">
        <v>-11816</v>
      </c>
      <c r="AJ39" s="321">
        <v>-76625</v>
      </c>
      <c r="AK39" s="321">
        <v>-71250</v>
      </c>
      <c r="AL39" s="321">
        <v>-66779</v>
      </c>
      <c r="AM39" s="321">
        <v>-125980</v>
      </c>
      <c r="AN39" s="321">
        <v>-88322</v>
      </c>
      <c r="AO39" s="321">
        <v>-154552</v>
      </c>
      <c r="AP39" s="321">
        <v>-120454</v>
      </c>
      <c r="AQ39" s="321">
        <v>-142848</v>
      </c>
      <c r="AR39" s="321">
        <v>-171995</v>
      </c>
      <c r="AS39" s="334">
        <v>-146469.64499999999</v>
      </c>
      <c r="AT39" s="334">
        <v>26939.062000000002</v>
      </c>
      <c r="AU39" s="334">
        <v>-107417.21400000001</v>
      </c>
      <c r="AV39" s="334">
        <v>-91060.472999999998</v>
      </c>
    </row>
    <row r="40" spans="1:48">
      <c r="A40" s="137" t="s">
        <v>603</v>
      </c>
      <c r="B40" s="137"/>
      <c r="C40" s="320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>
        <v>-19505.681390000002</v>
      </c>
      <c r="P40" s="320">
        <v>-11999.99532</v>
      </c>
      <c r="Q40" s="320">
        <v>-2779.4774300000017</v>
      </c>
      <c r="R40" s="320">
        <v>-4169.8937899999992</v>
      </c>
      <c r="S40" s="320">
        <v>3396.93075</v>
      </c>
      <c r="T40" s="320">
        <v>-22388.194909999998</v>
      </c>
      <c r="U40" s="320">
        <v>-6812</v>
      </c>
      <c r="V40" s="320">
        <v>144953</v>
      </c>
      <c r="W40" s="320">
        <v>2771</v>
      </c>
      <c r="X40" s="320">
        <v>-13169.650889999999</v>
      </c>
      <c r="Y40" s="320">
        <v>-23223.496520000001</v>
      </c>
      <c r="Z40" s="320">
        <v>-39433.468829999998</v>
      </c>
      <c r="AA40" s="320">
        <v>-14841.012540000002</v>
      </c>
      <c r="AB40" s="320">
        <v>-13672.65011</v>
      </c>
      <c r="AC40" s="321">
        <v>-37569</v>
      </c>
      <c r="AD40" s="321">
        <v>-18851</v>
      </c>
      <c r="AE40" s="321">
        <v>-86871</v>
      </c>
      <c r="AF40" s="321">
        <v>-14533</v>
      </c>
      <c r="AG40" s="321">
        <v>-56153</v>
      </c>
      <c r="AH40" s="321">
        <v>-30270</v>
      </c>
      <c r="AI40" s="321">
        <v>-43664</v>
      </c>
      <c r="AJ40" s="321">
        <v>14473</v>
      </c>
      <c r="AK40" s="321">
        <v>-54620</v>
      </c>
      <c r="AL40" s="321">
        <v>-40953</v>
      </c>
      <c r="AM40" s="321">
        <v>40426</v>
      </c>
      <c r="AN40" s="321">
        <v>-42358</v>
      </c>
      <c r="AO40" s="321">
        <v>69869</v>
      </c>
      <c r="AP40" s="321">
        <v>19363</v>
      </c>
      <c r="AQ40" s="321">
        <v>34554</v>
      </c>
      <c r="AR40" s="321">
        <v>19211</v>
      </c>
      <c r="AS40" s="334">
        <v>-90904.820999999996</v>
      </c>
      <c r="AT40" s="334">
        <v>-185658.929</v>
      </c>
      <c r="AU40" s="334">
        <v>-33033.052000000003</v>
      </c>
      <c r="AV40" s="334">
        <v>-71424.945000000007</v>
      </c>
    </row>
    <row r="41" spans="1:48" ht="15" thickBot="1">
      <c r="A41" s="137" t="s">
        <v>555</v>
      </c>
      <c r="B41" s="137"/>
      <c r="C41" s="320"/>
      <c r="D41" s="320"/>
      <c r="E41" s="320"/>
      <c r="F41" s="320"/>
      <c r="G41" s="320"/>
      <c r="H41" s="320"/>
      <c r="I41" s="320"/>
      <c r="J41" s="320"/>
      <c r="K41" s="320">
        <v>3251.1284000000001</v>
      </c>
      <c r="L41" s="320">
        <v>35188.16072</v>
      </c>
      <c r="M41" s="320">
        <v>-16466.377429999997</v>
      </c>
      <c r="N41" s="320">
        <v>30055.364169999997</v>
      </c>
      <c r="O41" s="320">
        <v>0</v>
      </c>
      <c r="P41" s="320">
        <v>18070.314869999998</v>
      </c>
      <c r="Q41" s="320">
        <v>21711.0412</v>
      </c>
      <c r="R41" s="320">
        <v>18712.8979</v>
      </c>
      <c r="S41" s="320">
        <v>1043.0300199999999</v>
      </c>
      <c r="T41" s="320">
        <v>5611.1566300000004</v>
      </c>
      <c r="U41" s="320">
        <v>34359</v>
      </c>
      <c r="V41" s="320">
        <v>33403</v>
      </c>
      <c r="W41" s="320">
        <v>0</v>
      </c>
      <c r="X41" s="320">
        <v>5922.8987400000005</v>
      </c>
      <c r="Y41" s="320">
        <v>23197.512220000001</v>
      </c>
      <c r="Z41" s="320">
        <v>50829.198999999993</v>
      </c>
      <c r="AA41" s="320">
        <v>9604.3759100000007</v>
      </c>
      <c r="AB41" s="320">
        <v>-4056.5884500000002</v>
      </c>
      <c r="AC41" s="321">
        <v>41260</v>
      </c>
      <c r="AD41" s="321">
        <v>29862</v>
      </c>
      <c r="AE41" s="321">
        <v>0</v>
      </c>
      <c r="AF41" s="321">
        <v>20826</v>
      </c>
      <c r="AG41" s="321">
        <v>50790</v>
      </c>
      <c r="AH41" s="321">
        <v>34441</v>
      </c>
      <c r="AI41" s="321">
        <v>11816</v>
      </c>
      <c r="AJ41" s="321">
        <v>38281</v>
      </c>
      <c r="AK41" s="321">
        <v>60831</v>
      </c>
      <c r="AL41" s="321">
        <v>58082</v>
      </c>
      <c r="AM41" s="321">
        <v>62623</v>
      </c>
      <c r="AN41" s="321">
        <v>71620</v>
      </c>
      <c r="AO41" s="321">
        <v>106154</v>
      </c>
      <c r="AP41" s="321">
        <v>152636</v>
      </c>
      <c r="AQ41" s="321">
        <v>109829</v>
      </c>
      <c r="AR41" s="321">
        <v>103202</v>
      </c>
      <c r="AS41" s="334">
        <v>118010.174</v>
      </c>
      <c r="AT41" s="334">
        <v>142189.003</v>
      </c>
      <c r="AU41" s="334">
        <v>83487.887000000002</v>
      </c>
      <c r="AV41" s="334">
        <v>92638.347999999998</v>
      </c>
    </row>
    <row r="42" spans="1:48" ht="15" thickBot="1">
      <c r="A42" s="140" t="s">
        <v>604</v>
      </c>
      <c r="B42" s="137"/>
      <c r="C42" s="340">
        <f>SUM(C37:C41)</f>
        <v>-57916.587509999896</v>
      </c>
      <c r="D42" s="340">
        <f t="shared" ref="D42:Z42" si="31">SUM(D37:D41)</f>
        <v>-160992.36187999987</v>
      </c>
      <c r="E42" s="340">
        <f t="shared" si="31"/>
        <v>99601.393539999321</v>
      </c>
      <c r="F42" s="340">
        <f t="shared" si="31"/>
        <v>-110786.79474999898</v>
      </c>
      <c r="G42" s="340">
        <f t="shared" si="31"/>
        <v>-30763.779139999548</v>
      </c>
      <c r="H42" s="340">
        <f t="shared" si="31"/>
        <v>-196248.97537000084</v>
      </c>
      <c r="I42" s="340">
        <f t="shared" si="31"/>
        <v>210849.57721000089</v>
      </c>
      <c r="J42" s="340">
        <f t="shared" si="31"/>
        <v>361379.24742999912</v>
      </c>
      <c r="K42" s="340">
        <f t="shared" si="31"/>
        <v>35911.493900000227</v>
      </c>
      <c r="L42" s="340">
        <f t="shared" si="31"/>
        <v>451126.23351999989</v>
      </c>
      <c r="M42" s="340">
        <f t="shared" si="31"/>
        <v>1826.17030000054</v>
      </c>
      <c r="N42" s="340">
        <f t="shared" si="31"/>
        <v>31360.905589991267</v>
      </c>
      <c r="O42" s="340">
        <f t="shared" si="31"/>
        <v>43145.918910000022</v>
      </c>
      <c r="P42" s="340">
        <f t="shared" si="31"/>
        <v>96178.373210001038</v>
      </c>
      <c r="Q42" s="340">
        <f t="shared" si="31"/>
        <v>93776.625769999606</v>
      </c>
      <c r="R42" s="340">
        <f t="shared" si="31"/>
        <v>118453.81267000023</v>
      </c>
      <c r="S42" s="340">
        <f t="shared" si="31"/>
        <v>16862.728849999454</v>
      </c>
      <c r="T42" s="340">
        <f t="shared" si="31"/>
        <v>39934.946429999422</v>
      </c>
      <c r="U42" s="340">
        <f t="shared" si="31"/>
        <v>190825.60000000003</v>
      </c>
      <c r="V42" s="340">
        <f t="shared" si="31"/>
        <v>365908.19999999995</v>
      </c>
      <c r="W42" s="340">
        <f t="shared" si="31"/>
        <v>432.4999999999709</v>
      </c>
      <c r="X42" s="340">
        <f t="shared" si="31"/>
        <v>49195.696159999206</v>
      </c>
      <c r="Y42" s="340">
        <f t="shared" si="31"/>
        <v>133780.77531999993</v>
      </c>
      <c r="Z42" s="340">
        <f t="shared" si="31"/>
        <v>271981.28796999995</v>
      </c>
      <c r="AA42" s="340">
        <f>SUM(AA37:AA41)+1</f>
        <v>51149.973589999543</v>
      </c>
      <c r="AB42" s="340">
        <f>SUM(AB37:AB41)+1</f>
        <v>48208.591040000763</v>
      </c>
      <c r="AC42" s="341">
        <v>179351</v>
      </c>
      <c r="AD42" s="341">
        <v>190407</v>
      </c>
      <c r="AE42" s="341">
        <v>109222.99999999997</v>
      </c>
      <c r="AF42" s="341">
        <v>99184</v>
      </c>
      <c r="AG42" s="341">
        <v>280715</v>
      </c>
      <c r="AH42" s="341">
        <v>229422</v>
      </c>
      <c r="AI42" s="341">
        <v>124021.17342000001</v>
      </c>
      <c r="AJ42" s="341">
        <v>209723</v>
      </c>
      <c r="AK42" s="341">
        <v>376680</v>
      </c>
      <c r="AL42" s="341">
        <v>315123</v>
      </c>
      <c r="AM42" s="341">
        <v>314802</v>
      </c>
      <c r="AN42" s="342">
        <f t="shared" ref="AN42:AT42" si="32">SUM(AN37:AN41)</f>
        <v>385252</v>
      </c>
      <c r="AO42" s="342">
        <f t="shared" si="32"/>
        <v>368116</v>
      </c>
      <c r="AP42" s="342">
        <f t="shared" si="32"/>
        <v>488227</v>
      </c>
      <c r="AQ42" s="342">
        <f t="shared" si="32"/>
        <v>424972</v>
      </c>
      <c r="AR42" s="342">
        <f t="shared" si="32"/>
        <v>519256</v>
      </c>
      <c r="AS42" s="342">
        <f t="shared" si="32"/>
        <v>677653.64599999983</v>
      </c>
      <c r="AT42" s="342">
        <f t="shared" si="32"/>
        <v>603928.42400000058</v>
      </c>
      <c r="AU42" s="342">
        <f t="shared" ref="AU42:AV42" si="33">SUM(AU37:AU41)</f>
        <v>430036.31099999917</v>
      </c>
      <c r="AV42" s="342">
        <f t="shared" si="33"/>
        <v>483854.51699999993</v>
      </c>
    </row>
    <row r="43" spans="1:48"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</row>
  </sheetData>
  <pageMargins left="0.511811024" right="0.511811024" top="0.78740157499999996" bottom="0.78740157499999996" header="0.31496062000000002" footer="0.31496062000000002"/>
  <ignoredErrors>
    <ignoredError sqref="AM9:AU9" formulaRange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79998168889431442"/>
  </sheetPr>
  <dimension ref="B6:AV174"/>
  <sheetViews>
    <sheetView zoomScale="85" zoomScaleNormal="85" workbookViewId="0">
      <pane xSplit="2" ySplit="6" topLeftCell="AI7" activePane="bottomRight" state="frozen"/>
      <selection pane="topRight" activeCell="G18" sqref="G18"/>
      <selection pane="bottomLeft" activeCell="G18" sqref="G18"/>
      <selection pane="bottomRight" activeCell="AV11" sqref="AV11"/>
    </sheetView>
  </sheetViews>
  <sheetFormatPr defaultColWidth="9.1796875" defaultRowHeight="13" outlineLevelCol="1"/>
  <cols>
    <col min="1" max="1" width="9.1796875" style="61"/>
    <col min="2" max="2" width="33.26953125" style="61" customWidth="1"/>
    <col min="3" max="26" width="13.54296875" style="61" hidden="1" customWidth="1" outlineLevel="1"/>
    <col min="27" max="27" width="13" style="61" customWidth="1" collapsed="1"/>
    <col min="28" max="48" width="13" style="61" customWidth="1"/>
    <col min="49" max="16384" width="9.1796875" style="61"/>
  </cols>
  <sheetData>
    <row r="6" spans="2:48">
      <c r="B6" s="533" t="s">
        <v>8</v>
      </c>
      <c r="C6" s="534" t="s">
        <v>9</v>
      </c>
      <c r="D6" s="534" t="s">
        <v>10</v>
      </c>
      <c r="E6" s="534" t="s">
        <v>11</v>
      </c>
      <c r="F6" s="534" t="s">
        <v>12</v>
      </c>
      <c r="G6" s="534" t="s">
        <v>13</v>
      </c>
      <c r="H6" s="534" t="s">
        <v>14</v>
      </c>
      <c r="I6" s="534" t="s">
        <v>15</v>
      </c>
      <c r="J6" s="534" t="s">
        <v>16</v>
      </c>
      <c r="K6" s="534" t="s">
        <v>17</v>
      </c>
      <c r="L6" s="534" t="s">
        <v>18</v>
      </c>
      <c r="M6" s="534" t="s">
        <v>19</v>
      </c>
      <c r="N6" s="534" t="s">
        <v>20</v>
      </c>
      <c r="O6" s="534" t="s">
        <v>21</v>
      </c>
      <c r="P6" s="534" t="s">
        <v>22</v>
      </c>
      <c r="Q6" s="534" t="s">
        <v>23</v>
      </c>
      <c r="R6" s="534" t="s">
        <v>24</v>
      </c>
      <c r="S6" s="534" t="s">
        <v>25</v>
      </c>
      <c r="T6" s="534" t="s">
        <v>26</v>
      </c>
      <c r="U6" s="534" t="s">
        <v>27</v>
      </c>
      <c r="V6" s="534" t="s">
        <v>28</v>
      </c>
      <c r="W6" s="534" t="s">
        <v>29</v>
      </c>
      <c r="X6" s="534" t="s">
        <v>30</v>
      </c>
      <c r="Y6" s="534" t="s">
        <v>31</v>
      </c>
      <c r="Z6" s="534" t="s">
        <v>32</v>
      </c>
      <c r="AA6" s="534" t="s">
        <v>33</v>
      </c>
      <c r="AB6" s="534" t="s">
        <v>34</v>
      </c>
      <c r="AC6" s="534" t="s">
        <v>35</v>
      </c>
      <c r="AD6" s="534" t="s">
        <v>36</v>
      </c>
      <c r="AE6" s="534" t="s">
        <v>37</v>
      </c>
      <c r="AF6" s="534" t="s">
        <v>38</v>
      </c>
      <c r="AG6" s="534" t="s">
        <v>39</v>
      </c>
      <c r="AH6" s="534" t="s">
        <v>40</v>
      </c>
      <c r="AI6" s="534" t="s">
        <v>41</v>
      </c>
      <c r="AJ6" s="534" t="s">
        <v>42</v>
      </c>
      <c r="AK6" s="534" t="s">
        <v>43</v>
      </c>
      <c r="AL6" s="534" t="s">
        <v>44</v>
      </c>
      <c r="AM6" s="534" t="s">
        <v>45</v>
      </c>
      <c r="AN6" s="534" t="s">
        <v>46</v>
      </c>
      <c r="AO6" s="534" t="s">
        <v>47</v>
      </c>
      <c r="AP6" s="534" t="s">
        <v>48</v>
      </c>
      <c r="AQ6" s="534" t="s">
        <v>49</v>
      </c>
      <c r="AR6" s="534" t="s">
        <v>50</v>
      </c>
      <c r="AS6" s="534" t="s">
        <v>51</v>
      </c>
      <c r="AT6" s="534" t="s">
        <v>52</v>
      </c>
      <c r="AU6" s="534" t="s">
        <v>53</v>
      </c>
      <c r="AV6" s="534" t="s">
        <v>54</v>
      </c>
    </row>
    <row r="7" spans="2:48">
      <c r="B7" s="211"/>
    </row>
    <row r="8" spans="2:48">
      <c r="B8" s="212" t="s">
        <v>55</v>
      </c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</row>
    <row r="9" spans="2:48">
      <c r="B9" s="214" t="s">
        <v>56</v>
      </c>
      <c r="C9" s="215">
        <v>607543.29500000004</v>
      </c>
      <c r="D9" s="215">
        <v>606984.12699999998</v>
      </c>
      <c r="E9" s="215">
        <v>658859.50300000003</v>
      </c>
      <c r="F9" s="215">
        <v>690102.83199999994</v>
      </c>
      <c r="G9" s="215">
        <v>662831.09</v>
      </c>
      <c r="H9" s="215">
        <v>662570.18999999994</v>
      </c>
      <c r="I9" s="215">
        <v>717307.56300000008</v>
      </c>
      <c r="J9" s="215">
        <v>742978.06400000001</v>
      </c>
      <c r="K9" s="215">
        <v>703966.73</v>
      </c>
      <c r="L9" s="215">
        <v>694777.46799999988</v>
      </c>
      <c r="M9" s="215">
        <v>732751.85800000001</v>
      </c>
      <c r="N9" s="215">
        <v>785132.17700000003</v>
      </c>
      <c r="O9" s="215">
        <v>746781.42299999995</v>
      </c>
      <c r="P9" s="215">
        <v>772005.44</v>
      </c>
      <c r="Q9" s="215">
        <v>784761.41599999997</v>
      </c>
      <c r="R9" s="215">
        <v>820911.929</v>
      </c>
      <c r="S9" s="215">
        <v>723731.495</v>
      </c>
      <c r="T9" s="215">
        <v>762367.25</v>
      </c>
      <c r="U9" s="215">
        <v>814850.78700000001</v>
      </c>
      <c r="V9" s="215">
        <v>884891.43200000003</v>
      </c>
      <c r="W9" s="215">
        <v>763221.72827200009</v>
      </c>
      <c r="X9" s="215">
        <v>782169.86400000006</v>
      </c>
      <c r="Y9" s="215">
        <v>811630.65800000005</v>
      </c>
      <c r="Z9" s="215">
        <v>847781.83499999996</v>
      </c>
      <c r="AA9" s="215">
        <v>779013.49300000002</v>
      </c>
      <c r="AB9" s="215">
        <v>796100.826</v>
      </c>
      <c r="AC9" s="215">
        <v>831986.03099999996</v>
      </c>
      <c r="AD9" s="215">
        <v>889662.44400000013</v>
      </c>
      <c r="AE9" s="215">
        <v>813686.66700000002</v>
      </c>
      <c r="AF9" s="215">
        <v>855730.35100000002</v>
      </c>
      <c r="AG9" s="215">
        <v>907028.05900000001</v>
      </c>
      <c r="AH9" s="215">
        <v>965421.18400000001</v>
      </c>
      <c r="AI9" s="215">
        <v>867983.93800000008</v>
      </c>
      <c r="AJ9" s="215">
        <v>869452.88599999994</v>
      </c>
      <c r="AK9" s="215">
        <v>943825.74800000014</v>
      </c>
      <c r="AL9" s="215">
        <v>989953.71500000008</v>
      </c>
      <c r="AM9" s="215">
        <v>890891.11199999996</v>
      </c>
      <c r="AN9" s="215">
        <v>941432.75399999996</v>
      </c>
      <c r="AO9" s="215">
        <v>1031101.493</v>
      </c>
      <c r="AP9" s="215">
        <v>1082228.1940000001</v>
      </c>
      <c r="AQ9" s="215">
        <v>977104.47499999998</v>
      </c>
      <c r="AR9" s="215">
        <v>1040069.8550000001</v>
      </c>
      <c r="AS9" s="215">
        <v>1132723.2579999999</v>
      </c>
      <c r="AT9" s="215">
        <v>1222357.6510000001</v>
      </c>
      <c r="AU9" s="215">
        <v>1115438.207282</v>
      </c>
      <c r="AV9" s="215">
        <v>1176304.0446635</v>
      </c>
    </row>
    <row r="10" spans="2:48">
      <c r="B10" s="214" t="s">
        <v>57</v>
      </c>
      <c r="C10" s="215">
        <v>101372.674</v>
      </c>
      <c r="D10" s="215">
        <v>100380.28300000001</v>
      </c>
      <c r="E10" s="215">
        <v>105016.13499999998</v>
      </c>
      <c r="F10" s="215">
        <v>116534.65399999998</v>
      </c>
      <c r="G10" s="215">
        <v>95501.573999999993</v>
      </c>
      <c r="H10" s="215">
        <v>95625.063999999984</v>
      </c>
      <c r="I10" s="215">
        <v>107377.495</v>
      </c>
      <c r="J10" s="215">
        <v>112343.99500000001</v>
      </c>
      <c r="K10" s="215">
        <v>99550.017999999996</v>
      </c>
      <c r="L10" s="215">
        <v>102238.78</v>
      </c>
      <c r="M10" s="215">
        <v>112394.69200000001</v>
      </c>
      <c r="N10" s="215">
        <v>105282.515</v>
      </c>
      <c r="O10" s="215">
        <v>87859.570999999996</v>
      </c>
      <c r="P10" s="215">
        <v>87625.519</v>
      </c>
      <c r="Q10" s="215">
        <v>90440.456999999995</v>
      </c>
      <c r="R10" s="215">
        <v>83066.921000000002</v>
      </c>
      <c r="S10" s="215">
        <v>63228.222999999998</v>
      </c>
      <c r="T10" s="215">
        <v>65377.695999999996</v>
      </c>
      <c r="U10" s="215">
        <v>74835.442999999999</v>
      </c>
      <c r="V10" s="215">
        <v>74057.275000000009</v>
      </c>
      <c r="W10" s="215">
        <v>62084.974316000036</v>
      </c>
      <c r="X10" s="215">
        <v>60031.263999999996</v>
      </c>
      <c r="Y10" s="215">
        <v>65120.673999999999</v>
      </c>
      <c r="Z10" s="215">
        <v>61217.474000000002</v>
      </c>
      <c r="AA10" s="215">
        <v>50585.607000000004</v>
      </c>
      <c r="AB10" s="215">
        <v>50712.538</v>
      </c>
      <c r="AC10" s="215">
        <v>60604.148999999998</v>
      </c>
      <c r="AD10" s="215">
        <v>61108.157999999996</v>
      </c>
      <c r="AE10" s="215">
        <v>48199.710999999996</v>
      </c>
      <c r="AF10" s="215">
        <v>48384.679000000004</v>
      </c>
      <c r="AG10" s="215">
        <v>57951.412999999993</v>
      </c>
      <c r="AH10" s="215">
        <v>54633.188999999998</v>
      </c>
      <c r="AI10" s="215">
        <v>45464.512000000002</v>
      </c>
      <c r="AJ10" s="215">
        <v>45979.839</v>
      </c>
      <c r="AK10" s="215">
        <v>49104.254000000001</v>
      </c>
      <c r="AL10" s="215">
        <v>46326.891000000003</v>
      </c>
      <c r="AM10" s="215">
        <v>39046.843000000001</v>
      </c>
      <c r="AN10" s="215">
        <v>40094.076999999997</v>
      </c>
      <c r="AO10" s="215">
        <v>45109.434000000001</v>
      </c>
      <c r="AP10" s="215">
        <v>39911.262000000002</v>
      </c>
      <c r="AQ10" s="215">
        <v>41008.735000000001</v>
      </c>
      <c r="AR10" s="215">
        <v>39454.315000000002</v>
      </c>
      <c r="AS10" s="215">
        <v>39935.197</v>
      </c>
      <c r="AT10" s="215">
        <v>38979.281999999999</v>
      </c>
      <c r="AU10" s="215">
        <v>30590.550999999999</v>
      </c>
      <c r="AV10" s="215">
        <v>30951.084999999999</v>
      </c>
    </row>
    <row r="11" spans="2:48">
      <c r="B11" s="214" t="s">
        <v>58</v>
      </c>
      <c r="C11" s="215">
        <v>245171.71299999999</v>
      </c>
      <c r="D11" s="215">
        <v>249540.23500000002</v>
      </c>
      <c r="E11" s="215">
        <v>268394.26400000002</v>
      </c>
      <c r="F11" s="215">
        <v>282729.598</v>
      </c>
      <c r="G11" s="215">
        <v>269664.80099999998</v>
      </c>
      <c r="H11" s="215">
        <v>278926.864</v>
      </c>
      <c r="I11" s="215">
        <v>301471.23100000003</v>
      </c>
      <c r="J11" s="215">
        <v>313496.80200000003</v>
      </c>
      <c r="K11" s="215">
        <v>287678.00399999996</v>
      </c>
      <c r="L11" s="215">
        <v>294601.94500000001</v>
      </c>
      <c r="M11" s="215">
        <v>311510.26399999997</v>
      </c>
      <c r="N11" s="215">
        <v>322109.772</v>
      </c>
      <c r="O11" s="215">
        <v>295430.76199999999</v>
      </c>
      <c r="P11" s="215">
        <v>307277.40700000001</v>
      </c>
      <c r="Q11" s="215">
        <v>305833.098</v>
      </c>
      <c r="R11" s="215">
        <v>305811.08600000001</v>
      </c>
      <c r="S11" s="215">
        <v>262689.43300000002</v>
      </c>
      <c r="T11" s="215">
        <v>271482.81400000001</v>
      </c>
      <c r="U11" s="215">
        <v>277507.70500000002</v>
      </c>
      <c r="V11" s="215">
        <v>290914.28100000002</v>
      </c>
      <c r="W11" s="215">
        <v>245820.80853600014</v>
      </c>
      <c r="X11" s="215">
        <v>255914.16599999997</v>
      </c>
      <c r="Y11" s="215">
        <v>263178.98100000003</v>
      </c>
      <c r="Z11" s="215">
        <v>269804.82</v>
      </c>
      <c r="AA11" s="215">
        <v>237938.01</v>
      </c>
      <c r="AB11" s="215">
        <v>245327.85399999999</v>
      </c>
      <c r="AC11" s="215">
        <v>255887.04600000003</v>
      </c>
      <c r="AD11" s="215">
        <v>269111.473</v>
      </c>
      <c r="AE11" s="215">
        <v>228595.946</v>
      </c>
      <c r="AF11" s="215">
        <v>192030.81</v>
      </c>
      <c r="AG11" s="215">
        <v>227928.77299999999</v>
      </c>
      <c r="AH11" s="215">
        <v>239069.74699999997</v>
      </c>
      <c r="AI11" s="215">
        <v>210482.533</v>
      </c>
      <c r="AJ11" s="215">
        <v>209747.36799999999</v>
      </c>
      <c r="AK11" s="215">
        <v>224223.25099999999</v>
      </c>
      <c r="AL11" s="215">
        <v>228079.27500000002</v>
      </c>
      <c r="AM11" s="215">
        <v>186590.234</v>
      </c>
      <c r="AN11" s="215">
        <v>165002.70600000001</v>
      </c>
      <c r="AO11" s="215">
        <v>169848.86199999999</v>
      </c>
      <c r="AP11" s="215">
        <v>167498.44699999999</v>
      </c>
      <c r="AQ11" s="215">
        <v>149823.46299999999</v>
      </c>
      <c r="AR11" s="215">
        <v>155796.242</v>
      </c>
      <c r="AS11" s="215">
        <v>164163.54300000001</v>
      </c>
      <c r="AT11" s="215">
        <v>171359.89446000001</v>
      </c>
      <c r="AU11" s="215">
        <v>145753.84700000001</v>
      </c>
      <c r="AV11" s="215">
        <v>154522.28599999999</v>
      </c>
    </row>
    <row r="12" spans="2:48" ht="13.5" thickBot="1">
      <c r="B12" s="214" t="s">
        <v>59</v>
      </c>
      <c r="C12" s="215">
        <v>267634.61600000004</v>
      </c>
      <c r="D12" s="215">
        <v>278493.55699999997</v>
      </c>
      <c r="E12" s="215">
        <v>304343.48899999994</v>
      </c>
      <c r="F12" s="215">
        <v>322827.74200000003</v>
      </c>
      <c r="G12" s="215">
        <v>278522.55099999998</v>
      </c>
      <c r="H12" s="215">
        <v>289769.69</v>
      </c>
      <c r="I12" s="215">
        <v>333204.92700000003</v>
      </c>
      <c r="J12" s="215">
        <v>329583.30700000003</v>
      </c>
      <c r="K12" s="215">
        <v>292744.99700000003</v>
      </c>
      <c r="L12" s="215">
        <v>305396.94000000006</v>
      </c>
      <c r="M12" s="215">
        <v>334819.12299999996</v>
      </c>
      <c r="N12" s="215">
        <v>357917.41600000003</v>
      </c>
      <c r="O12" s="215">
        <v>304520.23699999996</v>
      </c>
      <c r="P12" s="215">
        <v>333027.40399999998</v>
      </c>
      <c r="Q12" s="215">
        <v>344915.87300000002</v>
      </c>
      <c r="R12" s="215">
        <v>351972.09699999995</v>
      </c>
      <c r="S12" s="215">
        <v>291173.72799999994</v>
      </c>
      <c r="T12" s="215">
        <v>313805.34599999996</v>
      </c>
      <c r="U12" s="215">
        <v>347592.56599999999</v>
      </c>
      <c r="V12" s="215">
        <v>367483.09600000002</v>
      </c>
      <c r="W12" s="215">
        <v>304196.161761</v>
      </c>
      <c r="X12" s="215">
        <v>334981.43300000002</v>
      </c>
      <c r="Y12" s="215">
        <v>357726.94600000005</v>
      </c>
      <c r="Z12" s="215">
        <v>362057.26299999998</v>
      </c>
      <c r="AA12" s="215">
        <v>310769.49099999998</v>
      </c>
      <c r="AB12" s="215">
        <v>339153.84899999999</v>
      </c>
      <c r="AC12" s="215">
        <v>363291.26899999997</v>
      </c>
      <c r="AD12" s="215">
        <v>388700.67800000001</v>
      </c>
      <c r="AE12" s="215">
        <v>320339.76799999998</v>
      </c>
      <c r="AF12" s="215">
        <v>325100.26899999997</v>
      </c>
      <c r="AG12" s="215">
        <v>355401.88900000002</v>
      </c>
      <c r="AH12" s="215">
        <v>361731.07600000006</v>
      </c>
      <c r="AI12" s="215">
        <v>325472.217</v>
      </c>
      <c r="AJ12" s="215">
        <v>343536.69300000003</v>
      </c>
      <c r="AK12" s="215">
        <v>374384.27400000003</v>
      </c>
      <c r="AL12" s="215">
        <v>378112.05500000005</v>
      </c>
      <c r="AM12" s="215">
        <v>334814.73700000002</v>
      </c>
      <c r="AN12" s="215">
        <v>364198.27299999999</v>
      </c>
      <c r="AO12" s="215">
        <v>395376.91399999999</v>
      </c>
      <c r="AP12" s="215">
        <v>405652.40599999996</v>
      </c>
      <c r="AQ12" s="215">
        <v>340486.87100000004</v>
      </c>
      <c r="AR12" s="215">
        <v>384406.48699999996</v>
      </c>
      <c r="AS12" s="215">
        <v>411184.16399999999</v>
      </c>
      <c r="AT12" s="215">
        <v>433292.75600000005</v>
      </c>
      <c r="AU12" s="215">
        <v>359986.58871799987</v>
      </c>
      <c r="AV12" s="215">
        <v>408513.18233649991</v>
      </c>
    </row>
    <row r="13" spans="2:48" ht="13.5" thickBot="1">
      <c r="B13" s="216" t="s">
        <v>60</v>
      </c>
      <c r="C13" s="217">
        <f>SUM(C9:C12)</f>
        <v>1221722.298</v>
      </c>
      <c r="D13" s="217">
        <f t="shared" ref="D13:AP13" si="0">SUM(D9:D12)</f>
        <v>1235398.202</v>
      </c>
      <c r="E13" s="217">
        <f t="shared" si="0"/>
        <v>1336613.3909999998</v>
      </c>
      <c r="F13" s="217">
        <f t="shared" si="0"/>
        <v>1412194.8259999999</v>
      </c>
      <c r="G13" s="217">
        <f t="shared" si="0"/>
        <v>1306520.0159999998</v>
      </c>
      <c r="H13" s="217">
        <f t="shared" si="0"/>
        <v>1326891.808</v>
      </c>
      <c r="I13" s="217">
        <f t="shared" si="0"/>
        <v>1459361.216</v>
      </c>
      <c r="J13" s="217">
        <f t="shared" si="0"/>
        <v>1498402.1680000001</v>
      </c>
      <c r="K13" s="217">
        <f t="shared" si="0"/>
        <v>1383939.7489999998</v>
      </c>
      <c r="L13" s="217">
        <f t="shared" si="0"/>
        <v>1397015.1329999999</v>
      </c>
      <c r="M13" s="217">
        <f t="shared" si="0"/>
        <v>1491475.9369999999</v>
      </c>
      <c r="N13" s="217">
        <f t="shared" si="0"/>
        <v>1570441.8800000001</v>
      </c>
      <c r="O13" s="217">
        <f t="shared" si="0"/>
        <v>1434591.993</v>
      </c>
      <c r="P13" s="217">
        <f t="shared" si="0"/>
        <v>1499935.77</v>
      </c>
      <c r="Q13" s="217">
        <f t="shared" si="0"/>
        <v>1525950.844</v>
      </c>
      <c r="R13" s="217">
        <f t="shared" si="0"/>
        <v>1561762.0329999998</v>
      </c>
      <c r="S13" s="217">
        <f t="shared" si="0"/>
        <v>1340822.879</v>
      </c>
      <c r="T13" s="217">
        <f t="shared" si="0"/>
        <v>1413033.1059999999</v>
      </c>
      <c r="U13" s="217">
        <f t="shared" si="0"/>
        <v>1514786.5010000002</v>
      </c>
      <c r="V13" s="217">
        <f t="shared" si="0"/>
        <v>1617346.0840000003</v>
      </c>
      <c r="W13" s="217">
        <f t="shared" si="0"/>
        <v>1375323.6728850002</v>
      </c>
      <c r="X13" s="217">
        <f t="shared" si="0"/>
        <v>1433096.727</v>
      </c>
      <c r="Y13" s="217">
        <f t="shared" si="0"/>
        <v>1497657.2590000001</v>
      </c>
      <c r="Z13" s="217">
        <f t="shared" si="0"/>
        <v>1540861.392</v>
      </c>
      <c r="AA13" s="217">
        <f t="shared" si="0"/>
        <v>1378306.6009999998</v>
      </c>
      <c r="AB13" s="217">
        <f t="shared" si="0"/>
        <v>1431295.067</v>
      </c>
      <c r="AC13" s="217">
        <f t="shared" si="0"/>
        <v>1511768.4950000001</v>
      </c>
      <c r="AD13" s="217">
        <f t="shared" si="0"/>
        <v>1608582.7530000003</v>
      </c>
      <c r="AE13" s="217">
        <f t="shared" si="0"/>
        <v>1410822.0919999999</v>
      </c>
      <c r="AF13" s="217">
        <f t="shared" si="0"/>
        <v>1421246.1090000002</v>
      </c>
      <c r="AG13" s="217">
        <f t="shared" si="0"/>
        <v>1548310.1339999998</v>
      </c>
      <c r="AH13" s="217">
        <f t="shared" si="0"/>
        <v>1620855.1960000002</v>
      </c>
      <c r="AI13" s="217">
        <f t="shared" si="0"/>
        <v>1449403.2</v>
      </c>
      <c r="AJ13" s="217">
        <f t="shared" si="0"/>
        <v>1468716.7859999998</v>
      </c>
      <c r="AK13" s="217">
        <f t="shared" si="0"/>
        <v>1591537.527</v>
      </c>
      <c r="AL13" s="217">
        <f t="shared" si="0"/>
        <v>1642471.9360000002</v>
      </c>
      <c r="AM13" s="217">
        <f t="shared" si="0"/>
        <v>1451342.926</v>
      </c>
      <c r="AN13" s="217">
        <f t="shared" si="0"/>
        <v>1510727.81</v>
      </c>
      <c r="AO13" s="217">
        <f t="shared" si="0"/>
        <v>1641436.7029999997</v>
      </c>
      <c r="AP13" s="217">
        <f t="shared" si="0"/>
        <v>1695290.3090000001</v>
      </c>
      <c r="AQ13" s="217">
        <f t="shared" ref="AQ13:AV13" si="1">SUM(AQ9:AQ12)</f>
        <v>1508423.544</v>
      </c>
      <c r="AR13" s="217">
        <f t="shared" si="1"/>
        <v>1619726.8990000002</v>
      </c>
      <c r="AS13" s="217">
        <f t="shared" si="1"/>
        <v>1748006.162</v>
      </c>
      <c r="AT13" s="217">
        <f t="shared" si="1"/>
        <v>1865989.5834600001</v>
      </c>
      <c r="AU13" s="217">
        <f t="shared" si="1"/>
        <v>1651769.1939999999</v>
      </c>
      <c r="AV13" s="217">
        <f t="shared" si="1"/>
        <v>1770290.598</v>
      </c>
    </row>
    <row r="14" spans="2:48">
      <c r="B14" s="214" t="s">
        <v>57</v>
      </c>
      <c r="C14" s="215">
        <v>12739.200541366572</v>
      </c>
      <c r="D14" s="215">
        <v>12528.748999999998</v>
      </c>
      <c r="E14" s="215">
        <v>22721.741682290653</v>
      </c>
      <c r="F14" s="215">
        <v>26153.716099999998</v>
      </c>
      <c r="G14" s="215">
        <v>25061.608</v>
      </c>
      <c r="H14" s="215">
        <v>23404.530130476072</v>
      </c>
      <c r="I14" s="215">
        <v>25953.133320000001</v>
      </c>
      <c r="J14" s="215">
        <v>27549.262299999991</v>
      </c>
      <c r="K14" s="215">
        <v>24758.562440000005</v>
      </c>
      <c r="L14" s="215">
        <v>23624.156499999997</v>
      </c>
      <c r="M14" s="215">
        <v>23755.030276094047</v>
      </c>
      <c r="N14" s="215">
        <v>24286.133609001761</v>
      </c>
      <c r="O14" s="215">
        <v>22291.013279999992</v>
      </c>
      <c r="P14" s="215">
        <v>23462.976459999998</v>
      </c>
      <c r="Q14" s="215">
        <v>28979.146700000005</v>
      </c>
      <c r="R14" s="215">
        <v>37789.533943498376</v>
      </c>
      <c r="S14" s="215">
        <v>38032.335980000011</v>
      </c>
      <c r="T14" s="215">
        <v>37893.330447273067</v>
      </c>
      <c r="U14" s="215">
        <v>43019.610014731472</v>
      </c>
      <c r="V14" s="215">
        <v>43841.551810331293</v>
      </c>
      <c r="W14" s="215">
        <v>31937.104404920789</v>
      </c>
      <c r="X14" s="215">
        <v>41250.130333000008</v>
      </c>
      <c r="Y14" s="215">
        <v>48078.151971512576</v>
      </c>
      <c r="Z14" s="215">
        <v>46683.072000000007</v>
      </c>
      <c r="AA14" s="215">
        <v>46084.102999999988</v>
      </c>
      <c r="AB14" s="215">
        <v>55571.126337000002</v>
      </c>
      <c r="AC14" s="215">
        <v>66552.511276999998</v>
      </c>
      <c r="AD14" s="215">
        <v>71408.137946999981</v>
      </c>
      <c r="AE14" s="215">
        <v>69284.249476333323</v>
      </c>
      <c r="AF14" s="215">
        <v>72266.08066953333</v>
      </c>
      <c r="AG14" s="215">
        <v>82424.711314675835</v>
      </c>
      <c r="AH14" s="215">
        <v>86441.512033833336</v>
      </c>
      <c r="AI14" s="215">
        <v>85153.256815999994</v>
      </c>
      <c r="AJ14" s="215">
        <v>91762.555989800007</v>
      </c>
      <c r="AK14" s="215">
        <v>93191.578407426976</v>
      </c>
      <c r="AL14" s="215">
        <v>96835.444523633327</v>
      </c>
      <c r="AM14" s="215">
        <v>87844.998649200003</v>
      </c>
      <c r="AN14" s="215">
        <v>97482.879768266663</v>
      </c>
      <c r="AO14" s="215">
        <v>102109.51664419996</v>
      </c>
      <c r="AP14" s="215">
        <v>105676.25720846001</v>
      </c>
      <c r="AQ14" s="215">
        <v>94857.542961116647</v>
      </c>
      <c r="AR14" s="215">
        <v>103313.29259438331</v>
      </c>
      <c r="AS14" s="215">
        <v>109428.82919268339</v>
      </c>
      <c r="AT14" s="215">
        <v>113166.9351402</v>
      </c>
      <c r="AU14" s="215">
        <v>110565.12127607501</v>
      </c>
      <c r="AV14" s="215">
        <v>100053.7198566</v>
      </c>
    </row>
    <row r="15" spans="2:48">
      <c r="B15" s="214" t="s">
        <v>58</v>
      </c>
      <c r="C15" s="215">
        <v>3534.7393869999987</v>
      </c>
      <c r="D15" s="215">
        <v>3995.8306799999996</v>
      </c>
      <c r="E15" s="215">
        <v>4392.2239610000015</v>
      </c>
      <c r="F15" s="215">
        <v>4496.8588800000016</v>
      </c>
      <c r="G15" s="215">
        <v>4138.0904140000002</v>
      </c>
      <c r="H15" s="215">
        <v>4553.8252799999973</v>
      </c>
      <c r="I15" s="215">
        <v>5499.1014000000032</v>
      </c>
      <c r="J15" s="215">
        <v>5442.3053199999995</v>
      </c>
      <c r="K15" s="215">
        <v>5252.4864939999979</v>
      </c>
      <c r="L15" s="215">
        <v>5107.5622399999984</v>
      </c>
      <c r="M15" s="215">
        <v>5127.1990800000003</v>
      </c>
      <c r="N15" s="215">
        <v>5421.8977600000007</v>
      </c>
      <c r="O15" s="215">
        <v>5011.6203599999999</v>
      </c>
      <c r="P15" s="215">
        <v>5207.0505980000016</v>
      </c>
      <c r="Q15" s="215">
        <v>7763.6518940000005</v>
      </c>
      <c r="R15" s="215">
        <v>15756.124116333332</v>
      </c>
      <c r="S15" s="215">
        <v>20628.133959999999</v>
      </c>
      <c r="T15" s="215">
        <v>31973.890817557669</v>
      </c>
      <c r="U15" s="215">
        <v>41829.03099534761</v>
      </c>
      <c r="V15" s="215">
        <v>45622.836098920983</v>
      </c>
      <c r="W15" s="215">
        <v>47238.056772655531</v>
      </c>
      <c r="X15" s="215">
        <v>47797.534937999997</v>
      </c>
      <c r="Y15" s="215">
        <v>51319.79795399998</v>
      </c>
      <c r="Z15" s="215">
        <v>53561.54720422221</v>
      </c>
      <c r="AA15" s="215">
        <v>52439.422148041667</v>
      </c>
      <c r="AB15" s="215">
        <v>57672.464023000022</v>
      </c>
      <c r="AC15" s="215">
        <v>60828.82365999998</v>
      </c>
      <c r="AD15" s="215">
        <v>63365.454789666677</v>
      </c>
      <c r="AE15" s="215">
        <v>62339.785675000006</v>
      </c>
      <c r="AF15" s="215">
        <v>53420.04619430365</v>
      </c>
      <c r="AG15" s="215">
        <v>70264.629704895182</v>
      </c>
      <c r="AH15" s="215">
        <v>79201.90017683334</v>
      </c>
      <c r="AI15" s="215">
        <v>75880.943271666678</v>
      </c>
      <c r="AJ15" s="215">
        <v>82238.070432227221</v>
      </c>
      <c r="AK15" s="215">
        <v>90757.024867666871</v>
      </c>
      <c r="AL15" s="215">
        <v>93666.043789972522</v>
      </c>
      <c r="AM15" s="215">
        <v>88632.422969316656</v>
      </c>
      <c r="AN15" s="215">
        <v>93751.595944433342</v>
      </c>
      <c r="AO15" s="215">
        <v>101837.93462996249</v>
      </c>
      <c r="AP15" s="215">
        <v>102298.76667288999</v>
      </c>
      <c r="AQ15" s="215">
        <v>104273.64430208752</v>
      </c>
      <c r="AR15" s="215">
        <v>113783.66003547503</v>
      </c>
      <c r="AS15" s="215">
        <v>120852.0488210567</v>
      </c>
      <c r="AT15" s="215">
        <v>125011.0205346</v>
      </c>
      <c r="AU15" s="215">
        <v>127171.95912285001</v>
      </c>
      <c r="AV15" s="215">
        <v>136247.43239199999</v>
      </c>
    </row>
    <row r="16" spans="2:48" ht="13.5" thickBot="1">
      <c r="B16" s="214" t="s">
        <v>59</v>
      </c>
      <c r="C16" s="215">
        <v>0</v>
      </c>
      <c r="D16" s="215">
        <v>0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215">
        <v>0</v>
      </c>
      <c r="P16" s="215">
        <v>506.47911999999997</v>
      </c>
      <c r="Q16" s="215">
        <v>502.71507999999949</v>
      </c>
      <c r="R16" s="215">
        <v>595.88623999999959</v>
      </c>
      <c r="S16" s="215">
        <v>624.50568499999997</v>
      </c>
      <c r="T16" s="215">
        <v>849.12566799999991</v>
      </c>
      <c r="U16" s="215">
        <v>2523.0283329999993</v>
      </c>
      <c r="V16" s="215">
        <v>1273.1733329999988</v>
      </c>
      <c r="W16" s="215">
        <v>740.61765900000046</v>
      </c>
      <c r="X16" s="215">
        <v>887.83200000000011</v>
      </c>
      <c r="Y16" s="215">
        <v>2563.9749999999995</v>
      </c>
      <c r="Z16" s="215">
        <v>1284.9959999999992</v>
      </c>
      <c r="AA16" s="215">
        <v>731.39200000000017</v>
      </c>
      <c r="AB16" s="215">
        <v>729.63299999999958</v>
      </c>
      <c r="AC16" s="215">
        <v>2565.3280000000009</v>
      </c>
      <c r="AD16" s="215">
        <v>2092.773999999999</v>
      </c>
      <c r="AE16" s="215">
        <v>779.81899999999996</v>
      </c>
      <c r="AF16" s="215">
        <v>814.21000000000049</v>
      </c>
      <c r="AG16" s="215">
        <v>2183.4780000000001</v>
      </c>
      <c r="AH16" s="215">
        <v>2421.657999999999</v>
      </c>
      <c r="AI16" s="215">
        <v>1802.9893339999996</v>
      </c>
      <c r="AJ16" s="215">
        <v>852.26248000000021</v>
      </c>
      <c r="AK16" s="215">
        <v>2813.1089999999995</v>
      </c>
      <c r="AL16" s="215">
        <v>3062.2074390000002</v>
      </c>
      <c r="AM16" s="215">
        <v>2034.118056666666</v>
      </c>
      <c r="AN16" s="215">
        <v>1454.3003009999998</v>
      </c>
      <c r="AO16" s="215">
        <v>3159.731345000002</v>
      </c>
      <c r="AP16" s="215">
        <v>3811.3290737500001</v>
      </c>
      <c r="AQ16" s="215">
        <v>3819.524780350001</v>
      </c>
      <c r="AR16" s="215">
        <v>2174.6653545166673</v>
      </c>
      <c r="AS16" s="215">
        <v>3873.3426638000001</v>
      </c>
      <c r="AT16" s="215">
        <v>5369.3629652250092</v>
      </c>
      <c r="AU16" s="215">
        <v>7065.1123687499648</v>
      </c>
      <c r="AV16" s="215">
        <v>7736.9828706250119</v>
      </c>
    </row>
    <row r="17" spans="2:48" ht="13.5" thickBot="1">
      <c r="B17" s="216" t="s">
        <v>61</v>
      </c>
      <c r="C17" s="217">
        <f>SUM(C14:C16)</f>
        <v>16273.93992836657</v>
      </c>
      <c r="D17" s="217">
        <f t="shared" ref="D17:Y17" si="2">SUM(D14:D16)</f>
        <v>16524.579679999999</v>
      </c>
      <c r="E17" s="217">
        <f t="shared" si="2"/>
        <v>27113.965643290656</v>
      </c>
      <c r="F17" s="217">
        <f t="shared" si="2"/>
        <v>30650.574979999998</v>
      </c>
      <c r="G17" s="217">
        <f t="shared" si="2"/>
        <v>29199.698413999999</v>
      </c>
      <c r="H17" s="217">
        <f t="shared" si="2"/>
        <v>27958.35541047607</v>
      </c>
      <c r="I17" s="217">
        <f t="shared" si="2"/>
        <v>31452.234720000004</v>
      </c>
      <c r="J17" s="217">
        <f t="shared" si="2"/>
        <v>32991.567619999987</v>
      </c>
      <c r="K17" s="217">
        <f t="shared" si="2"/>
        <v>30011.048934000002</v>
      </c>
      <c r="L17" s="217">
        <f t="shared" si="2"/>
        <v>28731.718739999997</v>
      </c>
      <c r="M17" s="217">
        <f t="shared" si="2"/>
        <v>28882.229356094045</v>
      </c>
      <c r="N17" s="217">
        <f t="shared" si="2"/>
        <v>29708.031369001761</v>
      </c>
      <c r="O17" s="217">
        <f t="shared" si="2"/>
        <v>27302.633639999993</v>
      </c>
      <c r="P17" s="217">
        <f t="shared" si="2"/>
        <v>29176.506178</v>
      </c>
      <c r="Q17" s="217">
        <f t="shared" si="2"/>
        <v>37245.513674000009</v>
      </c>
      <c r="R17" s="217">
        <f t="shared" si="2"/>
        <v>54141.544299831708</v>
      </c>
      <c r="S17" s="217">
        <f t="shared" si="2"/>
        <v>59284.975625000006</v>
      </c>
      <c r="T17" s="217">
        <f t="shared" si="2"/>
        <v>70716.346932830726</v>
      </c>
      <c r="U17" s="217">
        <f t="shared" si="2"/>
        <v>87371.669343079076</v>
      </c>
      <c r="V17" s="217">
        <f t="shared" si="2"/>
        <v>90737.561242252283</v>
      </c>
      <c r="W17" s="217">
        <f t="shared" si="2"/>
        <v>79915.778836576312</v>
      </c>
      <c r="X17" s="217">
        <f t="shared" si="2"/>
        <v>89935.497271</v>
      </c>
      <c r="Y17" s="217">
        <f t="shared" si="2"/>
        <v>101961.92492551256</v>
      </c>
      <c r="Z17" s="217">
        <f>SUM(Z14:Z16)</f>
        <v>101529.61520422222</v>
      </c>
      <c r="AA17" s="217">
        <f>SUM(AA14:AA16)</f>
        <v>99254.91714804167</v>
      </c>
      <c r="AB17" s="217">
        <f t="shared" ref="AB17:AU17" si="3">SUM(AB14:AB16)</f>
        <v>113973.22336000003</v>
      </c>
      <c r="AC17" s="217">
        <f t="shared" si="3"/>
        <v>129946.66293699997</v>
      </c>
      <c r="AD17" s="217">
        <f t="shared" si="3"/>
        <v>136866.36673666668</v>
      </c>
      <c r="AE17" s="217">
        <f t="shared" si="3"/>
        <v>132403.8541513333</v>
      </c>
      <c r="AF17" s="217">
        <f t="shared" si="3"/>
        <v>126500.33686383699</v>
      </c>
      <c r="AG17" s="217">
        <f t="shared" si="3"/>
        <v>154872.819019571</v>
      </c>
      <c r="AH17" s="217">
        <f t="shared" si="3"/>
        <v>168065.07021066669</v>
      </c>
      <c r="AI17" s="217">
        <f t="shared" si="3"/>
        <v>162837.1894216667</v>
      </c>
      <c r="AJ17" s="217">
        <f t="shared" si="3"/>
        <v>174852.88890202725</v>
      </c>
      <c r="AK17" s="217">
        <f t="shared" si="3"/>
        <v>186761.71227509383</v>
      </c>
      <c r="AL17" s="217">
        <f t="shared" si="3"/>
        <v>193563.69575260582</v>
      </c>
      <c r="AM17" s="217">
        <f t="shared" si="3"/>
        <v>178511.53967518333</v>
      </c>
      <c r="AN17" s="217">
        <f t="shared" si="3"/>
        <v>192688.7760137</v>
      </c>
      <c r="AO17" s="217">
        <f t="shared" si="3"/>
        <v>207107.18261916246</v>
      </c>
      <c r="AP17" s="217">
        <f t="shared" si="3"/>
        <v>211786.35295510001</v>
      </c>
      <c r="AQ17" s="217">
        <f t="shared" si="3"/>
        <v>202950.71204355417</v>
      </c>
      <c r="AR17" s="217">
        <f t="shared" si="3"/>
        <v>219271.61798437501</v>
      </c>
      <c r="AS17" s="217">
        <f t="shared" si="3"/>
        <v>234154.22067754008</v>
      </c>
      <c r="AT17" s="217">
        <f t="shared" si="3"/>
        <v>243547.31864002501</v>
      </c>
      <c r="AU17" s="217">
        <f t="shared" si="3"/>
        <v>244802.19276767498</v>
      </c>
      <c r="AV17" s="217">
        <f t="shared" ref="AV17" si="4">SUM(AV14:AV16)</f>
        <v>244038.13511922499</v>
      </c>
    </row>
    <row r="18" spans="2:48" ht="13.5" thickBot="1">
      <c r="B18" s="218" t="s">
        <v>62</v>
      </c>
      <c r="C18" s="219">
        <v>114.05799999999999</v>
      </c>
      <c r="D18" s="219">
        <v>116.54899999999999</v>
      </c>
      <c r="E18" s="219">
        <v>133.244</v>
      </c>
      <c r="F18" s="219">
        <v>131.40199999999999</v>
      </c>
      <c r="G18" s="219">
        <v>111.21970999999999</v>
      </c>
      <c r="H18" s="219">
        <v>120.422</v>
      </c>
      <c r="I18" s="219">
        <v>139.31900000000002</v>
      </c>
      <c r="J18" s="219">
        <v>136.40100000000001</v>
      </c>
      <c r="K18" s="219">
        <v>121.655</v>
      </c>
      <c r="L18" s="219">
        <v>132.41200000000001</v>
      </c>
      <c r="M18" s="219">
        <v>144.20000000000002</v>
      </c>
      <c r="N18" s="219">
        <v>158.22500000000002</v>
      </c>
      <c r="O18" s="219">
        <v>356.48955599999999</v>
      </c>
      <c r="P18" s="219">
        <v>386.45155899999997</v>
      </c>
      <c r="Q18" s="219">
        <v>1838.397666999999</v>
      </c>
      <c r="R18" s="219">
        <v>2691.0476666666677</v>
      </c>
      <c r="S18" s="219">
        <v>2454.0745663333337</v>
      </c>
      <c r="T18" s="219">
        <v>2722.0059999999994</v>
      </c>
      <c r="U18" s="219">
        <v>2343.048086666668</v>
      </c>
      <c r="V18" s="219">
        <v>1607.775408666666</v>
      </c>
      <c r="W18" s="219">
        <v>1715.7239705802467</v>
      </c>
      <c r="X18" s="219">
        <v>1853.4546610660482</v>
      </c>
      <c r="Y18" s="219">
        <v>1264.3880833333335</v>
      </c>
      <c r="Z18" s="219">
        <v>1411.5641190555555</v>
      </c>
      <c r="AA18" s="220">
        <v>1329.1043958333339</v>
      </c>
      <c r="AB18" s="220">
        <v>3154.0878725358425</v>
      </c>
      <c r="AC18" s="220">
        <v>2436.8126108333322</v>
      </c>
      <c r="AD18" s="220">
        <v>1733.6872708333331</v>
      </c>
      <c r="AE18" s="220">
        <v>2475.8066706666668</v>
      </c>
      <c r="AF18" s="220">
        <v>1429.8231666666666</v>
      </c>
      <c r="AG18" s="220">
        <v>1504.3503333333333</v>
      </c>
      <c r="AH18" s="220">
        <v>1188.2680186666666</v>
      </c>
      <c r="AI18" s="220">
        <v>1826.0140833333339</v>
      </c>
      <c r="AJ18" s="220">
        <v>1393.1388333333332</v>
      </c>
      <c r="AK18" s="220">
        <v>1809.472500000001</v>
      </c>
      <c r="AL18" s="220">
        <v>1942.6497733292185</v>
      </c>
      <c r="AM18" s="220">
        <v>2223.7395833333335</v>
      </c>
      <c r="AN18" s="220">
        <v>1483.9377870370372</v>
      </c>
      <c r="AO18" s="220">
        <v>2092.5880000000002</v>
      </c>
      <c r="AP18" s="220">
        <v>1191.0473299999999</v>
      </c>
      <c r="AQ18" s="220">
        <v>2402.6529895833337</v>
      </c>
      <c r="AR18" s="220">
        <v>1999.8315564516126</v>
      </c>
      <c r="AS18" s="220">
        <v>5183.9675460322596</v>
      </c>
      <c r="AT18" s="220">
        <v>2297.2633919322602</v>
      </c>
      <c r="AU18" s="220">
        <v>2081.05441666667</v>
      </c>
      <c r="AV18" s="708">
        <v>1677.6105</v>
      </c>
    </row>
    <row r="19" spans="2:48" ht="13.5" thickBot="1">
      <c r="B19" s="218" t="s">
        <v>63</v>
      </c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20">
        <v>1856.0370000000112</v>
      </c>
      <c r="AB19" s="220">
        <v>2708.0230000000447</v>
      </c>
      <c r="AC19" s="220">
        <v>4319.1579999998212</v>
      </c>
      <c r="AD19" s="220">
        <v>7567.0400000000373</v>
      </c>
      <c r="AE19" s="220">
        <v>8922.5840000000317</v>
      </c>
      <c r="AF19" s="220">
        <v>11896.237000000197</v>
      </c>
      <c r="AG19" s="220">
        <v>18966.802000000142</v>
      </c>
      <c r="AH19" s="220">
        <v>24017.540000000037</v>
      </c>
      <c r="AI19" s="220">
        <v>23765.382000000216</v>
      </c>
      <c r="AJ19" s="220">
        <v>29045.375</v>
      </c>
      <c r="AK19" s="220">
        <v>39058.817999999737</v>
      </c>
      <c r="AL19" s="220">
        <v>46944.956000000238</v>
      </c>
      <c r="AM19" s="220">
        <v>44545.87099999981</v>
      </c>
      <c r="AN19" s="220">
        <v>55771.213000000222</v>
      </c>
      <c r="AO19" s="220">
        <v>71437.419000000227</v>
      </c>
      <c r="AP19" s="220">
        <v>83257.29434473766</v>
      </c>
      <c r="AQ19" s="220">
        <v>82169.038000000175</v>
      </c>
      <c r="AR19" s="220">
        <v>99822.43899999978</v>
      </c>
      <c r="AS19" s="220">
        <v>118834.47500000009</v>
      </c>
      <c r="AT19" s="220">
        <v>131189.92099999986</v>
      </c>
      <c r="AU19" s="220">
        <v>120531.51600000006</v>
      </c>
      <c r="AV19" s="708">
        <v>139372.06600000011</v>
      </c>
    </row>
    <row r="20" spans="2:48" ht="13.5" thickBot="1">
      <c r="B20" s="221" t="s">
        <v>64</v>
      </c>
      <c r="C20" s="222">
        <f t="shared" ref="C20:AS20" si="5">SUM(C13,C17:C19)</f>
        <v>1238110.2959283665</v>
      </c>
      <c r="D20" s="222">
        <f t="shared" si="5"/>
        <v>1252039.3306800001</v>
      </c>
      <c r="E20" s="222">
        <f t="shared" si="5"/>
        <v>1363860.6006432904</v>
      </c>
      <c r="F20" s="222">
        <f t="shared" si="5"/>
        <v>1442976.8029799999</v>
      </c>
      <c r="G20" s="222">
        <f t="shared" si="5"/>
        <v>1335830.9341239999</v>
      </c>
      <c r="H20" s="222">
        <f t="shared" si="5"/>
        <v>1354970.585410476</v>
      </c>
      <c r="I20" s="222">
        <f t="shared" si="5"/>
        <v>1490952.76972</v>
      </c>
      <c r="J20" s="222">
        <f t="shared" si="5"/>
        <v>1531530.13662</v>
      </c>
      <c r="K20" s="222">
        <f t="shared" si="5"/>
        <v>1414072.4529339999</v>
      </c>
      <c r="L20" s="222">
        <f t="shared" si="5"/>
        <v>1425879.2637399998</v>
      </c>
      <c r="M20" s="222">
        <f t="shared" si="5"/>
        <v>1520502.3663560939</v>
      </c>
      <c r="N20" s="222">
        <f t="shared" si="5"/>
        <v>1600308.1363690021</v>
      </c>
      <c r="O20" s="222">
        <f t="shared" si="5"/>
        <v>1462251.116196</v>
      </c>
      <c r="P20" s="222">
        <f t="shared" si="5"/>
        <v>1529498.727737</v>
      </c>
      <c r="Q20" s="222">
        <f t="shared" si="5"/>
        <v>1565034.7553410002</v>
      </c>
      <c r="R20" s="222">
        <f t="shared" si="5"/>
        <v>1618594.624966498</v>
      </c>
      <c r="S20" s="222">
        <f t="shared" si="5"/>
        <v>1402561.9291913332</v>
      </c>
      <c r="T20" s="222">
        <f t="shared" si="5"/>
        <v>1486471.4589328307</v>
      </c>
      <c r="U20" s="222">
        <f t="shared" si="5"/>
        <v>1604501.2184297459</v>
      </c>
      <c r="V20" s="222">
        <f t="shared" si="5"/>
        <v>1709691.4206509192</v>
      </c>
      <c r="W20" s="222">
        <f t="shared" si="5"/>
        <v>1456955.1756921567</v>
      </c>
      <c r="X20" s="222">
        <f t="shared" si="5"/>
        <v>1524885.6789320658</v>
      </c>
      <c r="Y20" s="222">
        <f t="shared" si="5"/>
        <v>1600883.5720088461</v>
      </c>
      <c r="Z20" s="222">
        <f t="shared" si="5"/>
        <v>1643802.5713232779</v>
      </c>
      <c r="AA20" s="217">
        <f t="shared" si="5"/>
        <v>1480746.6595438749</v>
      </c>
      <c r="AB20" s="217">
        <f t="shared" si="5"/>
        <v>1551130.401232536</v>
      </c>
      <c r="AC20" s="217">
        <f t="shared" si="5"/>
        <v>1648471.1285478333</v>
      </c>
      <c r="AD20" s="217">
        <f t="shared" si="5"/>
        <v>1754749.8470075005</v>
      </c>
      <c r="AE20" s="217">
        <f t="shared" si="5"/>
        <v>1554624.3368219999</v>
      </c>
      <c r="AF20" s="217">
        <f t="shared" si="5"/>
        <v>1561072.5060305039</v>
      </c>
      <c r="AG20" s="217">
        <f t="shared" si="5"/>
        <v>1723654.1053529042</v>
      </c>
      <c r="AH20" s="217">
        <f t="shared" si="5"/>
        <v>1814126.0742293335</v>
      </c>
      <c r="AI20" s="217">
        <f t="shared" si="5"/>
        <v>1637831.7855050003</v>
      </c>
      <c r="AJ20" s="217">
        <f t="shared" si="5"/>
        <v>1674008.1887353603</v>
      </c>
      <c r="AK20" s="217">
        <f t="shared" si="5"/>
        <v>1819167.5297750935</v>
      </c>
      <c r="AL20" s="217">
        <f t="shared" si="5"/>
        <v>1884923.2375259355</v>
      </c>
      <c r="AM20" s="217">
        <f t="shared" si="5"/>
        <v>1676624.0762585164</v>
      </c>
      <c r="AN20" s="217">
        <f t="shared" si="5"/>
        <v>1760671.7368007374</v>
      </c>
      <c r="AO20" s="217">
        <f t="shared" si="5"/>
        <v>1922073.8926191623</v>
      </c>
      <c r="AP20" s="217">
        <f t="shared" si="5"/>
        <v>1991525.0036298377</v>
      </c>
      <c r="AQ20" s="217">
        <f t="shared" si="5"/>
        <v>1795945.9470331378</v>
      </c>
      <c r="AR20" s="217">
        <f t="shared" si="5"/>
        <v>1940820.7875408265</v>
      </c>
      <c r="AS20" s="217">
        <f t="shared" si="5"/>
        <v>2106178.8252235726</v>
      </c>
      <c r="AT20" s="217">
        <f t="shared" ref="AT20:AU20" si="6">SUM(AT13,AT17:AT19)</f>
        <v>2243024.0864919573</v>
      </c>
      <c r="AU20" s="217">
        <f t="shared" si="6"/>
        <v>2019183.9571843417</v>
      </c>
      <c r="AV20" s="217">
        <f t="shared" ref="AV20" si="7">SUM(AV13,AV17:AV19)</f>
        <v>2155378.4096192252</v>
      </c>
    </row>
    <row r="21" spans="2:48" ht="13.5" thickBot="1">
      <c r="B21" s="216" t="s">
        <v>65</v>
      </c>
      <c r="C21" s="222">
        <f t="shared" ref="C21:AS21" si="8">C20-C19</f>
        <v>1238110.2959283665</v>
      </c>
      <c r="D21" s="222">
        <f t="shared" si="8"/>
        <v>1252039.3306800001</v>
      </c>
      <c r="E21" s="222">
        <f t="shared" si="8"/>
        <v>1363860.6006432904</v>
      </c>
      <c r="F21" s="222">
        <f t="shared" si="8"/>
        <v>1442976.8029799999</v>
      </c>
      <c r="G21" s="222">
        <f t="shared" si="8"/>
        <v>1335830.9341239999</v>
      </c>
      <c r="H21" s="222">
        <f t="shared" si="8"/>
        <v>1354970.585410476</v>
      </c>
      <c r="I21" s="222">
        <f t="shared" si="8"/>
        <v>1490952.76972</v>
      </c>
      <c r="J21" s="222">
        <f t="shared" si="8"/>
        <v>1531530.13662</v>
      </c>
      <c r="K21" s="222">
        <f t="shared" si="8"/>
        <v>1414072.4529339999</v>
      </c>
      <c r="L21" s="222">
        <f t="shared" si="8"/>
        <v>1425879.2637399998</v>
      </c>
      <c r="M21" s="222">
        <f t="shared" si="8"/>
        <v>1520502.3663560939</v>
      </c>
      <c r="N21" s="222">
        <f t="shared" si="8"/>
        <v>1600308.1363690021</v>
      </c>
      <c r="O21" s="222">
        <f t="shared" si="8"/>
        <v>1462251.116196</v>
      </c>
      <c r="P21" s="222">
        <f t="shared" si="8"/>
        <v>1529498.727737</v>
      </c>
      <c r="Q21" s="222">
        <f t="shared" si="8"/>
        <v>1565034.7553410002</v>
      </c>
      <c r="R21" s="222">
        <f t="shared" si="8"/>
        <v>1618594.624966498</v>
      </c>
      <c r="S21" s="222">
        <f t="shared" si="8"/>
        <v>1402561.9291913332</v>
      </c>
      <c r="T21" s="222">
        <f t="shared" si="8"/>
        <v>1486471.4589328307</v>
      </c>
      <c r="U21" s="222">
        <f t="shared" si="8"/>
        <v>1604501.2184297459</v>
      </c>
      <c r="V21" s="222">
        <f t="shared" si="8"/>
        <v>1709691.4206509192</v>
      </c>
      <c r="W21" s="222">
        <f t="shared" si="8"/>
        <v>1456955.1756921567</v>
      </c>
      <c r="X21" s="222">
        <f t="shared" si="8"/>
        <v>1524885.6789320658</v>
      </c>
      <c r="Y21" s="222">
        <f t="shared" si="8"/>
        <v>1600883.5720088461</v>
      </c>
      <c r="Z21" s="222">
        <f t="shared" si="8"/>
        <v>1643802.5713232779</v>
      </c>
      <c r="AA21" s="217">
        <f t="shared" si="8"/>
        <v>1478890.6225438749</v>
      </c>
      <c r="AB21" s="217">
        <f t="shared" si="8"/>
        <v>1548422.3782325359</v>
      </c>
      <c r="AC21" s="217">
        <f t="shared" si="8"/>
        <v>1644151.9705478335</v>
      </c>
      <c r="AD21" s="217">
        <f t="shared" si="8"/>
        <v>1747182.8070075004</v>
      </c>
      <c r="AE21" s="217">
        <f t="shared" si="8"/>
        <v>1545701.7528219998</v>
      </c>
      <c r="AF21" s="217">
        <f t="shared" si="8"/>
        <v>1549176.2690305037</v>
      </c>
      <c r="AG21" s="217">
        <f t="shared" si="8"/>
        <v>1704687.303352904</v>
      </c>
      <c r="AH21" s="217">
        <f t="shared" si="8"/>
        <v>1790108.5342293335</v>
      </c>
      <c r="AI21" s="217">
        <f t="shared" si="8"/>
        <v>1614066.4035050001</v>
      </c>
      <c r="AJ21" s="217">
        <f t="shared" si="8"/>
        <v>1644962.8137353603</v>
      </c>
      <c r="AK21" s="217">
        <f t="shared" si="8"/>
        <v>1780108.7117750938</v>
      </c>
      <c r="AL21" s="217">
        <f t="shared" si="8"/>
        <v>1837978.2815259353</v>
      </c>
      <c r="AM21" s="217">
        <f t="shared" si="8"/>
        <v>1632078.2052585166</v>
      </c>
      <c r="AN21" s="217">
        <f t="shared" si="8"/>
        <v>1704900.5238007372</v>
      </c>
      <c r="AO21" s="217">
        <f t="shared" si="8"/>
        <v>1850636.4736191621</v>
      </c>
      <c r="AP21" s="217">
        <f t="shared" si="8"/>
        <v>1908267.7092851</v>
      </c>
      <c r="AQ21" s="217">
        <f t="shared" si="8"/>
        <v>1713776.9090331376</v>
      </c>
      <c r="AR21" s="217">
        <f t="shared" si="8"/>
        <v>1840998.3485408267</v>
      </c>
      <c r="AS21" s="217">
        <f t="shared" si="8"/>
        <v>1987344.3502235725</v>
      </c>
      <c r="AT21" s="217">
        <f t="shared" ref="AT21:AU21" si="9">AT20-AT19</f>
        <v>2111834.1654919572</v>
      </c>
      <c r="AU21" s="217">
        <f t="shared" si="9"/>
        <v>1898652.4411843417</v>
      </c>
      <c r="AV21" s="217">
        <f t="shared" ref="AV21" si="10">AV20-AV19</f>
        <v>2016006.3436192251</v>
      </c>
    </row>
    <row r="22" spans="2:48">
      <c r="B22" s="223" t="s">
        <v>66</v>
      </c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</row>
    <row r="23" spans="2:48"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</row>
    <row r="24" spans="2:48">
      <c r="B24" s="212" t="s">
        <v>67</v>
      </c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</row>
    <row r="25" spans="2:48">
      <c r="B25" s="214" t="s">
        <v>56</v>
      </c>
      <c r="C25" s="215">
        <v>629910.30299999996</v>
      </c>
      <c r="D25" s="215">
        <v>669517.91399999999</v>
      </c>
      <c r="E25" s="215">
        <v>700202.06</v>
      </c>
      <c r="F25" s="215">
        <v>758350.17500000005</v>
      </c>
      <c r="G25" s="215">
        <v>767350.70500000007</v>
      </c>
      <c r="H25" s="215">
        <v>811032.60400000005</v>
      </c>
      <c r="I25" s="215">
        <v>867151.83600000001</v>
      </c>
      <c r="J25" s="215">
        <v>871810.58400000003</v>
      </c>
      <c r="K25" s="215">
        <v>803746.79799999995</v>
      </c>
      <c r="L25" s="215">
        <v>755640.326</v>
      </c>
      <c r="M25" s="215">
        <v>912657.87599999993</v>
      </c>
      <c r="N25" s="215">
        <v>1084082.247</v>
      </c>
      <c r="O25" s="215">
        <v>834676.69533900009</v>
      </c>
      <c r="P25" s="215">
        <v>893487.96304299892</v>
      </c>
      <c r="Q25" s="215">
        <v>1008262.6152989989</v>
      </c>
      <c r="R25" s="215">
        <v>1009673.3256159989</v>
      </c>
      <c r="S25" s="215">
        <v>830710.906648</v>
      </c>
      <c r="T25" s="215">
        <v>936310.60573199973</v>
      </c>
      <c r="U25" s="215">
        <v>1004580.7237629998</v>
      </c>
      <c r="V25" s="215">
        <v>1038316.8960739976</v>
      </c>
      <c r="W25" s="215">
        <v>873037.96600000001</v>
      </c>
      <c r="X25" s="224">
        <v>926663.54999999993</v>
      </c>
      <c r="Y25" s="224">
        <v>933719.89699999988</v>
      </c>
      <c r="Z25" s="224">
        <v>938090.75899999985</v>
      </c>
      <c r="AA25" s="224">
        <v>794439.09900000005</v>
      </c>
      <c r="AB25" s="224">
        <v>866402.54899999988</v>
      </c>
      <c r="AC25" s="224">
        <v>957126.12400000007</v>
      </c>
      <c r="AD25" s="224">
        <v>993849.40500000003</v>
      </c>
      <c r="AE25" s="224">
        <v>888167.74</v>
      </c>
      <c r="AF25" s="224">
        <v>946861.53199999989</v>
      </c>
      <c r="AG25" s="224">
        <v>1051296.6429999999</v>
      </c>
      <c r="AH25" s="224">
        <v>1015557.4920000001</v>
      </c>
      <c r="AI25" s="224">
        <v>966914.42600000021</v>
      </c>
      <c r="AJ25" s="224">
        <v>1030577.196</v>
      </c>
      <c r="AK25" s="224">
        <v>1087796.2489999998</v>
      </c>
      <c r="AL25" s="224">
        <v>1103240.8119999999</v>
      </c>
      <c r="AM25" s="224">
        <v>997225.31400000001</v>
      </c>
      <c r="AN25" s="224">
        <v>1048732.4759999998</v>
      </c>
      <c r="AO25" s="224">
        <v>1165540.0049999999</v>
      </c>
      <c r="AP25" s="224">
        <v>1170200.176</v>
      </c>
      <c r="AQ25" s="224">
        <v>1061124.7949999999</v>
      </c>
      <c r="AR25" s="224">
        <v>1125939.4479999999</v>
      </c>
      <c r="AS25" s="224">
        <v>1253055.52</v>
      </c>
      <c r="AT25" s="224">
        <v>1347792.1850000001</v>
      </c>
      <c r="AU25" s="224">
        <v>1199640.53</v>
      </c>
      <c r="AV25" s="224">
        <v>1217165.138</v>
      </c>
    </row>
    <row r="26" spans="2:48">
      <c r="B26" s="214" t="s">
        <v>57</v>
      </c>
      <c r="C26" s="215">
        <v>286922.59899999999</v>
      </c>
      <c r="D26" s="215">
        <v>302886.59399999998</v>
      </c>
      <c r="E26" s="215">
        <v>339552.34499999997</v>
      </c>
      <c r="F26" s="215">
        <v>364903.326</v>
      </c>
      <c r="G26" s="215">
        <v>316695.42499999999</v>
      </c>
      <c r="H26" s="215">
        <v>326518.31800000003</v>
      </c>
      <c r="I26" s="215">
        <v>346502.80200000003</v>
      </c>
      <c r="J26" s="215">
        <v>354809.65599999996</v>
      </c>
      <c r="K26" s="215">
        <v>327926.54599999997</v>
      </c>
      <c r="L26" s="215">
        <v>307271.29099999997</v>
      </c>
      <c r="M26" s="215">
        <v>342180.17200000002</v>
      </c>
      <c r="N26" s="215">
        <v>343778.38300000003</v>
      </c>
      <c r="O26" s="215">
        <v>262654.69283299998</v>
      </c>
      <c r="P26" s="215">
        <v>209784.30880900001</v>
      </c>
      <c r="Q26" s="215">
        <v>224289.10134300002</v>
      </c>
      <c r="R26" s="215">
        <v>227876.746675</v>
      </c>
      <c r="S26" s="215">
        <v>158663.891722</v>
      </c>
      <c r="T26" s="215">
        <v>153998.15317400004</v>
      </c>
      <c r="U26" s="215">
        <v>156913.74150900001</v>
      </c>
      <c r="V26" s="215">
        <v>160725.94104899999</v>
      </c>
      <c r="W26" s="215">
        <v>136753.95699999999</v>
      </c>
      <c r="X26" s="224">
        <v>129217.86000000002</v>
      </c>
      <c r="Y26" s="224">
        <v>150321.245</v>
      </c>
      <c r="Z26" s="224">
        <v>163115.37</v>
      </c>
      <c r="AA26" s="224">
        <v>121811.67099999999</v>
      </c>
      <c r="AB26" s="224">
        <v>126939.00200000001</v>
      </c>
      <c r="AC26" s="224">
        <v>135548.38800000001</v>
      </c>
      <c r="AD26" s="224">
        <v>136109.796</v>
      </c>
      <c r="AE26" s="224">
        <v>106191.30799999999</v>
      </c>
      <c r="AF26" s="224">
        <v>98829.087</v>
      </c>
      <c r="AG26" s="224">
        <v>134609.774</v>
      </c>
      <c r="AH26" s="224">
        <v>124096.73699999999</v>
      </c>
      <c r="AI26" s="224">
        <v>108993.064</v>
      </c>
      <c r="AJ26" s="224">
        <v>108916.59099999999</v>
      </c>
      <c r="AK26" s="224">
        <v>125691.27799999999</v>
      </c>
      <c r="AL26" s="224">
        <v>124021.55699999999</v>
      </c>
      <c r="AM26" s="224">
        <v>106408.395</v>
      </c>
      <c r="AN26" s="224">
        <v>108966.802</v>
      </c>
      <c r="AO26" s="224">
        <v>110561.30800000002</v>
      </c>
      <c r="AP26" s="224">
        <v>97437.047000000006</v>
      </c>
      <c r="AQ26" s="224">
        <v>83763.953000000009</v>
      </c>
      <c r="AR26" s="224">
        <v>84600.054999999993</v>
      </c>
      <c r="AS26" s="224">
        <v>93231.56</v>
      </c>
      <c r="AT26" s="224">
        <v>91901.748999999996</v>
      </c>
      <c r="AU26" s="224">
        <v>74381.288</v>
      </c>
      <c r="AV26" s="224">
        <v>72004.493000000002</v>
      </c>
    </row>
    <row r="27" spans="2:48">
      <c r="B27" s="214" t="s">
        <v>58</v>
      </c>
      <c r="C27" s="215">
        <v>371956.34899999999</v>
      </c>
      <c r="D27" s="215">
        <v>402887.35400000005</v>
      </c>
      <c r="E27" s="215">
        <v>418795.71600000001</v>
      </c>
      <c r="F27" s="215">
        <v>445531.75399999996</v>
      </c>
      <c r="G27" s="215">
        <v>398720.37</v>
      </c>
      <c r="H27" s="215">
        <v>421382.397</v>
      </c>
      <c r="I27" s="215">
        <v>445746.13699999999</v>
      </c>
      <c r="J27" s="215">
        <v>464834.21699999995</v>
      </c>
      <c r="K27" s="215">
        <v>420933.82700000005</v>
      </c>
      <c r="L27" s="215">
        <v>403842.842</v>
      </c>
      <c r="M27" s="215">
        <v>466707.94699999999</v>
      </c>
      <c r="N27" s="215">
        <v>508454.02299999999</v>
      </c>
      <c r="O27" s="215">
        <v>402643.29205799999</v>
      </c>
      <c r="P27" s="215">
        <v>426443.97089799982</v>
      </c>
      <c r="Q27" s="215">
        <v>454677.13917400001</v>
      </c>
      <c r="R27" s="215">
        <v>447581.56938300002</v>
      </c>
      <c r="S27" s="215">
        <v>365667.75012600014</v>
      </c>
      <c r="T27" s="215">
        <v>409860.78417100001</v>
      </c>
      <c r="U27" s="215">
        <v>420490.72016600042</v>
      </c>
      <c r="V27" s="215">
        <v>417747.91548199992</v>
      </c>
      <c r="W27" s="215">
        <v>356256.038</v>
      </c>
      <c r="X27" s="224">
        <v>380886.21299999999</v>
      </c>
      <c r="Y27" s="224">
        <v>394629.80099999998</v>
      </c>
      <c r="Z27" s="224">
        <v>394056.55300000001</v>
      </c>
      <c r="AA27" s="224">
        <v>334021.13199999998</v>
      </c>
      <c r="AB27" s="224">
        <v>362204.27999999997</v>
      </c>
      <c r="AC27" s="224">
        <v>380883.28800000006</v>
      </c>
      <c r="AD27" s="224">
        <v>399654.93500000006</v>
      </c>
      <c r="AE27" s="224">
        <v>341256.96100000001</v>
      </c>
      <c r="AF27" s="224">
        <v>295809.10600000003</v>
      </c>
      <c r="AG27" s="224">
        <v>372425.46400000004</v>
      </c>
      <c r="AH27" s="224">
        <v>370449.91200000001</v>
      </c>
      <c r="AI27" s="224">
        <v>322859.53700000001</v>
      </c>
      <c r="AJ27" s="224">
        <v>338906.87300000002</v>
      </c>
      <c r="AK27" s="224">
        <v>367964.75300000003</v>
      </c>
      <c r="AL27" s="224">
        <v>369618.68400000001</v>
      </c>
      <c r="AM27" s="224">
        <v>330360.25300000003</v>
      </c>
      <c r="AN27" s="224">
        <v>344141.70600000001</v>
      </c>
      <c r="AO27" s="224">
        <v>367444.853</v>
      </c>
      <c r="AP27" s="224">
        <v>362445.783</v>
      </c>
      <c r="AQ27" s="224">
        <v>316430.33400000003</v>
      </c>
      <c r="AR27" s="224">
        <v>333802.65100000001</v>
      </c>
      <c r="AS27" s="224">
        <v>357137.87400000001</v>
      </c>
      <c r="AT27" s="224">
        <v>365421.91800000001</v>
      </c>
      <c r="AU27" s="224">
        <v>313996.90500000003</v>
      </c>
      <c r="AV27" s="224">
        <v>319015.79399999999</v>
      </c>
    </row>
    <row r="28" spans="2:48" ht="13.5" thickBot="1">
      <c r="B28" s="214" t="s">
        <v>59</v>
      </c>
      <c r="C28" s="215">
        <v>283423.11199999996</v>
      </c>
      <c r="D28" s="215">
        <v>307160</v>
      </c>
      <c r="E28" s="215">
        <v>316921.44000000006</v>
      </c>
      <c r="F28" s="215">
        <v>341811.35399999999</v>
      </c>
      <c r="G28" s="215">
        <v>314892.50699999998</v>
      </c>
      <c r="H28" s="215">
        <v>335775.74700000003</v>
      </c>
      <c r="I28" s="215">
        <v>340896.02899999998</v>
      </c>
      <c r="J28" s="215">
        <v>370815.53</v>
      </c>
      <c r="K28" s="215">
        <v>335087.10099999997</v>
      </c>
      <c r="L28" s="215">
        <v>333858.65100000007</v>
      </c>
      <c r="M28" s="215">
        <v>374660.16500000004</v>
      </c>
      <c r="N28" s="215">
        <v>417604.19200000004</v>
      </c>
      <c r="O28" s="215">
        <v>351592.729268</v>
      </c>
      <c r="P28" s="215">
        <v>399773.21829999995</v>
      </c>
      <c r="Q28" s="215">
        <v>417984.87170900009</v>
      </c>
      <c r="R28" s="215">
        <v>425123.09895000001</v>
      </c>
      <c r="S28" s="215">
        <v>348898.050453</v>
      </c>
      <c r="T28" s="215">
        <v>383556.48254899995</v>
      </c>
      <c r="U28" s="215">
        <v>390966.73903399997</v>
      </c>
      <c r="V28" s="215">
        <v>427329.49064899987</v>
      </c>
      <c r="W28" s="215">
        <v>366423.05299999996</v>
      </c>
      <c r="X28" s="224">
        <v>392242.79100000003</v>
      </c>
      <c r="Y28" s="224">
        <v>403028.92800000001</v>
      </c>
      <c r="Z28" s="224">
        <v>422126.01599999995</v>
      </c>
      <c r="AA28" s="224">
        <v>368767.65100000001</v>
      </c>
      <c r="AB28" s="224">
        <v>387866.27600000001</v>
      </c>
      <c r="AC28" s="224">
        <v>406188.23000000004</v>
      </c>
      <c r="AD28" s="224">
        <v>435155.75</v>
      </c>
      <c r="AE28" s="224">
        <v>376117.39399999997</v>
      </c>
      <c r="AF28" s="224">
        <v>353008.79700000002</v>
      </c>
      <c r="AG28" s="224">
        <v>428134.96300000005</v>
      </c>
      <c r="AH28" s="224">
        <v>384249.06600000005</v>
      </c>
      <c r="AI28" s="224">
        <v>338176.01199999999</v>
      </c>
      <c r="AJ28" s="224">
        <v>356591.44799999997</v>
      </c>
      <c r="AK28" s="224">
        <v>380939.58300000004</v>
      </c>
      <c r="AL28" s="224">
        <v>386325.99700000003</v>
      </c>
      <c r="AM28" s="224">
        <v>358545.55600000004</v>
      </c>
      <c r="AN28" s="224">
        <v>379601.18599999999</v>
      </c>
      <c r="AO28" s="224">
        <v>397877.01599999995</v>
      </c>
      <c r="AP28" s="224">
        <v>391434.78700000001</v>
      </c>
      <c r="AQ28" s="224">
        <v>355657.46400000015</v>
      </c>
      <c r="AR28" s="224">
        <v>383132.21100000001</v>
      </c>
      <c r="AS28" s="224">
        <v>400658.58299999998</v>
      </c>
      <c r="AT28" s="224">
        <v>442574.51199999987</v>
      </c>
      <c r="AU28" s="224">
        <v>375538.27100000012</v>
      </c>
      <c r="AV28" s="224">
        <v>409399.23699999996</v>
      </c>
    </row>
    <row r="29" spans="2:48" ht="13.5" thickBot="1">
      <c r="B29" s="221" t="s">
        <v>60</v>
      </c>
      <c r="C29" s="225">
        <f>SUM(C25:C28)</f>
        <v>1572212.3629999999</v>
      </c>
      <c r="D29" s="225">
        <f t="shared" ref="D29:AU29" si="11">SUM(D25:D28)</f>
        <v>1682451.862</v>
      </c>
      <c r="E29" s="225">
        <f t="shared" si="11"/>
        <v>1775471.5610000002</v>
      </c>
      <c r="F29" s="225">
        <f t="shared" si="11"/>
        <v>1910596.6090000002</v>
      </c>
      <c r="G29" s="225">
        <f t="shared" si="11"/>
        <v>1797659.007</v>
      </c>
      <c r="H29" s="225">
        <f t="shared" si="11"/>
        <v>1894709.0660000001</v>
      </c>
      <c r="I29" s="225">
        <f t="shared" si="11"/>
        <v>2000296.804</v>
      </c>
      <c r="J29" s="225">
        <f t="shared" si="11"/>
        <v>2062269.987</v>
      </c>
      <c r="K29" s="225">
        <f t="shared" si="11"/>
        <v>1887694.2720000001</v>
      </c>
      <c r="L29" s="225">
        <f t="shared" si="11"/>
        <v>1800613.11</v>
      </c>
      <c r="M29" s="225">
        <f t="shared" si="11"/>
        <v>2096206.16</v>
      </c>
      <c r="N29" s="225">
        <f t="shared" si="11"/>
        <v>2353918.8449999997</v>
      </c>
      <c r="O29" s="225">
        <f t="shared" si="11"/>
        <v>1851567.4094980001</v>
      </c>
      <c r="P29" s="225">
        <f t="shared" si="11"/>
        <v>1929489.4610499986</v>
      </c>
      <c r="Q29" s="225">
        <f t="shared" si="11"/>
        <v>2105213.7275249986</v>
      </c>
      <c r="R29" s="225">
        <f t="shared" si="11"/>
        <v>2110254.7406239989</v>
      </c>
      <c r="S29" s="225">
        <f t="shared" si="11"/>
        <v>1703940.598949</v>
      </c>
      <c r="T29" s="225">
        <f t="shared" si="11"/>
        <v>1883726.025626</v>
      </c>
      <c r="U29" s="225">
        <f t="shared" si="11"/>
        <v>1972951.924472</v>
      </c>
      <c r="V29" s="225">
        <f t="shared" si="11"/>
        <v>2044120.2432539973</v>
      </c>
      <c r="W29" s="225">
        <f t="shared" si="11"/>
        <v>1732471.014</v>
      </c>
      <c r="X29" s="225">
        <f t="shared" si="11"/>
        <v>1829010.4139999999</v>
      </c>
      <c r="Y29" s="225">
        <f t="shared" si="11"/>
        <v>1881699.871</v>
      </c>
      <c r="Z29" s="225">
        <f t="shared" si="11"/>
        <v>1917388.6979999999</v>
      </c>
      <c r="AA29" s="225">
        <f t="shared" si="11"/>
        <v>1619039.5530000001</v>
      </c>
      <c r="AB29" s="225">
        <f t="shared" si="11"/>
        <v>1743412.1069999998</v>
      </c>
      <c r="AC29" s="225">
        <f t="shared" si="11"/>
        <v>1879746.0300000003</v>
      </c>
      <c r="AD29" s="225">
        <f t="shared" si="11"/>
        <v>1964769.8860000002</v>
      </c>
      <c r="AE29" s="225">
        <f t="shared" si="11"/>
        <v>1711733.4029999999</v>
      </c>
      <c r="AF29" s="225">
        <f t="shared" si="11"/>
        <v>1694508.5220000001</v>
      </c>
      <c r="AG29" s="225">
        <f t="shared" si="11"/>
        <v>1986466.844</v>
      </c>
      <c r="AH29" s="225">
        <f t="shared" si="11"/>
        <v>1894353.2070000002</v>
      </c>
      <c r="AI29" s="225">
        <f t="shared" si="11"/>
        <v>1736943.0390000003</v>
      </c>
      <c r="AJ29" s="225">
        <f t="shared" si="11"/>
        <v>1834992.108</v>
      </c>
      <c r="AK29" s="225">
        <f t="shared" si="11"/>
        <v>1962391.8629999999</v>
      </c>
      <c r="AL29" s="225">
        <f t="shared" si="11"/>
        <v>1983207.0499999998</v>
      </c>
      <c r="AM29" s="225">
        <f t="shared" si="11"/>
        <v>1792539.5180000002</v>
      </c>
      <c r="AN29" s="225">
        <f t="shared" si="11"/>
        <v>1881442.1699999997</v>
      </c>
      <c r="AO29" s="225">
        <f t="shared" si="11"/>
        <v>2041423.1819999996</v>
      </c>
      <c r="AP29" s="225">
        <f t="shared" si="11"/>
        <v>2021517.7930000001</v>
      </c>
      <c r="AQ29" s="225">
        <f t="shared" si="11"/>
        <v>1816976.5460000001</v>
      </c>
      <c r="AR29" s="225">
        <f t="shared" si="11"/>
        <v>1927474.3649999998</v>
      </c>
      <c r="AS29" s="225">
        <f t="shared" si="11"/>
        <v>2104083.537</v>
      </c>
      <c r="AT29" s="225">
        <f t="shared" si="11"/>
        <v>2247690.3640000001</v>
      </c>
      <c r="AU29" s="225">
        <f t="shared" si="11"/>
        <v>1963556.9940000002</v>
      </c>
      <c r="AV29" s="225">
        <f t="shared" ref="AV29" si="12">SUM(AV25:AV28)</f>
        <v>2017584.662</v>
      </c>
    </row>
    <row r="30" spans="2:48">
      <c r="B30" s="214" t="s">
        <v>57</v>
      </c>
      <c r="C30" s="215">
        <v>83856.604999999996</v>
      </c>
      <c r="D30" s="215">
        <v>83002.091</v>
      </c>
      <c r="E30" s="215">
        <v>87715.525999999983</v>
      </c>
      <c r="F30" s="215">
        <v>87476.16399999999</v>
      </c>
      <c r="G30" s="215">
        <v>89687.778000000006</v>
      </c>
      <c r="H30" s="215">
        <v>92355.997000000003</v>
      </c>
      <c r="I30" s="215">
        <v>95062.608000000007</v>
      </c>
      <c r="J30" s="215">
        <v>97020.766000000003</v>
      </c>
      <c r="K30" s="215">
        <v>87433.11099999999</v>
      </c>
      <c r="L30" s="215">
        <v>81529.506999999998</v>
      </c>
      <c r="M30" s="215">
        <v>77609.570000000007</v>
      </c>
      <c r="N30" s="215">
        <v>67637.077999999994</v>
      </c>
      <c r="O30" s="215">
        <v>135805.82883000001</v>
      </c>
      <c r="P30" s="215">
        <v>133458.54425099998</v>
      </c>
      <c r="Q30" s="215">
        <v>175333.75607100001</v>
      </c>
      <c r="R30" s="215">
        <v>179255.18752200005</v>
      </c>
      <c r="S30" s="215">
        <v>202396.025876</v>
      </c>
      <c r="T30" s="215">
        <v>223399.074073</v>
      </c>
      <c r="U30" s="215">
        <v>236920.90829599998</v>
      </c>
      <c r="V30" s="215">
        <v>233226.32778999995</v>
      </c>
      <c r="W30" s="215">
        <v>230635.30268900003</v>
      </c>
      <c r="X30" s="224">
        <v>230249.06394600001</v>
      </c>
      <c r="Y30" s="224">
        <v>243810.16829900007</v>
      </c>
      <c r="Z30" s="224">
        <v>243579.33466796973</v>
      </c>
      <c r="AA30" s="224">
        <v>248091.81083003004</v>
      </c>
      <c r="AB30" s="224">
        <v>241631.54623336002</v>
      </c>
      <c r="AC30" s="224">
        <v>253598.64119621995</v>
      </c>
      <c r="AD30" s="224">
        <v>248080.25047959998</v>
      </c>
      <c r="AE30" s="224">
        <v>262293.99076691066</v>
      </c>
      <c r="AF30" s="224">
        <v>233192.34412749589</v>
      </c>
      <c r="AG30" s="224">
        <v>273976.29447784577</v>
      </c>
      <c r="AH30" s="224">
        <v>265602.84256442793</v>
      </c>
      <c r="AI30" s="224">
        <v>262219.92085601686</v>
      </c>
      <c r="AJ30" s="224">
        <v>270207.34013102972</v>
      </c>
      <c r="AK30" s="224">
        <v>294223.38636338571</v>
      </c>
      <c r="AL30" s="224">
        <v>297765.49909676192</v>
      </c>
      <c r="AM30" s="224">
        <v>288515.4536937353</v>
      </c>
      <c r="AN30" s="224">
        <v>302666.0598218363</v>
      </c>
      <c r="AO30" s="224">
        <v>314262.72324178659</v>
      </c>
      <c r="AP30" s="224">
        <v>314567.88085573365</v>
      </c>
      <c r="AQ30" s="224">
        <v>297938.49736323475</v>
      </c>
      <c r="AR30" s="224">
        <v>309973.27120663435</v>
      </c>
      <c r="AS30" s="224">
        <v>339059.26997638796</v>
      </c>
      <c r="AT30" s="224">
        <v>337043.78716203902</v>
      </c>
      <c r="AU30" s="224">
        <v>354095.64985174901</v>
      </c>
      <c r="AV30" s="224">
        <v>293032.05368299998</v>
      </c>
    </row>
    <row r="31" spans="2:48">
      <c r="B31" s="214" t="s">
        <v>58</v>
      </c>
      <c r="C31" s="215">
        <v>0</v>
      </c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14100.674206</v>
      </c>
      <c r="P31" s="215">
        <v>25117.589971999994</v>
      </c>
      <c r="Q31" s="215">
        <v>34759.028987000005</v>
      </c>
      <c r="R31" s="215">
        <v>41679.218944</v>
      </c>
      <c r="S31" s="215">
        <v>50899.209078999993</v>
      </c>
      <c r="T31" s="215">
        <v>61302.345976000011</v>
      </c>
      <c r="U31" s="215">
        <v>69083.038691000023</v>
      </c>
      <c r="V31" s="215">
        <v>77259.666064000019</v>
      </c>
      <c r="W31" s="215">
        <v>74513.978993000012</v>
      </c>
      <c r="X31" s="224">
        <v>79125.115340999997</v>
      </c>
      <c r="Y31" s="224">
        <v>83429.284555000006</v>
      </c>
      <c r="Z31" s="224">
        <v>86415.440137919912</v>
      </c>
      <c r="AA31" s="224">
        <v>85368.871650849993</v>
      </c>
      <c r="AB31" s="224">
        <v>101497.90057842998</v>
      </c>
      <c r="AC31" s="224">
        <v>112454.14780838994</v>
      </c>
      <c r="AD31" s="224">
        <v>111003.88382587</v>
      </c>
      <c r="AE31" s="224">
        <v>105181.17208924788</v>
      </c>
      <c r="AF31" s="224">
        <v>94768.821679123474</v>
      </c>
      <c r="AG31" s="224">
        <v>119478.96816302478</v>
      </c>
      <c r="AH31" s="224">
        <v>125920.83199204598</v>
      </c>
      <c r="AI31" s="224">
        <v>123510.81453704076</v>
      </c>
      <c r="AJ31" s="224">
        <v>143848.41724077048</v>
      </c>
      <c r="AK31" s="224">
        <v>149689.40311951627</v>
      </c>
      <c r="AL31" s="224">
        <v>149132.75936506581</v>
      </c>
      <c r="AM31" s="224">
        <v>149905.71957614645</v>
      </c>
      <c r="AN31" s="224">
        <v>167595.03640333697</v>
      </c>
      <c r="AO31" s="224">
        <v>178717.12539072672</v>
      </c>
      <c r="AP31" s="224">
        <v>175555.78017542762</v>
      </c>
      <c r="AQ31" s="224">
        <v>188354.13036414655</v>
      </c>
      <c r="AR31" s="224">
        <v>197792.62546905823</v>
      </c>
      <c r="AS31" s="224">
        <v>205900.11966938118</v>
      </c>
      <c r="AT31" s="224">
        <v>217361.13641800001</v>
      </c>
      <c r="AU31" s="224">
        <v>210412.47225699999</v>
      </c>
      <c r="AV31" s="224">
        <v>231880.92267100004</v>
      </c>
    </row>
    <row r="32" spans="2:48" ht="13.5" thickBot="1">
      <c r="B32" s="214" t="s">
        <v>59</v>
      </c>
      <c r="C32" s="215">
        <v>0</v>
      </c>
      <c r="D32" s="215">
        <v>0</v>
      </c>
      <c r="E32" s="215">
        <v>0</v>
      </c>
      <c r="F32" s="215">
        <v>0</v>
      </c>
      <c r="G32" s="215">
        <v>373.74</v>
      </c>
      <c r="H32" s="215">
        <v>559.46399999999994</v>
      </c>
      <c r="I32" s="215">
        <v>637.30500000000006</v>
      </c>
      <c r="J32" s="215">
        <v>615.31500000000005</v>
      </c>
      <c r="K32" s="215">
        <v>603.18000000000006</v>
      </c>
      <c r="L32" s="215">
        <v>720.86099999999999</v>
      </c>
      <c r="M32" s="215">
        <v>732.75099999999998</v>
      </c>
      <c r="N32" s="215">
        <v>770.47</v>
      </c>
      <c r="O32" s="215">
        <v>627.68428999999992</v>
      </c>
      <c r="P32" s="215">
        <v>790.75903000000005</v>
      </c>
      <c r="Q32" s="215">
        <v>893.83641899999998</v>
      </c>
      <c r="R32" s="215">
        <v>1123.7219329999998</v>
      </c>
      <c r="S32" s="215">
        <v>1938.5231979999999</v>
      </c>
      <c r="T32" s="215">
        <v>1750.8373029999998</v>
      </c>
      <c r="U32" s="215">
        <v>2093.0527189999998</v>
      </c>
      <c r="V32" s="215">
        <v>2024.4654530000003</v>
      </c>
      <c r="W32" s="215">
        <v>1987.4067369999998</v>
      </c>
      <c r="X32" s="224">
        <v>2053.02673</v>
      </c>
      <c r="Y32" s="224">
        <v>2073.9169999999999</v>
      </c>
      <c r="Z32" s="224">
        <v>2168.5149008599992</v>
      </c>
      <c r="AA32" s="224">
        <v>1885.9444011800001</v>
      </c>
      <c r="AB32" s="224">
        <v>2113.0972577399998</v>
      </c>
      <c r="AC32" s="224">
        <v>2023.3537014599999</v>
      </c>
      <c r="AD32" s="224">
        <v>2240.3021952999998</v>
      </c>
      <c r="AE32" s="224">
        <v>2089.9453250000001</v>
      </c>
      <c r="AF32" s="224">
        <v>2149.0562399999999</v>
      </c>
      <c r="AG32" s="224">
        <v>2179.6512199999984</v>
      </c>
      <c r="AH32" s="224">
        <v>18063.956779342108</v>
      </c>
      <c r="AI32" s="224">
        <v>22396.754330666656</v>
      </c>
      <c r="AJ32" s="224">
        <v>23923.136806333328</v>
      </c>
      <c r="AK32" s="224">
        <v>25289.640396666658</v>
      </c>
      <c r="AL32" s="224">
        <v>29543.413627266651</v>
      </c>
      <c r="AM32" s="224">
        <v>29716.534459199989</v>
      </c>
      <c r="AN32" s="224">
        <v>29423.32712146666</v>
      </c>
      <c r="AO32" s="224">
        <v>32345.102846133344</v>
      </c>
      <c r="AP32" s="224">
        <v>33343.689487677511</v>
      </c>
      <c r="AQ32" s="224">
        <v>29186.536555000006</v>
      </c>
      <c r="AR32" s="224">
        <v>30948.232594584995</v>
      </c>
      <c r="AS32" s="224">
        <v>31876.680685680847</v>
      </c>
      <c r="AT32" s="224">
        <v>32163.21270699997</v>
      </c>
      <c r="AU32" s="224">
        <v>31559.18397199997</v>
      </c>
      <c r="AV32" s="224">
        <v>33417.070263000001</v>
      </c>
    </row>
    <row r="33" spans="2:48" ht="13.5" thickBot="1">
      <c r="B33" s="216" t="s">
        <v>61</v>
      </c>
      <c r="C33" s="225">
        <f>SUM(C30:C32)</f>
        <v>83856.604999999996</v>
      </c>
      <c r="D33" s="225">
        <f t="shared" ref="D33:Y33" si="13">SUM(D30:D32)</f>
        <v>83002.091</v>
      </c>
      <c r="E33" s="225">
        <f t="shared" si="13"/>
        <v>87715.525999999983</v>
      </c>
      <c r="F33" s="225">
        <f t="shared" si="13"/>
        <v>87476.16399999999</v>
      </c>
      <c r="G33" s="225">
        <f t="shared" si="13"/>
        <v>90061.518000000011</v>
      </c>
      <c r="H33" s="225">
        <f t="shared" si="13"/>
        <v>92915.46100000001</v>
      </c>
      <c r="I33" s="225">
        <f t="shared" si="13"/>
        <v>95699.913</v>
      </c>
      <c r="J33" s="225">
        <f t="shared" si="13"/>
        <v>97636.081000000006</v>
      </c>
      <c r="K33" s="225">
        <f t="shared" si="13"/>
        <v>88036.290999999983</v>
      </c>
      <c r="L33" s="225">
        <f t="shared" si="13"/>
        <v>82250.368000000002</v>
      </c>
      <c r="M33" s="225">
        <f t="shared" si="13"/>
        <v>78342.321000000011</v>
      </c>
      <c r="N33" s="225">
        <f t="shared" si="13"/>
        <v>68407.547999999995</v>
      </c>
      <c r="O33" s="225">
        <f t="shared" si="13"/>
        <v>150534.18732600001</v>
      </c>
      <c r="P33" s="225">
        <f t="shared" si="13"/>
        <v>159366.89325299996</v>
      </c>
      <c r="Q33" s="225">
        <f t="shared" si="13"/>
        <v>210986.62147700001</v>
      </c>
      <c r="R33" s="225">
        <f t="shared" si="13"/>
        <v>222058.12839900004</v>
      </c>
      <c r="S33" s="225">
        <f t="shared" si="13"/>
        <v>255233.758153</v>
      </c>
      <c r="T33" s="225">
        <f t="shared" si="13"/>
        <v>286452.25735199999</v>
      </c>
      <c r="U33" s="225">
        <f t="shared" si="13"/>
        <v>308096.99970600003</v>
      </c>
      <c r="V33" s="225">
        <f t="shared" si="13"/>
        <v>312510.45930699998</v>
      </c>
      <c r="W33" s="225">
        <f t="shared" si="13"/>
        <v>307136.68841900001</v>
      </c>
      <c r="X33" s="225">
        <f t="shared" si="13"/>
        <v>311427.20601699996</v>
      </c>
      <c r="Y33" s="225">
        <f t="shared" si="13"/>
        <v>329313.36985400011</v>
      </c>
      <c r="Z33" s="225">
        <f>SUM(Z30:Z32)</f>
        <v>332163.28970674967</v>
      </c>
      <c r="AA33" s="225">
        <f>SUM(AA30:AA32)</f>
        <v>335346.62688206008</v>
      </c>
      <c r="AB33" s="225">
        <f t="shared" ref="AB33:AU33" si="14">SUM(AB30:AB32)</f>
        <v>345242.54406952998</v>
      </c>
      <c r="AC33" s="225">
        <f t="shared" si="14"/>
        <v>368076.14270606992</v>
      </c>
      <c r="AD33" s="225">
        <f t="shared" si="14"/>
        <v>361324.43650076998</v>
      </c>
      <c r="AE33" s="225">
        <f t="shared" si="14"/>
        <v>369565.10818115855</v>
      </c>
      <c r="AF33" s="225">
        <f t="shared" si="14"/>
        <v>330110.22204661934</v>
      </c>
      <c r="AG33" s="225">
        <f t="shared" si="14"/>
        <v>395634.91386087053</v>
      </c>
      <c r="AH33" s="225">
        <f t="shared" si="14"/>
        <v>409587.631335816</v>
      </c>
      <c r="AI33" s="225">
        <f t="shared" si="14"/>
        <v>408127.48972372431</v>
      </c>
      <c r="AJ33" s="225">
        <f t="shared" si="14"/>
        <v>437978.89417813352</v>
      </c>
      <c r="AK33" s="225">
        <f t="shared" si="14"/>
        <v>469202.42987956863</v>
      </c>
      <c r="AL33" s="225">
        <f t="shared" si="14"/>
        <v>476441.67208909441</v>
      </c>
      <c r="AM33" s="225">
        <f t="shared" si="14"/>
        <v>468137.70772908174</v>
      </c>
      <c r="AN33" s="225">
        <f t="shared" si="14"/>
        <v>499684.42334663996</v>
      </c>
      <c r="AO33" s="225">
        <f t="shared" si="14"/>
        <v>525324.9514786466</v>
      </c>
      <c r="AP33" s="225">
        <f t="shared" si="14"/>
        <v>523467.35051883879</v>
      </c>
      <c r="AQ33" s="225">
        <f t="shared" si="14"/>
        <v>515479.1642823813</v>
      </c>
      <c r="AR33" s="225">
        <f t="shared" si="14"/>
        <v>538714.12927027757</v>
      </c>
      <c r="AS33" s="225">
        <f t="shared" si="14"/>
        <v>576836.07033144997</v>
      </c>
      <c r="AT33" s="225">
        <f t="shared" si="14"/>
        <v>586568.13628703903</v>
      </c>
      <c r="AU33" s="225">
        <f t="shared" si="14"/>
        <v>596067.30608074903</v>
      </c>
      <c r="AV33" s="225">
        <f t="shared" ref="AV33" si="15">SUM(AV30:AV32)</f>
        <v>558330.04661700001</v>
      </c>
    </row>
    <row r="34" spans="2:48" ht="13.5" thickBot="1">
      <c r="B34" s="218" t="s">
        <v>62</v>
      </c>
      <c r="C34" s="219">
        <v>114.05799999999999</v>
      </c>
      <c r="D34" s="219">
        <v>116.54899999999999</v>
      </c>
      <c r="E34" s="219">
        <v>133.244</v>
      </c>
      <c r="F34" s="219">
        <v>131.40199999999999</v>
      </c>
      <c r="G34" s="219">
        <v>111.21970999999999</v>
      </c>
      <c r="H34" s="219">
        <v>120.422</v>
      </c>
      <c r="I34" s="219">
        <v>139.31900000000002</v>
      </c>
      <c r="J34" s="219">
        <v>136.40100000000001</v>
      </c>
      <c r="K34" s="219">
        <v>121.655</v>
      </c>
      <c r="L34" s="219">
        <v>132.41200000000001</v>
      </c>
      <c r="M34" s="219">
        <v>144.20000000000002</v>
      </c>
      <c r="N34" s="219">
        <v>158.22500000000002</v>
      </c>
      <c r="O34" s="219">
        <v>356.48955599999999</v>
      </c>
      <c r="P34" s="219">
        <v>386.45155899999997</v>
      </c>
      <c r="Q34" s="219">
        <v>1838.397666999999</v>
      </c>
      <c r="R34" s="219">
        <v>2691.0476666666677</v>
      </c>
      <c r="S34" s="219">
        <v>2454.0745663333337</v>
      </c>
      <c r="T34" s="219">
        <v>2722.0059999999994</v>
      </c>
      <c r="U34" s="219">
        <v>2343.048086666668</v>
      </c>
      <c r="V34" s="219">
        <v>1607.775408666666</v>
      </c>
      <c r="W34" s="219">
        <v>1715.7239705802467</v>
      </c>
      <c r="X34" s="219">
        <v>1853.4546610660482</v>
      </c>
      <c r="Y34" s="219">
        <v>1264.3880833333335</v>
      </c>
      <c r="Z34" s="219">
        <v>1411.5641190555555</v>
      </c>
      <c r="AA34" s="220"/>
      <c r="AB34" s="220"/>
      <c r="AC34" s="220"/>
      <c r="AD34" s="220"/>
      <c r="AE34" s="220"/>
      <c r="AF34" s="220"/>
      <c r="AG34" s="220"/>
      <c r="AH34" s="220"/>
      <c r="AI34" s="220"/>
      <c r="AJ34" s="220"/>
      <c r="AK34" s="220"/>
      <c r="AL34" s="220"/>
      <c r="AM34" s="220"/>
      <c r="AN34" s="220"/>
      <c r="AO34" s="220"/>
      <c r="AP34" s="220"/>
      <c r="AQ34" s="220"/>
      <c r="AR34" s="220"/>
      <c r="AS34" s="220">
        <v>10559.42288</v>
      </c>
      <c r="AT34" s="220">
        <v>4061.3919799999999</v>
      </c>
      <c r="AU34" s="220">
        <v>3551.7392640000003</v>
      </c>
      <c r="AV34" s="708">
        <v>3995.1038880000001</v>
      </c>
    </row>
    <row r="35" spans="2:48" ht="13.5" thickBot="1">
      <c r="B35" s="218" t="s">
        <v>63</v>
      </c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26">
        <v>8011.8649999997588</v>
      </c>
      <c r="AF35" s="226">
        <v>11657.595999999903</v>
      </c>
      <c r="AG35" s="226">
        <v>17040.972999999765</v>
      </c>
      <c r="AH35" s="226">
        <v>21522.361999999732</v>
      </c>
      <c r="AI35" s="226">
        <v>22074.429000000004</v>
      </c>
      <c r="AJ35" s="226">
        <v>32228.103000000119</v>
      </c>
      <c r="AK35" s="226">
        <v>40414.914000000106</v>
      </c>
      <c r="AL35" s="226">
        <v>47085.925000000279</v>
      </c>
      <c r="AM35" s="226">
        <v>46769.683999999659</v>
      </c>
      <c r="AN35" s="226">
        <v>59564.584000000264</v>
      </c>
      <c r="AO35" s="226">
        <v>80030.0159999998</v>
      </c>
      <c r="AP35" s="226">
        <v>92662.696000000316</v>
      </c>
      <c r="AQ35" s="226">
        <v>95386.623000000371</v>
      </c>
      <c r="AR35" s="226">
        <v>118296.41400000011</v>
      </c>
      <c r="AS35" s="226">
        <v>153317.50200000033</v>
      </c>
      <c r="AT35" s="226">
        <v>178074.48999999976</v>
      </c>
      <c r="AU35" s="226">
        <v>167894.1129999999</v>
      </c>
      <c r="AV35" s="229">
        <v>193946.70099999988</v>
      </c>
    </row>
    <row r="36" spans="2:48" ht="13.5" thickBot="1">
      <c r="B36" s="221" t="s">
        <v>68</v>
      </c>
      <c r="C36" s="222">
        <f t="shared" ref="C36:AS36" si="16">SUM(C29,C33:C35)</f>
        <v>1656183.0259999998</v>
      </c>
      <c r="D36" s="222">
        <f t="shared" si="16"/>
        <v>1765570.5020000001</v>
      </c>
      <c r="E36" s="222">
        <f t="shared" si="16"/>
        <v>1863320.3310000002</v>
      </c>
      <c r="F36" s="222">
        <f t="shared" si="16"/>
        <v>1998204.175</v>
      </c>
      <c r="G36" s="222">
        <f t="shared" si="16"/>
        <v>1887831.74471</v>
      </c>
      <c r="H36" s="222">
        <f t="shared" si="16"/>
        <v>1987744.9490000003</v>
      </c>
      <c r="I36" s="222">
        <f t="shared" si="16"/>
        <v>2096136.0359999998</v>
      </c>
      <c r="J36" s="222">
        <f t="shared" si="16"/>
        <v>2160042.469</v>
      </c>
      <c r="K36" s="222">
        <f t="shared" si="16"/>
        <v>1975852.2180000001</v>
      </c>
      <c r="L36" s="222">
        <f t="shared" si="16"/>
        <v>1882995.8900000001</v>
      </c>
      <c r="M36" s="222">
        <f t="shared" si="16"/>
        <v>2174692.6810000003</v>
      </c>
      <c r="N36" s="222">
        <f t="shared" si="16"/>
        <v>2422484.6179999998</v>
      </c>
      <c r="O36" s="222">
        <f t="shared" si="16"/>
        <v>2002458.0863800002</v>
      </c>
      <c r="P36" s="222">
        <f t="shared" si="16"/>
        <v>2089242.8058619986</v>
      </c>
      <c r="Q36" s="222">
        <f t="shared" si="16"/>
        <v>2318038.7466689986</v>
      </c>
      <c r="R36" s="222">
        <f t="shared" si="16"/>
        <v>2335003.9166896655</v>
      </c>
      <c r="S36" s="222">
        <f t="shared" si="16"/>
        <v>1961628.4316683332</v>
      </c>
      <c r="T36" s="222">
        <f t="shared" si="16"/>
        <v>2172900.2889780002</v>
      </c>
      <c r="U36" s="222">
        <f t="shared" si="16"/>
        <v>2283391.9722646666</v>
      </c>
      <c r="V36" s="222">
        <f t="shared" si="16"/>
        <v>2358238.4779696637</v>
      </c>
      <c r="W36" s="222">
        <f t="shared" si="16"/>
        <v>2041323.4263895801</v>
      </c>
      <c r="X36" s="222">
        <f t="shared" si="16"/>
        <v>2142291.0746780662</v>
      </c>
      <c r="Y36" s="222">
        <f t="shared" si="16"/>
        <v>2212277.6289373334</v>
      </c>
      <c r="Z36" s="222">
        <f t="shared" si="16"/>
        <v>2250963.5518258051</v>
      </c>
      <c r="AA36" s="217">
        <f t="shared" si="16"/>
        <v>1954386.1798820603</v>
      </c>
      <c r="AB36" s="217">
        <f t="shared" si="16"/>
        <v>2088654.6510695298</v>
      </c>
      <c r="AC36" s="217">
        <f t="shared" si="16"/>
        <v>2247822.1727060704</v>
      </c>
      <c r="AD36" s="217">
        <f t="shared" si="16"/>
        <v>2326094.32250077</v>
      </c>
      <c r="AE36" s="217">
        <f t="shared" si="16"/>
        <v>2089310.3761811582</v>
      </c>
      <c r="AF36" s="217">
        <f t="shared" si="16"/>
        <v>2036276.3400466193</v>
      </c>
      <c r="AG36" s="217">
        <f t="shared" si="16"/>
        <v>2399142.7308608703</v>
      </c>
      <c r="AH36" s="217">
        <f t="shared" si="16"/>
        <v>2325463.200335816</v>
      </c>
      <c r="AI36" s="217">
        <f t="shared" si="16"/>
        <v>2167144.9577237247</v>
      </c>
      <c r="AJ36" s="217">
        <f t="shared" si="16"/>
        <v>2305199.1051781336</v>
      </c>
      <c r="AK36" s="217">
        <f t="shared" si="16"/>
        <v>2472009.2068795683</v>
      </c>
      <c r="AL36" s="217">
        <f t="shared" si="16"/>
        <v>2506734.6470890944</v>
      </c>
      <c r="AM36" s="217">
        <f t="shared" si="16"/>
        <v>2307446.9097290812</v>
      </c>
      <c r="AN36" s="217">
        <f t="shared" si="16"/>
        <v>2440691.1773466398</v>
      </c>
      <c r="AO36" s="217">
        <f t="shared" si="16"/>
        <v>2646778.149478646</v>
      </c>
      <c r="AP36" s="217">
        <f t="shared" si="16"/>
        <v>2637647.8395188395</v>
      </c>
      <c r="AQ36" s="217">
        <f t="shared" si="16"/>
        <v>2427842.3332823822</v>
      </c>
      <c r="AR36" s="217">
        <f t="shared" si="16"/>
        <v>2584484.9082702771</v>
      </c>
      <c r="AS36" s="217">
        <f t="shared" si="16"/>
        <v>2844796.5322114504</v>
      </c>
      <c r="AT36" s="217">
        <f t="shared" ref="AT36:AU36" si="17">SUM(AT29,AT33:AT35)</f>
        <v>3016394.3822670388</v>
      </c>
      <c r="AU36" s="217">
        <f t="shared" si="17"/>
        <v>2731070.1523447493</v>
      </c>
      <c r="AV36" s="217">
        <f t="shared" ref="AV36" si="18">SUM(AV29,AV33:AV35)</f>
        <v>2773856.5135049997</v>
      </c>
    </row>
    <row r="37" spans="2:48" ht="13.5" thickBot="1">
      <c r="B37" s="216" t="s">
        <v>65</v>
      </c>
      <c r="C37" s="222">
        <f t="shared" ref="C37:AS37" si="19">C36-C35</f>
        <v>1656183.0259999998</v>
      </c>
      <c r="D37" s="222">
        <f t="shared" si="19"/>
        <v>1765570.5020000001</v>
      </c>
      <c r="E37" s="222">
        <f t="shared" si="19"/>
        <v>1863320.3310000002</v>
      </c>
      <c r="F37" s="222">
        <f t="shared" si="19"/>
        <v>1998204.175</v>
      </c>
      <c r="G37" s="222">
        <f t="shared" si="19"/>
        <v>1887831.74471</v>
      </c>
      <c r="H37" s="222">
        <f t="shared" si="19"/>
        <v>1987744.9490000003</v>
      </c>
      <c r="I37" s="222">
        <f t="shared" si="19"/>
        <v>2096136.0359999998</v>
      </c>
      <c r="J37" s="222">
        <f t="shared" si="19"/>
        <v>2160042.469</v>
      </c>
      <c r="K37" s="222">
        <f t="shared" si="19"/>
        <v>1975852.2180000001</v>
      </c>
      <c r="L37" s="222">
        <f t="shared" si="19"/>
        <v>1882995.8900000001</v>
      </c>
      <c r="M37" s="222">
        <f t="shared" si="19"/>
        <v>2174692.6810000003</v>
      </c>
      <c r="N37" s="222">
        <f t="shared" si="19"/>
        <v>2422484.6179999998</v>
      </c>
      <c r="O37" s="222">
        <f t="shared" si="19"/>
        <v>2002458.0863800002</v>
      </c>
      <c r="P37" s="222">
        <f t="shared" si="19"/>
        <v>2089242.8058619986</v>
      </c>
      <c r="Q37" s="222">
        <f t="shared" si="19"/>
        <v>2318038.7466689986</v>
      </c>
      <c r="R37" s="222">
        <f t="shared" si="19"/>
        <v>2335003.9166896655</v>
      </c>
      <c r="S37" s="222">
        <f t="shared" si="19"/>
        <v>1961628.4316683332</v>
      </c>
      <c r="T37" s="222">
        <f t="shared" si="19"/>
        <v>2172900.2889780002</v>
      </c>
      <c r="U37" s="222">
        <f t="shared" si="19"/>
        <v>2283391.9722646666</v>
      </c>
      <c r="V37" s="222">
        <f t="shared" si="19"/>
        <v>2358238.4779696637</v>
      </c>
      <c r="W37" s="222">
        <f t="shared" si="19"/>
        <v>2041323.4263895801</v>
      </c>
      <c r="X37" s="222">
        <f t="shared" si="19"/>
        <v>2142291.0746780662</v>
      </c>
      <c r="Y37" s="222">
        <f t="shared" si="19"/>
        <v>2212277.6289373334</v>
      </c>
      <c r="Z37" s="222">
        <f t="shared" si="19"/>
        <v>2250963.5518258051</v>
      </c>
      <c r="AA37" s="217">
        <f t="shared" si="19"/>
        <v>1954386.1798820603</v>
      </c>
      <c r="AB37" s="217">
        <f t="shared" si="19"/>
        <v>2088654.6510695298</v>
      </c>
      <c r="AC37" s="217">
        <f t="shared" si="19"/>
        <v>2247822.1727060704</v>
      </c>
      <c r="AD37" s="217">
        <f t="shared" si="19"/>
        <v>2326094.32250077</v>
      </c>
      <c r="AE37" s="217">
        <f t="shared" si="19"/>
        <v>2081298.5111811585</v>
      </c>
      <c r="AF37" s="217">
        <f t="shared" si="19"/>
        <v>2024618.7440466194</v>
      </c>
      <c r="AG37" s="217">
        <f t="shared" si="19"/>
        <v>2382101.7578608706</v>
      </c>
      <c r="AH37" s="217">
        <f t="shared" si="19"/>
        <v>2303940.8383358163</v>
      </c>
      <c r="AI37" s="217">
        <f t="shared" si="19"/>
        <v>2145070.5287237247</v>
      </c>
      <c r="AJ37" s="217">
        <f t="shared" si="19"/>
        <v>2272971.0021781335</v>
      </c>
      <c r="AK37" s="217">
        <f t="shared" si="19"/>
        <v>2431594.2928795684</v>
      </c>
      <c r="AL37" s="217">
        <f t="shared" si="19"/>
        <v>2459648.7220890941</v>
      </c>
      <c r="AM37" s="217">
        <f t="shared" si="19"/>
        <v>2260677.2257290818</v>
      </c>
      <c r="AN37" s="217">
        <f t="shared" si="19"/>
        <v>2381126.5933466395</v>
      </c>
      <c r="AO37" s="217">
        <f t="shared" si="19"/>
        <v>2566748.1334786462</v>
      </c>
      <c r="AP37" s="217">
        <f t="shared" si="19"/>
        <v>2544985.143518839</v>
      </c>
      <c r="AQ37" s="217">
        <f t="shared" si="19"/>
        <v>2332455.7102823816</v>
      </c>
      <c r="AR37" s="217">
        <f t="shared" si="19"/>
        <v>2466188.4942702772</v>
      </c>
      <c r="AS37" s="217">
        <f t="shared" si="19"/>
        <v>2691479.0302114501</v>
      </c>
      <c r="AT37" s="217">
        <f t="shared" ref="AT37:AU37" si="20">AT36-AT35</f>
        <v>2838319.892267039</v>
      </c>
      <c r="AU37" s="217">
        <f t="shared" si="20"/>
        <v>2563176.0393447494</v>
      </c>
      <c r="AV37" s="217">
        <f t="shared" ref="AV37" si="21">AV36-AV35</f>
        <v>2579909.8125049998</v>
      </c>
    </row>
    <row r="38" spans="2:48">
      <c r="B38" s="227"/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</row>
    <row r="39" spans="2:48">
      <c r="B39" s="212" t="s">
        <v>69</v>
      </c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</row>
    <row r="40" spans="2:48">
      <c r="B40" s="214" t="s">
        <v>56</v>
      </c>
      <c r="C40" s="215">
        <v>311181.47499999998</v>
      </c>
      <c r="D40" s="215">
        <v>311671.15700000001</v>
      </c>
      <c r="E40" s="215">
        <v>340416.16100000002</v>
      </c>
      <c r="F40" s="215">
        <v>364667.19199999998</v>
      </c>
      <c r="G40" s="215">
        <v>338015.50599999999</v>
      </c>
      <c r="H40" s="215">
        <v>335684.80800000002</v>
      </c>
      <c r="I40" s="215">
        <v>368008.90399999998</v>
      </c>
      <c r="J40" s="215">
        <v>389883.50800000003</v>
      </c>
      <c r="K40" s="215">
        <v>362040.70799999998</v>
      </c>
      <c r="L40" s="215">
        <v>358460.62599999999</v>
      </c>
      <c r="M40" s="215">
        <v>382765.054</v>
      </c>
      <c r="N40" s="215">
        <v>423172.87399999995</v>
      </c>
      <c r="O40" s="215">
        <v>375238.158</v>
      </c>
      <c r="P40" s="215">
        <v>392927.16800000001</v>
      </c>
      <c r="Q40" s="215">
        <v>412872.603</v>
      </c>
      <c r="R40" s="215">
        <v>447975.56700000004</v>
      </c>
      <c r="S40" s="215">
        <v>390959.59100000001</v>
      </c>
      <c r="T40" s="215">
        <v>396291.43600000005</v>
      </c>
      <c r="U40" s="215">
        <v>423717.10800000001</v>
      </c>
      <c r="V40" s="215">
        <v>468665.12100000004</v>
      </c>
      <c r="W40" s="215">
        <v>406678.68700000003</v>
      </c>
      <c r="X40" s="224">
        <v>406089.897</v>
      </c>
      <c r="Y40" s="224">
        <v>439477.55700000003</v>
      </c>
      <c r="Z40" s="224">
        <v>403542.12400000001</v>
      </c>
      <c r="AA40" s="224">
        <v>410050.42200000002</v>
      </c>
      <c r="AB40" s="224">
        <v>417577.26299999992</v>
      </c>
      <c r="AC40" s="224">
        <v>439517.12399999995</v>
      </c>
      <c r="AD40" s="224">
        <v>502329.67100000003</v>
      </c>
      <c r="AE40" s="224">
        <v>434714.66599999997</v>
      </c>
      <c r="AF40" s="224">
        <v>441066.86199999996</v>
      </c>
      <c r="AG40" s="224">
        <v>462994.56800000003</v>
      </c>
      <c r="AH40" s="224">
        <v>521830.5670000001</v>
      </c>
      <c r="AI40" s="224">
        <v>462654.73200000008</v>
      </c>
      <c r="AJ40" s="224">
        <v>470051.45200000005</v>
      </c>
      <c r="AK40" s="224">
        <v>489025.228</v>
      </c>
      <c r="AL40" s="224">
        <v>504587.52399999998</v>
      </c>
      <c r="AM40" s="224">
        <v>439699.79300000001</v>
      </c>
      <c r="AN40" s="224">
        <v>442844.13199999998</v>
      </c>
      <c r="AO40" s="224">
        <v>478758.66899999999</v>
      </c>
      <c r="AP40" s="224">
        <v>513815.6</v>
      </c>
      <c r="AQ40" s="224">
        <v>447895.86200000002</v>
      </c>
      <c r="AR40" s="224">
        <v>468318.17499999993</v>
      </c>
      <c r="AS40" s="224">
        <v>526575.37399999995</v>
      </c>
      <c r="AT40" s="224">
        <v>574280.67599999998</v>
      </c>
      <c r="AU40" s="224">
        <v>510153.96976499999</v>
      </c>
      <c r="AV40" s="224">
        <v>507590.61240790004</v>
      </c>
    </row>
    <row r="41" spans="2:48">
      <c r="B41" s="214" t="s">
        <v>57</v>
      </c>
      <c r="C41" s="215">
        <v>44755.554999999993</v>
      </c>
      <c r="D41" s="215">
        <v>49690.878000000004</v>
      </c>
      <c r="E41" s="215">
        <v>50138.5</v>
      </c>
      <c r="F41" s="215">
        <v>48456.739000000001</v>
      </c>
      <c r="G41" s="215">
        <v>48940.141000000003</v>
      </c>
      <c r="H41" s="215">
        <v>52411.932000000001</v>
      </c>
      <c r="I41" s="215">
        <v>59347.781999999999</v>
      </c>
      <c r="J41" s="215">
        <v>55088.282999999996</v>
      </c>
      <c r="K41" s="215">
        <v>51211.596999999994</v>
      </c>
      <c r="L41" s="215">
        <v>53036.418999999994</v>
      </c>
      <c r="M41" s="215">
        <v>58119.260999999999</v>
      </c>
      <c r="N41" s="215">
        <v>55722.393000000004</v>
      </c>
      <c r="O41" s="215">
        <v>49694.498</v>
      </c>
      <c r="P41" s="215">
        <v>49587.904000000002</v>
      </c>
      <c r="Q41" s="215">
        <v>53668.311000000002</v>
      </c>
      <c r="R41" s="215">
        <v>54401.635000000002</v>
      </c>
      <c r="S41" s="215">
        <v>49030.054000000004</v>
      </c>
      <c r="T41" s="215">
        <v>48845.597999999998</v>
      </c>
      <c r="U41" s="215">
        <v>45915.095999999998</v>
      </c>
      <c r="V41" s="215">
        <v>47741.725999999995</v>
      </c>
      <c r="W41" s="215">
        <v>41580.031999999999</v>
      </c>
      <c r="X41" s="224">
        <v>43049.392999999996</v>
      </c>
      <c r="Y41" s="224">
        <v>42570.153999999995</v>
      </c>
      <c r="Z41" s="224">
        <v>35066.025999999998</v>
      </c>
      <c r="AA41" s="224">
        <v>34122.760999999999</v>
      </c>
      <c r="AB41" s="224">
        <v>38438.981</v>
      </c>
      <c r="AC41" s="224">
        <v>43582.209000000003</v>
      </c>
      <c r="AD41" s="224">
        <v>42410.37</v>
      </c>
      <c r="AE41" s="224">
        <v>33223.865000000005</v>
      </c>
      <c r="AF41" s="224">
        <v>29675.740999999995</v>
      </c>
      <c r="AG41" s="224">
        <v>34462.312999999995</v>
      </c>
      <c r="AH41" s="224">
        <v>36132.673000000003</v>
      </c>
      <c r="AI41" s="224">
        <v>31161.227999999999</v>
      </c>
      <c r="AJ41" s="224">
        <v>30795.642999999996</v>
      </c>
      <c r="AK41" s="224">
        <v>31632.699000000001</v>
      </c>
      <c r="AL41" s="224">
        <v>28113.246000000006</v>
      </c>
      <c r="AM41" s="224">
        <v>24272.928</v>
      </c>
      <c r="AN41" s="224">
        <v>27280.264000000003</v>
      </c>
      <c r="AO41" s="224">
        <v>28951.716</v>
      </c>
      <c r="AP41" s="224">
        <v>24953.305</v>
      </c>
      <c r="AQ41" s="224">
        <v>21238.004000000001</v>
      </c>
      <c r="AR41" s="224">
        <v>22956.447</v>
      </c>
      <c r="AS41" s="224">
        <v>23510.231</v>
      </c>
      <c r="AT41" s="224">
        <v>20973.728999999999</v>
      </c>
      <c r="AU41" s="224">
        <v>17409.031999999999</v>
      </c>
      <c r="AV41" s="224">
        <v>17529.46</v>
      </c>
    </row>
    <row r="42" spans="2:48">
      <c r="B42" s="214" t="s">
        <v>58</v>
      </c>
      <c r="C42" s="215">
        <v>140953.152</v>
      </c>
      <c r="D42" s="215">
        <v>145082.96400000001</v>
      </c>
      <c r="E42" s="215">
        <v>158237.905</v>
      </c>
      <c r="F42" s="215">
        <v>165342.40299999999</v>
      </c>
      <c r="G42" s="215">
        <v>153186.802</v>
      </c>
      <c r="H42" s="215">
        <v>157111.98200000002</v>
      </c>
      <c r="I42" s="215">
        <v>170644.753</v>
      </c>
      <c r="J42" s="215">
        <v>178521.85800000001</v>
      </c>
      <c r="K42" s="215">
        <v>163165.125</v>
      </c>
      <c r="L42" s="215">
        <v>167387.37700000001</v>
      </c>
      <c r="M42" s="215">
        <v>177943.56</v>
      </c>
      <c r="N42" s="215">
        <v>193533.31300000002</v>
      </c>
      <c r="O42" s="215">
        <v>172200.77399999998</v>
      </c>
      <c r="P42" s="215">
        <v>183808.723</v>
      </c>
      <c r="Q42" s="215">
        <v>190413.71000000002</v>
      </c>
      <c r="R42" s="215">
        <v>194330.53799999997</v>
      </c>
      <c r="S42" s="215">
        <v>171127.73499999999</v>
      </c>
      <c r="T42" s="215">
        <v>175714.19099999999</v>
      </c>
      <c r="U42" s="215">
        <v>184028.299</v>
      </c>
      <c r="V42" s="215">
        <v>198132.17799999999</v>
      </c>
      <c r="W42" s="215">
        <v>176482.07</v>
      </c>
      <c r="X42" s="224">
        <v>179923.92300000001</v>
      </c>
      <c r="Y42" s="224">
        <v>191061.579</v>
      </c>
      <c r="Z42" s="224">
        <v>174528.772</v>
      </c>
      <c r="AA42" s="224">
        <v>176000.64199999999</v>
      </c>
      <c r="AB42" s="224">
        <v>181456.09599999999</v>
      </c>
      <c r="AC42" s="224">
        <v>190456.739</v>
      </c>
      <c r="AD42" s="224">
        <v>207299.94800000003</v>
      </c>
      <c r="AE42" s="224">
        <v>171911.073</v>
      </c>
      <c r="AF42" s="224">
        <v>126058.25900000001</v>
      </c>
      <c r="AG42" s="224">
        <v>141459.71899999998</v>
      </c>
      <c r="AH42" s="224">
        <v>166763.58600000001</v>
      </c>
      <c r="AI42" s="224">
        <v>146115.81099999999</v>
      </c>
      <c r="AJ42" s="224">
        <v>146920.07400000002</v>
      </c>
      <c r="AK42" s="224">
        <v>161342.36800000002</v>
      </c>
      <c r="AL42" s="224">
        <v>163455.14000000001</v>
      </c>
      <c r="AM42" s="224">
        <v>142450.698</v>
      </c>
      <c r="AN42" s="224">
        <v>146832.27900000001</v>
      </c>
      <c r="AO42" s="224">
        <v>151248.685</v>
      </c>
      <c r="AP42" s="224">
        <v>152099.67800000001</v>
      </c>
      <c r="AQ42" s="224">
        <v>132028.83799999999</v>
      </c>
      <c r="AR42" s="224">
        <v>135465.83600000001</v>
      </c>
      <c r="AS42" s="224">
        <v>142137.17800000001</v>
      </c>
      <c r="AT42" s="224">
        <v>144964.23300000001</v>
      </c>
      <c r="AU42" s="224">
        <v>124910.876</v>
      </c>
      <c r="AV42" s="224">
        <v>127051.761</v>
      </c>
    </row>
    <row r="43" spans="2:48" ht="13.5" thickBot="1">
      <c r="B43" s="214" t="s">
        <v>59</v>
      </c>
      <c r="C43" s="215">
        <v>150190.516</v>
      </c>
      <c r="D43" s="215">
        <v>162775.304</v>
      </c>
      <c r="E43" s="215">
        <v>175688.69899999999</v>
      </c>
      <c r="F43" s="215">
        <v>181574.88699999999</v>
      </c>
      <c r="G43" s="215">
        <v>163616.348</v>
      </c>
      <c r="H43" s="215">
        <v>163874.10999999999</v>
      </c>
      <c r="I43" s="215">
        <v>187510.851</v>
      </c>
      <c r="J43" s="215">
        <v>194623.90099999998</v>
      </c>
      <c r="K43" s="215">
        <v>168014.929</v>
      </c>
      <c r="L43" s="215">
        <v>170110.34099999999</v>
      </c>
      <c r="M43" s="215">
        <v>186182.035</v>
      </c>
      <c r="N43" s="215">
        <v>198261.465</v>
      </c>
      <c r="O43" s="215">
        <v>168048.34099999999</v>
      </c>
      <c r="P43" s="215">
        <v>184867.77299999999</v>
      </c>
      <c r="Q43" s="215">
        <v>197697.71000000002</v>
      </c>
      <c r="R43" s="215">
        <v>204335.37100000001</v>
      </c>
      <c r="S43" s="215">
        <v>174884.508</v>
      </c>
      <c r="T43" s="215">
        <v>201440.5</v>
      </c>
      <c r="U43" s="215">
        <v>213725.45900000003</v>
      </c>
      <c r="V43" s="215">
        <v>220355.23499999999</v>
      </c>
      <c r="W43" s="215">
        <v>178524.27300000002</v>
      </c>
      <c r="X43" s="224">
        <v>190541.886</v>
      </c>
      <c r="Y43" s="224">
        <v>216466.03999999998</v>
      </c>
      <c r="Z43" s="224">
        <v>190535.52799999999</v>
      </c>
      <c r="AA43" s="224">
        <v>181370.21399999998</v>
      </c>
      <c r="AB43" s="224">
        <v>195523.84099999996</v>
      </c>
      <c r="AC43" s="224">
        <v>217149.33399999997</v>
      </c>
      <c r="AD43" s="224">
        <v>253925.81200000001</v>
      </c>
      <c r="AE43" s="224">
        <v>192450.64</v>
      </c>
      <c r="AF43" s="224">
        <v>192063.99099999998</v>
      </c>
      <c r="AG43" s="224">
        <v>211633.10800000001</v>
      </c>
      <c r="AH43" s="224">
        <v>252734.14600000001</v>
      </c>
      <c r="AI43" s="224">
        <v>192796.92299999998</v>
      </c>
      <c r="AJ43" s="224">
        <v>208657.55999999997</v>
      </c>
      <c r="AK43" s="224">
        <v>232730.59599999999</v>
      </c>
      <c r="AL43" s="224">
        <v>219625.53400000001</v>
      </c>
      <c r="AM43" s="224">
        <v>187162.69999999995</v>
      </c>
      <c r="AN43" s="224">
        <v>201794.52599999998</v>
      </c>
      <c r="AO43" s="224">
        <v>228802.587</v>
      </c>
      <c r="AP43" s="224">
        <v>221180.52999999994</v>
      </c>
      <c r="AQ43" s="224">
        <v>189343.98300000001</v>
      </c>
      <c r="AR43" s="224">
        <v>210317.79399999999</v>
      </c>
      <c r="AS43" s="224">
        <v>233235.53400000001</v>
      </c>
      <c r="AT43" s="224">
        <v>243992.84699999995</v>
      </c>
      <c r="AU43" s="224">
        <v>201419.18723499999</v>
      </c>
      <c r="AV43" s="224">
        <v>230077.73959209991</v>
      </c>
    </row>
    <row r="44" spans="2:48" ht="13.5" thickBot="1">
      <c r="B44" s="221" t="s">
        <v>60</v>
      </c>
      <c r="C44" s="225">
        <f>SUM(C40:C43)</f>
        <v>647080.69799999997</v>
      </c>
      <c r="D44" s="225">
        <f t="shared" ref="D44:AU44" si="22">SUM(D40:D43)</f>
        <v>669220.30300000007</v>
      </c>
      <c r="E44" s="225">
        <f t="shared" si="22"/>
        <v>724481.26500000001</v>
      </c>
      <c r="F44" s="225">
        <f t="shared" si="22"/>
        <v>760041.22100000002</v>
      </c>
      <c r="G44" s="225">
        <f t="shared" si="22"/>
        <v>703758.79700000002</v>
      </c>
      <c r="H44" s="225">
        <f t="shared" si="22"/>
        <v>709082.83200000005</v>
      </c>
      <c r="I44" s="225">
        <f t="shared" si="22"/>
        <v>785512.29</v>
      </c>
      <c r="J44" s="225">
        <f t="shared" si="22"/>
        <v>818117.54999999993</v>
      </c>
      <c r="K44" s="225">
        <f t="shared" si="22"/>
        <v>744432.35899999994</v>
      </c>
      <c r="L44" s="225">
        <f t="shared" si="22"/>
        <v>748994.76300000004</v>
      </c>
      <c r="M44" s="225">
        <f t="shared" si="22"/>
        <v>805009.91</v>
      </c>
      <c r="N44" s="225">
        <f t="shared" si="22"/>
        <v>870690.04499999993</v>
      </c>
      <c r="O44" s="225">
        <f t="shared" si="22"/>
        <v>765181.77099999995</v>
      </c>
      <c r="P44" s="225">
        <f t="shared" si="22"/>
        <v>811191.56799999997</v>
      </c>
      <c r="Q44" s="225">
        <f t="shared" si="22"/>
        <v>854652.33400000003</v>
      </c>
      <c r="R44" s="225">
        <f t="shared" si="22"/>
        <v>901043.11100000003</v>
      </c>
      <c r="S44" s="225">
        <f t="shared" si="22"/>
        <v>786001.88800000004</v>
      </c>
      <c r="T44" s="225">
        <f t="shared" si="22"/>
        <v>822291.72500000009</v>
      </c>
      <c r="U44" s="225">
        <f t="shared" si="22"/>
        <v>867385.96200000006</v>
      </c>
      <c r="V44" s="225">
        <f t="shared" si="22"/>
        <v>934894.26</v>
      </c>
      <c r="W44" s="225">
        <f t="shared" si="22"/>
        <v>803265.06200000015</v>
      </c>
      <c r="X44" s="225">
        <f t="shared" si="22"/>
        <v>819605.09899999993</v>
      </c>
      <c r="Y44" s="225">
        <f t="shared" si="22"/>
        <v>889575.33000000007</v>
      </c>
      <c r="Z44" s="225">
        <f t="shared" si="22"/>
        <v>803672.45</v>
      </c>
      <c r="AA44" s="225">
        <f t="shared" si="22"/>
        <v>801544.03899999987</v>
      </c>
      <c r="AB44" s="225">
        <f t="shared" si="22"/>
        <v>832996.18099999987</v>
      </c>
      <c r="AC44" s="225">
        <f t="shared" si="22"/>
        <v>890705.40599999996</v>
      </c>
      <c r="AD44" s="225">
        <f t="shared" si="22"/>
        <v>1005965.8010000001</v>
      </c>
      <c r="AE44" s="225">
        <f t="shared" si="22"/>
        <v>832300.24399999995</v>
      </c>
      <c r="AF44" s="225">
        <f t="shared" si="22"/>
        <v>788864.85299999989</v>
      </c>
      <c r="AG44" s="225">
        <f t="shared" si="22"/>
        <v>850549.7080000001</v>
      </c>
      <c r="AH44" s="225">
        <f t="shared" si="22"/>
        <v>977460.97200000007</v>
      </c>
      <c r="AI44" s="225">
        <f t="shared" si="22"/>
        <v>832728.69400000002</v>
      </c>
      <c r="AJ44" s="225">
        <f t="shared" si="22"/>
        <v>856424.72899999993</v>
      </c>
      <c r="AK44" s="225">
        <f t="shared" si="22"/>
        <v>914730.89100000006</v>
      </c>
      <c r="AL44" s="225">
        <f t="shared" si="22"/>
        <v>915781.44400000002</v>
      </c>
      <c r="AM44" s="225">
        <f t="shared" si="22"/>
        <v>793586.11899999995</v>
      </c>
      <c r="AN44" s="225">
        <f t="shared" si="22"/>
        <v>818751.201</v>
      </c>
      <c r="AO44" s="225">
        <f t="shared" si="22"/>
        <v>887761.65700000012</v>
      </c>
      <c r="AP44" s="225">
        <f t="shared" si="22"/>
        <v>912049.11300000001</v>
      </c>
      <c r="AQ44" s="225">
        <f t="shared" si="22"/>
        <v>790506.68700000003</v>
      </c>
      <c r="AR44" s="225">
        <f t="shared" si="22"/>
        <v>837058.25199999986</v>
      </c>
      <c r="AS44" s="225">
        <f t="shared" si="22"/>
        <v>925458.31700000004</v>
      </c>
      <c r="AT44" s="225">
        <f t="shared" si="22"/>
        <v>984211.48499999999</v>
      </c>
      <c r="AU44" s="225">
        <f t="shared" si="22"/>
        <v>853893.06499999994</v>
      </c>
      <c r="AV44" s="225">
        <f t="shared" ref="AV44" si="23">SUM(AV40:AV43)</f>
        <v>882249.57299999997</v>
      </c>
    </row>
    <row r="45" spans="2:48">
      <c r="B45" s="214" t="s">
        <v>57</v>
      </c>
      <c r="C45" s="215">
        <v>14335.07</v>
      </c>
      <c r="D45" s="215">
        <v>19652.032999999999</v>
      </c>
      <c r="E45" s="215">
        <v>21195.517</v>
      </c>
      <c r="F45" s="215">
        <v>20376.45</v>
      </c>
      <c r="G45" s="215">
        <v>17905.474000000002</v>
      </c>
      <c r="H45" s="215">
        <v>16701.005000000001</v>
      </c>
      <c r="I45" s="215">
        <v>20224.319</v>
      </c>
      <c r="J45" s="215">
        <v>18309.628000000001</v>
      </c>
      <c r="K45" s="215">
        <v>15518.485000000001</v>
      </c>
      <c r="L45" s="215">
        <v>14164.028999999999</v>
      </c>
      <c r="M45" s="215">
        <v>11927.738000000001</v>
      </c>
      <c r="N45" s="215">
        <v>11097.391</v>
      </c>
      <c r="O45" s="215">
        <v>8052.0239999999994</v>
      </c>
      <c r="P45" s="215">
        <v>9116.8220000000001</v>
      </c>
      <c r="Q45" s="215">
        <v>8279.1470000000008</v>
      </c>
      <c r="R45" s="215">
        <v>7665.277</v>
      </c>
      <c r="S45" s="215">
        <v>2969.415</v>
      </c>
      <c r="T45" s="215">
        <v>103.726</v>
      </c>
      <c r="U45" s="215">
        <v>7384.6949999999997</v>
      </c>
      <c r="V45" s="215">
        <v>7218.9699999999993</v>
      </c>
      <c r="W45" s="215">
        <v>5549.7070000000003</v>
      </c>
      <c r="X45" s="224">
        <v>7401.1550000000007</v>
      </c>
      <c r="Y45" s="224">
        <v>12391.826000000001</v>
      </c>
      <c r="Z45" s="224">
        <v>12529.681</v>
      </c>
      <c r="AA45" s="224">
        <v>10580.031999999999</v>
      </c>
      <c r="AB45" s="224">
        <v>13018.559000000001</v>
      </c>
      <c r="AC45" s="224">
        <v>12732.789999999999</v>
      </c>
      <c r="AD45" s="224">
        <v>12184.84</v>
      </c>
      <c r="AE45" s="224">
        <v>10266.181</v>
      </c>
      <c r="AF45" s="224">
        <v>9911.2240000000002</v>
      </c>
      <c r="AG45" s="224">
        <v>15662.225003832904</v>
      </c>
      <c r="AH45" s="224">
        <v>18887.969387495283</v>
      </c>
      <c r="AI45" s="224">
        <v>16602.382802825312</v>
      </c>
      <c r="AJ45" s="224">
        <v>22014.507768252661</v>
      </c>
      <c r="AK45" s="224">
        <v>27645.826308361909</v>
      </c>
      <c r="AL45" s="224">
        <v>27846.049073146627</v>
      </c>
      <c r="AM45" s="224">
        <v>21066.577907285115</v>
      </c>
      <c r="AN45" s="224">
        <v>27799.60609907435</v>
      </c>
      <c r="AO45" s="224">
        <v>29867.836911399725</v>
      </c>
      <c r="AP45" s="224">
        <v>29712.450390357299</v>
      </c>
      <c r="AQ45" s="224">
        <v>26417.957189440003</v>
      </c>
      <c r="AR45" s="224">
        <v>30945.967599645606</v>
      </c>
      <c r="AS45" s="224">
        <v>33440.294190716602</v>
      </c>
      <c r="AT45" s="224">
        <v>33970.313291761297</v>
      </c>
      <c r="AU45" s="224">
        <v>32071.639156928199</v>
      </c>
      <c r="AV45" s="224">
        <v>38866.991294877997</v>
      </c>
    </row>
    <row r="46" spans="2:48">
      <c r="B46" s="214" t="s">
        <v>58</v>
      </c>
      <c r="C46" s="215">
        <v>1907.1370000000002</v>
      </c>
      <c r="D46" s="215">
        <v>1960.7620000000002</v>
      </c>
      <c r="E46" s="215">
        <v>2038.2860000000001</v>
      </c>
      <c r="F46" s="215">
        <v>2128.944</v>
      </c>
      <c r="G46" s="215">
        <v>2645.8539999999998</v>
      </c>
      <c r="H46" s="215">
        <v>1951.5160000000001</v>
      </c>
      <c r="I46" s="215">
        <v>2052.1549999999997</v>
      </c>
      <c r="J46" s="215">
        <v>2107.1149999999998</v>
      </c>
      <c r="K46" s="215">
        <v>1909.373</v>
      </c>
      <c r="L46" s="215">
        <v>1894.73</v>
      </c>
      <c r="M46" s="215">
        <v>1835.8630000000001</v>
      </c>
      <c r="N46" s="215">
        <v>1871.7429999999999</v>
      </c>
      <c r="O46" s="215">
        <v>1516.6669999999999</v>
      </c>
      <c r="P46" s="215">
        <v>1578.0889999999999</v>
      </c>
      <c r="Q46" s="215">
        <v>3236.1330000000003</v>
      </c>
      <c r="R46" s="215">
        <v>5822.4130000000005</v>
      </c>
      <c r="S46" s="215">
        <v>9309.6320000000014</v>
      </c>
      <c r="T46" s="215">
        <v>12132.901</v>
      </c>
      <c r="U46" s="215">
        <v>11997.869000000001</v>
      </c>
      <c r="V46" s="215">
        <v>12828.368000000002</v>
      </c>
      <c r="W46" s="215">
        <v>11439.735000000001</v>
      </c>
      <c r="X46" s="224">
        <v>11600.46</v>
      </c>
      <c r="Y46" s="224">
        <v>11718.829</v>
      </c>
      <c r="Z46" s="224">
        <v>13182.446</v>
      </c>
      <c r="AA46" s="224">
        <v>11434.508</v>
      </c>
      <c r="AB46" s="224">
        <v>11763.513000000001</v>
      </c>
      <c r="AC46" s="224">
        <v>11092.413</v>
      </c>
      <c r="AD46" s="224">
        <v>13100.295000000002</v>
      </c>
      <c r="AE46" s="224">
        <v>19671.434000000001</v>
      </c>
      <c r="AF46" s="224">
        <v>20408.563000000002</v>
      </c>
      <c r="AG46" s="224">
        <v>25627.296047307471</v>
      </c>
      <c r="AH46" s="224">
        <v>30908.931535830809</v>
      </c>
      <c r="AI46" s="224">
        <v>29824.940197174692</v>
      </c>
      <c r="AJ46" s="224">
        <v>36095.042315578874</v>
      </c>
      <c r="AK46" s="224">
        <v>38481.017491638086</v>
      </c>
      <c r="AL46" s="224">
        <v>40754.225908214314</v>
      </c>
      <c r="AM46" s="224">
        <v>38074.162673249804</v>
      </c>
      <c r="AN46" s="224">
        <v>39569.935675851972</v>
      </c>
      <c r="AO46" s="224">
        <v>42256.041508514609</v>
      </c>
      <c r="AP46" s="224">
        <v>44539.126400540998</v>
      </c>
      <c r="AQ46" s="224">
        <v>43381.147026149993</v>
      </c>
      <c r="AR46" s="224">
        <v>49169.586097715168</v>
      </c>
      <c r="AS46" s="224">
        <v>54981.573919527189</v>
      </c>
      <c r="AT46" s="224">
        <v>62323.479530597397</v>
      </c>
      <c r="AU46" s="224">
        <v>62265.314510746401</v>
      </c>
      <c r="AV46" s="224">
        <v>64180.360884113899</v>
      </c>
    </row>
    <row r="47" spans="2:48" ht="13.5" thickBot="1">
      <c r="B47" s="214" t="s">
        <v>59</v>
      </c>
      <c r="C47" s="215">
        <v>0</v>
      </c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215">
        <v>0</v>
      </c>
      <c r="Q47" s="215">
        <v>0</v>
      </c>
      <c r="R47" s="215">
        <v>0</v>
      </c>
      <c r="S47" s="215">
        <v>0</v>
      </c>
      <c r="T47" s="215">
        <v>0</v>
      </c>
      <c r="U47" s="215">
        <v>0</v>
      </c>
      <c r="V47" s="215">
        <v>0</v>
      </c>
      <c r="W47" s="215">
        <v>0</v>
      </c>
      <c r="X47" s="224">
        <v>0</v>
      </c>
      <c r="Y47" s="224">
        <v>0</v>
      </c>
      <c r="Z47" s="224">
        <v>0</v>
      </c>
      <c r="AA47" s="224">
        <v>0</v>
      </c>
      <c r="AB47" s="224">
        <v>0</v>
      </c>
      <c r="AC47" s="224">
        <v>0</v>
      </c>
      <c r="AD47" s="224">
        <v>0</v>
      </c>
      <c r="AE47" s="224">
        <v>0</v>
      </c>
      <c r="AF47" s="224">
        <v>3261.5219999999999</v>
      </c>
      <c r="AG47" s="224">
        <v>11014.642948859626</v>
      </c>
      <c r="AH47" s="224">
        <v>12822.485076673911</v>
      </c>
      <c r="AI47" s="224">
        <v>12741.829999999998</v>
      </c>
      <c r="AJ47" s="224">
        <v>15261.132916168457</v>
      </c>
      <c r="AK47" s="224">
        <v>17110.282200000001</v>
      </c>
      <c r="AL47" s="224">
        <v>16362.140018639064</v>
      </c>
      <c r="AM47" s="224">
        <v>15656.025419465082</v>
      </c>
      <c r="AN47" s="224">
        <v>16336.660479945996</v>
      </c>
      <c r="AO47" s="224">
        <v>16875.11155820567</v>
      </c>
      <c r="AP47" s="224">
        <v>16521.436519723997</v>
      </c>
      <c r="AQ47" s="224">
        <v>15593.249251090001</v>
      </c>
      <c r="AR47" s="224">
        <v>16718.226832400003</v>
      </c>
      <c r="AS47" s="224">
        <v>18111.122486349999</v>
      </c>
      <c r="AT47" s="224">
        <v>18383.551431400309</v>
      </c>
      <c r="AU47" s="224">
        <v>17903.30907302539</v>
      </c>
      <c r="AV47" s="224">
        <v>18493.542064425113</v>
      </c>
    </row>
    <row r="48" spans="2:48" ht="13.5" thickBot="1">
      <c r="B48" s="216" t="s">
        <v>61</v>
      </c>
      <c r="C48" s="225">
        <f>SUM(C45:C47)</f>
        <v>16242.207</v>
      </c>
      <c r="D48" s="225">
        <f t="shared" ref="D48:AU48" si="24">SUM(D45:D47)</f>
        <v>21612.794999999998</v>
      </c>
      <c r="E48" s="225">
        <f t="shared" si="24"/>
        <v>23233.803</v>
      </c>
      <c r="F48" s="225">
        <f t="shared" si="24"/>
        <v>22505.394</v>
      </c>
      <c r="G48" s="225">
        <f t="shared" si="24"/>
        <v>20551.328000000001</v>
      </c>
      <c r="H48" s="225">
        <f t="shared" si="24"/>
        <v>18652.521000000001</v>
      </c>
      <c r="I48" s="225">
        <f t="shared" si="24"/>
        <v>22276.473999999998</v>
      </c>
      <c r="J48" s="225">
        <f t="shared" si="24"/>
        <v>20416.743000000002</v>
      </c>
      <c r="K48" s="225">
        <f t="shared" si="24"/>
        <v>17427.858</v>
      </c>
      <c r="L48" s="225">
        <f t="shared" si="24"/>
        <v>16058.758999999998</v>
      </c>
      <c r="M48" s="225">
        <f t="shared" si="24"/>
        <v>13763.601000000001</v>
      </c>
      <c r="N48" s="225">
        <f t="shared" si="24"/>
        <v>12969.134</v>
      </c>
      <c r="O48" s="225">
        <f t="shared" si="24"/>
        <v>9568.6909999999989</v>
      </c>
      <c r="P48" s="225">
        <f t="shared" si="24"/>
        <v>10694.911</v>
      </c>
      <c r="Q48" s="225">
        <f t="shared" si="24"/>
        <v>11515.28</v>
      </c>
      <c r="R48" s="225">
        <f t="shared" si="24"/>
        <v>13487.69</v>
      </c>
      <c r="S48" s="225">
        <f t="shared" si="24"/>
        <v>12279.047000000002</v>
      </c>
      <c r="T48" s="225">
        <f t="shared" si="24"/>
        <v>12236.627</v>
      </c>
      <c r="U48" s="225">
        <f t="shared" si="24"/>
        <v>19382.563999999998</v>
      </c>
      <c r="V48" s="225">
        <f t="shared" si="24"/>
        <v>20047.338000000003</v>
      </c>
      <c r="W48" s="225">
        <f t="shared" si="24"/>
        <v>16989.442000000003</v>
      </c>
      <c r="X48" s="225">
        <f t="shared" si="24"/>
        <v>19001.614999999998</v>
      </c>
      <c r="Y48" s="225">
        <f t="shared" si="24"/>
        <v>24110.654999999999</v>
      </c>
      <c r="Z48" s="225">
        <f t="shared" si="24"/>
        <v>25712.127</v>
      </c>
      <c r="AA48" s="225">
        <f t="shared" si="24"/>
        <v>22014.54</v>
      </c>
      <c r="AB48" s="225">
        <f t="shared" si="24"/>
        <v>24782.072</v>
      </c>
      <c r="AC48" s="225">
        <f t="shared" si="24"/>
        <v>23825.203000000001</v>
      </c>
      <c r="AD48" s="225">
        <f t="shared" si="24"/>
        <v>25285.135000000002</v>
      </c>
      <c r="AE48" s="225">
        <f t="shared" si="24"/>
        <v>29937.615000000002</v>
      </c>
      <c r="AF48" s="225">
        <f t="shared" si="24"/>
        <v>33581.309000000001</v>
      </c>
      <c r="AG48" s="225">
        <f t="shared" si="24"/>
        <v>52304.163999999997</v>
      </c>
      <c r="AH48" s="225">
        <f t="shared" si="24"/>
        <v>62619.385999999999</v>
      </c>
      <c r="AI48" s="225">
        <f t="shared" si="24"/>
        <v>59169.153000000006</v>
      </c>
      <c r="AJ48" s="225">
        <f t="shared" si="24"/>
        <v>73370.68299999999</v>
      </c>
      <c r="AK48" s="225">
        <f t="shared" si="24"/>
        <v>83237.126000000004</v>
      </c>
      <c r="AL48" s="225">
        <f t="shared" si="24"/>
        <v>84962.415000000008</v>
      </c>
      <c r="AM48" s="225">
        <f t="shared" si="24"/>
        <v>74796.766000000003</v>
      </c>
      <c r="AN48" s="225">
        <f t="shared" si="24"/>
        <v>83706.202254872333</v>
      </c>
      <c r="AO48" s="225">
        <f t="shared" si="24"/>
        <v>88998.989978120007</v>
      </c>
      <c r="AP48" s="225">
        <f t="shared" si="24"/>
        <v>90773.013310622293</v>
      </c>
      <c r="AQ48" s="225">
        <f t="shared" si="24"/>
        <v>85392.353466679997</v>
      </c>
      <c r="AR48" s="225">
        <f t="shared" si="24"/>
        <v>96833.78052976077</v>
      </c>
      <c r="AS48" s="225">
        <f t="shared" si="24"/>
        <v>106532.99059659378</v>
      </c>
      <c r="AT48" s="225">
        <f t="shared" si="24"/>
        <v>114677.344253759</v>
      </c>
      <c r="AU48" s="225">
        <f t="shared" si="24"/>
        <v>112240.26274069998</v>
      </c>
      <c r="AV48" s="225">
        <f t="shared" ref="AV48" si="25">SUM(AV45:AV47)</f>
        <v>121540.894243417</v>
      </c>
    </row>
    <row r="49" spans="2:48" ht="13.5" thickBot="1">
      <c r="B49" s="218" t="s">
        <v>62</v>
      </c>
      <c r="C49" s="229">
        <v>24720.379468000003</v>
      </c>
      <c r="D49" s="229">
        <v>25974.084292000003</v>
      </c>
      <c r="E49" s="229">
        <v>27535.693444800003</v>
      </c>
      <c r="F49" s="229">
        <v>29171.060312000001</v>
      </c>
      <c r="G49" s="229">
        <v>26864.347999999998</v>
      </c>
      <c r="H49" s="229">
        <v>28895.479936752505</v>
      </c>
      <c r="I49" s="229">
        <v>33391.927444305198</v>
      </c>
      <c r="J49" s="229">
        <v>33285.366000000002</v>
      </c>
      <c r="K49" s="229">
        <v>30467.275674991673</v>
      </c>
      <c r="L49" s="229">
        <v>31011.724761845093</v>
      </c>
      <c r="M49" s="229">
        <v>33290.018714002501</v>
      </c>
      <c r="N49" s="229">
        <v>35386.541806379697</v>
      </c>
      <c r="O49" s="229">
        <v>32248.860633357999</v>
      </c>
      <c r="P49" s="229">
        <v>34403.665551092701</v>
      </c>
      <c r="Q49" s="229">
        <v>36263.119139998402</v>
      </c>
      <c r="R49" s="229">
        <v>36213.923887879595</v>
      </c>
      <c r="S49" s="229">
        <v>31998.781319561731</v>
      </c>
      <c r="T49" s="229">
        <v>32825.451204738398</v>
      </c>
      <c r="U49" s="229">
        <v>35462.7305745802</v>
      </c>
      <c r="V49" s="229">
        <v>34864.7050446918</v>
      </c>
      <c r="W49" s="229">
        <v>29862.91472567321</v>
      </c>
      <c r="X49" s="229">
        <v>31004.696208293906</v>
      </c>
      <c r="Y49" s="229">
        <v>33312.177684063499</v>
      </c>
      <c r="Z49" s="229">
        <v>34095.757067614599</v>
      </c>
      <c r="AA49" s="226">
        <v>30452.26299212774</v>
      </c>
      <c r="AB49" s="226">
        <v>32018.805685827298</v>
      </c>
      <c r="AC49" s="226">
        <v>35481</v>
      </c>
      <c r="AD49" s="226">
        <v>34983.775999999998</v>
      </c>
      <c r="AE49" s="226">
        <v>32416.33</v>
      </c>
      <c r="AF49" s="226">
        <v>34414.71</v>
      </c>
      <c r="AG49" s="226">
        <v>39505.686999999998</v>
      </c>
      <c r="AH49" s="226">
        <v>38860.991000000002</v>
      </c>
      <c r="AI49" s="226">
        <v>36424.182000000001</v>
      </c>
      <c r="AJ49" s="226">
        <v>37824.080000000002</v>
      </c>
      <c r="AK49" s="226">
        <v>41043.202000000005</v>
      </c>
      <c r="AL49" s="226">
        <v>40353.236000000004</v>
      </c>
      <c r="AM49" s="226">
        <v>37382.29</v>
      </c>
      <c r="AN49" s="226">
        <v>36591.605000000003</v>
      </c>
      <c r="AO49" s="226">
        <v>38024.331000000006</v>
      </c>
      <c r="AP49" s="226">
        <v>40917.446000000004</v>
      </c>
      <c r="AQ49" s="226">
        <v>47063.362139050012</v>
      </c>
      <c r="AR49" s="226">
        <v>38386.433417526699</v>
      </c>
      <c r="AS49" s="226">
        <v>43027.037722453802</v>
      </c>
      <c r="AT49" s="226">
        <v>45632.668140361697</v>
      </c>
      <c r="AU49" s="226">
        <v>42865.671298559901</v>
      </c>
      <c r="AV49" s="229">
        <v>44213.054976164298</v>
      </c>
    </row>
    <row r="50" spans="2:48" ht="13.5" thickBot="1">
      <c r="B50" s="218" t="s">
        <v>63</v>
      </c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26">
        <v>5280.1900000000605</v>
      </c>
      <c r="AB50" s="226">
        <v>6526.2960000000894</v>
      </c>
      <c r="AC50" s="226">
        <v>8084.8080000000773</v>
      </c>
      <c r="AD50" s="226">
        <v>10790.787999999942</v>
      </c>
      <c r="AE50" s="226">
        <v>10093.698000000091</v>
      </c>
      <c r="AF50" s="226">
        <v>12251.595000000088</v>
      </c>
      <c r="AG50" s="226">
        <v>18398.371999999974</v>
      </c>
      <c r="AH50" s="226">
        <v>25055.689000000013</v>
      </c>
      <c r="AI50" s="226">
        <v>25126.626000000047</v>
      </c>
      <c r="AJ50" s="226">
        <v>29028.685999999987</v>
      </c>
      <c r="AK50" s="226">
        <v>36829.887000000104</v>
      </c>
      <c r="AL50" s="226">
        <v>44230.668000000063</v>
      </c>
      <c r="AM50" s="226">
        <v>43138.319000000018</v>
      </c>
      <c r="AN50" s="230">
        <v>51859.6599999998</v>
      </c>
      <c r="AO50" s="230">
        <v>66848.037000000244</v>
      </c>
      <c r="AP50" s="230">
        <v>77827.670999999973</v>
      </c>
      <c r="AQ50" s="230">
        <v>73429.679999999906</v>
      </c>
      <c r="AR50" s="230">
        <v>90670.601999999999</v>
      </c>
      <c r="AS50" s="230">
        <v>118629.57799999999</v>
      </c>
      <c r="AT50" s="230">
        <v>135087.86200000008</v>
      </c>
      <c r="AU50" s="226">
        <v>121092.94300000009</v>
      </c>
      <c r="AV50" s="229">
        <v>136828.57200000004</v>
      </c>
    </row>
    <row r="51" spans="2:48" ht="13.5" thickBot="1">
      <c r="B51" s="221" t="s">
        <v>70</v>
      </c>
      <c r="C51" s="222">
        <f t="shared" ref="C51:AS51" si="26">SUM(C44,C48:C50)</f>
        <v>688043.28446800006</v>
      </c>
      <c r="D51" s="222">
        <f t="shared" si="26"/>
        <v>716807.18229200016</v>
      </c>
      <c r="E51" s="222">
        <f t="shared" si="26"/>
        <v>775250.76144479995</v>
      </c>
      <c r="F51" s="222">
        <f t="shared" si="26"/>
        <v>811717.67531199998</v>
      </c>
      <c r="G51" s="222">
        <f t="shared" si="26"/>
        <v>751174.473</v>
      </c>
      <c r="H51" s="222">
        <f t="shared" si="26"/>
        <v>756630.83293675247</v>
      </c>
      <c r="I51" s="222">
        <f t="shared" si="26"/>
        <v>841180.69144430524</v>
      </c>
      <c r="J51" s="222">
        <f t="shared" si="26"/>
        <v>871819.65899999999</v>
      </c>
      <c r="K51" s="222">
        <f t="shared" si="26"/>
        <v>792327.4926749916</v>
      </c>
      <c r="L51" s="222">
        <f t="shared" si="26"/>
        <v>796065.24676184508</v>
      </c>
      <c r="M51" s="222">
        <f t="shared" si="26"/>
        <v>852063.52971400251</v>
      </c>
      <c r="N51" s="222">
        <f t="shared" si="26"/>
        <v>919045.72080637957</v>
      </c>
      <c r="O51" s="222">
        <f t="shared" si="26"/>
        <v>806999.32263335795</v>
      </c>
      <c r="P51" s="222">
        <f t="shared" si="26"/>
        <v>856290.14455109264</v>
      </c>
      <c r="Q51" s="222">
        <f t="shared" si="26"/>
        <v>902430.73313999851</v>
      </c>
      <c r="R51" s="222">
        <f t="shared" si="26"/>
        <v>950744.72488787957</v>
      </c>
      <c r="S51" s="222">
        <f t="shared" si="26"/>
        <v>830279.71631956182</v>
      </c>
      <c r="T51" s="222">
        <f t="shared" si="26"/>
        <v>867353.80320473842</v>
      </c>
      <c r="U51" s="222">
        <f t="shared" si="26"/>
        <v>922231.25657458021</v>
      </c>
      <c r="V51" s="222">
        <f t="shared" si="26"/>
        <v>989806.3030446918</v>
      </c>
      <c r="W51" s="222">
        <f t="shared" si="26"/>
        <v>850117.41872567334</v>
      </c>
      <c r="X51" s="222">
        <f t="shared" si="26"/>
        <v>869611.41020829382</v>
      </c>
      <c r="Y51" s="222">
        <f t="shared" si="26"/>
        <v>946998.16268406366</v>
      </c>
      <c r="Z51" s="222">
        <f t="shared" si="26"/>
        <v>863480.33406761452</v>
      </c>
      <c r="AA51" s="217">
        <f t="shared" si="26"/>
        <v>859291.03199212777</v>
      </c>
      <c r="AB51" s="217">
        <f t="shared" si="26"/>
        <v>896323.35468582727</v>
      </c>
      <c r="AC51" s="217">
        <f t="shared" si="26"/>
        <v>958096.41700000002</v>
      </c>
      <c r="AD51" s="217">
        <f t="shared" si="26"/>
        <v>1077025.5</v>
      </c>
      <c r="AE51" s="217">
        <f t="shared" si="26"/>
        <v>904747.88699999999</v>
      </c>
      <c r="AF51" s="217">
        <f t="shared" si="26"/>
        <v>869112.46699999995</v>
      </c>
      <c r="AG51" s="217">
        <f t="shared" si="26"/>
        <v>960757.9310000001</v>
      </c>
      <c r="AH51" s="217">
        <f t="shared" si="26"/>
        <v>1103997.0379999999</v>
      </c>
      <c r="AI51" s="217">
        <f t="shared" si="26"/>
        <v>953448.65500000014</v>
      </c>
      <c r="AJ51" s="217">
        <f t="shared" si="26"/>
        <v>996648.17799999984</v>
      </c>
      <c r="AK51" s="217">
        <f t="shared" si="26"/>
        <v>1075841.1060000001</v>
      </c>
      <c r="AL51" s="217">
        <f t="shared" si="26"/>
        <v>1085327.7630000003</v>
      </c>
      <c r="AM51" s="217">
        <f t="shared" si="26"/>
        <v>948903.49400000006</v>
      </c>
      <c r="AN51" s="217">
        <f t="shared" si="26"/>
        <v>990908.66825487209</v>
      </c>
      <c r="AO51" s="217">
        <f t="shared" si="26"/>
        <v>1081633.0149781203</v>
      </c>
      <c r="AP51" s="217">
        <f t="shared" si="26"/>
        <v>1121567.2433106224</v>
      </c>
      <c r="AQ51" s="217">
        <f t="shared" si="26"/>
        <v>996392.08260573004</v>
      </c>
      <c r="AR51" s="217">
        <f t="shared" si="26"/>
        <v>1062949.0679472873</v>
      </c>
      <c r="AS51" s="217">
        <f t="shared" si="26"/>
        <v>1193647.9233190475</v>
      </c>
      <c r="AT51" s="217">
        <f t="shared" ref="AT51:AU51" si="27">SUM(AT44,AT48:AT50)</f>
        <v>1279609.359394121</v>
      </c>
      <c r="AU51" s="217">
        <f t="shared" si="27"/>
        <v>1130091.9420392599</v>
      </c>
      <c r="AV51" s="217">
        <f t="shared" ref="AV51" si="28">SUM(AV44,AV48:AV50)</f>
        <v>1184832.0942195812</v>
      </c>
    </row>
    <row r="52" spans="2:48" ht="13.5" thickBot="1">
      <c r="B52" s="216" t="s">
        <v>65</v>
      </c>
      <c r="C52" s="222">
        <f t="shared" ref="C52:AS52" si="29">C51-C50</f>
        <v>688043.28446800006</v>
      </c>
      <c r="D52" s="222">
        <f t="shared" si="29"/>
        <v>716807.18229200016</v>
      </c>
      <c r="E52" s="222">
        <f t="shared" si="29"/>
        <v>775250.76144479995</v>
      </c>
      <c r="F52" s="222">
        <f t="shared" si="29"/>
        <v>811717.67531199998</v>
      </c>
      <c r="G52" s="222">
        <f t="shared" si="29"/>
        <v>751174.473</v>
      </c>
      <c r="H52" s="222">
        <f t="shared" si="29"/>
        <v>756630.83293675247</v>
      </c>
      <c r="I52" s="222">
        <f t="shared" si="29"/>
        <v>841180.69144430524</v>
      </c>
      <c r="J52" s="222">
        <f t="shared" si="29"/>
        <v>871819.65899999999</v>
      </c>
      <c r="K52" s="222">
        <f t="shared" si="29"/>
        <v>792327.4926749916</v>
      </c>
      <c r="L52" s="222">
        <f t="shared" si="29"/>
        <v>796065.24676184508</v>
      </c>
      <c r="M52" s="222">
        <f t="shared" si="29"/>
        <v>852063.52971400251</v>
      </c>
      <c r="N52" s="222">
        <f t="shared" si="29"/>
        <v>919045.72080637957</v>
      </c>
      <c r="O52" s="222">
        <f t="shared" si="29"/>
        <v>806999.32263335795</v>
      </c>
      <c r="P52" s="222">
        <f t="shared" si="29"/>
        <v>856290.14455109264</v>
      </c>
      <c r="Q52" s="222">
        <f t="shared" si="29"/>
        <v>902430.73313999851</v>
      </c>
      <c r="R52" s="222">
        <f t="shared" si="29"/>
        <v>950744.72488787957</v>
      </c>
      <c r="S52" s="222">
        <f t="shared" si="29"/>
        <v>830279.71631956182</v>
      </c>
      <c r="T52" s="222">
        <f t="shared" si="29"/>
        <v>867353.80320473842</v>
      </c>
      <c r="U52" s="222">
        <f t="shared" si="29"/>
        <v>922231.25657458021</v>
      </c>
      <c r="V52" s="222">
        <f t="shared" si="29"/>
        <v>989806.3030446918</v>
      </c>
      <c r="W52" s="222">
        <f t="shared" si="29"/>
        <v>850117.41872567334</v>
      </c>
      <c r="X52" s="222">
        <f t="shared" si="29"/>
        <v>869611.41020829382</v>
      </c>
      <c r="Y52" s="222">
        <f t="shared" si="29"/>
        <v>946998.16268406366</v>
      </c>
      <c r="Z52" s="222">
        <f t="shared" si="29"/>
        <v>863480.33406761452</v>
      </c>
      <c r="AA52" s="217">
        <f t="shared" si="29"/>
        <v>854010.84199212771</v>
      </c>
      <c r="AB52" s="217">
        <f t="shared" si="29"/>
        <v>889797.05868582719</v>
      </c>
      <c r="AC52" s="217">
        <f t="shared" si="29"/>
        <v>950011.60899999994</v>
      </c>
      <c r="AD52" s="217">
        <f t="shared" si="29"/>
        <v>1066234.7120000001</v>
      </c>
      <c r="AE52" s="217">
        <f t="shared" si="29"/>
        <v>894654.1889999999</v>
      </c>
      <c r="AF52" s="217">
        <f t="shared" si="29"/>
        <v>856860.87199999986</v>
      </c>
      <c r="AG52" s="217">
        <f t="shared" si="29"/>
        <v>942359.55900000012</v>
      </c>
      <c r="AH52" s="217">
        <f t="shared" si="29"/>
        <v>1078941.3489999999</v>
      </c>
      <c r="AI52" s="217">
        <f t="shared" si="29"/>
        <v>928322.0290000001</v>
      </c>
      <c r="AJ52" s="217">
        <f t="shared" si="29"/>
        <v>967619.49199999985</v>
      </c>
      <c r="AK52" s="217">
        <f t="shared" si="29"/>
        <v>1039011.219</v>
      </c>
      <c r="AL52" s="217">
        <f t="shared" si="29"/>
        <v>1041097.0950000002</v>
      </c>
      <c r="AM52" s="217">
        <f t="shared" si="29"/>
        <v>905765.17500000005</v>
      </c>
      <c r="AN52" s="217">
        <f t="shared" si="29"/>
        <v>939049.00825487229</v>
      </c>
      <c r="AO52" s="217">
        <f t="shared" si="29"/>
        <v>1014784.9779781201</v>
      </c>
      <c r="AP52" s="217">
        <f t="shared" si="29"/>
        <v>1043739.5723106224</v>
      </c>
      <c r="AQ52" s="217">
        <f t="shared" si="29"/>
        <v>922962.40260573011</v>
      </c>
      <c r="AR52" s="217">
        <f t="shared" si="29"/>
        <v>972278.46594728739</v>
      </c>
      <c r="AS52" s="217">
        <f t="shared" si="29"/>
        <v>1075018.3453190476</v>
      </c>
      <c r="AT52" s="217">
        <f t="shared" ref="AT52:AU52" si="30">AT51-AT50</f>
        <v>1144521.4973941208</v>
      </c>
      <c r="AU52" s="217">
        <f t="shared" si="30"/>
        <v>1008998.9990392599</v>
      </c>
      <c r="AV52" s="217">
        <f t="shared" ref="AV52" si="31">AV51-AV50</f>
        <v>1048003.5222195812</v>
      </c>
    </row>
    <row r="53" spans="2:48">
      <c r="B53" s="227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</row>
    <row r="54" spans="2:48">
      <c r="B54" s="212" t="s">
        <v>71</v>
      </c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  <c r="AA54" s="213"/>
      <c r="AB54" s="213"/>
      <c r="AC54" s="213"/>
      <c r="AD54" s="213"/>
      <c r="AE54" s="213"/>
      <c r="AF54" s="213"/>
      <c r="AG54" s="213"/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</row>
    <row r="55" spans="2:48">
      <c r="B55" s="214" t="s">
        <v>56</v>
      </c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>
        <v>353113</v>
      </c>
      <c r="T55" s="215">
        <v>361697</v>
      </c>
      <c r="U55" s="215">
        <v>321031</v>
      </c>
      <c r="V55" s="215">
        <v>356332</v>
      </c>
      <c r="W55" s="215">
        <v>372330.20500000002</v>
      </c>
      <c r="X55" s="224">
        <v>359735.98800000001</v>
      </c>
      <c r="Y55" s="224">
        <v>340106.68299999996</v>
      </c>
      <c r="Z55" s="224">
        <v>361533.65099999995</v>
      </c>
      <c r="AA55" s="224">
        <v>377659.95799999998</v>
      </c>
      <c r="AB55" s="224">
        <v>177485.14130454609</v>
      </c>
      <c r="AC55" s="224">
        <v>329476.266</v>
      </c>
      <c r="AD55" s="224">
        <v>377288.39</v>
      </c>
      <c r="AE55" s="224">
        <v>400832.58100000001</v>
      </c>
      <c r="AF55" s="224">
        <v>395654.11499999999</v>
      </c>
      <c r="AG55" s="224">
        <v>347084.42299999995</v>
      </c>
      <c r="AH55" s="224">
        <v>402759.76699999993</v>
      </c>
      <c r="AI55" s="224">
        <v>418106.26899999997</v>
      </c>
      <c r="AJ55" s="224">
        <v>400848.22899999999</v>
      </c>
      <c r="AK55" s="224">
        <v>355435.78399999999</v>
      </c>
      <c r="AL55" s="224">
        <v>411797.40700000001</v>
      </c>
      <c r="AM55" s="224">
        <v>428387.50199999998</v>
      </c>
      <c r="AN55" s="224">
        <v>401096.23199999996</v>
      </c>
      <c r="AO55" s="224">
        <v>375250.02600000001</v>
      </c>
      <c r="AP55" s="224">
        <v>426792.65900000004</v>
      </c>
      <c r="AQ55" s="224">
        <v>458459.39</v>
      </c>
      <c r="AR55" s="224">
        <v>450782.984</v>
      </c>
      <c r="AS55" s="224">
        <v>393975.04399999999</v>
      </c>
      <c r="AT55" s="224">
        <v>454893.44799999997</v>
      </c>
      <c r="AU55" s="224">
        <v>506224.39799999999</v>
      </c>
      <c r="AV55" s="224">
        <v>492014.28600000002</v>
      </c>
    </row>
    <row r="56" spans="2:48">
      <c r="B56" s="214" t="s">
        <v>57</v>
      </c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>
        <v>133113</v>
      </c>
      <c r="T56" s="215">
        <v>126738</v>
      </c>
      <c r="U56" s="215">
        <v>72020</v>
      </c>
      <c r="V56" s="215">
        <v>70539</v>
      </c>
      <c r="W56" s="215">
        <v>63255.251000000004</v>
      </c>
      <c r="X56" s="224">
        <v>61603.025999999998</v>
      </c>
      <c r="Y56" s="224">
        <v>62393.619999999995</v>
      </c>
      <c r="Z56" s="224">
        <v>59119.837999999996</v>
      </c>
      <c r="AA56" s="224">
        <v>56185.718999999997</v>
      </c>
      <c r="AB56" s="224">
        <v>46906.13543702945</v>
      </c>
      <c r="AC56" s="224">
        <v>48416.821000000004</v>
      </c>
      <c r="AD56" s="224">
        <v>43407.75</v>
      </c>
      <c r="AE56" s="224">
        <v>37605.023000000001</v>
      </c>
      <c r="AF56" s="224">
        <v>33384.647000000004</v>
      </c>
      <c r="AG56" s="224">
        <v>37087.857000000004</v>
      </c>
      <c r="AH56" s="224">
        <v>34321.345000000001</v>
      </c>
      <c r="AI56" s="224">
        <v>34446.781000000003</v>
      </c>
      <c r="AJ56" s="224">
        <v>32528.164999999994</v>
      </c>
      <c r="AK56" s="224">
        <v>34155.512999999999</v>
      </c>
      <c r="AL56" s="224">
        <v>31411.432999999997</v>
      </c>
      <c r="AM56" s="224">
        <v>31183.008000000002</v>
      </c>
      <c r="AN56" s="224">
        <v>31050.876</v>
      </c>
      <c r="AO56" s="224">
        <v>31526.845000000001</v>
      </c>
      <c r="AP56" s="224">
        <v>29387.778999999999</v>
      </c>
      <c r="AQ56" s="224">
        <v>27923.787</v>
      </c>
      <c r="AR56" s="224">
        <v>27767.824999999997</v>
      </c>
      <c r="AS56" s="224">
        <v>28370.948</v>
      </c>
      <c r="AT56" s="224">
        <v>24364.782999999999</v>
      </c>
      <c r="AU56" s="224">
        <v>23422.332999999999</v>
      </c>
      <c r="AV56" s="224">
        <v>22141.598000000002</v>
      </c>
    </row>
    <row r="57" spans="2:48">
      <c r="B57" s="214" t="s">
        <v>58</v>
      </c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>
        <v>185917</v>
      </c>
      <c r="T57" s="215">
        <v>175795</v>
      </c>
      <c r="U57" s="215">
        <v>157953</v>
      </c>
      <c r="V57" s="215">
        <v>178770</v>
      </c>
      <c r="W57" s="215">
        <v>180274.86900000001</v>
      </c>
      <c r="X57" s="224">
        <v>167835.52499999999</v>
      </c>
      <c r="Y57" s="224">
        <v>162491.48699999999</v>
      </c>
      <c r="Z57" s="224">
        <v>179566.42300000001</v>
      </c>
      <c r="AA57" s="224">
        <v>176589.99600000001</v>
      </c>
      <c r="AB57" s="224">
        <v>139761.25800918782</v>
      </c>
      <c r="AC57" s="224">
        <v>158770.549</v>
      </c>
      <c r="AD57" s="224">
        <v>182615.48499999999</v>
      </c>
      <c r="AE57" s="224">
        <v>176460.82699999999</v>
      </c>
      <c r="AF57" s="224">
        <v>126680.963</v>
      </c>
      <c r="AG57" s="224">
        <v>132568.14199999999</v>
      </c>
      <c r="AH57" s="224">
        <v>165835.94</v>
      </c>
      <c r="AI57" s="224">
        <v>164769.07</v>
      </c>
      <c r="AJ57" s="224">
        <v>151962.39221830532</v>
      </c>
      <c r="AK57" s="224">
        <v>149269.23800000001</v>
      </c>
      <c r="AL57" s="224">
        <v>172921.90400000001</v>
      </c>
      <c r="AM57" s="224">
        <v>166683.853</v>
      </c>
      <c r="AN57" s="224">
        <v>153497.91100000002</v>
      </c>
      <c r="AO57" s="224">
        <v>147258.22899999999</v>
      </c>
      <c r="AP57" s="224">
        <v>160163.927</v>
      </c>
      <c r="AQ57" s="224">
        <v>160654.72500000001</v>
      </c>
      <c r="AR57" s="224">
        <v>148612.28200000001</v>
      </c>
      <c r="AS57" s="224">
        <v>127908.50399999999</v>
      </c>
      <c r="AT57" s="224">
        <v>134706.34599999999</v>
      </c>
      <c r="AU57" s="224">
        <v>135450.21599999999</v>
      </c>
      <c r="AV57" s="224">
        <v>127308.571</v>
      </c>
    </row>
    <row r="58" spans="2:48" ht="13.5" thickBot="1">
      <c r="B58" s="214" t="s">
        <v>59</v>
      </c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>
        <v>223851</v>
      </c>
      <c r="T58" s="215">
        <v>216600</v>
      </c>
      <c r="U58" s="215">
        <v>178068</v>
      </c>
      <c r="V58" s="215">
        <v>195601</v>
      </c>
      <c r="W58" s="215">
        <v>220514.75599999999</v>
      </c>
      <c r="X58" s="224">
        <v>176694.10099999997</v>
      </c>
      <c r="Y58" s="224">
        <v>182999.88199999998</v>
      </c>
      <c r="Z58" s="224">
        <v>239486.655</v>
      </c>
      <c r="AA58" s="224">
        <v>211543.54499999998</v>
      </c>
      <c r="AB58" s="224">
        <v>141605.34624923655</v>
      </c>
      <c r="AC58" s="224">
        <v>178061.73699999999</v>
      </c>
      <c r="AD58" s="224">
        <v>268107.45699999999</v>
      </c>
      <c r="AE58" s="224">
        <v>241277.02400000003</v>
      </c>
      <c r="AF58" s="224">
        <v>178221.89300000001</v>
      </c>
      <c r="AG58" s="224">
        <v>175199.32399999999</v>
      </c>
      <c r="AH58" s="224">
        <v>241029.18999999997</v>
      </c>
      <c r="AI58" s="224">
        <v>238274.592</v>
      </c>
      <c r="AJ58" s="224">
        <v>182606.14399999997</v>
      </c>
      <c r="AK58" s="224">
        <v>184497.64499999999</v>
      </c>
      <c r="AL58" s="224">
        <v>265034.35100000002</v>
      </c>
      <c r="AM58" s="224">
        <v>229312.72899999999</v>
      </c>
      <c r="AN58" s="224">
        <v>181745.571</v>
      </c>
      <c r="AO58" s="224">
        <v>179057.68700000001</v>
      </c>
      <c r="AP58" s="224">
        <v>229230.37100000004</v>
      </c>
      <c r="AQ58" s="224">
        <v>228310.67200000002</v>
      </c>
      <c r="AR58" s="224">
        <v>205825.39199999999</v>
      </c>
      <c r="AS58" s="224">
        <v>185861.22799999997</v>
      </c>
      <c r="AT58" s="224">
        <v>244610.41700000002</v>
      </c>
      <c r="AU58" s="224">
        <v>240485.08000000016</v>
      </c>
      <c r="AV58" s="224">
        <v>194233.47099999979</v>
      </c>
    </row>
    <row r="59" spans="2:48" ht="13.5" thickBot="1">
      <c r="B59" s="221" t="s">
        <v>60</v>
      </c>
      <c r="C59" s="225"/>
      <c r="D59" s="225"/>
      <c r="E59" s="225"/>
      <c r="F59" s="225"/>
      <c r="G59" s="225"/>
      <c r="H59" s="225"/>
      <c r="I59" s="225"/>
      <c r="J59" s="225"/>
      <c r="K59" s="225"/>
      <c r="L59" s="225"/>
      <c r="M59" s="225"/>
      <c r="N59" s="225"/>
      <c r="O59" s="225"/>
      <c r="P59" s="225"/>
      <c r="Q59" s="225"/>
      <c r="R59" s="225"/>
      <c r="S59" s="225">
        <f>SUM(S55:S58)</f>
        <v>895994</v>
      </c>
      <c r="T59" s="225">
        <f t="shared" ref="T59:AU59" si="32">SUM(T55:T58)</f>
        <v>880830</v>
      </c>
      <c r="U59" s="225">
        <f t="shared" si="32"/>
        <v>729072</v>
      </c>
      <c r="V59" s="225">
        <f t="shared" si="32"/>
        <v>801242</v>
      </c>
      <c r="W59" s="225">
        <f t="shared" si="32"/>
        <v>836375.08100000001</v>
      </c>
      <c r="X59" s="225">
        <f t="shared" si="32"/>
        <v>765868.6399999999</v>
      </c>
      <c r="Y59" s="225">
        <f t="shared" si="32"/>
        <v>747991.6719999999</v>
      </c>
      <c r="Z59" s="225">
        <f t="shared" si="32"/>
        <v>839706.56700000004</v>
      </c>
      <c r="AA59" s="225">
        <f t="shared" si="32"/>
        <v>821979.21799999988</v>
      </c>
      <c r="AB59" s="225">
        <f t="shared" si="32"/>
        <v>505757.88099999988</v>
      </c>
      <c r="AC59" s="225">
        <f t="shared" si="32"/>
        <v>714725.37299999991</v>
      </c>
      <c r="AD59" s="225">
        <f t="shared" si="32"/>
        <v>871419.08199999994</v>
      </c>
      <c r="AE59" s="225">
        <f t="shared" si="32"/>
        <v>856175.45500000007</v>
      </c>
      <c r="AF59" s="225">
        <f t="shared" si="32"/>
        <v>733941.61800000002</v>
      </c>
      <c r="AG59" s="225">
        <f t="shared" si="32"/>
        <v>691939.74599999993</v>
      </c>
      <c r="AH59" s="225">
        <f t="shared" si="32"/>
        <v>843946.24199999985</v>
      </c>
      <c r="AI59" s="225">
        <f t="shared" si="32"/>
        <v>855596.71200000006</v>
      </c>
      <c r="AJ59" s="225">
        <f t="shared" si="32"/>
        <v>767944.93021830532</v>
      </c>
      <c r="AK59" s="225">
        <f t="shared" si="32"/>
        <v>723358.17999999993</v>
      </c>
      <c r="AL59" s="225">
        <f t="shared" si="32"/>
        <v>881165.09500000009</v>
      </c>
      <c r="AM59" s="225">
        <f t="shared" si="32"/>
        <v>855567.09199999995</v>
      </c>
      <c r="AN59" s="225">
        <f t="shared" si="32"/>
        <v>767390.59</v>
      </c>
      <c r="AO59" s="225">
        <f t="shared" si="32"/>
        <v>733092.78700000013</v>
      </c>
      <c r="AP59" s="225">
        <f t="shared" si="32"/>
        <v>845574.73600000003</v>
      </c>
      <c r="AQ59" s="225">
        <f t="shared" si="32"/>
        <v>875348.57400000002</v>
      </c>
      <c r="AR59" s="225">
        <f t="shared" si="32"/>
        <v>832988.48300000001</v>
      </c>
      <c r="AS59" s="225">
        <f t="shared" si="32"/>
        <v>736115.72399999993</v>
      </c>
      <c r="AT59" s="225">
        <f t="shared" si="32"/>
        <v>858574.99399999995</v>
      </c>
      <c r="AU59" s="225">
        <f t="shared" si="32"/>
        <v>905582.02700000023</v>
      </c>
      <c r="AV59" s="225">
        <f t="shared" ref="AV59" si="33">SUM(AV55:AV58)</f>
        <v>835697.92599999986</v>
      </c>
    </row>
    <row r="60" spans="2:48">
      <c r="B60" s="214" t="s">
        <v>57</v>
      </c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>
        <v>33468</v>
      </c>
      <c r="T60" s="215">
        <v>33597</v>
      </c>
      <c r="U60" s="215">
        <v>90303</v>
      </c>
      <c r="V60" s="215">
        <v>86152</v>
      </c>
      <c r="W60" s="215">
        <v>85541.035999999993</v>
      </c>
      <c r="X60" s="224">
        <v>97170.813999999998</v>
      </c>
      <c r="Y60" s="224">
        <v>101918.588</v>
      </c>
      <c r="Z60" s="224">
        <v>111713.955</v>
      </c>
      <c r="AA60" s="224">
        <v>112466.72200000001</v>
      </c>
      <c r="AB60" s="224">
        <v>109290</v>
      </c>
      <c r="AC60" s="224">
        <v>118811.17692717674</v>
      </c>
      <c r="AD60" s="224">
        <v>133031.84165963216</v>
      </c>
      <c r="AE60" s="224">
        <v>134795.85798265255</v>
      </c>
      <c r="AF60" s="224">
        <v>119324.13643382784</v>
      </c>
      <c r="AG60" s="224">
        <v>148253.82217082707</v>
      </c>
      <c r="AH60" s="224">
        <v>138931.09323171285</v>
      </c>
      <c r="AI60" s="224">
        <v>138206.66971238056</v>
      </c>
      <c r="AJ60" s="224">
        <v>132132.77970716092</v>
      </c>
      <c r="AK60" s="224">
        <v>132806.32382597166</v>
      </c>
      <c r="AL60" s="224">
        <v>136690.89440622952</v>
      </c>
      <c r="AM60" s="224">
        <v>142394.11087981422</v>
      </c>
      <c r="AN60" s="224">
        <v>142529.71801253065</v>
      </c>
      <c r="AO60" s="224">
        <v>141129.06419459108</v>
      </c>
      <c r="AP60" s="224">
        <v>141120.31397948964</v>
      </c>
      <c r="AQ60" s="224">
        <v>151846.82530078752</v>
      </c>
      <c r="AR60" s="224">
        <v>149976.68301715783</v>
      </c>
      <c r="AS60" s="224">
        <v>164012.16741637449</v>
      </c>
      <c r="AT60" s="224">
        <v>160696.22799104199</v>
      </c>
      <c r="AU60" s="224">
        <v>170102.866396433</v>
      </c>
      <c r="AV60" s="224">
        <v>168118.88136696001</v>
      </c>
    </row>
    <row r="61" spans="2:48">
      <c r="B61" s="214" t="s">
        <v>58</v>
      </c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>
        <v>11387</v>
      </c>
      <c r="T61" s="215">
        <v>13235</v>
      </c>
      <c r="U61" s="215">
        <v>13642</v>
      </c>
      <c r="V61" s="215">
        <v>17990</v>
      </c>
      <c r="W61" s="215">
        <v>18610.748</v>
      </c>
      <c r="X61" s="224">
        <v>17345.903999999999</v>
      </c>
      <c r="Y61" s="224">
        <v>16853.350000000002</v>
      </c>
      <c r="Z61" s="224">
        <v>18670.434999999998</v>
      </c>
      <c r="AA61" s="224">
        <v>22121.733999999997</v>
      </c>
      <c r="AB61" s="224">
        <v>23195</v>
      </c>
      <c r="AC61" s="224">
        <v>24230.521845780888</v>
      </c>
      <c r="AD61" s="224">
        <v>30044.647821348459</v>
      </c>
      <c r="AE61" s="224">
        <v>32017.488231701969</v>
      </c>
      <c r="AF61" s="224">
        <v>20772.763762990282</v>
      </c>
      <c r="AG61" s="224">
        <v>28561.138579106824</v>
      </c>
      <c r="AH61" s="224">
        <v>36229.536179364157</v>
      </c>
      <c r="AI61" s="224">
        <v>37201.029718775382</v>
      </c>
      <c r="AJ61" s="224">
        <v>33269.909404786449</v>
      </c>
      <c r="AK61" s="224">
        <v>35716.087326242661</v>
      </c>
      <c r="AL61" s="224">
        <v>42482.181893433779</v>
      </c>
      <c r="AM61" s="224">
        <v>41479.73732560833</v>
      </c>
      <c r="AN61" s="224">
        <v>40645.555824675015</v>
      </c>
      <c r="AO61" s="224">
        <v>41796.51616332501</v>
      </c>
      <c r="AP61" s="224">
        <v>50525.354824133334</v>
      </c>
      <c r="AQ61" s="224">
        <v>52829.616650290955</v>
      </c>
      <c r="AR61" s="224">
        <v>52511.930152300018</v>
      </c>
      <c r="AS61" s="224">
        <v>55790.756875746702</v>
      </c>
      <c r="AT61" s="224">
        <v>71801.507768428695</v>
      </c>
      <c r="AU61" s="224">
        <v>84612.136765535004</v>
      </c>
      <c r="AV61" s="224">
        <v>80485.054472168398</v>
      </c>
    </row>
    <row r="62" spans="2:48" ht="13.5" thickBot="1">
      <c r="B62" s="214" t="s">
        <v>59</v>
      </c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24">
        <v>0</v>
      </c>
      <c r="Y62" s="224"/>
      <c r="Z62" s="224"/>
      <c r="AA62" s="224">
        <v>0</v>
      </c>
      <c r="AB62" s="224">
        <v>0</v>
      </c>
      <c r="AC62" s="224">
        <v>0</v>
      </c>
      <c r="AD62" s="224">
        <v>0</v>
      </c>
      <c r="AE62" s="224">
        <v>0</v>
      </c>
      <c r="AF62" s="224">
        <v>0</v>
      </c>
      <c r="AG62" s="224">
        <v>0</v>
      </c>
      <c r="AH62" s="224">
        <v>0</v>
      </c>
      <c r="AI62" s="224">
        <v>0</v>
      </c>
      <c r="AJ62" s="224">
        <v>0</v>
      </c>
      <c r="AK62" s="224">
        <v>0</v>
      </c>
      <c r="AL62" s="224">
        <v>0</v>
      </c>
      <c r="AM62" s="224">
        <v>0</v>
      </c>
      <c r="AN62" s="224">
        <v>0</v>
      </c>
      <c r="AO62" s="224">
        <v>0</v>
      </c>
      <c r="AP62" s="224">
        <v>0</v>
      </c>
      <c r="AQ62" s="224">
        <v>0</v>
      </c>
      <c r="AR62" s="224">
        <v>0</v>
      </c>
      <c r="AS62" s="224">
        <v>898.88731258333405</v>
      </c>
      <c r="AT62" s="224">
        <v>1932.3718153753434</v>
      </c>
      <c r="AU62" s="224">
        <v>5363.7660378199853</v>
      </c>
      <c r="AV62" s="224">
        <v>12434.464144364611</v>
      </c>
    </row>
    <row r="63" spans="2:48" ht="13.5" thickBot="1">
      <c r="B63" s="216" t="s">
        <v>61</v>
      </c>
      <c r="C63" s="225"/>
      <c r="D63" s="225"/>
      <c r="E63" s="225"/>
      <c r="F63" s="225"/>
      <c r="G63" s="225"/>
      <c r="H63" s="225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>
        <f>SUM(S60:S62)</f>
        <v>44855</v>
      </c>
      <c r="T63" s="225">
        <f t="shared" ref="T63:AU63" si="34">SUM(T60:T62)</f>
        <v>46832</v>
      </c>
      <c r="U63" s="225">
        <f t="shared" si="34"/>
        <v>103945</v>
      </c>
      <c r="V63" s="225">
        <f t="shared" si="34"/>
        <v>104142</v>
      </c>
      <c r="W63" s="225">
        <f t="shared" si="34"/>
        <v>104151.78399999999</v>
      </c>
      <c r="X63" s="225">
        <f t="shared" si="34"/>
        <v>114516.71799999999</v>
      </c>
      <c r="Y63" s="225">
        <f t="shared" si="34"/>
        <v>118771.93800000001</v>
      </c>
      <c r="Z63" s="225">
        <f t="shared" si="34"/>
        <v>130384.39</v>
      </c>
      <c r="AA63" s="225">
        <f t="shared" si="34"/>
        <v>134588.45600000001</v>
      </c>
      <c r="AB63" s="225">
        <f t="shared" si="34"/>
        <v>132485</v>
      </c>
      <c r="AC63" s="225">
        <f t="shared" si="34"/>
        <v>143041.69877295764</v>
      </c>
      <c r="AD63" s="225">
        <f t="shared" si="34"/>
        <v>163076.48948098061</v>
      </c>
      <c r="AE63" s="225">
        <f t="shared" si="34"/>
        <v>166813.34621435453</v>
      </c>
      <c r="AF63" s="225">
        <f t="shared" si="34"/>
        <v>140096.90019681811</v>
      </c>
      <c r="AG63" s="225">
        <f t="shared" si="34"/>
        <v>176814.9607499339</v>
      </c>
      <c r="AH63" s="225">
        <f t="shared" si="34"/>
        <v>175160.62941107701</v>
      </c>
      <c r="AI63" s="225">
        <f t="shared" si="34"/>
        <v>175407.69943115595</v>
      </c>
      <c r="AJ63" s="225">
        <f t="shared" si="34"/>
        <v>165402.68911194737</v>
      </c>
      <c r="AK63" s="225">
        <f t="shared" si="34"/>
        <v>168522.41115221434</v>
      </c>
      <c r="AL63" s="225">
        <f t="shared" si="34"/>
        <v>179173.07629966328</v>
      </c>
      <c r="AM63" s="225">
        <f t="shared" si="34"/>
        <v>183873.84820542255</v>
      </c>
      <c r="AN63" s="225">
        <f t="shared" si="34"/>
        <v>183175.27383720566</v>
      </c>
      <c r="AO63" s="225">
        <f t="shared" si="34"/>
        <v>182925.58035791607</v>
      </c>
      <c r="AP63" s="225">
        <f t="shared" si="34"/>
        <v>191645.66880362298</v>
      </c>
      <c r="AQ63" s="225">
        <f t="shared" si="34"/>
        <v>204676.44195107848</v>
      </c>
      <c r="AR63" s="225">
        <f t="shared" si="34"/>
        <v>202488.61316945785</v>
      </c>
      <c r="AS63" s="225">
        <f t="shared" si="34"/>
        <v>220701.81160470453</v>
      </c>
      <c r="AT63" s="225">
        <f t="shared" si="34"/>
        <v>234430.10757484601</v>
      </c>
      <c r="AU63" s="225">
        <f t="shared" si="34"/>
        <v>260078.76919978802</v>
      </c>
      <c r="AV63" s="225">
        <f t="shared" ref="AV63" si="35">SUM(AV60:AV62)</f>
        <v>261038.399983493</v>
      </c>
    </row>
    <row r="64" spans="2:48" ht="13.5" thickBot="1">
      <c r="B64" s="218" t="s">
        <v>62</v>
      </c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>
        <v>5175</v>
      </c>
      <c r="T64" s="229">
        <v>4882</v>
      </c>
      <c r="U64" s="229">
        <v>4713</v>
      </c>
      <c r="V64" s="229">
        <v>5409</v>
      </c>
      <c r="W64" s="229">
        <v>5474</v>
      </c>
      <c r="X64" s="229">
        <v>4831</v>
      </c>
      <c r="Y64" s="229">
        <v>4230</v>
      </c>
      <c r="Z64" s="229">
        <v>4422</v>
      </c>
      <c r="AA64" s="226">
        <v>4008</v>
      </c>
      <c r="AB64" s="226">
        <v>4123.0590000000002</v>
      </c>
      <c r="AC64" s="226">
        <v>3952.0550000000003</v>
      </c>
      <c r="AD64" s="226">
        <v>4699.951</v>
      </c>
      <c r="AE64" s="226">
        <v>4618.2070000000003</v>
      </c>
      <c r="AF64" s="226">
        <v>4252.6400000000003</v>
      </c>
      <c r="AG64" s="226">
        <v>4188.42</v>
      </c>
      <c r="AH64" s="226">
        <v>4821.4679999999998</v>
      </c>
      <c r="AI64" s="226">
        <v>4591.29</v>
      </c>
      <c r="AJ64" s="226">
        <v>4219.7640000000001</v>
      </c>
      <c r="AK64" s="226">
        <v>4111.5019999999995</v>
      </c>
      <c r="AL64" s="226">
        <v>4791.6580000000004</v>
      </c>
      <c r="AM64" s="226">
        <v>4525.6329999999998</v>
      </c>
      <c r="AN64" s="226">
        <v>4384.375</v>
      </c>
      <c r="AO64" s="226">
        <v>4320.366</v>
      </c>
      <c r="AP64" s="226">
        <v>4856.5889999999999</v>
      </c>
      <c r="AQ64" s="226">
        <v>4802.6409999999996</v>
      </c>
      <c r="AR64" s="226">
        <v>4473.2950000000001</v>
      </c>
      <c r="AS64" s="226">
        <v>4161.357</v>
      </c>
      <c r="AT64" s="226">
        <v>4799.2849999999999</v>
      </c>
      <c r="AU64" s="226">
        <v>4844.5029999999997</v>
      </c>
      <c r="AV64" s="229">
        <v>4365.5450000000001</v>
      </c>
    </row>
    <row r="65" spans="2:48" ht="13.5" thickBot="1">
      <c r="B65" s="218" t="s">
        <v>63</v>
      </c>
      <c r="C65" s="218"/>
      <c r="D65" s="218"/>
      <c r="E65" s="218"/>
      <c r="F65" s="218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26">
        <v>1189.4610000001267</v>
      </c>
      <c r="AB65" s="226">
        <v>1495.743000000075</v>
      </c>
      <c r="AC65" s="226">
        <v>1821.7960000000894</v>
      </c>
      <c r="AD65" s="226">
        <v>2687.1800000000512</v>
      </c>
      <c r="AE65" s="226">
        <v>4304</v>
      </c>
      <c r="AF65" s="226">
        <v>3883.6739999999991</v>
      </c>
      <c r="AG65" s="226">
        <v>4904.8229999999749</v>
      </c>
      <c r="AH65" s="226">
        <v>39410.716000000364</v>
      </c>
      <c r="AI65" s="226">
        <v>10141.310000000056</v>
      </c>
      <c r="AJ65" s="230">
        <v>8073.7467816945864</v>
      </c>
      <c r="AK65" s="226">
        <v>11672.576000000001</v>
      </c>
      <c r="AL65" s="226">
        <v>20858.946999999811</v>
      </c>
      <c r="AM65" s="226">
        <v>26558.124999999767</v>
      </c>
      <c r="AN65" s="230">
        <v>26512.687999999733</v>
      </c>
      <c r="AO65" s="230">
        <v>26766.719999999972</v>
      </c>
      <c r="AP65" s="230">
        <v>40834.783999999985</v>
      </c>
      <c r="AQ65" s="230">
        <v>51509.20000000007</v>
      </c>
      <c r="AR65" s="230">
        <v>55037.837999999989</v>
      </c>
      <c r="AS65" s="230">
        <v>55120.550000000047</v>
      </c>
      <c r="AT65" s="230">
        <v>76549.852000000072</v>
      </c>
      <c r="AU65" s="230">
        <v>88382.469000000041</v>
      </c>
      <c r="AV65" s="219">
        <v>84095.368000000133</v>
      </c>
    </row>
    <row r="66" spans="2:48" ht="13.5" thickBot="1">
      <c r="B66" s="221" t="s">
        <v>72</v>
      </c>
      <c r="C66" s="225"/>
      <c r="D66" s="225"/>
      <c r="E66" s="225"/>
      <c r="F66" s="225"/>
      <c r="G66" s="225"/>
      <c r="H66" s="225"/>
      <c r="I66" s="225"/>
      <c r="J66" s="225"/>
      <c r="K66" s="225"/>
      <c r="L66" s="225"/>
      <c r="M66" s="225"/>
      <c r="N66" s="225"/>
      <c r="O66" s="225"/>
      <c r="P66" s="225"/>
      <c r="Q66" s="225"/>
      <c r="R66" s="225"/>
      <c r="S66" s="222">
        <f t="shared" ref="S66:AS66" si="36">SUM(S59,S63:S65)</f>
        <v>946024</v>
      </c>
      <c r="T66" s="222">
        <f t="shared" si="36"/>
        <v>932544</v>
      </c>
      <c r="U66" s="222">
        <f t="shared" si="36"/>
        <v>837730</v>
      </c>
      <c r="V66" s="222">
        <f t="shared" si="36"/>
        <v>910793</v>
      </c>
      <c r="W66" s="222">
        <f t="shared" si="36"/>
        <v>946000.86499999999</v>
      </c>
      <c r="X66" s="222">
        <f t="shared" si="36"/>
        <v>885216.35799999989</v>
      </c>
      <c r="Y66" s="222">
        <f t="shared" si="36"/>
        <v>870993.60999999987</v>
      </c>
      <c r="Z66" s="222">
        <f t="shared" si="36"/>
        <v>974512.95700000005</v>
      </c>
      <c r="AA66" s="217">
        <f t="shared" si="36"/>
        <v>961765.13500000001</v>
      </c>
      <c r="AB66" s="217">
        <f t="shared" si="36"/>
        <v>643861.68299999996</v>
      </c>
      <c r="AC66" s="217">
        <f t="shared" si="36"/>
        <v>863540.92277295771</v>
      </c>
      <c r="AD66" s="217">
        <f t="shared" si="36"/>
        <v>1041882.7024809807</v>
      </c>
      <c r="AE66" s="217">
        <f t="shared" si="36"/>
        <v>1031911.0082143546</v>
      </c>
      <c r="AF66" s="217">
        <f t="shared" si="36"/>
        <v>882174.8321968182</v>
      </c>
      <c r="AG66" s="217">
        <f t="shared" si="36"/>
        <v>877847.94974993379</v>
      </c>
      <c r="AH66" s="217">
        <f t="shared" si="36"/>
        <v>1063339.0554110771</v>
      </c>
      <c r="AI66" s="217">
        <f t="shared" si="36"/>
        <v>1045737.0114311561</v>
      </c>
      <c r="AJ66" s="217">
        <f t="shared" si="36"/>
        <v>945641.13011194731</v>
      </c>
      <c r="AK66" s="217">
        <f t="shared" si="36"/>
        <v>907664.66915221419</v>
      </c>
      <c r="AL66" s="217">
        <f t="shared" si="36"/>
        <v>1085988.7762996634</v>
      </c>
      <c r="AM66" s="217">
        <f t="shared" si="36"/>
        <v>1070524.6982054221</v>
      </c>
      <c r="AN66" s="217">
        <f t="shared" si="36"/>
        <v>981462.9268372053</v>
      </c>
      <c r="AO66" s="217">
        <f t="shared" si="36"/>
        <v>947105.45335791621</v>
      </c>
      <c r="AP66" s="217">
        <f t="shared" si="36"/>
        <v>1082911.7778036231</v>
      </c>
      <c r="AQ66" s="217">
        <f t="shared" si="36"/>
        <v>1136336.8569510784</v>
      </c>
      <c r="AR66" s="217">
        <f t="shared" si="36"/>
        <v>1094988.2291694579</v>
      </c>
      <c r="AS66" s="217">
        <f t="shared" si="36"/>
        <v>1016099.4426047044</v>
      </c>
      <c r="AT66" s="217">
        <f t="shared" ref="AT66:AU66" si="37">SUM(AT59,AT63:AT65)</f>
        <v>1174354.2385748462</v>
      </c>
      <c r="AU66" s="217">
        <f t="shared" si="37"/>
        <v>1258887.7681997884</v>
      </c>
      <c r="AV66" s="217">
        <f t="shared" ref="AV66" si="38">SUM(AV59,AV63:AV65)</f>
        <v>1185197.2389834928</v>
      </c>
    </row>
    <row r="67" spans="2:48" ht="13.5" thickBot="1">
      <c r="B67" s="216" t="s">
        <v>65</v>
      </c>
      <c r="C67" s="216"/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22">
        <f t="shared" ref="S67:AS67" si="39">S66-S65</f>
        <v>946024</v>
      </c>
      <c r="T67" s="222">
        <f t="shared" si="39"/>
        <v>932544</v>
      </c>
      <c r="U67" s="222">
        <f t="shared" si="39"/>
        <v>837730</v>
      </c>
      <c r="V67" s="222">
        <f t="shared" si="39"/>
        <v>910793</v>
      </c>
      <c r="W67" s="222">
        <f t="shared" si="39"/>
        <v>946000.86499999999</v>
      </c>
      <c r="X67" s="222">
        <f t="shared" si="39"/>
        <v>885216.35799999989</v>
      </c>
      <c r="Y67" s="222">
        <f t="shared" si="39"/>
        <v>870993.60999999987</v>
      </c>
      <c r="Z67" s="222">
        <f t="shared" si="39"/>
        <v>974512.95700000005</v>
      </c>
      <c r="AA67" s="217">
        <f t="shared" si="39"/>
        <v>960575.67399999988</v>
      </c>
      <c r="AB67" s="217">
        <f t="shared" si="39"/>
        <v>642365.93999999994</v>
      </c>
      <c r="AC67" s="217">
        <f t="shared" si="39"/>
        <v>861719.12677295762</v>
      </c>
      <c r="AD67" s="217">
        <f t="shared" si="39"/>
        <v>1039195.5224809806</v>
      </c>
      <c r="AE67" s="217">
        <f t="shared" si="39"/>
        <v>1027607.0082143546</v>
      </c>
      <c r="AF67" s="217">
        <f t="shared" si="39"/>
        <v>878291.1581968182</v>
      </c>
      <c r="AG67" s="217">
        <f t="shared" si="39"/>
        <v>872943.12674993381</v>
      </c>
      <c r="AH67" s="217">
        <f t="shared" si="39"/>
        <v>1023928.3394110767</v>
      </c>
      <c r="AI67" s="217">
        <f t="shared" si="39"/>
        <v>1035595.701431156</v>
      </c>
      <c r="AJ67" s="217">
        <f t="shared" si="39"/>
        <v>937567.38333025272</v>
      </c>
      <c r="AK67" s="217">
        <f t="shared" si="39"/>
        <v>895992.09315221419</v>
      </c>
      <c r="AL67" s="217">
        <f t="shared" si="39"/>
        <v>1065129.8292996637</v>
      </c>
      <c r="AM67" s="217">
        <f t="shared" si="39"/>
        <v>1043966.5732054224</v>
      </c>
      <c r="AN67" s="217">
        <f t="shared" si="39"/>
        <v>954950.23883720557</v>
      </c>
      <c r="AO67" s="217">
        <f t="shared" si="39"/>
        <v>920338.73335791624</v>
      </c>
      <c r="AP67" s="217">
        <f t="shared" si="39"/>
        <v>1042076.9938036231</v>
      </c>
      <c r="AQ67" s="217">
        <f t="shared" si="39"/>
        <v>1084827.6569510782</v>
      </c>
      <c r="AR67" s="217">
        <f t="shared" si="39"/>
        <v>1039950.3911694579</v>
      </c>
      <c r="AS67" s="217">
        <f t="shared" si="39"/>
        <v>960978.89260470436</v>
      </c>
      <c r="AT67" s="217">
        <f t="shared" ref="AT67:AU67" si="40">AT66-AT65</f>
        <v>1097804.3865748462</v>
      </c>
      <c r="AU67" s="217">
        <f t="shared" si="40"/>
        <v>1170505.2991997884</v>
      </c>
      <c r="AV67" s="217">
        <f t="shared" ref="AV67" si="41">AV66-AV65</f>
        <v>1101101.8709834926</v>
      </c>
    </row>
    <row r="68" spans="2:48">
      <c r="B68" s="227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  <c r="AJ68" s="228"/>
      <c r="AK68" s="228"/>
      <c r="AL68" s="228"/>
      <c r="AM68" s="228"/>
      <c r="AN68" s="228"/>
      <c r="AO68" s="228"/>
      <c r="AP68" s="228"/>
      <c r="AQ68" s="228"/>
      <c r="AR68" s="228"/>
      <c r="AS68" s="228"/>
      <c r="AT68" s="228"/>
      <c r="AU68" s="228"/>
      <c r="AV68" s="228"/>
    </row>
    <row r="69" spans="2:48">
      <c r="B69" s="212" t="s">
        <v>73</v>
      </c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</row>
    <row r="70" spans="2:48">
      <c r="B70" s="214" t="s">
        <v>56</v>
      </c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  <c r="S70" s="215"/>
      <c r="T70" s="215"/>
      <c r="U70" s="215"/>
      <c r="V70" s="215"/>
      <c r="W70" s="215"/>
      <c r="X70" s="224"/>
      <c r="Y70" s="224"/>
      <c r="Z70" s="224"/>
      <c r="AA70" s="224"/>
      <c r="AB70" s="224"/>
      <c r="AC70" s="224"/>
      <c r="AD70" s="224"/>
      <c r="AE70" s="224"/>
      <c r="AF70" s="224"/>
      <c r="AG70" s="224">
        <v>791266.68700000003</v>
      </c>
      <c r="AH70" s="224">
        <v>735382.34299999999</v>
      </c>
      <c r="AI70" s="224">
        <v>882953.85000000009</v>
      </c>
      <c r="AJ70" s="224">
        <v>772368.01199999999</v>
      </c>
      <c r="AK70" s="224">
        <v>692809.84</v>
      </c>
      <c r="AL70" s="224">
        <v>704101.08400000003</v>
      </c>
      <c r="AM70" s="224">
        <v>893471.65899999999</v>
      </c>
      <c r="AN70" s="224">
        <v>708683.77399999998</v>
      </c>
      <c r="AO70" s="224">
        <v>762165.49100000004</v>
      </c>
      <c r="AP70" s="224">
        <v>776725.21099999989</v>
      </c>
      <c r="AQ70" s="224">
        <v>1009499.9350000001</v>
      </c>
      <c r="AR70" s="224">
        <v>794411.32900000003</v>
      </c>
      <c r="AS70" s="224">
        <v>797373.84500000009</v>
      </c>
      <c r="AT70" s="224">
        <v>806435.98</v>
      </c>
      <c r="AU70" s="224">
        <v>1015983.5299999999</v>
      </c>
      <c r="AV70" s="224">
        <v>786428.72600000002</v>
      </c>
    </row>
    <row r="71" spans="2:48">
      <c r="B71" s="214" t="s">
        <v>57</v>
      </c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24"/>
      <c r="Y71" s="224"/>
      <c r="Z71" s="224"/>
      <c r="AA71" s="224"/>
      <c r="AB71" s="224"/>
      <c r="AC71" s="224"/>
      <c r="AD71" s="224"/>
      <c r="AE71" s="224"/>
      <c r="AF71" s="224"/>
      <c r="AG71" s="224">
        <v>81462.850999999995</v>
      </c>
      <c r="AH71" s="224">
        <v>70180.275999999998</v>
      </c>
      <c r="AI71" s="224">
        <v>74180.951000000001</v>
      </c>
      <c r="AJ71" s="224">
        <v>83127.759000000005</v>
      </c>
      <c r="AK71" s="224">
        <v>71569.86</v>
      </c>
      <c r="AL71" s="224">
        <v>71043.411999999997</v>
      </c>
      <c r="AM71" s="224">
        <v>68517.292000000001</v>
      </c>
      <c r="AN71" s="224">
        <v>76192.837</v>
      </c>
      <c r="AO71" s="224">
        <v>66057.933999999994</v>
      </c>
      <c r="AP71" s="224">
        <v>60673.021000000001</v>
      </c>
      <c r="AQ71" s="224">
        <v>58999.346999999994</v>
      </c>
      <c r="AR71" s="224">
        <v>63670.599000000002</v>
      </c>
      <c r="AS71" s="224">
        <v>56386.465000000004</v>
      </c>
      <c r="AT71" s="224">
        <v>53207.491000000002</v>
      </c>
      <c r="AU71" s="224">
        <v>48974.362999999998</v>
      </c>
      <c r="AV71" s="224">
        <v>46258.673999999999</v>
      </c>
    </row>
    <row r="72" spans="2:48">
      <c r="B72" s="214" t="s">
        <v>58</v>
      </c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24"/>
      <c r="Y72" s="224"/>
      <c r="Z72" s="224"/>
      <c r="AA72" s="224"/>
      <c r="AB72" s="224"/>
      <c r="AC72" s="224"/>
      <c r="AD72" s="224"/>
      <c r="AE72" s="224"/>
      <c r="AF72" s="224"/>
      <c r="AG72" s="224">
        <v>322158.96899999998</v>
      </c>
      <c r="AH72" s="224">
        <v>336435.44700000004</v>
      </c>
      <c r="AI72" s="224">
        <v>421778.57800000004</v>
      </c>
      <c r="AJ72" s="224">
        <v>357969.46299999999</v>
      </c>
      <c r="AK72" s="224">
        <v>301519.288</v>
      </c>
      <c r="AL72" s="224">
        <v>347614.174</v>
      </c>
      <c r="AM72" s="224">
        <v>446085.41099999996</v>
      </c>
      <c r="AN72" s="224">
        <v>346491.65299999999</v>
      </c>
      <c r="AO72" s="224">
        <v>334607.89600000001</v>
      </c>
      <c r="AP72" s="224">
        <v>358849.97200000001</v>
      </c>
      <c r="AQ72" s="224">
        <v>445472.47000000003</v>
      </c>
      <c r="AR72" s="224">
        <v>356428.62200000003</v>
      </c>
      <c r="AS72" s="224">
        <v>323569.70499999996</v>
      </c>
      <c r="AT72" s="224">
        <v>340229.05699999997</v>
      </c>
      <c r="AU72" s="224">
        <v>417660.35600000003</v>
      </c>
      <c r="AV72" s="224">
        <v>309983.34000000003</v>
      </c>
    </row>
    <row r="73" spans="2:48" ht="13.5" thickBot="1">
      <c r="B73" s="214" t="s">
        <v>59</v>
      </c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  <c r="N73" s="215"/>
      <c r="O73" s="215"/>
      <c r="P73" s="215"/>
      <c r="Q73" s="215"/>
      <c r="R73" s="215"/>
      <c r="S73" s="215"/>
      <c r="T73" s="215"/>
      <c r="U73" s="215"/>
      <c r="V73" s="215"/>
      <c r="W73" s="215"/>
      <c r="X73" s="224"/>
      <c r="Y73" s="224"/>
      <c r="Z73" s="224"/>
      <c r="AA73" s="224"/>
      <c r="AB73" s="224"/>
      <c r="AC73" s="224"/>
      <c r="AD73" s="224"/>
      <c r="AE73" s="224"/>
      <c r="AF73" s="224"/>
      <c r="AG73" s="224">
        <v>253649.70999999996</v>
      </c>
      <c r="AH73" s="224">
        <v>262193.21799999999</v>
      </c>
      <c r="AI73" s="224">
        <v>428548.25599999999</v>
      </c>
      <c r="AJ73" s="224">
        <v>298594.32800000004</v>
      </c>
      <c r="AK73" s="224">
        <v>247649.1</v>
      </c>
      <c r="AL73" s="224">
        <v>274386.06900000002</v>
      </c>
      <c r="AM73" s="224">
        <v>473612.076</v>
      </c>
      <c r="AN73" s="224">
        <v>293384.11599999998</v>
      </c>
      <c r="AO73" s="224">
        <v>259071.30799999999</v>
      </c>
      <c r="AP73" s="224">
        <v>273801.12800000008</v>
      </c>
      <c r="AQ73" s="224">
        <v>428295.95799999998</v>
      </c>
      <c r="AR73" s="224">
        <v>289771.15299999999</v>
      </c>
      <c r="AS73" s="224">
        <v>228287.054</v>
      </c>
      <c r="AT73" s="224">
        <v>234084.20700000017</v>
      </c>
      <c r="AU73" s="224">
        <v>392760.97399999981</v>
      </c>
      <c r="AV73" s="224">
        <v>254881.5120000001</v>
      </c>
    </row>
    <row r="74" spans="2:48" ht="13.5" thickBot="1">
      <c r="B74" s="221" t="s">
        <v>60</v>
      </c>
      <c r="C74" s="225"/>
      <c r="D74" s="225"/>
      <c r="E74" s="225"/>
      <c r="F74" s="225"/>
      <c r="G74" s="225"/>
      <c r="H74" s="225"/>
      <c r="I74" s="225"/>
      <c r="J74" s="225"/>
      <c r="K74" s="225"/>
      <c r="L74" s="225"/>
      <c r="M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X74" s="225"/>
      <c r="Y74" s="225"/>
      <c r="Z74" s="225"/>
      <c r="AA74" s="225"/>
      <c r="AB74" s="225"/>
      <c r="AC74" s="225"/>
      <c r="AD74" s="225"/>
      <c r="AE74" s="225"/>
      <c r="AF74" s="225"/>
      <c r="AG74" s="225">
        <f>SUM(AG70:AG73)</f>
        <v>1448538.2169999999</v>
      </c>
      <c r="AH74" s="225">
        <f t="shared" ref="AH74:AU74" si="42">SUM(AH70:AH73)</f>
        <v>1404191.284</v>
      </c>
      <c r="AI74" s="225">
        <f t="shared" si="42"/>
        <v>1807461.6350000002</v>
      </c>
      <c r="AJ74" s="225">
        <f t="shared" si="42"/>
        <v>1512059.5619999999</v>
      </c>
      <c r="AK74" s="225">
        <f t="shared" si="42"/>
        <v>1313548.088</v>
      </c>
      <c r="AL74" s="225">
        <f t="shared" si="42"/>
        <v>1397144.7390000001</v>
      </c>
      <c r="AM74" s="225">
        <f t="shared" si="42"/>
        <v>1881686.4380000001</v>
      </c>
      <c r="AN74" s="225">
        <f t="shared" si="42"/>
        <v>1424752.38</v>
      </c>
      <c r="AO74" s="225">
        <f t="shared" si="42"/>
        <v>1421902.629</v>
      </c>
      <c r="AP74" s="225">
        <f t="shared" si="42"/>
        <v>1470049.3319999999</v>
      </c>
      <c r="AQ74" s="225">
        <f t="shared" si="42"/>
        <v>1942267.71</v>
      </c>
      <c r="AR74" s="225">
        <f t="shared" si="42"/>
        <v>1504281.703</v>
      </c>
      <c r="AS74" s="225">
        <f t="shared" si="42"/>
        <v>1405617.0690000001</v>
      </c>
      <c r="AT74" s="225">
        <f t="shared" si="42"/>
        <v>1433956.7350000001</v>
      </c>
      <c r="AU74" s="225">
        <f t="shared" si="42"/>
        <v>1875379.2229999998</v>
      </c>
      <c r="AV74" s="225">
        <f t="shared" ref="AV74" si="43">SUM(AV70:AV73)</f>
        <v>1397552.2520000001</v>
      </c>
    </row>
    <row r="75" spans="2:48">
      <c r="B75" s="214" t="s">
        <v>57</v>
      </c>
      <c r="C75" s="215"/>
      <c r="D75" s="215"/>
      <c r="E75" s="215"/>
      <c r="F75" s="215"/>
      <c r="G75" s="215"/>
      <c r="H75" s="215"/>
      <c r="I75" s="215"/>
      <c r="J75" s="215"/>
      <c r="K75" s="215"/>
      <c r="L75" s="215"/>
      <c r="M75" s="215"/>
      <c r="N75" s="215"/>
      <c r="O75" s="215"/>
      <c r="P75" s="215"/>
      <c r="Q75" s="215"/>
      <c r="R75" s="215"/>
      <c r="S75" s="215"/>
      <c r="T75" s="215"/>
      <c r="U75" s="215"/>
      <c r="V75" s="215"/>
      <c r="W75" s="215"/>
      <c r="X75" s="224"/>
      <c r="Y75" s="224"/>
      <c r="Z75" s="224"/>
      <c r="AA75" s="224"/>
      <c r="AB75" s="224"/>
      <c r="AC75" s="224"/>
      <c r="AD75" s="224"/>
      <c r="AE75" s="224"/>
      <c r="AF75" s="224"/>
      <c r="AG75" s="224">
        <v>253451.57379202993</v>
      </c>
      <c r="AH75" s="224">
        <v>242040.12885091879</v>
      </c>
      <c r="AI75" s="224">
        <v>250531.48427951551</v>
      </c>
      <c r="AJ75" s="224">
        <v>271673.58942458121</v>
      </c>
      <c r="AK75" s="224">
        <v>266110.67031566764</v>
      </c>
      <c r="AL75" s="224">
        <v>255505.1945474844</v>
      </c>
      <c r="AM75" s="224">
        <v>266128.41167766531</v>
      </c>
      <c r="AN75" s="224">
        <v>276185.98539018072</v>
      </c>
      <c r="AO75" s="224">
        <v>274493.89640389627</v>
      </c>
      <c r="AP75" s="224">
        <v>262670.23385123163</v>
      </c>
      <c r="AQ75" s="224">
        <v>267109.64898222813</v>
      </c>
      <c r="AR75" s="224">
        <v>289601.10509141616</v>
      </c>
      <c r="AS75" s="224">
        <v>281504.93718686595</v>
      </c>
      <c r="AT75" s="224">
        <v>270543.444169664</v>
      </c>
      <c r="AU75" s="224">
        <v>270793.98172300198</v>
      </c>
      <c r="AV75" s="224">
        <v>276319.46664274501</v>
      </c>
    </row>
    <row r="76" spans="2:48">
      <c r="B76" s="214" t="s">
        <v>58</v>
      </c>
      <c r="C76" s="215"/>
      <c r="D76" s="215"/>
      <c r="E76" s="215"/>
      <c r="F76" s="215"/>
      <c r="G76" s="215"/>
      <c r="H76" s="215"/>
      <c r="I76" s="215"/>
      <c r="J76" s="215"/>
      <c r="K76" s="215"/>
      <c r="L76" s="215"/>
      <c r="M76" s="215"/>
      <c r="N76" s="215"/>
      <c r="O76" s="215"/>
      <c r="P76" s="215"/>
      <c r="Q76" s="215"/>
      <c r="R76" s="215"/>
      <c r="S76" s="215"/>
      <c r="T76" s="215"/>
      <c r="U76" s="215"/>
      <c r="V76" s="215"/>
      <c r="W76" s="215"/>
      <c r="X76" s="224"/>
      <c r="Y76" s="224"/>
      <c r="Z76" s="224"/>
      <c r="AA76" s="224"/>
      <c r="AB76" s="224"/>
      <c r="AC76" s="224"/>
      <c r="AD76" s="224"/>
      <c r="AE76" s="224"/>
      <c r="AF76" s="224"/>
      <c r="AG76" s="224">
        <v>103709.17317617621</v>
      </c>
      <c r="AH76" s="224">
        <v>140686.71476041814</v>
      </c>
      <c r="AI76" s="224">
        <v>156446.44112168986</v>
      </c>
      <c r="AJ76" s="224">
        <v>137364.38158485599</v>
      </c>
      <c r="AK76" s="224">
        <v>138294.97881289048</v>
      </c>
      <c r="AL76" s="224">
        <v>168674.37922114367</v>
      </c>
      <c r="AM76" s="224">
        <v>188979.92744228788</v>
      </c>
      <c r="AN76" s="224">
        <v>151966.61171204594</v>
      </c>
      <c r="AO76" s="224">
        <v>150209.30011316552</v>
      </c>
      <c r="AP76" s="224">
        <v>180405.38802707751</v>
      </c>
      <c r="AQ76" s="224">
        <v>211375.57251299283</v>
      </c>
      <c r="AR76" s="224">
        <v>172072.78666374186</v>
      </c>
      <c r="AS76" s="224">
        <v>171515.02128093268</v>
      </c>
      <c r="AT76" s="224">
        <v>212643.585524511</v>
      </c>
      <c r="AU76" s="224">
        <v>249755.68740030599</v>
      </c>
      <c r="AV76" s="224">
        <v>190761.42341519633</v>
      </c>
    </row>
    <row r="77" spans="2:48" ht="13.5" thickBot="1">
      <c r="B77" s="214" t="s">
        <v>59</v>
      </c>
      <c r="C77" s="215"/>
      <c r="D77" s="215"/>
      <c r="E77" s="215"/>
      <c r="F77" s="215"/>
      <c r="G77" s="215"/>
      <c r="H77" s="215"/>
      <c r="I77" s="215"/>
      <c r="J77" s="215"/>
      <c r="K77" s="215"/>
      <c r="L77" s="215"/>
      <c r="M77" s="215"/>
      <c r="N77" s="215"/>
      <c r="O77" s="215"/>
      <c r="P77" s="215"/>
      <c r="Q77" s="215"/>
      <c r="R77" s="215"/>
      <c r="S77" s="215"/>
      <c r="T77" s="215"/>
      <c r="U77" s="215"/>
      <c r="V77" s="215"/>
      <c r="W77" s="215"/>
      <c r="X77" s="224"/>
      <c r="Y77" s="224"/>
      <c r="Z77" s="224"/>
      <c r="AA77" s="224"/>
      <c r="AB77" s="224"/>
      <c r="AC77" s="224"/>
      <c r="AD77" s="224"/>
      <c r="AE77" s="224"/>
      <c r="AF77" s="224"/>
      <c r="AG77" s="224">
        <v>3037.3798254999997</v>
      </c>
      <c r="AH77" s="224">
        <v>12187.837056</v>
      </c>
      <c r="AI77" s="224">
        <v>12814.445483999998</v>
      </c>
      <c r="AJ77" s="224">
        <v>12816.411422000001</v>
      </c>
      <c r="AK77" s="224">
        <v>11458.618776000003</v>
      </c>
      <c r="AL77" s="224">
        <v>11942.012711166668</v>
      </c>
      <c r="AM77" s="224">
        <v>13201.590348000002</v>
      </c>
      <c r="AN77" s="224">
        <v>12438.574263000002</v>
      </c>
      <c r="AO77" s="224">
        <v>12120.669532104001</v>
      </c>
      <c r="AP77" s="224">
        <v>13686.180555000004</v>
      </c>
      <c r="AQ77" s="224">
        <v>16011.349685103309</v>
      </c>
      <c r="AR77" s="224">
        <v>18669.813490756958</v>
      </c>
      <c r="AS77" s="224">
        <v>22092.226427933179</v>
      </c>
      <c r="AT77" s="224">
        <v>25636.231541985006</v>
      </c>
      <c r="AU77" s="224">
        <v>31752.997326126035</v>
      </c>
      <c r="AV77" s="224">
        <v>41629.434747422041</v>
      </c>
    </row>
    <row r="78" spans="2:48" ht="13.5" thickBot="1">
      <c r="B78" s="216" t="s">
        <v>61</v>
      </c>
      <c r="C78" s="225"/>
      <c r="D78" s="225"/>
      <c r="E78" s="225"/>
      <c r="F78" s="225"/>
      <c r="G78" s="225"/>
      <c r="H78" s="225"/>
      <c r="I78" s="225"/>
      <c r="J78" s="225"/>
      <c r="K78" s="225"/>
      <c r="L78" s="225"/>
      <c r="M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X78" s="225"/>
      <c r="Y78" s="225"/>
      <c r="Z78" s="225"/>
      <c r="AA78" s="225"/>
      <c r="AB78" s="225"/>
      <c r="AC78" s="225"/>
      <c r="AD78" s="225"/>
      <c r="AE78" s="225"/>
      <c r="AF78" s="225"/>
      <c r="AG78" s="225">
        <f>SUM(AG75:AG77)</f>
        <v>360198.12679370615</v>
      </c>
      <c r="AH78" s="225">
        <f t="shared" ref="AH78:AU78" si="44">SUM(AH75:AH77)</f>
        <v>394914.68066733691</v>
      </c>
      <c r="AI78" s="225">
        <f t="shared" si="44"/>
        <v>419792.3708852054</v>
      </c>
      <c r="AJ78" s="225">
        <f t="shared" si="44"/>
        <v>421854.3824314372</v>
      </c>
      <c r="AK78" s="225">
        <f t="shared" si="44"/>
        <v>415864.2679045581</v>
      </c>
      <c r="AL78" s="225">
        <f t="shared" si="44"/>
        <v>436121.58647979476</v>
      </c>
      <c r="AM78" s="225">
        <f t="shared" si="44"/>
        <v>468309.92946795322</v>
      </c>
      <c r="AN78" s="225">
        <f t="shared" si="44"/>
        <v>440591.17136522668</v>
      </c>
      <c r="AO78" s="225">
        <f t="shared" si="44"/>
        <v>436823.86604916578</v>
      </c>
      <c r="AP78" s="225">
        <f t="shared" si="44"/>
        <v>456761.8024333092</v>
      </c>
      <c r="AQ78" s="225">
        <f t="shared" si="44"/>
        <v>494496.57118032424</v>
      </c>
      <c r="AR78" s="225">
        <f t="shared" si="44"/>
        <v>480343.70524591499</v>
      </c>
      <c r="AS78" s="225">
        <f t="shared" si="44"/>
        <v>475112.18489573186</v>
      </c>
      <c r="AT78" s="225">
        <f t="shared" si="44"/>
        <v>508823.26123616</v>
      </c>
      <c r="AU78" s="225">
        <f t="shared" si="44"/>
        <v>552302.66644943401</v>
      </c>
      <c r="AV78" s="225">
        <f t="shared" ref="AV78" si="45">SUM(AV75:AV77)</f>
        <v>508710.32480536337</v>
      </c>
    </row>
    <row r="79" spans="2:48" ht="13.5" thickBot="1">
      <c r="B79" s="218" t="s">
        <v>62</v>
      </c>
      <c r="C79" s="229"/>
      <c r="D79" s="229"/>
      <c r="E79" s="229"/>
      <c r="F79" s="229"/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  <c r="U79" s="229"/>
      <c r="V79" s="229"/>
      <c r="W79" s="229"/>
      <c r="X79" s="229"/>
      <c r="Y79" s="229"/>
      <c r="Z79" s="229"/>
      <c r="AA79" s="229"/>
      <c r="AB79" s="229"/>
      <c r="AC79" s="229"/>
      <c r="AD79" s="229"/>
      <c r="AE79" s="229"/>
      <c r="AF79" s="229"/>
      <c r="AG79" s="229">
        <v>11439.867</v>
      </c>
      <c r="AH79" s="229">
        <v>12420.375</v>
      </c>
      <c r="AI79" s="226">
        <v>15151.186764256006</v>
      </c>
      <c r="AJ79" s="226">
        <v>14632.198761490028</v>
      </c>
      <c r="AK79" s="226">
        <v>12600.839453161738</v>
      </c>
      <c r="AL79" s="226">
        <v>12959.749186542269</v>
      </c>
      <c r="AM79" s="226">
        <v>16404.885351480421</v>
      </c>
      <c r="AN79" s="226">
        <v>13604.669417033212</v>
      </c>
      <c r="AO79" s="226">
        <v>13238.516325097564</v>
      </c>
      <c r="AP79" s="226">
        <v>14056.917965504097</v>
      </c>
      <c r="AQ79" s="226">
        <v>19552.020650945477</v>
      </c>
      <c r="AR79" s="226">
        <v>15750.640402166944</v>
      </c>
      <c r="AS79" s="226">
        <v>13309.000136122293</v>
      </c>
      <c r="AT79" s="226">
        <v>12394.38499049705</v>
      </c>
      <c r="AU79" s="226">
        <v>17445</v>
      </c>
      <c r="AV79" s="229">
        <v>16091.996294917386</v>
      </c>
    </row>
    <row r="80" spans="2:48" ht="13.5" thickBot="1">
      <c r="B80" s="218" t="s">
        <v>63</v>
      </c>
      <c r="C80" s="218"/>
      <c r="D80" s="218"/>
      <c r="E80" s="218"/>
      <c r="F80" s="218"/>
      <c r="G80" s="218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  <c r="AA80" s="218"/>
      <c r="AB80" s="218"/>
      <c r="AC80" s="218"/>
      <c r="AD80" s="218"/>
      <c r="AE80" s="218"/>
      <c r="AF80" s="218"/>
      <c r="AG80" s="218"/>
      <c r="AH80" s="218"/>
      <c r="AI80" s="226">
        <v>18785.152999999933</v>
      </c>
      <c r="AJ80" s="230">
        <v>19558.602999999886</v>
      </c>
      <c r="AK80" s="226">
        <v>18892.500999999931</v>
      </c>
      <c r="AL80" s="226">
        <v>22971.689999999944</v>
      </c>
      <c r="AM80" s="226">
        <v>28506.363999999827</v>
      </c>
      <c r="AN80" s="230">
        <v>35571.135000000242</v>
      </c>
      <c r="AO80" s="230">
        <v>28319.992999999784</v>
      </c>
      <c r="AP80" s="230">
        <v>40821.452000000048</v>
      </c>
      <c r="AQ80" s="230">
        <v>76644.091000000015</v>
      </c>
      <c r="AR80" s="230">
        <v>70479.936999999918</v>
      </c>
      <c r="AS80" s="230">
        <v>66410.485999999801</v>
      </c>
      <c r="AT80" s="230">
        <v>75659.810999999987</v>
      </c>
      <c r="AU80" s="230">
        <v>111795.29700000002</v>
      </c>
      <c r="AV80" s="219">
        <v>89132.628999999957</v>
      </c>
    </row>
    <row r="81" spans="2:48" ht="13.5" thickBot="1">
      <c r="B81" s="221" t="s">
        <v>74</v>
      </c>
      <c r="C81" s="225"/>
      <c r="D81" s="225"/>
      <c r="E81" s="225"/>
      <c r="F81" s="225"/>
      <c r="G81" s="225"/>
      <c r="H81" s="225"/>
      <c r="I81" s="225"/>
      <c r="J81" s="225"/>
      <c r="K81" s="225"/>
      <c r="L81" s="225"/>
      <c r="M81" s="225"/>
      <c r="N81" s="225"/>
      <c r="O81" s="225"/>
      <c r="P81" s="225"/>
      <c r="Q81" s="225"/>
      <c r="R81" s="225"/>
      <c r="S81" s="225"/>
      <c r="T81" s="225"/>
      <c r="U81" s="225"/>
      <c r="V81" s="225"/>
      <c r="W81" s="225"/>
      <c r="X81" s="225"/>
      <c r="Y81" s="225"/>
      <c r="Z81" s="225"/>
      <c r="AA81" s="225"/>
      <c r="AB81" s="225"/>
      <c r="AC81" s="225"/>
      <c r="AD81" s="225"/>
      <c r="AE81" s="225"/>
      <c r="AF81" s="225"/>
      <c r="AG81" s="222">
        <f t="shared" ref="AG81:AS81" si="46">SUM(AG74,AG78:AG80)</f>
        <v>1820176.2107937061</v>
      </c>
      <c r="AH81" s="222">
        <f t="shared" si="46"/>
        <v>1811526.339667337</v>
      </c>
      <c r="AI81" s="222">
        <f t="shared" si="46"/>
        <v>2261190.3456494617</v>
      </c>
      <c r="AJ81" s="222">
        <f t="shared" si="46"/>
        <v>1968104.746192927</v>
      </c>
      <c r="AK81" s="222">
        <f t="shared" si="46"/>
        <v>1760905.6963577198</v>
      </c>
      <c r="AL81" s="222">
        <f t="shared" si="46"/>
        <v>1869197.7646663371</v>
      </c>
      <c r="AM81" s="222">
        <f t="shared" si="46"/>
        <v>2394907.6168194339</v>
      </c>
      <c r="AN81" s="222">
        <f t="shared" si="46"/>
        <v>1914519.35578226</v>
      </c>
      <c r="AO81" s="222">
        <f t="shared" si="46"/>
        <v>1900285.0043742631</v>
      </c>
      <c r="AP81" s="222">
        <f t="shared" si="46"/>
        <v>1981689.5043988132</v>
      </c>
      <c r="AQ81" s="222">
        <f t="shared" si="46"/>
        <v>2532960.3928312697</v>
      </c>
      <c r="AR81" s="217">
        <f t="shared" si="46"/>
        <v>2070855.9856480819</v>
      </c>
      <c r="AS81" s="217">
        <f t="shared" si="46"/>
        <v>1960448.7400318542</v>
      </c>
      <c r="AT81" s="217">
        <f t="shared" ref="AT81:AU81" si="47">SUM(AT74,AT78:AT80)</f>
        <v>2030834.1922266572</v>
      </c>
      <c r="AU81" s="217">
        <f t="shared" si="47"/>
        <v>2556922.1864494337</v>
      </c>
      <c r="AV81" s="217">
        <f t="shared" ref="AV81" si="48">SUM(AV74,AV78:AV80)</f>
        <v>2011487.2021002807</v>
      </c>
    </row>
    <row r="82" spans="2:48" ht="13.5" thickBot="1">
      <c r="B82" s="216" t="s">
        <v>65</v>
      </c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22">
        <f t="shared" ref="AG82:AQ82" si="49">AG81-AG80</f>
        <v>1820176.2107937061</v>
      </c>
      <c r="AH82" s="222">
        <f t="shared" si="49"/>
        <v>1811526.339667337</v>
      </c>
      <c r="AI82" s="222">
        <f t="shared" si="49"/>
        <v>2242405.1926494618</v>
      </c>
      <c r="AJ82" s="222">
        <f t="shared" si="49"/>
        <v>1948546.1431929271</v>
      </c>
      <c r="AK82" s="222">
        <f t="shared" si="49"/>
        <v>1742013.1953577199</v>
      </c>
      <c r="AL82" s="222">
        <f t="shared" si="49"/>
        <v>1846226.0746663371</v>
      </c>
      <c r="AM82" s="222">
        <f t="shared" si="49"/>
        <v>2366401.2528194338</v>
      </c>
      <c r="AN82" s="222">
        <f t="shared" si="49"/>
        <v>1878948.2207822597</v>
      </c>
      <c r="AO82" s="222">
        <f t="shared" si="49"/>
        <v>1871965.0113742633</v>
      </c>
      <c r="AP82" s="222">
        <f t="shared" si="49"/>
        <v>1940868.0523988132</v>
      </c>
      <c r="AQ82" s="222">
        <f t="shared" si="49"/>
        <v>2456316.3018312696</v>
      </c>
      <c r="AR82" s="217">
        <f>AR81-AR80</f>
        <v>2000376.048648082</v>
      </c>
      <c r="AS82" s="217">
        <f>AS81-AS80</f>
        <v>1894038.2540318544</v>
      </c>
      <c r="AT82" s="217">
        <f>AT81-AT80</f>
        <v>1955174.3812266572</v>
      </c>
      <c r="AU82" s="217">
        <f>AU81-AU80</f>
        <v>2445126.8894494334</v>
      </c>
      <c r="AV82" s="217">
        <f>AV81-AV80</f>
        <v>1922354.5731002807</v>
      </c>
    </row>
    <row r="83" spans="2:48">
      <c r="B83" s="227"/>
      <c r="C83" s="228"/>
      <c r="D83" s="228"/>
      <c r="E83" s="228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  <c r="AV83" s="228"/>
    </row>
    <row r="84" spans="2:48">
      <c r="B84" s="212" t="s">
        <v>75</v>
      </c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</row>
    <row r="85" spans="2:48">
      <c r="B85" s="214" t="s">
        <v>56</v>
      </c>
      <c r="C85" s="215"/>
      <c r="D85" s="215"/>
      <c r="E85" s="215"/>
      <c r="F85" s="215"/>
      <c r="G85" s="215"/>
      <c r="H85" s="215"/>
      <c r="I85" s="215"/>
      <c r="J85" s="215"/>
      <c r="K85" s="215"/>
      <c r="L85" s="215"/>
      <c r="M85" s="215"/>
      <c r="N85" s="215"/>
      <c r="O85" s="215"/>
      <c r="P85" s="215"/>
      <c r="Q85" s="215"/>
      <c r="R85" s="215"/>
      <c r="S85" s="215"/>
      <c r="T85" s="215"/>
      <c r="U85" s="215"/>
      <c r="V85" s="215"/>
      <c r="W85" s="215"/>
      <c r="X85" s="224"/>
      <c r="Y85" s="224"/>
      <c r="Z85" s="224"/>
      <c r="AA85" s="224"/>
      <c r="AB85" s="224"/>
      <c r="AC85" s="224"/>
      <c r="AD85" s="224"/>
      <c r="AE85" s="224"/>
      <c r="AF85" s="224"/>
      <c r="AG85" s="224"/>
      <c r="AH85" s="224">
        <v>135814.52600000001</v>
      </c>
      <c r="AI85" s="224">
        <v>149836.17800000001</v>
      </c>
      <c r="AJ85" s="224">
        <v>149507.58899999998</v>
      </c>
      <c r="AK85" s="224">
        <v>155644.79999999999</v>
      </c>
      <c r="AL85" s="224">
        <v>145811.201</v>
      </c>
      <c r="AM85" s="224">
        <v>113953.71400000001</v>
      </c>
      <c r="AN85" s="224">
        <v>126363.05000000002</v>
      </c>
      <c r="AO85" s="224">
        <v>145326.83599999998</v>
      </c>
      <c r="AP85" s="224">
        <v>144483.03999999998</v>
      </c>
      <c r="AQ85" s="224">
        <v>131393.82399999999</v>
      </c>
      <c r="AR85" s="224">
        <v>160251.99099999998</v>
      </c>
      <c r="AS85" s="224">
        <v>173609.26699999999</v>
      </c>
      <c r="AT85" s="224">
        <v>205555.02</v>
      </c>
      <c r="AU85" s="224">
        <v>185143.133</v>
      </c>
      <c r="AV85" s="224">
        <v>189325.11900000001</v>
      </c>
    </row>
    <row r="86" spans="2:48">
      <c r="B86" s="214" t="s">
        <v>57</v>
      </c>
      <c r="C86" s="215"/>
      <c r="D86" s="215"/>
      <c r="E86" s="215"/>
      <c r="F86" s="215"/>
      <c r="G86" s="215"/>
      <c r="H86" s="215"/>
      <c r="I86" s="215"/>
      <c r="J86" s="215"/>
      <c r="K86" s="215"/>
      <c r="L86" s="215"/>
      <c r="M86" s="215"/>
      <c r="N86" s="215"/>
      <c r="O86" s="215"/>
      <c r="P86" s="215"/>
      <c r="Q86" s="215"/>
      <c r="R86" s="215"/>
      <c r="S86" s="215"/>
      <c r="T86" s="215"/>
      <c r="U86" s="215"/>
      <c r="V86" s="215"/>
      <c r="W86" s="215"/>
      <c r="X86" s="224"/>
      <c r="Y86" s="224"/>
      <c r="Z86" s="224"/>
      <c r="AA86" s="224"/>
      <c r="AB86" s="224"/>
      <c r="AC86" s="224"/>
      <c r="AD86" s="224"/>
      <c r="AE86" s="224"/>
      <c r="AF86" s="224"/>
      <c r="AG86" s="224"/>
      <c r="AH86" s="224">
        <v>23144.988000000005</v>
      </c>
      <c r="AI86" s="224">
        <v>26782.438000000002</v>
      </c>
      <c r="AJ86" s="224">
        <v>27499.660999999996</v>
      </c>
      <c r="AK86" s="224">
        <v>28205.064000000002</v>
      </c>
      <c r="AL86" s="224">
        <v>26612.148000000001</v>
      </c>
      <c r="AM86" s="224">
        <v>23746.163</v>
      </c>
      <c r="AN86" s="224">
        <v>29756.260000000002</v>
      </c>
      <c r="AO86" s="224">
        <v>22415.925999999999</v>
      </c>
      <c r="AP86" s="224">
        <v>23597.264999999999</v>
      </c>
      <c r="AQ86" s="224">
        <v>12852.902</v>
      </c>
      <c r="AR86" s="224">
        <v>7764.61</v>
      </c>
      <c r="AS86" s="224">
        <v>7468.1480000000001</v>
      </c>
      <c r="AT86" s="224">
        <v>7955.0129999999999</v>
      </c>
      <c r="AU86" s="224">
        <v>6982.0069999999996</v>
      </c>
      <c r="AV86" s="224">
        <v>8857.32</v>
      </c>
    </row>
    <row r="87" spans="2:48">
      <c r="B87" s="214" t="s">
        <v>58</v>
      </c>
      <c r="C87" s="215"/>
      <c r="D87" s="215"/>
      <c r="E87" s="215"/>
      <c r="F87" s="215"/>
      <c r="G87" s="215"/>
      <c r="H87" s="215"/>
      <c r="I87" s="215"/>
      <c r="J87" s="215"/>
      <c r="K87" s="215"/>
      <c r="L87" s="215"/>
      <c r="M87" s="215"/>
      <c r="N87" s="215"/>
      <c r="O87" s="215"/>
      <c r="P87" s="215"/>
      <c r="Q87" s="215"/>
      <c r="R87" s="215"/>
      <c r="S87" s="215"/>
      <c r="T87" s="215"/>
      <c r="U87" s="215"/>
      <c r="V87" s="215"/>
      <c r="W87" s="215"/>
      <c r="X87" s="224"/>
      <c r="Y87" s="224"/>
      <c r="Z87" s="224"/>
      <c r="AA87" s="224"/>
      <c r="AB87" s="224"/>
      <c r="AC87" s="224"/>
      <c r="AD87" s="224"/>
      <c r="AE87" s="224"/>
      <c r="AF87" s="224"/>
      <c r="AG87" s="224"/>
      <c r="AH87" s="224">
        <v>58966.430999999997</v>
      </c>
      <c r="AI87" s="224">
        <v>60487.913</v>
      </c>
      <c r="AJ87" s="224">
        <v>58068.364000000001</v>
      </c>
      <c r="AK87" s="224">
        <v>66236.955000000002</v>
      </c>
      <c r="AL87" s="224">
        <v>66341.75</v>
      </c>
      <c r="AM87" s="224">
        <v>55513.884999999995</v>
      </c>
      <c r="AN87" s="224">
        <v>60101.577999999994</v>
      </c>
      <c r="AO87" s="224">
        <v>66622.194000000003</v>
      </c>
      <c r="AP87" s="224">
        <v>68597.838000000003</v>
      </c>
      <c r="AQ87" s="224">
        <v>57919.494999999995</v>
      </c>
      <c r="AR87" s="224">
        <v>66745.243000000002</v>
      </c>
      <c r="AS87" s="224">
        <v>72140.138999999996</v>
      </c>
      <c r="AT87" s="224">
        <v>70514.077999999994</v>
      </c>
      <c r="AU87" s="224">
        <v>60688.745000000003</v>
      </c>
      <c r="AV87" s="224">
        <v>60966.063000000002</v>
      </c>
    </row>
    <row r="88" spans="2:48" ht="13.5" thickBot="1">
      <c r="B88" s="214" t="s">
        <v>59</v>
      </c>
      <c r="C88" s="215"/>
      <c r="D88" s="215"/>
      <c r="E88" s="215"/>
      <c r="F88" s="215"/>
      <c r="G88" s="215"/>
      <c r="H88" s="215"/>
      <c r="I88" s="215"/>
      <c r="J88" s="215"/>
      <c r="K88" s="215"/>
      <c r="L88" s="215"/>
      <c r="M88" s="215"/>
      <c r="N88" s="215"/>
      <c r="O88" s="215"/>
      <c r="P88" s="215"/>
      <c r="Q88" s="215"/>
      <c r="R88" s="215"/>
      <c r="S88" s="215"/>
      <c r="T88" s="215"/>
      <c r="U88" s="215"/>
      <c r="V88" s="215"/>
      <c r="W88" s="215"/>
      <c r="X88" s="224"/>
      <c r="Y88" s="224"/>
      <c r="Z88" s="224"/>
      <c r="AA88" s="224"/>
      <c r="AB88" s="224"/>
      <c r="AC88" s="224"/>
      <c r="AD88" s="224"/>
      <c r="AE88" s="224"/>
      <c r="AF88" s="224"/>
      <c r="AG88" s="224"/>
      <c r="AH88" s="224">
        <v>37993.707000000002</v>
      </c>
      <c r="AI88" s="224">
        <v>34435.851999999999</v>
      </c>
      <c r="AJ88" s="224">
        <v>36720.097000000002</v>
      </c>
      <c r="AK88" s="224">
        <v>39876.481</v>
      </c>
      <c r="AL88" s="224">
        <v>41479.100999999995</v>
      </c>
      <c r="AM88" s="224">
        <v>36393.448999999993</v>
      </c>
      <c r="AN88" s="224">
        <v>41984.758000000002</v>
      </c>
      <c r="AO88" s="224">
        <v>44114.858</v>
      </c>
      <c r="AP88" s="224">
        <v>89519.854999999996</v>
      </c>
      <c r="AQ88" s="224">
        <v>41747.786999999997</v>
      </c>
      <c r="AR88" s="224">
        <v>37771.006000000052</v>
      </c>
      <c r="AS88" s="224">
        <v>56434.067999999999</v>
      </c>
      <c r="AT88" s="224">
        <v>31921.10400000005</v>
      </c>
      <c r="AU88" s="224">
        <v>40411.53499999996</v>
      </c>
      <c r="AV88" s="224">
        <v>40679.02900000001</v>
      </c>
    </row>
    <row r="89" spans="2:48" ht="13.5" thickBot="1">
      <c r="B89" s="221" t="s">
        <v>60</v>
      </c>
      <c r="C89" s="225"/>
      <c r="D89" s="225"/>
      <c r="E89" s="225"/>
      <c r="F89" s="225"/>
      <c r="G89" s="225"/>
      <c r="H89" s="225"/>
      <c r="I89" s="225"/>
      <c r="J89" s="225"/>
      <c r="K89" s="225"/>
      <c r="L89" s="225"/>
      <c r="M89" s="225"/>
      <c r="N89" s="225"/>
      <c r="O89" s="225"/>
      <c r="P89" s="225"/>
      <c r="Q89" s="225"/>
      <c r="R89" s="225"/>
      <c r="S89" s="225"/>
      <c r="T89" s="225"/>
      <c r="U89" s="225"/>
      <c r="V89" s="225"/>
      <c r="W89" s="225"/>
      <c r="X89" s="225"/>
      <c r="Y89" s="225"/>
      <c r="Z89" s="225"/>
      <c r="AA89" s="225"/>
      <c r="AB89" s="225"/>
      <c r="AC89" s="225"/>
      <c r="AD89" s="225"/>
      <c r="AE89" s="225"/>
      <c r="AF89" s="225"/>
      <c r="AG89" s="225"/>
      <c r="AH89" s="225">
        <f>SUM(AH85:AH88)</f>
        <v>255919.652</v>
      </c>
      <c r="AI89" s="225">
        <f t="shared" ref="AI89:AU89" si="50">SUM(AI85:AI88)</f>
        <v>271542.38099999999</v>
      </c>
      <c r="AJ89" s="225">
        <f t="shared" si="50"/>
        <v>271795.71099999995</v>
      </c>
      <c r="AK89" s="225">
        <f t="shared" si="50"/>
        <v>289963.30000000005</v>
      </c>
      <c r="AL89" s="225">
        <f t="shared" si="50"/>
        <v>280244.19999999995</v>
      </c>
      <c r="AM89" s="225">
        <f t="shared" si="50"/>
        <v>229607.21099999998</v>
      </c>
      <c r="AN89" s="225">
        <f t="shared" si="50"/>
        <v>258205.64600000004</v>
      </c>
      <c r="AO89" s="225">
        <f t="shared" si="50"/>
        <v>278479.81400000001</v>
      </c>
      <c r="AP89" s="225">
        <f t="shared" si="50"/>
        <v>326197.99799999996</v>
      </c>
      <c r="AQ89" s="225">
        <f t="shared" si="50"/>
        <v>243914.00799999997</v>
      </c>
      <c r="AR89" s="225">
        <f t="shared" si="50"/>
        <v>272532.85000000003</v>
      </c>
      <c r="AS89" s="225">
        <f t="shared" si="50"/>
        <v>309651.62199999997</v>
      </c>
      <c r="AT89" s="225">
        <f t="shared" si="50"/>
        <v>315945.21500000003</v>
      </c>
      <c r="AU89" s="225">
        <f t="shared" si="50"/>
        <v>293225.42</v>
      </c>
      <c r="AV89" s="225">
        <f t="shared" ref="AV89" si="51">SUM(AV85:AV88)</f>
        <v>299827.53100000002</v>
      </c>
    </row>
    <row r="90" spans="2:48">
      <c r="B90" s="214" t="s">
        <v>57</v>
      </c>
      <c r="C90" s="215"/>
      <c r="D90" s="215"/>
      <c r="E90" s="215"/>
      <c r="F90" s="215"/>
      <c r="G90" s="215"/>
      <c r="H90" s="215"/>
      <c r="I90" s="215"/>
      <c r="J90" s="215"/>
      <c r="K90" s="215"/>
      <c r="L90" s="215"/>
      <c r="M90" s="215"/>
      <c r="N90" s="215"/>
      <c r="O90" s="215"/>
      <c r="P90" s="215"/>
      <c r="Q90" s="215"/>
      <c r="R90" s="215"/>
      <c r="S90" s="215"/>
      <c r="T90" s="215"/>
      <c r="U90" s="215"/>
      <c r="V90" s="215"/>
      <c r="W90" s="215"/>
      <c r="X90" s="224"/>
      <c r="Y90" s="224"/>
      <c r="Z90" s="224"/>
      <c r="AA90" s="224"/>
      <c r="AB90" s="224"/>
      <c r="AC90" s="224"/>
      <c r="AD90" s="224"/>
      <c r="AE90" s="224"/>
      <c r="AF90" s="224"/>
      <c r="AG90" s="224"/>
      <c r="AH90" s="224">
        <v>0</v>
      </c>
      <c r="AI90" s="224">
        <v>0</v>
      </c>
      <c r="AJ90" s="224">
        <v>0</v>
      </c>
      <c r="AK90" s="224">
        <v>0</v>
      </c>
      <c r="AL90" s="224">
        <v>0</v>
      </c>
      <c r="AM90" s="224">
        <v>0</v>
      </c>
      <c r="AN90" s="224">
        <v>1151.809</v>
      </c>
      <c r="AO90" s="224">
        <v>1238.3899999999999</v>
      </c>
      <c r="AP90" s="224">
        <v>1226.1600000000001</v>
      </c>
      <c r="AQ90" s="224">
        <v>791.23199999999997</v>
      </c>
      <c r="AR90" s="224">
        <v>1479.404</v>
      </c>
      <c r="AS90" s="224">
        <v>2092.4769999999999</v>
      </c>
      <c r="AT90" s="224">
        <v>1720.0351599999999</v>
      </c>
      <c r="AU90" s="224">
        <v>2187</v>
      </c>
      <c r="AV90" s="224">
        <v>2231.4960000000001</v>
      </c>
    </row>
    <row r="91" spans="2:48">
      <c r="B91" s="214" t="s">
        <v>58</v>
      </c>
      <c r="C91" s="215"/>
      <c r="D91" s="215"/>
      <c r="E91" s="215"/>
      <c r="F91" s="215"/>
      <c r="G91" s="215"/>
      <c r="H91" s="215"/>
      <c r="I91" s="215"/>
      <c r="J91" s="215"/>
      <c r="K91" s="215"/>
      <c r="L91" s="215"/>
      <c r="M91" s="215"/>
      <c r="N91" s="215"/>
      <c r="O91" s="215"/>
      <c r="P91" s="215"/>
      <c r="Q91" s="215"/>
      <c r="R91" s="215"/>
      <c r="S91" s="215"/>
      <c r="T91" s="215"/>
      <c r="U91" s="215"/>
      <c r="V91" s="215"/>
      <c r="W91" s="215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>
        <v>266.62900000000002</v>
      </c>
      <c r="AI91" s="224">
        <v>592.73</v>
      </c>
      <c r="AJ91" s="224">
        <v>2075.94</v>
      </c>
      <c r="AK91" s="224">
        <v>2368.7993650413632</v>
      </c>
      <c r="AL91" s="224">
        <v>2389.3423749860699</v>
      </c>
      <c r="AM91" s="224">
        <v>2242.6710000000003</v>
      </c>
      <c r="AN91" s="224">
        <v>2536.904</v>
      </c>
      <c r="AO91" s="224">
        <v>2989.5550000000003</v>
      </c>
      <c r="AP91" s="224">
        <v>3004.6919999999996</v>
      </c>
      <c r="AQ91" s="224">
        <v>2651.0770000000002</v>
      </c>
      <c r="AR91" s="224">
        <v>2906.587</v>
      </c>
      <c r="AS91" s="224">
        <v>5633.067</v>
      </c>
      <c r="AT91" s="224">
        <v>9313.2817309999991</v>
      </c>
      <c r="AU91" s="224">
        <v>12525</v>
      </c>
      <c r="AV91" s="224">
        <v>15656</v>
      </c>
    </row>
    <row r="92" spans="2:48" ht="13.5" thickBot="1">
      <c r="B92" s="214" t="s">
        <v>59</v>
      </c>
      <c r="C92" s="215"/>
      <c r="D92" s="215"/>
      <c r="E92" s="215"/>
      <c r="F92" s="215"/>
      <c r="G92" s="215"/>
      <c r="H92" s="215"/>
      <c r="I92" s="215"/>
      <c r="J92" s="215"/>
      <c r="K92" s="215"/>
      <c r="L92" s="215"/>
      <c r="M92" s="215"/>
      <c r="N92" s="215"/>
      <c r="O92" s="215"/>
      <c r="P92" s="215"/>
      <c r="Q92" s="215"/>
      <c r="R92" s="215"/>
      <c r="S92" s="215"/>
      <c r="T92" s="215"/>
      <c r="U92" s="215"/>
      <c r="V92" s="215"/>
      <c r="W92" s="215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>
        <v>0</v>
      </c>
      <c r="AI92" s="224">
        <v>0</v>
      </c>
      <c r="AJ92" s="224">
        <v>0</v>
      </c>
      <c r="AK92" s="224">
        <v>0</v>
      </c>
      <c r="AL92" s="224">
        <v>0</v>
      </c>
      <c r="AM92" s="224">
        <v>0</v>
      </c>
      <c r="AN92" s="224">
        <v>0</v>
      </c>
      <c r="AO92" s="224">
        <v>0</v>
      </c>
      <c r="AP92" s="224">
        <v>0</v>
      </c>
      <c r="AQ92" s="224">
        <v>0</v>
      </c>
      <c r="AR92" s="224">
        <v>0</v>
      </c>
      <c r="AS92" s="224">
        <v>3672.03</v>
      </c>
      <c r="AT92" s="224">
        <v>3987.5321010000007</v>
      </c>
      <c r="AU92" s="224">
        <v>4074.9999999999977</v>
      </c>
      <c r="AV92" s="224">
        <v>3976.5040000000004</v>
      </c>
    </row>
    <row r="93" spans="2:48" ht="13.5" thickBot="1">
      <c r="B93" s="216" t="s">
        <v>61</v>
      </c>
      <c r="C93" s="225"/>
      <c r="D93" s="225"/>
      <c r="E93" s="225"/>
      <c r="F93" s="225"/>
      <c r="G93" s="225"/>
      <c r="H93" s="225"/>
      <c r="I93" s="225"/>
      <c r="J93" s="225"/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25"/>
      <c r="Y93" s="225"/>
      <c r="Z93" s="225"/>
      <c r="AA93" s="225"/>
      <c r="AB93" s="225"/>
      <c r="AC93" s="225"/>
      <c r="AD93" s="225"/>
      <c r="AE93" s="225"/>
      <c r="AF93" s="225"/>
      <c r="AG93" s="225"/>
      <c r="AH93" s="225">
        <f>SUM(AH90:AH92)</f>
        <v>266.62900000000002</v>
      </c>
      <c r="AI93" s="225">
        <f t="shared" ref="AI93:AU93" si="52">SUM(AI90:AI92)</f>
        <v>592.73</v>
      </c>
      <c r="AJ93" s="225">
        <f t="shared" si="52"/>
        <v>2075.94</v>
      </c>
      <c r="AK93" s="225">
        <f t="shared" si="52"/>
        <v>2368.7993650413632</v>
      </c>
      <c r="AL93" s="225">
        <f t="shared" si="52"/>
        <v>2389.3423749860699</v>
      </c>
      <c r="AM93" s="225">
        <f t="shared" si="52"/>
        <v>2242.6710000000003</v>
      </c>
      <c r="AN93" s="225">
        <f t="shared" si="52"/>
        <v>3688.7129999999997</v>
      </c>
      <c r="AO93" s="225">
        <f t="shared" si="52"/>
        <v>4227.9449999999997</v>
      </c>
      <c r="AP93" s="225">
        <f t="shared" si="52"/>
        <v>4230.8519999999999</v>
      </c>
      <c r="AQ93" s="225">
        <f t="shared" si="52"/>
        <v>3442.3090000000002</v>
      </c>
      <c r="AR93" s="225">
        <f t="shared" si="52"/>
        <v>4385.991</v>
      </c>
      <c r="AS93" s="225">
        <f t="shared" si="52"/>
        <v>11397.574000000001</v>
      </c>
      <c r="AT93" s="225">
        <f t="shared" si="52"/>
        <v>15020.848991999999</v>
      </c>
      <c r="AU93" s="225">
        <f t="shared" si="52"/>
        <v>18786.999999999996</v>
      </c>
      <c r="AV93" s="225">
        <f t="shared" ref="AV93" si="53">SUM(AV90:AV92)</f>
        <v>21864</v>
      </c>
    </row>
    <row r="94" spans="2:48" ht="13.5" thickBot="1">
      <c r="B94" s="218" t="s">
        <v>62</v>
      </c>
      <c r="C94" s="229"/>
      <c r="D94" s="229"/>
      <c r="E94" s="229"/>
      <c r="F94" s="229"/>
      <c r="G94" s="229"/>
      <c r="H94" s="229"/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  <c r="AA94" s="229"/>
      <c r="AB94" s="229"/>
      <c r="AC94" s="229"/>
      <c r="AD94" s="229"/>
      <c r="AE94" s="229"/>
      <c r="AF94" s="229"/>
      <c r="AG94" s="229"/>
      <c r="AH94" s="229"/>
      <c r="AI94" s="229"/>
      <c r="AJ94" s="229"/>
      <c r="AK94" s="229"/>
      <c r="AL94" s="229"/>
      <c r="AM94" s="229"/>
      <c r="AN94" s="229"/>
      <c r="AO94" s="229"/>
      <c r="AP94" s="229"/>
      <c r="AQ94" s="229"/>
      <c r="AR94" s="229"/>
      <c r="AS94" s="229"/>
      <c r="AT94" s="229"/>
      <c r="AU94" s="229"/>
      <c r="AV94" s="229">
        <v>0</v>
      </c>
    </row>
    <row r="95" spans="2:48" ht="13.5" thickBot="1">
      <c r="B95" s="218" t="s">
        <v>63</v>
      </c>
      <c r="C95" s="218"/>
      <c r="D95" s="218"/>
      <c r="E95" s="218"/>
      <c r="F95" s="218"/>
      <c r="G95" s="218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  <c r="AA95" s="218"/>
      <c r="AB95" s="218"/>
      <c r="AC95" s="218"/>
      <c r="AD95" s="218"/>
      <c r="AE95" s="218"/>
      <c r="AF95" s="218"/>
      <c r="AG95" s="218"/>
      <c r="AH95" s="218"/>
      <c r="AI95" s="226">
        <v>1159.1759999999776</v>
      </c>
      <c r="AJ95" s="230">
        <v>1369.1839999999938</v>
      </c>
      <c r="AK95" s="230">
        <v>2086.1066349586472</v>
      </c>
      <c r="AL95" s="226">
        <v>2872.9596250140457</v>
      </c>
      <c r="AM95" s="226">
        <v>2388.2050000000163</v>
      </c>
      <c r="AN95" s="230">
        <v>3130.9660000000003</v>
      </c>
      <c r="AO95" s="230">
        <v>4048.8220000000438</v>
      </c>
      <c r="AP95" s="230">
        <v>4835.0209999999643</v>
      </c>
      <c r="AQ95" s="230">
        <v>4458.6700000000419</v>
      </c>
      <c r="AR95" s="230">
        <v>6210.1520000000019</v>
      </c>
      <c r="AS95" s="230">
        <v>7752.7619999999879</v>
      </c>
      <c r="AT95" s="230">
        <v>10085.665999999968</v>
      </c>
      <c r="AU95" s="230">
        <v>10680</v>
      </c>
      <c r="AV95" s="219">
        <v>13520.869999999995</v>
      </c>
    </row>
    <row r="96" spans="2:48" ht="13.5" thickBot="1">
      <c r="B96" s="221" t="s">
        <v>76</v>
      </c>
      <c r="C96" s="225"/>
      <c r="D96" s="225"/>
      <c r="E96" s="225"/>
      <c r="F96" s="225"/>
      <c r="G96" s="225"/>
      <c r="H96" s="225"/>
      <c r="I96" s="225"/>
      <c r="J96" s="225"/>
      <c r="K96" s="225"/>
      <c r="L96" s="225"/>
      <c r="M96" s="225"/>
      <c r="N96" s="225"/>
      <c r="O96" s="225"/>
      <c r="P96" s="225"/>
      <c r="Q96" s="225"/>
      <c r="R96" s="225"/>
      <c r="S96" s="225"/>
      <c r="T96" s="225"/>
      <c r="U96" s="225"/>
      <c r="V96" s="225"/>
      <c r="W96" s="225"/>
      <c r="X96" s="225"/>
      <c r="Y96" s="225"/>
      <c r="Z96" s="225"/>
      <c r="AA96" s="225"/>
      <c r="AB96" s="225"/>
      <c r="AC96" s="225"/>
      <c r="AD96" s="225"/>
      <c r="AE96" s="225"/>
      <c r="AF96" s="225"/>
      <c r="AG96" s="225"/>
      <c r="AH96" s="222">
        <f t="shared" ref="AH96:AS96" si="54">SUM(AH89,AH93:AH95)</f>
        <v>256186.28099999999</v>
      </c>
      <c r="AI96" s="222">
        <f t="shared" si="54"/>
        <v>273294.28699999995</v>
      </c>
      <c r="AJ96" s="222">
        <f t="shared" si="54"/>
        <v>275240.83499999996</v>
      </c>
      <c r="AK96" s="222">
        <f t="shared" si="54"/>
        <v>294418.20600000006</v>
      </c>
      <c r="AL96" s="222">
        <f t="shared" si="54"/>
        <v>285506.50200000009</v>
      </c>
      <c r="AM96" s="222">
        <f t="shared" si="54"/>
        <v>234238.087</v>
      </c>
      <c r="AN96" s="222">
        <f t="shared" si="54"/>
        <v>265025.32500000001</v>
      </c>
      <c r="AO96" s="222">
        <f t="shared" si="54"/>
        <v>286756.58100000006</v>
      </c>
      <c r="AP96" s="222">
        <f t="shared" si="54"/>
        <v>335263.87099999993</v>
      </c>
      <c r="AQ96" s="222">
        <f t="shared" si="54"/>
        <v>251814.98700000002</v>
      </c>
      <c r="AR96" s="217">
        <f t="shared" si="54"/>
        <v>283128.99300000002</v>
      </c>
      <c r="AS96" s="217">
        <f t="shared" si="54"/>
        <v>328801.95799999998</v>
      </c>
      <c r="AT96" s="217">
        <f t="shared" ref="AT96:AU96" si="55">SUM(AT89,AT93:AT95)</f>
        <v>341051.72999199998</v>
      </c>
      <c r="AU96" s="217">
        <f t="shared" si="55"/>
        <v>322692.42</v>
      </c>
      <c r="AV96" s="217">
        <f t="shared" ref="AV96" si="56">SUM(AV89,AV93:AV95)</f>
        <v>335212.40100000001</v>
      </c>
    </row>
    <row r="97" spans="2:48" ht="13.5" thickBot="1">
      <c r="B97" s="216" t="s">
        <v>65</v>
      </c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22">
        <f t="shared" ref="AH97:AQ97" si="57">AH96-AH95</f>
        <v>256186.28099999999</v>
      </c>
      <c r="AI97" s="222">
        <f t="shared" si="57"/>
        <v>272135.11099999998</v>
      </c>
      <c r="AJ97" s="222">
        <f t="shared" si="57"/>
        <v>273871.65099999995</v>
      </c>
      <c r="AK97" s="222">
        <f t="shared" si="57"/>
        <v>292332.09936504142</v>
      </c>
      <c r="AL97" s="222">
        <f t="shared" si="57"/>
        <v>282633.54237498605</v>
      </c>
      <c r="AM97" s="222">
        <f t="shared" si="57"/>
        <v>231849.88199999998</v>
      </c>
      <c r="AN97" s="222">
        <f t="shared" si="57"/>
        <v>261894.359</v>
      </c>
      <c r="AO97" s="222">
        <f t="shared" si="57"/>
        <v>282707.75900000002</v>
      </c>
      <c r="AP97" s="222">
        <f t="shared" si="57"/>
        <v>330428.84999999998</v>
      </c>
      <c r="AQ97" s="222">
        <f t="shared" si="57"/>
        <v>247356.31699999998</v>
      </c>
      <c r="AR97" s="217">
        <f>AR96-AR95</f>
        <v>276918.84100000001</v>
      </c>
      <c r="AS97" s="217">
        <f>AS96-AS95</f>
        <v>321049.196</v>
      </c>
      <c r="AT97" s="217">
        <f>AT96-AT95</f>
        <v>330966.06399200001</v>
      </c>
      <c r="AU97" s="217">
        <f>AU96-AU95</f>
        <v>312012.42</v>
      </c>
      <c r="AV97" s="217">
        <f>AV96-AV95</f>
        <v>321691.53100000002</v>
      </c>
    </row>
    <row r="98" spans="2:48">
      <c r="B98" s="227"/>
      <c r="C98" s="228"/>
      <c r="D98" s="228"/>
      <c r="E98" s="228"/>
      <c r="F98" s="228"/>
      <c r="G98" s="228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8"/>
      <c r="AL98" s="228"/>
      <c r="AM98" s="228"/>
      <c r="AN98" s="228"/>
      <c r="AO98" s="228"/>
      <c r="AP98" s="228"/>
      <c r="AQ98" s="228"/>
      <c r="AR98" s="228"/>
      <c r="AS98" s="228"/>
      <c r="AT98" s="228"/>
      <c r="AU98" s="228"/>
      <c r="AV98" s="228"/>
    </row>
    <row r="99" spans="2:48">
      <c r="B99" s="212" t="s">
        <v>77</v>
      </c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</row>
    <row r="100" spans="2:48">
      <c r="B100" s="214" t="s">
        <v>56</v>
      </c>
      <c r="C100" s="215"/>
      <c r="D100" s="215"/>
      <c r="E100" s="215"/>
      <c r="F100" s="215"/>
      <c r="G100" s="215"/>
      <c r="H100" s="215"/>
      <c r="I100" s="215"/>
      <c r="J100" s="215"/>
      <c r="K100" s="215"/>
      <c r="L100" s="215"/>
      <c r="M100" s="215"/>
      <c r="N100" s="215"/>
      <c r="O100" s="215"/>
      <c r="P100" s="215"/>
      <c r="Q100" s="215"/>
      <c r="R100" s="215"/>
      <c r="S100" s="215"/>
      <c r="T100" s="215"/>
      <c r="U100" s="215"/>
      <c r="V100" s="215"/>
      <c r="W100" s="215"/>
      <c r="X100" s="224"/>
      <c r="Y100" s="224"/>
      <c r="Z100" s="224"/>
      <c r="AA100" s="224"/>
      <c r="AB100" s="224"/>
      <c r="AC100" s="224"/>
      <c r="AD100" s="224"/>
      <c r="AE100" s="224"/>
      <c r="AF100" s="224"/>
      <c r="AG100" s="224"/>
      <c r="AH100" s="224"/>
      <c r="AI100" s="224"/>
      <c r="AJ100" s="224"/>
      <c r="AK100" s="224"/>
      <c r="AL100" s="224">
        <v>1477273.281</v>
      </c>
      <c r="AM100" s="224">
        <v>1362379.4979999999</v>
      </c>
      <c r="AN100" s="224">
        <v>1356479.85</v>
      </c>
      <c r="AO100" s="224">
        <v>1357999.4369999999</v>
      </c>
      <c r="AP100" s="224">
        <v>1502299.1950000001</v>
      </c>
      <c r="AQ100" s="224">
        <v>1383298.91</v>
      </c>
      <c r="AR100" s="224">
        <v>1427380.6429999999</v>
      </c>
      <c r="AS100" s="224">
        <v>1438937.591</v>
      </c>
      <c r="AT100" s="224">
        <v>1841742.06</v>
      </c>
      <c r="AU100" s="224">
        <v>1632894.7649999999</v>
      </c>
      <c r="AV100" s="224">
        <v>1605169.7930000001</v>
      </c>
    </row>
    <row r="101" spans="2:48">
      <c r="B101" s="214" t="s">
        <v>57</v>
      </c>
      <c r="C101" s="215"/>
      <c r="D101" s="215"/>
      <c r="E101" s="215"/>
      <c r="F101" s="215"/>
      <c r="G101" s="215"/>
      <c r="H101" s="215"/>
      <c r="I101" s="215"/>
      <c r="J101" s="215"/>
      <c r="K101" s="215"/>
      <c r="L101" s="215"/>
      <c r="M101" s="215"/>
      <c r="N101" s="215"/>
      <c r="O101" s="215"/>
      <c r="P101" s="215"/>
      <c r="Q101" s="215"/>
      <c r="R101" s="215"/>
      <c r="S101" s="215"/>
      <c r="T101" s="215"/>
      <c r="U101" s="215"/>
      <c r="V101" s="215"/>
      <c r="W101" s="215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224"/>
      <c r="AK101" s="224"/>
      <c r="AL101" s="224">
        <v>130420.47199999999</v>
      </c>
      <c r="AM101" s="224">
        <v>107126.72700000001</v>
      </c>
      <c r="AN101" s="224">
        <v>118178.969</v>
      </c>
      <c r="AO101" s="224">
        <v>118493.73000000001</v>
      </c>
      <c r="AP101" s="224">
        <v>116036.158</v>
      </c>
      <c r="AQ101" s="224">
        <v>91228.027000000002</v>
      </c>
      <c r="AR101" s="224">
        <v>103971.20400000001</v>
      </c>
      <c r="AS101" s="224">
        <v>98440.051999999996</v>
      </c>
      <c r="AT101" s="224">
        <v>99131.014999999999</v>
      </c>
      <c r="AU101" s="224">
        <v>85918.256999999998</v>
      </c>
      <c r="AV101" s="224">
        <v>90298.974000000002</v>
      </c>
    </row>
    <row r="102" spans="2:48">
      <c r="B102" s="214" t="s">
        <v>58</v>
      </c>
      <c r="C102" s="215"/>
      <c r="D102" s="215"/>
      <c r="E102" s="215"/>
      <c r="F102" s="215"/>
      <c r="G102" s="215"/>
      <c r="H102" s="215"/>
      <c r="I102" s="215"/>
      <c r="J102" s="215"/>
      <c r="K102" s="215"/>
      <c r="L102" s="215"/>
      <c r="M102" s="215"/>
      <c r="N102" s="215"/>
      <c r="O102" s="215"/>
      <c r="P102" s="215"/>
      <c r="Q102" s="215"/>
      <c r="R102" s="215"/>
      <c r="S102" s="215"/>
      <c r="T102" s="215"/>
      <c r="U102" s="215"/>
      <c r="V102" s="215"/>
      <c r="W102" s="215"/>
      <c r="X102" s="224"/>
      <c r="Y102" s="224"/>
      <c r="Z102" s="224"/>
      <c r="AA102" s="224"/>
      <c r="AB102" s="224"/>
      <c r="AC102" s="224"/>
      <c r="AD102" s="224"/>
      <c r="AE102" s="224"/>
      <c r="AF102" s="224"/>
      <c r="AG102" s="224"/>
      <c r="AH102" s="224"/>
      <c r="AI102" s="224"/>
      <c r="AJ102" s="224"/>
      <c r="AK102" s="224"/>
      <c r="AL102" s="224">
        <v>493328.03800000006</v>
      </c>
      <c r="AM102" s="224">
        <v>459917.33499999996</v>
      </c>
      <c r="AN102" s="224">
        <v>500085.22600000002</v>
      </c>
      <c r="AO102" s="224">
        <v>458242.80100000004</v>
      </c>
      <c r="AP102" s="224">
        <v>472560.82999999996</v>
      </c>
      <c r="AQ102" s="224">
        <v>424153.75399999996</v>
      </c>
      <c r="AR102" s="224">
        <v>443680.24699999997</v>
      </c>
      <c r="AS102" s="224">
        <v>412970.446</v>
      </c>
      <c r="AT102" s="224">
        <v>493000.533</v>
      </c>
      <c r="AU102" s="224">
        <v>431716.00099999999</v>
      </c>
      <c r="AV102" s="224">
        <v>446938.80300000001</v>
      </c>
    </row>
    <row r="103" spans="2:48" ht="13.5" thickBot="1">
      <c r="B103" s="214" t="s">
        <v>59</v>
      </c>
      <c r="C103" s="215"/>
      <c r="D103" s="215"/>
      <c r="E103" s="215"/>
      <c r="F103" s="215"/>
      <c r="G103" s="215"/>
      <c r="H103" s="215"/>
      <c r="I103" s="215"/>
      <c r="J103" s="215"/>
      <c r="K103" s="215"/>
      <c r="L103" s="215"/>
      <c r="M103" s="215"/>
      <c r="N103" s="215"/>
      <c r="O103" s="215"/>
      <c r="P103" s="215"/>
      <c r="Q103" s="215"/>
      <c r="R103" s="215"/>
      <c r="S103" s="215"/>
      <c r="T103" s="215"/>
      <c r="U103" s="215"/>
      <c r="V103" s="215"/>
      <c r="W103" s="215"/>
      <c r="X103" s="224"/>
      <c r="Y103" s="224"/>
      <c r="Z103" s="224"/>
      <c r="AA103" s="224"/>
      <c r="AB103" s="224"/>
      <c r="AC103" s="224"/>
      <c r="AD103" s="224"/>
      <c r="AE103" s="224"/>
      <c r="AF103" s="224"/>
      <c r="AG103" s="224"/>
      <c r="AH103" s="224"/>
      <c r="AI103" s="224"/>
      <c r="AJ103" s="224"/>
      <c r="AK103" s="224"/>
      <c r="AL103" s="224">
        <v>805359.29399999999</v>
      </c>
      <c r="AM103" s="224">
        <v>650798.48399999994</v>
      </c>
      <c r="AN103" s="224">
        <v>809882.30799999996</v>
      </c>
      <c r="AO103" s="224">
        <v>860229</v>
      </c>
      <c r="AP103" s="224">
        <v>794899.50400000007</v>
      </c>
      <c r="AQ103" s="224">
        <v>661294.08100000012</v>
      </c>
      <c r="AR103" s="224">
        <v>790071.50800000003</v>
      </c>
      <c r="AS103" s="224">
        <v>828801</v>
      </c>
      <c r="AT103" s="224">
        <v>868991.80700000003</v>
      </c>
      <c r="AU103" s="224">
        <v>726269.62</v>
      </c>
      <c r="AV103" s="224">
        <v>813889.2370000002</v>
      </c>
    </row>
    <row r="104" spans="2:48" ht="13.5" thickBot="1">
      <c r="B104" s="221" t="s">
        <v>60</v>
      </c>
      <c r="C104" s="225"/>
      <c r="D104" s="225"/>
      <c r="E104" s="225"/>
      <c r="F104" s="225"/>
      <c r="G104" s="225"/>
      <c r="H104" s="225"/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>
        <f t="shared" ref="AL104:AO104" si="58">SUM(AL100:AL103)</f>
        <v>2906381.085</v>
      </c>
      <c r="AM104" s="225">
        <f t="shared" si="58"/>
        <v>2580222.0439999998</v>
      </c>
      <c r="AN104" s="225">
        <f t="shared" si="58"/>
        <v>2784626.3530000001</v>
      </c>
      <c r="AO104" s="225">
        <f t="shared" si="58"/>
        <v>2794964.9679999999</v>
      </c>
      <c r="AP104" s="225">
        <f t="shared" ref="AP104:AU104" si="59">SUM(AP100:AP103)</f>
        <v>2885795.6870000004</v>
      </c>
      <c r="AQ104" s="225">
        <f t="shared" si="59"/>
        <v>2559974.7719999999</v>
      </c>
      <c r="AR104" s="225">
        <f t="shared" si="59"/>
        <v>2765103.602</v>
      </c>
      <c r="AS104" s="225">
        <f t="shared" si="59"/>
        <v>2779149.0889999997</v>
      </c>
      <c r="AT104" s="225">
        <f t="shared" si="59"/>
        <v>3302865.415</v>
      </c>
      <c r="AU104" s="225">
        <f t="shared" si="59"/>
        <v>2876798.6430000002</v>
      </c>
      <c r="AV104" s="225">
        <f t="shared" ref="AV104" si="60">SUM(AV100:AV103)</f>
        <v>2956296.807</v>
      </c>
    </row>
    <row r="105" spans="2:48">
      <c r="B105" s="214" t="s">
        <v>57</v>
      </c>
      <c r="C105" s="215"/>
      <c r="D105" s="215"/>
      <c r="E105" s="215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215"/>
      <c r="Q105" s="215"/>
      <c r="R105" s="215"/>
      <c r="S105" s="215"/>
      <c r="T105" s="215"/>
      <c r="U105" s="215"/>
      <c r="V105" s="215"/>
      <c r="W105" s="215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>
        <v>846009.65398000006</v>
      </c>
      <c r="AM105" s="224">
        <v>817867.40408099978</v>
      </c>
      <c r="AN105" s="224">
        <v>840340.33606999973</v>
      </c>
      <c r="AO105" s="224">
        <v>890402.20817999984</v>
      </c>
      <c r="AP105" s="224">
        <v>845443.76925899996</v>
      </c>
      <c r="AQ105" s="224">
        <v>848792.02415599977</v>
      </c>
      <c r="AR105" s="224">
        <v>865473.90344799962</v>
      </c>
      <c r="AS105" s="224">
        <v>922649.66536600003</v>
      </c>
      <c r="AT105" s="224">
        <v>889569.71698617702</v>
      </c>
      <c r="AU105" s="224">
        <v>907722.83886358596</v>
      </c>
      <c r="AV105" s="224">
        <v>947096.52759010298</v>
      </c>
    </row>
    <row r="106" spans="2:48">
      <c r="B106" s="214" t="s">
        <v>58</v>
      </c>
      <c r="C106" s="215"/>
      <c r="D106" s="215"/>
      <c r="E106" s="215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215"/>
      <c r="Q106" s="215"/>
      <c r="R106" s="215"/>
      <c r="S106" s="215"/>
      <c r="T106" s="215"/>
      <c r="U106" s="215"/>
      <c r="V106" s="215"/>
      <c r="W106" s="215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>
        <v>110551.05225000001</v>
      </c>
      <c r="AM106" s="224">
        <v>123121.26235099995</v>
      </c>
      <c r="AN106" s="224">
        <v>113634.71864400004</v>
      </c>
      <c r="AO106" s="224">
        <v>119813.93632799991</v>
      </c>
      <c r="AP106" s="224">
        <v>127405.569814</v>
      </c>
      <c r="AQ106" s="224">
        <v>137622.59022400004</v>
      </c>
      <c r="AR106" s="224">
        <v>137704.49681700004</v>
      </c>
      <c r="AS106" s="224">
        <v>159068.50938100019</v>
      </c>
      <c r="AT106" s="224">
        <v>178651.223524</v>
      </c>
      <c r="AU106" s="224">
        <v>188297.62612999999</v>
      </c>
      <c r="AV106" s="224">
        <v>189139.06760499999</v>
      </c>
    </row>
    <row r="107" spans="2:48" ht="13.5" thickBot="1">
      <c r="B107" s="214" t="s">
        <v>59</v>
      </c>
      <c r="C107" s="215"/>
      <c r="D107" s="215"/>
      <c r="E107" s="215"/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215"/>
      <c r="Q107" s="215"/>
      <c r="R107" s="215"/>
      <c r="S107" s="215"/>
      <c r="T107" s="215"/>
      <c r="U107" s="215"/>
      <c r="V107" s="215"/>
      <c r="W107" s="215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>
        <v>2188.2580899999998</v>
      </c>
      <c r="AM107" s="224">
        <v>4720.4066679999996</v>
      </c>
      <c r="AN107" s="224">
        <v>6580.0841440000004</v>
      </c>
      <c r="AO107" s="224">
        <v>8126.5625349999991</v>
      </c>
      <c r="AP107" s="224">
        <v>8669.2920859999704</v>
      </c>
      <c r="AQ107" s="224">
        <v>6883.7275820000013</v>
      </c>
      <c r="AR107" s="224">
        <v>31179.528869000002</v>
      </c>
      <c r="AS107" s="224">
        <v>34564.713187000008</v>
      </c>
      <c r="AT107" s="224">
        <v>36933.619930002838</v>
      </c>
      <c r="AU107" s="224">
        <v>35734.953571004015</v>
      </c>
      <c r="AV107" s="224">
        <v>48494.539760997053</v>
      </c>
    </row>
    <row r="108" spans="2:48" ht="13.5" thickBot="1">
      <c r="B108" s="216" t="s">
        <v>61</v>
      </c>
      <c r="C108" s="225"/>
      <c r="D108" s="225"/>
      <c r="E108" s="225"/>
      <c r="F108" s="225"/>
      <c r="G108" s="225"/>
      <c r="H108" s="225"/>
      <c r="I108" s="225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5"/>
      <c r="AC108" s="225"/>
      <c r="AD108" s="225"/>
      <c r="AE108" s="225"/>
      <c r="AF108" s="225"/>
      <c r="AG108" s="225"/>
      <c r="AH108" s="225"/>
      <c r="AI108" s="225"/>
      <c r="AJ108" s="225"/>
      <c r="AK108" s="225"/>
      <c r="AL108" s="225">
        <f t="shared" ref="AL108:AU108" si="61">SUM(AL105:AL107)</f>
        <v>958748.96432000014</v>
      </c>
      <c r="AM108" s="225">
        <f t="shared" si="61"/>
        <v>945709.0730999998</v>
      </c>
      <c r="AN108" s="225">
        <f t="shared" si="61"/>
        <v>960555.1388579997</v>
      </c>
      <c r="AO108" s="225">
        <f t="shared" si="61"/>
        <v>1018342.7070429998</v>
      </c>
      <c r="AP108" s="225">
        <f t="shared" si="61"/>
        <v>981518.63115899998</v>
      </c>
      <c r="AQ108" s="225">
        <f t="shared" si="61"/>
        <v>993298.34196199977</v>
      </c>
      <c r="AR108" s="225">
        <f t="shared" si="61"/>
        <v>1034357.9291339996</v>
      </c>
      <c r="AS108" s="225">
        <f t="shared" si="61"/>
        <v>1116282.8879340002</v>
      </c>
      <c r="AT108" s="225">
        <f t="shared" si="61"/>
        <v>1105154.5604401799</v>
      </c>
      <c r="AU108" s="225">
        <f t="shared" si="61"/>
        <v>1131755.4185645899</v>
      </c>
      <c r="AV108" s="225">
        <f t="shared" ref="AV108" si="62">SUM(AV105:AV107)</f>
        <v>1184730.1349561</v>
      </c>
    </row>
    <row r="109" spans="2:48" ht="13.5" thickBot="1">
      <c r="B109" s="218" t="s">
        <v>62</v>
      </c>
      <c r="C109" s="229"/>
      <c r="D109" s="229"/>
      <c r="E109" s="229"/>
      <c r="F109" s="229"/>
      <c r="G109" s="229"/>
      <c r="H109" s="229"/>
      <c r="I109" s="229"/>
      <c r="J109" s="229"/>
      <c r="K109" s="229"/>
      <c r="L109" s="229"/>
      <c r="M109" s="229"/>
      <c r="N109" s="229"/>
      <c r="O109" s="229"/>
      <c r="P109" s="229"/>
      <c r="Q109" s="229"/>
      <c r="R109" s="229"/>
      <c r="S109" s="229"/>
      <c r="T109" s="229"/>
      <c r="U109" s="229"/>
      <c r="V109" s="229"/>
      <c r="W109" s="229"/>
      <c r="X109" s="229"/>
      <c r="Y109" s="229"/>
      <c r="Z109" s="229"/>
      <c r="AA109" s="229"/>
      <c r="AB109" s="229"/>
      <c r="AC109" s="229"/>
      <c r="AD109" s="229"/>
      <c r="AE109" s="229"/>
      <c r="AF109" s="229"/>
      <c r="AG109" s="229"/>
      <c r="AH109" s="229"/>
      <c r="AI109" s="229"/>
      <c r="AJ109" s="229"/>
      <c r="AK109" s="229"/>
      <c r="AL109" s="229">
        <v>1864.0644800000002</v>
      </c>
      <c r="AM109" s="224">
        <v>2140.9533569999999</v>
      </c>
      <c r="AN109" s="229">
        <v>2536.526237</v>
      </c>
      <c r="AO109" s="229">
        <v>2649.0252799999998</v>
      </c>
      <c r="AP109" s="229">
        <v>2533.7059949999998</v>
      </c>
      <c r="AQ109" s="229">
        <v>2544.739075</v>
      </c>
      <c r="AR109" s="229">
        <v>2790.492949</v>
      </c>
      <c r="AS109" s="229">
        <v>3064.3879999999999</v>
      </c>
      <c r="AT109" s="229">
        <v>2926.55</v>
      </c>
      <c r="AU109" s="229">
        <v>5759.33</v>
      </c>
      <c r="AV109" s="229">
        <v>2898.64</v>
      </c>
    </row>
    <row r="110" spans="2:48" ht="13.5" thickBot="1">
      <c r="B110" s="218" t="s">
        <v>63</v>
      </c>
      <c r="C110" s="218"/>
      <c r="D110" s="218"/>
      <c r="E110" s="218"/>
      <c r="F110" s="218"/>
      <c r="G110" s="218"/>
      <c r="H110" s="218"/>
      <c r="I110" s="218"/>
      <c r="J110" s="218"/>
      <c r="K110" s="218"/>
      <c r="L110" s="218"/>
      <c r="M110" s="218"/>
      <c r="N110" s="218"/>
      <c r="O110" s="218"/>
      <c r="P110" s="218"/>
      <c r="Q110" s="218"/>
      <c r="R110" s="218"/>
      <c r="S110" s="218"/>
      <c r="T110" s="218"/>
      <c r="U110" s="218"/>
      <c r="V110" s="218"/>
      <c r="W110" s="218"/>
      <c r="X110" s="218"/>
      <c r="Y110" s="218"/>
      <c r="Z110" s="218"/>
      <c r="AA110" s="218"/>
      <c r="AB110" s="218"/>
      <c r="AC110" s="218"/>
      <c r="AD110" s="218"/>
      <c r="AE110" s="218"/>
      <c r="AF110" s="218"/>
      <c r="AG110" s="218"/>
      <c r="AH110" s="218"/>
      <c r="AI110" s="226"/>
      <c r="AJ110" s="230"/>
      <c r="AK110" s="230"/>
      <c r="AL110" s="226">
        <v>104325.42800000031</v>
      </c>
      <c r="AM110" s="226">
        <v>120726.10900000017</v>
      </c>
      <c r="AN110" s="230">
        <v>135651.96800000034</v>
      </c>
      <c r="AO110" s="230">
        <v>144222.03200000012</v>
      </c>
      <c r="AP110" s="230">
        <v>188072.71100000013</v>
      </c>
      <c r="AQ110" s="230">
        <v>197662.14999999991</v>
      </c>
      <c r="AR110" s="230">
        <v>231095.31600000011</v>
      </c>
      <c r="AS110" s="230">
        <v>260462.6520000007</v>
      </c>
      <c r="AT110" s="230">
        <v>335588.95599999977</v>
      </c>
      <c r="AU110" s="230">
        <v>319990.47799999965</v>
      </c>
      <c r="AV110" s="219">
        <v>329730.6660000002</v>
      </c>
    </row>
    <row r="111" spans="2:48" ht="13.5" thickBot="1">
      <c r="B111" s="221" t="s">
        <v>76</v>
      </c>
      <c r="C111" s="225"/>
      <c r="D111" s="225"/>
      <c r="E111" s="225"/>
      <c r="F111" s="225"/>
      <c r="G111" s="225"/>
      <c r="H111" s="225"/>
      <c r="I111" s="225"/>
      <c r="J111" s="225"/>
      <c r="K111" s="225"/>
      <c r="L111" s="225"/>
      <c r="M111" s="225"/>
      <c r="N111" s="225"/>
      <c r="O111" s="225"/>
      <c r="P111" s="225"/>
      <c r="Q111" s="225"/>
      <c r="R111" s="225"/>
      <c r="S111" s="225"/>
      <c r="T111" s="225"/>
      <c r="U111" s="225"/>
      <c r="V111" s="225"/>
      <c r="W111" s="225"/>
      <c r="X111" s="225"/>
      <c r="Y111" s="225"/>
      <c r="Z111" s="225"/>
      <c r="AA111" s="225"/>
      <c r="AB111" s="225"/>
      <c r="AC111" s="225"/>
      <c r="AD111" s="225"/>
      <c r="AE111" s="225"/>
      <c r="AF111" s="225"/>
      <c r="AG111" s="225"/>
      <c r="AH111" s="222"/>
      <c r="AI111" s="222"/>
      <c r="AJ111" s="222"/>
      <c r="AK111" s="222"/>
      <c r="AL111" s="222">
        <f t="shared" ref="AL111:AS111" si="63">SUM(AL104,AL108:AL110)</f>
        <v>3971319.5418000007</v>
      </c>
      <c r="AM111" s="222">
        <f t="shared" si="63"/>
        <v>3648798.1794569995</v>
      </c>
      <c r="AN111" s="217">
        <f t="shared" si="63"/>
        <v>3883369.9860950001</v>
      </c>
      <c r="AO111" s="217">
        <f t="shared" si="63"/>
        <v>3960178.7323230002</v>
      </c>
      <c r="AP111" s="222">
        <f t="shared" si="63"/>
        <v>4057920.7351540006</v>
      </c>
      <c r="AQ111" s="222">
        <f t="shared" si="63"/>
        <v>3753480.0030369996</v>
      </c>
      <c r="AR111" s="217">
        <f t="shared" si="63"/>
        <v>4033347.3400829998</v>
      </c>
      <c r="AS111" s="217">
        <f t="shared" si="63"/>
        <v>4158959.0169340004</v>
      </c>
      <c r="AT111" s="217">
        <f t="shared" ref="AT111:AU111" si="64">SUM(AT104,AT108:AT110)</f>
        <v>4746535.481440179</v>
      </c>
      <c r="AU111" s="217">
        <f t="shared" si="64"/>
        <v>4334303.8695645891</v>
      </c>
      <c r="AV111" s="217">
        <f t="shared" ref="AV111" si="65">SUM(AV104,AV108:AV110)</f>
        <v>4473656.2479561009</v>
      </c>
    </row>
    <row r="112" spans="2:48" ht="13.5" thickBot="1">
      <c r="B112" s="216" t="s">
        <v>65</v>
      </c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22"/>
      <c r="AI112" s="222"/>
      <c r="AJ112" s="222"/>
      <c r="AK112" s="222"/>
      <c r="AL112" s="222">
        <f t="shared" ref="AL112:AM112" si="66">AL111-AL110</f>
        <v>3866994.1138000004</v>
      </c>
      <c r="AM112" s="222">
        <f t="shared" si="66"/>
        <v>3528072.0704569994</v>
      </c>
      <c r="AN112" s="217">
        <f>AN111-AN110</f>
        <v>3747718.0180949997</v>
      </c>
      <c r="AO112" s="217">
        <f>AO111-AO110</f>
        <v>3815956.7003230001</v>
      </c>
      <c r="AP112" s="222">
        <f t="shared" ref="AP112:AQ112" si="67">AP111-AP110</f>
        <v>3869848.0241540004</v>
      </c>
      <c r="AQ112" s="222">
        <f t="shared" si="67"/>
        <v>3555817.8530369997</v>
      </c>
      <c r="AR112" s="217">
        <f>AR111-AR110</f>
        <v>3802252.0240829997</v>
      </c>
      <c r="AS112" s="217">
        <f>AS111-AS110</f>
        <v>3898496.3649339997</v>
      </c>
      <c r="AT112" s="217">
        <f>AT111-AT110</f>
        <v>4410946.5254401788</v>
      </c>
      <c r="AU112" s="217">
        <f>AU111-AU110</f>
        <v>4014313.3915645895</v>
      </c>
      <c r="AV112" s="217">
        <f>AV111-AV110</f>
        <v>4143925.5819561007</v>
      </c>
    </row>
    <row r="113" spans="2:48">
      <c r="B113" s="227"/>
      <c r="C113" s="228"/>
      <c r="D113" s="228"/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  <c r="AA113" s="228"/>
      <c r="AB113" s="228"/>
      <c r="AC113" s="228"/>
      <c r="AD113" s="228"/>
      <c r="AE113" s="228"/>
      <c r="AF113" s="228"/>
      <c r="AG113" s="228"/>
      <c r="AH113" s="228"/>
      <c r="AI113" s="228"/>
      <c r="AJ113" s="228"/>
      <c r="AK113" s="228"/>
      <c r="AL113" s="228"/>
      <c r="AM113" s="228"/>
      <c r="AN113" s="228"/>
      <c r="AO113" s="228"/>
      <c r="AP113" s="228"/>
      <c r="AQ113" s="228"/>
      <c r="AR113" s="228"/>
      <c r="AS113" s="228"/>
      <c r="AT113" s="599"/>
      <c r="AU113" s="599"/>
      <c r="AV113" s="599"/>
    </row>
    <row r="114" spans="2:48">
      <c r="B114" s="535" t="s">
        <v>78</v>
      </c>
      <c r="C114" s="536">
        <f t="shared" ref="C114:Z114" si="68">C20+C36+C66+C51</f>
        <v>3582336.6063963659</v>
      </c>
      <c r="D114" s="536">
        <f t="shared" si="68"/>
        <v>3734417.0149720004</v>
      </c>
      <c r="E114" s="536">
        <f t="shared" si="68"/>
        <v>4002431.6930880905</v>
      </c>
      <c r="F114" s="536">
        <f t="shared" si="68"/>
        <v>4252898.6532920003</v>
      </c>
      <c r="G114" s="536">
        <f t="shared" si="68"/>
        <v>3974837.1518339999</v>
      </c>
      <c r="H114" s="536">
        <f t="shared" si="68"/>
        <v>4099346.3673472288</v>
      </c>
      <c r="I114" s="536">
        <f t="shared" si="68"/>
        <v>4428269.4971643053</v>
      </c>
      <c r="J114" s="536">
        <f t="shared" si="68"/>
        <v>4563392.2646200005</v>
      </c>
      <c r="K114" s="536">
        <f t="shared" si="68"/>
        <v>4182252.1636089915</v>
      </c>
      <c r="L114" s="536">
        <f t="shared" si="68"/>
        <v>4104940.4005018449</v>
      </c>
      <c r="M114" s="536">
        <f t="shared" si="68"/>
        <v>4547258.5770700965</v>
      </c>
      <c r="N114" s="536">
        <f t="shared" si="68"/>
        <v>4941838.4751753816</v>
      </c>
      <c r="O114" s="536">
        <f t="shared" si="68"/>
        <v>4271708.525209358</v>
      </c>
      <c r="P114" s="536">
        <f t="shared" si="68"/>
        <v>4475031.6781500913</v>
      </c>
      <c r="Q114" s="536">
        <f t="shared" si="68"/>
        <v>4785504.2351499973</v>
      </c>
      <c r="R114" s="536">
        <f t="shared" si="68"/>
        <v>4904343.2665440431</v>
      </c>
      <c r="S114" s="536">
        <f t="shared" si="68"/>
        <v>5140494.077179228</v>
      </c>
      <c r="T114" s="536">
        <f t="shared" si="68"/>
        <v>5459269.5511155697</v>
      </c>
      <c r="U114" s="536">
        <f t="shared" si="68"/>
        <v>5647854.4472689927</v>
      </c>
      <c r="V114" s="536">
        <f t="shared" si="68"/>
        <v>5968529.2016652748</v>
      </c>
      <c r="W114" s="536">
        <f t="shared" si="68"/>
        <v>5294396.8858074099</v>
      </c>
      <c r="X114" s="536">
        <f t="shared" si="68"/>
        <v>5422004.5218184264</v>
      </c>
      <c r="Y114" s="536">
        <f t="shared" si="68"/>
        <v>5631152.973630243</v>
      </c>
      <c r="Z114" s="536">
        <f t="shared" si="68"/>
        <v>5732759.4142166981</v>
      </c>
      <c r="AA114" s="536">
        <f t="shared" ref="AA114:AO114" si="69">AA67+AA52+AA37+AA21+AA82+AA97+AA112</f>
        <v>5247863.3184180632</v>
      </c>
      <c r="AB114" s="536">
        <f t="shared" si="69"/>
        <v>5169240.0279878927</v>
      </c>
      <c r="AC114" s="536">
        <f t="shared" si="69"/>
        <v>5703704.8790268619</v>
      </c>
      <c r="AD114" s="536">
        <f t="shared" si="69"/>
        <v>6178707.3639892507</v>
      </c>
      <c r="AE114" s="536">
        <f t="shared" si="69"/>
        <v>5549261.4612175124</v>
      </c>
      <c r="AF114" s="536">
        <f t="shared" si="69"/>
        <v>5308947.0432739416</v>
      </c>
      <c r="AG114" s="536">
        <f t="shared" si="69"/>
        <v>7722267.9577574134</v>
      </c>
      <c r="AH114" s="536">
        <f t="shared" si="69"/>
        <v>8264631.6816435643</v>
      </c>
      <c r="AI114" s="536">
        <f t="shared" si="69"/>
        <v>8237594.9663093425</v>
      </c>
      <c r="AJ114" s="536">
        <f t="shared" si="69"/>
        <v>8045538.4854366733</v>
      </c>
      <c r="AK114" s="536">
        <f t="shared" si="69"/>
        <v>8181051.6115296381</v>
      </c>
      <c r="AL114" s="536">
        <f t="shared" si="69"/>
        <v>12399707.658756016</v>
      </c>
      <c r="AM114" s="536">
        <f t="shared" si="69"/>
        <v>11968810.384469453</v>
      </c>
      <c r="AN114" s="536">
        <f t="shared" si="69"/>
        <v>11868586.962116715</v>
      </c>
      <c r="AO114" s="536">
        <f t="shared" si="69"/>
        <v>12323137.789131109</v>
      </c>
      <c r="AP114" s="536">
        <f t="shared" ref="AP114:AU114" si="70">AP67+AP52+AP37+AP21+AP82+AP97+AP112</f>
        <v>12680214.345470997</v>
      </c>
      <c r="AQ114" s="536">
        <f t="shared" si="70"/>
        <v>12313513.150740596</v>
      </c>
      <c r="AR114" s="536">
        <f t="shared" si="70"/>
        <v>12398962.613658931</v>
      </c>
      <c r="AS114" s="536">
        <f t="shared" si="70"/>
        <v>12828404.433324628</v>
      </c>
      <c r="AT114" s="536">
        <f t="shared" si="70"/>
        <v>13889566.912386799</v>
      </c>
      <c r="AU114" s="536">
        <f t="shared" si="70"/>
        <v>13412785.479782162</v>
      </c>
      <c r="AV114" s="536">
        <f t="shared" ref="AV114" si="71">AV67+AV52+AV37+AV21+AV82+AV97+AV112</f>
        <v>13132993.235383678</v>
      </c>
    </row>
    <row r="116" spans="2:48">
      <c r="B116" s="533" t="s">
        <v>79</v>
      </c>
      <c r="C116" s="534" t="s">
        <v>9</v>
      </c>
      <c r="D116" s="534" t="s">
        <v>10</v>
      </c>
      <c r="E116" s="534" t="s">
        <v>11</v>
      </c>
      <c r="F116" s="534" t="s">
        <v>12</v>
      </c>
      <c r="G116" s="534" t="s">
        <v>13</v>
      </c>
      <c r="H116" s="534" t="s">
        <v>14</v>
      </c>
      <c r="I116" s="534" t="s">
        <v>15</v>
      </c>
      <c r="J116" s="534" t="s">
        <v>16</v>
      </c>
      <c r="K116" s="534" t="s">
        <v>17</v>
      </c>
      <c r="L116" s="534" t="s">
        <v>18</v>
      </c>
      <c r="M116" s="534" t="s">
        <v>19</v>
      </c>
      <c r="N116" s="534" t="s">
        <v>20</v>
      </c>
      <c r="O116" s="534" t="s">
        <v>21</v>
      </c>
      <c r="P116" s="534" t="s">
        <v>22</v>
      </c>
      <c r="Q116" s="534" t="s">
        <v>23</v>
      </c>
      <c r="R116" s="534" t="s">
        <v>24</v>
      </c>
      <c r="S116" s="534" t="s">
        <v>25</v>
      </c>
      <c r="T116" s="534" t="s">
        <v>26</v>
      </c>
      <c r="U116" s="534" t="s">
        <v>27</v>
      </c>
      <c r="V116" s="534" t="s">
        <v>28</v>
      </c>
      <c r="W116" s="534" t="s">
        <v>29</v>
      </c>
      <c r="X116" s="534" t="s">
        <v>30</v>
      </c>
      <c r="Y116" s="534" t="s">
        <v>31</v>
      </c>
      <c r="Z116" s="534" t="s">
        <v>32</v>
      </c>
      <c r="AA116" s="534" t="s">
        <v>33</v>
      </c>
      <c r="AB116" s="534" t="s">
        <v>34</v>
      </c>
      <c r="AC116" s="534" t="s">
        <v>35</v>
      </c>
      <c r="AD116" s="534" t="s">
        <v>36</v>
      </c>
      <c r="AE116" s="534" t="s">
        <v>37</v>
      </c>
      <c r="AF116" s="534" t="s">
        <v>38</v>
      </c>
      <c r="AG116" s="534" t="s">
        <v>39</v>
      </c>
      <c r="AH116" s="534" t="s">
        <v>40</v>
      </c>
      <c r="AI116" s="534" t="str">
        <f t="shared" ref="AI116:AS116" si="72">AI6</f>
        <v>1T21</v>
      </c>
      <c r="AJ116" s="534" t="str">
        <f t="shared" si="72"/>
        <v>2T21</v>
      </c>
      <c r="AK116" s="534" t="str">
        <f t="shared" si="72"/>
        <v>3T21</v>
      </c>
      <c r="AL116" s="534" t="str">
        <f t="shared" si="72"/>
        <v>4T21</v>
      </c>
      <c r="AM116" s="534" t="str">
        <f t="shared" si="72"/>
        <v>1T22</v>
      </c>
      <c r="AN116" s="534" t="str">
        <f t="shared" si="72"/>
        <v>2T22</v>
      </c>
      <c r="AO116" s="534" t="str">
        <f t="shared" si="72"/>
        <v>3T22</v>
      </c>
      <c r="AP116" s="534" t="str">
        <f t="shared" si="72"/>
        <v>4T22</v>
      </c>
      <c r="AQ116" s="534" t="str">
        <f t="shared" si="72"/>
        <v>1T23</v>
      </c>
      <c r="AR116" s="534" t="str">
        <f t="shared" si="72"/>
        <v>2T23</v>
      </c>
      <c r="AS116" s="534" t="str">
        <f t="shared" si="72"/>
        <v>3T23</v>
      </c>
      <c r="AT116" s="534" t="s">
        <v>52</v>
      </c>
      <c r="AU116" s="534" t="str">
        <f>AU6</f>
        <v>1T24</v>
      </c>
      <c r="AV116" s="534" t="str">
        <f>AV6</f>
        <v>2T24</v>
      </c>
    </row>
    <row r="117" spans="2:48">
      <c r="B117" s="211"/>
    </row>
    <row r="118" spans="2:48">
      <c r="B118" s="212" t="s">
        <v>55</v>
      </c>
      <c r="C118" s="213"/>
      <c r="D118" s="213"/>
      <c r="E118" s="213"/>
      <c r="F118" s="213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  <c r="AC118" s="213"/>
      <c r="AD118" s="213"/>
      <c r="AE118" s="213"/>
      <c r="AF118" s="213"/>
      <c r="AG118" s="213"/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</row>
    <row r="119" spans="2:48">
      <c r="B119" s="214" t="s">
        <v>80</v>
      </c>
      <c r="C119" s="224">
        <v>807281</v>
      </c>
      <c r="D119" s="224">
        <v>807621</v>
      </c>
      <c r="E119" s="224">
        <v>802966</v>
      </c>
      <c r="F119" s="224">
        <v>812694</v>
      </c>
      <c r="G119" s="224">
        <v>815744</v>
      </c>
      <c r="H119" s="224">
        <v>812808</v>
      </c>
      <c r="I119" s="224">
        <v>819880</v>
      </c>
      <c r="J119" s="224">
        <v>841557</v>
      </c>
      <c r="K119" s="224">
        <v>1099173</v>
      </c>
      <c r="L119" s="224">
        <v>1221464</v>
      </c>
      <c r="M119" s="224">
        <v>1199896</v>
      </c>
      <c r="N119" s="224">
        <v>1209060</v>
      </c>
      <c r="O119" s="224">
        <v>1213738</v>
      </c>
      <c r="P119" s="224">
        <v>1265558</v>
      </c>
      <c r="Q119" s="224">
        <v>1285748</v>
      </c>
      <c r="R119" s="224">
        <v>1306721</v>
      </c>
      <c r="S119" s="224">
        <v>1336522</v>
      </c>
      <c r="T119" s="224">
        <v>1304571</v>
      </c>
      <c r="U119" s="224">
        <v>1321978</v>
      </c>
      <c r="V119" s="224">
        <v>1353558</v>
      </c>
      <c r="W119" s="224">
        <v>1444489</v>
      </c>
      <c r="X119" s="224">
        <v>1526078</v>
      </c>
      <c r="Y119" s="224">
        <v>1477303</v>
      </c>
      <c r="Z119" s="224">
        <v>1646989</v>
      </c>
      <c r="AA119" s="224">
        <v>1634498</v>
      </c>
      <c r="AB119" s="224">
        <v>1594238</v>
      </c>
      <c r="AC119" s="224">
        <v>1586010</v>
      </c>
      <c r="AD119" s="224">
        <v>1579444</v>
      </c>
      <c r="AE119" s="224">
        <v>1570164</v>
      </c>
      <c r="AF119" s="224">
        <v>1507454</v>
      </c>
      <c r="AG119" s="224">
        <v>1486828</v>
      </c>
      <c r="AH119" s="224">
        <v>1474533</v>
      </c>
      <c r="AI119" s="224">
        <v>1449050</v>
      </c>
      <c r="AJ119" s="224">
        <v>1438238</v>
      </c>
      <c r="AK119" s="224">
        <v>1432261</v>
      </c>
      <c r="AL119" s="224">
        <v>1435006</v>
      </c>
      <c r="AM119" s="224">
        <v>1470702</v>
      </c>
      <c r="AN119" s="224">
        <v>1496932</v>
      </c>
      <c r="AO119" s="224">
        <v>1473498</v>
      </c>
      <c r="AP119" s="224">
        <v>1469944</v>
      </c>
      <c r="AQ119" s="224">
        <v>1445514</v>
      </c>
      <c r="AR119" s="224">
        <v>1480160</v>
      </c>
      <c r="AS119" s="224">
        <v>1495996</v>
      </c>
      <c r="AT119" s="224">
        <v>1505355</v>
      </c>
      <c r="AU119" s="224">
        <v>1502555</v>
      </c>
      <c r="AV119" s="224">
        <v>1532953</v>
      </c>
    </row>
    <row r="120" spans="2:48">
      <c r="B120" s="214" t="s">
        <v>81</v>
      </c>
      <c r="C120" s="224">
        <v>1037096</v>
      </c>
      <c r="D120" s="224">
        <v>1052535</v>
      </c>
      <c r="E120" s="224">
        <v>1075734</v>
      </c>
      <c r="F120" s="224">
        <v>1080999</v>
      </c>
      <c r="G120" s="224">
        <v>1096703</v>
      </c>
      <c r="H120" s="224">
        <v>1113868</v>
      </c>
      <c r="I120" s="224">
        <v>1117227</v>
      </c>
      <c r="J120" s="224">
        <v>1112578</v>
      </c>
      <c r="K120" s="224">
        <v>868659</v>
      </c>
      <c r="L120" s="224">
        <v>755685</v>
      </c>
      <c r="M120" s="224">
        <v>790070</v>
      </c>
      <c r="N120" s="224">
        <v>803113</v>
      </c>
      <c r="O120" s="224">
        <v>818637</v>
      </c>
      <c r="P120" s="224">
        <v>804467</v>
      </c>
      <c r="Q120" s="224">
        <v>801007</v>
      </c>
      <c r="R120" s="224">
        <v>798209</v>
      </c>
      <c r="S120" s="224">
        <v>787745</v>
      </c>
      <c r="T120" s="224">
        <v>834772</v>
      </c>
      <c r="U120" s="224">
        <v>841507</v>
      </c>
      <c r="V120" s="224">
        <v>824717</v>
      </c>
      <c r="W120" s="224">
        <v>750727</v>
      </c>
      <c r="X120" s="224">
        <v>686126</v>
      </c>
      <c r="Y120" s="224">
        <v>746417</v>
      </c>
      <c r="Z120" s="224">
        <v>595682</v>
      </c>
      <c r="AA120" s="224">
        <v>620634</v>
      </c>
      <c r="AB120" s="224">
        <v>669690</v>
      </c>
      <c r="AC120" s="224">
        <v>671269</v>
      </c>
      <c r="AD120" s="224">
        <v>697511</v>
      </c>
      <c r="AE120" s="224">
        <v>701522</v>
      </c>
      <c r="AF120" s="224">
        <v>776140</v>
      </c>
      <c r="AG120" s="224">
        <v>805201</v>
      </c>
      <c r="AH120" s="224">
        <v>834429</v>
      </c>
      <c r="AI120" s="224">
        <v>855409</v>
      </c>
      <c r="AJ120" s="224">
        <v>866391</v>
      </c>
      <c r="AK120" s="224">
        <v>881025</v>
      </c>
      <c r="AL120" s="224">
        <v>892278</v>
      </c>
      <c r="AM120" s="224">
        <v>932681</v>
      </c>
      <c r="AN120" s="224">
        <v>939218</v>
      </c>
      <c r="AO120" s="224">
        <v>970785</v>
      </c>
      <c r="AP120" s="224">
        <v>985010</v>
      </c>
      <c r="AQ120" s="224">
        <v>1024132</v>
      </c>
      <c r="AR120" s="224">
        <v>1003498</v>
      </c>
      <c r="AS120" s="224">
        <v>1000575</v>
      </c>
      <c r="AT120" s="224">
        <v>1010356</v>
      </c>
      <c r="AU120" s="224">
        <v>1019145</v>
      </c>
      <c r="AV120" s="224">
        <v>1007980</v>
      </c>
    </row>
    <row r="121" spans="2:48">
      <c r="B121" s="214" t="s">
        <v>57</v>
      </c>
      <c r="C121" s="224">
        <v>9153</v>
      </c>
      <c r="D121" s="224">
        <v>9002</v>
      </c>
      <c r="E121" s="224">
        <v>9000</v>
      </c>
      <c r="F121" s="224">
        <v>8982</v>
      </c>
      <c r="G121" s="224">
        <v>8961</v>
      </c>
      <c r="H121" s="224">
        <v>8862</v>
      </c>
      <c r="I121" s="224">
        <v>8820</v>
      </c>
      <c r="J121" s="224">
        <v>8685</v>
      </c>
      <c r="K121" s="224">
        <v>8536</v>
      </c>
      <c r="L121" s="224">
        <v>8523</v>
      </c>
      <c r="M121" s="224">
        <v>8580</v>
      </c>
      <c r="N121" s="224">
        <v>8507</v>
      </c>
      <c r="O121" s="224">
        <v>8480</v>
      </c>
      <c r="P121" s="224">
        <v>8551</v>
      </c>
      <c r="Q121" s="224">
        <v>8443</v>
      </c>
      <c r="R121" s="224">
        <v>8395</v>
      </c>
      <c r="S121" s="224">
        <v>8293</v>
      </c>
      <c r="T121" s="224">
        <v>8240</v>
      </c>
      <c r="U121" s="224">
        <v>8193</v>
      </c>
      <c r="V121" s="224">
        <v>8107</v>
      </c>
      <c r="W121" s="224">
        <v>8059</v>
      </c>
      <c r="X121" s="224">
        <v>7932</v>
      </c>
      <c r="Y121" s="224">
        <v>7784</v>
      </c>
      <c r="Z121" s="224">
        <v>7728</v>
      </c>
      <c r="AA121" s="224">
        <v>7778</v>
      </c>
      <c r="AB121" s="224">
        <v>7533</v>
      </c>
      <c r="AC121" s="224">
        <v>7609</v>
      </c>
      <c r="AD121" s="224">
        <v>7541</v>
      </c>
      <c r="AE121" s="224">
        <v>7469</v>
      </c>
      <c r="AF121" s="224">
        <v>7365</v>
      </c>
      <c r="AG121" s="224">
        <v>7307</v>
      </c>
      <c r="AH121" s="224">
        <v>7165</v>
      </c>
      <c r="AI121" s="224">
        <v>6880</v>
      </c>
      <c r="AJ121" s="224">
        <v>6825</v>
      </c>
      <c r="AK121" s="224">
        <v>6703</v>
      </c>
      <c r="AL121" s="224">
        <v>6468</v>
      </c>
      <c r="AM121" s="224">
        <v>3277</v>
      </c>
      <c r="AN121" s="224">
        <v>2680</v>
      </c>
      <c r="AO121" s="224">
        <v>2616</v>
      </c>
      <c r="AP121" s="224">
        <v>2620</v>
      </c>
      <c r="AQ121" s="224">
        <v>2631</v>
      </c>
      <c r="AR121" s="224">
        <v>2702</v>
      </c>
      <c r="AS121" s="224">
        <v>2755</v>
      </c>
      <c r="AT121" s="224">
        <v>2804</v>
      </c>
      <c r="AU121" s="224">
        <v>2854</v>
      </c>
      <c r="AV121" s="224">
        <v>2878</v>
      </c>
    </row>
    <row r="122" spans="2:48">
      <c r="B122" s="214" t="s">
        <v>58</v>
      </c>
      <c r="C122" s="224">
        <v>130336</v>
      </c>
      <c r="D122" s="224">
        <v>131619</v>
      </c>
      <c r="E122" s="224">
        <v>133148</v>
      </c>
      <c r="F122" s="224">
        <v>134985</v>
      </c>
      <c r="G122" s="224">
        <v>139703</v>
      </c>
      <c r="H122" s="224">
        <v>142422</v>
      </c>
      <c r="I122" s="224">
        <v>144467</v>
      </c>
      <c r="J122" s="224">
        <v>146021</v>
      </c>
      <c r="K122" s="224">
        <v>147345</v>
      </c>
      <c r="L122" s="224">
        <v>148646</v>
      </c>
      <c r="M122" s="224">
        <v>150102</v>
      </c>
      <c r="N122" s="224">
        <v>151361</v>
      </c>
      <c r="O122" s="224">
        <v>152240</v>
      </c>
      <c r="P122" s="224">
        <v>154365</v>
      </c>
      <c r="Q122" s="224">
        <v>154278</v>
      </c>
      <c r="R122" s="224">
        <v>154726</v>
      </c>
      <c r="S122" s="224">
        <v>154534</v>
      </c>
      <c r="T122" s="224">
        <v>155009</v>
      </c>
      <c r="U122" s="224">
        <v>155959</v>
      </c>
      <c r="V122" s="224">
        <v>155576</v>
      </c>
      <c r="W122" s="224">
        <v>155608</v>
      </c>
      <c r="X122" s="224">
        <v>154527</v>
      </c>
      <c r="Y122" s="224">
        <v>149664</v>
      </c>
      <c r="Z122" s="224">
        <v>148648</v>
      </c>
      <c r="AA122" s="224">
        <v>147250</v>
      </c>
      <c r="AB122" s="224">
        <v>145408</v>
      </c>
      <c r="AC122" s="224">
        <v>144474</v>
      </c>
      <c r="AD122" s="224">
        <v>142788</v>
      </c>
      <c r="AE122" s="224">
        <v>140585</v>
      </c>
      <c r="AF122" s="224">
        <v>139229</v>
      </c>
      <c r="AG122" s="224">
        <v>138090</v>
      </c>
      <c r="AH122" s="224">
        <v>135107</v>
      </c>
      <c r="AI122" s="224">
        <v>130668</v>
      </c>
      <c r="AJ122" s="224">
        <v>129037</v>
      </c>
      <c r="AK122" s="224">
        <v>127712</v>
      </c>
      <c r="AL122" s="224">
        <v>125803</v>
      </c>
      <c r="AM122" s="224">
        <v>67431</v>
      </c>
      <c r="AN122" s="224">
        <v>58935</v>
      </c>
      <c r="AO122" s="224">
        <v>58952</v>
      </c>
      <c r="AP122" s="224">
        <v>59203</v>
      </c>
      <c r="AQ122" s="224">
        <v>59675</v>
      </c>
      <c r="AR122" s="224">
        <v>60043</v>
      </c>
      <c r="AS122" s="224">
        <v>60373</v>
      </c>
      <c r="AT122" s="224">
        <v>60514</v>
      </c>
      <c r="AU122" s="224">
        <v>60765</v>
      </c>
      <c r="AV122" s="224">
        <v>61412</v>
      </c>
    </row>
    <row r="123" spans="2:48" ht="13.5" thickBot="1">
      <c r="B123" s="214" t="s">
        <v>59</v>
      </c>
      <c r="C123" s="224">
        <v>88136</v>
      </c>
      <c r="D123" s="224">
        <v>87950</v>
      </c>
      <c r="E123" s="224">
        <v>87827</v>
      </c>
      <c r="F123" s="224">
        <v>88300</v>
      </c>
      <c r="G123" s="224">
        <v>88751</v>
      </c>
      <c r="H123" s="224">
        <v>88743</v>
      </c>
      <c r="I123" s="224">
        <v>88512</v>
      </c>
      <c r="J123" s="224">
        <v>88982</v>
      </c>
      <c r="K123" s="224">
        <v>88526</v>
      </c>
      <c r="L123" s="224">
        <v>88479</v>
      </c>
      <c r="M123" s="224">
        <v>89067</v>
      </c>
      <c r="N123" s="224">
        <v>89561</v>
      </c>
      <c r="O123" s="224">
        <v>89949</v>
      </c>
      <c r="P123" s="224">
        <v>90544</v>
      </c>
      <c r="Q123" s="224">
        <v>90558</v>
      </c>
      <c r="R123" s="224">
        <v>90715</v>
      </c>
      <c r="S123" s="224">
        <v>90632</v>
      </c>
      <c r="T123" s="224">
        <v>90106</v>
      </c>
      <c r="U123" s="224">
        <v>91307</v>
      </c>
      <c r="V123" s="224">
        <v>91543</v>
      </c>
      <c r="W123" s="224">
        <v>93095</v>
      </c>
      <c r="X123" s="224">
        <v>93367</v>
      </c>
      <c r="Y123" s="224">
        <v>92445</v>
      </c>
      <c r="Z123" s="224">
        <v>92800</v>
      </c>
      <c r="AA123" s="224">
        <v>92971</v>
      </c>
      <c r="AB123" s="224">
        <v>92721</v>
      </c>
      <c r="AC123" s="224">
        <v>120649</v>
      </c>
      <c r="AD123" s="224">
        <v>121496</v>
      </c>
      <c r="AE123" s="224">
        <v>135399</v>
      </c>
      <c r="AF123" s="224">
        <v>133916</v>
      </c>
      <c r="AG123" s="224">
        <v>142199</v>
      </c>
      <c r="AH123" s="224">
        <v>143867</v>
      </c>
      <c r="AI123" s="224">
        <v>153671</v>
      </c>
      <c r="AJ123" s="224">
        <v>156660</v>
      </c>
      <c r="AK123" s="224">
        <v>167488</v>
      </c>
      <c r="AL123" s="224">
        <v>169898</v>
      </c>
      <c r="AM123" s="224">
        <v>169635</v>
      </c>
      <c r="AN123" s="224">
        <v>155797</v>
      </c>
      <c r="AO123" s="224">
        <v>159964</v>
      </c>
      <c r="AP123" s="224">
        <v>159954</v>
      </c>
      <c r="AQ123" s="224">
        <v>159911</v>
      </c>
      <c r="AR123" s="224">
        <v>160046</v>
      </c>
      <c r="AS123" s="224">
        <v>159941</v>
      </c>
      <c r="AT123" s="224">
        <v>159681</v>
      </c>
      <c r="AU123" s="224">
        <v>159169</v>
      </c>
      <c r="AV123" s="224">
        <v>162401</v>
      </c>
    </row>
    <row r="124" spans="2:48" ht="13.5" thickBot="1">
      <c r="B124" s="216" t="s">
        <v>82</v>
      </c>
      <c r="C124" s="231">
        <f>SUM(C119:C123)</f>
        <v>2072002</v>
      </c>
      <c r="D124" s="231">
        <f t="shared" ref="D124:AU124" si="73">SUM(D119:D123)</f>
        <v>2088727</v>
      </c>
      <c r="E124" s="231">
        <f t="shared" si="73"/>
        <v>2108675</v>
      </c>
      <c r="F124" s="231">
        <f t="shared" si="73"/>
        <v>2125960</v>
      </c>
      <c r="G124" s="231">
        <f t="shared" si="73"/>
        <v>2149862</v>
      </c>
      <c r="H124" s="231">
        <f t="shared" si="73"/>
        <v>2166703</v>
      </c>
      <c r="I124" s="231">
        <f t="shared" si="73"/>
        <v>2178906</v>
      </c>
      <c r="J124" s="231">
        <f t="shared" si="73"/>
        <v>2197823</v>
      </c>
      <c r="K124" s="231">
        <f t="shared" si="73"/>
        <v>2212239</v>
      </c>
      <c r="L124" s="231">
        <f t="shared" si="73"/>
        <v>2222797</v>
      </c>
      <c r="M124" s="231">
        <f t="shared" si="73"/>
        <v>2237715</v>
      </c>
      <c r="N124" s="231">
        <f t="shared" si="73"/>
        <v>2261602</v>
      </c>
      <c r="O124" s="231">
        <f t="shared" si="73"/>
        <v>2283044</v>
      </c>
      <c r="P124" s="231">
        <f t="shared" si="73"/>
        <v>2323485</v>
      </c>
      <c r="Q124" s="231">
        <f t="shared" si="73"/>
        <v>2340034</v>
      </c>
      <c r="R124" s="231">
        <f t="shared" si="73"/>
        <v>2358766</v>
      </c>
      <c r="S124" s="231">
        <f t="shared" si="73"/>
        <v>2377726</v>
      </c>
      <c r="T124" s="231">
        <f t="shared" si="73"/>
        <v>2392698</v>
      </c>
      <c r="U124" s="231">
        <f t="shared" si="73"/>
        <v>2418944</v>
      </c>
      <c r="V124" s="231">
        <f t="shared" si="73"/>
        <v>2433501</v>
      </c>
      <c r="W124" s="231">
        <f t="shared" si="73"/>
        <v>2451978</v>
      </c>
      <c r="X124" s="231">
        <f t="shared" si="73"/>
        <v>2468030</v>
      </c>
      <c r="Y124" s="231">
        <f t="shared" si="73"/>
        <v>2473613</v>
      </c>
      <c r="Z124" s="231">
        <f t="shared" si="73"/>
        <v>2491847</v>
      </c>
      <c r="AA124" s="231">
        <f t="shared" si="73"/>
        <v>2503131</v>
      </c>
      <c r="AB124" s="231">
        <f t="shared" si="73"/>
        <v>2509590</v>
      </c>
      <c r="AC124" s="231">
        <f t="shared" si="73"/>
        <v>2530011</v>
      </c>
      <c r="AD124" s="231">
        <f t="shared" si="73"/>
        <v>2548780</v>
      </c>
      <c r="AE124" s="231">
        <f t="shared" si="73"/>
        <v>2555139</v>
      </c>
      <c r="AF124" s="231">
        <f t="shared" si="73"/>
        <v>2564104</v>
      </c>
      <c r="AG124" s="231">
        <f t="shared" si="73"/>
        <v>2579625</v>
      </c>
      <c r="AH124" s="231">
        <f t="shared" si="73"/>
        <v>2595101</v>
      </c>
      <c r="AI124" s="231">
        <f t="shared" si="73"/>
        <v>2595678</v>
      </c>
      <c r="AJ124" s="231">
        <f t="shared" si="73"/>
        <v>2597151</v>
      </c>
      <c r="AK124" s="231">
        <f t="shared" si="73"/>
        <v>2615189</v>
      </c>
      <c r="AL124" s="231">
        <f t="shared" si="73"/>
        <v>2629453</v>
      </c>
      <c r="AM124" s="231">
        <f t="shared" si="73"/>
        <v>2643726</v>
      </c>
      <c r="AN124" s="231">
        <f t="shared" si="73"/>
        <v>2653562</v>
      </c>
      <c r="AO124" s="231">
        <f t="shared" si="73"/>
        <v>2665815</v>
      </c>
      <c r="AP124" s="231">
        <f t="shared" si="73"/>
        <v>2676731</v>
      </c>
      <c r="AQ124" s="231">
        <f t="shared" si="73"/>
        <v>2691863</v>
      </c>
      <c r="AR124" s="231">
        <f t="shared" si="73"/>
        <v>2706449</v>
      </c>
      <c r="AS124" s="231">
        <f t="shared" si="73"/>
        <v>2719640</v>
      </c>
      <c r="AT124" s="231">
        <f t="shared" si="73"/>
        <v>2738710</v>
      </c>
      <c r="AU124" s="231">
        <f t="shared" si="73"/>
        <v>2744488</v>
      </c>
      <c r="AV124" s="231">
        <f t="shared" ref="AV124" si="74">SUM(AV119:AV123)</f>
        <v>2767624</v>
      </c>
    </row>
    <row r="125" spans="2:48">
      <c r="B125" s="232"/>
    </row>
    <row r="126" spans="2:48">
      <c r="B126" s="212" t="s">
        <v>67</v>
      </c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</row>
    <row r="127" spans="2:48">
      <c r="B127" s="214" t="s">
        <v>80</v>
      </c>
      <c r="C127" s="224">
        <v>1203699</v>
      </c>
      <c r="D127" s="224">
        <v>1119891</v>
      </c>
      <c r="E127" s="224">
        <v>1129111</v>
      </c>
      <c r="F127" s="224">
        <v>1133956</v>
      </c>
      <c r="G127" s="224">
        <v>1157262</v>
      </c>
      <c r="H127" s="224">
        <v>1146162</v>
      </c>
      <c r="I127" s="224">
        <v>1167510</v>
      </c>
      <c r="J127" s="224">
        <v>1182998</v>
      </c>
      <c r="K127" s="224">
        <v>1317040</v>
      </c>
      <c r="L127" s="224">
        <v>1431139</v>
      </c>
      <c r="M127" s="224">
        <v>1399562</v>
      </c>
      <c r="N127" s="224">
        <v>1425157</v>
      </c>
      <c r="O127" s="224">
        <v>1391858</v>
      </c>
      <c r="P127" s="224">
        <v>1488133</v>
      </c>
      <c r="Q127" s="224">
        <v>1525475</v>
      </c>
      <c r="R127" s="224">
        <v>1559018</v>
      </c>
      <c r="S127" s="224">
        <v>1608525</v>
      </c>
      <c r="T127" s="224">
        <v>1597326</v>
      </c>
      <c r="U127" s="224">
        <v>1602156</v>
      </c>
      <c r="V127" s="224">
        <v>1592529</v>
      </c>
      <c r="W127" s="224">
        <v>1710069</v>
      </c>
      <c r="X127" s="224">
        <v>1719971</v>
      </c>
      <c r="Y127" s="224">
        <v>1682961</v>
      </c>
      <c r="Z127" s="224">
        <v>1808031</v>
      </c>
      <c r="AA127" s="224">
        <v>1810233</v>
      </c>
      <c r="AB127" s="224">
        <v>1777396</v>
      </c>
      <c r="AC127" s="224">
        <v>1768383</v>
      </c>
      <c r="AD127" s="224">
        <v>1747292</v>
      </c>
      <c r="AE127" s="224">
        <v>1738814</v>
      </c>
      <c r="AF127" s="224">
        <v>1655639</v>
      </c>
      <c r="AG127" s="224">
        <v>1662332</v>
      </c>
      <c r="AH127" s="224">
        <v>1634830</v>
      </c>
      <c r="AI127" s="224">
        <v>1614012</v>
      </c>
      <c r="AJ127" s="224">
        <v>1616324</v>
      </c>
      <c r="AK127" s="224">
        <v>1621982</v>
      </c>
      <c r="AL127" s="224">
        <v>1635209</v>
      </c>
      <c r="AM127" s="224">
        <v>1629123</v>
      </c>
      <c r="AN127" s="224">
        <v>1663405</v>
      </c>
      <c r="AO127" s="224">
        <v>1662669</v>
      </c>
      <c r="AP127" s="224">
        <v>1630047</v>
      </c>
      <c r="AQ127" s="224">
        <v>1605596</v>
      </c>
      <c r="AR127" s="224">
        <v>1639946</v>
      </c>
      <c r="AS127" s="224">
        <v>1638420</v>
      </c>
      <c r="AT127" s="224">
        <v>1651472</v>
      </c>
      <c r="AU127" s="224">
        <v>1668545</v>
      </c>
      <c r="AV127" s="224">
        <v>1670573</v>
      </c>
    </row>
    <row r="128" spans="2:48">
      <c r="B128" s="214" t="s">
        <v>81</v>
      </c>
      <c r="C128" s="224">
        <v>456283</v>
      </c>
      <c r="D128" s="224">
        <v>551935</v>
      </c>
      <c r="E128" s="224">
        <v>565137</v>
      </c>
      <c r="F128" s="224">
        <v>600039</v>
      </c>
      <c r="G128" s="224">
        <v>619057</v>
      </c>
      <c r="H128" s="224">
        <v>659640</v>
      </c>
      <c r="I128" s="224">
        <v>674438</v>
      </c>
      <c r="J128" s="224">
        <v>697169</v>
      </c>
      <c r="K128" s="224">
        <v>591183</v>
      </c>
      <c r="L128" s="224">
        <v>500744</v>
      </c>
      <c r="M128" s="224">
        <v>559347</v>
      </c>
      <c r="N128" s="224">
        <v>562525</v>
      </c>
      <c r="O128" s="224">
        <v>551905</v>
      </c>
      <c r="P128" s="224">
        <v>545401</v>
      </c>
      <c r="Q128" s="224">
        <v>536906</v>
      </c>
      <c r="R128" s="224">
        <v>537059</v>
      </c>
      <c r="S128" s="224">
        <v>511926</v>
      </c>
      <c r="T128" s="224">
        <v>549941</v>
      </c>
      <c r="U128" s="224">
        <v>590395</v>
      </c>
      <c r="V128" s="224">
        <v>634222</v>
      </c>
      <c r="W128" s="224">
        <v>526655</v>
      </c>
      <c r="X128" s="224">
        <v>527800</v>
      </c>
      <c r="Y128" s="224">
        <v>571671</v>
      </c>
      <c r="Z128" s="224">
        <v>463694</v>
      </c>
      <c r="AA128" s="224">
        <v>469252</v>
      </c>
      <c r="AB128" s="224">
        <v>526972</v>
      </c>
      <c r="AC128" s="224">
        <v>542769</v>
      </c>
      <c r="AD128" s="224">
        <v>576296</v>
      </c>
      <c r="AE128" s="224">
        <v>587154</v>
      </c>
      <c r="AF128" s="224">
        <v>692399</v>
      </c>
      <c r="AG128" s="224">
        <v>687003</v>
      </c>
      <c r="AH128" s="224">
        <v>726150</v>
      </c>
      <c r="AI128" s="224">
        <v>755075</v>
      </c>
      <c r="AJ128" s="224">
        <v>772414</v>
      </c>
      <c r="AK128" s="224">
        <v>793977</v>
      </c>
      <c r="AL128" s="224">
        <v>796970</v>
      </c>
      <c r="AM128" s="224">
        <v>834985</v>
      </c>
      <c r="AN128" s="224">
        <v>848600</v>
      </c>
      <c r="AO128" s="224">
        <v>875156</v>
      </c>
      <c r="AP128" s="224">
        <v>913304</v>
      </c>
      <c r="AQ128" s="224">
        <v>964158</v>
      </c>
      <c r="AR128" s="224">
        <v>946890</v>
      </c>
      <c r="AS128" s="224">
        <v>962404</v>
      </c>
      <c r="AT128" s="224">
        <v>962634</v>
      </c>
      <c r="AU128" s="224">
        <v>958325</v>
      </c>
      <c r="AV128" s="224">
        <v>1002503</v>
      </c>
    </row>
    <row r="129" spans="2:48">
      <c r="B129" s="214" t="s">
        <v>57</v>
      </c>
      <c r="C129" s="224">
        <v>3809</v>
      </c>
      <c r="D129" s="224">
        <v>3858</v>
      </c>
      <c r="E129" s="224">
        <v>3926</v>
      </c>
      <c r="F129" s="224">
        <v>4030</v>
      </c>
      <c r="G129" s="224">
        <v>3992</v>
      </c>
      <c r="H129" s="224">
        <v>4003</v>
      </c>
      <c r="I129" s="224">
        <v>4038</v>
      </c>
      <c r="J129" s="224">
        <v>4022</v>
      </c>
      <c r="K129" s="224">
        <v>4037</v>
      </c>
      <c r="L129" s="224">
        <v>4000</v>
      </c>
      <c r="M129" s="224">
        <v>4018</v>
      </c>
      <c r="N129" s="224">
        <v>3998</v>
      </c>
      <c r="O129" s="224">
        <v>3660</v>
      </c>
      <c r="P129" s="224">
        <v>4406</v>
      </c>
      <c r="Q129" s="224">
        <v>4109</v>
      </c>
      <c r="R129" s="224">
        <v>4231</v>
      </c>
      <c r="S129" s="224">
        <v>4053</v>
      </c>
      <c r="T129" s="224">
        <v>4008</v>
      </c>
      <c r="U129" s="224">
        <v>3967</v>
      </c>
      <c r="V129" s="224">
        <v>3929</v>
      </c>
      <c r="W129" s="224">
        <v>4075</v>
      </c>
      <c r="X129" s="224">
        <v>3932</v>
      </c>
      <c r="Y129" s="224">
        <v>4001</v>
      </c>
      <c r="Z129" s="224">
        <v>4076</v>
      </c>
      <c r="AA129" s="224">
        <v>4010</v>
      </c>
      <c r="AB129" s="224">
        <v>4068</v>
      </c>
      <c r="AC129" s="224">
        <v>4067</v>
      </c>
      <c r="AD129" s="224">
        <v>4025</v>
      </c>
      <c r="AE129" s="224">
        <v>4013</v>
      </c>
      <c r="AF129" s="224">
        <v>3947</v>
      </c>
      <c r="AG129" s="224">
        <v>4039</v>
      </c>
      <c r="AH129" s="224">
        <v>3951</v>
      </c>
      <c r="AI129" s="224">
        <v>4103</v>
      </c>
      <c r="AJ129" s="224">
        <v>4070</v>
      </c>
      <c r="AK129" s="224">
        <v>4127</v>
      </c>
      <c r="AL129" s="224">
        <v>4385</v>
      </c>
      <c r="AM129" s="224">
        <v>4214</v>
      </c>
      <c r="AN129" s="224">
        <v>4184</v>
      </c>
      <c r="AO129" s="224">
        <v>4182</v>
      </c>
      <c r="AP129" s="224">
        <v>4173</v>
      </c>
      <c r="AQ129" s="224">
        <v>4204</v>
      </c>
      <c r="AR129" s="224">
        <v>4303</v>
      </c>
      <c r="AS129" s="224">
        <v>4346</v>
      </c>
      <c r="AT129" s="224">
        <v>4369</v>
      </c>
      <c r="AU129" s="224">
        <v>4488</v>
      </c>
      <c r="AV129" s="224">
        <v>4389</v>
      </c>
    </row>
    <row r="130" spans="2:48">
      <c r="B130" s="214" t="s">
        <v>58</v>
      </c>
      <c r="C130" s="224">
        <v>147963</v>
      </c>
      <c r="D130" s="224">
        <v>149853</v>
      </c>
      <c r="E130" s="224">
        <v>151435</v>
      </c>
      <c r="F130" s="224">
        <v>153328</v>
      </c>
      <c r="G130" s="224">
        <v>154966</v>
      </c>
      <c r="H130" s="224">
        <v>157585</v>
      </c>
      <c r="I130" s="224">
        <v>159280</v>
      </c>
      <c r="J130" s="224">
        <v>161044</v>
      </c>
      <c r="K130" s="224">
        <v>161795</v>
      </c>
      <c r="L130" s="224">
        <v>163502</v>
      </c>
      <c r="M130" s="224">
        <v>165916</v>
      </c>
      <c r="N130" s="224">
        <v>168116</v>
      </c>
      <c r="O130" s="224">
        <v>162289</v>
      </c>
      <c r="P130" s="224">
        <v>172961</v>
      </c>
      <c r="Q130" s="224">
        <v>175943</v>
      </c>
      <c r="R130" s="224">
        <v>176288</v>
      </c>
      <c r="S130" s="224">
        <v>177062</v>
      </c>
      <c r="T130" s="224">
        <v>178461</v>
      </c>
      <c r="U130" s="224">
        <v>180029</v>
      </c>
      <c r="V130" s="224">
        <v>180238</v>
      </c>
      <c r="W130" s="224">
        <v>180072</v>
      </c>
      <c r="X130" s="224">
        <v>177935</v>
      </c>
      <c r="Y130" s="224">
        <v>175850</v>
      </c>
      <c r="Z130" s="224">
        <v>175271</v>
      </c>
      <c r="AA130" s="224">
        <v>174540</v>
      </c>
      <c r="AB130" s="224">
        <v>173763</v>
      </c>
      <c r="AC130" s="224">
        <v>173146</v>
      </c>
      <c r="AD130" s="224">
        <v>173483</v>
      </c>
      <c r="AE130" s="224">
        <v>171315</v>
      </c>
      <c r="AF130" s="224">
        <v>169751</v>
      </c>
      <c r="AG130" s="224">
        <v>169216</v>
      </c>
      <c r="AH130" s="224">
        <v>166229</v>
      </c>
      <c r="AI130" s="224">
        <v>163845</v>
      </c>
      <c r="AJ130" s="224">
        <v>163090</v>
      </c>
      <c r="AK130" s="224">
        <v>163295</v>
      </c>
      <c r="AL130" s="224">
        <v>162826</v>
      </c>
      <c r="AM130" s="224">
        <v>163484</v>
      </c>
      <c r="AN130" s="224">
        <v>163069</v>
      </c>
      <c r="AO130" s="224">
        <v>162413</v>
      </c>
      <c r="AP130" s="224">
        <v>161291</v>
      </c>
      <c r="AQ130" s="224">
        <v>160067</v>
      </c>
      <c r="AR130" s="224">
        <v>158921</v>
      </c>
      <c r="AS130" s="224">
        <v>157366</v>
      </c>
      <c r="AT130" s="224">
        <v>155941</v>
      </c>
      <c r="AU130" s="224">
        <v>155304</v>
      </c>
      <c r="AV130" s="224">
        <v>154999</v>
      </c>
    </row>
    <row r="131" spans="2:48" ht="13.5" thickBot="1">
      <c r="B131" s="214" t="s">
        <v>59</v>
      </c>
      <c r="C131" s="224">
        <v>140285</v>
      </c>
      <c r="D131" s="224">
        <v>139959</v>
      </c>
      <c r="E131" s="224">
        <v>139656</v>
      </c>
      <c r="F131" s="224">
        <v>139180</v>
      </c>
      <c r="G131" s="224">
        <v>138974</v>
      </c>
      <c r="H131" s="224">
        <v>138628</v>
      </c>
      <c r="I131" s="224">
        <v>138471</v>
      </c>
      <c r="J131" s="224">
        <v>138072</v>
      </c>
      <c r="K131" s="224">
        <v>139448</v>
      </c>
      <c r="L131" s="224">
        <v>141669</v>
      </c>
      <c r="M131" s="224">
        <v>146317</v>
      </c>
      <c r="N131" s="224">
        <v>151207</v>
      </c>
      <c r="O131" s="224">
        <v>153801</v>
      </c>
      <c r="P131" s="224">
        <v>158228</v>
      </c>
      <c r="Q131" s="224">
        <v>162244</v>
      </c>
      <c r="R131" s="224">
        <v>166748</v>
      </c>
      <c r="S131" s="224">
        <v>173003</v>
      </c>
      <c r="T131" s="224">
        <v>176647</v>
      </c>
      <c r="U131" s="224">
        <v>181499</v>
      </c>
      <c r="V131" s="224">
        <v>185068</v>
      </c>
      <c r="W131" s="224">
        <v>187715</v>
      </c>
      <c r="X131" s="224">
        <v>189320</v>
      </c>
      <c r="Y131" s="224">
        <v>191762</v>
      </c>
      <c r="Z131" s="224">
        <v>192711</v>
      </c>
      <c r="AA131" s="224">
        <v>195858</v>
      </c>
      <c r="AB131" s="224">
        <v>196247</v>
      </c>
      <c r="AC131" s="224">
        <v>202025</v>
      </c>
      <c r="AD131" s="224">
        <v>209494</v>
      </c>
      <c r="AE131" s="224">
        <v>215207</v>
      </c>
      <c r="AF131" s="224">
        <v>195356</v>
      </c>
      <c r="AG131" s="224">
        <v>217663</v>
      </c>
      <c r="AH131" s="224">
        <v>201974</v>
      </c>
      <c r="AI131" s="224">
        <v>207101</v>
      </c>
      <c r="AJ131" s="224">
        <v>214625</v>
      </c>
      <c r="AK131" s="224">
        <v>210791</v>
      </c>
      <c r="AL131" s="224">
        <v>212091</v>
      </c>
      <c r="AM131" s="224">
        <v>215812</v>
      </c>
      <c r="AN131" s="224">
        <v>206854</v>
      </c>
      <c r="AO131" s="224">
        <v>210153</v>
      </c>
      <c r="AP131" s="224">
        <v>204394</v>
      </c>
      <c r="AQ131" s="224">
        <v>208585</v>
      </c>
      <c r="AR131" s="224">
        <v>211921</v>
      </c>
      <c r="AS131" s="224">
        <v>210857</v>
      </c>
      <c r="AT131" s="224">
        <v>215407</v>
      </c>
      <c r="AU131" s="224">
        <v>215651</v>
      </c>
      <c r="AV131" s="224">
        <v>281333</v>
      </c>
    </row>
    <row r="132" spans="2:48" ht="13.5" thickBot="1">
      <c r="B132" s="216" t="s">
        <v>83</v>
      </c>
      <c r="C132" s="231">
        <f>SUM(C127:C131)</f>
        <v>1952039</v>
      </c>
      <c r="D132" s="231">
        <f t="shared" ref="D132:AU132" si="75">SUM(D127:D131)</f>
        <v>1965496</v>
      </c>
      <c r="E132" s="231">
        <f t="shared" si="75"/>
        <v>1989265</v>
      </c>
      <c r="F132" s="231">
        <f t="shared" si="75"/>
        <v>2030533</v>
      </c>
      <c r="G132" s="231">
        <f t="shared" si="75"/>
        <v>2074251</v>
      </c>
      <c r="H132" s="231">
        <f t="shared" si="75"/>
        <v>2106018</v>
      </c>
      <c r="I132" s="231">
        <f t="shared" si="75"/>
        <v>2143737</v>
      </c>
      <c r="J132" s="231">
        <f t="shared" si="75"/>
        <v>2183305</v>
      </c>
      <c r="K132" s="231">
        <f t="shared" si="75"/>
        <v>2213503</v>
      </c>
      <c r="L132" s="231">
        <f t="shared" si="75"/>
        <v>2241054</v>
      </c>
      <c r="M132" s="231">
        <f t="shared" si="75"/>
        <v>2275160</v>
      </c>
      <c r="N132" s="231">
        <f t="shared" si="75"/>
        <v>2311003</v>
      </c>
      <c r="O132" s="231">
        <f t="shared" si="75"/>
        <v>2263513</v>
      </c>
      <c r="P132" s="231">
        <f t="shared" si="75"/>
        <v>2369129</v>
      </c>
      <c r="Q132" s="231">
        <f t="shared" si="75"/>
        <v>2404677</v>
      </c>
      <c r="R132" s="231">
        <f t="shared" si="75"/>
        <v>2443344</v>
      </c>
      <c r="S132" s="231">
        <f t="shared" si="75"/>
        <v>2474569</v>
      </c>
      <c r="T132" s="231">
        <f t="shared" si="75"/>
        <v>2506383</v>
      </c>
      <c r="U132" s="231">
        <f t="shared" si="75"/>
        <v>2558046</v>
      </c>
      <c r="V132" s="231">
        <f t="shared" si="75"/>
        <v>2595986</v>
      </c>
      <c r="W132" s="231">
        <f t="shared" si="75"/>
        <v>2608586</v>
      </c>
      <c r="X132" s="231">
        <f t="shared" si="75"/>
        <v>2618958</v>
      </c>
      <c r="Y132" s="231">
        <f t="shared" si="75"/>
        <v>2626245</v>
      </c>
      <c r="Z132" s="231">
        <f t="shared" si="75"/>
        <v>2643783</v>
      </c>
      <c r="AA132" s="231">
        <f t="shared" si="75"/>
        <v>2653893</v>
      </c>
      <c r="AB132" s="231">
        <f t="shared" si="75"/>
        <v>2678446</v>
      </c>
      <c r="AC132" s="231">
        <f t="shared" si="75"/>
        <v>2690390</v>
      </c>
      <c r="AD132" s="231">
        <f t="shared" si="75"/>
        <v>2710590</v>
      </c>
      <c r="AE132" s="231">
        <f t="shared" si="75"/>
        <v>2716503</v>
      </c>
      <c r="AF132" s="231">
        <f t="shared" si="75"/>
        <v>2717092</v>
      </c>
      <c r="AG132" s="231">
        <f t="shared" si="75"/>
        <v>2740253</v>
      </c>
      <c r="AH132" s="231">
        <f t="shared" si="75"/>
        <v>2733134</v>
      </c>
      <c r="AI132" s="231">
        <f t="shared" si="75"/>
        <v>2744136</v>
      </c>
      <c r="AJ132" s="231">
        <f t="shared" si="75"/>
        <v>2770523</v>
      </c>
      <c r="AK132" s="231">
        <f t="shared" si="75"/>
        <v>2794172</v>
      </c>
      <c r="AL132" s="231">
        <f t="shared" si="75"/>
        <v>2811481</v>
      </c>
      <c r="AM132" s="231">
        <f t="shared" si="75"/>
        <v>2847618</v>
      </c>
      <c r="AN132" s="231">
        <f t="shared" si="75"/>
        <v>2886112</v>
      </c>
      <c r="AO132" s="231">
        <f t="shared" si="75"/>
        <v>2914573</v>
      </c>
      <c r="AP132" s="231">
        <f t="shared" si="75"/>
        <v>2913209</v>
      </c>
      <c r="AQ132" s="231">
        <f t="shared" si="75"/>
        <v>2942610</v>
      </c>
      <c r="AR132" s="231">
        <f t="shared" si="75"/>
        <v>2961981</v>
      </c>
      <c r="AS132" s="231">
        <f t="shared" si="75"/>
        <v>2973393</v>
      </c>
      <c r="AT132" s="231">
        <f t="shared" si="75"/>
        <v>2989823</v>
      </c>
      <c r="AU132" s="231">
        <f t="shared" si="75"/>
        <v>3002313</v>
      </c>
      <c r="AV132" s="231">
        <f t="shared" ref="AV132" si="76">SUM(AV127:AV131)</f>
        <v>3113797</v>
      </c>
    </row>
    <row r="133" spans="2:48">
      <c r="B133" s="233"/>
      <c r="C133" s="234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/>
      <c r="AC133" s="234"/>
      <c r="AD133" s="234"/>
      <c r="AE133" s="234"/>
      <c r="AF133" s="234"/>
      <c r="AG133" s="234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  <c r="AV133" s="234"/>
    </row>
    <row r="134" spans="2:48">
      <c r="B134" s="212" t="s">
        <v>69</v>
      </c>
      <c r="C134" s="213"/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  <c r="AA134" s="213"/>
      <c r="AB134" s="213"/>
      <c r="AC134" s="213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</row>
    <row r="135" spans="2:48">
      <c r="B135" s="214" t="s">
        <v>80</v>
      </c>
      <c r="C135" s="224">
        <v>568786</v>
      </c>
      <c r="D135" s="224">
        <v>577772</v>
      </c>
      <c r="E135" s="224">
        <v>584087</v>
      </c>
      <c r="F135" s="224">
        <v>590123</v>
      </c>
      <c r="G135" s="224">
        <v>599827</v>
      </c>
      <c r="H135" s="224">
        <v>605664</v>
      </c>
      <c r="I135" s="224">
        <v>614721</v>
      </c>
      <c r="J135" s="224">
        <v>625649</v>
      </c>
      <c r="K135" s="224">
        <v>663200</v>
      </c>
      <c r="L135" s="224">
        <v>701629</v>
      </c>
      <c r="M135" s="224">
        <v>716678</v>
      </c>
      <c r="N135" s="224">
        <v>740741</v>
      </c>
      <c r="O135" s="224">
        <v>743457</v>
      </c>
      <c r="P135" s="224">
        <v>731739</v>
      </c>
      <c r="Q135" s="224">
        <v>736817</v>
      </c>
      <c r="R135" s="224">
        <v>746206</v>
      </c>
      <c r="S135" s="224">
        <v>754151</v>
      </c>
      <c r="T135" s="224">
        <v>736098</v>
      </c>
      <c r="U135" s="224">
        <v>773412</v>
      </c>
      <c r="V135" s="224">
        <v>809672</v>
      </c>
      <c r="W135" s="224">
        <v>831621</v>
      </c>
      <c r="X135" s="224">
        <v>798761</v>
      </c>
      <c r="Y135" s="224">
        <v>801452</v>
      </c>
      <c r="Z135" s="224">
        <v>781980</v>
      </c>
      <c r="AA135" s="224">
        <v>775420</v>
      </c>
      <c r="AB135" s="224">
        <v>841137</v>
      </c>
      <c r="AC135" s="224">
        <v>822147</v>
      </c>
      <c r="AD135" s="224">
        <v>731423</v>
      </c>
      <c r="AE135" s="224">
        <v>723938</v>
      </c>
      <c r="AF135" s="224">
        <v>690483</v>
      </c>
      <c r="AG135" s="224">
        <v>652011</v>
      </c>
      <c r="AH135" s="224">
        <v>643207</v>
      </c>
      <c r="AI135" s="224">
        <v>651465</v>
      </c>
      <c r="AJ135" s="224">
        <v>642254</v>
      </c>
      <c r="AK135" s="224">
        <v>645227</v>
      </c>
      <c r="AL135" s="224">
        <v>650006</v>
      </c>
      <c r="AM135" s="224">
        <v>636589</v>
      </c>
      <c r="AN135" s="224">
        <v>657311</v>
      </c>
      <c r="AO135" s="224">
        <v>650174</v>
      </c>
      <c r="AP135" s="224">
        <v>666208</v>
      </c>
      <c r="AQ135" s="224">
        <v>554682</v>
      </c>
      <c r="AR135" s="224">
        <v>708651</v>
      </c>
      <c r="AS135" s="224">
        <v>722136</v>
      </c>
      <c r="AT135" s="224">
        <v>735155</v>
      </c>
      <c r="AU135" s="224">
        <v>736022</v>
      </c>
      <c r="AV135" s="224">
        <v>753029</v>
      </c>
    </row>
    <row r="136" spans="2:48">
      <c r="B136" s="214" t="s">
        <v>81</v>
      </c>
      <c r="C136" s="224">
        <v>371083</v>
      </c>
      <c r="D136" s="224">
        <v>373223</v>
      </c>
      <c r="E136" s="224">
        <v>375825</v>
      </c>
      <c r="F136" s="224">
        <v>377348</v>
      </c>
      <c r="G136" s="224">
        <v>378098</v>
      </c>
      <c r="H136" s="224">
        <v>378910</v>
      </c>
      <c r="I136" s="224">
        <v>380682</v>
      </c>
      <c r="J136" s="224">
        <v>380631</v>
      </c>
      <c r="K136" s="224">
        <v>351965</v>
      </c>
      <c r="L136" s="224">
        <v>315228</v>
      </c>
      <c r="M136" s="224">
        <v>308546</v>
      </c>
      <c r="N136" s="224">
        <v>290971</v>
      </c>
      <c r="O136" s="224">
        <v>295925</v>
      </c>
      <c r="P136" s="224">
        <v>316830</v>
      </c>
      <c r="Q136" s="224">
        <v>334244</v>
      </c>
      <c r="R136" s="224">
        <v>332828</v>
      </c>
      <c r="S136" s="224">
        <v>335596</v>
      </c>
      <c r="T136" s="224">
        <v>361026</v>
      </c>
      <c r="U136" s="224">
        <v>334784</v>
      </c>
      <c r="V136" s="224">
        <v>304404</v>
      </c>
      <c r="W136" s="224">
        <v>288824</v>
      </c>
      <c r="X136" s="224">
        <v>327612</v>
      </c>
      <c r="Y136" s="224">
        <v>321421</v>
      </c>
      <c r="Z136" s="224">
        <v>313807</v>
      </c>
      <c r="AA136" s="224">
        <v>349175</v>
      </c>
      <c r="AB136" s="224">
        <v>293985</v>
      </c>
      <c r="AC136" s="224">
        <v>316330</v>
      </c>
      <c r="AD136" s="224">
        <v>383107</v>
      </c>
      <c r="AE136" s="224">
        <v>386840</v>
      </c>
      <c r="AF136" s="224">
        <v>418493</v>
      </c>
      <c r="AG136" s="224">
        <v>440276</v>
      </c>
      <c r="AH136" s="224">
        <v>456653</v>
      </c>
      <c r="AI136" s="224">
        <v>462406</v>
      </c>
      <c r="AJ136" s="224">
        <v>465374</v>
      </c>
      <c r="AK136" s="224">
        <v>471667</v>
      </c>
      <c r="AL136" s="224">
        <v>482013</v>
      </c>
      <c r="AM136" s="224">
        <v>508233</v>
      </c>
      <c r="AN136" s="224">
        <v>498129</v>
      </c>
      <c r="AO136" s="224">
        <v>519859</v>
      </c>
      <c r="AP136" s="224">
        <v>527669</v>
      </c>
      <c r="AQ136" s="224">
        <v>664313</v>
      </c>
      <c r="AR136" s="224">
        <v>545931</v>
      </c>
      <c r="AS136" s="224">
        <v>540944</v>
      </c>
      <c r="AT136" s="224">
        <v>536559</v>
      </c>
      <c r="AU136" s="224">
        <v>547700</v>
      </c>
      <c r="AV136" s="224">
        <v>539717</v>
      </c>
    </row>
    <row r="137" spans="2:48">
      <c r="B137" s="214" t="s">
        <v>57</v>
      </c>
      <c r="C137" s="224">
        <v>3662</v>
      </c>
      <c r="D137" s="224">
        <v>3628</v>
      </c>
      <c r="E137" s="224">
        <v>3602</v>
      </c>
      <c r="F137" s="224">
        <v>3601</v>
      </c>
      <c r="G137" s="224">
        <v>3604</v>
      </c>
      <c r="H137" s="224">
        <v>3571</v>
      </c>
      <c r="I137" s="224">
        <v>3592</v>
      </c>
      <c r="J137" s="224">
        <v>3526</v>
      </c>
      <c r="K137" s="224">
        <v>3522</v>
      </c>
      <c r="L137" s="224">
        <v>3508</v>
      </c>
      <c r="M137" s="224">
        <v>3363</v>
      </c>
      <c r="N137" s="224">
        <v>3355</v>
      </c>
      <c r="O137" s="224">
        <v>3348</v>
      </c>
      <c r="P137" s="224">
        <v>3325</v>
      </c>
      <c r="Q137" s="224">
        <v>3430</v>
      </c>
      <c r="R137" s="224">
        <v>3415</v>
      </c>
      <c r="S137" s="224">
        <v>3366</v>
      </c>
      <c r="T137" s="224">
        <v>3315</v>
      </c>
      <c r="U137" s="224">
        <v>3291</v>
      </c>
      <c r="V137" s="224">
        <v>3131</v>
      </c>
      <c r="W137" s="224">
        <v>3168</v>
      </c>
      <c r="X137" s="224">
        <v>3149</v>
      </c>
      <c r="Y137" s="224">
        <v>3084</v>
      </c>
      <c r="Z137" s="224">
        <v>2890</v>
      </c>
      <c r="AA137" s="224">
        <v>2999</v>
      </c>
      <c r="AB137" s="224">
        <v>2960</v>
      </c>
      <c r="AC137" s="224">
        <v>2938</v>
      </c>
      <c r="AD137" s="224">
        <v>2882</v>
      </c>
      <c r="AE137" s="224">
        <v>2774</v>
      </c>
      <c r="AF137" s="224">
        <v>2653</v>
      </c>
      <c r="AG137" s="224">
        <v>2540</v>
      </c>
      <c r="AH137" s="224">
        <v>2455</v>
      </c>
      <c r="AI137" s="224">
        <v>2451</v>
      </c>
      <c r="AJ137" s="224">
        <v>2420</v>
      </c>
      <c r="AK137" s="224">
        <v>2394</v>
      </c>
      <c r="AL137" s="224">
        <v>2415</v>
      </c>
      <c r="AM137" s="224">
        <v>2346</v>
      </c>
      <c r="AN137" s="224">
        <v>2311</v>
      </c>
      <c r="AO137" s="224">
        <v>2310</v>
      </c>
      <c r="AP137" s="224">
        <v>2377</v>
      </c>
      <c r="AQ137" s="224">
        <v>2471</v>
      </c>
      <c r="AR137" s="224">
        <v>2508</v>
      </c>
      <c r="AS137" s="224">
        <v>2498</v>
      </c>
      <c r="AT137" s="224">
        <v>2477</v>
      </c>
      <c r="AU137" s="224">
        <v>2485</v>
      </c>
      <c r="AV137" s="224">
        <v>2462</v>
      </c>
    </row>
    <row r="138" spans="2:48">
      <c r="B138" s="214" t="s">
        <v>58</v>
      </c>
      <c r="C138" s="224">
        <v>77222</v>
      </c>
      <c r="D138" s="224">
        <v>79522</v>
      </c>
      <c r="E138" s="224">
        <v>80397</v>
      </c>
      <c r="F138" s="224">
        <v>80133</v>
      </c>
      <c r="G138" s="224">
        <v>80541</v>
      </c>
      <c r="H138" s="224">
        <v>82267</v>
      </c>
      <c r="I138" s="224">
        <v>83790</v>
      </c>
      <c r="J138" s="224">
        <v>83476</v>
      </c>
      <c r="K138" s="224">
        <v>84403</v>
      </c>
      <c r="L138" s="224">
        <v>84773</v>
      </c>
      <c r="M138" s="224">
        <v>86018</v>
      </c>
      <c r="N138" s="224">
        <v>86153</v>
      </c>
      <c r="O138" s="224">
        <v>86163</v>
      </c>
      <c r="P138" s="224">
        <v>87769</v>
      </c>
      <c r="Q138" s="224">
        <v>90936</v>
      </c>
      <c r="R138" s="224">
        <v>90984</v>
      </c>
      <c r="S138" s="224">
        <v>91276</v>
      </c>
      <c r="T138" s="224">
        <v>92069</v>
      </c>
      <c r="U138" s="224">
        <v>93323</v>
      </c>
      <c r="V138" s="224">
        <v>93127</v>
      </c>
      <c r="W138" s="224">
        <v>93230</v>
      </c>
      <c r="X138" s="224">
        <v>94280</v>
      </c>
      <c r="Y138" s="224">
        <v>93603</v>
      </c>
      <c r="Z138" s="224">
        <v>89988</v>
      </c>
      <c r="AA138" s="224">
        <v>92521</v>
      </c>
      <c r="AB138" s="224">
        <v>94208</v>
      </c>
      <c r="AC138" s="224">
        <v>95013</v>
      </c>
      <c r="AD138" s="224">
        <v>94850</v>
      </c>
      <c r="AE138" s="224">
        <v>92977</v>
      </c>
      <c r="AF138" s="224">
        <v>89471</v>
      </c>
      <c r="AG138" s="224">
        <v>87902</v>
      </c>
      <c r="AH138" s="224">
        <v>86760</v>
      </c>
      <c r="AI138" s="224">
        <v>87157</v>
      </c>
      <c r="AJ138" s="224">
        <v>85255</v>
      </c>
      <c r="AK138" s="224">
        <v>87050</v>
      </c>
      <c r="AL138" s="224">
        <v>86979</v>
      </c>
      <c r="AM138" s="224">
        <v>86274</v>
      </c>
      <c r="AN138" s="224">
        <v>87130</v>
      </c>
      <c r="AO138" s="224">
        <v>87726</v>
      </c>
      <c r="AP138" s="224">
        <v>88216</v>
      </c>
      <c r="AQ138" s="224">
        <v>88956</v>
      </c>
      <c r="AR138" s="224">
        <v>91944</v>
      </c>
      <c r="AS138" s="224">
        <v>91031</v>
      </c>
      <c r="AT138" s="224">
        <v>90149</v>
      </c>
      <c r="AU138" s="224">
        <v>89691</v>
      </c>
      <c r="AV138" s="224">
        <v>89673</v>
      </c>
    </row>
    <row r="139" spans="2:48" ht="13.5" thickBot="1">
      <c r="B139" s="214" t="s">
        <v>59</v>
      </c>
      <c r="C139" s="224">
        <v>50215</v>
      </c>
      <c r="D139" s="224">
        <v>50151</v>
      </c>
      <c r="E139" s="224">
        <v>51028</v>
      </c>
      <c r="F139" s="224">
        <v>50858</v>
      </c>
      <c r="G139" s="224">
        <v>51005</v>
      </c>
      <c r="H139" s="224">
        <v>50924</v>
      </c>
      <c r="I139" s="224">
        <v>50950</v>
      </c>
      <c r="J139" s="224">
        <v>51076</v>
      </c>
      <c r="K139" s="224">
        <v>50896</v>
      </c>
      <c r="L139" s="224">
        <v>51420</v>
      </c>
      <c r="M139" s="224">
        <v>51429</v>
      </c>
      <c r="N139" s="224">
        <v>51805</v>
      </c>
      <c r="O139" s="224">
        <v>52055</v>
      </c>
      <c r="P139" s="224">
        <v>52483</v>
      </c>
      <c r="Q139" s="224">
        <v>53314</v>
      </c>
      <c r="R139" s="224">
        <v>53934</v>
      </c>
      <c r="S139" s="224">
        <v>54496</v>
      </c>
      <c r="T139" s="224">
        <v>54572</v>
      </c>
      <c r="U139" s="224">
        <v>55361</v>
      </c>
      <c r="V139" s="224">
        <v>56175</v>
      </c>
      <c r="W139" s="224">
        <v>57156</v>
      </c>
      <c r="X139" s="224">
        <v>57436</v>
      </c>
      <c r="Y139" s="224">
        <v>57860</v>
      </c>
      <c r="Z139" s="224">
        <v>57533</v>
      </c>
      <c r="AA139" s="224">
        <v>58438</v>
      </c>
      <c r="AB139" s="224">
        <v>58449</v>
      </c>
      <c r="AC139" s="224">
        <v>58802</v>
      </c>
      <c r="AD139" s="224">
        <v>88602</v>
      </c>
      <c r="AE139" s="224">
        <v>86598</v>
      </c>
      <c r="AF139" s="224">
        <v>96318</v>
      </c>
      <c r="AG139" s="224">
        <v>129842</v>
      </c>
      <c r="AH139" s="224">
        <v>139405</v>
      </c>
      <c r="AI139" s="224">
        <v>141625</v>
      </c>
      <c r="AJ139" s="224">
        <v>144838</v>
      </c>
      <c r="AK139" s="224">
        <v>147469</v>
      </c>
      <c r="AL139" s="224">
        <v>143828</v>
      </c>
      <c r="AM139" s="224">
        <v>138034</v>
      </c>
      <c r="AN139" s="224">
        <v>136642</v>
      </c>
      <c r="AO139" s="224">
        <v>137350</v>
      </c>
      <c r="AP139" s="224">
        <v>137603</v>
      </c>
      <c r="AQ139" s="224">
        <v>139021</v>
      </c>
      <c r="AR139" s="224">
        <v>140837</v>
      </c>
      <c r="AS139" s="224">
        <v>140771</v>
      </c>
      <c r="AT139" s="224">
        <v>138131</v>
      </c>
      <c r="AU139" s="224">
        <v>136351</v>
      </c>
      <c r="AV139" s="224">
        <v>142102</v>
      </c>
    </row>
    <row r="140" spans="2:48" ht="13.5" thickBot="1">
      <c r="B140" s="216" t="s">
        <v>84</v>
      </c>
      <c r="C140" s="231">
        <f>SUM(C135:C139)</f>
        <v>1070968</v>
      </c>
      <c r="D140" s="231">
        <f t="shared" ref="D140:AU140" si="77">SUM(D135:D139)</f>
        <v>1084296</v>
      </c>
      <c r="E140" s="231">
        <f t="shared" si="77"/>
        <v>1094939</v>
      </c>
      <c r="F140" s="231">
        <f t="shared" si="77"/>
        <v>1102063</v>
      </c>
      <c r="G140" s="231">
        <f t="shared" si="77"/>
        <v>1113075</v>
      </c>
      <c r="H140" s="231">
        <f t="shared" si="77"/>
        <v>1121336</v>
      </c>
      <c r="I140" s="231">
        <f t="shared" si="77"/>
        <v>1133735</v>
      </c>
      <c r="J140" s="231">
        <f t="shared" si="77"/>
        <v>1144358</v>
      </c>
      <c r="K140" s="231">
        <f t="shared" si="77"/>
        <v>1153986</v>
      </c>
      <c r="L140" s="231">
        <f t="shared" si="77"/>
        <v>1156558</v>
      </c>
      <c r="M140" s="231">
        <f t="shared" si="77"/>
        <v>1166034</v>
      </c>
      <c r="N140" s="231">
        <f t="shared" si="77"/>
        <v>1173025</v>
      </c>
      <c r="O140" s="231">
        <f t="shared" si="77"/>
        <v>1180948</v>
      </c>
      <c r="P140" s="231">
        <f t="shared" si="77"/>
        <v>1192146</v>
      </c>
      <c r="Q140" s="231">
        <f t="shared" si="77"/>
        <v>1218741</v>
      </c>
      <c r="R140" s="231">
        <f t="shared" si="77"/>
        <v>1227367</v>
      </c>
      <c r="S140" s="231">
        <f t="shared" si="77"/>
        <v>1238885</v>
      </c>
      <c r="T140" s="231">
        <f t="shared" si="77"/>
        <v>1247080</v>
      </c>
      <c r="U140" s="231">
        <f t="shared" si="77"/>
        <v>1260171</v>
      </c>
      <c r="V140" s="231">
        <f t="shared" si="77"/>
        <v>1266509</v>
      </c>
      <c r="W140" s="231">
        <f t="shared" si="77"/>
        <v>1273999</v>
      </c>
      <c r="X140" s="231">
        <f t="shared" si="77"/>
        <v>1281238</v>
      </c>
      <c r="Y140" s="231">
        <f t="shared" si="77"/>
        <v>1277420</v>
      </c>
      <c r="Z140" s="231">
        <f t="shared" si="77"/>
        <v>1246198</v>
      </c>
      <c r="AA140" s="231">
        <f t="shared" si="77"/>
        <v>1278553</v>
      </c>
      <c r="AB140" s="231">
        <f t="shared" si="77"/>
        <v>1290739</v>
      </c>
      <c r="AC140" s="231">
        <f t="shared" si="77"/>
        <v>1295230</v>
      </c>
      <c r="AD140" s="231">
        <f t="shared" si="77"/>
        <v>1300864</v>
      </c>
      <c r="AE140" s="231">
        <f t="shared" si="77"/>
        <v>1293127</v>
      </c>
      <c r="AF140" s="231">
        <f t="shared" si="77"/>
        <v>1297418</v>
      </c>
      <c r="AG140" s="231">
        <f t="shared" si="77"/>
        <v>1312571</v>
      </c>
      <c r="AH140" s="231">
        <f t="shared" si="77"/>
        <v>1328480</v>
      </c>
      <c r="AI140" s="231">
        <f t="shared" si="77"/>
        <v>1345104</v>
      </c>
      <c r="AJ140" s="231">
        <f t="shared" si="77"/>
        <v>1340141</v>
      </c>
      <c r="AK140" s="231">
        <f t="shared" si="77"/>
        <v>1353807</v>
      </c>
      <c r="AL140" s="231">
        <f t="shared" si="77"/>
        <v>1365241</v>
      </c>
      <c r="AM140" s="231">
        <f t="shared" si="77"/>
        <v>1371476</v>
      </c>
      <c r="AN140" s="231">
        <f t="shared" si="77"/>
        <v>1381523</v>
      </c>
      <c r="AO140" s="231">
        <f t="shared" si="77"/>
        <v>1397419</v>
      </c>
      <c r="AP140" s="231">
        <f t="shared" si="77"/>
        <v>1422073</v>
      </c>
      <c r="AQ140" s="231">
        <f t="shared" si="77"/>
        <v>1449443</v>
      </c>
      <c r="AR140" s="231">
        <f t="shared" si="77"/>
        <v>1489871</v>
      </c>
      <c r="AS140" s="231">
        <f t="shared" si="77"/>
        <v>1497380</v>
      </c>
      <c r="AT140" s="231">
        <f t="shared" si="77"/>
        <v>1502471</v>
      </c>
      <c r="AU140" s="231">
        <f t="shared" si="77"/>
        <v>1512249</v>
      </c>
      <c r="AV140" s="231">
        <f t="shared" ref="AV140" si="78">SUM(AV135:AV139)</f>
        <v>1526983</v>
      </c>
    </row>
    <row r="141" spans="2:48">
      <c r="B141" s="233"/>
      <c r="C141" s="234"/>
      <c r="D141" s="234"/>
      <c r="E141" s="234"/>
      <c r="F141" s="234"/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X141" s="234"/>
      <c r="Y141" s="234"/>
      <c r="Z141" s="234"/>
      <c r="AA141" s="234"/>
      <c r="AB141" s="234"/>
      <c r="AC141" s="234"/>
      <c r="AD141" s="234"/>
      <c r="AE141" s="234"/>
      <c r="AF141" s="234"/>
      <c r="AG141" s="234"/>
      <c r="AH141" s="234"/>
      <c r="AI141" s="234"/>
      <c r="AJ141" s="234"/>
      <c r="AK141" s="234"/>
      <c r="AL141" s="234"/>
      <c r="AM141" s="234"/>
      <c r="AN141" s="234"/>
      <c r="AO141" s="234"/>
      <c r="AP141" s="234"/>
      <c r="AQ141" s="234"/>
      <c r="AR141" s="234"/>
      <c r="AS141" s="234"/>
      <c r="AT141" s="234"/>
      <c r="AU141" s="234"/>
      <c r="AV141" s="234"/>
    </row>
    <row r="142" spans="2:48">
      <c r="B142" s="212" t="s">
        <v>71</v>
      </c>
      <c r="C142" s="213"/>
      <c r="D142" s="213"/>
      <c r="E142" s="213"/>
      <c r="F142" s="213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  <c r="AA142" s="213"/>
      <c r="AB142" s="213"/>
      <c r="AC142" s="213"/>
      <c r="AD142" s="213"/>
      <c r="AE142" s="213"/>
      <c r="AF142" s="213"/>
      <c r="AG142" s="213"/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</row>
    <row r="143" spans="2:48">
      <c r="B143" s="214" t="s">
        <v>80</v>
      </c>
      <c r="C143" s="224"/>
      <c r="D143" s="224"/>
      <c r="E143" s="224"/>
      <c r="F143" s="224"/>
      <c r="G143" s="224"/>
      <c r="H143" s="224"/>
      <c r="I143" s="224"/>
      <c r="J143" s="224"/>
      <c r="K143" s="224"/>
      <c r="L143" s="224"/>
      <c r="M143" s="224"/>
      <c r="N143" s="224"/>
      <c r="O143" s="224"/>
      <c r="P143" s="224"/>
      <c r="Q143" s="224"/>
      <c r="R143" s="224"/>
      <c r="S143" s="224">
        <v>803478</v>
      </c>
      <c r="T143" s="224">
        <v>810157</v>
      </c>
      <c r="U143" s="224">
        <v>827656</v>
      </c>
      <c r="V143" s="224">
        <v>847632</v>
      </c>
      <c r="W143" s="224">
        <v>876483</v>
      </c>
      <c r="X143" s="224">
        <v>884092</v>
      </c>
      <c r="Y143" s="224">
        <v>904604</v>
      </c>
      <c r="Z143" s="224">
        <v>891025</v>
      </c>
      <c r="AA143" s="224">
        <v>897559</v>
      </c>
      <c r="AB143" s="224">
        <v>813351</v>
      </c>
      <c r="AC143" s="224">
        <v>800030</v>
      </c>
      <c r="AD143" s="224">
        <v>757560</v>
      </c>
      <c r="AE143" s="224">
        <v>727550</v>
      </c>
      <c r="AF143" s="224">
        <v>723971</v>
      </c>
      <c r="AG143" s="224">
        <v>733162</v>
      </c>
      <c r="AH143" s="224">
        <v>702329</v>
      </c>
      <c r="AI143" s="224">
        <v>702419</v>
      </c>
      <c r="AJ143" s="224">
        <v>705648</v>
      </c>
      <c r="AK143" s="224">
        <v>709003</v>
      </c>
      <c r="AL143" s="224">
        <v>703674</v>
      </c>
      <c r="AM143" s="224">
        <v>683941</v>
      </c>
      <c r="AN143" s="224">
        <v>697541</v>
      </c>
      <c r="AO143" s="224">
        <v>722688</v>
      </c>
      <c r="AP143" s="224">
        <v>767112</v>
      </c>
      <c r="AQ143" s="224">
        <v>749544</v>
      </c>
      <c r="AR143" s="224">
        <v>768496</v>
      </c>
      <c r="AS143" s="224">
        <v>764741</v>
      </c>
      <c r="AT143" s="224">
        <v>756795</v>
      </c>
      <c r="AU143" s="224">
        <v>756441</v>
      </c>
      <c r="AV143" s="224">
        <v>743308</v>
      </c>
    </row>
    <row r="144" spans="2:48">
      <c r="B144" s="214" t="s">
        <v>81</v>
      </c>
      <c r="C144" s="224"/>
      <c r="D144" s="224"/>
      <c r="E144" s="224"/>
      <c r="F144" s="224"/>
      <c r="G144" s="224"/>
      <c r="H144" s="224"/>
      <c r="I144" s="224"/>
      <c r="J144" s="224"/>
      <c r="K144" s="224"/>
      <c r="L144" s="224"/>
      <c r="M144" s="224"/>
      <c r="N144" s="224"/>
      <c r="O144" s="224"/>
      <c r="P144" s="224"/>
      <c r="Q144" s="224"/>
      <c r="R144" s="224"/>
      <c r="S144" s="224">
        <v>233266</v>
      </c>
      <c r="T144" s="224">
        <v>240577</v>
      </c>
      <c r="U144" s="224">
        <v>229166</v>
      </c>
      <c r="V144" s="224">
        <v>216964</v>
      </c>
      <c r="W144" s="224">
        <v>200515</v>
      </c>
      <c r="X144" s="224">
        <v>198532</v>
      </c>
      <c r="Y144" s="224">
        <v>186475</v>
      </c>
      <c r="Z144" s="224">
        <v>173777</v>
      </c>
      <c r="AA144" s="224">
        <v>158769</v>
      </c>
      <c r="AB144" s="224">
        <v>156062</v>
      </c>
      <c r="AC144" s="224">
        <v>241732</v>
      </c>
      <c r="AD144" s="224">
        <v>246094</v>
      </c>
      <c r="AE144" s="224">
        <v>244807</v>
      </c>
      <c r="AF144" s="224">
        <v>305002</v>
      </c>
      <c r="AG144" s="224">
        <v>317514</v>
      </c>
      <c r="AH144" s="224">
        <v>346250</v>
      </c>
      <c r="AI144" s="224">
        <v>357908</v>
      </c>
      <c r="AJ144" s="224">
        <v>349015</v>
      </c>
      <c r="AK144" s="224">
        <v>361394</v>
      </c>
      <c r="AL144" s="224">
        <v>381713</v>
      </c>
      <c r="AM144" s="224">
        <v>412515</v>
      </c>
      <c r="AN144" s="224">
        <v>403803</v>
      </c>
      <c r="AO144" s="224">
        <v>429388</v>
      </c>
      <c r="AP144" s="224">
        <v>438999</v>
      </c>
      <c r="AQ144" s="224">
        <v>461880</v>
      </c>
      <c r="AR144" s="224">
        <v>449062</v>
      </c>
      <c r="AS144" s="224">
        <v>460833</v>
      </c>
      <c r="AT144" s="224">
        <v>475510</v>
      </c>
      <c r="AU144" s="224">
        <v>486613</v>
      </c>
      <c r="AV144" s="224">
        <v>509779</v>
      </c>
    </row>
    <row r="145" spans="2:48">
      <c r="B145" s="214" t="s">
        <v>57</v>
      </c>
      <c r="C145" s="224"/>
      <c r="D145" s="224"/>
      <c r="E145" s="224"/>
      <c r="F145" s="224"/>
      <c r="G145" s="224"/>
      <c r="H145" s="224"/>
      <c r="I145" s="224"/>
      <c r="J145" s="224"/>
      <c r="K145" s="224"/>
      <c r="L145" s="224"/>
      <c r="M145" s="224"/>
      <c r="N145" s="224"/>
      <c r="O145" s="224"/>
      <c r="P145" s="224"/>
      <c r="Q145" s="224"/>
      <c r="R145" s="224"/>
      <c r="S145" s="224">
        <v>2582</v>
      </c>
      <c r="T145" s="224">
        <v>2538</v>
      </c>
      <c r="U145" s="224">
        <v>2473</v>
      </c>
      <c r="V145" s="224">
        <v>2349</v>
      </c>
      <c r="W145" s="224">
        <v>2462</v>
      </c>
      <c r="X145" s="224">
        <v>2439</v>
      </c>
      <c r="Y145" s="224">
        <v>2425</v>
      </c>
      <c r="Z145" s="224">
        <v>2334</v>
      </c>
      <c r="AA145" s="224">
        <v>2256</v>
      </c>
      <c r="AB145" s="224">
        <v>1954</v>
      </c>
      <c r="AC145" s="224">
        <v>2146</v>
      </c>
      <c r="AD145" s="224">
        <v>2000</v>
      </c>
      <c r="AE145" s="224">
        <v>1804</v>
      </c>
      <c r="AF145" s="224">
        <v>1870</v>
      </c>
      <c r="AG145" s="224">
        <v>2081</v>
      </c>
      <c r="AH145" s="224">
        <v>2070</v>
      </c>
      <c r="AI145" s="224">
        <v>1993</v>
      </c>
      <c r="AJ145" s="224">
        <v>1985</v>
      </c>
      <c r="AK145" s="224">
        <v>1905</v>
      </c>
      <c r="AL145" s="224">
        <v>1886</v>
      </c>
      <c r="AM145" s="224">
        <v>1889</v>
      </c>
      <c r="AN145" s="224">
        <v>1777</v>
      </c>
      <c r="AO145" s="224">
        <v>1972</v>
      </c>
      <c r="AP145" s="224">
        <v>2120</v>
      </c>
      <c r="AQ145" s="224">
        <v>2172</v>
      </c>
      <c r="AR145" s="224">
        <v>2224</v>
      </c>
      <c r="AS145" s="224">
        <v>2227</v>
      </c>
      <c r="AT145" s="224">
        <v>2288</v>
      </c>
      <c r="AU145" s="224">
        <v>2287</v>
      </c>
      <c r="AV145" s="224">
        <v>2279</v>
      </c>
    </row>
    <row r="146" spans="2:48">
      <c r="B146" s="214" t="s">
        <v>58</v>
      </c>
      <c r="C146" s="224"/>
      <c r="D146" s="224"/>
      <c r="E146" s="224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>
        <v>65346</v>
      </c>
      <c r="T146" s="224">
        <v>66376</v>
      </c>
      <c r="U146" s="224">
        <v>66480</v>
      </c>
      <c r="V146" s="224">
        <v>67183</v>
      </c>
      <c r="W146" s="224">
        <v>67776</v>
      </c>
      <c r="X146" s="224">
        <v>67898</v>
      </c>
      <c r="Y146" s="224">
        <v>68628</v>
      </c>
      <c r="Z146" s="224">
        <v>67228</v>
      </c>
      <c r="AA146" s="224">
        <v>66419</v>
      </c>
      <c r="AB146" s="224">
        <v>63021</v>
      </c>
      <c r="AC146" s="224">
        <v>66022</v>
      </c>
      <c r="AD146" s="224">
        <v>63820</v>
      </c>
      <c r="AE146" s="224">
        <v>63774</v>
      </c>
      <c r="AF146" s="224">
        <v>65040</v>
      </c>
      <c r="AG146" s="224">
        <v>65858</v>
      </c>
      <c r="AH146" s="224">
        <v>65942</v>
      </c>
      <c r="AI146" s="224">
        <v>66003</v>
      </c>
      <c r="AJ146" s="224">
        <v>65325</v>
      </c>
      <c r="AK146" s="224">
        <v>65820</v>
      </c>
      <c r="AL146" s="224">
        <v>65630</v>
      </c>
      <c r="AM146" s="224">
        <v>65227</v>
      </c>
      <c r="AN146" s="224">
        <v>65329</v>
      </c>
      <c r="AO146" s="224">
        <v>68842</v>
      </c>
      <c r="AP146" s="224">
        <v>72722</v>
      </c>
      <c r="AQ146" s="224">
        <v>72026</v>
      </c>
      <c r="AR146" s="224">
        <v>71918</v>
      </c>
      <c r="AS146" s="224">
        <v>71777</v>
      </c>
      <c r="AT146" s="224">
        <v>71767</v>
      </c>
      <c r="AU146" s="224">
        <v>71674</v>
      </c>
      <c r="AV146" s="224">
        <v>71838</v>
      </c>
    </row>
    <row r="147" spans="2:48" ht="13.5" thickBot="1">
      <c r="B147" s="214" t="s">
        <v>59</v>
      </c>
      <c r="C147" s="224"/>
      <c r="D147" s="224"/>
      <c r="E147" s="224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>
        <v>23006</v>
      </c>
      <c r="T147" s="224">
        <v>22975</v>
      </c>
      <c r="U147" s="224">
        <v>23119</v>
      </c>
      <c r="V147" s="224">
        <v>23283</v>
      </c>
      <c r="W147" s="224">
        <v>23614</v>
      </c>
      <c r="X147" s="224">
        <v>23580</v>
      </c>
      <c r="Y147" s="224">
        <v>23620</v>
      </c>
      <c r="Z147" s="224">
        <v>23707</v>
      </c>
      <c r="AA147" s="224">
        <v>23496</v>
      </c>
      <c r="AB147" s="224">
        <v>21660</v>
      </c>
      <c r="AC147" s="224">
        <v>23140</v>
      </c>
      <c r="AD147" s="224">
        <v>35585</v>
      </c>
      <c r="AE147" s="224">
        <v>34552</v>
      </c>
      <c r="AF147" s="224">
        <v>34991</v>
      </c>
      <c r="AG147" s="224">
        <v>39310</v>
      </c>
      <c r="AH147" s="224">
        <v>44137</v>
      </c>
      <c r="AI147" s="224">
        <v>43844</v>
      </c>
      <c r="AJ147" s="224">
        <v>45810</v>
      </c>
      <c r="AK147" s="224">
        <v>46633</v>
      </c>
      <c r="AL147" s="224">
        <v>45113</v>
      </c>
      <c r="AM147" s="224">
        <v>42074</v>
      </c>
      <c r="AN147" s="224">
        <v>41518</v>
      </c>
      <c r="AO147" s="224">
        <v>42782</v>
      </c>
      <c r="AP147" s="224">
        <v>44237</v>
      </c>
      <c r="AQ147" s="224">
        <v>44077</v>
      </c>
      <c r="AR147" s="224">
        <v>44006</v>
      </c>
      <c r="AS147" s="224">
        <v>43833</v>
      </c>
      <c r="AT147" s="224">
        <v>43676</v>
      </c>
      <c r="AU147" s="224">
        <v>43692</v>
      </c>
      <c r="AV147" s="224">
        <v>43537</v>
      </c>
    </row>
    <row r="148" spans="2:48" ht="13.5" thickBot="1">
      <c r="B148" s="216" t="s">
        <v>85</v>
      </c>
      <c r="C148" s="231">
        <f>SUM(C143:C147)</f>
        <v>0</v>
      </c>
      <c r="D148" s="231">
        <f t="shared" ref="D148:AU148" si="79">SUM(D143:D147)</f>
        <v>0</v>
      </c>
      <c r="E148" s="231">
        <f t="shared" si="79"/>
        <v>0</v>
      </c>
      <c r="F148" s="231">
        <f t="shared" si="79"/>
        <v>0</v>
      </c>
      <c r="G148" s="231">
        <f t="shared" si="79"/>
        <v>0</v>
      </c>
      <c r="H148" s="231">
        <f t="shared" si="79"/>
        <v>0</v>
      </c>
      <c r="I148" s="231">
        <f t="shared" si="79"/>
        <v>0</v>
      </c>
      <c r="J148" s="231">
        <f t="shared" si="79"/>
        <v>0</v>
      </c>
      <c r="K148" s="231">
        <f t="shared" si="79"/>
        <v>0</v>
      </c>
      <c r="L148" s="231">
        <f t="shared" si="79"/>
        <v>0</v>
      </c>
      <c r="M148" s="231">
        <f t="shared" si="79"/>
        <v>0</v>
      </c>
      <c r="N148" s="231">
        <f t="shared" si="79"/>
        <v>0</v>
      </c>
      <c r="O148" s="231">
        <f t="shared" si="79"/>
        <v>0</v>
      </c>
      <c r="P148" s="231">
        <f t="shared" si="79"/>
        <v>0</v>
      </c>
      <c r="Q148" s="231">
        <f t="shared" si="79"/>
        <v>0</v>
      </c>
      <c r="R148" s="231">
        <f t="shared" si="79"/>
        <v>0</v>
      </c>
      <c r="S148" s="231">
        <f t="shared" si="79"/>
        <v>1127678</v>
      </c>
      <c r="T148" s="231">
        <f t="shared" si="79"/>
        <v>1142623</v>
      </c>
      <c r="U148" s="231">
        <f t="shared" si="79"/>
        <v>1148894</v>
      </c>
      <c r="V148" s="231">
        <f t="shared" si="79"/>
        <v>1157411</v>
      </c>
      <c r="W148" s="231">
        <f t="shared" si="79"/>
        <v>1170850</v>
      </c>
      <c r="X148" s="231">
        <f t="shared" si="79"/>
        <v>1176541</v>
      </c>
      <c r="Y148" s="231">
        <f t="shared" si="79"/>
        <v>1185752</v>
      </c>
      <c r="Z148" s="231">
        <f t="shared" si="79"/>
        <v>1158071</v>
      </c>
      <c r="AA148" s="231">
        <f t="shared" si="79"/>
        <v>1148499</v>
      </c>
      <c r="AB148" s="231">
        <f t="shared" si="79"/>
        <v>1056048</v>
      </c>
      <c r="AC148" s="231">
        <f t="shared" si="79"/>
        <v>1133070</v>
      </c>
      <c r="AD148" s="231">
        <f t="shared" si="79"/>
        <v>1105059</v>
      </c>
      <c r="AE148" s="231">
        <f t="shared" si="79"/>
        <v>1072487</v>
      </c>
      <c r="AF148" s="231">
        <f t="shared" si="79"/>
        <v>1130874</v>
      </c>
      <c r="AG148" s="231">
        <f t="shared" si="79"/>
        <v>1157925</v>
      </c>
      <c r="AH148" s="231">
        <f t="shared" si="79"/>
        <v>1160728</v>
      </c>
      <c r="AI148" s="231">
        <f t="shared" si="79"/>
        <v>1172167</v>
      </c>
      <c r="AJ148" s="231">
        <f t="shared" si="79"/>
        <v>1167783</v>
      </c>
      <c r="AK148" s="231">
        <f t="shared" si="79"/>
        <v>1184755</v>
      </c>
      <c r="AL148" s="231">
        <f t="shared" si="79"/>
        <v>1198016</v>
      </c>
      <c r="AM148" s="231">
        <f t="shared" si="79"/>
        <v>1205646</v>
      </c>
      <c r="AN148" s="231">
        <f t="shared" si="79"/>
        <v>1209968</v>
      </c>
      <c r="AO148" s="231">
        <f t="shared" si="79"/>
        <v>1265672</v>
      </c>
      <c r="AP148" s="231">
        <f t="shared" si="79"/>
        <v>1325190</v>
      </c>
      <c r="AQ148" s="231">
        <f t="shared" si="79"/>
        <v>1329699</v>
      </c>
      <c r="AR148" s="231">
        <f t="shared" si="79"/>
        <v>1335706</v>
      </c>
      <c r="AS148" s="231">
        <f t="shared" si="79"/>
        <v>1343411</v>
      </c>
      <c r="AT148" s="231">
        <f t="shared" si="79"/>
        <v>1350036</v>
      </c>
      <c r="AU148" s="231">
        <f t="shared" si="79"/>
        <v>1360707</v>
      </c>
      <c r="AV148" s="231">
        <f t="shared" ref="AV148" si="80">SUM(AV143:AV147)</f>
        <v>1370741</v>
      </c>
    </row>
    <row r="149" spans="2:48">
      <c r="B149" s="233"/>
      <c r="C149" s="234"/>
      <c r="D149" s="234"/>
      <c r="E149" s="234"/>
      <c r="F149" s="234"/>
      <c r="G149" s="234"/>
      <c r="H149" s="234"/>
      <c r="I149" s="234"/>
      <c r="J149" s="234"/>
      <c r="K149" s="234"/>
      <c r="L149" s="234"/>
      <c r="M149" s="234"/>
      <c r="N149" s="234"/>
      <c r="O149" s="234"/>
      <c r="P149" s="234"/>
      <c r="Q149" s="234"/>
      <c r="R149" s="234"/>
      <c r="S149" s="234"/>
      <c r="T149" s="234"/>
      <c r="U149" s="234"/>
      <c r="V149" s="234"/>
      <c r="W149" s="234"/>
      <c r="X149" s="234"/>
      <c r="Y149" s="234"/>
      <c r="Z149" s="234"/>
      <c r="AA149" s="234"/>
      <c r="AB149" s="234"/>
      <c r="AC149" s="234"/>
      <c r="AD149" s="234"/>
      <c r="AE149" s="234"/>
      <c r="AF149" s="234"/>
      <c r="AG149" s="234"/>
      <c r="AH149" s="234"/>
      <c r="AI149" s="234"/>
      <c r="AJ149" s="234"/>
      <c r="AK149" s="234"/>
      <c r="AL149" s="234"/>
      <c r="AM149" s="234"/>
      <c r="AN149" s="234"/>
      <c r="AO149" s="234"/>
      <c r="AP149" s="234"/>
      <c r="AQ149" s="234"/>
      <c r="AR149" s="234"/>
      <c r="AS149" s="234"/>
      <c r="AT149" s="234"/>
      <c r="AU149" s="234"/>
      <c r="AV149" s="234"/>
    </row>
    <row r="150" spans="2:48">
      <c r="B150" s="212" t="s">
        <v>73</v>
      </c>
      <c r="C150" s="213"/>
      <c r="D150" s="213"/>
      <c r="E150" s="213"/>
      <c r="F150" s="213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  <c r="AA150" s="213"/>
      <c r="AB150" s="213"/>
      <c r="AC150" s="213"/>
      <c r="AD150" s="213"/>
      <c r="AE150" s="213"/>
      <c r="AF150" s="213"/>
      <c r="AG150" s="213"/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</row>
    <row r="151" spans="2:48">
      <c r="B151" s="214" t="s">
        <v>80</v>
      </c>
      <c r="C151" s="224"/>
      <c r="D151" s="224"/>
      <c r="E151" s="224"/>
      <c r="F151" s="224"/>
      <c r="G151" s="224"/>
      <c r="H151" s="224"/>
      <c r="I151" s="224"/>
      <c r="J151" s="224"/>
      <c r="K151" s="224"/>
      <c r="L151" s="224"/>
      <c r="M151" s="224"/>
      <c r="N151" s="224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24"/>
      <c r="AD151" s="224"/>
      <c r="AE151" s="224"/>
      <c r="AF151" s="224"/>
      <c r="AG151" s="224">
        <v>1381982</v>
      </c>
      <c r="AH151" s="224">
        <v>1383789</v>
      </c>
      <c r="AI151" s="224">
        <v>1390235</v>
      </c>
      <c r="AJ151" s="224">
        <v>1393858</v>
      </c>
      <c r="AK151" s="224">
        <v>1378964</v>
      </c>
      <c r="AL151" s="224">
        <v>1396571</v>
      </c>
      <c r="AM151" s="224">
        <v>1370893</v>
      </c>
      <c r="AN151" s="224">
        <v>1385932</v>
      </c>
      <c r="AO151" s="224">
        <v>1401963</v>
      </c>
      <c r="AP151" s="224">
        <v>1409427</v>
      </c>
      <c r="AQ151" s="224">
        <v>1405998</v>
      </c>
      <c r="AR151" s="224">
        <v>1415314</v>
      </c>
      <c r="AS151" s="224">
        <v>1433762</v>
      </c>
      <c r="AT151" s="224">
        <v>1436708</v>
      </c>
      <c r="AU151" s="224">
        <v>1439816</v>
      </c>
      <c r="AV151" s="224">
        <v>1271242</v>
      </c>
    </row>
    <row r="152" spans="2:48">
      <c r="B152" s="214" t="s">
        <v>81</v>
      </c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24"/>
      <c r="AD152" s="224"/>
      <c r="AE152" s="224"/>
      <c r="AF152" s="224"/>
      <c r="AG152" s="224">
        <v>111602</v>
      </c>
      <c r="AH152" s="224">
        <v>116275</v>
      </c>
      <c r="AI152" s="224">
        <v>115599</v>
      </c>
      <c r="AJ152" s="224">
        <v>113433</v>
      </c>
      <c r="AK152" s="224">
        <v>123882</v>
      </c>
      <c r="AL152" s="224">
        <v>123720</v>
      </c>
      <c r="AM152" s="224">
        <v>155987</v>
      </c>
      <c r="AN152" s="224">
        <v>152915</v>
      </c>
      <c r="AO152" s="224">
        <v>160463</v>
      </c>
      <c r="AP152" s="224">
        <v>180885</v>
      </c>
      <c r="AQ152" s="224">
        <v>201908</v>
      </c>
      <c r="AR152" s="224">
        <v>209058</v>
      </c>
      <c r="AS152" s="224">
        <v>200500</v>
      </c>
      <c r="AT152" s="224">
        <v>210553</v>
      </c>
      <c r="AU152" s="224">
        <v>216618</v>
      </c>
      <c r="AV152" s="224">
        <v>197391</v>
      </c>
    </row>
    <row r="153" spans="2:48">
      <c r="B153" s="214" t="s">
        <v>57</v>
      </c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24"/>
      <c r="AD153" s="224"/>
      <c r="AE153" s="224"/>
      <c r="AF153" s="224"/>
      <c r="AG153" s="224">
        <v>10522</v>
      </c>
      <c r="AH153" s="224">
        <v>9641</v>
      </c>
      <c r="AI153" s="224">
        <v>9453</v>
      </c>
      <c r="AJ153" s="224">
        <v>9398</v>
      </c>
      <c r="AK153" s="224">
        <v>9244</v>
      </c>
      <c r="AL153" s="224">
        <v>9268</v>
      </c>
      <c r="AM153" s="224">
        <v>9199</v>
      </c>
      <c r="AN153" s="224">
        <v>9138</v>
      </c>
      <c r="AO153" s="224">
        <v>3738</v>
      </c>
      <c r="AP153" s="224">
        <v>3772</v>
      </c>
      <c r="AQ153" s="224">
        <v>3756</v>
      </c>
      <c r="AR153" s="224">
        <v>3551</v>
      </c>
      <c r="AS153" s="224">
        <v>3452</v>
      </c>
      <c r="AT153" s="224">
        <v>3496</v>
      </c>
      <c r="AU153" s="224">
        <v>3540</v>
      </c>
      <c r="AV153" s="224">
        <v>2989</v>
      </c>
    </row>
    <row r="154" spans="2:48">
      <c r="B154" s="214" t="s">
        <v>58</v>
      </c>
      <c r="C154" s="224"/>
      <c r="D154" s="224"/>
      <c r="E154" s="224"/>
      <c r="F154" s="224"/>
      <c r="G154" s="224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24"/>
      <c r="AD154" s="224"/>
      <c r="AE154" s="224"/>
      <c r="AF154" s="224"/>
      <c r="AG154" s="224">
        <v>156212</v>
      </c>
      <c r="AH154" s="224">
        <v>157901</v>
      </c>
      <c r="AI154" s="224">
        <v>158585</v>
      </c>
      <c r="AJ154" s="224">
        <v>157751</v>
      </c>
      <c r="AK154" s="224">
        <v>156848</v>
      </c>
      <c r="AL154" s="224">
        <v>159169</v>
      </c>
      <c r="AM154" s="224">
        <v>160005</v>
      </c>
      <c r="AN154" s="224">
        <v>160228</v>
      </c>
      <c r="AO154" s="224">
        <v>167164</v>
      </c>
      <c r="AP154" s="224">
        <v>167769</v>
      </c>
      <c r="AQ154" s="224">
        <v>168487</v>
      </c>
      <c r="AR154" s="224">
        <v>168823</v>
      </c>
      <c r="AS154" s="224">
        <v>169542</v>
      </c>
      <c r="AT154" s="224">
        <v>170341</v>
      </c>
      <c r="AU154" s="224">
        <v>170737</v>
      </c>
      <c r="AV154" s="224">
        <v>133748</v>
      </c>
    </row>
    <row r="155" spans="2:48" ht="13.5" thickBot="1">
      <c r="B155" s="214" t="s">
        <v>59</v>
      </c>
      <c r="C155" s="224"/>
      <c r="D155" s="224"/>
      <c r="E155" s="224"/>
      <c r="F155" s="224"/>
      <c r="G155" s="224"/>
      <c r="H155" s="224"/>
      <c r="I155" s="224"/>
      <c r="J155" s="224"/>
      <c r="K155" s="224"/>
      <c r="L155" s="224"/>
      <c r="M155" s="224"/>
      <c r="N155" s="224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24"/>
      <c r="AD155" s="224"/>
      <c r="AE155" s="224"/>
      <c r="AF155" s="224"/>
      <c r="AG155" s="224">
        <v>101853</v>
      </c>
      <c r="AH155" s="224">
        <v>101674</v>
      </c>
      <c r="AI155" s="224">
        <v>102323</v>
      </c>
      <c r="AJ155" s="224">
        <v>102347</v>
      </c>
      <c r="AK155" s="224">
        <v>102281</v>
      </c>
      <c r="AL155" s="224">
        <v>102808</v>
      </c>
      <c r="AM155" s="224">
        <v>103049</v>
      </c>
      <c r="AN155" s="224">
        <v>103272</v>
      </c>
      <c r="AO155" s="224">
        <v>103206</v>
      </c>
      <c r="AP155" s="224">
        <v>103446</v>
      </c>
      <c r="AQ155" s="224">
        <v>103623</v>
      </c>
      <c r="AR155" s="224">
        <v>102304</v>
      </c>
      <c r="AS155" s="224">
        <v>101723</v>
      </c>
      <c r="AT155" s="224">
        <v>102124</v>
      </c>
      <c r="AU155" s="224">
        <v>102461</v>
      </c>
      <c r="AV155" s="224">
        <v>97428</v>
      </c>
    </row>
    <row r="156" spans="2:48" ht="13.5" thickBot="1">
      <c r="B156" s="216" t="s">
        <v>86</v>
      </c>
      <c r="C156" s="231">
        <f>SUM(C151:C155)</f>
        <v>0</v>
      </c>
      <c r="D156" s="231">
        <f t="shared" ref="D156:AU156" si="81">SUM(D151:D155)</f>
        <v>0</v>
      </c>
      <c r="E156" s="231">
        <f t="shared" si="81"/>
        <v>0</v>
      </c>
      <c r="F156" s="231">
        <f t="shared" si="81"/>
        <v>0</v>
      </c>
      <c r="G156" s="231">
        <f t="shared" si="81"/>
        <v>0</v>
      </c>
      <c r="H156" s="231">
        <f t="shared" si="81"/>
        <v>0</v>
      </c>
      <c r="I156" s="231">
        <f t="shared" si="81"/>
        <v>0</v>
      </c>
      <c r="J156" s="231">
        <f t="shared" si="81"/>
        <v>0</v>
      </c>
      <c r="K156" s="231">
        <f t="shared" si="81"/>
        <v>0</v>
      </c>
      <c r="L156" s="231">
        <f t="shared" si="81"/>
        <v>0</v>
      </c>
      <c r="M156" s="231">
        <f t="shared" si="81"/>
        <v>0</v>
      </c>
      <c r="N156" s="231">
        <f t="shared" si="81"/>
        <v>0</v>
      </c>
      <c r="O156" s="231">
        <f t="shared" si="81"/>
        <v>0</v>
      </c>
      <c r="P156" s="231">
        <f t="shared" si="81"/>
        <v>0</v>
      </c>
      <c r="Q156" s="231">
        <f t="shared" si="81"/>
        <v>0</v>
      </c>
      <c r="R156" s="231">
        <f t="shared" si="81"/>
        <v>0</v>
      </c>
      <c r="S156" s="231">
        <f t="shared" si="81"/>
        <v>0</v>
      </c>
      <c r="T156" s="231">
        <f t="shared" si="81"/>
        <v>0</v>
      </c>
      <c r="U156" s="231">
        <f t="shared" si="81"/>
        <v>0</v>
      </c>
      <c r="V156" s="231">
        <f t="shared" si="81"/>
        <v>0</v>
      </c>
      <c r="W156" s="231">
        <f t="shared" si="81"/>
        <v>0</v>
      </c>
      <c r="X156" s="231">
        <f t="shared" si="81"/>
        <v>0</v>
      </c>
      <c r="Y156" s="231">
        <f t="shared" si="81"/>
        <v>0</v>
      </c>
      <c r="Z156" s="231">
        <f t="shared" si="81"/>
        <v>0</v>
      </c>
      <c r="AA156" s="231">
        <f t="shared" si="81"/>
        <v>0</v>
      </c>
      <c r="AB156" s="231">
        <f t="shared" si="81"/>
        <v>0</v>
      </c>
      <c r="AC156" s="231">
        <f t="shared" si="81"/>
        <v>0</v>
      </c>
      <c r="AD156" s="231">
        <f t="shared" si="81"/>
        <v>0</v>
      </c>
      <c r="AE156" s="231">
        <f t="shared" si="81"/>
        <v>0</v>
      </c>
      <c r="AF156" s="231">
        <f t="shared" si="81"/>
        <v>0</v>
      </c>
      <c r="AG156" s="231">
        <f t="shared" si="81"/>
        <v>1762171</v>
      </c>
      <c r="AH156" s="231">
        <f t="shared" si="81"/>
        <v>1769280</v>
      </c>
      <c r="AI156" s="231">
        <f t="shared" si="81"/>
        <v>1776195</v>
      </c>
      <c r="AJ156" s="231">
        <f t="shared" si="81"/>
        <v>1776787</v>
      </c>
      <c r="AK156" s="231">
        <f t="shared" si="81"/>
        <v>1771219</v>
      </c>
      <c r="AL156" s="231">
        <f t="shared" si="81"/>
        <v>1791536</v>
      </c>
      <c r="AM156" s="231">
        <f t="shared" si="81"/>
        <v>1799133</v>
      </c>
      <c r="AN156" s="231">
        <f t="shared" si="81"/>
        <v>1811485</v>
      </c>
      <c r="AO156" s="231">
        <f t="shared" si="81"/>
        <v>1836534</v>
      </c>
      <c r="AP156" s="231">
        <f t="shared" si="81"/>
        <v>1865299</v>
      </c>
      <c r="AQ156" s="231">
        <f t="shared" si="81"/>
        <v>1883772</v>
      </c>
      <c r="AR156" s="231">
        <f t="shared" si="81"/>
        <v>1899050</v>
      </c>
      <c r="AS156" s="231">
        <f t="shared" si="81"/>
        <v>1908979</v>
      </c>
      <c r="AT156" s="231">
        <f t="shared" si="81"/>
        <v>1923222</v>
      </c>
      <c r="AU156" s="231">
        <f t="shared" si="81"/>
        <v>1933172</v>
      </c>
      <c r="AV156" s="231">
        <f t="shared" ref="AV156" si="82">SUM(AV151:AV155)</f>
        <v>1702798</v>
      </c>
    </row>
    <row r="157" spans="2:48">
      <c r="B157" s="233"/>
      <c r="C157" s="234"/>
      <c r="D157" s="234"/>
      <c r="E157" s="234"/>
      <c r="F157" s="234"/>
      <c r="G157" s="234"/>
      <c r="H157" s="234"/>
      <c r="I157" s="234"/>
      <c r="J157" s="234"/>
      <c r="K157" s="234"/>
      <c r="L157" s="234"/>
      <c r="M157" s="234"/>
      <c r="N157" s="234"/>
      <c r="O157" s="234"/>
      <c r="P157" s="234"/>
      <c r="Q157" s="234"/>
      <c r="R157" s="234"/>
      <c r="S157" s="234"/>
      <c r="T157" s="234"/>
      <c r="U157" s="234"/>
      <c r="V157" s="234"/>
      <c r="W157" s="234"/>
      <c r="X157" s="234"/>
      <c r="Y157" s="234"/>
      <c r="Z157" s="234"/>
      <c r="AA157" s="234"/>
      <c r="AB157" s="234"/>
      <c r="AC157" s="234"/>
      <c r="AD157" s="234"/>
      <c r="AE157" s="234"/>
      <c r="AF157" s="234"/>
      <c r="AG157" s="234"/>
      <c r="AH157" s="234"/>
      <c r="AI157" s="234"/>
      <c r="AJ157" s="234"/>
      <c r="AK157" s="234"/>
      <c r="AL157" s="234"/>
      <c r="AM157" s="234"/>
      <c r="AN157" s="234"/>
      <c r="AO157" s="234"/>
      <c r="AP157" s="234"/>
      <c r="AQ157" s="234"/>
      <c r="AR157" s="234"/>
      <c r="AS157" s="234"/>
      <c r="AT157" s="234"/>
      <c r="AU157" s="234"/>
      <c r="AV157" s="234"/>
    </row>
    <row r="158" spans="2:48">
      <c r="B158" s="212" t="s">
        <v>75</v>
      </c>
      <c r="C158" s="213"/>
      <c r="D158" s="213"/>
      <c r="E158" s="213"/>
      <c r="F158" s="213"/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  <c r="AA158" s="213"/>
      <c r="AB158" s="213"/>
      <c r="AC158" s="213"/>
      <c r="AD158" s="213"/>
      <c r="AE158" s="213"/>
      <c r="AF158" s="213"/>
      <c r="AG158" s="213"/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</row>
    <row r="159" spans="2:48">
      <c r="B159" s="214" t="s">
        <v>80</v>
      </c>
      <c r="C159" s="224"/>
      <c r="D159" s="224"/>
      <c r="E159" s="224"/>
      <c r="F159" s="224"/>
      <c r="G159" s="224"/>
      <c r="H159" s="224"/>
      <c r="I159" s="224"/>
      <c r="J159" s="224"/>
      <c r="K159" s="224"/>
      <c r="L159" s="224"/>
      <c r="M159" s="224"/>
      <c r="N159" s="224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24"/>
      <c r="AD159" s="224"/>
      <c r="AE159" s="224"/>
      <c r="AF159" s="224"/>
      <c r="AG159" s="224"/>
      <c r="AH159" s="224">
        <v>161436</v>
      </c>
      <c r="AI159" s="224">
        <v>162449</v>
      </c>
      <c r="AJ159" s="224">
        <v>165451</v>
      </c>
      <c r="AK159" s="224">
        <v>166026</v>
      </c>
      <c r="AL159" s="224">
        <v>147355</v>
      </c>
      <c r="AM159" s="224">
        <v>133659</v>
      </c>
      <c r="AN159" s="224">
        <v>132781</v>
      </c>
      <c r="AO159" s="224">
        <v>121853</v>
      </c>
      <c r="AP159" s="224">
        <v>114309</v>
      </c>
      <c r="AQ159" s="224">
        <v>110440</v>
      </c>
      <c r="AR159" s="224">
        <v>93168</v>
      </c>
      <c r="AS159" s="224">
        <v>94188</v>
      </c>
      <c r="AT159" s="224">
        <v>95101</v>
      </c>
      <c r="AU159" s="224">
        <v>104137</v>
      </c>
      <c r="AV159" s="224">
        <v>109018</v>
      </c>
    </row>
    <row r="160" spans="2:48">
      <c r="B160" s="214" t="s">
        <v>81</v>
      </c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24"/>
      <c r="AD160" s="224"/>
      <c r="AE160" s="224"/>
      <c r="AF160" s="224"/>
      <c r="AG160" s="224"/>
      <c r="AH160" s="224">
        <v>23630</v>
      </c>
      <c r="AI160" s="224">
        <v>22848</v>
      </c>
      <c r="AJ160" s="224">
        <v>21330</v>
      </c>
      <c r="AK160" s="224">
        <v>21343</v>
      </c>
      <c r="AL160" s="224">
        <v>29419</v>
      </c>
      <c r="AM160" s="224">
        <v>32424</v>
      </c>
      <c r="AN160" s="224">
        <v>35648</v>
      </c>
      <c r="AO160" s="224">
        <v>41003</v>
      </c>
      <c r="AP160" s="224">
        <v>64152</v>
      </c>
      <c r="AQ160" s="224">
        <v>71757</v>
      </c>
      <c r="AR160" s="224">
        <v>96861</v>
      </c>
      <c r="AS160" s="224">
        <v>98126</v>
      </c>
      <c r="AT160" s="224">
        <v>100673</v>
      </c>
      <c r="AU160" s="224">
        <v>98404</v>
      </c>
      <c r="AV160" s="224">
        <v>98460</v>
      </c>
    </row>
    <row r="161" spans="2:48">
      <c r="B161" s="214" t="s">
        <v>57</v>
      </c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24"/>
      <c r="AD161" s="224"/>
      <c r="AE161" s="224"/>
      <c r="AF161" s="224"/>
      <c r="AG161" s="224"/>
      <c r="AH161" s="224">
        <v>342</v>
      </c>
      <c r="AI161" s="224">
        <v>344</v>
      </c>
      <c r="AJ161" s="224">
        <v>338</v>
      </c>
      <c r="AK161" s="224">
        <v>329</v>
      </c>
      <c r="AL161" s="224">
        <v>289</v>
      </c>
      <c r="AM161" s="224">
        <v>257</v>
      </c>
      <c r="AN161" s="224">
        <v>260</v>
      </c>
      <c r="AO161" s="224">
        <v>237</v>
      </c>
      <c r="AP161" s="224">
        <v>248</v>
      </c>
      <c r="AQ161" s="224">
        <v>247</v>
      </c>
      <c r="AR161" s="224">
        <v>254</v>
      </c>
      <c r="AS161" s="224">
        <v>238</v>
      </c>
      <c r="AT161" s="224">
        <v>242</v>
      </c>
      <c r="AU161" s="224">
        <v>243</v>
      </c>
      <c r="AV161" s="224">
        <v>267</v>
      </c>
    </row>
    <row r="162" spans="2:48">
      <c r="B162" s="214" t="s">
        <v>58</v>
      </c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24"/>
      <c r="AD162" s="224"/>
      <c r="AE162" s="224"/>
      <c r="AF162" s="224"/>
      <c r="AG162" s="224"/>
      <c r="AH162" s="224">
        <v>18471</v>
      </c>
      <c r="AI162" s="224">
        <v>18460</v>
      </c>
      <c r="AJ162" s="224">
        <v>18583</v>
      </c>
      <c r="AK162" s="224">
        <v>18739</v>
      </c>
      <c r="AL162" s="224">
        <v>16772</v>
      </c>
      <c r="AM162" s="224">
        <v>15291</v>
      </c>
      <c r="AN162" s="224">
        <v>15656</v>
      </c>
      <c r="AO162" s="224">
        <v>14447</v>
      </c>
      <c r="AP162" s="224">
        <v>15516</v>
      </c>
      <c r="AQ162" s="224">
        <v>15454</v>
      </c>
      <c r="AR162" s="224">
        <v>15880</v>
      </c>
      <c r="AS162" s="224">
        <v>15702</v>
      </c>
      <c r="AT162" s="224">
        <v>15713</v>
      </c>
      <c r="AU162" s="224">
        <v>15717</v>
      </c>
      <c r="AV162" s="224">
        <v>15625</v>
      </c>
    </row>
    <row r="163" spans="2:48" ht="13.5" thickBot="1">
      <c r="B163" s="214" t="s">
        <v>59</v>
      </c>
      <c r="C163" s="224"/>
      <c r="D163" s="224"/>
      <c r="E163" s="224"/>
      <c r="F163" s="224"/>
      <c r="G163" s="224"/>
      <c r="H163" s="224"/>
      <c r="I163" s="224"/>
      <c r="J163" s="224"/>
      <c r="K163" s="224"/>
      <c r="L163" s="224"/>
      <c r="M163" s="224"/>
      <c r="N163" s="224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24"/>
      <c r="AD163" s="224"/>
      <c r="AE163" s="224"/>
      <c r="AF163" s="224"/>
      <c r="AG163" s="224"/>
      <c r="AH163" s="224">
        <v>4728</v>
      </c>
      <c r="AI163" s="224">
        <v>4776</v>
      </c>
      <c r="AJ163" s="224">
        <v>4611</v>
      </c>
      <c r="AK163" s="224">
        <v>5211</v>
      </c>
      <c r="AL163" s="224">
        <v>4916</v>
      </c>
      <c r="AM163" s="224">
        <v>4869</v>
      </c>
      <c r="AN163" s="224">
        <v>4740</v>
      </c>
      <c r="AO163" s="224">
        <v>4691</v>
      </c>
      <c r="AP163" s="224">
        <v>4769</v>
      </c>
      <c r="AQ163" s="224">
        <v>5246</v>
      </c>
      <c r="AR163" s="224">
        <v>5157</v>
      </c>
      <c r="AS163" s="224">
        <v>5652</v>
      </c>
      <c r="AT163" s="224">
        <v>5724</v>
      </c>
      <c r="AU163" s="224">
        <v>5701</v>
      </c>
      <c r="AV163" s="224">
        <v>5612</v>
      </c>
    </row>
    <row r="164" spans="2:48" ht="13.5" thickBot="1">
      <c r="B164" s="216" t="s">
        <v>87</v>
      </c>
      <c r="C164" s="231">
        <f>SUM(C159:C163)</f>
        <v>0</v>
      </c>
      <c r="D164" s="231">
        <f t="shared" ref="D164:AU164" si="83">SUM(D159:D163)</f>
        <v>0</v>
      </c>
      <c r="E164" s="231">
        <f t="shared" si="83"/>
        <v>0</v>
      </c>
      <c r="F164" s="231">
        <f t="shared" si="83"/>
        <v>0</v>
      </c>
      <c r="G164" s="231">
        <f t="shared" si="83"/>
        <v>0</v>
      </c>
      <c r="H164" s="231">
        <f t="shared" si="83"/>
        <v>0</v>
      </c>
      <c r="I164" s="231">
        <f t="shared" si="83"/>
        <v>0</v>
      </c>
      <c r="J164" s="231">
        <f t="shared" si="83"/>
        <v>0</v>
      </c>
      <c r="K164" s="231">
        <f t="shared" si="83"/>
        <v>0</v>
      </c>
      <c r="L164" s="231">
        <f t="shared" si="83"/>
        <v>0</v>
      </c>
      <c r="M164" s="231">
        <f t="shared" si="83"/>
        <v>0</v>
      </c>
      <c r="N164" s="231">
        <f t="shared" si="83"/>
        <v>0</v>
      </c>
      <c r="O164" s="231">
        <f t="shared" si="83"/>
        <v>0</v>
      </c>
      <c r="P164" s="231">
        <f t="shared" si="83"/>
        <v>0</v>
      </c>
      <c r="Q164" s="231">
        <f t="shared" si="83"/>
        <v>0</v>
      </c>
      <c r="R164" s="231">
        <f t="shared" si="83"/>
        <v>0</v>
      </c>
      <c r="S164" s="231">
        <f t="shared" si="83"/>
        <v>0</v>
      </c>
      <c r="T164" s="231">
        <f t="shared" si="83"/>
        <v>0</v>
      </c>
      <c r="U164" s="231">
        <f t="shared" si="83"/>
        <v>0</v>
      </c>
      <c r="V164" s="231">
        <f t="shared" si="83"/>
        <v>0</v>
      </c>
      <c r="W164" s="231">
        <f t="shared" si="83"/>
        <v>0</v>
      </c>
      <c r="X164" s="231">
        <f t="shared" si="83"/>
        <v>0</v>
      </c>
      <c r="Y164" s="231">
        <f t="shared" si="83"/>
        <v>0</v>
      </c>
      <c r="Z164" s="231">
        <f t="shared" si="83"/>
        <v>0</v>
      </c>
      <c r="AA164" s="231">
        <f t="shared" si="83"/>
        <v>0</v>
      </c>
      <c r="AB164" s="231">
        <f t="shared" si="83"/>
        <v>0</v>
      </c>
      <c r="AC164" s="231">
        <f t="shared" si="83"/>
        <v>0</v>
      </c>
      <c r="AD164" s="231">
        <f t="shared" si="83"/>
        <v>0</v>
      </c>
      <c r="AE164" s="231">
        <f t="shared" si="83"/>
        <v>0</v>
      </c>
      <c r="AF164" s="231">
        <f t="shared" si="83"/>
        <v>0</v>
      </c>
      <c r="AG164" s="231">
        <f t="shared" si="83"/>
        <v>0</v>
      </c>
      <c r="AH164" s="231">
        <f t="shared" si="83"/>
        <v>208607</v>
      </c>
      <c r="AI164" s="231">
        <f t="shared" si="83"/>
        <v>208877</v>
      </c>
      <c r="AJ164" s="231">
        <f t="shared" si="83"/>
        <v>210313</v>
      </c>
      <c r="AK164" s="231">
        <f t="shared" si="83"/>
        <v>211648</v>
      </c>
      <c r="AL164" s="231">
        <f t="shared" si="83"/>
        <v>198751</v>
      </c>
      <c r="AM164" s="231">
        <f t="shared" si="83"/>
        <v>186500</v>
      </c>
      <c r="AN164" s="231">
        <f t="shared" si="83"/>
        <v>189085</v>
      </c>
      <c r="AO164" s="231">
        <f t="shared" si="83"/>
        <v>182231</v>
      </c>
      <c r="AP164" s="231">
        <f t="shared" si="83"/>
        <v>198994</v>
      </c>
      <c r="AQ164" s="231">
        <f t="shared" si="83"/>
        <v>203144</v>
      </c>
      <c r="AR164" s="231">
        <f t="shared" si="83"/>
        <v>211320</v>
      </c>
      <c r="AS164" s="231">
        <f t="shared" si="83"/>
        <v>213906</v>
      </c>
      <c r="AT164" s="231">
        <f t="shared" si="83"/>
        <v>217453</v>
      </c>
      <c r="AU164" s="231">
        <f t="shared" si="83"/>
        <v>224202</v>
      </c>
      <c r="AV164" s="231">
        <f t="shared" ref="AV164" si="84">SUM(AV159:AV163)</f>
        <v>228982</v>
      </c>
    </row>
    <row r="165" spans="2:48">
      <c r="B165" s="233"/>
      <c r="C165" s="234"/>
      <c r="D165" s="234"/>
      <c r="E165" s="234"/>
      <c r="F165" s="234"/>
      <c r="G165" s="234"/>
      <c r="H165" s="234"/>
      <c r="I165" s="234"/>
      <c r="J165" s="234"/>
      <c r="K165" s="234"/>
      <c r="L165" s="234"/>
      <c r="M165" s="234"/>
      <c r="N165" s="234"/>
      <c r="O165" s="234"/>
      <c r="P165" s="234"/>
      <c r="Q165" s="234"/>
      <c r="R165" s="234"/>
      <c r="S165" s="234"/>
      <c r="T165" s="234"/>
      <c r="U165" s="234"/>
      <c r="V165" s="234"/>
      <c r="W165" s="234"/>
      <c r="X165" s="234"/>
      <c r="Y165" s="234"/>
      <c r="Z165" s="234"/>
      <c r="AA165" s="234"/>
      <c r="AB165" s="234"/>
      <c r="AC165" s="234"/>
      <c r="AD165" s="234"/>
      <c r="AE165" s="234"/>
      <c r="AF165" s="234"/>
      <c r="AG165" s="234"/>
      <c r="AH165" s="234"/>
      <c r="AI165" s="234"/>
      <c r="AJ165" s="234"/>
      <c r="AK165" s="234"/>
      <c r="AL165" s="234"/>
      <c r="AM165" s="234"/>
      <c r="AN165" s="234"/>
      <c r="AO165" s="234"/>
      <c r="AP165" s="234"/>
      <c r="AQ165" s="234"/>
      <c r="AR165" s="234"/>
      <c r="AS165" s="234"/>
      <c r="AT165" s="234"/>
      <c r="AU165" s="234"/>
      <c r="AV165" s="234"/>
    </row>
    <row r="166" spans="2:48">
      <c r="B166" s="212" t="s">
        <v>77</v>
      </c>
      <c r="C166" s="213"/>
      <c r="D166" s="213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  <c r="AA166" s="213"/>
      <c r="AB166" s="213"/>
      <c r="AC166" s="213"/>
      <c r="AD166" s="213"/>
      <c r="AE166" s="213"/>
      <c r="AF166" s="213"/>
      <c r="AG166" s="213"/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</row>
    <row r="167" spans="2:48">
      <c r="B167" s="214" t="s">
        <v>80</v>
      </c>
      <c r="C167" s="224"/>
      <c r="D167" s="224"/>
      <c r="E167" s="224"/>
      <c r="F167" s="224"/>
      <c r="G167" s="224"/>
      <c r="H167" s="224"/>
      <c r="I167" s="224"/>
      <c r="J167" s="224"/>
      <c r="K167" s="224"/>
      <c r="L167" s="224"/>
      <c r="M167" s="224"/>
      <c r="N167" s="224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24"/>
      <c r="AD167" s="224"/>
      <c r="AE167" s="224"/>
      <c r="AF167" s="224"/>
      <c r="AG167" s="224"/>
      <c r="AH167" s="224"/>
      <c r="AI167" s="224"/>
      <c r="AJ167" s="224"/>
      <c r="AK167" s="224"/>
      <c r="AL167" s="224">
        <v>2470542</v>
      </c>
      <c r="AM167" s="224">
        <v>2431091</v>
      </c>
      <c r="AN167" s="224">
        <v>2440354</v>
      </c>
      <c r="AO167" s="224">
        <v>2453212</v>
      </c>
      <c r="AP167" s="224">
        <v>2458684</v>
      </c>
      <c r="AQ167" s="224">
        <v>2436091</v>
      </c>
      <c r="AR167" s="224">
        <v>2435940</v>
      </c>
      <c r="AS167" s="224">
        <v>2473974</v>
      </c>
      <c r="AT167" s="224">
        <v>2413658</v>
      </c>
      <c r="AU167" s="224">
        <v>2407261</v>
      </c>
      <c r="AV167" s="224">
        <v>2421558</v>
      </c>
    </row>
    <row r="168" spans="2:48">
      <c r="B168" s="214" t="s">
        <v>81</v>
      </c>
      <c r="C168" s="224"/>
      <c r="D168" s="224"/>
      <c r="E168" s="224"/>
      <c r="F168" s="224"/>
      <c r="G168" s="224"/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24"/>
      <c r="AD168" s="224"/>
      <c r="AE168" s="224"/>
      <c r="AF168" s="224"/>
      <c r="AG168" s="224"/>
      <c r="AH168" s="224"/>
      <c r="AI168" s="224"/>
      <c r="AJ168" s="224"/>
      <c r="AK168" s="224"/>
      <c r="AL168" s="224">
        <v>272302</v>
      </c>
      <c r="AM168" s="224">
        <v>337661</v>
      </c>
      <c r="AN168" s="224">
        <v>340028</v>
      </c>
      <c r="AO168" s="224">
        <v>354673</v>
      </c>
      <c r="AP168" s="224">
        <v>362526</v>
      </c>
      <c r="AQ168" s="224">
        <v>406759</v>
      </c>
      <c r="AR168" s="224">
        <v>417245</v>
      </c>
      <c r="AS168" s="224">
        <v>397598</v>
      </c>
      <c r="AT168" s="224">
        <v>480598</v>
      </c>
      <c r="AU168" s="224">
        <v>502573</v>
      </c>
      <c r="AV168" s="224">
        <v>506375</v>
      </c>
    </row>
    <row r="169" spans="2:48">
      <c r="B169" s="214" t="s">
        <v>57</v>
      </c>
      <c r="C169" s="224"/>
      <c r="D169" s="224"/>
      <c r="E169" s="224"/>
      <c r="F169" s="224"/>
      <c r="G169" s="224"/>
      <c r="H169" s="224"/>
      <c r="I169" s="224"/>
      <c r="J169" s="224"/>
      <c r="K169" s="224"/>
      <c r="L169" s="224"/>
      <c r="M169" s="224"/>
      <c r="N169" s="224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24"/>
      <c r="AD169" s="224"/>
      <c r="AE169" s="224"/>
      <c r="AF169" s="224"/>
      <c r="AG169" s="224"/>
      <c r="AH169" s="224"/>
      <c r="AI169" s="224"/>
      <c r="AJ169" s="224"/>
      <c r="AK169" s="224"/>
      <c r="AL169" s="224">
        <v>8667</v>
      </c>
      <c r="AM169" s="224">
        <v>8401</v>
      </c>
      <c r="AN169" s="224">
        <v>8561</v>
      </c>
      <c r="AO169" s="224">
        <v>8555</v>
      </c>
      <c r="AP169" s="224">
        <v>8588</v>
      </c>
      <c r="AQ169" s="224">
        <v>8200</v>
      </c>
      <c r="AR169" s="224">
        <v>8481</v>
      </c>
      <c r="AS169" s="224">
        <v>8437</v>
      </c>
      <c r="AT169" s="224">
        <v>8394</v>
      </c>
      <c r="AU169" s="224">
        <v>8360</v>
      </c>
      <c r="AV169" s="224">
        <v>8309</v>
      </c>
    </row>
    <row r="170" spans="2:48">
      <c r="B170" s="214" t="s">
        <v>58</v>
      </c>
      <c r="C170" s="224"/>
      <c r="D170" s="224"/>
      <c r="E170" s="224"/>
      <c r="F170" s="224"/>
      <c r="G170" s="224"/>
      <c r="H170" s="224"/>
      <c r="I170" s="224"/>
      <c r="J170" s="224"/>
      <c r="K170" s="224"/>
      <c r="L170" s="224"/>
      <c r="M170" s="224"/>
      <c r="N170" s="224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24"/>
      <c r="AD170" s="224"/>
      <c r="AE170" s="224"/>
      <c r="AF170" s="224"/>
      <c r="AG170" s="224"/>
      <c r="AH170" s="224"/>
      <c r="AI170" s="224"/>
      <c r="AJ170" s="224"/>
      <c r="AK170" s="224"/>
      <c r="AL170" s="224">
        <v>202458</v>
      </c>
      <c r="AM170" s="224">
        <v>203817</v>
      </c>
      <c r="AN170" s="224">
        <v>203584</v>
      </c>
      <c r="AO170" s="224">
        <v>202894</v>
      </c>
      <c r="AP170" s="224">
        <v>201995</v>
      </c>
      <c r="AQ170" s="224">
        <v>201763</v>
      </c>
      <c r="AR170" s="224">
        <v>201612</v>
      </c>
      <c r="AS170" s="224">
        <v>199800</v>
      </c>
      <c r="AT170" s="224">
        <v>199228</v>
      </c>
      <c r="AU170" s="224">
        <v>198217</v>
      </c>
      <c r="AV170" s="224">
        <v>198183</v>
      </c>
    </row>
    <row r="171" spans="2:48" ht="13.5" thickBot="1">
      <c r="B171" s="214" t="s">
        <v>59</v>
      </c>
      <c r="C171" s="224"/>
      <c r="D171" s="224"/>
      <c r="E171" s="224"/>
      <c r="F171" s="224"/>
      <c r="G171" s="224"/>
      <c r="H171" s="224"/>
      <c r="I171" s="224"/>
      <c r="J171" s="224"/>
      <c r="K171" s="224"/>
      <c r="L171" s="224"/>
      <c r="M171" s="224"/>
      <c r="N171" s="224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24"/>
      <c r="AD171" s="224"/>
      <c r="AE171" s="224"/>
      <c r="AF171" s="224"/>
      <c r="AG171" s="224"/>
      <c r="AH171" s="224"/>
      <c r="AI171" s="224"/>
      <c r="AJ171" s="224"/>
      <c r="AK171" s="224"/>
      <c r="AL171" s="224">
        <v>234763</v>
      </c>
      <c r="AM171" s="224">
        <v>235571</v>
      </c>
      <c r="AN171" s="224">
        <v>237946</v>
      </c>
      <c r="AO171" s="224">
        <v>260029</v>
      </c>
      <c r="AP171" s="224">
        <v>261586</v>
      </c>
      <c r="AQ171" s="224">
        <v>254006</v>
      </c>
      <c r="AR171" s="224">
        <v>251393</v>
      </c>
      <c r="AS171" s="224">
        <v>253597</v>
      </c>
      <c r="AT171" s="224">
        <v>253498</v>
      </c>
      <c r="AU171" s="224">
        <v>255062</v>
      </c>
      <c r="AV171" s="224">
        <v>257367</v>
      </c>
    </row>
    <row r="172" spans="2:48" ht="13.5" thickBot="1">
      <c r="B172" s="216" t="s">
        <v>88</v>
      </c>
      <c r="C172" s="231"/>
      <c r="D172" s="231"/>
      <c r="E172" s="231"/>
      <c r="F172" s="231"/>
      <c r="G172" s="231"/>
      <c r="H172" s="231"/>
      <c r="I172" s="231"/>
      <c r="J172" s="231"/>
      <c r="K172" s="231"/>
      <c r="L172" s="231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>
        <f t="shared" ref="AL172:AU172" si="85">SUM(AL167:AL171)</f>
        <v>3188732</v>
      </c>
      <c r="AM172" s="231">
        <f t="shared" si="85"/>
        <v>3216541</v>
      </c>
      <c r="AN172" s="231">
        <f t="shared" si="85"/>
        <v>3230473</v>
      </c>
      <c r="AO172" s="231">
        <f t="shared" si="85"/>
        <v>3279363</v>
      </c>
      <c r="AP172" s="231">
        <f t="shared" si="85"/>
        <v>3293379</v>
      </c>
      <c r="AQ172" s="231">
        <f t="shared" si="85"/>
        <v>3306819</v>
      </c>
      <c r="AR172" s="231">
        <f t="shared" si="85"/>
        <v>3314671</v>
      </c>
      <c r="AS172" s="231">
        <f t="shared" si="85"/>
        <v>3333406</v>
      </c>
      <c r="AT172" s="231">
        <f t="shared" si="85"/>
        <v>3355376</v>
      </c>
      <c r="AU172" s="231">
        <f t="shared" si="85"/>
        <v>3371473</v>
      </c>
      <c r="AV172" s="231">
        <f t="shared" ref="AV172" si="86">SUM(AV167:AV171)</f>
        <v>3391792</v>
      </c>
    </row>
    <row r="173" spans="2:48">
      <c r="B173" s="233"/>
      <c r="C173" s="234"/>
      <c r="D173" s="234"/>
      <c r="E173" s="234"/>
      <c r="F173" s="234"/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X173" s="234"/>
      <c r="Y173" s="234"/>
      <c r="Z173" s="234"/>
      <c r="AA173" s="234"/>
      <c r="AB173" s="234"/>
      <c r="AC173" s="234"/>
      <c r="AD173" s="234"/>
      <c r="AE173" s="234"/>
      <c r="AF173" s="234"/>
      <c r="AG173" s="234"/>
      <c r="AH173" s="234"/>
      <c r="AI173" s="234"/>
      <c r="AJ173" s="234"/>
      <c r="AK173" s="234"/>
      <c r="AL173" s="234"/>
      <c r="AM173" s="234"/>
      <c r="AN173" s="234"/>
      <c r="AO173" s="234"/>
      <c r="AP173" s="234"/>
      <c r="AQ173" s="234"/>
      <c r="AR173" s="234"/>
      <c r="AS173" s="234"/>
      <c r="AT173" s="234"/>
      <c r="AU173" s="234"/>
      <c r="AV173" s="234"/>
    </row>
    <row r="174" spans="2:48">
      <c r="B174" s="537" t="s">
        <v>89</v>
      </c>
      <c r="C174" s="537">
        <f t="shared" ref="C174:AK174" si="87">C124+C132+C140+C148+C164+C156+C172</f>
        <v>5095009</v>
      </c>
      <c r="D174" s="537">
        <f t="shared" si="87"/>
        <v>5138519</v>
      </c>
      <c r="E174" s="537">
        <f t="shared" si="87"/>
        <v>5192879</v>
      </c>
      <c r="F174" s="537">
        <f t="shared" si="87"/>
        <v>5258556</v>
      </c>
      <c r="G174" s="537">
        <f t="shared" si="87"/>
        <v>5337188</v>
      </c>
      <c r="H174" s="537">
        <f t="shared" si="87"/>
        <v>5394057</v>
      </c>
      <c r="I174" s="537">
        <f t="shared" si="87"/>
        <v>5456378</v>
      </c>
      <c r="J174" s="537">
        <f t="shared" si="87"/>
        <v>5525486</v>
      </c>
      <c r="K174" s="537">
        <f t="shared" si="87"/>
        <v>5579728</v>
      </c>
      <c r="L174" s="537">
        <f t="shared" si="87"/>
        <v>5620409</v>
      </c>
      <c r="M174" s="537">
        <f t="shared" si="87"/>
        <v>5678909</v>
      </c>
      <c r="N174" s="537">
        <f t="shared" si="87"/>
        <v>5745630</v>
      </c>
      <c r="O174" s="537">
        <f t="shared" si="87"/>
        <v>5727505</v>
      </c>
      <c r="P174" s="537">
        <f t="shared" si="87"/>
        <v>5884760</v>
      </c>
      <c r="Q174" s="537">
        <f t="shared" si="87"/>
        <v>5963452</v>
      </c>
      <c r="R174" s="537">
        <f t="shared" si="87"/>
        <v>6029477</v>
      </c>
      <c r="S174" s="537">
        <f t="shared" si="87"/>
        <v>7218858</v>
      </c>
      <c r="T174" s="537">
        <f t="shared" si="87"/>
        <v>7288784</v>
      </c>
      <c r="U174" s="537">
        <f t="shared" si="87"/>
        <v>7386055</v>
      </c>
      <c r="V174" s="537">
        <f t="shared" si="87"/>
        <v>7453407</v>
      </c>
      <c r="W174" s="537">
        <f t="shared" si="87"/>
        <v>7505413</v>
      </c>
      <c r="X174" s="537">
        <f t="shared" si="87"/>
        <v>7544767</v>
      </c>
      <c r="Y174" s="537">
        <f t="shared" si="87"/>
        <v>7563030</v>
      </c>
      <c r="Z174" s="537">
        <f t="shared" si="87"/>
        <v>7539899</v>
      </c>
      <c r="AA174" s="537">
        <f t="shared" si="87"/>
        <v>7584076</v>
      </c>
      <c r="AB174" s="537">
        <f t="shared" si="87"/>
        <v>7534823</v>
      </c>
      <c r="AC174" s="537">
        <f t="shared" si="87"/>
        <v>7648701</v>
      </c>
      <c r="AD174" s="537">
        <f t="shared" si="87"/>
        <v>7665293</v>
      </c>
      <c r="AE174" s="537">
        <f t="shared" si="87"/>
        <v>7637256</v>
      </c>
      <c r="AF174" s="537">
        <f t="shared" si="87"/>
        <v>7709488</v>
      </c>
      <c r="AG174" s="537">
        <f t="shared" si="87"/>
        <v>9552545</v>
      </c>
      <c r="AH174" s="537">
        <f t="shared" si="87"/>
        <v>9795330</v>
      </c>
      <c r="AI174" s="537">
        <f t="shared" si="87"/>
        <v>9842157</v>
      </c>
      <c r="AJ174" s="537">
        <f t="shared" si="87"/>
        <v>9862698</v>
      </c>
      <c r="AK174" s="537">
        <f t="shared" si="87"/>
        <v>9930790</v>
      </c>
      <c r="AL174" s="537">
        <f>AL124+AL132+AL140+AL148+AL164+AL156</f>
        <v>9994478</v>
      </c>
      <c r="AM174" s="537">
        <f t="shared" ref="AM174:AP174" si="88">AM124+AM132+AM140+AM148+AM164+AM156</f>
        <v>10054099</v>
      </c>
      <c r="AN174" s="537">
        <f t="shared" si="88"/>
        <v>10131735</v>
      </c>
      <c r="AO174" s="537">
        <f t="shared" si="88"/>
        <v>10262244</v>
      </c>
      <c r="AP174" s="537">
        <f t="shared" si="88"/>
        <v>10401496</v>
      </c>
      <c r="AQ174" s="537">
        <f t="shared" ref="AQ174:AV174" si="89">AQ124+AQ132+AQ140+AQ148+AQ164+AQ156+AQ172</f>
        <v>13807350</v>
      </c>
      <c r="AR174" s="537">
        <f t="shared" si="89"/>
        <v>13919048</v>
      </c>
      <c r="AS174" s="537">
        <f t="shared" si="89"/>
        <v>13990115</v>
      </c>
      <c r="AT174" s="537">
        <f t="shared" si="89"/>
        <v>14077091</v>
      </c>
      <c r="AU174" s="537">
        <f t="shared" si="89"/>
        <v>14148604</v>
      </c>
      <c r="AV174" s="537">
        <f t="shared" si="89"/>
        <v>14102717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 tint="0.79998168889431442"/>
  </sheetPr>
  <dimension ref="A7:T40"/>
  <sheetViews>
    <sheetView zoomScaleNormal="100" workbookViewId="0">
      <pane xSplit="1" ySplit="8" topLeftCell="B9" activePane="bottomRight" state="frozen"/>
      <selection pane="topRight" activeCell="AN17" sqref="AN17"/>
      <selection pane="bottomLeft" activeCell="AN17" sqref="AN17"/>
      <selection pane="bottomRight" activeCell="T10" sqref="T10"/>
    </sheetView>
  </sheetViews>
  <sheetFormatPr defaultColWidth="9.1796875" defaultRowHeight="14.5" outlineLevelCol="1"/>
  <cols>
    <col min="1" max="1" width="44.453125" style="37" bestFit="1" customWidth="1"/>
    <col min="2" max="2" width="0.54296875" style="37" customWidth="1"/>
    <col min="3" max="10" width="9.1796875" style="37" hidden="1" customWidth="1" outlineLevel="1"/>
    <col min="11" max="11" width="9.1796875" style="37" collapsed="1"/>
    <col min="12" max="16384" width="9.1796875" style="37"/>
  </cols>
  <sheetData>
    <row r="7" spans="1:20">
      <c r="A7" s="41" t="s">
        <v>610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</row>
    <row r="8" spans="1:20" ht="15" thickBot="1">
      <c r="A8" s="544" t="s">
        <v>585</v>
      </c>
      <c r="B8" s="134"/>
      <c r="C8" s="546" t="s">
        <v>37</v>
      </c>
      <c r="D8" s="546" t="s">
        <v>38</v>
      </c>
      <c r="E8" s="546" t="s">
        <v>39</v>
      </c>
      <c r="F8" s="546" t="s">
        <v>40</v>
      </c>
      <c r="G8" s="546" t="s">
        <v>41</v>
      </c>
      <c r="H8" s="546" t="s">
        <v>42</v>
      </c>
      <c r="I8" s="546" t="s">
        <v>43</v>
      </c>
      <c r="J8" s="546" t="s">
        <v>44</v>
      </c>
      <c r="K8" s="546" t="s">
        <v>45</v>
      </c>
      <c r="L8" s="546" t="s">
        <v>46</v>
      </c>
      <c r="M8" s="546" t="s">
        <v>47</v>
      </c>
      <c r="N8" s="546" t="s">
        <v>48</v>
      </c>
      <c r="O8" s="546" t="s">
        <v>49</v>
      </c>
      <c r="P8" s="546" t="s">
        <v>50</v>
      </c>
      <c r="Q8" s="556" t="s">
        <v>51</v>
      </c>
      <c r="R8" s="556" t="s">
        <v>52</v>
      </c>
      <c r="S8" s="556" t="s">
        <v>53</v>
      </c>
      <c r="T8" s="556" t="s">
        <v>54</v>
      </c>
    </row>
    <row r="9" spans="1:20" ht="15" thickBot="1">
      <c r="A9" s="140" t="s">
        <v>465</v>
      </c>
      <c r="B9" s="137"/>
      <c r="C9" s="150">
        <v>757648</v>
      </c>
      <c r="D9" s="150">
        <v>667211</v>
      </c>
      <c r="E9" s="150">
        <v>655660.31936000008</v>
      </c>
      <c r="F9" s="150">
        <v>1407466.8676800001</v>
      </c>
      <c r="G9" s="150">
        <v>816654.69327000016</v>
      </c>
      <c r="H9" s="150">
        <v>845731</v>
      </c>
      <c r="I9" s="150">
        <v>1198005</v>
      </c>
      <c r="J9" s="150">
        <v>1314997</v>
      </c>
      <c r="K9" s="150">
        <v>890407</v>
      </c>
      <c r="L9" s="141">
        <f t="shared" ref="L9:R9" si="0">SUM(L10:L13)</f>
        <v>992763</v>
      </c>
      <c r="M9" s="141">
        <f t="shared" si="0"/>
        <v>1051901</v>
      </c>
      <c r="N9" s="141">
        <f t="shared" si="0"/>
        <v>1083786</v>
      </c>
      <c r="O9" s="141">
        <f t="shared" si="0"/>
        <v>1038321</v>
      </c>
      <c r="P9" s="141">
        <f t="shared" si="0"/>
        <v>1232597</v>
      </c>
      <c r="Q9" s="141">
        <f t="shared" si="0"/>
        <v>1103009.4710000001</v>
      </c>
      <c r="R9" s="141">
        <f t="shared" si="0"/>
        <v>1384020.4550000001</v>
      </c>
      <c r="S9" s="141">
        <f t="shared" ref="S9:T9" si="1">SUM(S10:S13)</f>
        <v>1138172.0310000002</v>
      </c>
      <c r="T9" s="141">
        <f t="shared" si="1"/>
        <v>1247640.0960000001</v>
      </c>
    </row>
    <row r="10" spans="1:20">
      <c r="A10" s="137" t="s">
        <v>586</v>
      </c>
      <c r="B10" s="137"/>
      <c r="C10" s="149">
        <v>622379</v>
      </c>
      <c r="D10" s="149">
        <v>543829</v>
      </c>
      <c r="E10" s="149">
        <v>528548.17563000019</v>
      </c>
      <c r="F10" s="149">
        <v>812966.95654000004</v>
      </c>
      <c r="G10" s="149">
        <v>685818.80774000008</v>
      </c>
      <c r="H10" s="149">
        <v>709060</v>
      </c>
      <c r="I10" s="149">
        <v>983749</v>
      </c>
      <c r="J10" s="149">
        <v>1023631</v>
      </c>
      <c r="K10" s="149">
        <v>723232</v>
      </c>
      <c r="L10" s="149">
        <v>731784</v>
      </c>
      <c r="M10" s="149">
        <v>780104</v>
      </c>
      <c r="N10" s="149">
        <v>791776</v>
      </c>
      <c r="O10" s="149">
        <v>797387</v>
      </c>
      <c r="P10" s="149">
        <v>875834</v>
      </c>
      <c r="Q10" s="344">
        <v>882574.20600000001</v>
      </c>
      <c r="R10" s="344">
        <v>1030033.553</v>
      </c>
      <c r="S10" s="344">
        <v>928910.01</v>
      </c>
      <c r="T10" s="344">
        <v>970595.26899999997</v>
      </c>
    </row>
    <row r="11" spans="1:20">
      <c r="A11" s="137" t="s">
        <v>468</v>
      </c>
      <c r="B11" s="137"/>
      <c r="C11" s="149">
        <v>37581</v>
      </c>
      <c r="D11" s="149">
        <v>10370</v>
      </c>
      <c r="E11" s="149">
        <v>19928.778419999999</v>
      </c>
      <c r="F11" s="149">
        <v>31221.718079999995</v>
      </c>
      <c r="G11" s="149">
        <v>17093.12341</v>
      </c>
      <c r="H11" s="149">
        <v>34537</v>
      </c>
      <c r="I11" s="149">
        <v>36576</v>
      </c>
      <c r="J11" s="149">
        <v>88589</v>
      </c>
      <c r="K11" s="149">
        <v>5957</v>
      </c>
      <c r="L11" s="149">
        <v>11096</v>
      </c>
      <c r="M11" s="149">
        <v>5849</v>
      </c>
      <c r="N11" s="149">
        <v>4794</v>
      </c>
      <c r="O11" s="149">
        <v>11032</v>
      </c>
      <c r="P11" s="149">
        <v>8433</v>
      </c>
      <c r="Q11" s="344">
        <v>7654.3339999999998</v>
      </c>
      <c r="R11" s="344">
        <v>4896.491</v>
      </c>
      <c r="S11" s="344">
        <v>4549.857</v>
      </c>
      <c r="T11" s="344">
        <v>2853.1959999999999</v>
      </c>
    </row>
    <row r="12" spans="1:20">
      <c r="A12" s="137" t="s">
        <v>470</v>
      </c>
      <c r="B12" s="137"/>
      <c r="C12" s="149">
        <v>78681</v>
      </c>
      <c r="D12" s="149">
        <v>96145</v>
      </c>
      <c r="E12" s="149">
        <v>86033.299830000018</v>
      </c>
      <c r="F12" s="149">
        <v>142478.89074999999</v>
      </c>
      <c r="G12" s="149">
        <v>85233.308959999995</v>
      </c>
      <c r="H12" s="149">
        <v>73352</v>
      </c>
      <c r="I12" s="149">
        <v>130164</v>
      </c>
      <c r="J12" s="149">
        <v>149206</v>
      </c>
      <c r="K12" s="149">
        <v>90999</v>
      </c>
      <c r="L12" s="149">
        <v>157058</v>
      </c>
      <c r="M12" s="149">
        <v>233255</v>
      </c>
      <c r="N12" s="149">
        <v>250996</v>
      </c>
      <c r="O12" s="149">
        <v>179768</v>
      </c>
      <c r="P12" s="149">
        <v>275011</v>
      </c>
      <c r="Q12" s="344">
        <v>150423.709</v>
      </c>
      <c r="R12" s="344">
        <v>220897.73199999999</v>
      </c>
      <c r="S12" s="344">
        <v>132093.35800000001</v>
      </c>
      <c r="T12" s="344">
        <v>196572.717</v>
      </c>
    </row>
    <row r="13" spans="1:20" ht="15" thickBot="1">
      <c r="A13" s="137" t="s">
        <v>474</v>
      </c>
      <c r="B13" s="137"/>
      <c r="C13" s="149">
        <v>19007</v>
      </c>
      <c r="D13" s="149">
        <v>16867</v>
      </c>
      <c r="E13" s="149">
        <v>21150.06547999991</v>
      </c>
      <c r="F13" s="149">
        <v>420799.30231000006</v>
      </c>
      <c r="G13" s="149">
        <v>28509.453160000001</v>
      </c>
      <c r="H13" s="149">
        <v>28782</v>
      </c>
      <c r="I13" s="149">
        <v>47516</v>
      </c>
      <c r="J13" s="149">
        <v>53571</v>
      </c>
      <c r="K13" s="149">
        <v>70219</v>
      </c>
      <c r="L13" s="149">
        <v>92825</v>
      </c>
      <c r="M13" s="149">
        <v>32693</v>
      </c>
      <c r="N13" s="149">
        <v>36220</v>
      </c>
      <c r="O13" s="149">
        <v>50134</v>
      </c>
      <c r="P13" s="149">
        <v>73319</v>
      </c>
      <c r="Q13" s="344">
        <v>62357.222000000002</v>
      </c>
      <c r="R13" s="344">
        <v>128192.679</v>
      </c>
      <c r="S13" s="344">
        <v>72618.805999999997</v>
      </c>
      <c r="T13" s="344">
        <v>77618.914000000004</v>
      </c>
    </row>
    <row r="14" spans="1:20" ht="15" thickBot="1">
      <c r="A14" s="140" t="s">
        <v>587</v>
      </c>
      <c r="B14" s="137"/>
      <c r="C14" s="150">
        <v>-230202</v>
      </c>
      <c r="D14" s="150">
        <v>-181468</v>
      </c>
      <c r="E14" s="150">
        <v>-212736.98024999999</v>
      </c>
      <c r="F14" s="150">
        <v>-280092.51579999999</v>
      </c>
      <c r="G14" s="150">
        <v>-231926.74813999995</v>
      </c>
      <c r="H14" s="150">
        <v>-228324</v>
      </c>
      <c r="I14" s="150">
        <v>-299161</v>
      </c>
      <c r="J14" s="150">
        <v>-321548</v>
      </c>
      <c r="K14" s="150">
        <v>-302491</v>
      </c>
      <c r="L14" s="345">
        <v>-278513</v>
      </c>
      <c r="M14" s="345">
        <v>-254516</v>
      </c>
      <c r="N14" s="345">
        <v>-239526</v>
      </c>
      <c r="O14" s="345">
        <v>-259237</v>
      </c>
      <c r="P14" s="345">
        <v>-326235</v>
      </c>
      <c r="Q14" s="345">
        <v>-327674.08500000002</v>
      </c>
      <c r="R14" s="345">
        <v>-385975.12400000001</v>
      </c>
      <c r="S14" s="345">
        <v>-339706.10800000001</v>
      </c>
      <c r="T14" s="345">
        <v>-355258.57400000002</v>
      </c>
    </row>
    <row r="15" spans="1:20" ht="15" thickBot="1">
      <c r="A15" s="140" t="s">
        <v>491</v>
      </c>
      <c r="B15" s="138"/>
      <c r="C15" s="150">
        <f>C9+C14</f>
        <v>527446</v>
      </c>
      <c r="D15" s="150">
        <f t="shared" ref="D15:P15" si="2">D9+D14</f>
        <v>485743</v>
      </c>
      <c r="E15" s="150">
        <f t="shared" si="2"/>
        <v>442923.33911000006</v>
      </c>
      <c r="F15" s="150">
        <f t="shared" si="2"/>
        <v>1127374.3518800002</v>
      </c>
      <c r="G15" s="150">
        <f t="shared" si="2"/>
        <v>584727.94513000024</v>
      </c>
      <c r="H15" s="150">
        <f t="shared" si="2"/>
        <v>617407</v>
      </c>
      <c r="I15" s="150">
        <f t="shared" si="2"/>
        <v>898844</v>
      </c>
      <c r="J15" s="150">
        <f t="shared" si="2"/>
        <v>993449</v>
      </c>
      <c r="K15" s="150">
        <f t="shared" si="2"/>
        <v>587916</v>
      </c>
      <c r="L15" s="150">
        <f t="shared" si="2"/>
        <v>714250</v>
      </c>
      <c r="M15" s="150">
        <f t="shared" si="2"/>
        <v>797385</v>
      </c>
      <c r="N15" s="150">
        <f t="shared" si="2"/>
        <v>844260</v>
      </c>
      <c r="O15" s="150">
        <f t="shared" si="2"/>
        <v>779084</v>
      </c>
      <c r="P15" s="150">
        <f t="shared" si="2"/>
        <v>906362</v>
      </c>
      <c r="Q15" s="346">
        <f>Q9+Q14</f>
        <v>775335.38600000017</v>
      </c>
      <c r="R15" s="346">
        <f>R9+R14</f>
        <v>998045.33100000001</v>
      </c>
      <c r="S15" s="346">
        <f>S9+S14</f>
        <v>798465.92300000018</v>
      </c>
      <c r="T15" s="346">
        <f>T9+T14</f>
        <v>892381.52200000011</v>
      </c>
    </row>
    <row r="16" spans="1:20" ht="15" thickBot="1">
      <c r="A16" s="140" t="s">
        <v>588</v>
      </c>
      <c r="B16" s="138"/>
      <c r="C16" s="150">
        <f>SUM(C17:C20)</f>
        <v>-358002</v>
      </c>
      <c r="D16" s="150">
        <f t="shared" ref="D16:P16" si="3">SUM(D17:D20)</f>
        <v>-329778</v>
      </c>
      <c r="E16" s="150">
        <f t="shared" si="3"/>
        <v>-399688.82084</v>
      </c>
      <c r="F16" s="150">
        <f t="shared" si="3"/>
        <v>-543525.12888999993</v>
      </c>
      <c r="G16" s="150">
        <f t="shared" si="3"/>
        <v>-373009.01106999995</v>
      </c>
      <c r="H16" s="150">
        <f t="shared" si="3"/>
        <v>-389009</v>
      </c>
      <c r="I16" s="150">
        <f t="shared" si="3"/>
        <v>-658240</v>
      </c>
      <c r="J16" s="150">
        <f t="shared" si="3"/>
        <v>-696928</v>
      </c>
      <c r="K16" s="150">
        <f t="shared" si="3"/>
        <v>-360184</v>
      </c>
      <c r="L16" s="150">
        <f t="shared" si="3"/>
        <v>-459479</v>
      </c>
      <c r="M16" s="150">
        <f t="shared" si="3"/>
        <v>-551912</v>
      </c>
      <c r="N16" s="150">
        <f t="shared" si="3"/>
        <v>-569141</v>
      </c>
      <c r="O16" s="150">
        <f t="shared" si="3"/>
        <v>-512398</v>
      </c>
      <c r="P16" s="150">
        <f t="shared" si="3"/>
        <v>-596067</v>
      </c>
      <c r="Q16" s="346">
        <f>SUM(Q17:Q20)</f>
        <v>-488637.47600000002</v>
      </c>
      <c r="R16" s="346">
        <f>SUM(R17:R20)</f>
        <v>-636239.17799999996</v>
      </c>
      <c r="S16" s="346">
        <f>SUM(S17:S20)</f>
        <v>-465768.81800000003</v>
      </c>
      <c r="T16" s="346">
        <f>SUM(T17:T20)</f>
        <v>-557327.51300000004</v>
      </c>
    </row>
    <row r="17" spans="1:20">
      <c r="A17" s="137" t="s">
        <v>589</v>
      </c>
      <c r="B17" s="138"/>
      <c r="C17" s="149">
        <v>-276386</v>
      </c>
      <c r="D17" s="149">
        <v>-229981</v>
      </c>
      <c r="E17" s="149">
        <v>-246068.48750999998</v>
      </c>
      <c r="F17" s="149">
        <v>-346507.05471999996</v>
      </c>
      <c r="G17" s="149">
        <v>-230246.44381999999</v>
      </c>
      <c r="H17" s="149">
        <v>-310127</v>
      </c>
      <c r="I17" s="149">
        <v>-480361</v>
      </c>
      <c r="J17" s="149">
        <v>-496371</v>
      </c>
      <c r="K17" s="149">
        <v>-273839</v>
      </c>
      <c r="L17" s="149">
        <v>-307484</v>
      </c>
      <c r="M17" s="149">
        <v>-324027</v>
      </c>
      <c r="N17" s="149">
        <v>-323696</v>
      </c>
      <c r="O17" s="149">
        <v>-338177</v>
      </c>
      <c r="P17" s="149">
        <v>-327649</v>
      </c>
      <c r="Q17" s="344">
        <v>-345204.54</v>
      </c>
      <c r="R17" s="344">
        <v>-422144.86800000002</v>
      </c>
      <c r="S17" s="344">
        <v>-341208.87</v>
      </c>
      <c r="T17" s="344">
        <v>-368472.565</v>
      </c>
    </row>
    <row r="18" spans="1:20">
      <c r="A18" s="137" t="s">
        <v>590</v>
      </c>
      <c r="B18" s="138"/>
      <c r="C18" s="149">
        <v>-2934</v>
      </c>
      <c r="D18" s="149">
        <v>-3652</v>
      </c>
      <c r="E18" s="149">
        <v>-67587.033500000005</v>
      </c>
      <c r="F18" s="149">
        <v>-54539.183420000008</v>
      </c>
      <c r="G18" s="149">
        <v>-57529.258289999998</v>
      </c>
      <c r="H18" s="149">
        <v>-5530</v>
      </c>
      <c r="I18" s="149">
        <v>-47715</v>
      </c>
      <c r="J18" s="149">
        <v>-51351</v>
      </c>
      <c r="K18" s="149">
        <v>4654</v>
      </c>
      <c r="L18" s="149">
        <v>5063</v>
      </c>
      <c r="M18" s="149">
        <v>5370</v>
      </c>
      <c r="N18" s="149">
        <v>5551</v>
      </c>
      <c r="O18" s="149">
        <v>5547</v>
      </c>
      <c r="P18" s="149">
        <v>6593</v>
      </c>
      <c r="Q18" s="344">
        <v>6990.7730000000001</v>
      </c>
      <c r="R18" s="344">
        <v>6803.4219999999996</v>
      </c>
      <c r="S18" s="344">
        <v>7533.41</v>
      </c>
      <c r="T18" s="344">
        <v>7717.7690000000002</v>
      </c>
    </row>
    <row r="19" spans="1:20">
      <c r="A19" s="137" t="s">
        <v>591</v>
      </c>
      <c r="B19" s="138"/>
      <c r="C19" s="149">
        <v>-78682</v>
      </c>
      <c r="D19" s="149">
        <v>-96145</v>
      </c>
      <c r="E19" s="149">
        <v>-86033.299830000018</v>
      </c>
      <c r="F19" s="149">
        <v>-142478.89074999999</v>
      </c>
      <c r="G19" s="149">
        <v>-85233.308959999995</v>
      </c>
      <c r="H19" s="149">
        <v>-73352</v>
      </c>
      <c r="I19" s="149">
        <v>-130164</v>
      </c>
      <c r="J19" s="149">
        <v>-149206</v>
      </c>
      <c r="K19" s="149">
        <v>-90999</v>
      </c>
      <c r="L19" s="149">
        <v>-157058</v>
      </c>
      <c r="M19" s="149">
        <v>-233255</v>
      </c>
      <c r="N19" s="149">
        <v>-250996</v>
      </c>
      <c r="O19" s="149">
        <v>-179768</v>
      </c>
      <c r="P19" s="149">
        <v>-275011</v>
      </c>
      <c r="Q19" s="344">
        <v>-150423.709</v>
      </c>
      <c r="R19" s="344">
        <v>-220897.73199999999</v>
      </c>
      <c r="S19" s="344">
        <v>-132093.35800000001</v>
      </c>
      <c r="T19" s="344">
        <v>-196572.717</v>
      </c>
    </row>
    <row r="20" spans="1:20" ht="15" thickBot="1">
      <c r="A20" s="137" t="s">
        <v>592</v>
      </c>
      <c r="B20" s="138"/>
      <c r="C20" s="347">
        <v>0</v>
      </c>
      <c r="D20" s="347"/>
      <c r="E20" s="347"/>
      <c r="F20" s="347"/>
      <c r="G20" s="347"/>
      <c r="H20" s="347"/>
      <c r="I20" s="347"/>
      <c r="J20" s="347"/>
      <c r="K20" s="347"/>
      <c r="L20" s="347"/>
      <c r="M20" s="347"/>
      <c r="N20" s="347"/>
      <c r="O20" s="347"/>
      <c r="P20" s="347"/>
      <c r="Q20" s="348"/>
      <c r="R20" s="348"/>
      <c r="S20" s="348"/>
      <c r="T20" s="348"/>
    </row>
    <row r="21" spans="1:20" ht="15" thickBot="1">
      <c r="A21" s="140" t="s">
        <v>593</v>
      </c>
      <c r="B21" s="138"/>
      <c r="C21" s="150">
        <f>C15+C16</f>
        <v>169444</v>
      </c>
      <c r="D21" s="150">
        <f t="shared" ref="D21:P21" si="4">D15+D16</f>
        <v>155965</v>
      </c>
      <c r="E21" s="150">
        <f t="shared" si="4"/>
        <v>43234.518270000059</v>
      </c>
      <c r="F21" s="150">
        <f t="shared" si="4"/>
        <v>583849.22299000027</v>
      </c>
      <c r="G21" s="150">
        <f t="shared" si="4"/>
        <v>211718.93406000029</v>
      </c>
      <c r="H21" s="150">
        <f t="shared" si="4"/>
        <v>228398</v>
      </c>
      <c r="I21" s="150">
        <f t="shared" si="4"/>
        <v>240604</v>
      </c>
      <c r="J21" s="150">
        <f t="shared" si="4"/>
        <v>296521</v>
      </c>
      <c r="K21" s="150">
        <f t="shared" si="4"/>
        <v>227732</v>
      </c>
      <c r="L21" s="150">
        <f t="shared" si="4"/>
        <v>254771</v>
      </c>
      <c r="M21" s="150">
        <f t="shared" si="4"/>
        <v>245473</v>
      </c>
      <c r="N21" s="150">
        <f t="shared" si="4"/>
        <v>275119</v>
      </c>
      <c r="O21" s="150">
        <f t="shared" si="4"/>
        <v>266686</v>
      </c>
      <c r="P21" s="150">
        <f t="shared" si="4"/>
        <v>310295</v>
      </c>
      <c r="Q21" s="346">
        <f>Q15+Q16</f>
        <v>286697.91000000015</v>
      </c>
      <c r="R21" s="346">
        <f>R15+R16</f>
        <v>361806.15300000005</v>
      </c>
      <c r="S21" s="346">
        <f>S15+S16</f>
        <v>332697.10500000016</v>
      </c>
      <c r="T21" s="346">
        <f>T15+T16</f>
        <v>335054.00900000008</v>
      </c>
    </row>
    <row r="22" spans="1:20" ht="15" thickBot="1">
      <c r="A22" s="140" t="s">
        <v>594</v>
      </c>
      <c r="B22" s="138"/>
      <c r="C22" s="150">
        <f>SUM(C23:C28)</f>
        <v>-84735</v>
      </c>
      <c r="D22" s="150">
        <f t="shared" ref="D22:P22" si="5">SUM(D23:D28)</f>
        <v>-85862</v>
      </c>
      <c r="E22" s="150">
        <f t="shared" si="5"/>
        <v>-48267.139770000023</v>
      </c>
      <c r="F22" s="150">
        <f t="shared" si="5"/>
        <v>116382.61177000003</v>
      </c>
      <c r="G22" s="150">
        <f t="shared" si="5"/>
        <v>-82808.313840000032</v>
      </c>
      <c r="H22" s="150">
        <f t="shared" si="5"/>
        <v>-73145</v>
      </c>
      <c r="I22" s="150">
        <f t="shared" si="5"/>
        <v>-82333</v>
      </c>
      <c r="J22" s="150">
        <f t="shared" si="5"/>
        <v>31943</v>
      </c>
      <c r="K22" s="150">
        <f t="shared" si="5"/>
        <v>-97789</v>
      </c>
      <c r="L22" s="150">
        <f t="shared" si="5"/>
        <v>-131560</v>
      </c>
      <c r="M22" s="150">
        <f t="shared" si="5"/>
        <v>-97977</v>
      </c>
      <c r="N22" s="150">
        <f t="shared" si="5"/>
        <v>-152655</v>
      </c>
      <c r="O22" s="150">
        <f t="shared" si="5"/>
        <v>-117313</v>
      </c>
      <c r="P22" s="150">
        <f t="shared" si="5"/>
        <v>-99336</v>
      </c>
      <c r="Q22" s="346">
        <f>SUM(Q23:Q28)</f>
        <v>-106295.50599999999</v>
      </c>
      <c r="R22" s="346">
        <f>SUM(R23:R28)</f>
        <v>-122519.54100000001</v>
      </c>
      <c r="S22" s="346">
        <f>SUM(S23:S28)</f>
        <v>-129618.70299999999</v>
      </c>
      <c r="T22" s="346">
        <f>SUM(T23:T28)</f>
        <v>-116280.91</v>
      </c>
    </row>
    <row r="23" spans="1:20">
      <c r="A23" s="137" t="s">
        <v>595</v>
      </c>
      <c r="B23" s="138"/>
      <c r="C23" s="149">
        <v>-22099</v>
      </c>
      <c r="D23" s="149">
        <v>-16215</v>
      </c>
      <c r="E23" s="149">
        <v>-17441.666250000002</v>
      </c>
      <c r="F23" s="149">
        <v>-23486.863399999995</v>
      </c>
      <c r="G23" s="149">
        <v>-19264.449370000006</v>
      </c>
      <c r="H23" s="149">
        <v>-20971</v>
      </c>
      <c r="I23" s="149">
        <v>-18287</v>
      </c>
      <c r="J23" s="149">
        <v>-26730</v>
      </c>
      <c r="K23" s="149">
        <v>-20790</v>
      </c>
      <c r="L23" s="149">
        <v>-19836</v>
      </c>
      <c r="M23" s="149">
        <v>-18918</v>
      </c>
      <c r="N23" s="149">
        <v>-27362</v>
      </c>
      <c r="O23" s="149">
        <v>-21002</v>
      </c>
      <c r="P23" s="149">
        <v>-26005</v>
      </c>
      <c r="Q23" s="344">
        <v>-26372.278999999999</v>
      </c>
      <c r="R23" s="344">
        <v>-21781.154999999999</v>
      </c>
      <c r="S23" s="344">
        <v>-16599.655999999999</v>
      </c>
      <c r="T23" s="344">
        <v>-21539.103999999999</v>
      </c>
    </row>
    <row r="24" spans="1:20">
      <c r="A24" s="137" t="s">
        <v>596</v>
      </c>
      <c r="B24" s="138"/>
      <c r="C24" s="149">
        <v>-1147</v>
      </c>
      <c r="D24" s="149">
        <v>-769</v>
      </c>
      <c r="E24" s="149">
        <v>-1445.48669</v>
      </c>
      <c r="F24" s="149">
        <v>-1221.8397600000008</v>
      </c>
      <c r="G24" s="149">
        <v>-1200.5161400000002</v>
      </c>
      <c r="H24" s="149">
        <v>-1080</v>
      </c>
      <c r="I24" s="149">
        <v>-1119</v>
      </c>
      <c r="J24" s="149">
        <v>-6851</v>
      </c>
      <c r="K24" s="149">
        <v>-3636</v>
      </c>
      <c r="L24" s="149">
        <v>-3204</v>
      </c>
      <c r="M24" s="149">
        <v>-4557</v>
      </c>
      <c r="N24" s="149">
        <v>-4707</v>
      </c>
      <c r="O24" s="149">
        <v>-2491</v>
      </c>
      <c r="P24" s="149">
        <v>-3313</v>
      </c>
      <c r="Q24" s="344">
        <v>-1750.5350000000001</v>
      </c>
      <c r="R24" s="344">
        <v>-5308.9440000000004</v>
      </c>
      <c r="S24" s="344">
        <v>-2155.7379999999998</v>
      </c>
      <c r="T24" s="344">
        <v>-1976.944</v>
      </c>
    </row>
    <row r="25" spans="1:20">
      <c r="A25" s="137" t="s">
        <v>597</v>
      </c>
      <c r="B25" s="349"/>
      <c r="C25" s="149">
        <v>-39392</v>
      </c>
      <c r="D25" s="149">
        <v>-39328</v>
      </c>
      <c r="E25" s="149">
        <v>-37576.353559999989</v>
      </c>
      <c r="F25" s="149">
        <v>-46490.665720000005</v>
      </c>
      <c r="G25" s="149">
        <v>-48270.400170000023</v>
      </c>
      <c r="H25" s="149">
        <v>-48467</v>
      </c>
      <c r="I25" s="149">
        <v>-51260</v>
      </c>
      <c r="J25" s="149">
        <v>-63292</v>
      </c>
      <c r="K25" s="149">
        <v>-56857</v>
      </c>
      <c r="L25" s="149">
        <v>-61855</v>
      </c>
      <c r="M25" s="149">
        <v>-55602</v>
      </c>
      <c r="N25" s="149">
        <v>-72531</v>
      </c>
      <c r="O25" s="149">
        <v>-55653</v>
      </c>
      <c r="P25" s="149">
        <v>-46894</v>
      </c>
      <c r="Q25" s="344">
        <v>-56392.178</v>
      </c>
      <c r="R25" s="344">
        <v>-72605.02</v>
      </c>
      <c r="S25" s="344">
        <v>-71904.98</v>
      </c>
      <c r="T25" s="344">
        <v>-66198.767000000007</v>
      </c>
    </row>
    <row r="26" spans="1:20">
      <c r="A26" s="137" t="s">
        <v>598</v>
      </c>
      <c r="B26" s="138"/>
      <c r="C26" s="149">
        <v>-21698</v>
      </c>
      <c r="D26" s="149">
        <v>-24761</v>
      </c>
      <c r="E26" s="149">
        <v>9435.1906499999695</v>
      </c>
      <c r="F26" s="149">
        <v>27729.415180000029</v>
      </c>
      <c r="G26" s="149">
        <v>-10375.064949999996</v>
      </c>
      <c r="H26" s="149">
        <v>-2633</v>
      </c>
      <c r="I26" s="149">
        <v>-9488</v>
      </c>
      <c r="J26" s="149">
        <v>147363</v>
      </c>
      <c r="K26" s="149">
        <v>-13184</v>
      </c>
      <c r="L26" s="149">
        <v>-9981</v>
      </c>
      <c r="M26" s="149">
        <v>-13479</v>
      </c>
      <c r="N26" s="149">
        <v>-41011</v>
      </c>
      <c r="O26" s="149">
        <v>-20542</v>
      </c>
      <c r="P26" s="149">
        <v>-20048</v>
      </c>
      <c r="Q26" s="344">
        <v>-13261.737999999999</v>
      </c>
      <c r="R26" s="344">
        <v>-23432.255000000001</v>
      </c>
      <c r="S26" s="344">
        <v>-22921.847000000002</v>
      </c>
      <c r="T26" s="344">
        <v>-19417.113000000001</v>
      </c>
    </row>
    <row r="27" spans="1:20">
      <c r="A27" s="137" t="s">
        <v>59</v>
      </c>
      <c r="B27" s="138"/>
      <c r="C27" s="149">
        <v>-2129</v>
      </c>
      <c r="D27" s="149">
        <v>-1391</v>
      </c>
      <c r="E27" s="149">
        <v>-1499.1161500000003</v>
      </c>
      <c r="F27" s="149">
        <v>84.26237999999951</v>
      </c>
      <c r="G27" s="149">
        <v>-2068.4086499999999</v>
      </c>
      <c r="H27" s="149">
        <v>-1273</v>
      </c>
      <c r="I27" s="149">
        <v>-2222</v>
      </c>
      <c r="J27" s="149">
        <v>-1430</v>
      </c>
      <c r="K27" s="149">
        <v>-1730</v>
      </c>
      <c r="L27" s="149">
        <v>-1989</v>
      </c>
      <c r="M27" s="149">
        <v>-2682</v>
      </c>
      <c r="N27" s="149">
        <v>-2987</v>
      </c>
      <c r="O27" s="149">
        <v>-1750</v>
      </c>
      <c r="P27" s="149">
        <v>9496</v>
      </c>
      <c r="Q27" s="344">
        <v>-2150.2710000000002</v>
      </c>
      <c r="R27" s="344">
        <v>-5554.09</v>
      </c>
      <c r="S27" s="344">
        <v>-2506.5529999999999</v>
      </c>
      <c r="T27" s="344">
        <v>-2347.88</v>
      </c>
    </row>
    <row r="28" spans="1:20">
      <c r="A28" s="137" t="s">
        <v>599</v>
      </c>
      <c r="B28" s="137"/>
      <c r="C28" s="149">
        <v>1730</v>
      </c>
      <c r="D28" s="149">
        <v>-3398</v>
      </c>
      <c r="E28" s="149">
        <v>260.29223000000053</v>
      </c>
      <c r="F28" s="149">
        <v>159768.30309</v>
      </c>
      <c r="G28" s="149">
        <v>-1629.4745600000001</v>
      </c>
      <c r="H28" s="149">
        <v>1279</v>
      </c>
      <c r="I28" s="149">
        <v>43</v>
      </c>
      <c r="J28" s="149">
        <v>-17117</v>
      </c>
      <c r="K28" s="149">
        <v>-1592</v>
      </c>
      <c r="L28" s="149">
        <v>-34695</v>
      </c>
      <c r="M28" s="149">
        <v>-2739</v>
      </c>
      <c r="N28" s="149">
        <v>-4057</v>
      </c>
      <c r="O28" s="149">
        <v>-15875</v>
      </c>
      <c r="P28" s="149">
        <v>-12572</v>
      </c>
      <c r="Q28" s="344">
        <v>-6368.5050000000001</v>
      </c>
      <c r="R28" s="344">
        <v>6161.9229999999998</v>
      </c>
      <c r="S28" s="344">
        <v>-13529.929</v>
      </c>
      <c r="T28" s="344">
        <v>-4801.1019999999999</v>
      </c>
    </row>
    <row r="29" spans="1:20">
      <c r="A29" s="551" t="s">
        <v>529</v>
      </c>
      <c r="B29" s="339"/>
      <c r="C29" s="548">
        <f>C21+C22</f>
        <v>84709</v>
      </c>
      <c r="D29" s="548">
        <f t="shared" ref="D29:P29" si="6">D21+D22</f>
        <v>70103</v>
      </c>
      <c r="E29" s="548">
        <f t="shared" si="6"/>
        <v>-5032.6214999999647</v>
      </c>
      <c r="F29" s="548">
        <f t="shared" si="6"/>
        <v>700231.83476000035</v>
      </c>
      <c r="G29" s="548">
        <f t="shared" si="6"/>
        <v>128910.62022000026</v>
      </c>
      <c r="H29" s="548">
        <f t="shared" si="6"/>
        <v>155253</v>
      </c>
      <c r="I29" s="548">
        <f t="shared" si="6"/>
        <v>158271</v>
      </c>
      <c r="J29" s="548">
        <f t="shared" si="6"/>
        <v>328464</v>
      </c>
      <c r="K29" s="548">
        <f t="shared" si="6"/>
        <v>129943</v>
      </c>
      <c r="L29" s="548">
        <f t="shared" si="6"/>
        <v>123211</v>
      </c>
      <c r="M29" s="548">
        <f t="shared" si="6"/>
        <v>147496</v>
      </c>
      <c r="N29" s="548">
        <f t="shared" si="6"/>
        <v>122464</v>
      </c>
      <c r="O29" s="548">
        <f t="shared" si="6"/>
        <v>149373</v>
      </c>
      <c r="P29" s="548">
        <f t="shared" si="6"/>
        <v>210959</v>
      </c>
      <c r="Q29" s="560">
        <f>Q21+Q22</f>
        <v>180402.40400000016</v>
      </c>
      <c r="R29" s="560">
        <f>R21+R22</f>
        <v>239286.61200000002</v>
      </c>
      <c r="S29" s="560">
        <f>S21+S22</f>
        <v>203078.40200000018</v>
      </c>
      <c r="T29" s="560">
        <f>T21+T22</f>
        <v>218773.09900000007</v>
      </c>
    </row>
    <row r="30" spans="1:20" ht="15" thickBot="1">
      <c r="A30" s="137" t="s">
        <v>600</v>
      </c>
      <c r="B30" s="137"/>
      <c r="C30" s="149">
        <v>-22227</v>
      </c>
      <c r="D30" s="149">
        <v>-22656</v>
      </c>
      <c r="E30" s="149">
        <v>-21027.334939999997</v>
      </c>
      <c r="F30" s="149">
        <v>-79515.336040000009</v>
      </c>
      <c r="G30" s="149">
        <v>-22071.18519</v>
      </c>
      <c r="H30" s="149">
        <v>-23542</v>
      </c>
      <c r="I30" s="149">
        <v>35423</v>
      </c>
      <c r="J30" s="149">
        <v>-25423</v>
      </c>
      <c r="K30" s="149">
        <v>-22647</v>
      </c>
      <c r="L30" s="149">
        <v>-26968</v>
      </c>
      <c r="M30" s="149">
        <v>-26402</v>
      </c>
      <c r="N30" s="149">
        <v>-34908</v>
      </c>
      <c r="O30" s="149">
        <v>-22432</v>
      </c>
      <c r="P30" s="149">
        <v>-36272</v>
      </c>
      <c r="Q30" s="344">
        <v>-36706.370000000003</v>
      </c>
      <c r="R30" s="344">
        <v>-38066.555</v>
      </c>
      <c r="S30" s="344">
        <v>-38085.997000000003</v>
      </c>
      <c r="T30" s="344">
        <v>-41217.720999999998</v>
      </c>
    </row>
    <row r="31" spans="1:20" ht="15" thickBot="1">
      <c r="A31" s="140" t="s">
        <v>601</v>
      </c>
      <c r="B31" s="137"/>
      <c r="C31" s="150">
        <v>62481.999999999942</v>
      </c>
      <c r="D31" s="150">
        <v>47447</v>
      </c>
      <c r="E31" s="150">
        <v>-26059.956439999962</v>
      </c>
      <c r="F31" s="150">
        <v>620713.49872000038</v>
      </c>
      <c r="G31" s="150">
        <v>106839.43503000026</v>
      </c>
      <c r="H31" s="150">
        <v>131711</v>
      </c>
      <c r="I31" s="150">
        <v>193694</v>
      </c>
      <c r="J31" s="150">
        <v>303040</v>
      </c>
      <c r="K31" s="150">
        <v>107296</v>
      </c>
      <c r="L31" s="141">
        <f t="shared" ref="L31:Q31" si="7">SUM(L29:L30)</f>
        <v>96243</v>
      </c>
      <c r="M31" s="141">
        <f t="shared" si="7"/>
        <v>121094</v>
      </c>
      <c r="N31" s="141">
        <f t="shared" si="7"/>
        <v>87556</v>
      </c>
      <c r="O31" s="141">
        <f t="shared" si="7"/>
        <v>126941</v>
      </c>
      <c r="P31" s="141">
        <f t="shared" si="7"/>
        <v>174687</v>
      </c>
      <c r="Q31" s="141">
        <f t="shared" si="7"/>
        <v>143696.03400000016</v>
      </c>
      <c r="R31" s="141">
        <f t="shared" ref="R31:S31" si="8">SUM(R29:R30)</f>
        <v>201220.05700000003</v>
      </c>
      <c r="S31" s="141">
        <f t="shared" si="8"/>
        <v>164992.40500000017</v>
      </c>
      <c r="T31" s="141">
        <f t="shared" ref="T31" si="9">SUM(T29:T30)</f>
        <v>177555.37800000008</v>
      </c>
    </row>
    <row r="32" spans="1:20" ht="15" thickBot="1">
      <c r="A32" s="140" t="s">
        <v>531</v>
      </c>
      <c r="B32" s="137"/>
      <c r="C32" s="350">
        <v>-36940.999999999985</v>
      </c>
      <c r="D32" s="350">
        <v>-27497</v>
      </c>
      <c r="E32" s="350">
        <v>-3476.2896099999925</v>
      </c>
      <c r="F32" s="350">
        <v>12779.505839999987</v>
      </c>
      <c r="G32" s="350">
        <v>-16594.275810000006</v>
      </c>
      <c r="H32" s="350">
        <v>-16182</v>
      </c>
      <c r="I32" s="350">
        <v>-24520</v>
      </c>
      <c r="J32" s="350">
        <v>-46950</v>
      </c>
      <c r="K32" s="350">
        <v>-36488</v>
      </c>
      <c r="L32" s="351">
        <f t="shared" ref="L32:Q32" si="10">L33+L34</f>
        <v>-64616</v>
      </c>
      <c r="M32" s="351">
        <f t="shared" si="10"/>
        <v>-32234</v>
      </c>
      <c r="N32" s="351">
        <f t="shared" si="10"/>
        <v>-24247</v>
      </c>
      <c r="O32" s="351">
        <f t="shared" si="10"/>
        <v>-94133</v>
      </c>
      <c r="P32" s="351">
        <f t="shared" si="10"/>
        <v>-87608</v>
      </c>
      <c r="Q32" s="351">
        <f t="shared" si="10"/>
        <v>-69128.52</v>
      </c>
      <c r="R32" s="351">
        <f t="shared" ref="R32:S32" si="11">R33+R34</f>
        <v>-101887.352</v>
      </c>
      <c r="S32" s="351">
        <f t="shared" si="11"/>
        <v>-90055.517999999996</v>
      </c>
      <c r="T32" s="351">
        <f t="shared" ref="T32" si="12">T33+T34</f>
        <v>-78208.902999999991</v>
      </c>
    </row>
    <row r="33" spans="1:20">
      <c r="A33" s="137" t="s">
        <v>532</v>
      </c>
      <c r="B33" s="137"/>
      <c r="C33" s="149">
        <v>122854</v>
      </c>
      <c r="D33" s="149">
        <v>52584</v>
      </c>
      <c r="E33" s="149">
        <v>53727.691850000003</v>
      </c>
      <c r="F33" s="149">
        <v>7376.4172299999955</v>
      </c>
      <c r="G33" s="149">
        <v>93568.579899999997</v>
      </c>
      <c r="H33" s="149">
        <v>58389</v>
      </c>
      <c r="I33" s="149">
        <v>145826</v>
      </c>
      <c r="J33" s="149">
        <v>65218</v>
      </c>
      <c r="K33" s="149">
        <v>226126</v>
      </c>
      <c r="L33" s="149">
        <v>172375</v>
      </c>
      <c r="M33" s="149">
        <v>71253</v>
      </c>
      <c r="N33" s="149">
        <v>95734</v>
      </c>
      <c r="O33" s="149">
        <v>127592</v>
      </c>
      <c r="P33" s="149">
        <v>128461</v>
      </c>
      <c r="Q33" s="344">
        <v>99520.966</v>
      </c>
      <c r="R33" s="344">
        <v>71668.153000000006</v>
      </c>
      <c r="S33" s="344">
        <v>106781.001</v>
      </c>
      <c r="T33" s="344">
        <v>101811.726</v>
      </c>
    </row>
    <row r="34" spans="1:20" ht="15" thickBot="1">
      <c r="A34" s="137" t="s">
        <v>541</v>
      </c>
      <c r="B34" s="137"/>
      <c r="C34" s="149">
        <v>-159795</v>
      </c>
      <c r="D34" s="149">
        <v>-80081</v>
      </c>
      <c r="E34" s="149">
        <v>-57203.981459999995</v>
      </c>
      <c r="F34" s="149">
        <v>5403.0886099999925</v>
      </c>
      <c r="G34" s="149">
        <v>-110162.85571</v>
      </c>
      <c r="H34" s="149">
        <v>-74571</v>
      </c>
      <c r="I34" s="149">
        <v>-170346</v>
      </c>
      <c r="J34" s="149">
        <v>-112168</v>
      </c>
      <c r="K34" s="149">
        <v>-262614</v>
      </c>
      <c r="L34" s="149">
        <v>-236991</v>
      </c>
      <c r="M34" s="149">
        <v>-103487</v>
      </c>
      <c r="N34" s="149">
        <v>-119981</v>
      </c>
      <c r="O34" s="149">
        <v>-221725</v>
      </c>
      <c r="P34" s="149">
        <v>-216069</v>
      </c>
      <c r="Q34" s="344">
        <v>-168649.486</v>
      </c>
      <c r="R34" s="344">
        <v>-173555.505</v>
      </c>
      <c r="S34" s="344">
        <v>-196836.519</v>
      </c>
      <c r="T34" s="344">
        <v>-180020.62899999999</v>
      </c>
    </row>
    <row r="35" spans="1:20" ht="15" thickBot="1">
      <c r="A35" s="140" t="s">
        <v>602</v>
      </c>
      <c r="B35" s="137"/>
      <c r="C35" s="150">
        <v>25540.999999999953</v>
      </c>
      <c r="D35" s="150">
        <v>19950</v>
      </c>
      <c r="E35" s="150">
        <v>-29536.246049999954</v>
      </c>
      <c r="F35" s="150">
        <v>633493.00456000038</v>
      </c>
      <c r="G35" s="150">
        <v>90244.159220000249</v>
      </c>
      <c r="H35" s="150">
        <v>115529</v>
      </c>
      <c r="I35" s="150">
        <v>169174</v>
      </c>
      <c r="J35" s="150">
        <v>256090</v>
      </c>
      <c r="K35" s="150">
        <v>70808</v>
      </c>
      <c r="L35" s="141">
        <f t="shared" ref="L35:R35" si="13">L31+L32</f>
        <v>31627</v>
      </c>
      <c r="M35" s="141">
        <f t="shared" si="13"/>
        <v>88860</v>
      </c>
      <c r="N35" s="141">
        <f t="shared" si="13"/>
        <v>63309</v>
      </c>
      <c r="O35" s="141">
        <f t="shared" si="13"/>
        <v>32808</v>
      </c>
      <c r="P35" s="141">
        <f t="shared" si="13"/>
        <v>87079</v>
      </c>
      <c r="Q35" s="141">
        <f t="shared" si="13"/>
        <v>74567.514000000156</v>
      </c>
      <c r="R35" s="141">
        <f t="shared" si="13"/>
        <v>99332.705000000031</v>
      </c>
      <c r="S35" s="141">
        <f t="shared" ref="S35:T35" si="14">S31+S32</f>
        <v>74936.887000000177</v>
      </c>
      <c r="T35" s="141">
        <f t="shared" si="14"/>
        <v>99346.475000000093</v>
      </c>
    </row>
    <row r="36" spans="1:20">
      <c r="A36" s="137" t="s">
        <v>553</v>
      </c>
      <c r="B36" s="137"/>
      <c r="C36" s="149">
        <v>0</v>
      </c>
      <c r="D36" s="149"/>
      <c r="E36" s="149"/>
      <c r="F36" s="149">
        <v>-27655.668160000001</v>
      </c>
      <c r="G36" s="149">
        <v>-2178.4914399999998</v>
      </c>
      <c r="H36" s="149">
        <v>-9553</v>
      </c>
      <c r="I36" s="149">
        <v>-5589</v>
      </c>
      <c r="J36" s="149">
        <v>301</v>
      </c>
      <c r="K36" s="149">
        <v>-10609</v>
      </c>
      <c r="L36" s="149">
        <v>-2739</v>
      </c>
      <c r="M36" s="149">
        <v>-5344</v>
      </c>
      <c r="N36" s="149">
        <v>-3857</v>
      </c>
      <c r="O36" s="149">
        <v>-4491</v>
      </c>
      <c r="P36" s="149">
        <v>-6640</v>
      </c>
      <c r="Q36" s="344">
        <v>-4866.9930000000004</v>
      </c>
      <c r="R36" s="344">
        <v>-3075.3389999999999</v>
      </c>
      <c r="S36" s="344">
        <v>-4784.9080000000004</v>
      </c>
      <c r="T36" s="344">
        <v>740.55100000000004</v>
      </c>
    </row>
    <row r="37" spans="1:20">
      <c r="A37" s="137" t="s">
        <v>554</v>
      </c>
      <c r="B37" s="137"/>
      <c r="C37" s="149">
        <v>0</v>
      </c>
      <c r="D37" s="149"/>
      <c r="E37" s="149"/>
      <c r="F37" s="149">
        <v>-98495.396209999992</v>
      </c>
      <c r="G37" s="149">
        <v>-8493.0087199999998</v>
      </c>
      <c r="H37" s="149">
        <v>-26715</v>
      </c>
      <c r="I37" s="149">
        <v>-22107</v>
      </c>
      <c r="J37" s="149">
        <v>670</v>
      </c>
      <c r="K37" s="149">
        <v>-29620</v>
      </c>
      <c r="L37" s="149">
        <v>-7575</v>
      </c>
      <c r="M37" s="149">
        <v>-15209</v>
      </c>
      <c r="N37" s="149">
        <v>-11148</v>
      </c>
      <c r="O37" s="149">
        <v>-12586</v>
      </c>
      <c r="P37" s="149">
        <v>-18636</v>
      </c>
      <c r="Q37" s="344">
        <v>-13701.191999999999</v>
      </c>
      <c r="R37" s="344">
        <v>-14208.566000000001</v>
      </c>
      <c r="S37" s="344">
        <v>-15678.723</v>
      </c>
      <c r="T37" s="344">
        <v>-576.75300000000004</v>
      </c>
    </row>
    <row r="38" spans="1:20">
      <c r="A38" s="137" t="s">
        <v>603</v>
      </c>
      <c r="B38" s="137"/>
      <c r="C38" s="149">
        <v>0</v>
      </c>
      <c r="D38" s="149"/>
      <c r="E38" s="149"/>
      <c r="F38" s="149">
        <v>-2395.76073</v>
      </c>
      <c r="G38" s="149">
        <v>-19876.762139999999</v>
      </c>
      <c r="H38" s="149">
        <v>13076</v>
      </c>
      <c r="I38" s="149">
        <v>487885</v>
      </c>
      <c r="J38" s="149">
        <v>-83093</v>
      </c>
      <c r="K38" s="149">
        <v>24070</v>
      </c>
      <c r="L38" s="149">
        <v>-9039</v>
      </c>
      <c r="M38" s="149">
        <v>-10603</v>
      </c>
      <c r="N38" s="149">
        <v>268</v>
      </c>
      <c r="O38" s="149">
        <v>4639</v>
      </c>
      <c r="P38" s="149">
        <v>-4953</v>
      </c>
      <c r="Q38" s="344">
        <v>-7200.9589999999998</v>
      </c>
      <c r="R38" s="344">
        <v>-11271.21</v>
      </c>
      <c r="S38" s="344">
        <v>-5336.0259999999998</v>
      </c>
      <c r="T38" s="344">
        <v>-34069.89</v>
      </c>
    </row>
    <row r="39" spans="1:20" ht="15" thickBot="1">
      <c r="A39" s="137" t="s">
        <v>555</v>
      </c>
      <c r="B39" s="137"/>
      <c r="C39" s="149">
        <v>0</v>
      </c>
      <c r="D39" s="149"/>
      <c r="E39" s="149"/>
      <c r="F39" s="149">
        <v>98495.396209999992</v>
      </c>
      <c r="G39" s="149">
        <v>8493.0087199999998</v>
      </c>
      <c r="H39" s="149">
        <v>20220</v>
      </c>
      <c r="I39" s="149">
        <v>22107</v>
      </c>
      <c r="J39" s="149">
        <v>2877</v>
      </c>
      <c r="K39" s="149">
        <v>12873</v>
      </c>
      <c r="L39" s="149">
        <v>7485</v>
      </c>
      <c r="M39" s="149">
        <v>14071</v>
      </c>
      <c r="N39" s="149">
        <v>17630</v>
      </c>
      <c r="O39" s="149">
        <v>8602</v>
      </c>
      <c r="P39" s="149">
        <v>16705</v>
      </c>
      <c r="Q39" s="344">
        <v>13087.92</v>
      </c>
      <c r="R39" s="344">
        <v>19577.245999999999</v>
      </c>
      <c r="S39" s="344">
        <v>15678.723</v>
      </c>
      <c r="T39" s="344">
        <v>576.75300000000004</v>
      </c>
    </row>
    <row r="40" spans="1:20" ht="15" thickBot="1">
      <c r="A40" s="140" t="s">
        <v>604</v>
      </c>
      <c r="B40" s="137"/>
      <c r="C40" s="352">
        <v>25540.999999999953</v>
      </c>
      <c r="D40" s="352">
        <v>19950</v>
      </c>
      <c r="E40" s="352">
        <v>-29536.246049999954</v>
      </c>
      <c r="F40" s="352">
        <v>603441.5756700004</v>
      </c>
      <c r="G40" s="352">
        <v>68188.905640000259</v>
      </c>
      <c r="H40" s="352">
        <v>112557</v>
      </c>
      <c r="I40" s="352">
        <v>651470</v>
      </c>
      <c r="J40" s="352">
        <v>176845</v>
      </c>
      <c r="K40" s="352">
        <v>67522</v>
      </c>
      <c r="L40" s="353">
        <f t="shared" ref="L40:R40" si="15">SUM(L35:L39)</f>
        <v>19759</v>
      </c>
      <c r="M40" s="353">
        <f t="shared" si="15"/>
        <v>71775</v>
      </c>
      <c r="N40" s="353">
        <f t="shared" si="15"/>
        <v>66202</v>
      </c>
      <c r="O40" s="353">
        <f t="shared" si="15"/>
        <v>28972</v>
      </c>
      <c r="P40" s="353">
        <f t="shared" si="15"/>
        <v>73555</v>
      </c>
      <c r="Q40" s="353">
        <f t="shared" si="15"/>
        <v>61886.290000000154</v>
      </c>
      <c r="R40" s="353">
        <f t="shared" si="15"/>
        <v>90354.836000000025</v>
      </c>
      <c r="S40" s="353">
        <f t="shared" ref="S40:T40" si="16">SUM(S35:S39)</f>
        <v>64815.953000000183</v>
      </c>
      <c r="T40" s="353">
        <f t="shared" si="16"/>
        <v>66017.1360000001</v>
      </c>
    </row>
  </sheetData>
  <pageMargins left="0.511811024" right="0.511811024" top="0.78740157499999996" bottom="0.78740157499999996" header="0.31496062000000002" footer="0.31496062000000002"/>
  <ignoredErrors>
    <ignoredError sqref="K9:S9" formulaRange="1"/>
  </ignoredError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9" tint="0.79998168889431442"/>
  </sheetPr>
  <dimension ref="A6:XFD42"/>
  <sheetViews>
    <sheetView zoomScaleNormal="100" workbookViewId="0">
      <pane xSplit="1" ySplit="8" topLeftCell="B9" activePane="bottomRight" state="frozen"/>
      <selection pane="topRight" activeCell="AN17" sqref="AN17"/>
      <selection pane="bottomLeft" activeCell="AN17" sqref="AN17"/>
      <selection pane="bottomRight" activeCell="AB36" sqref="AB36"/>
    </sheetView>
  </sheetViews>
  <sheetFormatPr defaultColWidth="9.1796875" defaultRowHeight="14.5" outlineLevelCol="1"/>
  <cols>
    <col min="1" max="1" width="44.453125" style="37" bestFit="1" customWidth="1"/>
    <col min="2" max="2" width="0.81640625" style="37" customWidth="1"/>
    <col min="3" max="9" width="0" style="37" hidden="1" customWidth="1" outlineLevel="1"/>
    <col min="10" max="18" width="9.54296875" style="37" hidden="1" customWidth="1" outlineLevel="1"/>
    <col min="19" max="19" width="9.54296875" style="37" bestFit="1" customWidth="1" collapsed="1"/>
    <col min="20" max="23" width="9.54296875" style="37" bestFit="1" customWidth="1"/>
    <col min="24" max="28" width="9.54296875" style="37" customWidth="1"/>
    <col min="29" max="16384" width="9.1796875" style="37"/>
  </cols>
  <sheetData>
    <row r="6" spans="1:28 16384:16384" ht="15" customHeight="1"/>
    <row r="7" spans="1:28 16384:16384">
      <c r="A7" s="41" t="s">
        <v>611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</row>
    <row r="8" spans="1:28 16384:16384" ht="15" thickBot="1">
      <c r="A8" s="544" t="s">
        <v>585</v>
      </c>
      <c r="B8" s="134"/>
      <c r="C8" s="546" t="s">
        <v>29</v>
      </c>
      <c r="D8" s="546" t="s">
        <v>30</v>
      </c>
      <c r="E8" s="546" t="s">
        <v>31</v>
      </c>
      <c r="F8" s="546" t="s">
        <v>32</v>
      </c>
      <c r="G8" s="546" t="s">
        <v>33</v>
      </c>
      <c r="H8" s="546" t="s">
        <v>34</v>
      </c>
      <c r="I8" s="546" t="s">
        <v>35</v>
      </c>
      <c r="J8" s="546" t="s">
        <v>36</v>
      </c>
      <c r="K8" s="546" t="s">
        <v>37</v>
      </c>
      <c r="L8" s="546" t="s">
        <v>38</v>
      </c>
      <c r="M8" s="546" t="s">
        <v>39</v>
      </c>
      <c r="N8" s="546" t="s">
        <v>40</v>
      </c>
      <c r="O8" s="546" t="s">
        <v>41</v>
      </c>
      <c r="P8" s="546" t="s">
        <v>42</v>
      </c>
      <c r="Q8" s="546" t="s">
        <v>43</v>
      </c>
      <c r="R8" s="546" t="s">
        <v>44</v>
      </c>
      <c r="S8" s="546" t="s">
        <v>45</v>
      </c>
      <c r="T8" s="546" t="s">
        <v>46</v>
      </c>
      <c r="U8" s="546" t="s">
        <v>47</v>
      </c>
      <c r="V8" s="546" t="s">
        <v>48</v>
      </c>
      <c r="W8" s="546" t="s">
        <v>49</v>
      </c>
      <c r="X8" s="546" t="s">
        <v>50</v>
      </c>
      <c r="Y8" s="556" t="s">
        <v>51</v>
      </c>
      <c r="Z8" s="556" t="s">
        <v>52</v>
      </c>
      <c r="AA8" s="556" t="s">
        <v>53</v>
      </c>
      <c r="AB8" s="556" t="s">
        <v>54</v>
      </c>
    </row>
    <row r="9" spans="1:28 16384:16384" ht="15" thickBot="1">
      <c r="A9" s="140" t="s">
        <v>465</v>
      </c>
      <c r="B9" s="137"/>
      <c r="C9" s="150">
        <v>658504.35782999895</v>
      </c>
      <c r="D9" s="150">
        <v>1194048.8258400003</v>
      </c>
      <c r="E9" s="150">
        <v>483702.55047000002</v>
      </c>
      <c r="F9" s="150">
        <v>648928.2197299999</v>
      </c>
      <c r="G9" s="150">
        <v>989363.23823000002</v>
      </c>
      <c r="H9" s="150">
        <v>464584</v>
      </c>
      <c r="I9" s="150">
        <v>651564.87428999913</v>
      </c>
      <c r="J9" s="150">
        <v>839076.42932000011</v>
      </c>
      <c r="K9" s="150">
        <v>677030</v>
      </c>
      <c r="L9" s="150">
        <v>597654</v>
      </c>
      <c r="M9" s="150">
        <v>695476.29278999998</v>
      </c>
      <c r="N9" s="150">
        <v>882601.28911999974</v>
      </c>
      <c r="O9" s="150">
        <v>801305.63902</v>
      </c>
      <c r="P9" s="150">
        <v>889387</v>
      </c>
      <c r="Q9" s="150">
        <v>979603</v>
      </c>
      <c r="R9" s="150">
        <v>1152906</v>
      </c>
      <c r="S9" s="150">
        <v>912420</v>
      </c>
      <c r="T9" s="141">
        <f t="shared" ref="T9:Z9" si="0">SUM(T10:T13)</f>
        <v>952571</v>
      </c>
      <c r="U9" s="141">
        <f t="shared" si="0"/>
        <v>852853</v>
      </c>
      <c r="V9" s="141">
        <f t="shared" si="0"/>
        <v>984204</v>
      </c>
      <c r="W9" s="141">
        <f t="shared" si="0"/>
        <v>965315</v>
      </c>
      <c r="X9" s="141">
        <f t="shared" si="0"/>
        <v>1016584</v>
      </c>
      <c r="Y9" s="141">
        <f t="shared" si="0"/>
        <v>1079422.6300000001</v>
      </c>
      <c r="Z9" s="141">
        <f t="shared" si="0"/>
        <v>1233286.7950000002</v>
      </c>
      <c r="AA9" s="141">
        <f t="shared" ref="AA9:AB9" si="1">SUM(AA10:AA13)</f>
        <v>1068098.9069999999</v>
      </c>
      <c r="AB9" s="141">
        <f t="shared" si="1"/>
        <v>1077693.1809999999</v>
      </c>
      <c r="XFD9" s="141"/>
    </row>
    <row r="10" spans="1:28 16384:16384">
      <c r="A10" s="137" t="s">
        <v>586</v>
      </c>
      <c r="B10" s="137"/>
      <c r="C10" s="149">
        <v>605768.423669999</v>
      </c>
      <c r="D10" s="149">
        <v>1130371.2183900001</v>
      </c>
      <c r="E10" s="149">
        <v>395036.00101999997</v>
      </c>
      <c r="F10" s="149">
        <v>574280.57511999994</v>
      </c>
      <c r="G10" s="149">
        <v>994324.48768000002</v>
      </c>
      <c r="H10" s="149">
        <v>241757</v>
      </c>
      <c r="I10" s="149">
        <v>484588.5172499991</v>
      </c>
      <c r="J10" s="149">
        <v>713697.48256999999</v>
      </c>
      <c r="K10" s="149">
        <v>610328</v>
      </c>
      <c r="L10" s="149">
        <v>523778</v>
      </c>
      <c r="M10" s="149">
        <v>629074.17027999996</v>
      </c>
      <c r="N10" s="149">
        <v>718179.45228999993</v>
      </c>
      <c r="O10" s="149">
        <v>710148.23576000007</v>
      </c>
      <c r="P10" s="149">
        <v>733069</v>
      </c>
      <c r="Q10" s="149">
        <v>759578</v>
      </c>
      <c r="R10" s="149">
        <v>944395</v>
      </c>
      <c r="S10" s="149">
        <v>770238</v>
      </c>
      <c r="T10" s="149">
        <v>762688</v>
      </c>
      <c r="U10" s="149">
        <v>667352</v>
      </c>
      <c r="V10" s="149">
        <v>773358</v>
      </c>
      <c r="W10" s="149">
        <v>777512</v>
      </c>
      <c r="X10" s="149">
        <v>773463</v>
      </c>
      <c r="Y10" s="344">
        <v>814701.29</v>
      </c>
      <c r="Z10" s="344">
        <v>888316.57299999997</v>
      </c>
      <c r="AA10" s="344">
        <v>867868.86499999999</v>
      </c>
      <c r="AB10" s="344">
        <v>856200.22499999998</v>
      </c>
    </row>
    <row r="11" spans="1:28 16384:16384">
      <c r="A11" s="137" t="s">
        <v>468</v>
      </c>
      <c r="B11" s="137"/>
      <c r="C11" s="149">
        <v>22630.013510000001</v>
      </c>
      <c r="D11" s="149">
        <v>25294.715330000003</v>
      </c>
      <c r="E11" s="149">
        <v>64660.715029999999</v>
      </c>
      <c r="F11" s="149">
        <v>3102.7981299999951</v>
      </c>
      <c r="G11" s="149">
        <v>-861.60133000000019</v>
      </c>
      <c r="H11" s="149">
        <v>1245</v>
      </c>
      <c r="I11" s="149">
        <v>32291.673749999994</v>
      </c>
      <c r="J11" s="149">
        <v>11301.527160000005</v>
      </c>
      <c r="K11" s="149">
        <v>2283</v>
      </c>
      <c r="L11" s="149">
        <v>3146</v>
      </c>
      <c r="M11" s="149">
        <v>12421.68218</v>
      </c>
      <c r="N11" s="149">
        <v>5284.8238499999989</v>
      </c>
      <c r="O11" s="149">
        <v>2728.1345500000002</v>
      </c>
      <c r="P11" s="149">
        <v>24387</v>
      </c>
      <c r="Q11" s="149">
        <v>78418</v>
      </c>
      <c r="R11" s="149">
        <v>52354</v>
      </c>
      <c r="S11" s="149">
        <v>13455</v>
      </c>
      <c r="T11" s="149">
        <v>15871</v>
      </c>
      <c r="U11" s="149">
        <v>28246</v>
      </c>
      <c r="V11" s="149">
        <v>19283</v>
      </c>
      <c r="W11" s="149">
        <v>4076</v>
      </c>
      <c r="X11" s="149">
        <v>4988</v>
      </c>
      <c r="Y11" s="344">
        <v>16118.569</v>
      </c>
      <c r="Z11" s="344">
        <v>10577.299000000001</v>
      </c>
      <c r="AA11" s="344">
        <v>2455.0100000000002</v>
      </c>
      <c r="AB11" s="344">
        <v>4626.835</v>
      </c>
    </row>
    <row r="12" spans="1:28 16384:16384">
      <c r="A12" s="137" t="s">
        <v>470</v>
      </c>
      <c r="B12" s="137"/>
      <c r="C12" s="149">
        <v>17311.015910000002</v>
      </c>
      <c r="D12" s="149">
        <v>29989.639629999998</v>
      </c>
      <c r="E12" s="149">
        <v>23352.921350000001</v>
      </c>
      <c r="F12" s="149">
        <v>56074.082629999997</v>
      </c>
      <c r="G12" s="149">
        <v>-8189.204099999999</v>
      </c>
      <c r="H12" s="149">
        <v>18702</v>
      </c>
      <c r="I12" s="149">
        <v>74437.803520000001</v>
      </c>
      <c r="J12" s="149">
        <v>86162.329489999989</v>
      </c>
      <c r="K12" s="149">
        <v>34374</v>
      </c>
      <c r="L12" s="149">
        <v>44709</v>
      </c>
      <c r="M12" s="149">
        <v>17550.876029999999</v>
      </c>
      <c r="N12" s="149">
        <v>101661.91868999998</v>
      </c>
      <c r="O12" s="149">
        <v>49428.803540000001</v>
      </c>
      <c r="P12" s="149">
        <v>58661</v>
      </c>
      <c r="Q12" s="149">
        <v>83179</v>
      </c>
      <c r="R12" s="149">
        <v>103102</v>
      </c>
      <c r="S12" s="149">
        <v>70196</v>
      </c>
      <c r="T12" s="149">
        <v>104488</v>
      </c>
      <c r="U12" s="149">
        <v>109945</v>
      </c>
      <c r="V12" s="149">
        <v>141485</v>
      </c>
      <c r="W12" s="149">
        <v>120198</v>
      </c>
      <c r="X12" s="149">
        <v>168203</v>
      </c>
      <c r="Y12" s="344">
        <v>165968.27799999999</v>
      </c>
      <c r="Z12" s="344">
        <v>216637.40400000001</v>
      </c>
      <c r="AA12" s="344">
        <v>99137.346999999994</v>
      </c>
      <c r="AB12" s="344">
        <v>131567.91399999999</v>
      </c>
    </row>
    <row r="13" spans="1:28 16384:16384" ht="15" thickBot="1">
      <c r="A13" s="137" t="s">
        <v>474</v>
      </c>
      <c r="B13" s="137"/>
      <c r="C13" s="149">
        <v>12794.904739999998</v>
      </c>
      <c r="D13" s="149">
        <v>8393.2524899999989</v>
      </c>
      <c r="E13" s="149">
        <v>652.91307000000211</v>
      </c>
      <c r="F13" s="149">
        <v>15470.763849999998</v>
      </c>
      <c r="G13" s="149">
        <v>4089.5559799999992</v>
      </c>
      <c r="H13" s="149">
        <v>202880</v>
      </c>
      <c r="I13" s="149">
        <v>60246.879769999992</v>
      </c>
      <c r="J13" s="149">
        <v>27916.120100000036</v>
      </c>
      <c r="K13" s="149">
        <v>30045</v>
      </c>
      <c r="L13" s="149">
        <v>26021</v>
      </c>
      <c r="M13" s="149">
        <v>36429.564299999955</v>
      </c>
      <c r="N13" s="149">
        <v>57475.094289999834</v>
      </c>
      <c r="O13" s="149">
        <v>39000.465169999996</v>
      </c>
      <c r="P13" s="149">
        <v>73270</v>
      </c>
      <c r="Q13" s="149">
        <v>58428</v>
      </c>
      <c r="R13" s="149">
        <v>53055</v>
      </c>
      <c r="S13" s="149">
        <v>58531</v>
      </c>
      <c r="T13" s="149">
        <v>69524</v>
      </c>
      <c r="U13" s="149">
        <v>47310</v>
      </c>
      <c r="V13" s="149">
        <v>50078</v>
      </c>
      <c r="W13" s="149">
        <v>63529</v>
      </c>
      <c r="X13" s="149">
        <v>69930</v>
      </c>
      <c r="Y13" s="344">
        <v>82634.493000000002</v>
      </c>
      <c r="Z13" s="344">
        <v>117755.519</v>
      </c>
      <c r="AA13" s="344">
        <v>98637.684999999998</v>
      </c>
      <c r="AB13" s="344">
        <v>85298.206999999995</v>
      </c>
    </row>
    <row r="14" spans="1:28 16384:16384" ht="15" thickBot="1">
      <c r="A14" s="140" t="s">
        <v>587</v>
      </c>
      <c r="B14" s="137"/>
      <c r="C14" s="150">
        <v>-210301.68807999993</v>
      </c>
      <c r="D14" s="150">
        <v>-268008.81332000002</v>
      </c>
      <c r="E14" s="150">
        <v>-200739.51961999995</v>
      </c>
      <c r="F14" s="150">
        <v>-255259.57867000005</v>
      </c>
      <c r="G14" s="150">
        <v>-263931.00686999998</v>
      </c>
      <c r="H14" s="150">
        <v>-116540</v>
      </c>
      <c r="I14" s="150">
        <v>-201461.49237000011</v>
      </c>
      <c r="J14" s="150">
        <v>-194988.50759000005</v>
      </c>
      <c r="K14" s="150">
        <v>-218149</v>
      </c>
      <c r="L14" s="150">
        <v>-178340</v>
      </c>
      <c r="M14" s="150">
        <v>-155935.12738999998</v>
      </c>
      <c r="N14" s="150">
        <v>-177405.69899</v>
      </c>
      <c r="O14" s="150">
        <v>-231437.65985</v>
      </c>
      <c r="P14" s="150">
        <v>-254917</v>
      </c>
      <c r="Q14" s="150">
        <v>-260256</v>
      </c>
      <c r="R14" s="150">
        <v>-320251</v>
      </c>
      <c r="S14" s="150">
        <v>-330329</v>
      </c>
      <c r="T14" s="150">
        <v>-330690</v>
      </c>
      <c r="U14" s="150">
        <v>-229641</v>
      </c>
      <c r="V14" s="150">
        <v>-255069</v>
      </c>
      <c r="W14" s="150">
        <v>-262443</v>
      </c>
      <c r="X14" s="150">
        <v>-301266</v>
      </c>
      <c r="Y14" s="346">
        <v>-306565.54300000001</v>
      </c>
      <c r="Z14" s="346">
        <v>-361359.56300000002</v>
      </c>
      <c r="AA14" s="346">
        <v>-346690.89199999999</v>
      </c>
      <c r="AB14" s="346">
        <v>-342542.55200000003</v>
      </c>
    </row>
    <row r="15" spans="1:28 16384:16384" ht="15" thickBot="1">
      <c r="A15" s="140" t="s">
        <v>491</v>
      </c>
      <c r="B15" s="138"/>
      <c r="C15" s="350">
        <v>448202.66974999901</v>
      </c>
      <c r="D15" s="350">
        <v>926040.01252000034</v>
      </c>
      <c r="E15" s="350">
        <v>282963.0308500001</v>
      </c>
      <c r="F15" s="350">
        <v>393668.64105999982</v>
      </c>
      <c r="G15" s="350">
        <v>725432.23136000009</v>
      </c>
      <c r="H15" s="350">
        <v>348044</v>
      </c>
      <c r="I15" s="350">
        <v>450103.38191999902</v>
      </c>
      <c r="J15" s="350">
        <v>644087.92173000006</v>
      </c>
      <c r="K15" s="350">
        <v>458881</v>
      </c>
      <c r="L15" s="350">
        <v>419314</v>
      </c>
      <c r="M15" s="350">
        <v>539541.16540000006</v>
      </c>
      <c r="N15" s="350">
        <v>705194.59012999968</v>
      </c>
      <c r="O15" s="350">
        <v>569866.97916999995</v>
      </c>
      <c r="P15" s="350">
        <v>634470</v>
      </c>
      <c r="Q15" s="350">
        <v>719347</v>
      </c>
      <c r="R15" s="350">
        <v>832655</v>
      </c>
      <c r="S15" s="350">
        <v>582091</v>
      </c>
      <c r="T15" s="351">
        <f t="shared" ref="T15:Z15" si="2">T9+T14</f>
        <v>621881</v>
      </c>
      <c r="U15" s="351">
        <f t="shared" si="2"/>
        <v>623212</v>
      </c>
      <c r="V15" s="351">
        <f t="shared" si="2"/>
        <v>729135</v>
      </c>
      <c r="W15" s="351">
        <f t="shared" si="2"/>
        <v>702872</v>
      </c>
      <c r="X15" s="351">
        <f t="shared" si="2"/>
        <v>715318</v>
      </c>
      <c r="Y15" s="351">
        <f t="shared" si="2"/>
        <v>772857.08700000006</v>
      </c>
      <c r="Z15" s="351">
        <f t="shared" si="2"/>
        <v>871927.23200000008</v>
      </c>
      <c r="AA15" s="351">
        <f t="shared" ref="AA15:AB15" si="3">AA9+AA14</f>
        <v>721408.0149999999</v>
      </c>
      <c r="AB15" s="351">
        <f t="shared" si="3"/>
        <v>735150.62899999984</v>
      </c>
    </row>
    <row r="16" spans="1:28 16384:16384" ht="15" thickBot="1">
      <c r="A16" s="140" t="s">
        <v>588</v>
      </c>
      <c r="B16" s="138"/>
      <c r="C16" s="350">
        <v>-294409.83071000001</v>
      </c>
      <c r="D16" s="350">
        <v>-306031.92553000001</v>
      </c>
      <c r="E16" s="350">
        <v>-352299.40831999999</v>
      </c>
      <c r="F16" s="350">
        <v>-310198.50001000002</v>
      </c>
      <c r="G16" s="350">
        <v>-287860.17107000004</v>
      </c>
      <c r="H16" s="350">
        <v>-280268</v>
      </c>
      <c r="I16" s="350">
        <v>-338425.2980699999</v>
      </c>
      <c r="J16" s="350">
        <v>-356341.99190000002</v>
      </c>
      <c r="K16" s="350">
        <v>-319113</v>
      </c>
      <c r="L16" s="350">
        <v>-288822</v>
      </c>
      <c r="M16" s="350">
        <v>-297750.31149999989</v>
      </c>
      <c r="N16" s="350">
        <v>-466896.54903999995</v>
      </c>
      <c r="O16" s="350">
        <v>-389117.65203999996</v>
      </c>
      <c r="P16" s="350">
        <v>-374284</v>
      </c>
      <c r="Q16" s="350">
        <v>-537486</v>
      </c>
      <c r="R16" s="350">
        <v>-609607</v>
      </c>
      <c r="S16" s="350">
        <v>-389868</v>
      </c>
      <c r="T16" s="351">
        <f t="shared" ref="T16:Z16" si="4">SUM(T17:T19)</f>
        <v>-409885</v>
      </c>
      <c r="U16" s="351">
        <f t="shared" si="4"/>
        <v>-423579</v>
      </c>
      <c r="V16" s="351">
        <f t="shared" si="4"/>
        <v>-480736</v>
      </c>
      <c r="W16" s="351">
        <f t="shared" si="4"/>
        <v>-454789</v>
      </c>
      <c r="X16" s="351">
        <f t="shared" si="4"/>
        <v>-498493</v>
      </c>
      <c r="Y16" s="351">
        <f t="shared" si="4"/>
        <v>-499905.59700000001</v>
      </c>
      <c r="Z16" s="351">
        <f t="shared" si="4"/>
        <v>-597223.92000000004</v>
      </c>
      <c r="AA16" s="351">
        <f t="shared" ref="AA16:AB16" si="5">SUM(AA17:AA19)</f>
        <v>-425788.467</v>
      </c>
      <c r="AB16" s="351">
        <f t="shared" si="5"/>
        <v>-459240.04899999994</v>
      </c>
    </row>
    <row r="17" spans="1:28">
      <c r="A17" s="137" t="s">
        <v>589</v>
      </c>
      <c r="B17" s="138"/>
      <c r="C17" s="149">
        <v>-235131.75207999998</v>
      </c>
      <c r="D17" s="149">
        <v>-230578.753</v>
      </c>
      <c r="E17" s="149">
        <v>-299393.41771999997</v>
      </c>
      <c r="F17" s="149">
        <v>-217752.76385999998</v>
      </c>
      <c r="G17" s="149">
        <v>-260189.50255</v>
      </c>
      <c r="H17" s="149">
        <v>-236897</v>
      </c>
      <c r="I17" s="149">
        <v>-221142.02098999987</v>
      </c>
      <c r="J17" s="149">
        <v>-219094.74327999994</v>
      </c>
      <c r="K17" s="149">
        <v>-227248</v>
      </c>
      <c r="L17" s="149">
        <v>-192972</v>
      </c>
      <c r="M17" s="149">
        <v>-198624.30350999991</v>
      </c>
      <c r="N17" s="149">
        <v>-283795.00646</v>
      </c>
      <c r="O17" s="149">
        <v>-263376.39759999997</v>
      </c>
      <c r="P17" s="149">
        <v>-238298</v>
      </c>
      <c r="Q17" s="149">
        <v>-389055</v>
      </c>
      <c r="R17" s="149">
        <v>-438751</v>
      </c>
      <c r="S17" s="149">
        <v>-317202</v>
      </c>
      <c r="T17" s="149">
        <v>-303114</v>
      </c>
      <c r="U17" s="149">
        <v>-311025</v>
      </c>
      <c r="V17" s="149">
        <v>-336525</v>
      </c>
      <c r="W17" s="149">
        <v>-331778</v>
      </c>
      <c r="X17" s="149">
        <v>-327869</v>
      </c>
      <c r="Y17" s="344">
        <v>-331277.22899999999</v>
      </c>
      <c r="Z17" s="344">
        <v>-377576.18099999998</v>
      </c>
      <c r="AA17" s="344">
        <v>-323824.43</v>
      </c>
      <c r="AB17" s="344">
        <v>-324791.12699999998</v>
      </c>
    </row>
    <row r="18" spans="1:28">
      <c r="A18" s="137" t="s">
        <v>590</v>
      </c>
      <c r="B18" s="138"/>
      <c r="C18" s="149">
        <v>-41967.062720000002</v>
      </c>
      <c r="D18" s="149">
        <v>-45463.532900000006</v>
      </c>
      <c r="E18" s="149">
        <v>-29553.069249999982</v>
      </c>
      <c r="F18" s="149">
        <v>-36371.653520000029</v>
      </c>
      <c r="G18" s="149">
        <v>-35859.872619999995</v>
      </c>
      <c r="H18" s="149">
        <v>-24669</v>
      </c>
      <c r="I18" s="149">
        <v>-42845.473559999999</v>
      </c>
      <c r="J18" s="149">
        <v>-51084.919130000009</v>
      </c>
      <c r="K18" s="149">
        <v>-57491</v>
      </c>
      <c r="L18" s="149">
        <v>-51141</v>
      </c>
      <c r="M18" s="149">
        <v>-81575.131960000013</v>
      </c>
      <c r="N18" s="149">
        <v>-81439.623890000003</v>
      </c>
      <c r="O18" s="149">
        <v>-76312.450900000011</v>
      </c>
      <c r="P18" s="149">
        <v>-77325</v>
      </c>
      <c r="Q18" s="149">
        <v>-65252</v>
      </c>
      <c r="R18" s="149">
        <v>-67754</v>
      </c>
      <c r="S18" s="149">
        <v>-2470</v>
      </c>
      <c r="T18" s="149">
        <v>-2283</v>
      </c>
      <c r="U18" s="149">
        <v>-2609</v>
      </c>
      <c r="V18" s="149">
        <v>-2726</v>
      </c>
      <c r="W18" s="149">
        <v>-2813</v>
      </c>
      <c r="X18" s="149">
        <v>-2421</v>
      </c>
      <c r="Y18" s="344">
        <v>-2660.09</v>
      </c>
      <c r="Z18" s="344">
        <v>-3010.335</v>
      </c>
      <c r="AA18" s="344">
        <v>-2826.69</v>
      </c>
      <c r="AB18" s="344">
        <v>-2881.0079999999998</v>
      </c>
    </row>
    <row r="19" spans="1:28" ht="15" thickBot="1">
      <c r="A19" s="137" t="s">
        <v>591</v>
      </c>
      <c r="B19" s="138"/>
      <c r="C19" s="149">
        <v>-17311.015910000002</v>
      </c>
      <c r="D19" s="149">
        <v>-29989.639629999998</v>
      </c>
      <c r="E19" s="149">
        <v>-23352.921350000001</v>
      </c>
      <c r="F19" s="149">
        <v>-56074.082629999997</v>
      </c>
      <c r="G19" s="149">
        <v>8189.204099999999</v>
      </c>
      <c r="H19" s="149">
        <v>-18702</v>
      </c>
      <c r="I19" s="149">
        <v>-74437.803520000001</v>
      </c>
      <c r="J19" s="149">
        <v>-86162.329489999989</v>
      </c>
      <c r="K19" s="149">
        <v>-34374</v>
      </c>
      <c r="L19" s="149">
        <v>-44709</v>
      </c>
      <c r="M19" s="149">
        <v>-17550.876029999999</v>
      </c>
      <c r="N19" s="149">
        <v>-101661.91868999998</v>
      </c>
      <c r="O19" s="149">
        <v>-49428.803540000001</v>
      </c>
      <c r="P19" s="149">
        <v>-58661</v>
      </c>
      <c r="Q19" s="149">
        <v>-83179</v>
      </c>
      <c r="R19" s="149">
        <v>-103102</v>
      </c>
      <c r="S19" s="149">
        <v>-70196</v>
      </c>
      <c r="T19" s="149">
        <v>-104488</v>
      </c>
      <c r="U19" s="149">
        <v>-109945</v>
      </c>
      <c r="V19" s="149">
        <v>-141485</v>
      </c>
      <c r="W19" s="149">
        <v>-120198</v>
      </c>
      <c r="X19" s="149">
        <v>-168203</v>
      </c>
      <c r="Y19" s="344">
        <v>-165968.27799999999</v>
      </c>
      <c r="Z19" s="344">
        <v>-216637.40400000001</v>
      </c>
      <c r="AA19" s="344">
        <v>-99137.346999999994</v>
      </c>
      <c r="AB19" s="344">
        <v>-131567.91399999999</v>
      </c>
    </row>
    <row r="20" spans="1:28" ht="15" thickBot="1">
      <c r="A20" s="140" t="s">
        <v>593</v>
      </c>
      <c r="B20" s="138"/>
      <c r="C20" s="150">
        <v>153792.839039999</v>
      </c>
      <c r="D20" s="150">
        <v>620008.08699000033</v>
      </c>
      <c r="E20" s="150">
        <v>-69336.37746999989</v>
      </c>
      <c r="F20" s="150">
        <v>83470.141049999802</v>
      </c>
      <c r="G20" s="150">
        <v>437572.06029000005</v>
      </c>
      <c r="H20" s="150">
        <v>67775</v>
      </c>
      <c r="I20" s="150">
        <v>111678.08384999912</v>
      </c>
      <c r="J20" s="150">
        <v>287745.92983000004</v>
      </c>
      <c r="K20" s="150">
        <v>139768</v>
      </c>
      <c r="L20" s="150">
        <v>130492</v>
      </c>
      <c r="M20" s="150">
        <v>241790.85390000016</v>
      </c>
      <c r="N20" s="150">
        <v>238298.04108999972</v>
      </c>
      <c r="O20" s="150">
        <v>180749.32712999999</v>
      </c>
      <c r="P20" s="150">
        <v>260186</v>
      </c>
      <c r="Q20" s="150">
        <v>181861</v>
      </c>
      <c r="R20" s="150">
        <v>223048</v>
      </c>
      <c r="S20" s="150">
        <v>192223</v>
      </c>
      <c r="T20" s="141">
        <f t="shared" ref="T20:Y20" si="6">T15+T16</f>
        <v>211996</v>
      </c>
      <c r="U20" s="141">
        <f t="shared" si="6"/>
        <v>199633</v>
      </c>
      <c r="V20" s="141">
        <f t="shared" si="6"/>
        <v>248399</v>
      </c>
      <c r="W20" s="141">
        <f t="shared" si="6"/>
        <v>248083</v>
      </c>
      <c r="X20" s="141">
        <f t="shared" si="6"/>
        <v>216825</v>
      </c>
      <c r="Y20" s="141">
        <f t="shared" si="6"/>
        <v>272951.49000000005</v>
      </c>
      <c r="Z20" s="141">
        <f t="shared" ref="Z20:AA20" si="7">Z15+Z16</f>
        <v>274703.31200000003</v>
      </c>
      <c r="AA20" s="141">
        <f t="shared" si="7"/>
        <v>295619.54799999989</v>
      </c>
      <c r="AB20" s="141">
        <f t="shared" ref="AB20" si="8">AB15+AB16</f>
        <v>275910.5799999999</v>
      </c>
    </row>
    <row r="21" spans="1:28" ht="15" thickBot="1">
      <c r="A21" s="140" t="s">
        <v>594</v>
      </c>
      <c r="B21" s="138"/>
      <c r="C21" s="150">
        <v>-142300.5467699999</v>
      </c>
      <c r="D21" s="150">
        <v>-115458.84178000005</v>
      </c>
      <c r="E21" s="150">
        <v>-137740.50758000009</v>
      </c>
      <c r="F21" s="150">
        <v>-168574.73372999975</v>
      </c>
      <c r="G21" s="150">
        <v>-159642.56565000035</v>
      </c>
      <c r="H21" s="150">
        <v>-6588</v>
      </c>
      <c r="I21" s="150">
        <v>-44546.03733000029</v>
      </c>
      <c r="J21" s="150">
        <v>-108864.41686999967</v>
      </c>
      <c r="K21" s="150">
        <v>-70218</v>
      </c>
      <c r="L21" s="150">
        <v>-69471</v>
      </c>
      <c r="M21" s="150">
        <v>-87188.052989999996</v>
      </c>
      <c r="N21" s="150">
        <v>4098.8225000000011</v>
      </c>
      <c r="O21" s="150">
        <v>-80439.881170000008</v>
      </c>
      <c r="P21" s="150">
        <v>-72239</v>
      </c>
      <c r="Q21" s="150">
        <v>-40910</v>
      </c>
      <c r="R21" s="150">
        <v>31436</v>
      </c>
      <c r="S21" s="150">
        <v>-83016</v>
      </c>
      <c r="T21" s="141">
        <f t="shared" ref="T21:Y21" si="9">SUM(T22:T27)</f>
        <v>-74468</v>
      </c>
      <c r="U21" s="141">
        <f t="shared" si="9"/>
        <v>-95536</v>
      </c>
      <c r="V21" s="141">
        <f t="shared" si="9"/>
        <v>-121034</v>
      </c>
      <c r="W21" s="141">
        <f t="shared" si="9"/>
        <v>-89343</v>
      </c>
      <c r="X21" s="141">
        <f t="shared" si="9"/>
        <v>-64122</v>
      </c>
      <c r="Y21" s="141">
        <f t="shared" si="9"/>
        <v>-84962.979999999981</v>
      </c>
      <c r="Z21" s="141">
        <f t="shared" ref="Z21:AA21" si="10">SUM(Z22:Z27)</f>
        <v>-97382.544999999998</v>
      </c>
      <c r="AA21" s="141">
        <f t="shared" si="10"/>
        <v>-93094.927000000011</v>
      </c>
      <c r="AB21" s="141">
        <f t="shared" ref="AB21" si="11">SUM(AB22:AB27)</f>
        <v>-75601.963000000003</v>
      </c>
    </row>
    <row r="22" spans="1:28">
      <c r="A22" s="137" t="s">
        <v>595</v>
      </c>
      <c r="B22" s="138"/>
      <c r="C22" s="149">
        <v>-42326.036389999994</v>
      </c>
      <c r="D22" s="149">
        <v>-43954.471440000008</v>
      </c>
      <c r="E22" s="149">
        <v>-51787.666909999978</v>
      </c>
      <c r="F22" s="149">
        <v>-55777.083260000014</v>
      </c>
      <c r="G22" s="149">
        <v>-49265.583720000039</v>
      </c>
      <c r="H22" s="149">
        <v>-82381.229979999989</v>
      </c>
      <c r="I22" s="149">
        <v>-6841.895620000083</v>
      </c>
      <c r="J22" s="149">
        <v>-22548.413969999936</v>
      </c>
      <c r="K22" s="149">
        <v>-19607</v>
      </c>
      <c r="L22" s="149">
        <v>-11825</v>
      </c>
      <c r="M22" s="149">
        <v>-21232.335259999996</v>
      </c>
      <c r="N22" s="149">
        <v>-23983.571100000001</v>
      </c>
      <c r="O22" s="149">
        <v>-19965.651689999995</v>
      </c>
      <c r="P22" s="149">
        <v>-18099</v>
      </c>
      <c r="Q22" s="149">
        <v>-17889</v>
      </c>
      <c r="R22" s="149">
        <v>-22714</v>
      </c>
      <c r="S22" s="149">
        <v>-17582</v>
      </c>
      <c r="T22" s="149">
        <v>-16816</v>
      </c>
      <c r="U22" s="149">
        <v>-18552</v>
      </c>
      <c r="V22" s="149">
        <v>-22189</v>
      </c>
      <c r="W22" s="149">
        <v>-19209</v>
      </c>
      <c r="X22" s="149">
        <v>-20738</v>
      </c>
      <c r="Y22" s="344">
        <v>-20981.951000000001</v>
      </c>
      <c r="Z22" s="344">
        <v>-12142.64</v>
      </c>
      <c r="AA22" s="344">
        <v>-14787.045</v>
      </c>
      <c r="AB22" s="344">
        <v>-19614.664000000001</v>
      </c>
    </row>
    <row r="23" spans="1:28">
      <c r="A23" s="137" t="s">
        <v>596</v>
      </c>
      <c r="B23" s="138"/>
      <c r="C23" s="149">
        <v>-536.97892999999999</v>
      </c>
      <c r="D23" s="149">
        <v>-838.26003999999989</v>
      </c>
      <c r="E23" s="149">
        <v>-645.72046999999998</v>
      </c>
      <c r="F23" s="149">
        <v>-683.86412000000007</v>
      </c>
      <c r="G23" s="149">
        <v>-704.36478999999986</v>
      </c>
      <c r="H23" s="149">
        <v>10.334530000000028</v>
      </c>
      <c r="I23" s="149">
        <v>-1167.5816800000002</v>
      </c>
      <c r="J23" s="149">
        <v>-1850.9565899999993</v>
      </c>
      <c r="K23" s="149">
        <v>-947</v>
      </c>
      <c r="L23" s="149">
        <v>-821</v>
      </c>
      <c r="M23" s="149">
        <v>-1236.43842</v>
      </c>
      <c r="N23" s="149">
        <v>-1026.4361800000001</v>
      </c>
      <c r="O23" s="149">
        <v>-2222.7870099999996</v>
      </c>
      <c r="P23" s="149">
        <v>-1787</v>
      </c>
      <c r="Q23" s="149">
        <v>-1328</v>
      </c>
      <c r="R23" s="149">
        <v>-2098</v>
      </c>
      <c r="S23" s="149">
        <v>-4802</v>
      </c>
      <c r="T23" s="149">
        <v>-2295</v>
      </c>
      <c r="U23" s="149">
        <v>-2343</v>
      </c>
      <c r="V23" s="149">
        <v>-3574</v>
      </c>
      <c r="W23" s="149">
        <v>-2399</v>
      </c>
      <c r="X23" s="149">
        <v>-1695</v>
      </c>
      <c r="Y23" s="344">
        <v>-1752.7329999999999</v>
      </c>
      <c r="Z23" s="344">
        <v>-3958.5169999999998</v>
      </c>
      <c r="AA23" s="344">
        <v>-2373.2089999999998</v>
      </c>
      <c r="AB23" s="344">
        <v>-4540.0919999999996</v>
      </c>
    </row>
    <row r="24" spans="1:28">
      <c r="A24" s="137" t="s">
        <v>597</v>
      </c>
      <c r="B24" s="349"/>
      <c r="C24" s="149">
        <v>-21339.462799999994</v>
      </c>
      <c r="D24" s="149">
        <v>-38905.595620000007</v>
      </c>
      <c r="E24" s="149">
        <v>-36500.729639999998</v>
      </c>
      <c r="F24" s="149">
        <v>-40177.430109999987</v>
      </c>
      <c r="G24" s="149">
        <v>-25829.474700000002</v>
      </c>
      <c r="H24" s="149">
        <v>-26337.930380000002</v>
      </c>
      <c r="I24" s="149">
        <v>-28249.578950000039</v>
      </c>
      <c r="J24" s="149">
        <v>-34658.943459999951</v>
      </c>
      <c r="K24" s="149">
        <v>-30040</v>
      </c>
      <c r="L24" s="149">
        <v>-31524</v>
      </c>
      <c r="M24" s="149">
        <v>-31685.647340000003</v>
      </c>
      <c r="N24" s="149">
        <v>-34559.777969999996</v>
      </c>
      <c r="O24" s="149">
        <v>-37055.132120000009</v>
      </c>
      <c r="P24" s="149">
        <v>-37300</v>
      </c>
      <c r="Q24" s="149">
        <v>-38261</v>
      </c>
      <c r="R24" s="149">
        <v>-48185</v>
      </c>
      <c r="S24" s="149">
        <v>-40170</v>
      </c>
      <c r="T24" s="149">
        <v>-42851</v>
      </c>
      <c r="U24" s="149">
        <v>-41957</v>
      </c>
      <c r="V24" s="149">
        <v>-74863</v>
      </c>
      <c r="W24" s="149">
        <v>-43261</v>
      </c>
      <c r="X24" s="149">
        <v>-38245</v>
      </c>
      <c r="Y24" s="344">
        <v>-46209.572</v>
      </c>
      <c r="Z24" s="344">
        <v>-48520.411</v>
      </c>
      <c r="AA24" s="344">
        <v>-52032.506000000001</v>
      </c>
      <c r="AB24" s="344">
        <v>-47636.860999999997</v>
      </c>
    </row>
    <row r="25" spans="1:28">
      <c r="A25" s="137" t="s">
        <v>598</v>
      </c>
      <c r="B25" s="138"/>
      <c r="C25" s="149">
        <v>-71299.602249999953</v>
      </c>
      <c r="D25" s="149">
        <v>-26636.986970000024</v>
      </c>
      <c r="E25" s="149">
        <v>-40576.941660000135</v>
      </c>
      <c r="F25" s="149">
        <v>-55760.396509999729</v>
      </c>
      <c r="G25" s="149">
        <v>-79630.101320000307</v>
      </c>
      <c r="H25" s="149">
        <v>57828</v>
      </c>
      <c r="I25" s="149">
        <v>-7614.2407500001573</v>
      </c>
      <c r="J25" s="149">
        <v>-47522.586969999786</v>
      </c>
      <c r="K25" s="149">
        <v>-17890</v>
      </c>
      <c r="L25" s="149">
        <v>-21914</v>
      </c>
      <c r="M25" s="149">
        <v>-10519.94378</v>
      </c>
      <c r="N25" s="149">
        <v>56624.225960000003</v>
      </c>
      <c r="O25" s="149">
        <v>-15023.319889999999</v>
      </c>
      <c r="P25" s="149">
        <v>-12720</v>
      </c>
      <c r="Q25" s="149">
        <v>17065</v>
      </c>
      <c r="R25" s="149">
        <v>111278</v>
      </c>
      <c r="S25" s="149">
        <v>-18165</v>
      </c>
      <c r="T25" s="149">
        <v>-7589</v>
      </c>
      <c r="U25" s="149">
        <v>-17819</v>
      </c>
      <c r="V25" s="149">
        <v>-16656</v>
      </c>
      <c r="W25" s="149">
        <v>-14656</v>
      </c>
      <c r="X25" s="149">
        <v>-5963</v>
      </c>
      <c r="Y25" s="344">
        <v>-11462.093000000001</v>
      </c>
      <c r="Z25" s="344">
        <v>-12262.663</v>
      </c>
      <c r="AA25" s="344">
        <v>-16001.380999999999</v>
      </c>
      <c r="AB25" s="344">
        <v>-9864.5130000000008</v>
      </c>
    </row>
    <row r="26" spans="1:28">
      <c r="A26" s="137" t="s">
        <v>59</v>
      </c>
      <c r="B26" s="138"/>
      <c r="C26" s="149">
        <v>-5686.313659999998</v>
      </c>
      <c r="D26" s="149">
        <v>-3166.5923800000005</v>
      </c>
      <c r="E26" s="149">
        <v>-10509.707059999999</v>
      </c>
      <c r="F26" s="149">
        <v>-15886.61191</v>
      </c>
      <c r="G26" s="149">
        <v>-4213.041119999999</v>
      </c>
      <c r="H26" s="149">
        <v>44300</v>
      </c>
      <c r="I26" s="149">
        <v>198.02544999999373</v>
      </c>
      <c r="J26" s="149">
        <v>-5269.9086899999893</v>
      </c>
      <c r="K26" s="149">
        <v>-1757</v>
      </c>
      <c r="L26" s="149">
        <v>-3381</v>
      </c>
      <c r="M26" s="149">
        <v>-260.93634000000009</v>
      </c>
      <c r="N26" s="149">
        <v>11637.740019999997</v>
      </c>
      <c r="O26" s="149">
        <v>-1054.2181600000001</v>
      </c>
      <c r="P26" s="149">
        <v>-622</v>
      </c>
      <c r="Q26" s="149">
        <v>-920</v>
      </c>
      <c r="R26" s="149">
        <v>-3343</v>
      </c>
      <c r="S26" s="149">
        <v>-1950</v>
      </c>
      <c r="T26" s="149">
        <v>-817</v>
      </c>
      <c r="U26" s="149">
        <v>-1339</v>
      </c>
      <c r="V26" s="149">
        <v>-1990</v>
      </c>
      <c r="W26" s="149">
        <v>-1041</v>
      </c>
      <c r="X26" s="149">
        <v>-348</v>
      </c>
      <c r="Y26" s="344">
        <v>-313.61200000000002</v>
      </c>
      <c r="Z26" s="344">
        <v>-6648.933</v>
      </c>
      <c r="AA26" s="344">
        <v>-1817.0239999999999</v>
      </c>
      <c r="AB26" s="344">
        <v>-1811.0419999999999</v>
      </c>
    </row>
    <row r="27" spans="1:28">
      <c r="A27" s="137" t="s">
        <v>599</v>
      </c>
      <c r="B27" s="137"/>
      <c r="C27" s="149">
        <v>-1112.1527400000002</v>
      </c>
      <c r="D27" s="149">
        <v>-1956.93533</v>
      </c>
      <c r="E27" s="149">
        <v>2280.2581600000003</v>
      </c>
      <c r="F27" s="149">
        <v>-289.34781999999996</v>
      </c>
      <c r="G27" s="149"/>
      <c r="H27" s="149"/>
      <c r="I27" s="149">
        <v>-870.76578000000006</v>
      </c>
      <c r="J27" s="149">
        <v>2986.3928099999994</v>
      </c>
      <c r="K27" s="149">
        <v>23</v>
      </c>
      <c r="L27" s="149">
        <v>-6</v>
      </c>
      <c r="M27" s="149">
        <v>-22252.751850000001</v>
      </c>
      <c r="N27" s="149">
        <v>-4593.3582299999989</v>
      </c>
      <c r="O27" s="149">
        <v>-5118.7722999999996</v>
      </c>
      <c r="P27" s="149">
        <v>-1711</v>
      </c>
      <c r="Q27" s="149">
        <v>423</v>
      </c>
      <c r="R27" s="149">
        <v>-3502</v>
      </c>
      <c r="S27" s="149">
        <v>-347</v>
      </c>
      <c r="T27" s="149">
        <v>-4100</v>
      </c>
      <c r="U27" s="149">
        <v>-13526</v>
      </c>
      <c r="V27" s="149">
        <v>-1762</v>
      </c>
      <c r="W27" s="149">
        <v>-8777</v>
      </c>
      <c r="X27" s="149">
        <v>2867</v>
      </c>
      <c r="Y27" s="344">
        <v>-4243.0190000000002</v>
      </c>
      <c r="Z27" s="344">
        <v>-13849.380999999999</v>
      </c>
      <c r="AA27" s="344">
        <v>-6083.7619999999997</v>
      </c>
      <c r="AB27" s="344">
        <v>7865.2089999999998</v>
      </c>
    </row>
    <row r="28" spans="1:28">
      <c r="A28" s="551" t="s">
        <v>529</v>
      </c>
      <c r="B28" s="339"/>
      <c r="C28" s="548">
        <v>11492.292269999103</v>
      </c>
      <c r="D28" s="548">
        <v>504549.24521000031</v>
      </c>
      <c r="E28" s="548">
        <v>-207076.88504999998</v>
      </c>
      <c r="F28" s="548">
        <v>-85104.592679999943</v>
      </c>
      <c r="G28" s="548">
        <v>277929.4946399997</v>
      </c>
      <c r="H28" s="548">
        <v>61118</v>
      </c>
      <c r="I28" s="548">
        <v>67132.046519998839</v>
      </c>
      <c r="J28" s="548">
        <v>178881.51296000031</v>
      </c>
      <c r="K28" s="548">
        <v>69549.999999999971</v>
      </c>
      <c r="L28" s="548">
        <v>61021</v>
      </c>
      <c r="M28" s="548">
        <v>154602.80091000017</v>
      </c>
      <c r="N28" s="548">
        <v>242396.86358999973</v>
      </c>
      <c r="O28" s="548">
        <v>100309.44595999998</v>
      </c>
      <c r="P28" s="548">
        <v>187947</v>
      </c>
      <c r="Q28" s="548">
        <v>140951</v>
      </c>
      <c r="R28" s="548">
        <v>254484</v>
      </c>
      <c r="S28" s="548">
        <v>109207</v>
      </c>
      <c r="T28" s="558">
        <f t="shared" ref="T28:Z28" si="12">T15+T16+T21</f>
        <v>137528</v>
      </c>
      <c r="U28" s="558">
        <f t="shared" si="12"/>
        <v>104097</v>
      </c>
      <c r="V28" s="558">
        <f t="shared" si="12"/>
        <v>127365</v>
      </c>
      <c r="W28" s="558">
        <f t="shared" si="12"/>
        <v>158740</v>
      </c>
      <c r="X28" s="558">
        <f t="shared" si="12"/>
        <v>152703</v>
      </c>
      <c r="Y28" s="559">
        <f t="shared" si="12"/>
        <v>187988.51000000007</v>
      </c>
      <c r="Z28" s="559">
        <f t="shared" si="12"/>
        <v>177320.76700000005</v>
      </c>
      <c r="AA28" s="559">
        <f t="shared" ref="AA28:AB28" si="13">AA15+AA16+AA21</f>
        <v>202524.62099999987</v>
      </c>
      <c r="AB28" s="559">
        <f t="shared" si="13"/>
        <v>200308.61699999991</v>
      </c>
    </row>
    <row r="29" spans="1:28" ht="15" thickBot="1">
      <c r="A29" s="137" t="s">
        <v>600</v>
      </c>
      <c r="B29" s="137"/>
      <c r="C29" s="149">
        <v>-11682.0026</v>
      </c>
      <c r="D29" s="149">
        <v>-11899.209639999997</v>
      </c>
      <c r="E29" s="149">
        <v>-12082.478210000001</v>
      </c>
      <c r="F29" s="149">
        <v>-12305.633469999997</v>
      </c>
      <c r="G29" s="149">
        <v>-12380.893869999998</v>
      </c>
      <c r="H29" s="149">
        <v>-11184</v>
      </c>
      <c r="I29" s="149">
        <v>-12577.533130000007</v>
      </c>
      <c r="J29" s="149">
        <v>-15858.80631</v>
      </c>
      <c r="K29" s="149">
        <v>-19095</v>
      </c>
      <c r="L29" s="149">
        <v>-15434</v>
      </c>
      <c r="M29" s="149">
        <v>-12339.795990000002</v>
      </c>
      <c r="N29" s="149">
        <v>-16317.357709999991</v>
      </c>
      <c r="O29" s="149">
        <v>-16456.390609999999</v>
      </c>
      <c r="P29" s="149">
        <v>-17511</v>
      </c>
      <c r="Q29" s="149">
        <v>-18342</v>
      </c>
      <c r="R29" s="149">
        <v>-19469</v>
      </c>
      <c r="S29" s="149">
        <v>-19019</v>
      </c>
      <c r="T29" s="149">
        <v>-19583</v>
      </c>
      <c r="U29" s="149">
        <v>-19962</v>
      </c>
      <c r="V29" s="149">
        <v>-24673</v>
      </c>
      <c r="W29" s="149">
        <v>-9557</v>
      </c>
      <c r="X29" s="149">
        <v>-21899</v>
      </c>
      <c r="Y29" s="344">
        <v>-23638.81</v>
      </c>
      <c r="Z29" s="344">
        <v>-58624.065000000002</v>
      </c>
      <c r="AA29" s="344">
        <v>-31557.291000000001</v>
      </c>
      <c r="AB29" s="344">
        <v>-31163.523000000001</v>
      </c>
    </row>
    <row r="30" spans="1:28" ht="15" thickBot="1">
      <c r="A30" s="140" t="s">
        <v>601</v>
      </c>
      <c r="B30" s="137"/>
      <c r="C30" s="150">
        <v>-189.71033000089665</v>
      </c>
      <c r="D30" s="150">
        <v>492650.0355700003</v>
      </c>
      <c r="E30" s="150">
        <v>-219159.36325999998</v>
      </c>
      <c r="F30" s="150">
        <v>-97410.226149999944</v>
      </c>
      <c r="G30" s="150">
        <v>265548.60076999973</v>
      </c>
      <c r="H30" s="150">
        <v>50004</v>
      </c>
      <c r="I30" s="150">
        <v>54554.513389998829</v>
      </c>
      <c r="J30" s="150">
        <v>163022.70665000036</v>
      </c>
      <c r="K30" s="150">
        <v>50454.999999999971</v>
      </c>
      <c r="L30" s="150">
        <v>45587</v>
      </c>
      <c r="M30" s="150">
        <v>142263.00492000015</v>
      </c>
      <c r="N30" s="150">
        <v>226079.50587999975</v>
      </c>
      <c r="O30" s="150">
        <v>83853.055349999981</v>
      </c>
      <c r="P30" s="150">
        <v>170436</v>
      </c>
      <c r="Q30" s="150">
        <v>122609</v>
      </c>
      <c r="R30" s="150">
        <v>235015</v>
      </c>
      <c r="S30" s="150">
        <v>90188</v>
      </c>
      <c r="T30" s="141">
        <f t="shared" ref="T30:Y30" si="14">SUM(T28:T29)</f>
        <v>117945</v>
      </c>
      <c r="U30" s="141">
        <f t="shared" si="14"/>
        <v>84135</v>
      </c>
      <c r="V30" s="141">
        <f t="shared" si="14"/>
        <v>102692</v>
      </c>
      <c r="W30" s="141">
        <f t="shared" si="14"/>
        <v>149183</v>
      </c>
      <c r="X30" s="141">
        <f t="shared" si="14"/>
        <v>130804</v>
      </c>
      <c r="Y30" s="141">
        <f t="shared" si="14"/>
        <v>164349.70000000007</v>
      </c>
      <c r="Z30" s="141">
        <f t="shared" ref="Z30:AA30" si="15">SUM(Z28:Z29)</f>
        <v>118696.70200000005</v>
      </c>
      <c r="AA30" s="141">
        <f t="shared" si="15"/>
        <v>170967.32999999987</v>
      </c>
      <c r="AB30" s="141">
        <f t="shared" ref="AB30" si="16">SUM(AB28:AB29)</f>
        <v>169145.09399999992</v>
      </c>
    </row>
    <row r="31" spans="1:28" ht="15" thickBot="1">
      <c r="A31" s="140" t="s">
        <v>531</v>
      </c>
      <c r="B31" s="137"/>
      <c r="C31" s="350">
        <v>-21811.578169999972</v>
      </c>
      <c r="D31" s="350">
        <v>16770.984799999998</v>
      </c>
      <c r="E31" s="350">
        <v>-26784.094129999998</v>
      </c>
      <c r="F31" s="350">
        <v>-20850.216300000015</v>
      </c>
      <c r="G31" s="350">
        <v>-40190.493019999994</v>
      </c>
      <c r="H31" s="350">
        <v>-4137</v>
      </c>
      <c r="I31" s="350">
        <v>-12200.839469999992</v>
      </c>
      <c r="J31" s="350">
        <v>-165365.06757999992</v>
      </c>
      <c r="K31" s="350">
        <v>-17919.000000000004</v>
      </c>
      <c r="L31" s="350">
        <v>-9004</v>
      </c>
      <c r="M31" s="350">
        <v>-4485.1860799999922</v>
      </c>
      <c r="N31" s="350">
        <v>20634.120440000021</v>
      </c>
      <c r="O31" s="350">
        <v>-14144.049780000016</v>
      </c>
      <c r="P31" s="350">
        <v>15907</v>
      </c>
      <c r="Q31" s="350">
        <v>18210</v>
      </c>
      <c r="R31" s="350">
        <v>31184</v>
      </c>
      <c r="S31" s="350">
        <v>2148</v>
      </c>
      <c r="T31" s="351">
        <f t="shared" ref="T31:Y31" si="17">T32+T33</f>
        <v>5669</v>
      </c>
      <c r="U31" s="351">
        <f t="shared" si="17"/>
        <v>5262</v>
      </c>
      <c r="V31" s="351">
        <f t="shared" si="17"/>
        <v>-18924</v>
      </c>
      <c r="W31" s="351">
        <f t="shared" si="17"/>
        <v>-45067</v>
      </c>
      <c r="X31" s="351">
        <f t="shared" si="17"/>
        <v>-37203</v>
      </c>
      <c r="Y31" s="351">
        <f t="shared" si="17"/>
        <v>-22636.495000000003</v>
      </c>
      <c r="Z31" s="351">
        <f t="shared" ref="Z31:AA31" si="18">Z32+Z33</f>
        <v>-46033.415000000008</v>
      </c>
      <c r="AA31" s="351">
        <f t="shared" si="18"/>
        <v>-48693.11</v>
      </c>
      <c r="AB31" s="351">
        <f t="shared" ref="AB31" si="19">AB32+AB33</f>
        <v>-38924.851999999999</v>
      </c>
    </row>
    <row r="32" spans="1:28">
      <c r="A32" s="137" t="s">
        <v>532</v>
      </c>
      <c r="B32" s="137"/>
      <c r="C32" s="149">
        <v>38764.879970000024</v>
      </c>
      <c r="D32" s="149">
        <v>72186.52373999999</v>
      </c>
      <c r="E32" s="149">
        <v>35082.207600000009</v>
      </c>
      <c r="F32" s="149">
        <v>43237.20459999999</v>
      </c>
      <c r="G32" s="149">
        <v>32577.104760000002</v>
      </c>
      <c r="H32" s="149">
        <v>31755</v>
      </c>
      <c r="I32" s="149">
        <v>42300.533710000003</v>
      </c>
      <c r="J32" s="149">
        <v>717494.02504999994</v>
      </c>
      <c r="K32" s="149">
        <v>46927</v>
      </c>
      <c r="L32" s="149">
        <v>42850</v>
      </c>
      <c r="M32" s="149">
        <v>52002.427150000003</v>
      </c>
      <c r="N32" s="149">
        <v>54282.460920000005</v>
      </c>
      <c r="O32" s="149">
        <v>56218.150979999991</v>
      </c>
      <c r="P32" s="149">
        <v>34434</v>
      </c>
      <c r="Q32" s="149">
        <v>47402</v>
      </c>
      <c r="R32" s="149">
        <v>77676</v>
      </c>
      <c r="S32" s="149">
        <v>58418</v>
      </c>
      <c r="T32" s="149">
        <v>75911</v>
      </c>
      <c r="U32" s="149">
        <v>53810</v>
      </c>
      <c r="V32" s="149">
        <v>54126</v>
      </c>
      <c r="W32" s="149">
        <v>45785</v>
      </c>
      <c r="X32" s="149">
        <v>46235</v>
      </c>
      <c r="Y32" s="344">
        <v>16246.71</v>
      </c>
      <c r="Z32" s="344">
        <v>53477.34</v>
      </c>
      <c r="AA32" s="344">
        <v>64630.991999999998</v>
      </c>
      <c r="AB32" s="344">
        <v>84851.6</v>
      </c>
    </row>
    <row r="33" spans="1:28" ht="15" thickBot="1">
      <c r="A33" s="137" t="s">
        <v>541</v>
      </c>
      <c r="B33" s="137"/>
      <c r="C33" s="149">
        <v>-60576.458139999995</v>
      </c>
      <c r="D33" s="149">
        <v>-55415.538939999991</v>
      </c>
      <c r="E33" s="149">
        <v>-61866.301730000007</v>
      </c>
      <c r="F33" s="149">
        <v>-64087.420900000005</v>
      </c>
      <c r="G33" s="149">
        <v>-72767.597779999996</v>
      </c>
      <c r="H33" s="149">
        <v>-35892</v>
      </c>
      <c r="I33" s="149">
        <v>-54501.373179999995</v>
      </c>
      <c r="J33" s="149">
        <v>-882859.09262999985</v>
      </c>
      <c r="K33" s="149">
        <v>-64846</v>
      </c>
      <c r="L33" s="149">
        <v>-51854</v>
      </c>
      <c r="M33" s="149">
        <v>-56487.613229999995</v>
      </c>
      <c r="N33" s="149">
        <v>-33648.340479999984</v>
      </c>
      <c r="O33" s="149">
        <v>-70362.200760000007</v>
      </c>
      <c r="P33" s="149">
        <v>-18527</v>
      </c>
      <c r="Q33" s="149">
        <v>-29192</v>
      </c>
      <c r="R33" s="149">
        <v>-46492</v>
      </c>
      <c r="S33" s="149">
        <v>-56270</v>
      </c>
      <c r="T33" s="149">
        <v>-70242</v>
      </c>
      <c r="U33" s="149">
        <v>-48548</v>
      </c>
      <c r="V33" s="149">
        <v>-73050</v>
      </c>
      <c r="W33" s="149">
        <v>-90852</v>
      </c>
      <c r="X33" s="149">
        <v>-83438</v>
      </c>
      <c r="Y33" s="344">
        <v>-38883.205000000002</v>
      </c>
      <c r="Z33" s="344">
        <v>-99510.755000000005</v>
      </c>
      <c r="AA33" s="344">
        <v>-113324.102</v>
      </c>
      <c r="AB33" s="344">
        <v>-123776.452</v>
      </c>
    </row>
    <row r="34" spans="1:28" ht="15" thickBot="1">
      <c r="A34" s="140" t="s">
        <v>602</v>
      </c>
      <c r="B34" s="137"/>
      <c r="C34" s="150">
        <v>-22001.288500000868</v>
      </c>
      <c r="D34" s="150">
        <v>509421.02037000027</v>
      </c>
      <c r="E34" s="150">
        <v>-245943.45739</v>
      </c>
      <c r="F34" s="150">
        <v>-118260.44244999996</v>
      </c>
      <c r="G34" s="150">
        <v>225358.10774999973</v>
      </c>
      <c r="H34" s="150">
        <v>45867</v>
      </c>
      <c r="I34" s="150">
        <v>42353.673919998837</v>
      </c>
      <c r="J34" s="150">
        <v>-2341.9050299995579</v>
      </c>
      <c r="K34" s="150">
        <v>32535.999999999967</v>
      </c>
      <c r="L34" s="150">
        <v>36583</v>
      </c>
      <c r="M34" s="150">
        <v>137777.81884000017</v>
      </c>
      <c r="N34" s="150">
        <v>246713.62631999978</v>
      </c>
      <c r="O34" s="150">
        <v>69709.005569999965</v>
      </c>
      <c r="P34" s="150">
        <v>186343</v>
      </c>
      <c r="Q34" s="150">
        <v>140819</v>
      </c>
      <c r="R34" s="150">
        <v>266199</v>
      </c>
      <c r="S34" s="150">
        <v>92336</v>
      </c>
      <c r="T34" s="141">
        <f t="shared" ref="T34:Z34" si="20">T30+T31</f>
        <v>123614</v>
      </c>
      <c r="U34" s="141">
        <f t="shared" si="20"/>
        <v>89397</v>
      </c>
      <c r="V34" s="141">
        <f t="shared" si="20"/>
        <v>83768</v>
      </c>
      <c r="W34" s="141">
        <f t="shared" si="20"/>
        <v>104116</v>
      </c>
      <c r="X34" s="141">
        <f t="shared" si="20"/>
        <v>93601</v>
      </c>
      <c r="Y34" s="141">
        <f t="shared" si="20"/>
        <v>141713.20500000007</v>
      </c>
      <c r="Z34" s="141">
        <f t="shared" si="20"/>
        <v>72663.28700000004</v>
      </c>
      <c r="AA34" s="141">
        <f t="shared" ref="AA34:AB34" si="21">AA30+AA31</f>
        <v>122274.21999999987</v>
      </c>
      <c r="AB34" s="141">
        <f t="shared" si="21"/>
        <v>130220.24199999993</v>
      </c>
    </row>
    <row r="35" spans="1:28">
      <c r="A35" s="137" t="s">
        <v>553</v>
      </c>
      <c r="B35" s="137"/>
      <c r="C35" s="149"/>
      <c r="D35" s="149">
        <v>0</v>
      </c>
      <c r="E35" s="149">
        <v>0</v>
      </c>
      <c r="F35" s="149"/>
      <c r="G35" s="149"/>
      <c r="H35" s="149">
        <v>0</v>
      </c>
      <c r="I35" s="149">
        <v>0</v>
      </c>
      <c r="J35" s="149">
        <v>-22301.772280000001</v>
      </c>
      <c r="K35" s="149">
        <v>-79</v>
      </c>
      <c r="L35" s="149">
        <v>-10662</v>
      </c>
      <c r="M35" s="149">
        <v>-3971.9713400000001</v>
      </c>
      <c r="N35" s="149">
        <v>-7824.950710000001</v>
      </c>
      <c r="O35" s="149">
        <v>-4796.7722599999997</v>
      </c>
      <c r="P35" s="149">
        <v>-11314</v>
      </c>
      <c r="Q35" s="149">
        <v>-6193</v>
      </c>
      <c r="R35" s="149">
        <v>-6396</v>
      </c>
      <c r="S35" s="149">
        <v>-3209</v>
      </c>
      <c r="T35" s="149">
        <v>-7128</v>
      </c>
      <c r="U35" s="149">
        <v>-5839</v>
      </c>
      <c r="V35" s="149">
        <v>-7701</v>
      </c>
      <c r="W35" s="149">
        <v>-6750</v>
      </c>
      <c r="X35" s="149">
        <v>-6135</v>
      </c>
      <c r="Y35" s="344">
        <v>-7960.6689999999999</v>
      </c>
      <c r="Z35" s="344">
        <v>1703.6</v>
      </c>
      <c r="AA35" s="344">
        <v>-6804.9989999999998</v>
      </c>
      <c r="AB35" s="344">
        <v>-2951.0410000000002</v>
      </c>
    </row>
    <row r="36" spans="1:28">
      <c r="A36" s="137" t="s">
        <v>554</v>
      </c>
      <c r="B36" s="137"/>
      <c r="C36" s="149"/>
      <c r="D36" s="149">
        <v>0</v>
      </c>
      <c r="E36" s="149">
        <v>0</v>
      </c>
      <c r="F36" s="149"/>
      <c r="G36" s="149"/>
      <c r="H36" s="149">
        <v>0</v>
      </c>
      <c r="I36" s="149">
        <v>0</v>
      </c>
      <c r="J36" s="149">
        <v>-60811.495940000001</v>
      </c>
      <c r="K36" s="149">
        <v>-271</v>
      </c>
      <c r="L36" s="149">
        <v>-29016</v>
      </c>
      <c r="M36" s="149">
        <v>-10771.029649999999</v>
      </c>
      <c r="N36" s="149">
        <v>-35082.030719999995</v>
      </c>
      <c r="O36" s="149">
        <v>-13080.975829999999</v>
      </c>
      <c r="P36" s="149">
        <v>-31203</v>
      </c>
      <c r="Q36" s="149">
        <v>-17307</v>
      </c>
      <c r="R36" s="149">
        <v>-25492</v>
      </c>
      <c r="S36" s="149">
        <v>-12800</v>
      </c>
      <c r="T36" s="149">
        <v>-15816</v>
      </c>
      <c r="U36" s="149">
        <v>-16321</v>
      </c>
      <c r="V36" s="149">
        <v>-20307</v>
      </c>
      <c r="W36" s="149">
        <v>-18787</v>
      </c>
      <c r="X36" s="149">
        <v>-17038</v>
      </c>
      <c r="Y36" s="344">
        <v>-22234.962</v>
      </c>
      <c r="Z36" s="344">
        <v>-13300.486999999999</v>
      </c>
      <c r="AA36" s="344">
        <v>-23700.425999999999</v>
      </c>
      <c r="AB36" s="344">
        <v>-14738.357</v>
      </c>
    </row>
    <row r="37" spans="1:28">
      <c r="A37" s="137" t="s">
        <v>603</v>
      </c>
      <c r="B37" s="137"/>
      <c r="C37" s="149">
        <v>-31586.212879999977</v>
      </c>
      <c r="D37" s="149">
        <v>-217882.31937000001</v>
      </c>
      <c r="E37" s="149">
        <v>58596.314700000017</v>
      </c>
      <c r="F37" s="149">
        <v>88799.960539999985</v>
      </c>
      <c r="G37" s="149">
        <v>-143011.82816</v>
      </c>
      <c r="H37" s="149">
        <v>-34881.313620000001</v>
      </c>
      <c r="I37" s="149">
        <v>-3535.7184000000125</v>
      </c>
      <c r="J37" s="149">
        <v>246073.04938000001</v>
      </c>
      <c r="K37" s="149">
        <v>0</v>
      </c>
      <c r="L37" s="149">
        <v>34839</v>
      </c>
      <c r="M37" s="149"/>
      <c r="N37" s="149">
        <v>0</v>
      </c>
      <c r="O37" s="149"/>
      <c r="P37" s="149">
        <v>0</v>
      </c>
      <c r="Q37" s="149">
        <v>602113</v>
      </c>
      <c r="R37" s="149">
        <v>-58091</v>
      </c>
      <c r="S37" s="149">
        <v>-15528</v>
      </c>
      <c r="T37" s="149">
        <v>-19265</v>
      </c>
      <c r="U37" s="149">
        <v>-7770</v>
      </c>
      <c r="V37" s="149">
        <v>525</v>
      </c>
      <c r="W37" s="149">
        <v>-9706</v>
      </c>
      <c r="X37" s="149">
        <v>-8794</v>
      </c>
      <c r="Y37" s="344">
        <v>-17778.062999999998</v>
      </c>
      <c r="Z37" s="344">
        <v>12834.403</v>
      </c>
      <c r="AA37" s="344">
        <v>-9831.5959999999995</v>
      </c>
      <c r="AB37" s="344">
        <v>-26846.648000000001</v>
      </c>
    </row>
    <row r="38" spans="1:28" ht="15" thickBot="1">
      <c r="A38" s="137" t="s">
        <v>555</v>
      </c>
      <c r="B38" s="137"/>
      <c r="C38" s="149"/>
      <c r="D38" s="149">
        <v>0</v>
      </c>
      <c r="E38" s="149">
        <v>0</v>
      </c>
      <c r="F38" s="149"/>
      <c r="G38" s="149"/>
      <c r="H38" s="149">
        <v>0</v>
      </c>
      <c r="I38" s="149">
        <v>0</v>
      </c>
      <c r="J38" s="149">
        <v>54052.899770000004</v>
      </c>
      <c r="K38" s="149">
        <v>271</v>
      </c>
      <c r="L38" s="149">
        <v>7184</v>
      </c>
      <c r="M38" s="149">
        <v>20481.615550000002</v>
      </c>
      <c r="N38" s="149">
        <v>34729.413379999998</v>
      </c>
      <c r="O38" s="149">
        <v>12237.863150000001</v>
      </c>
      <c r="P38" s="149">
        <v>28437</v>
      </c>
      <c r="Q38" s="149">
        <v>16780</v>
      </c>
      <c r="R38" s="149">
        <v>25532</v>
      </c>
      <c r="S38" s="149">
        <v>12772</v>
      </c>
      <c r="T38" s="149">
        <v>15844</v>
      </c>
      <c r="U38" s="149">
        <v>16321</v>
      </c>
      <c r="V38" s="149">
        <v>16857</v>
      </c>
      <c r="W38" s="149">
        <v>16820</v>
      </c>
      <c r="X38" s="149">
        <v>15874</v>
      </c>
      <c r="Y38" s="344">
        <v>22789.657999999999</v>
      </c>
      <c r="Z38" s="344">
        <v>23211.857</v>
      </c>
      <c r="AA38" s="344">
        <v>23700.425999999999</v>
      </c>
      <c r="AB38" s="344">
        <v>14738.357</v>
      </c>
    </row>
    <row r="39" spans="1:28" ht="15" thickBot="1">
      <c r="A39" s="140" t="s">
        <v>604</v>
      </c>
      <c r="B39" s="137"/>
      <c r="C39" s="354">
        <v>-53587.501380000846</v>
      </c>
      <c r="D39" s="354">
        <v>291538.70100000023</v>
      </c>
      <c r="E39" s="354">
        <v>-187347.14268999998</v>
      </c>
      <c r="F39" s="354">
        <v>-29460.481909999973</v>
      </c>
      <c r="G39" s="354">
        <v>82346.279589999729</v>
      </c>
      <c r="H39" s="354">
        <v>10987</v>
      </c>
      <c r="I39" s="354">
        <v>38817.955519998824</v>
      </c>
      <c r="J39" s="354">
        <v>214671.83600000053</v>
      </c>
      <c r="K39" s="354">
        <v>32456.999999999964</v>
      </c>
      <c r="L39" s="354">
        <v>38928</v>
      </c>
      <c r="M39" s="354">
        <v>143516.43340000018</v>
      </c>
      <c r="N39" s="354">
        <v>238536.05826999975</v>
      </c>
      <c r="O39" s="354">
        <v>64068.120629999976</v>
      </c>
      <c r="P39" s="354">
        <v>172263</v>
      </c>
      <c r="Q39" s="354">
        <v>736212</v>
      </c>
      <c r="R39" s="354">
        <v>201752</v>
      </c>
      <c r="S39" s="354">
        <v>73571</v>
      </c>
      <c r="T39" s="353">
        <f t="shared" ref="T39:Z39" si="22">SUM(T34:T38)</f>
        <v>97249</v>
      </c>
      <c r="U39" s="353">
        <f t="shared" si="22"/>
        <v>75788</v>
      </c>
      <c r="V39" s="353">
        <f t="shared" si="22"/>
        <v>73142</v>
      </c>
      <c r="W39" s="353">
        <f t="shared" si="22"/>
        <v>85693</v>
      </c>
      <c r="X39" s="353">
        <f t="shared" si="22"/>
        <v>77508</v>
      </c>
      <c r="Y39" s="353">
        <f t="shared" si="22"/>
        <v>116529.16900000008</v>
      </c>
      <c r="Z39" s="353">
        <f t="shared" si="22"/>
        <v>97112.660000000047</v>
      </c>
      <c r="AA39" s="353">
        <f t="shared" ref="AA39:AB39" si="23">SUM(AA34:AA38)</f>
        <v>105637.62499999985</v>
      </c>
      <c r="AB39" s="353">
        <f t="shared" si="23"/>
        <v>100422.55299999993</v>
      </c>
    </row>
    <row r="42" spans="1:28">
      <c r="C42" s="355"/>
      <c r="D42" s="355"/>
      <c r="E42" s="355"/>
      <c r="F42" s="355"/>
      <c r="G42" s="355"/>
      <c r="H42" s="355"/>
      <c r="I42" s="355"/>
      <c r="J42" s="355"/>
      <c r="K42" s="355"/>
      <c r="L42" s="355"/>
      <c r="M42" s="355"/>
      <c r="N42" s="355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5"/>
      <c r="Z42" s="355"/>
      <c r="AA42" s="355"/>
      <c r="AB42" s="355"/>
    </row>
  </sheetData>
  <pageMargins left="0.511811024" right="0.511811024" top="0.78740157499999996" bottom="0.78740157499999996" header="0.31496062000000002" footer="0.31496062000000002"/>
  <ignoredErrors>
    <ignoredError sqref="T9:Y9 Z9:AA9" formulaRange="1"/>
  </ignoredError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 tint="0.79998168889431442"/>
  </sheetPr>
  <dimension ref="A7:N42"/>
  <sheetViews>
    <sheetView showGridLines="0" zoomScaleNormal="100" workbookViewId="0">
      <pane xSplit="1" ySplit="8" topLeftCell="B9" activePane="bottomRight" state="frozen"/>
      <selection pane="topRight" activeCell="AN17" sqref="AN17"/>
      <selection pane="bottomLeft" activeCell="AN17" sqref="AN17"/>
      <selection pane="bottomRight" activeCell="N9" sqref="N9"/>
    </sheetView>
  </sheetViews>
  <sheetFormatPr defaultColWidth="9.1796875" defaultRowHeight="14.5" outlineLevelCol="1"/>
  <cols>
    <col min="1" max="1" width="44.453125" style="37" bestFit="1" customWidth="1"/>
    <col min="2" max="2" width="0.7265625" customWidth="1"/>
    <col min="3" max="4" width="9.54296875" style="37" hidden="1" customWidth="1" outlineLevel="1"/>
    <col min="5" max="5" width="9.54296875" style="37" bestFit="1" customWidth="1" collapsed="1"/>
    <col min="6" max="14" width="9.54296875" style="37" bestFit="1" customWidth="1"/>
    <col min="15" max="16384" width="9.1796875" style="37"/>
  </cols>
  <sheetData>
    <row r="7" spans="1:14">
      <c r="A7" s="41" t="s">
        <v>612</v>
      </c>
      <c r="B7" s="133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14" ht="15" thickBot="1">
      <c r="A8" s="544" t="s">
        <v>585</v>
      </c>
      <c r="B8" s="134"/>
      <c r="C8" s="546" t="s">
        <v>43</v>
      </c>
      <c r="D8" s="546" t="s">
        <v>44</v>
      </c>
      <c r="E8" s="546" t="s">
        <v>45</v>
      </c>
      <c r="F8" s="546" t="s">
        <v>46</v>
      </c>
      <c r="G8" s="546" t="s">
        <v>47</v>
      </c>
      <c r="H8" s="546" t="s">
        <v>48</v>
      </c>
      <c r="I8" s="546" t="s">
        <v>49</v>
      </c>
      <c r="J8" s="546" t="s">
        <v>50</v>
      </c>
      <c r="K8" s="556" t="s">
        <v>51</v>
      </c>
      <c r="L8" s="556" t="s">
        <v>52</v>
      </c>
      <c r="M8" s="556" t="s">
        <v>53</v>
      </c>
      <c r="N8" s="556" t="s">
        <v>54</v>
      </c>
    </row>
    <row r="9" spans="1:14" ht="15" thickBot="1">
      <c r="A9" s="140" t="s">
        <v>465</v>
      </c>
      <c r="B9" s="134"/>
      <c r="C9" s="150">
        <f>SUM(C10:C13)</f>
        <v>2020162</v>
      </c>
      <c r="D9" s="150">
        <f t="shared" ref="D9:J9" si="0">SUM(D10:D13)</f>
        <v>2013343</v>
      </c>
      <c r="E9" s="150">
        <f t="shared" si="0"/>
        <v>1918672</v>
      </c>
      <c r="F9" s="150">
        <f t="shared" si="0"/>
        <v>1522377</v>
      </c>
      <c r="G9" s="150">
        <f t="shared" si="0"/>
        <v>1719381</v>
      </c>
      <c r="H9" s="150">
        <f t="shared" si="0"/>
        <v>1690705</v>
      </c>
      <c r="I9" s="150">
        <f t="shared" si="0"/>
        <v>1811009</v>
      </c>
      <c r="J9" s="150">
        <f t="shared" si="0"/>
        <v>1623251</v>
      </c>
      <c r="K9" s="346">
        <f>SUM(K10:K13)</f>
        <v>1677635.2390000003</v>
      </c>
      <c r="L9" s="346">
        <f>SUM(L10:L13)</f>
        <v>1699048.6429999997</v>
      </c>
      <c r="M9" s="346">
        <f>SUM(M10:M13)</f>
        <v>1875791.973</v>
      </c>
      <c r="N9" s="346">
        <f>SUM(N10:N13)</f>
        <v>1725284.601</v>
      </c>
    </row>
    <row r="10" spans="1:14">
      <c r="A10" s="137" t="s">
        <v>586</v>
      </c>
      <c r="B10" s="134"/>
      <c r="C10" s="149">
        <v>1437732</v>
      </c>
      <c r="D10" s="149">
        <v>1538696</v>
      </c>
      <c r="E10" s="149">
        <v>1636479</v>
      </c>
      <c r="F10" s="149">
        <v>1162011</v>
      </c>
      <c r="G10" s="149">
        <v>1179945</v>
      </c>
      <c r="H10" s="149">
        <v>1236587</v>
      </c>
      <c r="I10" s="149">
        <v>1383209</v>
      </c>
      <c r="J10" s="149">
        <v>1200045</v>
      </c>
      <c r="K10" s="344">
        <v>1266038.1100000001</v>
      </c>
      <c r="L10" s="344">
        <v>1387206.3289999999</v>
      </c>
      <c r="M10" s="344">
        <v>1519336.581</v>
      </c>
      <c r="N10" s="344">
        <v>1285291.939</v>
      </c>
    </row>
    <row r="11" spans="1:14">
      <c r="A11" s="137" t="s">
        <v>468</v>
      </c>
      <c r="B11" s="134"/>
      <c r="C11" s="149">
        <v>159947</v>
      </c>
      <c r="D11" s="149">
        <v>156631</v>
      </c>
      <c r="E11" s="149">
        <v>23908</v>
      </c>
      <c r="F11" s="149">
        <v>63089</v>
      </c>
      <c r="G11" s="149">
        <v>55623</v>
      </c>
      <c r="H11" s="149">
        <v>52293</v>
      </c>
      <c r="I11" s="149">
        <v>20288</v>
      </c>
      <c r="J11" s="149">
        <v>41233</v>
      </c>
      <c r="K11" s="344">
        <v>47653.154000000002</v>
      </c>
      <c r="L11" s="344">
        <v>41526.116000000002</v>
      </c>
      <c r="M11" s="344">
        <v>9725.2919999999995</v>
      </c>
      <c r="N11" s="344">
        <v>25959.286</v>
      </c>
    </row>
    <row r="12" spans="1:14">
      <c r="A12" s="137" t="s">
        <v>470</v>
      </c>
      <c r="B12" s="134"/>
      <c r="C12" s="149">
        <v>239460</v>
      </c>
      <c r="D12" s="149">
        <v>74145</v>
      </c>
      <c r="E12" s="149">
        <v>69161</v>
      </c>
      <c r="F12" s="149">
        <v>96164</v>
      </c>
      <c r="G12" s="149">
        <v>328713</v>
      </c>
      <c r="H12" s="149">
        <v>256889</v>
      </c>
      <c r="I12" s="149">
        <v>207767</v>
      </c>
      <c r="J12" s="149">
        <v>210256</v>
      </c>
      <c r="K12" s="344">
        <v>175068.09400000001</v>
      </c>
      <c r="L12" s="344">
        <v>37379.811000000002</v>
      </c>
      <c r="M12" s="344">
        <v>126808.789</v>
      </c>
      <c r="N12" s="344">
        <v>213083.636</v>
      </c>
    </row>
    <row r="13" spans="1:14" ht="15" thickBot="1">
      <c r="A13" s="137" t="s">
        <v>474</v>
      </c>
      <c r="B13" s="134"/>
      <c r="C13" s="149">
        <v>183023</v>
      </c>
      <c r="D13" s="149">
        <v>243871</v>
      </c>
      <c r="E13" s="149">
        <v>189124</v>
      </c>
      <c r="F13" s="149">
        <v>201113</v>
      </c>
      <c r="G13" s="149">
        <v>155100</v>
      </c>
      <c r="H13" s="149">
        <v>144936</v>
      </c>
      <c r="I13" s="149">
        <v>199745</v>
      </c>
      <c r="J13" s="149">
        <v>171717</v>
      </c>
      <c r="K13" s="344">
        <v>188875.88099999999</v>
      </c>
      <c r="L13" s="344">
        <v>232936.38699999999</v>
      </c>
      <c r="M13" s="344">
        <v>219921.31099999999</v>
      </c>
      <c r="N13" s="344">
        <v>200949.74</v>
      </c>
    </row>
    <row r="14" spans="1:14" ht="15" thickBot="1">
      <c r="A14" s="140" t="s">
        <v>587</v>
      </c>
      <c r="B14" s="134"/>
      <c r="C14" s="150">
        <v>-593865</v>
      </c>
      <c r="D14" s="150">
        <v>-601269</v>
      </c>
      <c r="E14" s="150">
        <v>-860159</v>
      </c>
      <c r="F14" s="150">
        <v>-621302</v>
      </c>
      <c r="G14" s="150">
        <v>-495498</v>
      </c>
      <c r="H14" s="150">
        <v>-406183</v>
      </c>
      <c r="I14" s="150">
        <v>-515986</v>
      </c>
      <c r="J14" s="150">
        <v>-503091</v>
      </c>
      <c r="K14" s="346">
        <v>-476639.951</v>
      </c>
      <c r="L14" s="346">
        <v>-522388.61200000002</v>
      </c>
      <c r="M14" s="346">
        <v>-596054.96699999995</v>
      </c>
      <c r="N14" s="346">
        <v>-562387.09299999999</v>
      </c>
    </row>
    <row r="15" spans="1:14" ht="15" thickBot="1">
      <c r="A15" s="140" t="s">
        <v>491</v>
      </c>
      <c r="B15" s="142"/>
      <c r="C15" s="350">
        <f>C9+C14</f>
        <v>1426297</v>
      </c>
      <c r="D15" s="350">
        <f t="shared" ref="D15:J15" si="1">D9+D14</f>
        <v>1412074</v>
      </c>
      <c r="E15" s="350">
        <f t="shared" si="1"/>
        <v>1058513</v>
      </c>
      <c r="F15" s="350">
        <f t="shared" si="1"/>
        <v>901075</v>
      </c>
      <c r="G15" s="350">
        <f t="shared" si="1"/>
        <v>1223883</v>
      </c>
      <c r="H15" s="350">
        <f t="shared" si="1"/>
        <v>1284522</v>
      </c>
      <c r="I15" s="350">
        <f t="shared" si="1"/>
        <v>1295023</v>
      </c>
      <c r="J15" s="350">
        <f t="shared" si="1"/>
        <v>1120160</v>
      </c>
      <c r="K15" s="356">
        <f>K9+K14</f>
        <v>1200995.2880000002</v>
      </c>
      <c r="L15" s="356">
        <f>L9+L14</f>
        <v>1176660.0309999997</v>
      </c>
      <c r="M15" s="356">
        <f>M9+M14</f>
        <v>1279737.0060000001</v>
      </c>
      <c r="N15" s="356">
        <f>N9+N14</f>
        <v>1162897.5079999999</v>
      </c>
    </row>
    <row r="16" spans="1:14" ht="15" thickBot="1">
      <c r="A16" s="140" t="s">
        <v>588</v>
      </c>
      <c r="B16" s="142"/>
      <c r="C16" s="350">
        <f>SUM(C17:C19)</f>
        <v>-1298073</v>
      </c>
      <c r="D16" s="350">
        <f t="shared" ref="D16:J16" si="2">SUM(D17:D19)</f>
        <v>-992222</v>
      </c>
      <c r="E16" s="350">
        <f t="shared" si="2"/>
        <v>-719352</v>
      </c>
      <c r="F16" s="350">
        <f t="shared" si="2"/>
        <v>-710758</v>
      </c>
      <c r="G16" s="350">
        <f t="shared" si="2"/>
        <v>-993563</v>
      </c>
      <c r="H16" s="350">
        <f t="shared" si="2"/>
        <v>-973998</v>
      </c>
      <c r="I16" s="350">
        <f t="shared" si="2"/>
        <v>-865807</v>
      </c>
      <c r="J16" s="350">
        <f t="shared" si="2"/>
        <v>-872421</v>
      </c>
      <c r="K16" s="356">
        <f>SUM(K17:K19)</f>
        <v>-891871.08800000011</v>
      </c>
      <c r="L16" s="356">
        <f>SUM(L17:L19)</f>
        <v>-826393.69700000004</v>
      </c>
      <c r="M16" s="356">
        <f>SUM(M17:M19)</f>
        <v>-860076.11399999994</v>
      </c>
      <c r="N16" s="356">
        <f>SUM(N17:N19)</f>
        <v>-910559.39299999992</v>
      </c>
    </row>
    <row r="17" spans="1:14">
      <c r="A17" s="137" t="s">
        <v>589</v>
      </c>
      <c r="B17" s="142"/>
      <c r="C17" s="149">
        <v>-936961</v>
      </c>
      <c r="D17" s="149">
        <v>-790737</v>
      </c>
      <c r="E17" s="149">
        <v>-374229</v>
      </c>
      <c r="F17" s="149">
        <v>-475942</v>
      </c>
      <c r="G17" s="149">
        <v>-465713</v>
      </c>
      <c r="H17" s="149">
        <v>-517116</v>
      </c>
      <c r="I17" s="149">
        <v>-442181</v>
      </c>
      <c r="J17" s="149">
        <v>-603382</v>
      </c>
      <c r="K17" s="344">
        <v>-662039.96200000006</v>
      </c>
      <c r="L17" s="344">
        <v>-726264.12100000004</v>
      </c>
      <c r="M17" s="344">
        <v>-675818.63399999996</v>
      </c>
      <c r="N17" s="344">
        <v>-642882.86399999994</v>
      </c>
    </row>
    <row r="18" spans="1:14">
      <c r="A18" s="137" t="s">
        <v>590</v>
      </c>
      <c r="B18" s="142"/>
      <c r="C18" s="149">
        <v>-121652</v>
      </c>
      <c r="D18" s="149">
        <v>-127340</v>
      </c>
      <c r="E18" s="149">
        <v>-275962</v>
      </c>
      <c r="F18" s="149">
        <v>-138652</v>
      </c>
      <c r="G18" s="149">
        <v>-199137</v>
      </c>
      <c r="H18" s="149">
        <v>-199993</v>
      </c>
      <c r="I18" s="149">
        <v>-215859</v>
      </c>
      <c r="J18" s="149">
        <v>-58783</v>
      </c>
      <c r="K18" s="344">
        <v>-54763.031999999999</v>
      </c>
      <c r="L18" s="344">
        <v>-62749.764999999999</v>
      </c>
      <c r="M18" s="344">
        <v>-57448.690999999999</v>
      </c>
      <c r="N18" s="344">
        <v>-54592.892999999996</v>
      </c>
    </row>
    <row r="19" spans="1:14" ht="15" thickBot="1">
      <c r="A19" s="137" t="s">
        <v>591</v>
      </c>
      <c r="B19" s="142"/>
      <c r="C19" s="149">
        <v>-239460</v>
      </c>
      <c r="D19" s="149">
        <v>-74145</v>
      </c>
      <c r="E19" s="149">
        <v>-69161</v>
      </c>
      <c r="F19" s="149">
        <v>-96164</v>
      </c>
      <c r="G19" s="149">
        <v>-328713</v>
      </c>
      <c r="H19" s="149">
        <v>-256889</v>
      </c>
      <c r="I19" s="149">
        <v>-207767</v>
      </c>
      <c r="J19" s="149">
        <v>-210256</v>
      </c>
      <c r="K19" s="344">
        <v>-175068.09400000001</v>
      </c>
      <c r="L19" s="344">
        <v>-37379.811000000002</v>
      </c>
      <c r="M19" s="344">
        <v>-126808.789</v>
      </c>
      <c r="N19" s="344">
        <v>-213083.636</v>
      </c>
    </row>
    <row r="20" spans="1:14" ht="15" thickBot="1">
      <c r="A20" s="140" t="s">
        <v>593</v>
      </c>
      <c r="B20" s="142"/>
      <c r="C20" s="150">
        <f>C15+C16</f>
        <v>128224</v>
      </c>
      <c r="D20" s="150">
        <f t="shared" ref="D20:J20" si="3">D15+D16</f>
        <v>419852</v>
      </c>
      <c r="E20" s="150">
        <f t="shared" si="3"/>
        <v>339161</v>
      </c>
      <c r="F20" s="150">
        <f t="shared" si="3"/>
        <v>190317</v>
      </c>
      <c r="G20" s="150">
        <f t="shared" si="3"/>
        <v>230320</v>
      </c>
      <c r="H20" s="150">
        <f t="shared" si="3"/>
        <v>310524</v>
      </c>
      <c r="I20" s="150">
        <f t="shared" si="3"/>
        <v>429216</v>
      </c>
      <c r="J20" s="150">
        <f t="shared" si="3"/>
        <v>247739</v>
      </c>
      <c r="K20" s="346">
        <f>K15+K16</f>
        <v>309124.20000000007</v>
      </c>
      <c r="L20" s="346">
        <f>L15+L16</f>
        <v>350266.33399999968</v>
      </c>
      <c r="M20" s="346">
        <f>M15+M16</f>
        <v>419660.89200000011</v>
      </c>
      <c r="N20" s="346">
        <f>N15+N16</f>
        <v>252338.11499999999</v>
      </c>
    </row>
    <row r="21" spans="1:14" ht="15" thickBot="1">
      <c r="A21" s="140" t="s">
        <v>594</v>
      </c>
      <c r="B21" s="142"/>
      <c r="C21" s="150">
        <f>SUM(C22:C27)</f>
        <v>-323118</v>
      </c>
      <c r="D21" s="150">
        <f t="shared" ref="D21:J21" si="4">SUM(D22:D27)</f>
        <v>-163860</v>
      </c>
      <c r="E21" s="150">
        <f t="shared" si="4"/>
        <v>-167741</v>
      </c>
      <c r="F21" s="150">
        <f t="shared" si="4"/>
        <v>-188899</v>
      </c>
      <c r="G21" s="150">
        <f t="shared" si="4"/>
        <v>-131390</v>
      </c>
      <c r="H21" s="150">
        <f t="shared" si="4"/>
        <v>-163602</v>
      </c>
      <c r="I21" s="150">
        <f t="shared" si="4"/>
        <v>-165404</v>
      </c>
      <c r="J21" s="150">
        <f t="shared" si="4"/>
        <v>-192924</v>
      </c>
      <c r="K21" s="346">
        <f>SUM(K22:K27)</f>
        <v>-204933.731</v>
      </c>
      <c r="L21" s="346">
        <f>SUM(L22:L27)</f>
        <v>-318729.44699999999</v>
      </c>
      <c r="M21" s="346">
        <f>SUM(M22:M27)</f>
        <v>-229031.16799999998</v>
      </c>
      <c r="N21" s="346">
        <f>SUM(N22:N27)</f>
        <v>-240293.49000000002</v>
      </c>
    </row>
    <row r="22" spans="1:14">
      <c r="A22" s="137" t="s">
        <v>595</v>
      </c>
      <c r="B22" s="142"/>
      <c r="C22" s="149">
        <v>-215289</v>
      </c>
      <c r="D22" s="149">
        <v>-90098</v>
      </c>
      <c r="E22" s="149">
        <v>-71200</v>
      </c>
      <c r="F22" s="149">
        <v>-84086</v>
      </c>
      <c r="G22" s="149">
        <v>-53958</v>
      </c>
      <c r="H22" s="149">
        <v>-66629</v>
      </c>
      <c r="I22" s="149">
        <v>-51397</v>
      </c>
      <c r="J22" s="149">
        <v>-64022</v>
      </c>
      <c r="K22" s="344">
        <v>-57834.985999999997</v>
      </c>
      <c r="L22" s="344">
        <v>-56279.724999999999</v>
      </c>
      <c r="M22" s="344">
        <v>-29996.848000000002</v>
      </c>
      <c r="N22" s="344">
        <v>-37853.355000000003</v>
      </c>
    </row>
    <row r="23" spans="1:14">
      <c r="A23" s="137" t="s">
        <v>596</v>
      </c>
      <c r="B23" s="142"/>
      <c r="C23" s="149">
        <v>-4778</v>
      </c>
      <c r="D23" s="149">
        <v>-2619</v>
      </c>
      <c r="E23" s="149">
        <v>-4575</v>
      </c>
      <c r="F23" s="149">
        <v>-3232</v>
      </c>
      <c r="G23" s="149">
        <v>-2824</v>
      </c>
      <c r="H23" s="149">
        <v>-1450</v>
      </c>
      <c r="I23" s="149">
        <v>-1680</v>
      </c>
      <c r="J23" s="149">
        <v>1159</v>
      </c>
      <c r="K23" s="344">
        <v>-86.082999999999998</v>
      </c>
      <c r="L23" s="344">
        <v>-8860.8590000000004</v>
      </c>
      <c r="M23" s="344">
        <v>-2122.3339999999998</v>
      </c>
      <c r="N23" s="344">
        <v>-5156.58</v>
      </c>
    </row>
    <row r="24" spans="1:14">
      <c r="A24" s="137" t="s">
        <v>597</v>
      </c>
      <c r="B24" s="357"/>
      <c r="C24" s="149">
        <v>-36883</v>
      </c>
      <c r="D24" s="149">
        <v>-52788</v>
      </c>
      <c r="E24" s="149">
        <v>-41530</v>
      </c>
      <c r="F24" s="149">
        <v>-70938</v>
      </c>
      <c r="G24" s="149">
        <v>-69136</v>
      </c>
      <c r="H24" s="149">
        <v>-87903</v>
      </c>
      <c r="I24" s="149">
        <v>-77707</v>
      </c>
      <c r="J24" s="149">
        <v>-85856</v>
      </c>
      <c r="K24" s="344">
        <v>-79067.788</v>
      </c>
      <c r="L24" s="344">
        <v>-96183.38</v>
      </c>
      <c r="M24" s="344">
        <v>-107939.9</v>
      </c>
      <c r="N24" s="344">
        <v>-82515.936000000002</v>
      </c>
    </row>
    <row r="25" spans="1:14">
      <c r="A25" s="137" t="s">
        <v>598</v>
      </c>
      <c r="B25" s="142"/>
      <c r="C25" s="149">
        <v>-55842</v>
      </c>
      <c r="D25" s="149">
        <v>-12256</v>
      </c>
      <c r="E25" s="149">
        <v>-44511</v>
      </c>
      <c r="F25" s="149">
        <v>-32931</v>
      </c>
      <c r="G25" s="149">
        <v>-4645</v>
      </c>
      <c r="H25" s="149">
        <v>-9248</v>
      </c>
      <c r="I25" s="149">
        <v>-36336</v>
      </c>
      <c r="J25" s="149">
        <v>-46797</v>
      </c>
      <c r="K25" s="344">
        <v>-49844.680999999997</v>
      </c>
      <c r="L25" s="344">
        <v>-45455.190999999999</v>
      </c>
      <c r="M25" s="344">
        <v>-60686.125999999997</v>
      </c>
      <c r="N25" s="344">
        <v>-51312.66</v>
      </c>
    </row>
    <row r="26" spans="1:14">
      <c r="A26" s="137" t="s">
        <v>59</v>
      </c>
      <c r="B26" s="142"/>
      <c r="C26" s="149">
        <v>-8848</v>
      </c>
      <c r="D26" s="149">
        <v>-6099</v>
      </c>
      <c r="E26" s="149">
        <v>-6453</v>
      </c>
      <c r="F26" s="149">
        <v>186</v>
      </c>
      <c r="G26" s="149">
        <v>-1814</v>
      </c>
      <c r="H26" s="149">
        <v>10022</v>
      </c>
      <c r="I26" s="149">
        <v>-203</v>
      </c>
      <c r="J26" s="149">
        <v>2300</v>
      </c>
      <c r="K26" s="344">
        <v>-16359.593000000001</v>
      </c>
      <c r="L26" s="344">
        <v>-6172.7740000000003</v>
      </c>
      <c r="M26" s="344">
        <v>-8932.5360000000001</v>
      </c>
      <c r="N26" s="344">
        <v>-12371.710999999999</v>
      </c>
    </row>
    <row r="27" spans="1:14">
      <c r="A27" s="137" t="s">
        <v>599</v>
      </c>
      <c r="B27" s="134"/>
      <c r="C27" s="149">
        <v>-1478</v>
      </c>
      <c r="D27" s="149">
        <v>0</v>
      </c>
      <c r="E27" s="149">
        <v>528</v>
      </c>
      <c r="F27" s="149">
        <v>2102</v>
      </c>
      <c r="G27" s="149">
        <v>987</v>
      </c>
      <c r="H27" s="149">
        <v>-8394</v>
      </c>
      <c r="I27" s="149">
        <v>1919</v>
      </c>
      <c r="J27" s="149">
        <v>292</v>
      </c>
      <c r="K27" s="344">
        <v>-1740.6</v>
      </c>
      <c r="L27" s="344">
        <v>-105777.518</v>
      </c>
      <c r="M27" s="344">
        <v>-19353.423999999999</v>
      </c>
      <c r="N27" s="344">
        <v>-51083.248</v>
      </c>
    </row>
    <row r="28" spans="1:14">
      <c r="A28" s="551" t="s">
        <v>529</v>
      </c>
      <c r="B28" s="142"/>
      <c r="C28" s="548">
        <f>C20+C21</f>
        <v>-194894</v>
      </c>
      <c r="D28" s="548">
        <f t="shared" ref="D28:J28" si="5">D20+D21</f>
        <v>255992</v>
      </c>
      <c r="E28" s="548">
        <f t="shared" si="5"/>
        <v>171420</v>
      </c>
      <c r="F28" s="548">
        <f t="shared" si="5"/>
        <v>1418</v>
      </c>
      <c r="G28" s="548">
        <f t="shared" si="5"/>
        <v>98930</v>
      </c>
      <c r="H28" s="548">
        <f t="shared" si="5"/>
        <v>146922</v>
      </c>
      <c r="I28" s="548">
        <f t="shared" si="5"/>
        <v>263812</v>
      </c>
      <c r="J28" s="548">
        <f t="shared" si="5"/>
        <v>54815</v>
      </c>
      <c r="K28" s="560">
        <f>K20+K21</f>
        <v>104190.46900000007</v>
      </c>
      <c r="L28" s="560">
        <f>L20+L21</f>
        <v>31536.886999999697</v>
      </c>
      <c r="M28" s="560">
        <f>M20+M21</f>
        <v>190629.72400000013</v>
      </c>
      <c r="N28" s="560">
        <f>N20+N21</f>
        <v>12044.624999999971</v>
      </c>
    </row>
    <row r="29" spans="1:14" ht="15" thickBot="1">
      <c r="A29" s="137" t="s">
        <v>600</v>
      </c>
      <c r="B29" s="134"/>
      <c r="C29" s="149">
        <v>-41933</v>
      </c>
      <c r="D29" s="149">
        <v>-41796</v>
      </c>
      <c r="E29" s="149">
        <v>-41330</v>
      </c>
      <c r="F29" s="149">
        <v>-41003</v>
      </c>
      <c r="G29" s="149">
        <v>-41016</v>
      </c>
      <c r="H29" s="149">
        <v>-40992</v>
      </c>
      <c r="I29" s="149">
        <v>-40222</v>
      </c>
      <c r="J29" s="149">
        <v>-37003</v>
      </c>
      <c r="K29" s="344">
        <v>-31155.850999999999</v>
      </c>
      <c r="L29" s="344">
        <v>-40484.841</v>
      </c>
      <c r="M29" s="344">
        <v>-34687.699000000001</v>
      </c>
      <c r="N29" s="344">
        <v>-35394.32</v>
      </c>
    </row>
    <row r="30" spans="1:14" ht="15" thickBot="1">
      <c r="A30" s="140" t="s">
        <v>601</v>
      </c>
      <c r="B30" s="134"/>
      <c r="C30" s="150">
        <f>C28+C29</f>
        <v>-236827</v>
      </c>
      <c r="D30" s="150">
        <f t="shared" ref="D30:J30" si="6">D28+D29</f>
        <v>214196</v>
      </c>
      <c r="E30" s="150">
        <f t="shared" si="6"/>
        <v>130090</v>
      </c>
      <c r="F30" s="150">
        <f t="shared" si="6"/>
        <v>-39585</v>
      </c>
      <c r="G30" s="150">
        <f t="shared" si="6"/>
        <v>57914</v>
      </c>
      <c r="H30" s="150">
        <f t="shared" si="6"/>
        <v>105930</v>
      </c>
      <c r="I30" s="150">
        <f t="shared" si="6"/>
        <v>223590</v>
      </c>
      <c r="J30" s="150">
        <f t="shared" si="6"/>
        <v>17812</v>
      </c>
      <c r="K30" s="346">
        <f>K28+K29</f>
        <v>73034.618000000075</v>
      </c>
      <c r="L30" s="346">
        <f>L28+L29</f>
        <v>-8947.9540000003035</v>
      </c>
      <c r="M30" s="346">
        <f>M28+M29</f>
        <v>155942.02500000014</v>
      </c>
      <c r="N30" s="346">
        <f>N28+N29</f>
        <v>-23349.695000000029</v>
      </c>
    </row>
    <row r="31" spans="1:14" ht="15" thickBot="1">
      <c r="A31" s="140" t="s">
        <v>531</v>
      </c>
      <c r="B31" s="134"/>
      <c r="C31" s="350">
        <f>SUM(C32:C33)</f>
        <v>-173566</v>
      </c>
      <c r="D31" s="350">
        <f t="shared" ref="D31:J31" si="7">SUM(D32:D33)</f>
        <v>134667</v>
      </c>
      <c r="E31" s="350">
        <f t="shared" si="7"/>
        <v>-113664</v>
      </c>
      <c r="F31" s="350">
        <f t="shared" si="7"/>
        <v>-59958</v>
      </c>
      <c r="G31" s="350">
        <f t="shared" si="7"/>
        <v>-68132</v>
      </c>
      <c r="H31" s="350">
        <f t="shared" si="7"/>
        <v>-278769</v>
      </c>
      <c r="I31" s="350">
        <f t="shared" si="7"/>
        <v>-182065</v>
      </c>
      <c r="J31" s="350">
        <f t="shared" si="7"/>
        <v>-177797</v>
      </c>
      <c r="K31" s="356">
        <f>SUM(K32:K33)</f>
        <v>-175179.37599999999</v>
      </c>
      <c r="L31" s="356">
        <f>SUM(L32:L33)</f>
        <v>-222005.50399999996</v>
      </c>
      <c r="M31" s="356">
        <f>SUM(M32:M33)</f>
        <v>-171938.60700000002</v>
      </c>
      <c r="N31" s="356">
        <f>SUM(N32:N33)</f>
        <v>-192633.68100000004</v>
      </c>
    </row>
    <row r="32" spans="1:14">
      <c r="A32" s="137" t="s">
        <v>532</v>
      </c>
      <c r="B32" s="134"/>
      <c r="C32" s="149">
        <v>233252</v>
      </c>
      <c r="D32" s="149">
        <v>155385</v>
      </c>
      <c r="E32" s="149">
        <v>251472</v>
      </c>
      <c r="F32" s="149">
        <v>150921</v>
      </c>
      <c r="G32" s="149">
        <v>199175</v>
      </c>
      <c r="H32" s="149">
        <v>76235</v>
      </c>
      <c r="I32" s="149">
        <v>119110</v>
      </c>
      <c r="J32" s="149">
        <v>103313</v>
      </c>
      <c r="K32" s="344">
        <v>139025.43900000001</v>
      </c>
      <c r="L32" s="344">
        <v>99943.531000000003</v>
      </c>
      <c r="M32" s="344">
        <v>169128.136</v>
      </c>
      <c r="N32" s="344">
        <v>180883.69699999999</v>
      </c>
    </row>
    <row r="33" spans="1:14" ht="15" thickBot="1">
      <c r="A33" s="137" t="s">
        <v>541</v>
      </c>
      <c r="B33" s="134"/>
      <c r="C33" s="149">
        <v>-406818</v>
      </c>
      <c r="D33" s="149">
        <v>-20718</v>
      </c>
      <c r="E33" s="149">
        <v>-365136</v>
      </c>
      <c r="F33" s="149">
        <v>-210879</v>
      </c>
      <c r="G33" s="149">
        <v>-267307</v>
      </c>
      <c r="H33" s="149">
        <v>-355004</v>
      </c>
      <c r="I33" s="149">
        <v>-301175</v>
      </c>
      <c r="J33" s="149">
        <v>-281110</v>
      </c>
      <c r="K33" s="344">
        <v>-314204.815</v>
      </c>
      <c r="L33" s="344">
        <v>-321949.03499999997</v>
      </c>
      <c r="M33" s="344">
        <v>-341066.74300000002</v>
      </c>
      <c r="N33" s="344">
        <v>-373517.37800000003</v>
      </c>
    </row>
    <row r="34" spans="1:14" ht="15" thickBot="1">
      <c r="A34" s="140" t="s">
        <v>602</v>
      </c>
      <c r="B34" s="134"/>
      <c r="C34" s="150">
        <f>C30+C31</f>
        <v>-410393</v>
      </c>
      <c r="D34" s="150">
        <f t="shared" ref="D34:J34" si="8">D30+D31</f>
        <v>348863</v>
      </c>
      <c r="E34" s="150">
        <f t="shared" si="8"/>
        <v>16426</v>
      </c>
      <c r="F34" s="150">
        <f t="shared" si="8"/>
        <v>-99543</v>
      </c>
      <c r="G34" s="150">
        <f t="shared" si="8"/>
        <v>-10218</v>
      </c>
      <c r="H34" s="150">
        <f t="shared" si="8"/>
        <v>-172839</v>
      </c>
      <c r="I34" s="150">
        <f t="shared" si="8"/>
        <v>41525</v>
      </c>
      <c r="J34" s="150">
        <f t="shared" si="8"/>
        <v>-159985</v>
      </c>
      <c r="K34" s="346">
        <f>K30+K31</f>
        <v>-102144.75799999991</v>
      </c>
      <c r="L34" s="346">
        <f>L30+L31</f>
        <v>-230953.45800000028</v>
      </c>
      <c r="M34" s="346">
        <f>M30+M31</f>
        <v>-15996.581999999878</v>
      </c>
      <c r="N34" s="346">
        <f>N30+N31</f>
        <v>-215983.37600000008</v>
      </c>
    </row>
    <row r="35" spans="1:14">
      <c r="A35" s="137" t="s">
        <v>553</v>
      </c>
      <c r="B35" s="134"/>
      <c r="C35" s="149">
        <v>0</v>
      </c>
      <c r="D35" s="149">
        <v>0</v>
      </c>
      <c r="E35" s="149">
        <v>0</v>
      </c>
      <c r="F35" s="149">
        <v>-398</v>
      </c>
      <c r="G35" s="149">
        <v>398</v>
      </c>
      <c r="H35" s="149">
        <v>0</v>
      </c>
      <c r="I35" s="149">
        <v>-145</v>
      </c>
      <c r="J35" s="149">
        <v>145</v>
      </c>
      <c r="K35" s="344">
        <v>0</v>
      </c>
      <c r="L35" s="344">
        <v>0</v>
      </c>
      <c r="M35" s="344">
        <v>0</v>
      </c>
      <c r="N35" s="344">
        <v>0</v>
      </c>
    </row>
    <row r="36" spans="1:14">
      <c r="A36" s="137" t="s">
        <v>554</v>
      </c>
      <c r="B36" s="134"/>
      <c r="C36" s="149">
        <v>0</v>
      </c>
      <c r="D36" s="149">
        <v>0</v>
      </c>
      <c r="E36" s="149">
        <v>0</v>
      </c>
      <c r="F36" s="149">
        <v>-1094</v>
      </c>
      <c r="G36" s="149">
        <v>1094</v>
      </c>
      <c r="H36" s="149">
        <v>0</v>
      </c>
      <c r="I36" s="149">
        <v>-392</v>
      </c>
      <c r="J36" s="149">
        <v>392</v>
      </c>
      <c r="K36" s="344">
        <v>0</v>
      </c>
      <c r="L36" s="344">
        <v>0</v>
      </c>
      <c r="M36" s="344">
        <v>0</v>
      </c>
      <c r="N36" s="344">
        <v>0</v>
      </c>
    </row>
    <row r="37" spans="1:14">
      <c r="A37" s="137" t="s">
        <v>603</v>
      </c>
      <c r="B37" s="134"/>
      <c r="C37" s="149">
        <v>0</v>
      </c>
      <c r="D37" s="149">
        <v>0</v>
      </c>
      <c r="E37" s="149">
        <v>0</v>
      </c>
      <c r="F37" s="149">
        <v>0</v>
      </c>
      <c r="G37" s="149">
        <v>0</v>
      </c>
      <c r="H37" s="149">
        <v>0</v>
      </c>
      <c r="I37" s="149">
        <v>0</v>
      </c>
      <c r="J37" s="149">
        <v>0</v>
      </c>
      <c r="K37" s="344">
        <v>0</v>
      </c>
      <c r="L37" s="344">
        <v>0</v>
      </c>
      <c r="M37" s="344">
        <v>48989.485999999997</v>
      </c>
      <c r="N37" s="344">
        <v>0</v>
      </c>
    </row>
    <row r="38" spans="1:14" ht="15" thickBot="1">
      <c r="A38" s="137" t="s">
        <v>555</v>
      </c>
      <c r="B38" s="134"/>
      <c r="C38" s="149">
        <v>0</v>
      </c>
      <c r="D38" s="149">
        <v>0</v>
      </c>
      <c r="E38" s="149">
        <v>0</v>
      </c>
      <c r="F38" s="149">
        <v>0</v>
      </c>
      <c r="G38" s="149">
        <v>0</v>
      </c>
      <c r="H38" s="149">
        <v>0</v>
      </c>
      <c r="I38" s="149">
        <v>0</v>
      </c>
      <c r="J38" s="149">
        <v>0</v>
      </c>
      <c r="K38" s="344">
        <v>0</v>
      </c>
      <c r="L38" s="344">
        <v>0</v>
      </c>
      <c r="M38" s="344">
        <v>0</v>
      </c>
      <c r="N38" s="344">
        <v>0</v>
      </c>
    </row>
    <row r="39" spans="1:14" ht="15" thickBot="1">
      <c r="A39" s="140" t="s">
        <v>604</v>
      </c>
      <c r="B39" s="134"/>
      <c r="C39" s="354">
        <f>SUM(C34:C38)</f>
        <v>-410393</v>
      </c>
      <c r="D39" s="354">
        <f t="shared" ref="D39:J39" si="9">SUM(D34:D38)</f>
        <v>348863</v>
      </c>
      <c r="E39" s="354">
        <f t="shared" si="9"/>
        <v>16426</v>
      </c>
      <c r="F39" s="354">
        <f t="shared" si="9"/>
        <v>-101035</v>
      </c>
      <c r="G39" s="354">
        <f t="shared" si="9"/>
        <v>-8726</v>
      </c>
      <c r="H39" s="354">
        <f t="shared" si="9"/>
        <v>-172839</v>
      </c>
      <c r="I39" s="354">
        <f t="shared" si="9"/>
        <v>40988</v>
      </c>
      <c r="J39" s="354">
        <f t="shared" si="9"/>
        <v>-159448</v>
      </c>
      <c r="K39" s="354">
        <f>SUM(K34:K38)</f>
        <v>-102144.75799999991</v>
      </c>
      <c r="L39" s="354">
        <f>SUM(L34:L38)</f>
        <v>-230953.45800000028</v>
      </c>
      <c r="M39" s="354">
        <f>SUM(M34:M38)</f>
        <v>32992.904000000119</v>
      </c>
      <c r="N39" s="354">
        <f>SUM(N34:N38)</f>
        <v>-215983.37600000008</v>
      </c>
    </row>
    <row r="42" spans="1:14">
      <c r="C42" s="355"/>
      <c r="D42" s="355"/>
      <c r="E42" s="355"/>
      <c r="F42" s="355"/>
      <c r="G42" s="355"/>
      <c r="H42" s="355"/>
      <c r="I42" s="355"/>
      <c r="J42" s="355"/>
      <c r="K42" s="355"/>
      <c r="L42" s="355"/>
      <c r="M42" s="355"/>
      <c r="N42" s="355"/>
    </row>
  </sheetData>
  <pageMargins left="0.511811024" right="0.511811024" top="0.78740157499999996" bottom="0.78740157499999996" header="0.31496062000000002" footer="0.31496062000000002"/>
  <ignoredErrors>
    <ignoredError sqref="E9:M9" formulaRange="1"/>
  </ignoredError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79998168889431442"/>
  </sheetPr>
  <dimension ref="A7:P43"/>
  <sheetViews>
    <sheetView showGridLines="0" zoomScaleNormal="100" workbookViewId="0">
      <pane xSplit="1" ySplit="8" topLeftCell="B9" activePane="bottomRight" state="frozen"/>
      <selection pane="topRight" activeCell="AN17" sqref="AN17"/>
      <selection pane="bottomLeft" activeCell="AN17" sqref="AN17"/>
      <selection pane="bottomRight" activeCell="P10" sqref="P10"/>
    </sheetView>
  </sheetViews>
  <sheetFormatPr defaultColWidth="9.1796875" defaultRowHeight="14.5" outlineLevelCol="1"/>
  <cols>
    <col min="1" max="1" width="44.54296875" style="37" customWidth="1"/>
    <col min="2" max="2" width="0.54296875" customWidth="1"/>
    <col min="3" max="4" width="9.54296875" style="37" hidden="1" customWidth="1" outlineLevel="1"/>
    <col min="5" max="5" width="2" hidden="1" customWidth="1" outlineLevel="1"/>
    <col min="6" max="6" width="9.54296875" style="37" hidden="1" customWidth="1" outlineLevel="1"/>
    <col min="7" max="7" width="9.54296875" style="37" customWidth="1" collapsed="1"/>
    <col min="8" max="16" width="9.54296875" style="37" bestFit="1" customWidth="1"/>
    <col min="17" max="16384" width="9.1796875" style="37"/>
  </cols>
  <sheetData>
    <row r="7" spans="1:16">
      <c r="A7" s="41" t="s">
        <v>613</v>
      </c>
      <c r="B7" s="133"/>
      <c r="C7" s="41"/>
      <c r="D7" s="41"/>
      <c r="E7" s="133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</row>
    <row r="8" spans="1:16" ht="15" thickBot="1">
      <c r="A8" s="544" t="s">
        <v>585</v>
      </c>
      <c r="B8" s="134"/>
      <c r="C8" s="546" t="s">
        <v>41</v>
      </c>
      <c r="D8" s="546" t="s">
        <v>42</v>
      </c>
      <c r="E8" s="134"/>
      <c r="F8" s="546" t="s">
        <v>44</v>
      </c>
      <c r="G8" s="546" t="s">
        <v>45</v>
      </c>
      <c r="H8" s="546" t="s">
        <v>46</v>
      </c>
      <c r="I8" s="546" t="s">
        <v>47</v>
      </c>
      <c r="J8" s="546" t="s">
        <v>48</v>
      </c>
      <c r="K8" s="546" t="s">
        <v>49</v>
      </c>
      <c r="L8" s="546" t="s">
        <v>50</v>
      </c>
      <c r="M8" s="556" t="s">
        <v>51</v>
      </c>
      <c r="N8" s="556" t="s">
        <v>52</v>
      </c>
      <c r="O8" s="556" t="s">
        <v>53</v>
      </c>
      <c r="P8" s="556" t="s">
        <v>54</v>
      </c>
    </row>
    <row r="9" spans="1:16" ht="15" thickBot="1">
      <c r="A9" s="140" t="s">
        <v>465</v>
      </c>
      <c r="B9" s="134"/>
      <c r="C9" s="141">
        <f>SUM(C10:C13)</f>
        <v>213114</v>
      </c>
      <c r="D9" s="141">
        <f>SUM(D10:D13)</f>
        <v>182611</v>
      </c>
      <c r="E9" s="134"/>
      <c r="F9" s="141">
        <v>698028</v>
      </c>
      <c r="G9" s="141">
        <f t="shared" ref="G9:L9" si="0">SUM(G10:G13)</f>
        <v>190941</v>
      </c>
      <c r="H9" s="141">
        <f t="shared" si="0"/>
        <v>417856</v>
      </c>
      <c r="I9" s="141">
        <f t="shared" si="0"/>
        <v>300675</v>
      </c>
      <c r="J9" s="141">
        <f t="shared" si="0"/>
        <v>590366</v>
      </c>
      <c r="K9" s="141">
        <f t="shared" si="0"/>
        <v>389201</v>
      </c>
      <c r="L9" s="141">
        <f t="shared" si="0"/>
        <v>462844</v>
      </c>
      <c r="M9" s="141">
        <f>SUM(M10:M13)</f>
        <v>431269.37199999997</v>
      </c>
      <c r="N9" s="141">
        <f>SUM(N10:N13)</f>
        <v>439067.19000000006</v>
      </c>
      <c r="O9" s="141">
        <f>SUM(O10:O13)</f>
        <v>420133.20699999999</v>
      </c>
      <c r="P9" s="141">
        <f>SUM(P10:P13)</f>
        <v>564603.75800000003</v>
      </c>
    </row>
    <row r="10" spans="1:16">
      <c r="A10" s="137" t="s">
        <v>586</v>
      </c>
      <c r="B10" s="134"/>
      <c r="C10" s="149">
        <v>200364</v>
      </c>
      <c r="D10" s="149">
        <v>175208</v>
      </c>
      <c r="E10" s="134"/>
      <c r="F10" s="149">
        <v>644860</v>
      </c>
      <c r="G10" s="149">
        <v>164989</v>
      </c>
      <c r="H10" s="149">
        <v>238655</v>
      </c>
      <c r="I10" s="149">
        <v>193098</v>
      </c>
      <c r="J10" s="149">
        <v>334333</v>
      </c>
      <c r="K10" s="149">
        <v>243268</v>
      </c>
      <c r="L10" s="149">
        <v>269039</v>
      </c>
      <c r="M10" s="344">
        <v>292266.59100000001</v>
      </c>
      <c r="N10" s="344">
        <v>307873.283</v>
      </c>
      <c r="O10" s="344">
        <v>309424.10700000002</v>
      </c>
      <c r="P10" s="344">
        <v>374145.37199999997</v>
      </c>
    </row>
    <row r="11" spans="1:16">
      <c r="A11" s="137" t="s">
        <v>468</v>
      </c>
      <c r="B11" s="134"/>
      <c r="C11" s="149">
        <v>4600</v>
      </c>
      <c r="D11" s="149"/>
      <c r="E11" s="134"/>
      <c r="F11" s="149">
        <v>1737</v>
      </c>
      <c r="G11" s="149">
        <v>-1349</v>
      </c>
      <c r="H11" s="149">
        <v>8389</v>
      </c>
      <c r="I11" s="149">
        <v>2105</v>
      </c>
      <c r="J11" s="149">
        <v>637</v>
      </c>
      <c r="K11" s="149">
        <v>8013</v>
      </c>
      <c r="L11" s="149">
        <v>5988</v>
      </c>
      <c r="M11" s="344">
        <v>5095.826</v>
      </c>
      <c r="N11" s="344">
        <v>3522.9160000000002</v>
      </c>
      <c r="O11" s="344">
        <v>5744.5330000000004</v>
      </c>
      <c r="P11" s="344">
        <v>7980.0630000000001</v>
      </c>
    </row>
    <row r="12" spans="1:16">
      <c r="A12" s="137" t="s">
        <v>470</v>
      </c>
      <c r="B12" s="134"/>
      <c r="C12" s="149">
        <v>0</v>
      </c>
      <c r="D12" s="149"/>
      <c r="E12" s="134"/>
      <c r="F12" s="149">
        <v>41196</v>
      </c>
      <c r="G12" s="149">
        <v>17244</v>
      </c>
      <c r="H12" s="149">
        <v>73106</v>
      </c>
      <c r="I12" s="149">
        <v>75334</v>
      </c>
      <c r="J12" s="149">
        <v>222226</v>
      </c>
      <c r="K12" s="149">
        <v>107039</v>
      </c>
      <c r="L12" s="149">
        <v>149511</v>
      </c>
      <c r="M12" s="344">
        <v>98854.544999999998</v>
      </c>
      <c r="N12" s="344">
        <v>94720.551999999996</v>
      </c>
      <c r="O12" s="344">
        <v>87893.668999999994</v>
      </c>
      <c r="P12" s="344">
        <v>83670.796000000002</v>
      </c>
    </row>
    <row r="13" spans="1:16" ht="15" thickBot="1">
      <c r="A13" s="137" t="s">
        <v>474</v>
      </c>
      <c r="B13" s="134"/>
      <c r="C13" s="149">
        <v>8150</v>
      </c>
      <c r="D13" s="149">
        <v>7403</v>
      </c>
      <c r="E13" s="134"/>
      <c r="F13" s="149">
        <v>10235</v>
      </c>
      <c r="G13" s="149">
        <v>10057</v>
      </c>
      <c r="H13" s="149">
        <v>97706</v>
      </c>
      <c r="I13" s="149">
        <v>30138</v>
      </c>
      <c r="J13" s="149">
        <v>33170</v>
      </c>
      <c r="K13" s="149">
        <v>30881</v>
      </c>
      <c r="L13" s="149">
        <v>38306</v>
      </c>
      <c r="M13" s="344">
        <v>35052.410000000003</v>
      </c>
      <c r="N13" s="344">
        <v>32950.438999999998</v>
      </c>
      <c r="O13" s="344">
        <v>17070.898000000001</v>
      </c>
      <c r="P13" s="344">
        <v>98807.527000000002</v>
      </c>
    </row>
    <row r="14" spans="1:16" ht="15" thickBot="1">
      <c r="A14" s="140" t="s">
        <v>587</v>
      </c>
      <c r="B14" s="134"/>
      <c r="C14" s="150">
        <v>-37109</v>
      </c>
      <c r="D14" s="150">
        <v>-40165</v>
      </c>
      <c r="E14" s="134"/>
      <c r="F14" s="150">
        <v>-67897</v>
      </c>
      <c r="G14" s="150">
        <v>-73588</v>
      </c>
      <c r="H14" s="150">
        <v>-52870</v>
      </c>
      <c r="I14" s="150">
        <v>-63276</v>
      </c>
      <c r="J14" s="150">
        <v>-142554</v>
      </c>
      <c r="K14" s="150">
        <v>-71302</v>
      </c>
      <c r="L14" s="150">
        <v>-87249</v>
      </c>
      <c r="M14" s="346">
        <v>-92613.144</v>
      </c>
      <c r="N14" s="346">
        <v>-52659.12</v>
      </c>
      <c r="O14" s="346">
        <v>-111526.60799999999</v>
      </c>
      <c r="P14" s="346">
        <v>-142719.049</v>
      </c>
    </row>
    <row r="15" spans="1:16" ht="15" thickBot="1">
      <c r="A15" s="140" t="s">
        <v>491</v>
      </c>
      <c r="B15" s="142"/>
      <c r="C15" s="358">
        <f>C9+C14</f>
        <v>176005</v>
      </c>
      <c r="D15" s="358">
        <f>D9+D14</f>
        <v>142446</v>
      </c>
      <c r="E15" s="142"/>
      <c r="F15" s="358">
        <v>630131</v>
      </c>
      <c r="G15" s="358">
        <f t="shared" ref="G15:L15" si="1">G9+G14</f>
        <v>117353</v>
      </c>
      <c r="H15" s="358">
        <f t="shared" si="1"/>
        <v>364986</v>
      </c>
      <c r="I15" s="358">
        <f t="shared" si="1"/>
        <v>237399</v>
      </c>
      <c r="J15" s="358">
        <f t="shared" si="1"/>
        <v>447812</v>
      </c>
      <c r="K15" s="358">
        <f t="shared" si="1"/>
        <v>317899</v>
      </c>
      <c r="L15" s="358">
        <f t="shared" si="1"/>
        <v>375595</v>
      </c>
      <c r="M15" s="358">
        <f>M9+M14</f>
        <v>338656.228</v>
      </c>
      <c r="N15" s="358">
        <f>N9+N14</f>
        <v>386408.07000000007</v>
      </c>
      <c r="O15" s="358">
        <f>O9+O14</f>
        <v>308606.59899999999</v>
      </c>
      <c r="P15" s="358">
        <f>P9+P14</f>
        <v>421884.70900000003</v>
      </c>
    </row>
    <row r="16" spans="1:16" ht="15" thickBot="1">
      <c r="A16" s="140" t="s">
        <v>588</v>
      </c>
      <c r="B16" s="142"/>
      <c r="C16" s="351">
        <f>SUM(C17:C19)</f>
        <v>-156036</v>
      </c>
      <c r="D16" s="351">
        <f>SUM(D17:D19)</f>
        <v>-131076</v>
      </c>
      <c r="E16" s="142"/>
      <c r="F16" s="351">
        <v>-221943</v>
      </c>
      <c r="G16" s="351">
        <f t="shared" ref="G16:L16" si="2">SUM(G17:G19)</f>
        <v>-109934</v>
      </c>
      <c r="H16" s="351">
        <f t="shared" si="2"/>
        <v>-214350</v>
      </c>
      <c r="I16" s="351">
        <f t="shared" si="2"/>
        <v>-185983</v>
      </c>
      <c r="J16" s="351">
        <f t="shared" si="2"/>
        <v>-343909</v>
      </c>
      <c r="K16" s="351">
        <f t="shared" si="2"/>
        <v>-231024</v>
      </c>
      <c r="L16" s="351">
        <f t="shared" si="2"/>
        <v>-279128</v>
      </c>
      <c r="M16" s="351">
        <f>SUM(M17:M19)</f>
        <v>-226071.503</v>
      </c>
      <c r="N16" s="351">
        <f>SUM(N17:N19)</f>
        <v>-232082.75200000001</v>
      </c>
      <c r="O16" s="351">
        <f>SUM(O17:O19)</f>
        <v>-207637.666</v>
      </c>
      <c r="P16" s="351">
        <f>SUM(P17:P19)</f>
        <v>-221754.32</v>
      </c>
    </row>
    <row r="17" spans="1:16">
      <c r="A17" s="137" t="s">
        <v>589</v>
      </c>
      <c r="B17" s="142"/>
      <c r="C17" s="149">
        <v>-156036</v>
      </c>
      <c r="D17" s="149">
        <v>-131076</v>
      </c>
      <c r="E17" s="142"/>
      <c r="F17" s="149">
        <v>-39833</v>
      </c>
      <c r="G17" s="149">
        <v>-92690</v>
      </c>
      <c r="H17" s="149">
        <v>-140926</v>
      </c>
      <c r="I17" s="149">
        <v>-42064</v>
      </c>
      <c r="J17" s="149">
        <v>-54634</v>
      </c>
      <c r="K17" s="149">
        <v>-42243</v>
      </c>
      <c r="L17" s="149">
        <v>-46084</v>
      </c>
      <c r="M17" s="344">
        <v>-39671.879000000001</v>
      </c>
      <c r="N17" s="344">
        <v>-47358.082000000002</v>
      </c>
      <c r="O17" s="344">
        <v>-107281.368</v>
      </c>
      <c r="P17" s="344">
        <v>-125544.70299999999</v>
      </c>
    </row>
    <row r="18" spans="1:16">
      <c r="A18" s="137" t="s">
        <v>590</v>
      </c>
      <c r="B18" s="142"/>
      <c r="C18" s="149">
        <v>0</v>
      </c>
      <c r="D18" s="149"/>
      <c r="E18" s="142"/>
      <c r="F18" s="149">
        <v>-140914</v>
      </c>
      <c r="G18" s="149">
        <v>0</v>
      </c>
      <c r="H18" s="149">
        <v>-318</v>
      </c>
      <c r="I18" s="149">
        <v>-68585</v>
      </c>
      <c r="J18" s="149">
        <v>-67049</v>
      </c>
      <c r="K18" s="149">
        <v>-81742</v>
      </c>
      <c r="L18" s="149">
        <v>-83533</v>
      </c>
      <c r="M18" s="344">
        <v>-87545.078999999998</v>
      </c>
      <c r="N18" s="344">
        <v>-90004.118000000002</v>
      </c>
      <c r="O18" s="344">
        <v>-12462.629000000001</v>
      </c>
      <c r="P18" s="344">
        <v>-12538.821</v>
      </c>
    </row>
    <row r="19" spans="1:16" ht="15" thickBot="1">
      <c r="A19" s="137" t="s">
        <v>591</v>
      </c>
      <c r="B19" s="142"/>
      <c r="C19" s="149">
        <v>0</v>
      </c>
      <c r="D19" s="149"/>
      <c r="E19" s="142"/>
      <c r="F19" s="149">
        <v>-41196</v>
      </c>
      <c r="G19" s="149">
        <v>-17244</v>
      </c>
      <c r="H19" s="149">
        <v>-73106</v>
      </c>
      <c r="I19" s="149">
        <v>-75334</v>
      </c>
      <c r="J19" s="149">
        <v>-222226</v>
      </c>
      <c r="K19" s="149">
        <v>-107039</v>
      </c>
      <c r="L19" s="149">
        <v>-149511</v>
      </c>
      <c r="M19" s="344">
        <v>-98854.544999999998</v>
      </c>
      <c r="N19" s="344">
        <v>-94720.551999999996</v>
      </c>
      <c r="O19" s="344">
        <v>-87893.668999999994</v>
      </c>
      <c r="P19" s="344">
        <v>-83670.796000000002</v>
      </c>
    </row>
    <row r="20" spans="1:16" ht="15" thickBot="1">
      <c r="A20" s="140" t="s">
        <v>593</v>
      </c>
      <c r="B20" s="142"/>
      <c r="C20" s="141">
        <f>C15+C16</f>
        <v>19969</v>
      </c>
      <c r="D20" s="141">
        <f>D15+D16</f>
        <v>11370</v>
      </c>
      <c r="E20" s="142"/>
      <c r="F20" s="141">
        <v>408188</v>
      </c>
      <c r="G20" s="141">
        <f t="shared" ref="G20:L20" si="3">G15+G16</f>
        <v>7419</v>
      </c>
      <c r="H20" s="141">
        <f t="shared" si="3"/>
        <v>150636</v>
      </c>
      <c r="I20" s="141">
        <f t="shared" si="3"/>
        <v>51416</v>
      </c>
      <c r="J20" s="141">
        <f t="shared" si="3"/>
        <v>103903</v>
      </c>
      <c r="K20" s="141">
        <f t="shared" si="3"/>
        <v>86875</v>
      </c>
      <c r="L20" s="141">
        <f t="shared" si="3"/>
        <v>96467</v>
      </c>
      <c r="M20" s="141">
        <f>M15+M16</f>
        <v>112584.72500000001</v>
      </c>
      <c r="N20" s="141">
        <f>N15+N16</f>
        <v>154325.31800000006</v>
      </c>
      <c r="O20" s="141">
        <f>O15+O16</f>
        <v>100968.93299999999</v>
      </c>
      <c r="P20" s="141">
        <f>P15+P16</f>
        <v>200130.38900000002</v>
      </c>
    </row>
    <row r="21" spans="1:16" ht="15" thickBot="1">
      <c r="A21" s="140" t="s">
        <v>594</v>
      </c>
      <c r="B21" s="142"/>
      <c r="C21" s="141">
        <f>SUM(C22:C28)</f>
        <v>-53226</v>
      </c>
      <c r="D21" s="141">
        <f>SUM(D22:D28)</f>
        <v>-36722</v>
      </c>
      <c r="E21" s="142"/>
      <c r="F21" s="141">
        <v>-187003</v>
      </c>
      <c r="G21" s="141">
        <f t="shared" ref="G21:L21" si="4">SUM(G22:G28)</f>
        <v>-892</v>
      </c>
      <c r="H21" s="141">
        <f t="shared" si="4"/>
        <v>-30482</v>
      </c>
      <c r="I21" s="141">
        <f t="shared" si="4"/>
        <v>16929</v>
      </c>
      <c r="J21" s="141">
        <f t="shared" si="4"/>
        <v>-38891</v>
      </c>
      <c r="K21" s="141">
        <f t="shared" si="4"/>
        <v>-39007</v>
      </c>
      <c r="L21" s="141">
        <f t="shared" si="4"/>
        <v>-47379</v>
      </c>
      <c r="M21" s="141">
        <f>SUM(M22:M28)</f>
        <v>-34498.051999999996</v>
      </c>
      <c r="N21" s="141">
        <f>SUM(N22:N28)</f>
        <v>-65557.823000000004</v>
      </c>
      <c r="O21" s="141">
        <f>SUM(O22:O28)</f>
        <v>-46072.582999999999</v>
      </c>
      <c r="P21" s="141">
        <f>SUM(P22:P28)</f>
        <v>-41107.147000000004</v>
      </c>
    </row>
    <row r="22" spans="1:16">
      <c r="A22" s="137" t="s">
        <v>595</v>
      </c>
      <c r="B22" s="142"/>
      <c r="C22" s="149">
        <v>-17776</v>
      </c>
      <c r="D22" s="149">
        <v>-19437</v>
      </c>
      <c r="E22" s="142"/>
      <c r="F22" s="149">
        <v>-16122</v>
      </c>
      <c r="G22" s="149">
        <v>-36202</v>
      </c>
      <c r="H22" s="149">
        <v>-2969</v>
      </c>
      <c r="I22" s="149">
        <v>11742</v>
      </c>
      <c r="J22" s="149">
        <v>-8630</v>
      </c>
      <c r="K22" s="149">
        <v>-8757</v>
      </c>
      <c r="L22" s="149">
        <v>-9531</v>
      </c>
      <c r="M22" s="344">
        <v>-7419.1229999999996</v>
      </c>
      <c r="N22" s="344">
        <v>-9107.2029999999995</v>
      </c>
      <c r="O22" s="344">
        <v>-9855.42</v>
      </c>
      <c r="P22" s="344">
        <v>-8947.8009999999995</v>
      </c>
    </row>
    <row r="23" spans="1:16">
      <c r="A23" s="137" t="s">
        <v>596</v>
      </c>
      <c r="B23" s="142"/>
      <c r="C23" s="149">
        <v>-86</v>
      </c>
      <c r="D23" s="149">
        <v>-382</v>
      </c>
      <c r="E23" s="142"/>
      <c r="F23" s="149">
        <v>-105</v>
      </c>
      <c r="G23" s="149">
        <v>-132</v>
      </c>
      <c r="H23" s="149">
        <v>-1634</v>
      </c>
      <c r="I23" s="149">
        <v>-2791</v>
      </c>
      <c r="J23" s="149">
        <v>-513</v>
      </c>
      <c r="K23" s="149">
        <v>-1042</v>
      </c>
      <c r="L23" s="149">
        <v>577</v>
      </c>
      <c r="M23" s="344">
        <v>149.209</v>
      </c>
      <c r="N23" s="344">
        <v>-1369.761</v>
      </c>
      <c r="O23" s="344">
        <v>-144.602</v>
      </c>
      <c r="P23" s="344">
        <v>-711.84500000000003</v>
      </c>
    </row>
    <row r="24" spans="1:16">
      <c r="A24" s="137" t="s">
        <v>597</v>
      </c>
      <c r="B24" s="357"/>
      <c r="C24" s="149">
        <v>-16644</v>
      </c>
      <c r="D24" s="149">
        <v>-12786</v>
      </c>
      <c r="E24" s="357"/>
      <c r="F24" s="149">
        <v>-20580</v>
      </c>
      <c r="G24" s="149">
        <v>-8284</v>
      </c>
      <c r="H24" s="149">
        <v>-20672</v>
      </c>
      <c r="I24" s="149">
        <v>34612</v>
      </c>
      <c r="J24" s="149">
        <v>-21901</v>
      </c>
      <c r="K24" s="149">
        <v>-26480</v>
      </c>
      <c r="L24" s="149">
        <v>-22797</v>
      </c>
      <c r="M24" s="344">
        <v>-25107.77</v>
      </c>
      <c r="N24" s="344">
        <v>-25309.791000000001</v>
      </c>
      <c r="O24" s="344">
        <v>-25101.360000000001</v>
      </c>
      <c r="P24" s="344">
        <v>-21269.575000000001</v>
      </c>
    </row>
    <row r="25" spans="1:16">
      <c r="A25" s="137" t="s">
        <v>598</v>
      </c>
      <c r="B25" s="142"/>
      <c r="C25" s="149">
        <v>-12154</v>
      </c>
      <c r="D25" s="149">
        <v>-25894</v>
      </c>
      <c r="E25" s="142"/>
      <c r="F25" s="149">
        <v>-57029</v>
      </c>
      <c r="G25" s="149">
        <v>9699</v>
      </c>
      <c r="H25" s="149">
        <v>16743</v>
      </c>
      <c r="I25" s="149">
        <v>5920</v>
      </c>
      <c r="J25" s="149">
        <v>-1857</v>
      </c>
      <c r="K25" s="149">
        <v>2577</v>
      </c>
      <c r="L25" s="149">
        <v>8614</v>
      </c>
      <c r="M25" s="344">
        <v>1600.067</v>
      </c>
      <c r="N25" s="344">
        <v>-8844.4689999999991</v>
      </c>
      <c r="O25" s="344">
        <v>-12103.862999999999</v>
      </c>
      <c r="P25" s="344">
        <v>-3750.393</v>
      </c>
    </row>
    <row r="26" spans="1:16">
      <c r="A26" s="137" t="s">
        <v>59</v>
      </c>
      <c r="B26" s="142"/>
      <c r="C26" s="149">
        <v>-6553</v>
      </c>
      <c r="D26" s="149">
        <v>-5754</v>
      </c>
      <c r="E26" s="142"/>
      <c r="F26" s="149">
        <v>-15471</v>
      </c>
      <c r="G26" s="149">
        <v>-969</v>
      </c>
      <c r="H26" s="149">
        <v>79</v>
      </c>
      <c r="I26" s="149">
        <v>3309</v>
      </c>
      <c r="J26" s="149">
        <v>-618</v>
      </c>
      <c r="K26" s="149">
        <v>-683</v>
      </c>
      <c r="L26" s="149">
        <v>136</v>
      </c>
      <c r="M26" s="344">
        <v>-55.688000000000002</v>
      </c>
      <c r="N26" s="344">
        <v>-88.305999999999997</v>
      </c>
      <c r="O26" s="344">
        <v>-442.56299999999999</v>
      </c>
      <c r="P26" s="344">
        <v>-2046.6990000000001</v>
      </c>
    </row>
    <row r="27" spans="1:16">
      <c r="A27" s="137" t="s">
        <v>607</v>
      </c>
      <c r="B27" s="142"/>
      <c r="C27" s="149">
        <v>0</v>
      </c>
      <c r="D27" s="149">
        <v>27480</v>
      </c>
      <c r="E27" s="142"/>
      <c r="F27" s="149">
        <v>-77854</v>
      </c>
      <c r="G27" s="149">
        <v>34347</v>
      </c>
      <c r="H27" s="149">
        <v>-21851</v>
      </c>
      <c r="I27" s="149">
        <v>-1791</v>
      </c>
      <c r="J27" s="149">
        <v>3655</v>
      </c>
      <c r="K27" s="149">
        <v>-2808</v>
      </c>
      <c r="L27" s="149">
        <v>-2995</v>
      </c>
      <c r="M27" s="344">
        <v>-3320.8249999999998</v>
      </c>
      <c r="N27" s="344">
        <v>-3596.02</v>
      </c>
      <c r="O27" s="344">
        <v>2541.1779999999999</v>
      </c>
      <c r="P27" s="344">
        <v>-3778.694</v>
      </c>
    </row>
    <row r="28" spans="1:16">
      <c r="A28" s="137" t="s">
        <v>599</v>
      </c>
      <c r="B28" s="134"/>
      <c r="C28" s="149">
        <v>-13</v>
      </c>
      <c r="D28" s="149">
        <v>51</v>
      </c>
      <c r="E28" s="134"/>
      <c r="F28" s="149">
        <v>158</v>
      </c>
      <c r="G28" s="149">
        <v>649</v>
      </c>
      <c r="H28" s="149">
        <v>-178</v>
      </c>
      <c r="I28" s="149">
        <v>-34072</v>
      </c>
      <c r="J28" s="149">
        <v>-9027</v>
      </c>
      <c r="K28" s="149">
        <v>-1814</v>
      </c>
      <c r="L28" s="149">
        <v>-21383</v>
      </c>
      <c r="M28" s="344">
        <v>-343.92200000000003</v>
      </c>
      <c r="N28" s="344">
        <v>-17242.273000000001</v>
      </c>
      <c r="O28" s="344">
        <v>-965.95299999999997</v>
      </c>
      <c r="P28" s="344">
        <v>-602.14</v>
      </c>
    </row>
    <row r="29" spans="1:16">
      <c r="A29" s="551" t="s">
        <v>529</v>
      </c>
      <c r="B29" s="142"/>
      <c r="C29" s="558">
        <f>C15+C16+C21</f>
        <v>-33257</v>
      </c>
      <c r="D29" s="558">
        <f>D15+D16+D21</f>
        <v>-25352</v>
      </c>
      <c r="E29" s="142"/>
      <c r="F29" s="558">
        <f t="shared" ref="F29:I29" si="5">F15+F16+F21</f>
        <v>221185</v>
      </c>
      <c r="G29" s="558">
        <f t="shared" si="5"/>
        <v>6527</v>
      </c>
      <c r="H29" s="558">
        <f t="shared" si="5"/>
        <v>120154</v>
      </c>
      <c r="I29" s="558">
        <f t="shared" si="5"/>
        <v>68345</v>
      </c>
      <c r="J29" s="558">
        <f t="shared" ref="J29:P29" si="6">J15+J16+J21</f>
        <v>65012</v>
      </c>
      <c r="K29" s="558">
        <f t="shared" si="6"/>
        <v>47868</v>
      </c>
      <c r="L29" s="558">
        <f t="shared" si="6"/>
        <v>49088</v>
      </c>
      <c r="M29" s="559">
        <f t="shared" si="6"/>
        <v>78086.67300000001</v>
      </c>
      <c r="N29" s="559">
        <f t="shared" si="6"/>
        <v>88767.495000000054</v>
      </c>
      <c r="O29" s="559">
        <f t="shared" si="6"/>
        <v>54896.349999999991</v>
      </c>
      <c r="P29" s="559">
        <f t="shared" si="6"/>
        <v>159023.24200000003</v>
      </c>
    </row>
    <row r="30" spans="1:16" ht="15" thickBot="1">
      <c r="A30" s="137" t="s">
        <v>600</v>
      </c>
      <c r="B30" s="134"/>
      <c r="C30" s="149">
        <v>-6491</v>
      </c>
      <c r="D30" s="149">
        <v>-6447</v>
      </c>
      <c r="E30" s="134"/>
      <c r="F30" s="149">
        <v>-7397</v>
      </c>
      <c r="G30" s="149">
        <v>-4792</v>
      </c>
      <c r="H30" s="149">
        <v>-4874</v>
      </c>
      <c r="I30" s="149">
        <v>-5080</v>
      </c>
      <c r="J30" s="149">
        <v>-8960</v>
      </c>
      <c r="K30" s="149">
        <v>-5717</v>
      </c>
      <c r="L30" s="149">
        <v>-10534</v>
      </c>
      <c r="M30" s="344">
        <v>-9237.5949999999993</v>
      </c>
      <c r="N30" s="344">
        <v>-7964.8860000000004</v>
      </c>
      <c r="O30" s="344">
        <v>-10131.821</v>
      </c>
      <c r="P30" s="344">
        <v>1885.2070000000001</v>
      </c>
    </row>
    <row r="31" spans="1:16" ht="15" thickBot="1">
      <c r="A31" s="140" t="s">
        <v>601</v>
      </c>
      <c r="B31" s="134"/>
      <c r="C31" s="141">
        <f>SUM(C29:C30)</f>
        <v>-39748</v>
      </c>
      <c r="D31" s="141">
        <f>SUM(D29:D30)</f>
        <v>-31799</v>
      </c>
      <c r="E31" s="134"/>
      <c r="F31" s="141">
        <f t="shared" ref="F31:I31" si="7">SUM(F29:F30)</f>
        <v>213788</v>
      </c>
      <c r="G31" s="141">
        <f t="shared" si="7"/>
        <v>1735</v>
      </c>
      <c r="H31" s="141">
        <f t="shared" si="7"/>
        <v>115280</v>
      </c>
      <c r="I31" s="141">
        <f t="shared" si="7"/>
        <v>63265</v>
      </c>
      <c r="J31" s="141">
        <f t="shared" ref="J31:O31" si="8">SUM(J29:J30)</f>
        <v>56052</v>
      </c>
      <c r="K31" s="141">
        <f t="shared" si="8"/>
        <v>42151</v>
      </c>
      <c r="L31" s="141">
        <f t="shared" si="8"/>
        <v>38554</v>
      </c>
      <c r="M31" s="141">
        <f t="shared" si="8"/>
        <v>68849.078000000009</v>
      </c>
      <c r="N31" s="141">
        <f t="shared" si="8"/>
        <v>80802.609000000055</v>
      </c>
      <c r="O31" s="141">
        <f t="shared" si="8"/>
        <v>44764.528999999995</v>
      </c>
      <c r="P31" s="141">
        <f t="shared" ref="P31" si="9">SUM(P29:P30)</f>
        <v>160908.44900000002</v>
      </c>
    </row>
    <row r="32" spans="1:16" ht="15" thickBot="1">
      <c r="A32" s="140" t="s">
        <v>531</v>
      </c>
      <c r="B32" s="134"/>
      <c r="C32" s="351">
        <f>C33+C34</f>
        <v>-16155</v>
      </c>
      <c r="D32" s="351">
        <f>D33+D34</f>
        <v>-26261</v>
      </c>
      <c r="E32" s="134"/>
      <c r="F32" s="351">
        <f t="shared" ref="F32:I32" si="10">F33+F34</f>
        <v>51102</v>
      </c>
      <c r="G32" s="351">
        <f t="shared" si="10"/>
        <v>169205</v>
      </c>
      <c r="H32" s="351">
        <f t="shared" si="10"/>
        <v>299</v>
      </c>
      <c r="I32" s="351">
        <f t="shared" si="10"/>
        <v>151070</v>
      </c>
      <c r="J32" s="351">
        <f t="shared" ref="J32:O32" si="11">J33+J34</f>
        <v>-56816</v>
      </c>
      <c r="K32" s="351">
        <f t="shared" si="11"/>
        <v>-46466</v>
      </c>
      <c r="L32" s="351">
        <f t="shared" si="11"/>
        <v>-45019</v>
      </c>
      <c r="M32" s="351">
        <f t="shared" si="11"/>
        <v>-65834.861999999994</v>
      </c>
      <c r="N32" s="351">
        <f t="shared" si="11"/>
        <v>-17951.213999999993</v>
      </c>
      <c r="O32" s="351">
        <f t="shared" si="11"/>
        <v>-66811.87</v>
      </c>
      <c r="P32" s="351">
        <f t="shared" ref="P32" si="12">P33+P34</f>
        <v>-64666.619999999995</v>
      </c>
    </row>
    <row r="33" spans="1:16">
      <c r="A33" s="137" t="s">
        <v>532</v>
      </c>
      <c r="B33" s="134"/>
      <c r="C33" s="149">
        <v>172</v>
      </c>
      <c r="D33" s="149">
        <v>374</v>
      </c>
      <c r="E33" s="134"/>
      <c r="F33" s="149">
        <v>196928</v>
      </c>
      <c r="G33" s="149">
        <v>280963</v>
      </c>
      <c r="H33" s="149">
        <v>119066</v>
      </c>
      <c r="I33" s="149">
        <v>235535</v>
      </c>
      <c r="J33" s="149">
        <v>24086</v>
      </c>
      <c r="K33" s="149">
        <v>71213</v>
      </c>
      <c r="L33" s="149">
        <v>53907</v>
      </c>
      <c r="M33" s="344">
        <v>-18306.427</v>
      </c>
      <c r="N33" s="344">
        <v>90864.994000000006</v>
      </c>
      <c r="O33" s="344">
        <v>131460.11499999999</v>
      </c>
      <c r="P33" s="344">
        <v>39157.423999999999</v>
      </c>
    </row>
    <row r="34" spans="1:16" ht="15" thickBot="1">
      <c r="A34" s="137" t="s">
        <v>541</v>
      </c>
      <c r="B34" s="134"/>
      <c r="C34" s="149">
        <v>-16327</v>
      </c>
      <c r="D34" s="149">
        <v>-26635</v>
      </c>
      <c r="E34" s="134"/>
      <c r="F34" s="149">
        <v>-145826</v>
      </c>
      <c r="G34" s="149">
        <v>-111758</v>
      </c>
      <c r="H34" s="149">
        <v>-118767</v>
      </c>
      <c r="I34" s="149">
        <v>-84465</v>
      </c>
      <c r="J34" s="149">
        <v>-80902</v>
      </c>
      <c r="K34" s="149">
        <v>-117679</v>
      </c>
      <c r="L34" s="149">
        <v>-98926</v>
      </c>
      <c r="M34" s="344">
        <v>-47528.434999999998</v>
      </c>
      <c r="N34" s="344">
        <v>-108816.208</v>
      </c>
      <c r="O34" s="344">
        <v>-198271.98499999999</v>
      </c>
      <c r="P34" s="344">
        <v>-103824.04399999999</v>
      </c>
    </row>
    <row r="35" spans="1:16" ht="15" thickBot="1">
      <c r="A35" s="140" t="s">
        <v>602</v>
      </c>
      <c r="B35" s="134"/>
      <c r="C35" s="141">
        <f>C31+C32</f>
        <v>-55903</v>
      </c>
      <c r="D35" s="141">
        <f>D31+D32</f>
        <v>-58060</v>
      </c>
      <c r="E35" s="134"/>
      <c r="F35" s="141">
        <f t="shared" ref="F35:I35" si="13">F31+F32</f>
        <v>264890</v>
      </c>
      <c r="G35" s="141">
        <f t="shared" si="13"/>
        <v>170940</v>
      </c>
      <c r="H35" s="141">
        <f t="shared" si="13"/>
        <v>115579</v>
      </c>
      <c r="I35" s="141">
        <f t="shared" si="13"/>
        <v>214335</v>
      </c>
      <c r="J35" s="141">
        <f t="shared" ref="J35:P35" si="14">J31+J32</f>
        <v>-764</v>
      </c>
      <c r="K35" s="141">
        <f t="shared" si="14"/>
        <v>-4315</v>
      </c>
      <c r="L35" s="141">
        <f t="shared" si="14"/>
        <v>-6465</v>
      </c>
      <c r="M35" s="141">
        <f t="shared" si="14"/>
        <v>3014.2160000000149</v>
      </c>
      <c r="N35" s="141">
        <f t="shared" si="14"/>
        <v>62851.395000000062</v>
      </c>
      <c r="O35" s="141">
        <f t="shared" si="14"/>
        <v>-22047.341</v>
      </c>
      <c r="P35" s="141">
        <f t="shared" si="14"/>
        <v>96241.829000000027</v>
      </c>
    </row>
    <row r="36" spans="1:16">
      <c r="A36" s="137" t="s">
        <v>553</v>
      </c>
      <c r="B36" s="134"/>
      <c r="C36" s="149">
        <v>0</v>
      </c>
      <c r="D36" s="149"/>
      <c r="E36" s="134"/>
      <c r="F36" s="149">
        <v>-14983</v>
      </c>
      <c r="G36" s="149">
        <v>-11317</v>
      </c>
      <c r="H36" s="149">
        <v>-7012</v>
      </c>
      <c r="I36" s="149">
        <v>-12773</v>
      </c>
      <c r="J36" s="149">
        <v>1460</v>
      </c>
      <c r="K36" s="149">
        <v>-511</v>
      </c>
      <c r="L36" s="149">
        <v>-1123</v>
      </c>
      <c r="M36" s="344">
        <v>1175.991</v>
      </c>
      <c r="N36" s="344">
        <v>4429.817</v>
      </c>
      <c r="O36" s="344">
        <v>0</v>
      </c>
      <c r="P36" s="344">
        <v>0</v>
      </c>
    </row>
    <row r="37" spans="1:16">
      <c r="A37" s="137" t="s">
        <v>554</v>
      </c>
      <c r="B37" s="134"/>
      <c r="C37" s="149">
        <v>0</v>
      </c>
      <c r="D37" s="149"/>
      <c r="E37" s="134"/>
      <c r="F37" s="149">
        <v>-40597</v>
      </c>
      <c r="G37" s="149">
        <v>-31429</v>
      </c>
      <c r="H37" s="149">
        <v>-18446</v>
      </c>
      <c r="I37" s="149">
        <v>-30582</v>
      </c>
      <c r="J37" s="149">
        <v>-923</v>
      </c>
      <c r="K37" s="149">
        <v>-1428</v>
      </c>
      <c r="L37" s="149">
        <v>-3169</v>
      </c>
      <c r="M37" s="344">
        <v>3144.2840000000001</v>
      </c>
      <c r="N37" s="344">
        <v>9908.1569999999992</v>
      </c>
      <c r="O37" s="344">
        <v>0</v>
      </c>
      <c r="P37" s="344">
        <v>0</v>
      </c>
    </row>
    <row r="38" spans="1:16">
      <c r="A38" s="137" t="s">
        <v>603</v>
      </c>
      <c r="B38" s="134"/>
      <c r="C38" s="149">
        <v>0</v>
      </c>
      <c r="D38" s="149"/>
      <c r="E38" s="134"/>
      <c r="F38" s="149">
        <v>0</v>
      </c>
      <c r="G38" s="149">
        <v>0</v>
      </c>
      <c r="H38" s="149">
        <v>0</v>
      </c>
      <c r="I38" s="149">
        <v>0</v>
      </c>
      <c r="J38" s="149">
        <v>0</v>
      </c>
      <c r="K38" s="149">
        <v>0</v>
      </c>
      <c r="L38" s="149">
        <v>0</v>
      </c>
      <c r="M38" s="344">
        <v>0</v>
      </c>
      <c r="N38" s="344">
        <v>0</v>
      </c>
      <c r="O38" s="344">
        <v>296.41300000000001</v>
      </c>
      <c r="P38" s="344">
        <v>0</v>
      </c>
    </row>
    <row r="39" spans="1:16" ht="15" thickBot="1">
      <c r="A39" s="137" t="s">
        <v>555</v>
      </c>
      <c r="B39" s="134"/>
      <c r="C39" s="149">
        <v>0</v>
      </c>
      <c r="D39" s="149"/>
      <c r="E39" s="134"/>
      <c r="F39" s="149">
        <v>0</v>
      </c>
      <c r="G39" s="149">
        <v>0</v>
      </c>
      <c r="H39" s="149">
        <v>0</v>
      </c>
      <c r="I39" s="149">
        <v>0</v>
      </c>
      <c r="J39" s="149">
        <v>0</v>
      </c>
      <c r="K39" s="149">
        <v>0</v>
      </c>
      <c r="L39" s="149">
        <v>0</v>
      </c>
      <c r="M39" s="344">
        <v>0</v>
      </c>
      <c r="N39" s="344">
        <v>9470.1610000000001</v>
      </c>
      <c r="O39" s="344">
        <v>0</v>
      </c>
      <c r="P39" s="344">
        <v>0</v>
      </c>
    </row>
    <row r="40" spans="1:16" ht="15" thickBot="1">
      <c r="A40" s="140" t="s">
        <v>604</v>
      </c>
      <c r="B40" s="134"/>
      <c r="C40" s="353">
        <f>SUM(C35:C39)</f>
        <v>-55903</v>
      </c>
      <c r="D40" s="353">
        <f>SUM(D35:D39)</f>
        <v>-58060</v>
      </c>
      <c r="E40" s="134"/>
      <c r="F40" s="353">
        <f t="shared" ref="F40:I40" si="15">SUM(F35:F39)</f>
        <v>209310</v>
      </c>
      <c r="G40" s="353">
        <f t="shared" si="15"/>
        <v>128194</v>
      </c>
      <c r="H40" s="353">
        <f t="shared" si="15"/>
        <v>90121</v>
      </c>
      <c r="I40" s="353">
        <f t="shared" si="15"/>
        <v>170980</v>
      </c>
      <c r="J40" s="353">
        <f t="shared" ref="J40:P40" si="16">SUM(J35:J39)</f>
        <v>-227</v>
      </c>
      <c r="K40" s="353">
        <f t="shared" si="16"/>
        <v>-6254</v>
      </c>
      <c r="L40" s="353">
        <f t="shared" si="16"/>
        <v>-10757</v>
      </c>
      <c r="M40" s="353">
        <f t="shared" si="16"/>
        <v>7334.4910000000145</v>
      </c>
      <c r="N40" s="353">
        <f t="shared" si="16"/>
        <v>86659.530000000057</v>
      </c>
      <c r="O40" s="353">
        <f t="shared" si="16"/>
        <v>-21750.928</v>
      </c>
      <c r="P40" s="353">
        <f t="shared" si="16"/>
        <v>96241.829000000027</v>
      </c>
    </row>
    <row r="43" spans="1:16">
      <c r="C43" s="355"/>
      <c r="D43" s="355"/>
      <c r="F43" s="355"/>
      <c r="G43" s="355"/>
      <c r="H43" s="355"/>
      <c r="I43" s="355"/>
      <c r="J43" s="355"/>
      <c r="K43" s="355"/>
      <c r="L43" s="355"/>
      <c r="M43" s="355"/>
      <c r="N43" s="355"/>
      <c r="O43" s="355"/>
      <c r="P43" s="355"/>
    </row>
  </sheetData>
  <pageMargins left="0.511811024" right="0.511811024" top="0.78740157499999996" bottom="0.78740157499999996" header="0.31496062000000002" footer="0.31496062000000002"/>
  <ignoredErrors>
    <ignoredError sqref="G9:O9" formulaRange="1"/>
  </ignoredError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 tint="0.79998168889431442"/>
  </sheetPr>
  <dimension ref="A7:L46"/>
  <sheetViews>
    <sheetView showGridLines="0" zoomScaleNormal="100" workbookViewId="0">
      <pane xSplit="1" ySplit="8" topLeftCell="B9" activePane="bottomRight" state="frozen"/>
      <selection pane="topRight" activeCell="AN17" sqref="AN17"/>
      <selection pane="bottomLeft" activeCell="AN17" sqref="AN17"/>
      <selection pane="bottomRight" activeCell="L10" sqref="L10"/>
    </sheetView>
  </sheetViews>
  <sheetFormatPr defaultRowHeight="14.5"/>
  <cols>
    <col min="1" max="1" width="44.453125" style="37" bestFit="1" customWidth="1"/>
    <col min="2" max="2" width="0.81640625" customWidth="1"/>
    <col min="3" max="12" width="8.7265625" style="37"/>
  </cols>
  <sheetData>
    <row r="7" spans="1:12">
      <c r="A7" s="41" t="s">
        <v>614</v>
      </c>
      <c r="C7" s="41"/>
      <c r="D7" s="41"/>
      <c r="E7" s="41"/>
      <c r="F7" s="41"/>
      <c r="G7" s="41"/>
      <c r="H7" s="41"/>
      <c r="I7" s="41"/>
      <c r="J7" s="41"/>
      <c r="K7" s="41"/>
      <c r="L7" s="41"/>
    </row>
    <row r="8" spans="1:12" ht="15" thickBot="1">
      <c r="A8" s="544" t="s">
        <v>585</v>
      </c>
      <c r="C8" s="546" t="s">
        <v>45</v>
      </c>
      <c r="D8" s="546" t="s">
        <v>46</v>
      </c>
      <c r="E8" s="556" t="s">
        <v>47</v>
      </c>
      <c r="F8" s="556" t="s">
        <v>48</v>
      </c>
      <c r="G8" s="546" t="s">
        <v>49</v>
      </c>
      <c r="H8" s="546" t="s">
        <v>50</v>
      </c>
      <c r="I8" s="556" t="s">
        <v>51</v>
      </c>
      <c r="J8" s="556" t="s">
        <v>52</v>
      </c>
      <c r="K8" s="556" t="s">
        <v>53</v>
      </c>
      <c r="L8" s="556" t="s">
        <v>54</v>
      </c>
    </row>
    <row r="9" spans="1:12" ht="15" thickBot="1">
      <c r="A9" s="140" t="s">
        <v>465</v>
      </c>
      <c r="C9" s="319">
        <f t="shared" ref="C9:J9" si="0">SUM(C10:C13)</f>
        <v>4098553</v>
      </c>
      <c r="D9" s="319">
        <f t="shared" si="0"/>
        <v>3318478.6150000002</v>
      </c>
      <c r="E9" s="319">
        <f t="shared" si="0"/>
        <v>3173426.3260000004</v>
      </c>
      <c r="F9" s="319">
        <f t="shared" si="0"/>
        <v>3119307</v>
      </c>
      <c r="G9" s="319">
        <f t="shared" si="0"/>
        <v>3600945</v>
      </c>
      <c r="H9" s="319">
        <f t="shared" si="0"/>
        <v>2660803.233</v>
      </c>
      <c r="I9" s="319">
        <f t="shared" si="0"/>
        <v>3060795.0379999997</v>
      </c>
      <c r="J9" s="319">
        <f t="shared" si="0"/>
        <v>3818315.5489999996</v>
      </c>
      <c r="K9" s="319">
        <f t="shared" ref="K9:L9" si="1">SUM(K10:K13)</f>
        <v>3447375.7069999999</v>
      </c>
      <c r="L9" s="319">
        <f t="shared" si="1"/>
        <v>3655955.0699999994</v>
      </c>
    </row>
    <row r="10" spans="1:12">
      <c r="A10" s="137" t="s">
        <v>586</v>
      </c>
      <c r="C10" s="321">
        <v>3105387</v>
      </c>
      <c r="D10" s="321">
        <v>2382105.9530000002</v>
      </c>
      <c r="E10" s="334">
        <v>2169994.2740000002</v>
      </c>
      <c r="F10" s="334">
        <v>2140713</v>
      </c>
      <c r="G10" s="322">
        <v>2265091</v>
      </c>
      <c r="H10" s="322">
        <v>1944761.648</v>
      </c>
      <c r="I10" s="323">
        <v>2183220.085</v>
      </c>
      <c r="J10" s="323">
        <v>2802415.7949999999</v>
      </c>
      <c r="K10" s="323">
        <v>2586908.9909999999</v>
      </c>
      <c r="L10" s="323">
        <v>2660472.3849999998</v>
      </c>
    </row>
    <row r="11" spans="1:12">
      <c r="A11" s="137" t="s">
        <v>468</v>
      </c>
      <c r="C11" s="321">
        <v>88630</v>
      </c>
      <c r="D11" s="321">
        <v>68321.561000000002</v>
      </c>
      <c r="E11" s="334">
        <v>83679.679000000004</v>
      </c>
      <c r="F11" s="334">
        <v>74733</v>
      </c>
      <c r="G11" s="322">
        <v>35569</v>
      </c>
      <c r="H11" s="322">
        <v>59643.712</v>
      </c>
      <c r="I11" s="323">
        <v>24497.641</v>
      </c>
      <c r="J11" s="323">
        <v>119063.306</v>
      </c>
      <c r="K11" s="323">
        <v>39079.54</v>
      </c>
      <c r="L11" s="323">
        <v>36072.724000000002</v>
      </c>
    </row>
    <row r="12" spans="1:12">
      <c r="A12" s="137" t="s">
        <v>470</v>
      </c>
      <c r="C12" s="321">
        <v>564973</v>
      </c>
      <c r="D12" s="321">
        <v>484701.89199999999</v>
      </c>
      <c r="E12" s="334">
        <v>541859.22499999998</v>
      </c>
      <c r="F12" s="334">
        <v>506623</v>
      </c>
      <c r="G12" s="322">
        <v>902134</v>
      </c>
      <c r="H12" s="322">
        <v>245617.82900000003</v>
      </c>
      <c r="I12" s="323">
        <v>385922.05</v>
      </c>
      <c r="J12" s="323">
        <v>365930.005</v>
      </c>
      <c r="K12" s="323">
        <v>351833.125</v>
      </c>
      <c r="L12" s="323">
        <v>480077.32</v>
      </c>
    </row>
    <row r="13" spans="1:12" ht="15" thickBot="1">
      <c r="A13" s="137" t="s">
        <v>474</v>
      </c>
      <c r="C13" s="321">
        <v>339563</v>
      </c>
      <c r="D13" s="321">
        <v>383349.20899999997</v>
      </c>
      <c r="E13" s="334">
        <v>377893.14799999999</v>
      </c>
      <c r="F13" s="334">
        <v>397238</v>
      </c>
      <c r="G13" s="322">
        <v>398151</v>
      </c>
      <c r="H13" s="322">
        <v>410780.04399999999</v>
      </c>
      <c r="I13" s="323">
        <v>467155.26199999999</v>
      </c>
      <c r="J13" s="323">
        <v>530906.44299999997</v>
      </c>
      <c r="K13" s="323">
        <v>469554.05099999998</v>
      </c>
      <c r="L13" s="323">
        <v>479332.641</v>
      </c>
    </row>
    <row r="14" spans="1:12" ht="15" thickBot="1">
      <c r="A14" s="140" t="s">
        <v>587</v>
      </c>
      <c r="C14" s="326">
        <v>-1790727</v>
      </c>
      <c r="D14" s="326">
        <v>-1343851.081</v>
      </c>
      <c r="E14" s="327">
        <v>-911601.54</v>
      </c>
      <c r="F14" s="327">
        <v>-1001945</v>
      </c>
      <c r="G14" s="326">
        <v>-854261</v>
      </c>
      <c r="H14" s="326">
        <v>-980460.12300000002</v>
      </c>
      <c r="I14" s="327">
        <v>-902727.77399999998</v>
      </c>
      <c r="J14" s="327">
        <v>-1190207.071</v>
      </c>
      <c r="K14" s="327">
        <v>-1127631.3419999999</v>
      </c>
      <c r="L14" s="327">
        <v>-1148771.6459999999</v>
      </c>
    </row>
    <row r="15" spans="1:12" ht="15" thickBot="1">
      <c r="A15" s="140" t="s">
        <v>491</v>
      </c>
      <c r="C15" s="319">
        <f t="shared" ref="C15:J15" si="2">C14+C9</f>
        <v>2307826</v>
      </c>
      <c r="D15" s="319">
        <f t="shared" si="2"/>
        <v>1974627.5340000002</v>
      </c>
      <c r="E15" s="319">
        <f t="shared" si="2"/>
        <v>2261824.7860000003</v>
      </c>
      <c r="F15" s="319">
        <f t="shared" si="2"/>
        <v>2117362</v>
      </c>
      <c r="G15" s="319">
        <f t="shared" si="2"/>
        <v>2746684</v>
      </c>
      <c r="H15" s="319">
        <f t="shared" si="2"/>
        <v>1680343.1099999999</v>
      </c>
      <c r="I15" s="319">
        <f t="shared" si="2"/>
        <v>2158067.2639999995</v>
      </c>
      <c r="J15" s="319">
        <f t="shared" si="2"/>
        <v>2628108.4779999997</v>
      </c>
      <c r="K15" s="319">
        <f t="shared" ref="K15:L15" si="3">K14+K9</f>
        <v>2319744.3650000002</v>
      </c>
      <c r="L15" s="319">
        <f t="shared" si="3"/>
        <v>2507183.4239999996</v>
      </c>
    </row>
    <row r="16" spans="1:12" ht="15" thickBot="1">
      <c r="A16" s="140" t="s">
        <v>588</v>
      </c>
      <c r="C16" s="319">
        <f t="shared" ref="C16:J16" si="4">SUM(C17:C19)</f>
        <v>-1731236</v>
      </c>
      <c r="D16" s="319">
        <f t="shared" si="4"/>
        <v>-1453767.9810000001</v>
      </c>
      <c r="E16" s="319">
        <f t="shared" si="4"/>
        <v>-1713857.4419999998</v>
      </c>
      <c r="F16" s="319">
        <f t="shared" si="4"/>
        <v>-1571353</v>
      </c>
      <c r="G16" s="319">
        <f t="shared" si="4"/>
        <v>-2008471</v>
      </c>
      <c r="H16" s="319">
        <f t="shared" si="4"/>
        <v>-1222665.6529999999</v>
      </c>
      <c r="I16" s="319">
        <f t="shared" si="4"/>
        <v>-1423340.9029999999</v>
      </c>
      <c r="J16" s="319">
        <f t="shared" si="4"/>
        <v>-1856551.2390000001</v>
      </c>
      <c r="K16" s="319">
        <f t="shared" ref="K16:L16" si="5">SUM(K17:K19)</f>
        <v>-1453617.9139999999</v>
      </c>
      <c r="L16" s="319">
        <f t="shared" si="5"/>
        <v>-1639353.061</v>
      </c>
    </row>
    <row r="17" spans="1:12">
      <c r="A17" s="137" t="s">
        <v>589</v>
      </c>
      <c r="C17" s="324">
        <v>-998223</v>
      </c>
      <c r="D17" s="324">
        <v>-798820.875</v>
      </c>
      <c r="E17" s="338">
        <v>-955071.625</v>
      </c>
      <c r="F17" s="338">
        <v>-851008</v>
      </c>
      <c r="G17" s="328">
        <v>-891216</v>
      </c>
      <c r="H17" s="328">
        <v>-767214.35199999996</v>
      </c>
      <c r="I17" s="329">
        <v>-776359.03</v>
      </c>
      <c r="J17" s="329">
        <v>-1229385.9280000001</v>
      </c>
      <c r="K17" s="329">
        <v>-811692.15399999998</v>
      </c>
      <c r="L17" s="323">
        <v>-869616.397</v>
      </c>
    </row>
    <row r="18" spans="1:12">
      <c r="A18" s="137" t="s">
        <v>590</v>
      </c>
      <c r="C18" s="324">
        <v>-168040</v>
      </c>
      <c r="D18" s="324">
        <v>-170245.21400000001</v>
      </c>
      <c r="E18" s="338">
        <v>-216926.592</v>
      </c>
      <c r="F18" s="338">
        <v>-213722</v>
      </c>
      <c r="G18" s="328">
        <v>-215121</v>
      </c>
      <c r="H18" s="328">
        <v>-209833.47200000001</v>
      </c>
      <c r="I18" s="329">
        <v>-261059.823</v>
      </c>
      <c r="J18" s="329">
        <v>-261235.30600000001</v>
      </c>
      <c r="K18" s="329">
        <v>-290092.63500000001</v>
      </c>
      <c r="L18" s="329">
        <v>-289659.34399999998</v>
      </c>
    </row>
    <row r="19" spans="1:12" ht="15" thickBot="1">
      <c r="A19" s="137" t="s">
        <v>591</v>
      </c>
      <c r="C19" s="324">
        <v>-564973</v>
      </c>
      <c r="D19" s="324">
        <v>-484701.89199999999</v>
      </c>
      <c r="E19" s="338">
        <v>-541859.22499999998</v>
      </c>
      <c r="F19" s="338">
        <v>-506623</v>
      </c>
      <c r="G19" s="328">
        <v>-902134</v>
      </c>
      <c r="H19" s="328">
        <v>-245617.82900000003</v>
      </c>
      <c r="I19" s="329">
        <v>-385922.05</v>
      </c>
      <c r="J19" s="329">
        <v>-365930.005</v>
      </c>
      <c r="K19" s="329">
        <v>-351833.125</v>
      </c>
      <c r="L19" s="329">
        <v>-480077.32</v>
      </c>
    </row>
    <row r="20" spans="1:12" ht="15" thickBot="1">
      <c r="A20" s="140" t="s">
        <v>593</v>
      </c>
      <c r="C20" s="319">
        <f t="shared" ref="C20:J20" si="6">SUM(C16,C15)</f>
        <v>576590</v>
      </c>
      <c r="D20" s="319">
        <f t="shared" si="6"/>
        <v>520859.55300000007</v>
      </c>
      <c r="E20" s="319">
        <f t="shared" si="6"/>
        <v>547967.34400000051</v>
      </c>
      <c r="F20" s="319">
        <f t="shared" si="6"/>
        <v>546009</v>
      </c>
      <c r="G20" s="319">
        <f t="shared" si="6"/>
        <v>738213</v>
      </c>
      <c r="H20" s="319">
        <f t="shared" si="6"/>
        <v>457677.45699999994</v>
      </c>
      <c r="I20" s="319">
        <f t="shared" si="6"/>
        <v>734726.36099999957</v>
      </c>
      <c r="J20" s="319">
        <f t="shared" si="6"/>
        <v>771557.23899999959</v>
      </c>
      <c r="K20" s="319">
        <f t="shared" ref="K20:L20" si="7">SUM(K16,K15)</f>
        <v>866126.45100000035</v>
      </c>
      <c r="L20" s="319">
        <f t="shared" si="7"/>
        <v>867830.36299999966</v>
      </c>
    </row>
    <row r="21" spans="1:12" ht="15" thickBot="1">
      <c r="A21" s="140" t="s">
        <v>594</v>
      </c>
      <c r="C21" s="319">
        <f t="shared" ref="C21:J21" si="8">SUM(C22:C27)</f>
        <v>-359539</v>
      </c>
      <c r="D21" s="319">
        <f t="shared" si="8"/>
        <v>-389509.95</v>
      </c>
      <c r="E21" s="319">
        <f t="shared" si="8"/>
        <v>-337785.71099999995</v>
      </c>
      <c r="F21" s="319">
        <f t="shared" si="8"/>
        <v>-656777</v>
      </c>
      <c r="G21" s="319">
        <f t="shared" si="8"/>
        <v>-372083</v>
      </c>
      <c r="H21" s="319">
        <f t="shared" si="8"/>
        <v>-482016.13699999999</v>
      </c>
      <c r="I21" s="319">
        <f t="shared" si="8"/>
        <v>-372246.049</v>
      </c>
      <c r="J21" s="319">
        <f t="shared" si="8"/>
        <v>-540131.81099999999</v>
      </c>
      <c r="K21" s="319">
        <f t="shared" ref="K21:L21" si="9">SUM(K22:K27)</f>
        <v>-410134.89</v>
      </c>
      <c r="L21" s="319">
        <f t="shared" si="9"/>
        <v>-429467.29900000006</v>
      </c>
    </row>
    <row r="22" spans="1:12">
      <c r="A22" s="137" t="s">
        <v>595</v>
      </c>
      <c r="C22" s="321">
        <v>-31551</v>
      </c>
      <c r="D22" s="321">
        <v>-40340.195</v>
      </c>
      <c r="E22" s="338">
        <v>-39696.866000000002</v>
      </c>
      <c r="F22" s="338">
        <v>-38997</v>
      </c>
      <c r="G22" s="322">
        <v>-70407</v>
      </c>
      <c r="H22" s="322">
        <v>-56770.048000000003</v>
      </c>
      <c r="I22" s="329">
        <v>-36516.428999999996</v>
      </c>
      <c r="J22" s="329">
        <v>-29389.288</v>
      </c>
      <c r="K22" s="329">
        <v>-60026.995000000003</v>
      </c>
      <c r="L22" s="329">
        <v>-37816.864000000001</v>
      </c>
    </row>
    <row r="23" spans="1:12">
      <c r="A23" s="137" t="s">
        <v>596</v>
      </c>
      <c r="C23" s="321">
        <v>-11515</v>
      </c>
      <c r="D23" s="321">
        <v>2735.828</v>
      </c>
      <c r="E23" s="338">
        <v>-6988.2759999999998</v>
      </c>
      <c r="F23" s="338">
        <v>-2239</v>
      </c>
      <c r="G23" s="322">
        <v>-17471</v>
      </c>
      <c r="H23" s="322">
        <v>8446.1350000000002</v>
      </c>
      <c r="I23" s="329">
        <v>-19340.683000000001</v>
      </c>
      <c r="J23" s="329">
        <v>-21014.384999999998</v>
      </c>
      <c r="K23" s="329">
        <v>-17158.260999999999</v>
      </c>
      <c r="L23" s="329">
        <v>-19039.144</v>
      </c>
    </row>
    <row r="24" spans="1:12">
      <c r="A24" s="137" t="s">
        <v>597</v>
      </c>
      <c r="C24" s="321">
        <v>-260243</v>
      </c>
      <c r="D24" s="321">
        <v>-203707.75599999999</v>
      </c>
      <c r="E24" s="338">
        <v>-209456.29699999999</v>
      </c>
      <c r="F24" s="338">
        <v>-296549</v>
      </c>
      <c r="G24" s="322">
        <v>-273483</v>
      </c>
      <c r="H24" s="322">
        <v>-179443.60699999999</v>
      </c>
      <c r="I24" s="329">
        <v>-229681.91099999999</v>
      </c>
      <c r="J24" s="329">
        <v>-188952.70300000001</v>
      </c>
      <c r="K24" s="329">
        <v>-253165.88699999999</v>
      </c>
      <c r="L24" s="329">
        <v>-237692.37</v>
      </c>
    </row>
    <row r="25" spans="1:12">
      <c r="A25" s="137" t="s">
        <v>598</v>
      </c>
      <c r="C25" s="321">
        <v>-34689</v>
      </c>
      <c r="D25" s="321">
        <v>-47765.748</v>
      </c>
      <c r="E25" s="338">
        <v>-52957.341</v>
      </c>
      <c r="F25" s="338">
        <v>-294199</v>
      </c>
      <c r="G25" s="322">
        <v>-28250</v>
      </c>
      <c r="H25" s="322">
        <v>-210342.55799999999</v>
      </c>
      <c r="I25" s="329">
        <v>-58609.07</v>
      </c>
      <c r="J25" s="329">
        <v>-158193.05799999999</v>
      </c>
      <c r="K25" s="329">
        <v>-58670.222000000002</v>
      </c>
      <c r="L25" s="329">
        <v>-69590.275999999998</v>
      </c>
    </row>
    <row r="26" spans="1:12">
      <c r="A26" s="137" t="s">
        <v>59</v>
      </c>
      <c r="C26" s="321">
        <v>-29852</v>
      </c>
      <c r="D26" s="321">
        <v>-95615.623999999996</v>
      </c>
      <c r="E26" s="338">
        <v>-14543.073</v>
      </c>
      <c r="F26" s="338">
        <v>-10210</v>
      </c>
      <c r="G26" s="322">
        <v>-30944</v>
      </c>
      <c r="H26" s="322">
        <v>14507.562</v>
      </c>
      <c r="I26" s="329">
        <v>-7816.2830000000004</v>
      </c>
      <c r="J26" s="329">
        <v>-23766.745999999999</v>
      </c>
      <c r="K26" s="329">
        <v>-19868.498</v>
      </c>
      <c r="L26" s="329">
        <v>-4578.5709999999999</v>
      </c>
    </row>
    <row r="27" spans="1:12">
      <c r="A27" s="137" t="s">
        <v>599</v>
      </c>
      <c r="C27" s="321">
        <v>8311</v>
      </c>
      <c r="D27" s="321">
        <v>-4816.4549999999999</v>
      </c>
      <c r="E27" s="338">
        <v>-14143.858</v>
      </c>
      <c r="F27" s="338">
        <v>-14583</v>
      </c>
      <c r="G27" s="322">
        <v>48472</v>
      </c>
      <c r="H27" s="322">
        <v>-58413.620999999999</v>
      </c>
      <c r="I27" s="329">
        <v>-20281.672999999999</v>
      </c>
      <c r="J27" s="329">
        <v>-118815.63099999999</v>
      </c>
      <c r="K27" s="329">
        <v>-1245.027</v>
      </c>
      <c r="L27" s="329">
        <v>-60750.074000000001</v>
      </c>
    </row>
    <row r="28" spans="1:12">
      <c r="A28" s="551" t="s">
        <v>529</v>
      </c>
      <c r="C28" s="557">
        <f t="shared" ref="C28:J28" si="10">SUM(C20:C21)</f>
        <v>217051</v>
      </c>
      <c r="D28" s="557">
        <f t="shared" si="10"/>
        <v>131349.60300000006</v>
      </c>
      <c r="E28" s="557">
        <f t="shared" si="10"/>
        <v>210181.63300000055</v>
      </c>
      <c r="F28" s="557">
        <f t="shared" si="10"/>
        <v>-110768</v>
      </c>
      <c r="G28" s="557">
        <f t="shared" si="10"/>
        <v>366130</v>
      </c>
      <c r="H28" s="557">
        <f t="shared" si="10"/>
        <v>-24338.680000000051</v>
      </c>
      <c r="I28" s="557">
        <f t="shared" si="10"/>
        <v>362480.31199999957</v>
      </c>
      <c r="J28" s="557">
        <f t="shared" si="10"/>
        <v>231425.42799999961</v>
      </c>
      <c r="K28" s="557">
        <f t="shared" ref="K28:L28" si="11">SUM(K20:K21)</f>
        <v>455991.56100000034</v>
      </c>
      <c r="L28" s="557">
        <f t="shared" si="11"/>
        <v>438363.06399999961</v>
      </c>
    </row>
    <row r="29" spans="1:12" ht="15" thickBot="1">
      <c r="A29" s="137" t="s">
        <v>600</v>
      </c>
      <c r="C29" s="321">
        <v>-106520</v>
      </c>
      <c r="D29" s="321">
        <v>-104273.38</v>
      </c>
      <c r="E29" s="334">
        <v>-102419.67600000001</v>
      </c>
      <c r="F29" s="334">
        <v>-115118</v>
      </c>
      <c r="G29" s="322">
        <v>-119028</v>
      </c>
      <c r="H29" s="322">
        <v>-95964.873000000007</v>
      </c>
      <c r="I29" s="323">
        <v>-153267.81099999999</v>
      </c>
      <c r="J29" s="323">
        <v>-154498.84099999999</v>
      </c>
      <c r="K29" s="323">
        <v>-153921.88</v>
      </c>
      <c r="L29" s="329">
        <v>-157197.33199999999</v>
      </c>
    </row>
    <row r="30" spans="1:12" ht="15" thickBot="1">
      <c r="A30" s="140" t="s">
        <v>601</v>
      </c>
      <c r="C30" s="319">
        <f t="shared" ref="C30:J30" si="12">SUM(C28:C29)</f>
        <v>110531</v>
      </c>
      <c r="D30" s="319">
        <f t="shared" si="12"/>
        <v>27076.223000000056</v>
      </c>
      <c r="E30" s="319">
        <f t="shared" si="12"/>
        <v>107761.95700000055</v>
      </c>
      <c r="F30" s="319">
        <f t="shared" si="12"/>
        <v>-225886</v>
      </c>
      <c r="G30" s="319">
        <f t="shared" si="12"/>
        <v>247102</v>
      </c>
      <c r="H30" s="319">
        <f t="shared" si="12"/>
        <v>-120303.55300000006</v>
      </c>
      <c r="I30" s="319">
        <f t="shared" si="12"/>
        <v>209212.50099999958</v>
      </c>
      <c r="J30" s="319">
        <f t="shared" si="12"/>
        <v>76926.586999999621</v>
      </c>
      <c r="K30" s="319">
        <f t="shared" ref="K30:L30" si="13">SUM(K28:K29)</f>
        <v>302069.68100000033</v>
      </c>
      <c r="L30" s="319">
        <f t="shared" si="13"/>
        <v>281165.73199999961</v>
      </c>
    </row>
    <row r="31" spans="1:12" ht="15" thickBot="1">
      <c r="A31" s="140" t="s">
        <v>531</v>
      </c>
      <c r="C31" s="332">
        <f t="shared" ref="C31:J31" si="14">SUM(C32:C33)</f>
        <v>-183770</v>
      </c>
      <c r="D31" s="332">
        <f t="shared" si="14"/>
        <v>-204973.86300000001</v>
      </c>
      <c r="E31" s="332">
        <f t="shared" si="14"/>
        <v>-323852.96599999996</v>
      </c>
      <c r="F31" s="332">
        <f t="shared" si="14"/>
        <v>-410577</v>
      </c>
      <c r="G31" s="332">
        <f t="shared" si="14"/>
        <v>-276986</v>
      </c>
      <c r="H31" s="332">
        <f t="shared" si="14"/>
        <v>-506712.86700000003</v>
      </c>
      <c r="I31" s="332">
        <f t="shared" si="14"/>
        <v>-327865.06400000001</v>
      </c>
      <c r="J31" s="332">
        <f t="shared" si="14"/>
        <v>-368295.65499999997</v>
      </c>
      <c r="K31" s="332">
        <f t="shared" ref="K31:L31" si="15">SUM(K32:K33)</f>
        <v>-379424.89500000002</v>
      </c>
      <c r="L31" s="332">
        <f t="shared" si="15"/>
        <v>-362363.97499999998</v>
      </c>
    </row>
    <row r="32" spans="1:12">
      <c r="A32" s="137" t="s">
        <v>532</v>
      </c>
      <c r="C32" s="324">
        <v>330342</v>
      </c>
      <c r="D32" s="324">
        <v>52709.468000000001</v>
      </c>
      <c r="E32" s="338">
        <v>298096.08</v>
      </c>
      <c r="F32" s="338">
        <v>-28599</v>
      </c>
      <c r="G32" s="328">
        <v>165073</v>
      </c>
      <c r="H32" s="328">
        <v>112476.14599999999</v>
      </c>
      <c r="I32" s="329">
        <v>58219.453999999998</v>
      </c>
      <c r="J32" s="329">
        <v>24550.477999999999</v>
      </c>
      <c r="K32" s="323">
        <v>45641.758000000002</v>
      </c>
      <c r="L32" s="323">
        <v>128018.39</v>
      </c>
    </row>
    <row r="33" spans="1:12" ht="15" thickBot="1">
      <c r="A33" s="137" t="s">
        <v>541</v>
      </c>
      <c r="C33" s="324">
        <v>-514112</v>
      </c>
      <c r="D33" s="324">
        <v>-257683.33100000001</v>
      </c>
      <c r="E33" s="338">
        <v>-621949.04599999997</v>
      </c>
      <c r="F33" s="338">
        <v>-381978</v>
      </c>
      <c r="G33" s="328">
        <v>-442059</v>
      </c>
      <c r="H33" s="328">
        <v>-619189.01300000004</v>
      </c>
      <c r="I33" s="329">
        <v>-386084.51799999998</v>
      </c>
      <c r="J33" s="329">
        <v>-392846.13299999997</v>
      </c>
      <c r="K33" s="323">
        <v>-425066.65299999999</v>
      </c>
      <c r="L33" s="323">
        <v>-490382.36499999999</v>
      </c>
    </row>
    <row r="34" spans="1:12" ht="15" thickBot="1">
      <c r="A34" s="140" t="s">
        <v>602</v>
      </c>
      <c r="C34" s="319">
        <f t="shared" ref="C34:J34" si="16">SUM(C30:C31)</f>
        <v>-73239</v>
      </c>
      <c r="D34" s="319">
        <f t="shared" si="16"/>
        <v>-177897.63999999996</v>
      </c>
      <c r="E34" s="319">
        <f t="shared" si="16"/>
        <v>-216091.00899999941</v>
      </c>
      <c r="F34" s="319">
        <f t="shared" si="16"/>
        <v>-636463</v>
      </c>
      <c r="G34" s="319">
        <f t="shared" si="16"/>
        <v>-29884</v>
      </c>
      <c r="H34" s="319">
        <f t="shared" si="16"/>
        <v>-627016.42000000004</v>
      </c>
      <c r="I34" s="319">
        <f t="shared" si="16"/>
        <v>-118652.56300000043</v>
      </c>
      <c r="J34" s="319">
        <f t="shared" si="16"/>
        <v>-291369.06800000032</v>
      </c>
      <c r="K34" s="319">
        <f t="shared" ref="K34:L34" si="17">SUM(K30:K31)</f>
        <v>-77355.213999999687</v>
      </c>
      <c r="L34" s="319">
        <f t="shared" si="17"/>
        <v>-81198.243000000366</v>
      </c>
    </row>
    <row r="35" spans="1:12">
      <c r="A35" s="137" t="s">
        <v>553</v>
      </c>
      <c r="C35" s="324">
        <v>220</v>
      </c>
      <c r="D35" s="324">
        <v>-1955.827</v>
      </c>
      <c r="E35" s="338">
        <v>2444.2530000000002</v>
      </c>
      <c r="F35" s="338">
        <v>-10563</v>
      </c>
      <c r="G35" s="328">
        <v>-10934</v>
      </c>
      <c r="H35" s="328">
        <v>5139.2879999999996</v>
      </c>
      <c r="I35" s="329">
        <v>0</v>
      </c>
      <c r="J35" s="329">
        <v>9179.2739999999994</v>
      </c>
      <c r="K35" s="323">
        <v>0</v>
      </c>
      <c r="L35" s="323">
        <v>-15043.276</v>
      </c>
    </row>
    <row r="36" spans="1:12">
      <c r="A36" s="137" t="s">
        <v>554</v>
      </c>
      <c r="C36" s="321">
        <v>1542</v>
      </c>
      <c r="D36" s="321">
        <v>-5209.4830000000002</v>
      </c>
      <c r="E36" s="338">
        <v>6548.558</v>
      </c>
      <c r="F36" s="338">
        <v>-29342</v>
      </c>
      <c r="G36" s="328">
        <v>-30339</v>
      </c>
      <c r="H36" s="328">
        <v>14241.407999999999</v>
      </c>
      <c r="I36" s="329">
        <v>0</v>
      </c>
      <c r="J36" s="329">
        <v>29341.715</v>
      </c>
      <c r="K36" s="323">
        <v>0</v>
      </c>
      <c r="L36" s="323">
        <v>-41786.877999999997</v>
      </c>
    </row>
    <row r="37" spans="1:12">
      <c r="A37" s="137" t="s">
        <v>603</v>
      </c>
      <c r="C37" s="324">
        <v>19842</v>
      </c>
      <c r="D37" s="324">
        <v>65671.423999999999</v>
      </c>
      <c r="E37" s="338">
        <v>61151.951999999997</v>
      </c>
      <c r="F37" s="338">
        <v>185036</v>
      </c>
      <c r="G37" s="328">
        <v>11034</v>
      </c>
      <c r="H37" s="328">
        <v>184962.44699999999</v>
      </c>
      <c r="I37" s="329">
        <v>39953.821000000004</v>
      </c>
      <c r="J37" s="329">
        <v>200394.32399999999</v>
      </c>
      <c r="K37" s="323">
        <v>18543.725999999999</v>
      </c>
      <c r="L37" s="323">
        <v>44416.468999999997</v>
      </c>
    </row>
    <row r="38" spans="1:12" ht="15" thickBot="1">
      <c r="A38" s="137" t="s">
        <v>555</v>
      </c>
      <c r="C38" s="321">
        <v>0</v>
      </c>
      <c r="D38" s="321">
        <v>0</v>
      </c>
      <c r="E38" s="338">
        <v>0</v>
      </c>
      <c r="F38" s="338">
        <v>0</v>
      </c>
      <c r="G38" s="328">
        <v>0</v>
      </c>
      <c r="H38" s="328">
        <v>0</v>
      </c>
      <c r="I38" s="329">
        <v>0</v>
      </c>
      <c r="J38" s="329">
        <v>0</v>
      </c>
      <c r="K38" s="323">
        <v>0</v>
      </c>
      <c r="L38" s="323">
        <v>0</v>
      </c>
    </row>
    <row r="39" spans="1:12" ht="15" thickBot="1">
      <c r="A39" s="140" t="s">
        <v>604</v>
      </c>
      <c r="C39" s="319">
        <f t="shared" ref="C39:J39" si="18">SUM(C34:C38)</f>
        <v>-51635</v>
      </c>
      <c r="D39" s="319">
        <f t="shared" si="18"/>
        <v>-119391.52599999995</v>
      </c>
      <c r="E39" s="319">
        <f t="shared" si="18"/>
        <v>-145946.24599999943</v>
      </c>
      <c r="F39" s="319">
        <f t="shared" si="18"/>
        <v>-491332</v>
      </c>
      <c r="G39" s="319">
        <f t="shared" si="18"/>
        <v>-60123</v>
      </c>
      <c r="H39" s="319">
        <f t="shared" si="18"/>
        <v>-422673.27700000006</v>
      </c>
      <c r="I39" s="319">
        <f t="shared" si="18"/>
        <v>-78698.742000000435</v>
      </c>
      <c r="J39" s="319">
        <f t="shared" si="18"/>
        <v>-52453.755000000354</v>
      </c>
      <c r="K39" s="319">
        <f t="shared" ref="K39:L39" si="19">SUM(K34:K38)</f>
        <v>-58811.487999999692</v>
      </c>
      <c r="L39" s="319">
        <f t="shared" si="19"/>
        <v>-93611.928000000349</v>
      </c>
    </row>
    <row r="40" spans="1:12">
      <c r="G40" s="333"/>
      <c r="H40" s="333"/>
      <c r="I40" s="333"/>
      <c r="J40" s="333"/>
      <c r="K40" s="333"/>
      <c r="L40" s="333"/>
    </row>
    <row r="41" spans="1:12">
      <c r="G41" s="333"/>
      <c r="H41" s="333"/>
      <c r="I41" s="333"/>
      <c r="J41" s="333"/>
      <c r="K41" s="333"/>
      <c r="L41" s="333"/>
    </row>
    <row r="42" spans="1:12">
      <c r="G42" s="333"/>
      <c r="H42" s="333"/>
      <c r="I42" s="333"/>
      <c r="J42" s="333"/>
      <c r="K42" s="333"/>
      <c r="L42" s="333"/>
    </row>
    <row r="43" spans="1:12">
      <c r="G43" s="333"/>
      <c r="H43" s="333"/>
      <c r="I43" s="333"/>
      <c r="J43" s="333"/>
      <c r="K43" s="333"/>
      <c r="L43" s="333"/>
    </row>
    <row r="44" spans="1:12">
      <c r="G44" s="333"/>
      <c r="H44" s="333"/>
      <c r="I44" s="333"/>
      <c r="J44" s="333"/>
      <c r="K44" s="333"/>
      <c r="L44" s="333"/>
    </row>
    <row r="45" spans="1:12">
      <c r="G45" s="333"/>
      <c r="H45" s="333"/>
      <c r="I45" s="333"/>
      <c r="J45" s="333"/>
      <c r="K45" s="333"/>
      <c r="L45" s="333"/>
    </row>
    <row r="46" spans="1:12">
      <c r="G46" s="333"/>
      <c r="H46" s="333"/>
      <c r="I46" s="333"/>
      <c r="J46" s="333"/>
      <c r="K46" s="333"/>
      <c r="L46" s="333"/>
    </row>
  </sheetData>
  <pageMargins left="0.511811024" right="0.511811024" top="0.78740157499999996" bottom="0.78740157499999996" header="0.31496062000000002" footer="0.31496062000000002"/>
  <ignoredErrors>
    <ignoredError sqref="C9:E9 G9:I9 F9 J9:K9" formulaRange="1"/>
  </ignoredErrors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7:AE38"/>
  <sheetViews>
    <sheetView showGridLines="0" zoomScaleNormal="100" workbookViewId="0">
      <pane xSplit="1" ySplit="8" topLeftCell="AB9" activePane="bottomRight" state="frozen"/>
      <selection pane="topRight" activeCell="AN17" sqref="AN17"/>
      <selection pane="bottomLeft" activeCell="AN17" sqref="AN17"/>
      <selection pane="bottomRight" activeCell="AE9" sqref="AE9"/>
    </sheetView>
  </sheetViews>
  <sheetFormatPr defaultColWidth="9.1796875" defaultRowHeight="14.5" outlineLevelCol="1"/>
  <cols>
    <col min="1" max="1" width="44.453125" style="37" bestFit="1" customWidth="1"/>
    <col min="2" max="2" width="0.7265625" customWidth="1"/>
    <col min="3" max="8" width="9.1796875" style="37" hidden="1" customWidth="1" outlineLevel="1"/>
    <col min="9" max="10" width="9.26953125" style="37" hidden="1" customWidth="1" outlineLevel="1"/>
    <col min="11" max="22" width="9.1796875" style="37" hidden="1" customWidth="1" outlineLevel="1"/>
    <col min="23" max="23" width="9.1796875" style="37" collapsed="1"/>
    <col min="24" max="16384" width="9.1796875" style="37"/>
  </cols>
  <sheetData>
    <row r="7" spans="1:31">
      <c r="A7" s="41" t="s">
        <v>615</v>
      </c>
      <c r="B7" s="133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</row>
    <row r="8" spans="1:31" ht="15" thickBot="1">
      <c r="A8" s="544" t="s">
        <v>585</v>
      </c>
      <c r="B8" s="134"/>
      <c r="C8" s="545" t="s">
        <v>25</v>
      </c>
      <c r="D8" s="545" t="s">
        <v>26</v>
      </c>
      <c r="E8" s="545" t="s">
        <v>27</v>
      </c>
      <c r="F8" s="545" t="s">
        <v>28</v>
      </c>
      <c r="G8" s="545" t="s">
        <v>29</v>
      </c>
      <c r="H8" s="545" t="s">
        <v>30</v>
      </c>
      <c r="I8" s="545" t="s">
        <v>31</v>
      </c>
      <c r="J8" s="545" t="s">
        <v>32</v>
      </c>
      <c r="K8" s="545" t="s">
        <v>33</v>
      </c>
      <c r="L8" s="545" t="s">
        <v>34</v>
      </c>
      <c r="M8" s="545" t="s">
        <v>35</v>
      </c>
      <c r="N8" s="545" t="s">
        <v>36</v>
      </c>
      <c r="O8" s="545" t="s">
        <v>37</v>
      </c>
      <c r="P8" s="545" t="s">
        <v>38</v>
      </c>
      <c r="Q8" s="545" t="s">
        <v>39</v>
      </c>
      <c r="R8" s="545" t="s">
        <v>40</v>
      </c>
      <c r="S8" s="545" t="s">
        <v>41</v>
      </c>
      <c r="T8" s="545" t="s">
        <v>42</v>
      </c>
      <c r="U8" s="545" t="s">
        <v>43</v>
      </c>
      <c r="V8" s="545" t="s">
        <v>44</v>
      </c>
      <c r="W8" s="545" t="s">
        <v>45</v>
      </c>
      <c r="X8" s="545" t="s">
        <v>46</v>
      </c>
      <c r="Y8" s="545" t="s">
        <v>47</v>
      </c>
      <c r="Z8" s="545" t="s">
        <v>48</v>
      </c>
      <c r="AA8" s="545" t="s">
        <v>49</v>
      </c>
      <c r="AB8" s="545" t="s">
        <v>50</v>
      </c>
      <c r="AC8" s="549" t="s">
        <v>51</v>
      </c>
      <c r="AD8" s="549" t="s">
        <v>52</v>
      </c>
      <c r="AE8" s="549" t="s">
        <v>53</v>
      </c>
    </row>
    <row r="9" spans="1:31" ht="15" thickBot="1">
      <c r="A9" s="140" t="s">
        <v>465</v>
      </c>
      <c r="B9" s="134"/>
      <c r="C9" s="141">
        <f>SUM(C10:C17)</f>
        <v>31842.022980000002</v>
      </c>
      <c r="D9" s="141">
        <f t="shared" ref="D9:X9" si="0">SUM(D10:D17)</f>
        <v>32331</v>
      </c>
      <c r="E9" s="141">
        <f t="shared" si="0"/>
        <v>32114.903379999996</v>
      </c>
      <c r="F9" s="141">
        <f t="shared" si="0"/>
        <v>48440.278330000016</v>
      </c>
      <c r="G9" s="141">
        <f t="shared" si="0"/>
        <v>44413.377119999997</v>
      </c>
      <c r="H9" s="141">
        <f t="shared" si="0"/>
        <v>46974</v>
      </c>
      <c r="I9" s="141">
        <f t="shared" si="0"/>
        <v>47646.775379999999</v>
      </c>
      <c r="J9" s="141">
        <f t="shared" si="0"/>
        <v>94181.278309999965</v>
      </c>
      <c r="K9" s="141">
        <f t="shared" si="0"/>
        <v>55341.709849999999</v>
      </c>
      <c r="L9" s="141">
        <f t="shared" si="0"/>
        <v>94695.691049999994</v>
      </c>
      <c r="M9" s="141">
        <f t="shared" si="0"/>
        <v>39370.182249999998</v>
      </c>
      <c r="N9" s="141">
        <f t="shared" si="0"/>
        <v>371443.02332000004</v>
      </c>
      <c r="O9" s="141">
        <f t="shared" si="0"/>
        <v>39386</v>
      </c>
      <c r="P9" s="141">
        <f t="shared" si="0"/>
        <v>38191.880619999996</v>
      </c>
      <c r="Q9" s="141">
        <f t="shared" si="0"/>
        <v>41899</v>
      </c>
      <c r="R9" s="141">
        <f t="shared" si="0"/>
        <v>15273</v>
      </c>
      <c r="S9" s="141">
        <f t="shared" si="0"/>
        <v>37173.375150000007</v>
      </c>
      <c r="T9" s="141">
        <f t="shared" si="0"/>
        <v>38231.880619999996</v>
      </c>
      <c r="U9" s="141">
        <f t="shared" si="0"/>
        <v>44463.173049999983</v>
      </c>
      <c r="V9" s="141">
        <f t="shared" si="0"/>
        <v>48484</v>
      </c>
      <c r="W9" s="141">
        <f t="shared" si="0"/>
        <v>45236</v>
      </c>
      <c r="X9" s="141">
        <f t="shared" si="0"/>
        <v>43623</v>
      </c>
      <c r="Y9" s="141">
        <f t="shared" ref="Y9:AE9" si="1">SUM(Y10:Y17)</f>
        <v>46929</v>
      </c>
      <c r="Z9" s="141">
        <f t="shared" si="1"/>
        <v>31019.330103799999</v>
      </c>
      <c r="AA9" s="141">
        <f t="shared" si="1"/>
        <v>32978.28613</v>
      </c>
      <c r="AB9" s="141">
        <f t="shared" si="1"/>
        <v>48265.042633550009</v>
      </c>
      <c r="AC9" s="141">
        <f t="shared" si="1"/>
        <v>45496.302299999996</v>
      </c>
      <c r="AD9" s="141">
        <f t="shared" si="1"/>
        <v>25422.647440000001</v>
      </c>
      <c r="AE9" s="141">
        <f t="shared" si="1"/>
        <v>32026.989999999998</v>
      </c>
    </row>
    <row r="10" spans="1:31">
      <c r="A10" s="137" t="s">
        <v>616</v>
      </c>
      <c r="B10" s="134"/>
      <c r="C10" s="401"/>
      <c r="D10" s="401"/>
      <c r="E10" s="401"/>
      <c r="F10" s="401">
        <v>0</v>
      </c>
      <c r="G10" s="401"/>
      <c r="H10" s="401"/>
      <c r="I10" s="401"/>
      <c r="J10" s="401">
        <v>7517.6945199999955</v>
      </c>
      <c r="K10" s="401">
        <v>1277</v>
      </c>
      <c r="L10" s="401">
        <v>1700.7818099999997</v>
      </c>
      <c r="M10" s="401">
        <v>1403.0583499999939</v>
      </c>
      <c r="N10" s="401">
        <v>2287.0233200000002</v>
      </c>
      <c r="O10" s="401">
        <v>1566</v>
      </c>
      <c r="P10" s="401"/>
      <c r="Q10" s="401">
        <v>351</v>
      </c>
      <c r="R10" s="401">
        <v>-93</v>
      </c>
      <c r="S10" s="401">
        <v>353.15982999999824</v>
      </c>
      <c r="T10" s="401">
        <v>0</v>
      </c>
      <c r="U10" s="401">
        <v>-704.10499000000959</v>
      </c>
      <c r="V10" s="401"/>
      <c r="W10" s="401"/>
      <c r="X10" s="401">
        <v>0</v>
      </c>
      <c r="Y10" s="401">
        <v>0</v>
      </c>
      <c r="Z10" s="401">
        <v>0</v>
      </c>
      <c r="AA10" s="401">
        <v>0</v>
      </c>
      <c r="AB10" s="401">
        <v>0</v>
      </c>
      <c r="AC10" s="401"/>
      <c r="AD10" s="401"/>
      <c r="AE10" s="401"/>
    </row>
    <row r="11" spans="1:31">
      <c r="A11" s="137" t="s">
        <v>617</v>
      </c>
      <c r="B11" s="134"/>
      <c r="C11" s="401">
        <v>3131.3578799999996</v>
      </c>
      <c r="D11" s="401">
        <v>3397</v>
      </c>
      <c r="E11" s="401"/>
      <c r="F11" s="401">
        <v>3464.1586299999999</v>
      </c>
      <c r="G11" s="401">
        <v>3284.5609399999998</v>
      </c>
      <c r="H11" s="401">
        <v>3459</v>
      </c>
      <c r="I11" s="401">
        <v>3597.9925499999999</v>
      </c>
      <c r="J11" s="401">
        <v>21300.29477</v>
      </c>
      <c r="K11" s="401">
        <v>8525.7098499999993</v>
      </c>
      <c r="L11" s="401">
        <v>7222.7429399999992</v>
      </c>
      <c r="M11" s="401">
        <v>11278.547210000001</v>
      </c>
      <c r="N11" s="401">
        <v>-9591</v>
      </c>
      <c r="O11" s="401">
        <v>4479</v>
      </c>
      <c r="P11" s="401">
        <v>4386.3185300000005</v>
      </c>
      <c r="Q11" s="401">
        <v>4409</v>
      </c>
      <c r="R11" s="401">
        <v>-2382.8763200000003</v>
      </c>
      <c r="S11" s="401">
        <v>2846.5230899999997</v>
      </c>
      <c r="T11" s="401">
        <v>4386.3185300000005</v>
      </c>
      <c r="U11" s="401">
        <v>2543.9808300000004</v>
      </c>
      <c r="V11" s="401">
        <v>4471</v>
      </c>
      <c r="W11" s="401">
        <v>4298</v>
      </c>
      <c r="X11" s="401">
        <v>2434</v>
      </c>
      <c r="Y11" s="401">
        <v>7409</v>
      </c>
      <c r="Z11" s="401">
        <v>6613.9940600000009</v>
      </c>
      <c r="AA11" s="401">
        <v>3194.2189700000004</v>
      </c>
      <c r="AB11" s="401">
        <v>3226.1579999999999</v>
      </c>
      <c r="AC11" s="401">
        <v>2799.902</v>
      </c>
      <c r="AD11" s="401">
        <v>-4335.9610000000002</v>
      </c>
      <c r="AE11" s="401">
        <v>7999.4459999999999</v>
      </c>
    </row>
    <row r="12" spans="1:31">
      <c r="A12" s="137" t="s">
        <v>470</v>
      </c>
      <c r="B12" s="134"/>
      <c r="C12" s="401">
        <v>1518.0959399999999</v>
      </c>
      <c r="D12" s="401">
        <v>1798</v>
      </c>
      <c r="E12" s="401"/>
      <c r="F12" s="401">
        <v>21006.587340000002</v>
      </c>
      <c r="G12" s="401">
        <v>9752.8579200000004</v>
      </c>
      <c r="H12" s="401">
        <v>9510</v>
      </c>
      <c r="I12" s="401">
        <v>13052.73272</v>
      </c>
      <c r="J12" s="401">
        <v>45272.180239999951</v>
      </c>
      <c r="K12" s="401">
        <v>21762</v>
      </c>
      <c r="L12" s="401">
        <v>55559.120990000003</v>
      </c>
      <c r="M12" s="401">
        <v>3392.0522999999957</v>
      </c>
      <c r="N12" s="401">
        <v>-12503</v>
      </c>
      <c r="O12" s="401">
        <v>70915</v>
      </c>
      <c r="P12" s="401">
        <v>16660.057679999998</v>
      </c>
      <c r="Q12" s="401">
        <v>25013</v>
      </c>
      <c r="R12" s="401">
        <v>29440.541119999998</v>
      </c>
      <c r="S12" s="401">
        <v>6236.4387400000005</v>
      </c>
      <c r="T12" s="401">
        <v>16660.057679999998</v>
      </c>
      <c r="U12" s="401">
        <v>2876.8540899999998</v>
      </c>
      <c r="V12" s="401">
        <v>4481</v>
      </c>
      <c r="W12" s="401">
        <v>447</v>
      </c>
      <c r="X12" s="401">
        <v>-12</v>
      </c>
      <c r="Y12" s="401">
        <v>0</v>
      </c>
      <c r="Z12" s="401">
        <v>-0.14265000000000327</v>
      </c>
      <c r="AA12" s="401">
        <v>0</v>
      </c>
      <c r="AB12" s="401">
        <v>-0.33400000000000002</v>
      </c>
      <c r="AC12" s="401"/>
      <c r="AD12" s="401">
        <v>0.33400000000000002</v>
      </c>
      <c r="AE12" s="401"/>
    </row>
    <row r="13" spans="1:31">
      <c r="A13" s="137" t="s">
        <v>618</v>
      </c>
      <c r="B13" s="134"/>
      <c r="C13" s="401">
        <v>26065.463100000001</v>
      </c>
      <c r="D13" s="401">
        <v>26009</v>
      </c>
      <c r="E13" s="401">
        <v>31606.903379999996</v>
      </c>
      <c r="F13" s="401">
        <v>22762.532360000012</v>
      </c>
      <c r="G13" s="401">
        <v>30248.852200000001</v>
      </c>
      <c r="H13" s="401">
        <v>32878</v>
      </c>
      <c r="I13" s="401">
        <v>29869.05011</v>
      </c>
      <c r="J13" s="401">
        <v>10783.705739999998</v>
      </c>
      <c r="K13" s="401">
        <v>22419</v>
      </c>
      <c r="L13" s="401">
        <v>26902.724129999995</v>
      </c>
      <c r="M13" s="401">
        <v>20298.929590000007</v>
      </c>
      <c r="N13" s="401">
        <v>-69621</v>
      </c>
      <c r="O13" s="401">
        <v>0</v>
      </c>
      <c r="P13" s="401"/>
      <c r="Q13" s="401"/>
      <c r="R13" s="401">
        <v>75527.47606999999</v>
      </c>
      <c r="S13" s="401">
        <v>0</v>
      </c>
      <c r="T13" s="401">
        <v>0</v>
      </c>
      <c r="U13" s="401">
        <v>0</v>
      </c>
      <c r="V13" s="401"/>
      <c r="W13" s="401"/>
      <c r="X13" s="401">
        <v>0</v>
      </c>
      <c r="Y13" s="401">
        <v>0</v>
      </c>
      <c r="Z13" s="401">
        <v>0</v>
      </c>
      <c r="AA13" s="401">
        <v>0</v>
      </c>
      <c r="AB13" s="401">
        <v>0</v>
      </c>
      <c r="AC13" s="401"/>
      <c r="AD13" s="401"/>
      <c r="AE13" s="401"/>
    </row>
    <row r="14" spans="1:31">
      <c r="A14" s="137" t="s">
        <v>619</v>
      </c>
      <c r="B14" s="134"/>
      <c r="C14" s="401"/>
      <c r="D14" s="401"/>
      <c r="E14" s="401"/>
      <c r="F14" s="401"/>
      <c r="G14" s="401"/>
      <c r="H14" s="401"/>
      <c r="I14" s="401"/>
      <c r="J14" s="401">
        <v>8487.4030399999992</v>
      </c>
      <c r="K14" s="401">
        <v>538</v>
      </c>
      <c r="L14" s="401">
        <v>2455.3211800000004</v>
      </c>
      <c r="M14" s="401">
        <v>2167.5947999999999</v>
      </c>
      <c r="N14" s="401">
        <v>125728</v>
      </c>
      <c r="O14" s="401">
        <f>34754-72949</f>
        <v>-38195</v>
      </c>
      <c r="P14" s="401">
        <v>35510.504410000001</v>
      </c>
      <c r="Q14" s="401">
        <v>8599</v>
      </c>
      <c r="R14" s="401">
        <v>-57.756770000000017</v>
      </c>
      <c r="S14" s="401">
        <v>0</v>
      </c>
      <c r="T14" s="401">
        <v>35510.504410000001</v>
      </c>
      <c r="U14" s="401">
        <v>36940</v>
      </c>
      <c r="V14" s="401">
        <v>36984</v>
      </c>
      <c r="W14" s="401">
        <v>37533</v>
      </c>
      <c r="X14" s="401">
        <v>37138</v>
      </c>
      <c r="Y14" s="401">
        <v>37133</v>
      </c>
      <c r="Z14" s="401">
        <v>30502.081453799998</v>
      </c>
      <c r="AA14" s="401">
        <v>0</v>
      </c>
      <c r="AB14" s="401">
        <v>44207.147633550005</v>
      </c>
      <c r="AC14" s="401">
        <v>41791.137299999995</v>
      </c>
      <c r="AD14" s="401">
        <v>28853.011440000002</v>
      </c>
      <c r="AE14" s="401">
        <v>23149.031999999999</v>
      </c>
    </row>
    <row r="15" spans="1:31">
      <c r="A15" s="137" t="s">
        <v>620</v>
      </c>
      <c r="B15" s="134"/>
      <c r="C15" s="401"/>
      <c r="D15" s="401"/>
      <c r="E15" s="401"/>
      <c r="F15" s="401"/>
      <c r="G15" s="401"/>
      <c r="H15" s="401"/>
      <c r="I15" s="401"/>
      <c r="J15" s="401"/>
      <c r="K15" s="401"/>
      <c r="L15" s="401"/>
      <c r="M15" s="401"/>
      <c r="N15" s="401"/>
      <c r="O15" s="401"/>
      <c r="P15" s="401">
        <v>-20300</v>
      </c>
      <c r="Q15" s="401"/>
      <c r="R15" s="401">
        <v>-89584.302650000012</v>
      </c>
      <c r="S15" s="401">
        <v>-15030.48518</v>
      </c>
      <c r="T15" s="401">
        <v>-20300</v>
      </c>
      <c r="U15" s="401">
        <v>0</v>
      </c>
      <c r="V15" s="401"/>
      <c r="W15" s="401"/>
      <c r="X15" s="401">
        <v>0</v>
      </c>
      <c r="Y15" s="401">
        <v>0</v>
      </c>
      <c r="Z15" s="401">
        <v>0</v>
      </c>
      <c r="AA15" s="401">
        <v>0</v>
      </c>
      <c r="AB15" s="401">
        <v>0</v>
      </c>
      <c r="AC15" s="401"/>
      <c r="AD15" s="401"/>
      <c r="AE15" s="401"/>
    </row>
    <row r="16" spans="1:31">
      <c r="A16" s="137" t="s">
        <v>474</v>
      </c>
      <c r="B16" s="134"/>
      <c r="C16" s="401">
        <v>1127.1060600000001</v>
      </c>
      <c r="D16" s="401">
        <v>1127</v>
      </c>
      <c r="E16" s="401">
        <v>508</v>
      </c>
      <c r="F16" s="401">
        <v>1207</v>
      </c>
      <c r="G16" s="401">
        <v>1127.1060600000001</v>
      </c>
      <c r="H16" s="401">
        <v>1127</v>
      </c>
      <c r="I16" s="401">
        <v>1127</v>
      </c>
      <c r="J16" s="401">
        <v>820</v>
      </c>
      <c r="K16" s="401">
        <v>820</v>
      </c>
      <c r="L16" s="401">
        <v>855</v>
      </c>
      <c r="M16" s="401">
        <v>830</v>
      </c>
      <c r="N16" s="401">
        <v>335143</v>
      </c>
      <c r="O16" s="401">
        <v>621</v>
      </c>
      <c r="P16" s="401">
        <v>1935</v>
      </c>
      <c r="Q16" s="401">
        <v>3527</v>
      </c>
      <c r="R16" s="401">
        <v>2422.9185500000312</v>
      </c>
      <c r="S16" s="401">
        <v>2179.1868999999997</v>
      </c>
      <c r="T16" s="401">
        <v>1975</v>
      </c>
      <c r="U16" s="401">
        <v>2806.4431199999999</v>
      </c>
      <c r="V16" s="401">
        <v>2548</v>
      </c>
      <c r="W16" s="401">
        <v>2958</v>
      </c>
      <c r="X16" s="401">
        <v>4063</v>
      </c>
      <c r="Y16" s="401">
        <v>2387</v>
      </c>
      <c r="Z16" s="401">
        <v>-6096.6027599999998</v>
      </c>
      <c r="AA16" s="401">
        <v>832.06715999999938</v>
      </c>
      <c r="AB16" s="401">
        <v>832.07100000000003</v>
      </c>
      <c r="AC16" s="401">
        <v>905.26300000000003</v>
      </c>
      <c r="AD16" s="401">
        <v>905.26300000000003</v>
      </c>
      <c r="AE16" s="401">
        <v>878.51199999999994</v>
      </c>
    </row>
    <row r="17" spans="1:31" ht="15" thickBot="1">
      <c r="A17" s="137" t="s">
        <v>621</v>
      </c>
      <c r="B17" s="134"/>
      <c r="C17" s="401"/>
      <c r="D17" s="401"/>
      <c r="E17" s="401"/>
      <c r="F17" s="401"/>
      <c r="G17" s="401"/>
      <c r="H17" s="401"/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>
        <v>40588.551770000005</v>
      </c>
      <c r="T17" s="401"/>
      <c r="U17" s="401"/>
      <c r="V17" s="401"/>
      <c r="W17" s="401"/>
      <c r="X17" s="401">
        <v>0</v>
      </c>
      <c r="Y17" s="401">
        <v>0</v>
      </c>
      <c r="Z17" s="401">
        <v>0</v>
      </c>
      <c r="AA17" s="401">
        <v>28952</v>
      </c>
      <c r="AB17" s="401">
        <v>0</v>
      </c>
      <c r="AC17" s="401"/>
      <c r="AD17" s="401"/>
      <c r="AE17" s="401"/>
    </row>
    <row r="18" spans="1:31" ht="15" thickBot="1">
      <c r="A18" s="140" t="s">
        <v>587</v>
      </c>
      <c r="B18" s="134"/>
      <c r="C18" s="141">
        <v>-4005.18343</v>
      </c>
      <c r="D18" s="141">
        <v>-4058</v>
      </c>
      <c r="E18" s="141">
        <v>-4359</v>
      </c>
      <c r="F18" s="141">
        <v>-3958.5506599999999</v>
      </c>
      <c r="G18" s="141">
        <v>-3896.70147</v>
      </c>
      <c r="H18" s="141">
        <v>-9225</v>
      </c>
      <c r="I18" s="141">
        <v>-5707</v>
      </c>
      <c r="J18" s="141">
        <v>-6432</v>
      </c>
      <c r="K18" s="141">
        <v>-10094</v>
      </c>
      <c r="L18" s="141">
        <v>-8786</v>
      </c>
      <c r="M18" s="141">
        <v>-6450</v>
      </c>
      <c r="N18" s="141">
        <v>1284</v>
      </c>
      <c r="O18" s="141">
        <v>-9091</v>
      </c>
      <c r="P18" s="141">
        <v>-8807</v>
      </c>
      <c r="Q18" s="141">
        <v>-7400</v>
      </c>
      <c r="R18" s="141">
        <v>-6580.8092799999995</v>
      </c>
      <c r="S18" s="141">
        <v>-8033.8908799999999</v>
      </c>
      <c r="T18" s="141">
        <v>-8807</v>
      </c>
      <c r="U18" s="141">
        <v>-5308</v>
      </c>
      <c r="V18" s="141">
        <v>-5540</v>
      </c>
      <c r="W18" s="141">
        <v>-4981</v>
      </c>
      <c r="X18" s="141">
        <v>-4662</v>
      </c>
      <c r="Y18" s="141">
        <v>-4863</v>
      </c>
      <c r="Z18" s="141">
        <v>-4975.6281501999947</v>
      </c>
      <c r="AA18" s="141">
        <v>-4812</v>
      </c>
      <c r="AB18" s="141">
        <v>-4826.8329999999996</v>
      </c>
      <c r="AC18" s="141">
        <v>-3600.22</v>
      </c>
      <c r="AD18" s="141">
        <v>-3001.45244</v>
      </c>
      <c r="AE18" s="141">
        <v>-4781.9160000000002</v>
      </c>
    </row>
    <row r="19" spans="1:31" ht="15" thickBot="1">
      <c r="A19" s="140" t="s">
        <v>491</v>
      </c>
      <c r="B19" s="142"/>
      <c r="C19" s="402">
        <f t="shared" ref="C19:X19" si="2">C9+C18</f>
        <v>27836.839550000001</v>
      </c>
      <c r="D19" s="402">
        <f t="shared" si="2"/>
        <v>28273</v>
      </c>
      <c r="E19" s="402">
        <f t="shared" si="2"/>
        <v>27755.903379999996</v>
      </c>
      <c r="F19" s="402">
        <f t="shared" si="2"/>
        <v>44481.727670000015</v>
      </c>
      <c r="G19" s="402">
        <f t="shared" si="2"/>
        <v>40516.675649999997</v>
      </c>
      <c r="H19" s="402">
        <f t="shared" si="2"/>
        <v>37749</v>
      </c>
      <c r="I19" s="402">
        <f t="shared" si="2"/>
        <v>41939.775379999999</v>
      </c>
      <c r="J19" s="402">
        <f t="shared" si="2"/>
        <v>87749.278309999965</v>
      </c>
      <c r="K19" s="402">
        <f t="shared" si="2"/>
        <v>45247.709849999999</v>
      </c>
      <c r="L19" s="402">
        <f t="shared" si="2"/>
        <v>85909.691049999994</v>
      </c>
      <c r="M19" s="402">
        <f t="shared" si="2"/>
        <v>32920.182249999998</v>
      </c>
      <c r="N19" s="402">
        <f t="shared" si="2"/>
        <v>372727.02332000004</v>
      </c>
      <c r="O19" s="402">
        <f t="shared" si="2"/>
        <v>30295</v>
      </c>
      <c r="P19" s="402">
        <f t="shared" si="2"/>
        <v>29384.880619999996</v>
      </c>
      <c r="Q19" s="402">
        <f t="shared" si="2"/>
        <v>34499</v>
      </c>
      <c r="R19" s="402">
        <f t="shared" si="2"/>
        <v>8692.1907200000005</v>
      </c>
      <c r="S19" s="402">
        <f t="shared" si="2"/>
        <v>29139.484270000008</v>
      </c>
      <c r="T19" s="402">
        <f t="shared" si="2"/>
        <v>29424.880619999996</v>
      </c>
      <c r="U19" s="402">
        <f t="shared" si="2"/>
        <v>39155.173049999983</v>
      </c>
      <c r="V19" s="402">
        <f t="shared" si="2"/>
        <v>42944</v>
      </c>
      <c r="W19" s="402">
        <f t="shared" si="2"/>
        <v>40255</v>
      </c>
      <c r="X19" s="402">
        <f t="shared" si="2"/>
        <v>38961</v>
      </c>
      <c r="Y19" s="402">
        <f t="shared" ref="Y19:AE19" si="3">Y9+Y18</f>
        <v>42066</v>
      </c>
      <c r="Z19" s="402">
        <f t="shared" si="3"/>
        <v>26043.701953600004</v>
      </c>
      <c r="AA19" s="402">
        <f t="shared" si="3"/>
        <v>28166.28613</v>
      </c>
      <c r="AB19" s="402">
        <f t="shared" si="3"/>
        <v>43438.20963355001</v>
      </c>
      <c r="AC19" s="402">
        <f t="shared" si="3"/>
        <v>41896.082299999995</v>
      </c>
      <c r="AD19" s="402">
        <f t="shared" si="3"/>
        <v>22421.195</v>
      </c>
      <c r="AE19" s="402">
        <f t="shared" si="3"/>
        <v>27245.073999999997</v>
      </c>
    </row>
    <row r="20" spans="1:31" ht="15" thickBot="1">
      <c r="A20" s="140" t="s">
        <v>622</v>
      </c>
      <c r="B20" s="142"/>
      <c r="C20" s="402"/>
      <c r="D20" s="402"/>
      <c r="E20" s="402"/>
      <c r="F20" s="402"/>
      <c r="G20" s="402"/>
      <c r="H20" s="402"/>
      <c r="I20" s="402"/>
      <c r="J20" s="402"/>
      <c r="K20" s="402"/>
      <c r="L20" s="402"/>
      <c r="M20" s="402"/>
      <c r="N20" s="402"/>
      <c r="O20" s="402"/>
      <c r="P20" s="402"/>
      <c r="Q20" s="402"/>
      <c r="R20" s="402"/>
      <c r="S20" s="402"/>
      <c r="T20" s="402"/>
      <c r="U20" s="402">
        <v>-9470</v>
      </c>
      <c r="V20" s="402"/>
      <c r="W20" s="402">
        <v>-20962</v>
      </c>
      <c r="X20" s="402">
        <v>-10410</v>
      </c>
      <c r="Y20" s="402">
        <v>-12121</v>
      </c>
      <c r="Z20" s="402"/>
      <c r="AA20" s="402"/>
      <c r="AB20" s="402">
        <v>0</v>
      </c>
      <c r="AC20" s="402"/>
      <c r="AD20" s="402"/>
      <c r="AE20" s="402"/>
    </row>
    <row r="21" spans="1:31" ht="15" thickBot="1">
      <c r="A21" s="140" t="s">
        <v>594</v>
      </c>
      <c r="B21" s="142"/>
      <c r="C21" s="141">
        <f t="shared" ref="C21:AE21" si="4">SUM(C22:C27)</f>
        <v>-6180.9530800000002</v>
      </c>
      <c r="D21" s="141">
        <f t="shared" si="4"/>
        <v>-7226</v>
      </c>
      <c r="E21" s="141">
        <f t="shared" si="4"/>
        <v>-4946.7498700000006</v>
      </c>
      <c r="F21" s="141">
        <f t="shared" si="4"/>
        <v>-25651.637659999997</v>
      </c>
      <c r="G21" s="141">
        <f t="shared" si="4"/>
        <v>-14310.554389999999</v>
      </c>
      <c r="H21" s="141">
        <f t="shared" si="4"/>
        <v>-9347</v>
      </c>
      <c r="I21" s="141">
        <f t="shared" si="4"/>
        <v>-16396.5982</v>
      </c>
      <c r="J21" s="141">
        <f t="shared" si="4"/>
        <v>-16408.671450000002</v>
      </c>
      <c r="K21" s="141">
        <f t="shared" si="4"/>
        <v>-29576</v>
      </c>
      <c r="L21" s="141">
        <f t="shared" si="4"/>
        <v>-8284</v>
      </c>
      <c r="M21" s="141">
        <f t="shared" si="4"/>
        <v>-6118.0428000000029</v>
      </c>
      <c r="N21" s="141">
        <f t="shared" si="4"/>
        <v>-6705</v>
      </c>
      <c r="O21" s="141">
        <f t="shared" si="4"/>
        <v>-36946</v>
      </c>
      <c r="P21" s="141">
        <f t="shared" si="4"/>
        <v>-11711</v>
      </c>
      <c r="Q21" s="141">
        <f t="shared" si="4"/>
        <v>-16034</v>
      </c>
      <c r="R21" s="141">
        <f t="shared" si="4"/>
        <v>-11727.384210000031</v>
      </c>
      <c r="S21" s="141">
        <f t="shared" si="4"/>
        <v>-6221.5738599999995</v>
      </c>
      <c r="T21" s="141">
        <f t="shared" si="4"/>
        <v>-11711</v>
      </c>
      <c r="U21" s="141">
        <f t="shared" si="4"/>
        <v>-5320.9633199999998</v>
      </c>
      <c r="V21" s="141">
        <f t="shared" si="4"/>
        <v>-22529</v>
      </c>
      <c r="W21" s="141">
        <f t="shared" si="4"/>
        <v>-3154.0988299999995</v>
      </c>
      <c r="X21" s="141">
        <f t="shared" si="4"/>
        <v>-4278.9011700000001</v>
      </c>
      <c r="Y21" s="141">
        <f t="shared" si="4"/>
        <v>-7676</v>
      </c>
      <c r="Z21" s="141">
        <f t="shared" si="4"/>
        <v>-7031.1248399999977</v>
      </c>
      <c r="AA21" s="141">
        <f t="shared" si="4"/>
        <v>-3515.5725699999998</v>
      </c>
      <c r="AB21" s="141">
        <f t="shared" si="4"/>
        <v>-3580.8220000000001</v>
      </c>
      <c r="AC21" s="141">
        <f t="shared" si="4"/>
        <v>-3985.6880000000006</v>
      </c>
      <c r="AD21" s="141">
        <f t="shared" si="4"/>
        <v>-4606.8959999999997</v>
      </c>
      <c r="AE21" s="141">
        <f t="shared" si="4"/>
        <v>-10457.062000000002</v>
      </c>
    </row>
    <row r="22" spans="1:31">
      <c r="A22" s="137" t="s">
        <v>595</v>
      </c>
      <c r="B22" s="142"/>
      <c r="C22" s="401">
        <v>-1360.88057</v>
      </c>
      <c r="D22" s="401">
        <v>-1104</v>
      </c>
      <c r="E22" s="401">
        <v>-1313.6426200000001</v>
      </c>
      <c r="F22" s="401">
        <v>-1468.6969899999999</v>
      </c>
      <c r="G22" s="401">
        <v>-1155.00431</v>
      </c>
      <c r="H22" s="401">
        <v>-1259</v>
      </c>
      <c r="I22" s="401">
        <v>-1273</v>
      </c>
      <c r="J22" s="401">
        <v>-989</v>
      </c>
      <c r="K22" s="401">
        <v>-1446</v>
      </c>
      <c r="L22" s="401">
        <v>-871</v>
      </c>
      <c r="M22" s="401">
        <v>-1139</v>
      </c>
      <c r="N22" s="401">
        <v>-1207</v>
      </c>
      <c r="O22" s="401">
        <v>-824</v>
      </c>
      <c r="P22" s="401">
        <v>-844</v>
      </c>
      <c r="Q22" s="401">
        <v>-1408</v>
      </c>
      <c r="R22" s="401">
        <v>-2625</v>
      </c>
      <c r="S22" s="401">
        <v>-1589.4129500000001</v>
      </c>
      <c r="T22" s="401">
        <v>-844</v>
      </c>
      <c r="U22" s="401">
        <v>-2047.3384599999999</v>
      </c>
      <c r="V22" s="401">
        <v>-1634</v>
      </c>
      <c r="W22" s="401">
        <v>-1470.6243699999998</v>
      </c>
      <c r="X22" s="401">
        <v>-1426.3756300000002</v>
      </c>
      <c r="Y22" s="401">
        <v>-1348</v>
      </c>
      <c r="Z22" s="401">
        <v>-842.0875700000006</v>
      </c>
      <c r="AA22" s="401">
        <v>-765.33783999999991</v>
      </c>
      <c r="AB22" s="401">
        <v>-951.48599999999999</v>
      </c>
      <c r="AC22" s="401">
        <v>-1172.9090000000001</v>
      </c>
      <c r="AD22" s="401">
        <v>-2929.752</v>
      </c>
      <c r="AE22" s="401">
        <v>-867.65700000000004</v>
      </c>
    </row>
    <row r="23" spans="1:31">
      <c r="A23" s="137" t="s">
        <v>596</v>
      </c>
      <c r="B23" s="142"/>
      <c r="C23" s="401">
        <v>-122.13176</v>
      </c>
      <c r="D23" s="401">
        <v>-158</v>
      </c>
      <c r="E23" s="401">
        <v>-132.00269</v>
      </c>
      <c r="F23" s="401">
        <v>-102.24357000000001</v>
      </c>
      <c r="G23" s="401">
        <v>-100.58869</v>
      </c>
      <c r="H23" s="401">
        <v>-77</v>
      </c>
      <c r="I23" s="401">
        <v>-52.536110000000001</v>
      </c>
      <c r="J23" s="401">
        <v>-129</v>
      </c>
      <c r="K23" s="401">
        <v>-133</v>
      </c>
      <c r="L23" s="401">
        <v>105</v>
      </c>
      <c r="M23" s="401">
        <v>-7.4584700000000019</v>
      </c>
      <c r="N23" s="401">
        <v>-44</v>
      </c>
      <c r="O23" s="401">
        <v>-16</v>
      </c>
      <c r="P23" s="401">
        <v>-155</v>
      </c>
      <c r="Q23" s="401">
        <v>-143</v>
      </c>
      <c r="R23" s="401">
        <v>12</v>
      </c>
      <c r="S23" s="401">
        <v>-24.755410000000001</v>
      </c>
      <c r="T23" s="401">
        <v>-155</v>
      </c>
      <c r="U23" s="401">
        <v>-257.03176000000002</v>
      </c>
      <c r="V23" s="401">
        <v>-393</v>
      </c>
      <c r="W23" s="401">
        <v>-36</v>
      </c>
      <c r="X23" s="401">
        <v>-236</v>
      </c>
      <c r="Y23" s="401">
        <v>-296</v>
      </c>
      <c r="Z23" s="401">
        <v>-391.98337000000015</v>
      </c>
      <c r="AA23" s="401">
        <v>-483.42369999999994</v>
      </c>
      <c r="AB23" s="401">
        <v>267.78699999999998</v>
      </c>
      <c r="AC23" s="401">
        <v>-319.65499999999997</v>
      </c>
      <c r="AD23" s="401">
        <v>-275.28399999999999</v>
      </c>
      <c r="AE23" s="401">
        <v>-574.85199999999998</v>
      </c>
    </row>
    <row r="24" spans="1:31">
      <c r="A24" s="137" t="s">
        <v>597</v>
      </c>
      <c r="B24" s="357"/>
      <c r="C24" s="401">
        <v>-2873.5294399999998</v>
      </c>
      <c r="D24" s="401">
        <v>-3055</v>
      </c>
      <c r="E24" s="401">
        <v>-3402.1045600000002</v>
      </c>
      <c r="F24" s="401">
        <v>-2905.3433199999999</v>
      </c>
      <c r="G24" s="401">
        <v>-2749.51656</v>
      </c>
      <c r="H24" s="401">
        <v>-2885</v>
      </c>
      <c r="I24" s="401">
        <v>-3074.4806600000002</v>
      </c>
      <c r="J24" s="401">
        <v>-3141</v>
      </c>
      <c r="K24" s="401">
        <v>-2944</v>
      </c>
      <c r="L24" s="401">
        <v>-2552</v>
      </c>
      <c r="M24" s="401">
        <v>-3879.0311400000001</v>
      </c>
      <c r="N24" s="401">
        <v>-3256</v>
      </c>
      <c r="O24" s="401">
        <v>-3632</v>
      </c>
      <c r="P24" s="401">
        <v>-3396</v>
      </c>
      <c r="Q24" s="401">
        <v>-3018</v>
      </c>
      <c r="R24" s="401">
        <v>-2564</v>
      </c>
      <c r="S24" s="401">
        <v>-1860.6816799999995</v>
      </c>
      <c r="T24" s="401">
        <v>-3396</v>
      </c>
      <c r="U24" s="401">
        <v>-1252.7116599999999</v>
      </c>
      <c r="V24" s="401">
        <v>-2956</v>
      </c>
      <c r="W24" s="401">
        <v>-1370</v>
      </c>
      <c r="X24" s="401">
        <v>-2441</v>
      </c>
      <c r="Y24" s="401">
        <v>-5947</v>
      </c>
      <c r="Z24" s="401">
        <v>-58.604859999997643</v>
      </c>
      <c r="AA24" s="401">
        <v>-1332.3174599999998</v>
      </c>
      <c r="AB24" s="401">
        <v>-2661.018</v>
      </c>
      <c r="AC24" s="401">
        <v>-2303.3850000000002</v>
      </c>
      <c r="AD24" s="401">
        <v>-2461.4369999999999</v>
      </c>
      <c r="AE24" s="401">
        <v>-2688.5839999999998</v>
      </c>
    </row>
    <row r="25" spans="1:31">
      <c r="A25" s="137" t="s">
        <v>623</v>
      </c>
      <c r="B25" s="142"/>
      <c r="C25" s="401">
        <v>-1518.0959399999999</v>
      </c>
      <c r="D25" s="401">
        <v>-1798</v>
      </c>
      <c r="E25" s="401"/>
      <c r="F25" s="401">
        <v>-21006.587339999998</v>
      </c>
      <c r="G25" s="401">
        <v>-9752.8579200000004</v>
      </c>
      <c r="H25" s="401">
        <v>-4809</v>
      </c>
      <c r="I25" s="401">
        <v>-11947.58143</v>
      </c>
      <c r="J25" s="401">
        <v>-12177.67145</v>
      </c>
      <c r="K25" s="401">
        <v>-25052</v>
      </c>
      <c r="L25" s="401">
        <v>-5015</v>
      </c>
      <c r="M25" s="401">
        <v>-1092.5531900000024</v>
      </c>
      <c r="N25" s="401">
        <v>-2059</v>
      </c>
      <c r="O25" s="401">
        <v>-32839</v>
      </c>
      <c r="P25" s="401">
        <v>-7715</v>
      </c>
      <c r="Q25" s="401">
        <v>-11583</v>
      </c>
      <c r="R25" s="401">
        <v>-6884</v>
      </c>
      <c r="S25" s="401">
        <v>-2775.8187200000002</v>
      </c>
      <c r="T25" s="401">
        <v>-7715</v>
      </c>
      <c r="U25" s="401">
        <v>-1280.6851699999997</v>
      </c>
      <c r="V25" s="401">
        <v>-17248</v>
      </c>
      <c r="W25" s="401">
        <v>-199</v>
      </c>
      <c r="X25" s="401">
        <v>5</v>
      </c>
      <c r="Y25" s="401">
        <v>0</v>
      </c>
      <c r="Z25" s="401">
        <v>-5626.0733399999999</v>
      </c>
      <c r="AA25" s="401">
        <v>-775.46481999999992</v>
      </c>
      <c r="AB25" s="401">
        <v>-122.06399999999999</v>
      </c>
      <c r="AC25" s="401">
        <v>-145.29300000000001</v>
      </c>
      <c r="AD25" s="401">
        <v>3094.4720000000002</v>
      </c>
      <c r="AE25" s="401">
        <v>-6498.5360000000001</v>
      </c>
    </row>
    <row r="26" spans="1:31">
      <c r="A26" s="137" t="s">
        <v>59</v>
      </c>
      <c r="B26" s="142"/>
      <c r="C26" s="401">
        <v>-306.31536999999997</v>
      </c>
      <c r="D26" s="401">
        <v>-1111</v>
      </c>
      <c r="E26" s="401">
        <v>-99</v>
      </c>
      <c r="F26" s="401">
        <v>-168.76643999999999</v>
      </c>
      <c r="G26" s="401">
        <v>-552.58690999999999</v>
      </c>
      <c r="H26" s="401">
        <v>-317</v>
      </c>
      <c r="I26" s="401">
        <v>-49</v>
      </c>
      <c r="J26" s="401">
        <v>28</v>
      </c>
      <c r="K26" s="401">
        <v>-1</v>
      </c>
      <c r="L26" s="401">
        <v>49</v>
      </c>
      <c r="M26" s="401">
        <v>0</v>
      </c>
      <c r="N26" s="401">
        <v>-139</v>
      </c>
      <c r="O26" s="401">
        <v>365</v>
      </c>
      <c r="P26" s="401">
        <v>399</v>
      </c>
      <c r="Q26" s="401">
        <v>118</v>
      </c>
      <c r="R26" s="401">
        <v>333.61578999996902</v>
      </c>
      <c r="S26" s="401">
        <v>29.094900000000017</v>
      </c>
      <c r="T26" s="401">
        <v>399</v>
      </c>
      <c r="U26" s="401">
        <v>-483.19626999999997</v>
      </c>
      <c r="V26" s="401">
        <v>-298</v>
      </c>
      <c r="W26" s="401">
        <v>-78.474460000000008</v>
      </c>
      <c r="X26" s="401">
        <v>-180.52553999999998</v>
      </c>
      <c r="Y26" s="401">
        <v>-85</v>
      </c>
      <c r="Z26" s="401">
        <v>-112.37569999999999</v>
      </c>
      <c r="AA26" s="401">
        <v>-159.02875</v>
      </c>
      <c r="AB26" s="401">
        <v>-114.041</v>
      </c>
      <c r="AC26" s="401">
        <v>-44.445999999999998</v>
      </c>
      <c r="AD26" s="401">
        <v>22.571999999999999</v>
      </c>
      <c r="AE26" s="401">
        <v>172.56700000000001</v>
      </c>
    </row>
    <row r="27" spans="1:31">
      <c r="A27" s="137" t="s">
        <v>598</v>
      </c>
      <c r="B27" s="142"/>
      <c r="C27" s="401"/>
      <c r="D27" s="401"/>
      <c r="E27" s="401"/>
      <c r="F27" s="401"/>
      <c r="G27" s="401"/>
      <c r="H27" s="401"/>
      <c r="I27" s="401"/>
      <c r="J27" s="401"/>
      <c r="K27" s="401"/>
      <c r="L27" s="401"/>
      <c r="M27" s="401"/>
      <c r="N27" s="401"/>
      <c r="O27" s="401"/>
      <c r="P27" s="401"/>
      <c r="Q27" s="401"/>
      <c r="R27" s="401"/>
      <c r="S27" s="401"/>
      <c r="T27" s="401"/>
      <c r="U27" s="401"/>
      <c r="V27" s="401"/>
      <c r="W27" s="401"/>
      <c r="X27" s="401"/>
      <c r="Y27" s="401"/>
      <c r="Z27" s="401"/>
      <c r="AA27" s="401"/>
      <c r="AB27" s="401"/>
      <c r="AC27" s="401"/>
      <c r="AD27" s="401">
        <v>-2057.4670000000001</v>
      </c>
      <c r="AE27" s="401">
        <v>0</v>
      </c>
    </row>
    <row r="28" spans="1:31">
      <c r="A28" s="551" t="s">
        <v>529</v>
      </c>
      <c r="B28" s="142"/>
      <c r="C28" s="550">
        <f t="shared" ref="C28:AE28" si="5">SUM(C19:C21)</f>
        <v>21655.886470000001</v>
      </c>
      <c r="D28" s="550">
        <f t="shared" si="5"/>
        <v>21047</v>
      </c>
      <c r="E28" s="550">
        <f t="shared" si="5"/>
        <v>22809.153509999996</v>
      </c>
      <c r="F28" s="550">
        <f t="shared" si="5"/>
        <v>18830.090010000018</v>
      </c>
      <c r="G28" s="550">
        <f t="shared" si="5"/>
        <v>26206.12126</v>
      </c>
      <c r="H28" s="550">
        <f t="shared" si="5"/>
        <v>28402</v>
      </c>
      <c r="I28" s="550">
        <f t="shared" si="5"/>
        <v>25543.177179999999</v>
      </c>
      <c r="J28" s="550">
        <f t="shared" si="5"/>
        <v>71340.606859999971</v>
      </c>
      <c r="K28" s="550">
        <f t="shared" si="5"/>
        <v>15671.709849999999</v>
      </c>
      <c r="L28" s="550">
        <f t="shared" si="5"/>
        <v>77625.691049999994</v>
      </c>
      <c r="M28" s="550">
        <f t="shared" si="5"/>
        <v>26802.139449999995</v>
      </c>
      <c r="N28" s="550">
        <f t="shared" si="5"/>
        <v>366022.02332000004</v>
      </c>
      <c r="O28" s="550">
        <f t="shared" si="5"/>
        <v>-6651</v>
      </c>
      <c r="P28" s="550">
        <f t="shared" si="5"/>
        <v>17673.880619999996</v>
      </c>
      <c r="Q28" s="550">
        <f t="shared" si="5"/>
        <v>18465</v>
      </c>
      <c r="R28" s="550">
        <f t="shared" si="5"/>
        <v>-3035.1934900000306</v>
      </c>
      <c r="S28" s="550">
        <f t="shared" si="5"/>
        <v>22917.910410000008</v>
      </c>
      <c r="T28" s="550">
        <f t="shared" si="5"/>
        <v>17713.880619999996</v>
      </c>
      <c r="U28" s="550">
        <f t="shared" si="5"/>
        <v>24364.209729999984</v>
      </c>
      <c r="V28" s="550">
        <f t="shared" si="5"/>
        <v>20415</v>
      </c>
      <c r="W28" s="550">
        <f t="shared" si="5"/>
        <v>16138.901170000001</v>
      </c>
      <c r="X28" s="550">
        <f t="shared" si="5"/>
        <v>24272.098829999999</v>
      </c>
      <c r="Y28" s="550">
        <f t="shared" si="5"/>
        <v>22269</v>
      </c>
      <c r="Z28" s="550">
        <f t="shared" si="5"/>
        <v>19012.577113600008</v>
      </c>
      <c r="AA28" s="550">
        <f t="shared" si="5"/>
        <v>24650.71356</v>
      </c>
      <c r="AB28" s="550">
        <f t="shared" si="5"/>
        <v>39857.38763355001</v>
      </c>
      <c r="AC28" s="550">
        <f t="shared" si="5"/>
        <v>37910.394299999993</v>
      </c>
      <c r="AD28" s="550">
        <f t="shared" si="5"/>
        <v>17814.298999999999</v>
      </c>
      <c r="AE28" s="550">
        <f t="shared" si="5"/>
        <v>16788.011999999995</v>
      </c>
    </row>
    <row r="29" spans="1:31" ht="15" thickBot="1">
      <c r="A29" s="137" t="s">
        <v>600</v>
      </c>
      <c r="B29" s="134"/>
      <c r="C29" s="401">
        <v>-15.104520000000001</v>
      </c>
      <c r="D29" s="401">
        <v>-15</v>
      </c>
      <c r="E29" s="401">
        <v>-3908.2178699999999</v>
      </c>
      <c r="F29" s="401">
        <v>-15.104520000000001</v>
      </c>
      <c r="G29" s="401">
        <v>-15.104520000000001</v>
      </c>
      <c r="H29" s="401">
        <v>-15</v>
      </c>
      <c r="I29" s="401">
        <v>-15</v>
      </c>
      <c r="J29" s="401">
        <v>-15</v>
      </c>
      <c r="K29" s="401">
        <v>-15</v>
      </c>
      <c r="L29" s="401">
        <v>-16</v>
      </c>
      <c r="M29" s="401">
        <v>-212</v>
      </c>
      <c r="N29" s="401">
        <v>365</v>
      </c>
      <c r="O29" s="401">
        <v>-15</v>
      </c>
      <c r="P29" s="401">
        <v>1819</v>
      </c>
      <c r="Q29" s="401">
        <v>-1521</v>
      </c>
      <c r="R29" s="401">
        <v>-339</v>
      </c>
      <c r="S29" s="401">
        <v>-15.098000000000001</v>
      </c>
      <c r="T29" s="401">
        <v>1776</v>
      </c>
      <c r="U29" s="401">
        <v>298</v>
      </c>
      <c r="V29" s="401">
        <v>-2</v>
      </c>
      <c r="W29" s="401">
        <v>-1</v>
      </c>
      <c r="X29" s="401">
        <v>-2</v>
      </c>
      <c r="Y29" s="401">
        <v>0</v>
      </c>
      <c r="Z29" s="401">
        <v>-216.39418999999907</v>
      </c>
      <c r="AA29" s="401">
        <v>-1.4963099999995393</v>
      </c>
      <c r="AB29" s="401">
        <v>-1.996</v>
      </c>
      <c r="AC29" s="401">
        <v>-1.496</v>
      </c>
      <c r="AD29" s="401">
        <v>-1.496</v>
      </c>
      <c r="AE29" s="401">
        <v>-1.496</v>
      </c>
    </row>
    <row r="30" spans="1:31" ht="15" thickBot="1">
      <c r="A30" s="140" t="s">
        <v>601</v>
      </c>
      <c r="B30" s="134"/>
      <c r="C30" s="141">
        <f t="shared" ref="C30:X30" si="6">C28+C29</f>
        <v>21640.781950000001</v>
      </c>
      <c r="D30" s="141">
        <f t="shared" si="6"/>
        <v>21032</v>
      </c>
      <c r="E30" s="141">
        <f t="shared" si="6"/>
        <v>18900.935639999996</v>
      </c>
      <c r="F30" s="141">
        <f t="shared" si="6"/>
        <v>18814.985490000017</v>
      </c>
      <c r="G30" s="141">
        <f t="shared" si="6"/>
        <v>26191.016739999999</v>
      </c>
      <c r="H30" s="141">
        <f t="shared" si="6"/>
        <v>28387</v>
      </c>
      <c r="I30" s="141">
        <f t="shared" si="6"/>
        <v>25528.177179999999</v>
      </c>
      <c r="J30" s="141">
        <f t="shared" si="6"/>
        <v>71325.606859999971</v>
      </c>
      <c r="K30" s="141">
        <f t="shared" si="6"/>
        <v>15656.709849999999</v>
      </c>
      <c r="L30" s="141">
        <f t="shared" si="6"/>
        <v>77609.691049999994</v>
      </c>
      <c r="M30" s="141">
        <f t="shared" si="6"/>
        <v>26590.139449999995</v>
      </c>
      <c r="N30" s="141">
        <f t="shared" si="6"/>
        <v>366387.02332000004</v>
      </c>
      <c r="O30" s="141">
        <f t="shared" si="6"/>
        <v>-6666</v>
      </c>
      <c r="P30" s="141">
        <f t="shared" si="6"/>
        <v>19492.880619999996</v>
      </c>
      <c r="Q30" s="141">
        <f t="shared" si="6"/>
        <v>16944</v>
      </c>
      <c r="R30" s="141">
        <f t="shared" si="6"/>
        <v>-3374.1934900000306</v>
      </c>
      <c r="S30" s="141">
        <f t="shared" si="6"/>
        <v>22902.812410000006</v>
      </c>
      <c r="T30" s="141">
        <f t="shared" si="6"/>
        <v>19489.880619999996</v>
      </c>
      <c r="U30" s="141">
        <f t="shared" si="6"/>
        <v>24662.209729999984</v>
      </c>
      <c r="V30" s="141">
        <f t="shared" si="6"/>
        <v>20413</v>
      </c>
      <c r="W30" s="141">
        <f t="shared" si="6"/>
        <v>16137.901170000001</v>
      </c>
      <c r="X30" s="141">
        <f t="shared" si="6"/>
        <v>24270.098829999999</v>
      </c>
      <c r="Y30" s="141">
        <f t="shared" ref="Y30:AD30" si="7">Y28+Y29</f>
        <v>22269</v>
      </c>
      <c r="Z30" s="141">
        <f t="shared" si="7"/>
        <v>18796.182923600009</v>
      </c>
      <c r="AA30" s="141">
        <f t="shared" si="7"/>
        <v>24649.217250000002</v>
      </c>
      <c r="AB30" s="141">
        <f t="shared" si="7"/>
        <v>39855.391633550011</v>
      </c>
      <c r="AC30" s="141">
        <f t="shared" si="7"/>
        <v>37908.898299999993</v>
      </c>
      <c r="AD30" s="141">
        <f t="shared" si="7"/>
        <v>17812.803</v>
      </c>
      <c r="AE30" s="141">
        <f t="shared" ref="AE30" si="8">AE28+AE29</f>
        <v>16786.515999999996</v>
      </c>
    </row>
    <row r="31" spans="1:31" ht="15" thickBot="1">
      <c r="A31" s="140" t="s">
        <v>531</v>
      </c>
      <c r="B31" s="134"/>
      <c r="C31" s="351">
        <f t="shared" ref="C31:X31" si="9">SUM(C32:C33)</f>
        <v>-1926.4089199999996</v>
      </c>
      <c r="D31" s="351">
        <f t="shared" si="9"/>
        <v>-1762.3999999999999</v>
      </c>
      <c r="E31" s="351">
        <f t="shared" si="9"/>
        <v>-2128.4386499999996</v>
      </c>
      <c r="F31" s="351">
        <f t="shared" si="9"/>
        <v>-1680.7304600000011</v>
      </c>
      <c r="G31" s="351">
        <f t="shared" si="9"/>
        <v>-1469.21974</v>
      </c>
      <c r="H31" s="351">
        <f t="shared" si="9"/>
        <v>-1293</v>
      </c>
      <c r="I31" s="351">
        <f t="shared" si="9"/>
        <v>-972</v>
      </c>
      <c r="J31" s="351">
        <f t="shared" si="9"/>
        <v>-1132.6961399999986</v>
      </c>
      <c r="K31" s="351">
        <f t="shared" si="9"/>
        <v>-2331</v>
      </c>
      <c r="L31" s="351">
        <f t="shared" si="9"/>
        <v>-5820</v>
      </c>
      <c r="M31" s="351">
        <f t="shared" si="9"/>
        <v>-5425.422340000001</v>
      </c>
      <c r="N31" s="351">
        <f t="shared" si="9"/>
        <v>-6701</v>
      </c>
      <c r="O31" s="351">
        <f t="shared" si="9"/>
        <v>-6035.0000000000009</v>
      </c>
      <c r="P31" s="351">
        <f t="shared" si="9"/>
        <v>-2225.0749100000003</v>
      </c>
      <c r="Q31" s="351">
        <f t="shared" si="9"/>
        <v>-4769</v>
      </c>
      <c r="R31" s="351">
        <f t="shared" si="9"/>
        <v>-6218.9366100000007</v>
      </c>
      <c r="S31" s="351">
        <f t="shared" si="9"/>
        <v>-6879.7587399999993</v>
      </c>
      <c r="T31" s="351">
        <f t="shared" si="9"/>
        <v>-2225.0749100000003</v>
      </c>
      <c r="U31" s="351">
        <f t="shared" si="9"/>
        <v>-9232.1053900000006</v>
      </c>
      <c r="V31" s="351">
        <f t="shared" si="9"/>
        <v>-12188</v>
      </c>
      <c r="W31" s="351">
        <f t="shared" si="9"/>
        <v>-13164</v>
      </c>
      <c r="X31" s="351">
        <f t="shared" si="9"/>
        <v>-15162</v>
      </c>
      <c r="Y31" s="351">
        <f t="shared" ref="Y31:AD31" si="10">SUM(Y32:Y33)</f>
        <v>-11224</v>
      </c>
      <c r="Z31" s="351">
        <f t="shared" si="10"/>
        <v>-12650.754249999907</v>
      </c>
      <c r="AA31" s="351">
        <f t="shared" si="10"/>
        <v>-14060.996519999997</v>
      </c>
      <c r="AB31" s="351">
        <f t="shared" si="10"/>
        <v>-10438.993999999999</v>
      </c>
      <c r="AC31" s="351">
        <f t="shared" si="10"/>
        <v>-9699.01</v>
      </c>
      <c r="AD31" s="351">
        <f t="shared" si="10"/>
        <v>-16714.834000000003</v>
      </c>
      <c r="AE31" s="351">
        <f t="shared" ref="AE31" si="11">SUM(AE32:AE33)</f>
        <v>-11548.978000000001</v>
      </c>
    </row>
    <row r="32" spans="1:31">
      <c r="A32" s="137" t="s">
        <v>532</v>
      </c>
      <c r="B32" s="134"/>
      <c r="C32" s="401">
        <v>1078.7082600000001</v>
      </c>
      <c r="D32" s="401">
        <v>956.3</v>
      </c>
      <c r="E32" s="401">
        <v>846.33296999999982</v>
      </c>
      <c r="F32" s="401">
        <v>678.63367000000062</v>
      </c>
      <c r="G32" s="401">
        <v>641.46048999999994</v>
      </c>
      <c r="H32" s="401">
        <v>618</v>
      </c>
      <c r="I32" s="401">
        <v>763</v>
      </c>
      <c r="J32" s="401">
        <v>2080</v>
      </c>
      <c r="K32" s="401">
        <v>2497</v>
      </c>
      <c r="L32" s="401">
        <v>4107</v>
      </c>
      <c r="M32" s="401">
        <v>3721.577659999999</v>
      </c>
      <c r="N32" s="401">
        <v>2268</v>
      </c>
      <c r="O32" s="401">
        <v>2153</v>
      </c>
      <c r="P32" s="401">
        <v>1991</v>
      </c>
      <c r="Q32" s="401">
        <v>952</v>
      </c>
      <c r="R32" s="401">
        <v>870.44262999999887</v>
      </c>
      <c r="S32" s="401">
        <v>193.22272000000001</v>
      </c>
      <c r="T32" s="401">
        <v>1991</v>
      </c>
      <c r="U32" s="401">
        <v>1239.8946099999998</v>
      </c>
      <c r="V32" s="401">
        <v>2023</v>
      </c>
      <c r="W32" s="401">
        <v>2585</v>
      </c>
      <c r="X32" s="401">
        <v>3346</v>
      </c>
      <c r="Y32" s="401">
        <v>4978</v>
      </c>
      <c r="Z32" s="401">
        <v>4786.9992099999981</v>
      </c>
      <c r="AA32" s="401">
        <v>5829.3829599999999</v>
      </c>
      <c r="AB32" s="401">
        <v>7202.0050000000001</v>
      </c>
      <c r="AC32" s="401">
        <v>7624.7929999999997</v>
      </c>
      <c r="AD32" s="401">
        <v>6420.5829999999996</v>
      </c>
      <c r="AE32" s="401">
        <v>4644.82</v>
      </c>
    </row>
    <row r="33" spans="1:31" ht="15" thickBot="1">
      <c r="A33" s="137" t="s">
        <v>541</v>
      </c>
      <c r="B33" s="134"/>
      <c r="C33" s="401">
        <v>-3005.1171799999997</v>
      </c>
      <c r="D33" s="401">
        <v>-2718.7</v>
      </c>
      <c r="E33" s="401">
        <v>-2974.7716199999995</v>
      </c>
      <c r="F33" s="401">
        <v>-2359.3641300000018</v>
      </c>
      <c r="G33" s="401">
        <v>-2110.6802299999999</v>
      </c>
      <c r="H33" s="401">
        <v>-1911</v>
      </c>
      <c r="I33" s="401">
        <v>-1735</v>
      </c>
      <c r="J33" s="401">
        <v>-3212.6961399999986</v>
      </c>
      <c r="K33" s="401">
        <v>-4828</v>
      </c>
      <c r="L33" s="401">
        <v>-9927</v>
      </c>
      <c r="M33" s="401">
        <v>-9147</v>
      </c>
      <c r="N33" s="401">
        <v>-8969</v>
      </c>
      <c r="O33" s="401">
        <v>-8188.0000000000009</v>
      </c>
      <c r="P33" s="401">
        <v>-4216.0749100000003</v>
      </c>
      <c r="Q33" s="401">
        <v>-5721</v>
      </c>
      <c r="R33" s="401">
        <v>-7089.3792399999993</v>
      </c>
      <c r="S33" s="401">
        <v>-7072.9814599999991</v>
      </c>
      <c r="T33" s="401">
        <v>-4216.0749100000003</v>
      </c>
      <c r="U33" s="401">
        <v>-10472</v>
      </c>
      <c r="V33" s="401">
        <v>-14211</v>
      </c>
      <c r="W33" s="401">
        <v>-15749</v>
      </c>
      <c r="X33" s="401">
        <v>-18508</v>
      </c>
      <c r="Y33" s="401">
        <v>-16202</v>
      </c>
      <c r="Z33" s="401">
        <v>-17437.753459999905</v>
      </c>
      <c r="AA33" s="401">
        <v>-19890.379479999996</v>
      </c>
      <c r="AB33" s="401">
        <v>-17640.999</v>
      </c>
      <c r="AC33" s="401">
        <v>-17323.803</v>
      </c>
      <c r="AD33" s="401">
        <v>-23135.417000000001</v>
      </c>
      <c r="AE33" s="401">
        <v>-16193.798000000001</v>
      </c>
    </row>
    <row r="34" spans="1:31" ht="15" thickBot="1">
      <c r="A34" s="140" t="s">
        <v>602</v>
      </c>
      <c r="B34" s="134"/>
      <c r="C34" s="141">
        <f t="shared" ref="C34:X34" si="12">SUM(C30:C31)</f>
        <v>19714.373030000002</v>
      </c>
      <c r="D34" s="141">
        <f t="shared" si="12"/>
        <v>19269.599999999999</v>
      </c>
      <c r="E34" s="141">
        <f t="shared" si="12"/>
        <v>16772.496989999996</v>
      </c>
      <c r="F34" s="141">
        <f t="shared" si="12"/>
        <v>17134.255030000015</v>
      </c>
      <c r="G34" s="141">
        <f t="shared" si="12"/>
        <v>24721.796999999999</v>
      </c>
      <c r="H34" s="141">
        <f t="shared" si="12"/>
        <v>27094</v>
      </c>
      <c r="I34" s="141">
        <f t="shared" si="12"/>
        <v>24556.177179999999</v>
      </c>
      <c r="J34" s="141">
        <f t="shared" si="12"/>
        <v>70192.910719999971</v>
      </c>
      <c r="K34" s="141">
        <f t="shared" si="12"/>
        <v>13325.709849999999</v>
      </c>
      <c r="L34" s="141">
        <f t="shared" si="12"/>
        <v>71789.691049999994</v>
      </c>
      <c r="M34" s="141">
        <f t="shared" si="12"/>
        <v>21164.717109999994</v>
      </c>
      <c r="N34" s="141">
        <f t="shared" si="12"/>
        <v>359686.02332000004</v>
      </c>
      <c r="O34" s="141">
        <f t="shared" si="12"/>
        <v>-12701</v>
      </c>
      <c r="P34" s="141">
        <f t="shared" si="12"/>
        <v>17267.805709999997</v>
      </c>
      <c r="Q34" s="141">
        <f t="shared" si="12"/>
        <v>12175</v>
      </c>
      <c r="R34" s="141">
        <f t="shared" si="12"/>
        <v>-9593.1301000000312</v>
      </c>
      <c r="S34" s="141">
        <f t="shared" si="12"/>
        <v>16023.053670000007</v>
      </c>
      <c r="T34" s="141">
        <f t="shared" si="12"/>
        <v>17264.805709999997</v>
      </c>
      <c r="U34" s="141">
        <f t="shared" si="12"/>
        <v>15430.104339999983</v>
      </c>
      <c r="V34" s="141">
        <f t="shared" si="12"/>
        <v>8225</v>
      </c>
      <c r="W34" s="141">
        <f t="shared" si="12"/>
        <v>2973.901170000001</v>
      </c>
      <c r="X34" s="141">
        <f t="shared" si="12"/>
        <v>9108.098829999999</v>
      </c>
      <c r="Y34" s="141">
        <f t="shared" ref="Y34:AE34" si="13">SUM(Y30:Y31)</f>
        <v>11045</v>
      </c>
      <c r="Z34" s="141">
        <f t="shared" si="13"/>
        <v>6145.4286736001013</v>
      </c>
      <c r="AA34" s="141">
        <f t="shared" si="13"/>
        <v>10588.220730000005</v>
      </c>
      <c r="AB34" s="141">
        <f t="shared" si="13"/>
        <v>29416.397633550012</v>
      </c>
      <c r="AC34" s="141">
        <f t="shared" si="13"/>
        <v>28209.888299999991</v>
      </c>
      <c r="AD34" s="141">
        <f t="shared" si="13"/>
        <v>1097.9689999999973</v>
      </c>
      <c r="AE34" s="141">
        <f t="shared" si="13"/>
        <v>5237.537999999995</v>
      </c>
    </row>
    <row r="35" spans="1:31">
      <c r="A35" s="137" t="s">
        <v>624</v>
      </c>
      <c r="B35" s="134"/>
      <c r="C35" s="401">
        <v>-2193.68444</v>
      </c>
      <c r="D35" s="401">
        <v>-6706</v>
      </c>
      <c r="E35" s="401">
        <v>-1050.47163</v>
      </c>
      <c r="F35" s="401">
        <v>-6080</v>
      </c>
      <c r="G35" s="401">
        <v>-3399.0726300000001</v>
      </c>
      <c r="H35" s="401">
        <v>-9355</v>
      </c>
      <c r="I35" s="401">
        <v>-8495</v>
      </c>
      <c r="J35" s="401">
        <v>-25473</v>
      </c>
      <c r="K35" s="401">
        <v>-12704</v>
      </c>
      <c r="L35" s="401">
        <f>-2828-12367</f>
        <v>-15195</v>
      </c>
      <c r="M35" s="401">
        <v>-7190</v>
      </c>
      <c r="N35" s="401">
        <v>-104996</v>
      </c>
      <c r="O35" s="401">
        <v>-67</v>
      </c>
      <c r="P35" s="401">
        <v>-5873</v>
      </c>
      <c r="Q35" s="401">
        <v>8900</v>
      </c>
      <c r="R35" s="401">
        <v>-2808</v>
      </c>
      <c r="S35" s="401">
        <v>-4913.03532</v>
      </c>
      <c r="T35" s="401">
        <v>-5872</v>
      </c>
      <c r="U35" s="401">
        <v>-5241</v>
      </c>
      <c r="V35" s="401">
        <v>-5836</v>
      </c>
      <c r="W35" s="401">
        <v>-1005</v>
      </c>
      <c r="X35" s="401">
        <v>-9315</v>
      </c>
      <c r="Y35" s="401">
        <v>-5435</v>
      </c>
      <c r="Z35" s="401">
        <v>-6285.9551399999982</v>
      </c>
      <c r="AA35" s="401">
        <v>-6163.3221600000006</v>
      </c>
      <c r="AB35" s="401">
        <v>-6243.9960000000001</v>
      </c>
      <c r="AC35" s="401">
        <v>-5754.62</v>
      </c>
      <c r="AD35" s="401">
        <v>-2916.2</v>
      </c>
      <c r="AE35" s="401">
        <v>-314.52100000000002</v>
      </c>
    </row>
    <row r="36" spans="1:31">
      <c r="A36" s="137" t="s">
        <v>625</v>
      </c>
      <c r="B36" s="134"/>
      <c r="C36" s="401">
        <v>-1771.9858300000001</v>
      </c>
      <c r="D36" s="401">
        <v>4223</v>
      </c>
      <c r="E36" s="401">
        <v>-1214.6389999999999</v>
      </c>
      <c r="F36" s="401">
        <v>2668</v>
      </c>
      <c r="G36" s="401">
        <v>-2244.9290299999998</v>
      </c>
      <c r="H36" s="401">
        <v>3733</v>
      </c>
      <c r="I36" s="401">
        <v>3536</v>
      </c>
      <c r="J36" s="401">
        <v>6390</v>
      </c>
      <c r="K36" s="401">
        <v>1989</v>
      </c>
      <c r="L36" s="401">
        <v>2078</v>
      </c>
      <c r="M36" s="401">
        <v>10637</v>
      </c>
      <c r="N36" s="401">
        <v>7141</v>
      </c>
      <c r="O36" s="401">
        <v>-179</v>
      </c>
      <c r="P36" s="401">
        <v>2512</v>
      </c>
      <c r="Q36" s="401">
        <v>-122</v>
      </c>
      <c r="R36" s="401">
        <v>1036</v>
      </c>
      <c r="S36" s="401">
        <v>2815.0816099999997</v>
      </c>
      <c r="T36" s="401">
        <v>2512</v>
      </c>
      <c r="U36" s="401">
        <v>3014</v>
      </c>
      <c r="V36" s="401">
        <v>1536</v>
      </c>
      <c r="W36" s="401">
        <v>556</v>
      </c>
      <c r="X36" s="401">
        <v>1700</v>
      </c>
      <c r="Y36" s="401">
        <v>2057</v>
      </c>
      <c r="Z36" s="401">
        <v>1146.7048199999999</v>
      </c>
      <c r="AA36" s="401">
        <v>1718.3401999999999</v>
      </c>
      <c r="AB36" s="401">
        <v>4660.5370000000003</v>
      </c>
      <c r="AC36" s="401">
        <v>3725.0520000000001</v>
      </c>
      <c r="AD36" s="401">
        <v>-949.67</v>
      </c>
      <c r="AE36" s="401">
        <v>0</v>
      </c>
    </row>
    <row r="37" spans="1:31" ht="15" thickBot="1">
      <c r="A37" s="137" t="s">
        <v>603</v>
      </c>
      <c r="B37" s="134"/>
      <c r="C37" s="401"/>
      <c r="D37" s="401"/>
      <c r="E37" s="401"/>
      <c r="F37" s="401"/>
      <c r="G37" s="401"/>
      <c r="H37" s="401"/>
      <c r="I37" s="401"/>
      <c r="J37" s="401"/>
      <c r="K37" s="401"/>
      <c r="L37" s="401"/>
      <c r="M37" s="401"/>
      <c r="N37" s="401"/>
      <c r="O37" s="401">
        <v>-4545</v>
      </c>
      <c r="P37" s="401"/>
      <c r="Q37" s="401"/>
      <c r="R37" s="401">
        <v>-6780</v>
      </c>
      <c r="S37" s="401">
        <v>-528.80292999999995</v>
      </c>
      <c r="T37" s="401"/>
      <c r="U37" s="401"/>
      <c r="V37" s="401">
        <v>3137</v>
      </c>
      <c r="W37" s="401"/>
      <c r="X37" s="401">
        <v>6224</v>
      </c>
      <c r="Y37" s="401">
        <v>1686</v>
      </c>
      <c r="Z37" s="401">
        <v>6265.142890000001</v>
      </c>
      <c r="AA37" s="401">
        <v>2569.2403400000003</v>
      </c>
      <c r="AB37" s="401">
        <v>-3164.596</v>
      </c>
      <c r="AC37" s="401">
        <v>-4416.826</v>
      </c>
      <c r="AD37" s="401">
        <v>-4174.7160000000003</v>
      </c>
      <c r="AE37" s="401">
        <v>-1721.5160000000001</v>
      </c>
    </row>
    <row r="38" spans="1:31" ht="15" thickBot="1">
      <c r="A38" s="140" t="s">
        <v>604</v>
      </c>
      <c r="B38" s="134"/>
      <c r="C38" s="141">
        <f t="shared" ref="C38:X38" si="14">SUM(C34:C37)</f>
        <v>15748.702760000002</v>
      </c>
      <c r="D38" s="141">
        <f t="shared" si="14"/>
        <v>16786.599999999999</v>
      </c>
      <c r="E38" s="141">
        <f t="shared" si="14"/>
        <v>14507.386359999997</v>
      </c>
      <c r="F38" s="141">
        <f t="shared" si="14"/>
        <v>13722.255030000015</v>
      </c>
      <c r="G38" s="141">
        <f t="shared" si="14"/>
        <v>19077.795340000001</v>
      </c>
      <c r="H38" s="141">
        <f t="shared" si="14"/>
        <v>21472</v>
      </c>
      <c r="I38" s="141">
        <f t="shared" si="14"/>
        <v>19597.177179999999</v>
      </c>
      <c r="J38" s="141">
        <f t="shared" si="14"/>
        <v>51109.910719999971</v>
      </c>
      <c r="K38" s="141">
        <f t="shared" si="14"/>
        <v>2610.7098499999993</v>
      </c>
      <c r="L38" s="141">
        <f t="shared" si="14"/>
        <v>58672.691049999994</v>
      </c>
      <c r="M38" s="141">
        <f t="shared" si="14"/>
        <v>24611.717109999994</v>
      </c>
      <c r="N38" s="141">
        <f t="shared" si="14"/>
        <v>261831.02332000004</v>
      </c>
      <c r="O38" s="141">
        <f t="shared" si="14"/>
        <v>-17492</v>
      </c>
      <c r="P38" s="141">
        <f t="shared" si="14"/>
        <v>13906.805709999997</v>
      </c>
      <c r="Q38" s="141">
        <f t="shared" si="14"/>
        <v>20953</v>
      </c>
      <c r="R38" s="141">
        <f t="shared" si="14"/>
        <v>-18145.130100000031</v>
      </c>
      <c r="S38" s="141">
        <f t="shared" si="14"/>
        <v>13396.297030000005</v>
      </c>
      <c r="T38" s="141">
        <f t="shared" si="14"/>
        <v>13904.805709999997</v>
      </c>
      <c r="U38" s="141">
        <f t="shared" si="14"/>
        <v>13203.104339999983</v>
      </c>
      <c r="V38" s="141">
        <f t="shared" si="14"/>
        <v>7062</v>
      </c>
      <c r="W38" s="141">
        <f t="shared" si="14"/>
        <v>2524.901170000001</v>
      </c>
      <c r="X38" s="141">
        <f t="shared" si="14"/>
        <v>7717.098829999999</v>
      </c>
      <c r="Y38" s="141">
        <f t="shared" ref="Y38:AE38" si="15">SUM(Y34:Y37)</f>
        <v>9353</v>
      </c>
      <c r="Z38" s="141">
        <f t="shared" si="15"/>
        <v>7271.321243600104</v>
      </c>
      <c r="AA38" s="141">
        <f t="shared" si="15"/>
        <v>8712.4791100000039</v>
      </c>
      <c r="AB38" s="141">
        <f t="shared" si="15"/>
        <v>24668.342633550012</v>
      </c>
      <c r="AC38" s="141">
        <f t="shared" si="15"/>
        <v>21763.494299999991</v>
      </c>
      <c r="AD38" s="141">
        <f t="shared" si="15"/>
        <v>-6942.6170000000029</v>
      </c>
      <c r="AE38" s="141">
        <f t="shared" si="15"/>
        <v>3201.5009999999952</v>
      </c>
    </row>
  </sheetData>
  <pageMargins left="0.511811024" right="0.511811024" top="0.78740157499999996" bottom="0.78740157499999996" header="0.31496062000000002" footer="0.31496062000000002"/>
  <ignoredErrors>
    <ignoredError sqref="W9:AD9" formulaRange="1"/>
  </ignoredErrors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E31"/>
  <sheetViews>
    <sheetView showGridLines="0" zoomScaleNormal="100" workbookViewId="0">
      <pane xSplit="1" ySplit="8" topLeftCell="X9" activePane="bottomRight" state="frozen"/>
      <selection pane="topRight" activeCell="AN17" sqref="AN17"/>
      <selection pane="bottomLeft" activeCell="AN17" sqref="AN17"/>
      <selection pane="bottomRight" activeCell="AE8" sqref="AE8"/>
    </sheetView>
  </sheetViews>
  <sheetFormatPr defaultColWidth="9.1796875" defaultRowHeight="14.5" outlineLevelCol="1"/>
  <cols>
    <col min="1" max="1" width="47.453125" style="37" bestFit="1" customWidth="1"/>
    <col min="2" max="2" width="0.7265625" customWidth="1"/>
    <col min="3" max="22" width="0" style="37" hidden="1" customWidth="1" outlineLevel="1"/>
    <col min="23" max="23" width="9.1796875" style="37" collapsed="1"/>
    <col min="24" max="16384" width="9.1796875" style="37"/>
  </cols>
  <sheetData>
    <row r="1" spans="1:31">
      <c r="R1" s="37" t="s">
        <v>626</v>
      </c>
    </row>
    <row r="7" spans="1:31">
      <c r="A7" s="41" t="s">
        <v>627</v>
      </c>
      <c r="B7" s="133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</row>
    <row r="8" spans="1:31" ht="15" thickBot="1">
      <c r="A8" s="544" t="s">
        <v>628</v>
      </c>
      <c r="B8" s="134"/>
      <c r="C8" s="545" t="s">
        <v>25</v>
      </c>
      <c r="D8" s="545" t="s">
        <v>26</v>
      </c>
      <c r="E8" s="545" t="s">
        <v>27</v>
      </c>
      <c r="F8" s="545" t="s">
        <v>28</v>
      </c>
      <c r="G8" s="545" t="s">
        <v>29</v>
      </c>
      <c r="H8" s="545" t="s">
        <v>30</v>
      </c>
      <c r="I8" s="545" t="s">
        <v>31</v>
      </c>
      <c r="J8" s="545" t="s">
        <v>32</v>
      </c>
      <c r="K8" s="545" t="s">
        <v>33</v>
      </c>
      <c r="L8" s="545" t="s">
        <v>34</v>
      </c>
      <c r="M8" s="545" t="s">
        <v>35</v>
      </c>
      <c r="N8" s="545" t="s">
        <v>36</v>
      </c>
      <c r="O8" s="545" t="s">
        <v>37</v>
      </c>
      <c r="P8" s="545" t="s">
        <v>38</v>
      </c>
      <c r="Q8" s="545" t="s">
        <v>39</v>
      </c>
      <c r="R8" s="545" t="s">
        <v>40</v>
      </c>
      <c r="S8" s="545" t="s">
        <v>41</v>
      </c>
      <c r="T8" s="545" t="s">
        <v>42</v>
      </c>
      <c r="U8" s="545" t="s">
        <v>43</v>
      </c>
      <c r="V8" s="545" t="s">
        <v>44</v>
      </c>
      <c r="W8" s="545" t="s">
        <v>45</v>
      </c>
      <c r="X8" s="545" t="s">
        <v>46</v>
      </c>
      <c r="Y8" s="545" t="s">
        <v>47</v>
      </c>
      <c r="Z8" s="545" t="s">
        <v>48</v>
      </c>
      <c r="AA8" s="545" t="s">
        <v>49</v>
      </c>
      <c r="AB8" s="545" t="s">
        <v>50</v>
      </c>
      <c r="AC8" s="549" t="s">
        <v>51</v>
      </c>
      <c r="AD8" s="549" t="s">
        <v>52</v>
      </c>
      <c r="AE8" s="549" t="s">
        <v>53</v>
      </c>
    </row>
    <row r="9" spans="1:31" ht="15" thickBot="1">
      <c r="A9" s="140" t="s">
        <v>465</v>
      </c>
      <c r="B9" s="134"/>
      <c r="C9" s="141">
        <f t="shared" ref="C9:AB9" si="0">SUM(C10:C12)</f>
        <v>34943.435110000006</v>
      </c>
      <c r="D9" s="141">
        <f t="shared" si="0"/>
        <v>35359</v>
      </c>
      <c r="E9" s="141">
        <f t="shared" si="0"/>
        <v>32115</v>
      </c>
      <c r="F9" s="141">
        <f t="shared" si="0"/>
        <v>32999.949689999994</v>
      </c>
      <c r="G9" s="141">
        <f t="shared" si="0"/>
        <v>36318.031050000005</v>
      </c>
      <c r="H9" s="141">
        <f t="shared" si="0"/>
        <v>42953</v>
      </c>
      <c r="I9" s="141">
        <f t="shared" si="0"/>
        <v>40692.470910000018</v>
      </c>
      <c r="J9" s="141">
        <f t="shared" si="0"/>
        <v>44576.803619999999</v>
      </c>
      <c r="K9" s="141">
        <f t="shared" si="0"/>
        <v>43234.796300000002</v>
      </c>
      <c r="L9" s="141">
        <f t="shared" si="0"/>
        <v>44207.887380000007</v>
      </c>
      <c r="M9" s="141">
        <f t="shared" si="0"/>
        <v>48895</v>
      </c>
      <c r="N9" s="141">
        <f t="shared" si="0"/>
        <v>46971.639329999998</v>
      </c>
      <c r="O9" s="141">
        <f t="shared" si="0"/>
        <v>48082</v>
      </c>
      <c r="P9" s="141">
        <f t="shared" si="0"/>
        <v>43243.198019999996</v>
      </c>
      <c r="Q9" s="141">
        <f t="shared" si="0"/>
        <v>47135</v>
      </c>
      <c r="R9" s="141">
        <f t="shared" si="0"/>
        <v>46142.403400000003</v>
      </c>
      <c r="S9" s="141">
        <f t="shared" si="0"/>
        <v>44680.408850000007</v>
      </c>
      <c r="T9" s="141">
        <f t="shared" si="0"/>
        <v>43243.198019999996</v>
      </c>
      <c r="U9" s="141">
        <f t="shared" si="0"/>
        <v>47670.40281</v>
      </c>
      <c r="V9" s="141">
        <f t="shared" si="0"/>
        <v>46142.403400000003</v>
      </c>
      <c r="W9" s="141">
        <f t="shared" si="0"/>
        <v>45790.35598</v>
      </c>
      <c r="X9" s="141">
        <f t="shared" si="0"/>
        <v>47155.64402</v>
      </c>
      <c r="Y9" s="141">
        <f t="shared" si="0"/>
        <v>50886.100479999994</v>
      </c>
      <c r="Z9" s="141">
        <f t="shared" si="0"/>
        <v>50746.986499999999</v>
      </c>
      <c r="AA9" s="141">
        <f t="shared" si="0"/>
        <v>50930.292540000002</v>
      </c>
      <c r="AB9" s="141">
        <f t="shared" si="0"/>
        <v>51033.009970000006</v>
      </c>
      <c r="AC9" s="141">
        <f>SUM(AC10:AC12)</f>
        <v>31733.914410000001</v>
      </c>
      <c r="AD9" s="141">
        <f>SUM(AD10:AD12)</f>
        <v>29340.783079999994</v>
      </c>
      <c r="AE9" s="141">
        <f>SUM(AE10:AE12)</f>
        <v>30885</v>
      </c>
    </row>
    <row r="10" spans="1:31">
      <c r="A10" s="137" t="s">
        <v>616</v>
      </c>
      <c r="B10" s="134"/>
      <c r="C10" s="401">
        <v>34435.547770000005</v>
      </c>
      <c r="D10" s="401">
        <v>34851</v>
      </c>
      <c r="E10" s="401">
        <v>31607</v>
      </c>
      <c r="F10" s="401">
        <v>32491.949689999994</v>
      </c>
      <c r="G10" s="401">
        <v>35810.143710000004</v>
      </c>
      <c r="H10" s="401">
        <v>42445</v>
      </c>
      <c r="I10" s="401">
        <v>40491.667290000019</v>
      </c>
      <c r="J10" s="401">
        <v>44376</v>
      </c>
      <c r="K10" s="401">
        <v>43033.992680000003</v>
      </c>
      <c r="L10" s="401">
        <v>43972.549960000004</v>
      </c>
      <c r="M10" s="403">
        <v>48683</v>
      </c>
      <c r="N10" s="403">
        <v>46306.639329999998</v>
      </c>
      <c r="O10" s="403">
        <v>47873</v>
      </c>
      <c r="P10" s="403">
        <v>39786.198019999996</v>
      </c>
      <c r="Q10" s="403">
        <v>45053</v>
      </c>
      <c r="R10" s="403">
        <v>44483.087780000002</v>
      </c>
      <c r="S10" s="403">
        <v>43120.440670000004</v>
      </c>
      <c r="T10" s="403">
        <v>39786.198019999996</v>
      </c>
      <c r="U10" s="403">
        <v>50206.673989999996</v>
      </c>
      <c r="V10" s="403">
        <v>44483.087780000002</v>
      </c>
      <c r="W10" s="403">
        <v>45585.946960000001</v>
      </c>
      <c r="X10" s="403">
        <v>47132.053039999999</v>
      </c>
      <c r="Y10" s="403">
        <v>51114.100479999994</v>
      </c>
      <c r="Z10" s="403">
        <v>49912.464139999996</v>
      </c>
      <c r="AA10" s="403">
        <v>50717.44038</v>
      </c>
      <c r="AB10" s="403">
        <v>50820.157810000004</v>
      </c>
      <c r="AC10" s="403">
        <v>31447.870320000002</v>
      </c>
      <c r="AD10" s="403">
        <v>29054.531489999994</v>
      </c>
      <c r="AE10" s="403">
        <v>30626</v>
      </c>
    </row>
    <row r="11" spans="1:31">
      <c r="A11" s="137" t="s">
        <v>480</v>
      </c>
      <c r="B11" s="134"/>
      <c r="C11" s="401"/>
      <c r="D11" s="401"/>
      <c r="E11" s="401"/>
      <c r="F11" s="401"/>
      <c r="G11" s="401"/>
      <c r="H11" s="401"/>
      <c r="I11" s="401"/>
      <c r="J11" s="401"/>
      <c r="K11" s="401"/>
      <c r="L11" s="401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>
        <v>-425.70432</v>
      </c>
      <c r="AD11" s="403"/>
      <c r="AE11" s="403"/>
    </row>
    <row r="12" spans="1:31" ht="15" thickBot="1">
      <c r="A12" s="137" t="s">
        <v>474</v>
      </c>
      <c r="B12" s="134"/>
      <c r="C12" s="401">
        <v>507.88733999999999</v>
      </c>
      <c r="D12" s="401">
        <v>508</v>
      </c>
      <c r="E12" s="401">
        <v>508</v>
      </c>
      <c r="F12" s="401">
        <v>508</v>
      </c>
      <c r="G12" s="401">
        <v>507.88733999999999</v>
      </c>
      <c r="H12" s="401">
        <v>508</v>
      </c>
      <c r="I12" s="401">
        <v>200.80362</v>
      </c>
      <c r="J12" s="401">
        <v>200.80361999999991</v>
      </c>
      <c r="K12" s="401">
        <v>200.80362</v>
      </c>
      <c r="L12" s="401">
        <v>235.33741999999998</v>
      </c>
      <c r="M12" s="401">
        <v>212</v>
      </c>
      <c r="N12" s="401">
        <v>665</v>
      </c>
      <c r="O12" s="401">
        <v>209</v>
      </c>
      <c r="P12" s="401">
        <v>3457</v>
      </c>
      <c r="Q12" s="401">
        <v>2082</v>
      </c>
      <c r="R12" s="401">
        <v>1659.3156199999999</v>
      </c>
      <c r="S12" s="401">
        <v>1559.9681799999998</v>
      </c>
      <c r="T12" s="401">
        <v>3457</v>
      </c>
      <c r="U12" s="401">
        <v>-2536.2711799999997</v>
      </c>
      <c r="V12" s="401">
        <v>1659.3156199999999</v>
      </c>
      <c r="W12" s="401">
        <v>204.40902</v>
      </c>
      <c r="X12" s="401">
        <v>23.590980000000002</v>
      </c>
      <c r="Y12" s="401">
        <v>-228</v>
      </c>
      <c r="Z12" s="403">
        <v>834.52236000000005</v>
      </c>
      <c r="AA12" s="403">
        <v>212.85216</v>
      </c>
      <c r="AB12" s="403">
        <v>212.85216</v>
      </c>
      <c r="AC12" s="403">
        <v>711.74841000000004</v>
      </c>
      <c r="AD12" s="403">
        <v>286.25158999999996</v>
      </c>
      <c r="AE12" s="403">
        <v>259</v>
      </c>
    </row>
    <row r="13" spans="1:31" ht="15" thickBot="1">
      <c r="A13" s="140" t="s">
        <v>587</v>
      </c>
      <c r="B13" s="134"/>
      <c r="C13" s="141">
        <v>-4558.9875099999999</v>
      </c>
      <c r="D13" s="141">
        <v>-4612</v>
      </c>
      <c r="E13" s="141">
        <v>-4359</v>
      </c>
      <c r="F13" s="141">
        <v>-4432.4367700000003</v>
      </c>
      <c r="G13" s="141">
        <v>-4450.5055499999999</v>
      </c>
      <c r="H13" s="141">
        <v>-5077</v>
      </c>
      <c r="I13" s="141">
        <v>-4602</v>
      </c>
      <c r="J13" s="141">
        <v>-3883</v>
      </c>
      <c r="K13" s="141">
        <v>-5653</v>
      </c>
      <c r="L13" s="141">
        <v>-6075</v>
      </c>
      <c r="M13" s="141">
        <v>-6321</v>
      </c>
      <c r="N13" s="141">
        <v>-6275</v>
      </c>
      <c r="O13" s="141">
        <v>-6369</v>
      </c>
      <c r="P13" s="141">
        <v>-6168</v>
      </c>
      <c r="Q13" s="141">
        <v>-6288</v>
      </c>
      <c r="R13" s="141">
        <v>-6366.92994</v>
      </c>
      <c r="S13" s="141">
        <v>-6219.0370699999994</v>
      </c>
      <c r="T13" s="141">
        <v>-6168</v>
      </c>
      <c r="U13" s="141">
        <v>-5038.9486399999969</v>
      </c>
      <c r="V13" s="141">
        <v>-6366.92994</v>
      </c>
      <c r="W13" s="141">
        <v>-6212.0343599999997</v>
      </c>
      <c r="X13" s="141">
        <v>-5968.9656400000003</v>
      </c>
      <c r="Y13" s="141">
        <v>-6205.2422200000001</v>
      </c>
      <c r="Z13" s="141">
        <v>-6357.6716000000015</v>
      </c>
      <c r="AA13" s="141">
        <v>-6248.6343600000009</v>
      </c>
      <c r="AB13" s="141">
        <v>-6284.1414300000006</v>
      </c>
      <c r="AC13" s="141">
        <v>-5163.9641700000011</v>
      </c>
      <c r="AD13" s="141">
        <v>-4764.2600399999974</v>
      </c>
      <c r="AE13" s="141">
        <v>-4783</v>
      </c>
    </row>
    <row r="14" spans="1:31" ht="15" thickBot="1">
      <c r="A14" s="140" t="s">
        <v>491</v>
      </c>
      <c r="B14" s="142"/>
      <c r="C14" s="402">
        <f t="shared" ref="C14:AB14" si="1">C9+C13</f>
        <v>30384.447600000007</v>
      </c>
      <c r="D14" s="402">
        <f t="shared" si="1"/>
        <v>30747</v>
      </c>
      <c r="E14" s="402">
        <f t="shared" si="1"/>
        <v>27756</v>
      </c>
      <c r="F14" s="402">
        <f t="shared" si="1"/>
        <v>28567.512919999994</v>
      </c>
      <c r="G14" s="402">
        <f t="shared" si="1"/>
        <v>31867.525500000003</v>
      </c>
      <c r="H14" s="402">
        <f t="shared" si="1"/>
        <v>37876</v>
      </c>
      <c r="I14" s="402">
        <f t="shared" si="1"/>
        <v>36090.470910000018</v>
      </c>
      <c r="J14" s="402">
        <f t="shared" si="1"/>
        <v>40693.803619999999</v>
      </c>
      <c r="K14" s="402">
        <f t="shared" si="1"/>
        <v>37581.796300000002</v>
      </c>
      <c r="L14" s="402">
        <f t="shared" si="1"/>
        <v>38132.887380000007</v>
      </c>
      <c r="M14" s="402">
        <f t="shared" si="1"/>
        <v>42574</v>
      </c>
      <c r="N14" s="402">
        <f t="shared" si="1"/>
        <v>40696.639329999998</v>
      </c>
      <c r="O14" s="402">
        <f t="shared" si="1"/>
        <v>41713</v>
      </c>
      <c r="P14" s="402">
        <f t="shared" si="1"/>
        <v>37075.198019999996</v>
      </c>
      <c r="Q14" s="402">
        <f t="shared" si="1"/>
        <v>40847</v>
      </c>
      <c r="R14" s="402">
        <f t="shared" si="1"/>
        <v>39775.473460000001</v>
      </c>
      <c r="S14" s="402">
        <f t="shared" si="1"/>
        <v>38461.371780000009</v>
      </c>
      <c r="T14" s="402">
        <f t="shared" si="1"/>
        <v>37075.198019999996</v>
      </c>
      <c r="U14" s="402">
        <f t="shared" si="1"/>
        <v>42631.454170000005</v>
      </c>
      <c r="V14" s="402">
        <f t="shared" si="1"/>
        <v>39775.473460000001</v>
      </c>
      <c r="W14" s="402">
        <f t="shared" si="1"/>
        <v>39578.321620000002</v>
      </c>
      <c r="X14" s="402">
        <f t="shared" si="1"/>
        <v>41186.678379999998</v>
      </c>
      <c r="Y14" s="402">
        <f t="shared" si="1"/>
        <v>44680.858259999994</v>
      </c>
      <c r="Z14" s="402">
        <f t="shared" si="1"/>
        <v>44389.314899999998</v>
      </c>
      <c r="AA14" s="402">
        <f t="shared" si="1"/>
        <v>44681.658179999999</v>
      </c>
      <c r="AB14" s="402">
        <f t="shared" si="1"/>
        <v>44748.868540000003</v>
      </c>
      <c r="AC14" s="402">
        <f>AC9+AC13</f>
        <v>26569.950239999998</v>
      </c>
      <c r="AD14" s="402">
        <f>AD9+AD13</f>
        <v>24576.523039999996</v>
      </c>
      <c r="AE14" s="402">
        <f>AE9+AE13</f>
        <v>26102</v>
      </c>
    </row>
    <row r="15" spans="1:31" ht="15" thickBot="1">
      <c r="A15" s="140" t="s">
        <v>594</v>
      </c>
      <c r="B15" s="142"/>
      <c r="C15" s="141">
        <f t="shared" ref="C15:V15" si="2">SUM(C16:C20)</f>
        <v>-4474.84699</v>
      </c>
      <c r="D15" s="141">
        <f t="shared" si="2"/>
        <v>-4419</v>
      </c>
      <c r="E15" s="141">
        <f t="shared" si="2"/>
        <v>-4947</v>
      </c>
      <c r="F15" s="141">
        <f t="shared" si="2"/>
        <v>-4583.51757</v>
      </c>
      <c r="G15" s="141">
        <f t="shared" si="2"/>
        <v>-4123.1583700000001</v>
      </c>
      <c r="H15" s="141">
        <f t="shared" si="2"/>
        <v>-4346</v>
      </c>
      <c r="I15" s="141">
        <f t="shared" si="2"/>
        <v>-4448.5712000000003</v>
      </c>
      <c r="J15" s="141">
        <f t="shared" si="2"/>
        <v>-4230.51</v>
      </c>
      <c r="K15" s="141">
        <f t="shared" si="2"/>
        <v>-4524</v>
      </c>
      <c r="L15" s="141">
        <f t="shared" si="2"/>
        <v>-3269</v>
      </c>
      <c r="M15" s="141">
        <f t="shared" si="2"/>
        <v>-5223.4896100000005</v>
      </c>
      <c r="N15" s="141">
        <f t="shared" si="2"/>
        <v>-4449.4149799999996</v>
      </c>
      <c r="O15" s="141">
        <f t="shared" si="2"/>
        <v>-4107</v>
      </c>
      <c r="P15" s="141">
        <f t="shared" si="2"/>
        <v>-3996</v>
      </c>
      <c r="Q15" s="141">
        <f t="shared" si="2"/>
        <v>-4452</v>
      </c>
      <c r="R15" s="141">
        <f t="shared" si="2"/>
        <v>-4842.6213700000317</v>
      </c>
      <c r="S15" s="141">
        <f t="shared" si="2"/>
        <v>-3445.7551399999998</v>
      </c>
      <c r="T15" s="141">
        <f t="shared" si="2"/>
        <v>-3996</v>
      </c>
      <c r="U15" s="141">
        <f t="shared" si="2"/>
        <v>-4040.6770699999997</v>
      </c>
      <c r="V15" s="141">
        <f t="shared" si="2"/>
        <v>-4842.6213700000317</v>
      </c>
      <c r="W15" s="141">
        <f t="shared" ref="W15:AC15" si="3">SUM(W16:W21)</f>
        <v>-2954.6719799999996</v>
      </c>
      <c r="X15" s="141">
        <f t="shared" si="3"/>
        <v>-7762.6560399999998</v>
      </c>
      <c r="Y15" s="141">
        <f t="shared" si="3"/>
        <v>-4967.0697500000006</v>
      </c>
      <c r="Z15" s="141">
        <f t="shared" si="3"/>
        <v>-4516.9817499999999</v>
      </c>
      <c r="AA15" s="141">
        <f t="shared" si="3"/>
        <v>-2740.1063200000003</v>
      </c>
      <c r="AB15" s="141">
        <f t="shared" si="3"/>
        <v>-3458.7579099999998</v>
      </c>
      <c r="AC15" s="141">
        <f t="shared" si="3"/>
        <v>-3839.3952599999998</v>
      </c>
      <c r="AD15" s="141">
        <f>SUM(AD16:AD21)</f>
        <v>-7699.7405100000024</v>
      </c>
      <c r="AE15" s="141">
        <f>SUM(AE16:AE21)</f>
        <v>-3957</v>
      </c>
    </row>
    <row r="16" spans="1:31">
      <c r="A16" s="137" t="s">
        <v>595</v>
      </c>
      <c r="B16" s="142"/>
      <c r="C16" s="401">
        <v>-1360.88057</v>
      </c>
      <c r="D16" s="401">
        <v>-1104</v>
      </c>
      <c r="E16" s="401">
        <v>-1314</v>
      </c>
      <c r="F16" s="401">
        <v>-1468.6969899999999</v>
      </c>
      <c r="G16" s="401">
        <v>-1155.00431</v>
      </c>
      <c r="H16" s="401">
        <v>-1259</v>
      </c>
      <c r="I16" s="401">
        <v>-1273</v>
      </c>
      <c r="J16" s="401">
        <v>-989</v>
      </c>
      <c r="K16" s="401">
        <v>-1446</v>
      </c>
      <c r="L16" s="401">
        <v>-871</v>
      </c>
      <c r="M16" s="401">
        <v>-1140</v>
      </c>
      <c r="N16" s="401">
        <v>-1206</v>
      </c>
      <c r="O16" s="401">
        <v>-824</v>
      </c>
      <c r="P16" s="401">
        <v>-844</v>
      </c>
      <c r="Q16" s="401">
        <v>-1408</v>
      </c>
      <c r="R16" s="401">
        <v>-2624.7778699999999</v>
      </c>
      <c r="S16" s="401">
        <v>-1589.4129499999997</v>
      </c>
      <c r="T16" s="401">
        <v>-844</v>
      </c>
      <c r="U16" s="401">
        <v>-2047.2975999999999</v>
      </c>
      <c r="V16" s="401">
        <v>-2624.7778699999999</v>
      </c>
      <c r="W16" s="401">
        <v>-1470.6243699999998</v>
      </c>
      <c r="X16" s="401">
        <v>-3881.3280200000004</v>
      </c>
      <c r="Y16" s="401">
        <v>-1348.4710800000003</v>
      </c>
      <c r="Z16" s="401">
        <v>-841.61649000000125</v>
      </c>
      <c r="AA16" s="401">
        <v>-765.33783999999991</v>
      </c>
      <c r="AB16" s="401">
        <v>-951.4858499999998</v>
      </c>
      <c r="AC16" s="401">
        <v>-1172.90886</v>
      </c>
      <c r="AD16" s="401">
        <v>-2929.2674500000003</v>
      </c>
      <c r="AE16" s="401">
        <v>-868</v>
      </c>
    </row>
    <row r="17" spans="1:31">
      <c r="A17" s="137" t="s">
        <v>596</v>
      </c>
      <c r="B17" s="142"/>
      <c r="C17" s="401">
        <v>-122.13176</v>
      </c>
      <c r="D17" s="401">
        <v>-158</v>
      </c>
      <c r="E17" s="401">
        <v>-132</v>
      </c>
      <c r="F17" s="401">
        <v>-114.52155999999999</v>
      </c>
      <c r="G17" s="401">
        <v>-100.58869</v>
      </c>
      <c r="H17" s="401">
        <v>-77</v>
      </c>
      <c r="I17" s="401">
        <v>-87.5</v>
      </c>
      <c r="J17" s="401">
        <v>-129</v>
      </c>
      <c r="K17" s="401">
        <v>-133</v>
      </c>
      <c r="L17" s="401">
        <v>105</v>
      </c>
      <c r="M17" s="401">
        <v>-7.4584700000000019</v>
      </c>
      <c r="N17" s="401">
        <v>-44.414979999999993</v>
      </c>
      <c r="O17" s="401">
        <v>-16</v>
      </c>
      <c r="P17" s="401">
        <v>-155</v>
      </c>
      <c r="Q17" s="401">
        <v>-143</v>
      </c>
      <c r="R17" s="401">
        <v>12.09157999999999</v>
      </c>
      <c r="S17" s="401">
        <v>-24.755410000000001</v>
      </c>
      <c r="T17" s="401">
        <v>-155</v>
      </c>
      <c r="U17" s="401">
        <v>-257.17619999999999</v>
      </c>
      <c r="V17" s="401">
        <v>12.09157999999999</v>
      </c>
      <c r="W17" s="401">
        <v>-43.11057000000001</v>
      </c>
      <c r="X17" s="401">
        <v>-1426.3756300000002</v>
      </c>
      <c r="Y17" s="401">
        <v>-296.11523</v>
      </c>
      <c r="Z17" s="401">
        <v>-391.86813999999993</v>
      </c>
      <c r="AA17" s="401">
        <v>-483.42370000000005</v>
      </c>
      <c r="AB17" s="401">
        <v>258.5056800000001</v>
      </c>
      <c r="AC17" s="401">
        <v>-6058.131989999999</v>
      </c>
      <c r="AD17" s="401">
        <v>-274.94999000000098</v>
      </c>
      <c r="AE17" s="401">
        <v>-602</v>
      </c>
    </row>
    <row r="18" spans="1:31">
      <c r="A18" s="137" t="s">
        <v>597</v>
      </c>
      <c r="B18" s="357"/>
      <c r="C18" s="401">
        <v>-2873.5294399999998</v>
      </c>
      <c r="D18" s="401">
        <v>-3055</v>
      </c>
      <c r="E18" s="401">
        <v>-3402</v>
      </c>
      <c r="F18" s="401">
        <v>-2905.3433199999999</v>
      </c>
      <c r="G18" s="401">
        <v>-2749.51656</v>
      </c>
      <c r="H18" s="401">
        <v>-2885</v>
      </c>
      <c r="I18" s="401">
        <v>-3043.6812</v>
      </c>
      <c r="J18" s="401">
        <v>-3141</v>
      </c>
      <c r="K18" s="401">
        <v>-2944</v>
      </c>
      <c r="L18" s="401">
        <v>-2552</v>
      </c>
      <c r="M18" s="401">
        <v>-4076.0311400000001</v>
      </c>
      <c r="N18" s="401">
        <v>-3059</v>
      </c>
      <c r="O18" s="401">
        <v>-3632</v>
      </c>
      <c r="P18" s="401">
        <v>-3396</v>
      </c>
      <c r="Q18" s="401">
        <v>-3018</v>
      </c>
      <c r="R18" s="401">
        <v>-2563.55087</v>
      </c>
      <c r="S18" s="401">
        <v>-1860.6816800000001</v>
      </c>
      <c r="T18" s="401">
        <v>-3396</v>
      </c>
      <c r="U18" s="401">
        <v>-1252.6337800000001</v>
      </c>
      <c r="V18" s="401">
        <v>-2563.55087</v>
      </c>
      <c r="W18" s="401">
        <v>-1362.4625800000001</v>
      </c>
      <c r="X18" s="401">
        <v>-228.88943</v>
      </c>
      <c r="Y18" s="401">
        <v>-3238.0769600000003</v>
      </c>
      <c r="Z18" s="401">
        <v>-3171.5278999999991</v>
      </c>
      <c r="AA18" s="401">
        <v>-1332.3160300000002</v>
      </c>
      <c r="AB18" s="401">
        <v>-2651.7366099999999</v>
      </c>
      <c r="AC18" s="401">
        <v>3436.0920699999997</v>
      </c>
      <c r="AD18" s="401">
        <v>-2461.0394300000007</v>
      </c>
      <c r="AE18" s="401">
        <v>-2355</v>
      </c>
    </row>
    <row r="19" spans="1:31">
      <c r="A19" s="137" t="s">
        <v>623</v>
      </c>
      <c r="B19" s="357"/>
      <c r="C19" s="401">
        <v>0</v>
      </c>
      <c r="D19" s="401">
        <v>0</v>
      </c>
      <c r="E19" s="401"/>
      <c r="F19" s="401">
        <v>0</v>
      </c>
      <c r="G19" s="401">
        <v>0</v>
      </c>
      <c r="H19" s="401">
        <v>0</v>
      </c>
      <c r="I19" s="401">
        <v>0</v>
      </c>
      <c r="J19" s="401">
        <v>0</v>
      </c>
      <c r="K19" s="401"/>
      <c r="L19" s="401">
        <v>0</v>
      </c>
      <c r="M19" s="401">
        <v>0</v>
      </c>
      <c r="N19" s="401"/>
      <c r="O19" s="401">
        <f>P19*1000</f>
        <v>0</v>
      </c>
      <c r="P19" s="401"/>
      <c r="Q19" s="401"/>
      <c r="R19" s="401">
        <v>0</v>
      </c>
      <c r="S19" s="401">
        <v>0</v>
      </c>
      <c r="T19" s="401">
        <v>0</v>
      </c>
      <c r="U19" s="401">
        <v>0</v>
      </c>
      <c r="V19" s="401">
        <v>0</v>
      </c>
      <c r="W19" s="401">
        <v>0</v>
      </c>
      <c r="X19" s="401">
        <v>-2044.5374199999999</v>
      </c>
      <c r="Y19" s="401">
        <v>0</v>
      </c>
      <c r="Z19" s="401">
        <v>0</v>
      </c>
      <c r="AA19" s="401"/>
      <c r="AB19" s="401">
        <v>0</v>
      </c>
      <c r="AC19" s="401">
        <v>0</v>
      </c>
      <c r="AD19" s="401">
        <v>0</v>
      </c>
      <c r="AE19" s="401">
        <v>0</v>
      </c>
    </row>
    <row r="20" spans="1:31">
      <c r="A20" s="137" t="s">
        <v>59</v>
      </c>
      <c r="B20" s="142"/>
      <c r="C20" s="401">
        <v>-118.30522000000002</v>
      </c>
      <c r="D20" s="401">
        <v>-102</v>
      </c>
      <c r="E20" s="401">
        <v>-99</v>
      </c>
      <c r="F20" s="401">
        <v>-94.955699999999993</v>
      </c>
      <c r="G20" s="401">
        <v>-118.04881</v>
      </c>
      <c r="H20" s="401">
        <v>-125</v>
      </c>
      <c r="I20" s="401">
        <v>-44.39</v>
      </c>
      <c r="J20" s="401">
        <v>28.49</v>
      </c>
      <c r="K20" s="401">
        <v>-1</v>
      </c>
      <c r="L20" s="401">
        <v>49</v>
      </c>
      <c r="M20" s="401">
        <v>0</v>
      </c>
      <c r="N20" s="401">
        <v>-140</v>
      </c>
      <c r="O20" s="401">
        <v>365</v>
      </c>
      <c r="P20" s="401">
        <v>399</v>
      </c>
      <c r="Q20" s="401">
        <v>117</v>
      </c>
      <c r="R20" s="401">
        <v>333.61578999996902</v>
      </c>
      <c r="S20" s="401">
        <v>29.09490000000001</v>
      </c>
      <c r="T20" s="401">
        <v>399</v>
      </c>
      <c r="U20" s="401">
        <v>-483.56948999999997</v>
      </c>
      <c r="V20" s="401">
        <v>333.61578999996902</v>
      </c>
      <c r="W20" s="401">
        <v>-78.474460000000008</v>
      </c>
      <c r="X20" s="401">
        <v>-181.52553999999998</v>
      </c>
      <c r="Y20" s="401">
        <v>-84.406479999999988</v>
      </c>
      <c r="Z20" s="401">
        <v>-111.96922000000006</v>
      </c>
      <c r="AA20" s="401">
        <v>-159.02875</v>
      </c>
      <c r="AB20" s="401">
        <v>-114.04113000000007</v>
      </c>
      <c r="AC20" s="401">
        <v>-44.446479999999895</v>
      </c>
      <c r="AD20" s="401">
        <v>22.516359999999963</v>
      </c>
      <c r="AE20" s="401">
        <v>-132</v>
      </c>
    </row>
    <row r="21" spans="1:31">
      <c r="A21" s="137" t="s">
        <v>598</v>
      </c>
      <c r="B21" s="142"/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401"/>
      <c r="N21" s="401"/>
      <c r="O21" s="401"/>
      <c r="P21" s="401"/>
      <c r="Q21" s="401"/>
      <c r="R21" s="401"/>
      <c r="S21" s="401"/>
      <c r="T21" s="401"/>
      <c r="U21" s="401"/>
      <c r="V21" s="401"/>
      <c r="W21" s="401"/>
      <c r="X21" s="401"/>
      <c r="Y21" s="401"/>
      <c r="Z21" s="401"/>
      <c r="AA21" s="401"/>
      <c r="AB21" s="401"/>
      <c r="AC21" s="401"/>
      <c r="AD21" s="401">
        <v>-2057</v>
      </c>
      <c r="AE21" s="401">
        <v>0</v>
      </c>
    </row>
    <row r="22" spans="1:31">
      <c r="A22" s="551" t="s">
        <v>529</v>
      </c>
      <c r="B22" s="142"/>
      <c r="C22" s="550">
        <f t="shared" ref="C22:AE22" si="4">C14+C15</f>
        <v>25909.600610000009</v>
      </c>
      <c r="D22" s="550">
        <f t="shared" si="4"/>
        <v>26328</v>
      </c>
      <c r="E22" s="550">
        <f t="shared" si="4"/>
        <v>22809</v>
      </c>
      <c r="F22" s="550">
        <f t="shared" si="4"/>
        <v>23983.995349999994</v>
      </c>
      <c r="G22" s="550">
        <f t="shared" si="4"/>
        <v>27744.367130000002</v>
      </c>
      <c r="H22" s="550">
        <f t="shared" si="4"/>
        <v>33530</v>
      </c>
      <c r="I22" s="550">
        <f t="shared" si="4"/>
        <v>31641.89971000002</v>
      </c>
      <c r="J22" s="550">
        <f t="shared" si="4"/>
        <v>36463.293619999997</v>
      </c>
      <c r="K22" s="550">
        <f t="shared" si="4"/>
        <v>33057.796300000002</v>
      </c>
      <c r="L22" s="550">
        <f t="shared" si="4"/>
        <v>34863.887380000007</v>
      </c>
      <c r="M22" s="550">
        <f t="shared" si="4"/>
        <v>37350.510389999996</v>
      </c>
      <c r="N22" s="550">
        <f t="shared" si="4"/>
        <v>36247.224349999997</v>
      </c>
      <c r="O22" s="550">
        <f t="shared" si="4"/>
        <v>37606</v>
      </c>
      <c r="P22" s="550">
        <f t="shared" si="4"/>
        <v>33079.198019999996</v>
      </c>
      <c r="Q22" s="550">
        <f t="shared" si="4"/>
        <v>36395</v>
      </c>
      <c r="R22" s="550">
        <f t="shared" si="4"/>
        <v>34932.852089999971</v>
      </c>
      <c r="S22" s="550">
        <f t="shared" si="4"/>
        <v>35015.616640000007</v>
      </c>
      <c r="T22" s="550">
        <f t="shared" si="4"/>
        <v>33079.198019999996</v>
      </c>
      <c r="U22" s="550">
        <f t="shared" si="4"/>
        <v>38590.777100000007</v>
      </c>
      <c r="V22" s="550">
        <f t="shared" si="4"/>
        <v>34932.852089999971</v>
      </c>
      <c r="W22" s="550">
        <f t="shared" si="4"/>
        <v>36623.649640000003</v>
      </c>
      <c r="X22" s="550">
        <f t="shared" si="4"/>
        <v>33424.022339999996</v>
      </c>
      <c r="Y22" s="550">
        <f t="shared" si="4"/>
        <v>39713.788509999991</v>
      </c>
      <c r="Z22" s="550">
        <f t="shared" si="4"/>
        <v>39872.333149999999</v>
      </c>
      <c r="AA22" s="550">
        <f t="shared" si="4"/>
        <v>41941.55186</v>
      </c>
      <c r="AB22" s="550">
        <f t="shared" si="4"/>
        <v>41290.110630000003</v>
      </c>
      <c r="AC22" s="550">
        <f t="shared" si="4"/>
        <v>22730.554979999997</v>
      </c>
      <c r="AD22" s="550">
        <f t="shared" si="4"/>
        <v>16876.782529999993</v>
      </c>
      <c r="AE22" s="550">
        <f t="shared" si="4"/>
        <v>22145</v>
      </c>
    </row>
    <row r="23" spans="1:31" ht="15" thickBot="1">
      <c r="A23" s="137" t="s">
        <v>600</v>
      </c>
      <c r="B23" s="134"/>
      <c r="C23" s="401">
        <v>-3908.2178699999999</v>
      </c>
      <c r="D23" s="401">
        <v>-3908</v>
      </c>
      <c r="E23" s="401">
        <v>-3908</v>
      </c>
      <c r="F23" s="401">
        <v>-3908.2178699999999</v>
      </c>
      <c r="G23" s="401">
        <v>-4053.5923699999998</v>
      </c>
      <c r="H23" s="401">
        <v>-4338</v>
      </c>
      <c r="I23" s="401">
        <v>-4898</v>
      </c>
      <c r="J23" s="401">
        <v>-5992</v>
      </c>
      <c r="K23" s="401">
        <v>-5146</v>
      </c>
      <c r="L23" s="401">
        <v>-5234</v>
      </c>
      <c r="M23" s="401">
        <v>-5215</v>
      </c>
      <c r="N23" s="401">
        <v>-5215</v>
      </c>
      <c r="O23" s="401">
        <v>-5215</v>
      </c>
      <c r="P23" s="401">
        <v>-3381</v>
      </c>
      <c r="Q23" s="401">
        <v>-7116</v>
      </c>
      <c r="R23" s="401">
        <v>-6120.8162299999995</v>
      </c>
      <c r="S23" s="401">
        <v>-5789.8862499999996</v>
      </c>
      <c r="T23" s="401">
        <v>-3381</v>
      </c>
      <c r="U23" s="401">
        <v>-5789.8234099999991</v>
      </c>
      <c r="V23" s="401">
        <v>-6120.8162299999995</v>
      </c>
      <c r="W23" s="401">
        <v>-5786.6420799999996</v>
      </c>
      <c r="X23" s="401">
        <v>-5798.0932300000004</v>
      </c>
      <c r="Y23" s="401">
        <v>-5885.8107900000032</v>
      </c>
      <c r="Z23" s="401">
        <v>-5914.2832899999958</v>
      </c>
      <c r="AA23" s="401">
        <v>-5913.1442200000001</v>
      </c>
      <c r="AB23" s="401">
        <v>-5898.6783799999994</v>
      </c>
      <c r="AC23" s="401">
        <v>-5898.6785200000013</v>
      </c>
      <c r="AD23" s="401">
        <v>-5911.4988799999992</v>
      </c>
      <c r="AE23" s="401">
        <v>-6095</v>
      </c>
    </row>
    <row r="24" spans="1:31" ht="15" thickBot="1">
      <c r="A24" s="140" t="s">
        <v>601</v>
      </c>
      <c r="B24" s="134"/>
      <c r="C24" s="141">
        <f t="shared" ref="C24:X24" si="5">SUM(C22:C23)</f>
        <v>22001.382740000008</v>
      </c>
      <c r="D24" s="141">
        <f t="shared" si="5"/>
        <v>22420</v>
      </c>
      <c r="E24" s="141">
        <f t="shared" si="5"/>
        <v>18901</v>
      </c>
      <c r="F24" s="141">
        <f t="shared" si="5"/>
        <v>20075.777479999993</v>
      </c>
      <c r="G24" s="141">
        <f t="shared" si="5"/>
        <v>23690.774760000004</v>
      </c>
      <c r="H24" s="141">
        <f t="shared" si="5"/>
        <v>29192</v>
      </c>
      <c r="I24" s="141">
        <f t="shared" si="5"/>
        <v>26743.89971000002</v>
      </c>
      <c r="J24" s="141">
        <f t="shared" si="5"/>
        <v>30471.293619999997</v>
      </c>
      <c r="K24" s="141">
        <f t="shared" si="5"/>
        <v>27911.796300000002</v>
      </c>
      <c r="L24" s="141">
        <f t="shared" si="5"/>
        <v>29629.887380000007</v>
      </c>
      <c r="M24" s="141">
        <f t="shared" si="5"/>
        <v>32135.510389999996</v>
      </c>
      <c r="N24" s="141">
        <f t="shared" si="5"/>
        <v>31032.224349999997</v>
      </c>
      <c r="O24" s="141">
        <f t="shared" si="5"/>
        <v>32391</v>
      </c>
      <c r="P24" s="141">
        <f t="shared" si="5"/>
        <v>29698.198019999996</v>
      </c>
      <c r="Q24" s="141">
        <f t="shared" si="5"/>
        <v>29279</v>
      </c>
      <c r="R24" s="141">
        <f t="shared" si="5"/>
        <v>28812.035859999971</v>
      </c>
      <c r="S24" s="141">
        <f t="shared" si="5"/>
        <v>29225.730390000008</v>
      </c>
      <c r="T24" s="141">
        <f t="shared" si="5"/>
        <v>29698.198019999996</v>
      </c>
      <c r="U24" s="141">
        <f t="shared" si="5"/>
        <v>32800.953690000009</v>
      </c>
      <c r="V24" s="141">
        <f t="shared" si="5"/>
        <v>28812.035859999971</v>
      </c>
      <c r="W24" s="141">
        <f t="shared" si="5"/>
        <v>30837.007560000005</v>
      </c>
      <c r="X24" s="141">
        <f t="shared" si="5"/>
        <v>27625.929109999997</v>
      </c>
      <c r="Y24" s="141">
        <f t="shared" ref="Y24:AD24" si="6">SUM(Y22:Y23)</f>
        <v>33827.977719999988</v>
      </c>
      <c r="Z24" s="141">
        <f t="shared" si="6"/>
        <v>33958.049859999999</v>
      </c>
      <c r="AA24" s="141">
        <f t="shared" si="6"/>
        <v>36028.407639999998</v>
      </c>
      <c r="AB24" s="141">
        <f t="shared" si="6"/>
        <v>35391.432250000005</v>
      </c>
      <c r="AC24" s="141">
        <f t="shared" si="6"/>
        <v>16831.876459999996</v>
      </c>
      <c r="AD24" s="141">
        <f t="shared" si="6"/>
        <v>10965.283649999994</v>
      </c>
      <c r="AE24" s="141">
        <f t="shared" ref="AE24" si="7">SUM(AE22:AE23)</f>
        <v>16050</v>
      </c>
    </row>
    <row r="25" spans="1:31" ht="15" thickBot="1">
      <c r="A25" s="140" t="s">
        <v>531</v>
      </c>
      <c r="B25" s="134"/>
      <c r="C25" s="351">
        <f t="shared" ref="C25:X25" si="8">SUM(C26:C27)</f>
        <v>-1926.4089199999996</v>
      </c>
      <c r="D25" s="351">
        <f t="shared" si="8"/>
        <v>-1762.3999999999999</v>
      </c>
      <c r="E25" s="351">
        <f t="shared" si="8"/>
        <v>-2129</v>
      </c>
      <c r="F25" s="351">
        <f t="shared" si="8"/>
        <v>-1680.7304600000011</v>
      </c>
      <c r="G25" s="351">
        <f t="shared" si="8"/>
        <v>-1469.21974</v>
      </c>
      <c r="H25" s="351">
        <f t="shared" si="8"/>
        <v>-1293</v>
      </c>
      <c r="I25" s="351">
        <f t="shared" si="8"/>
        <v>-972</v>
      </c>
      <c r="J25" s="351">
        <f t="shared" si="8"/>
        <v>-1132.5999999999999</v>
      </c>
      <c r="K25" s="351">
        <f t="shared" si="8"/>
        <v>-2331</v>
      </c>
      <c r="L25" s="351">
        <f t="shared" si="8"/>
        <v>-5820</v>
      </c>
      <c r="M25" s="351">
        <f t="shared" si="8"/>
        <v>-5425.422340000001</v>
      </c>
      <c r="N25" s="351">
        <f t="shared" si="8"/>
        <v>-6229</v>
      </c>
      <c r="O25" s="351">
        <f t="shared" si="8"/>
        <v>-6035</v>
      </c>
      <c r="P25" s="351">
        <f t="shared" si="8"/>
        <v>-2225.0749100000003</v>
      </c>
      <c r="Q25" s="351">
        <f t="shared" si="8"/>
        <v>-4769</v>
      </c>
      <c r="R25" s="351">
        <f t="shared" si="8"/>
        <v>-6218.9366100000007</v>
      </c>
      <c r="S25" s="351">
        <f t="shared" si="8"/>
        <v>-6879.7587399999993</v>
      </c>
      <c r="T25" s="351">
        <f t="shared" si="8"/>
        <v>-2225.0749100000003</v>
      </c>
      <c r="U25" s="351">
        <f t="shared" si="8"/>
        <v>-9231.8708899999983</v>
      </c>
      <c r="V25" s="351">
        <f t="shared" si="8"/>
        <v>-6218.9366100000007</v>
      </c>
      <c r="W25" s="351">
        <f t="shared" si="8"/>
        <v>-13163.665790000001</v>
      </c>
      <c r="X25" s="351">
        <f t="shared" si="8"/>
        <v>-15162.38522</v>
      </c>
      <c r="Y25" s="351">
        <f t="shared" ref="Y25:AD25" si="9">SUM(Y26:Y27)</f>
        <v>-11223.793969999999</v>
      </c>
      <c r="Z25" s="351">
        <f t="shared" si="9"/>
        <v>-12650.909270000024</v>
      </c>
      <c r="AA25" s="351">
        <f t="shared" si="9"/>
        <v>-14060.996520000001</v>
      </c>
      <c r="AB25" s="351">
        <f t="shared" si="9"/>
        <v>-10439.834210000001</v>
      </c>
      <c r="AC25" s="351">
        <f t="shared" si="9"/>
        <v>-9699.0100300000086</v>
      </c>
      <c r="AD25" s="351">
        <f t="shared" si="9"/>
        <v>-16714.15923999999</v>
      </c>
      <c r="AE25" s="351">
        <f t="shared" ref="AE25" si="10">SUM(AE26:AE27)</f>
        <v>-11550</v>
      </c>
    </row>
    <row r="26" spans="1:31">
      <c r="A26" s="137" t="s">
        <v>532</v>
      </c>
      <c r="B26" s="134"/>
      <c r="C26" s="401">
        <v>1078.7082600000001</v>
      </c>
      <c r="D26" s="401">
        <v>956.3</v>
      </c>
      <c r="E26" s="401">
        <v>846</v>
      </c>
      <c r="F26" s="401">
        <v>678.63367000000062</v>
      </c>
      <c r="G26" s="401">
        <v>641.46048999999994</v>
      </c>
      <c r="H26" s="401">
        <v>618</v>
      </c>
      <c r="I26" s="401">
        <v>763</v>
      </c>
      <c r="J26" s="401">
        <v>2080.4</v>
      </c>
      <c r="K26" s="401">
        <v>2497</v>
      </c>
      <c r="L26" s="401">
        <v>4107</v>
      </c>
      <c r="M26" s="401">
        <v>3721.577659999999</v>
      </c>
      <c r="N26" s="401">
        <v>2121</v>
      </c>
      <c r="O26" s="401">
        <v>2153</v>
      </c>
      <c r="P26" s="401">
        <v>1991</v>
      </c>
      <c r="Q26" s="401">
        <v>952</v>
      </c>
      <c r="R26" s="401">
        <v>870.44262999999887</v>
      </c>
      <c r="S26" s="401">
        <v>193.22272000000004</v>
      </c>
      <c r="T26" s="401">
        <v>1991</v>
      </c>
      <c r="U26" s="401">
        <v>1239.5829200000003</v>
      </c>
      <c r="V26" s="401">
        <v>870.44262999999887</v>
      </c>
      <c r="W26" s="401">
        <v>2585.0879899999995</v>
      </c>
      <c r="X26" s="401">
        <v>3345.8610000000003</v>
      </c>
      <c r="Y26" s="401">
        <v>4978.2060300000003</v>
      </c>
      <c r="Z26" s="401">
        <v>4786.844189999998</v>
      </c>
      <c r="AA26" s="401">
        <v>5829.3829600000017</v>
      </c>
      <c r="AB26" s="401">
        <v>7200.7848499999973</v>
      </c>
      <c r="AC26" s="401">
        <v>7624.7925900000009</v>
      </c>
      <c r="AD26" s="401">
        <v>6421.0396000000001</v>
      </c>
      <c r="AE26" s="401">
        <v>4644</v>
      </c>
    </row>
    <row r="27" spans="1:31" ht="15" thickBot="1">
      <c r="A27" s="137" t="s">
        <v>541</v>
      </c>
      <c r="B27" s="134"/>
      <c r="C27" s="401">
        <v>-3005.1171799999997</v>
      </c>
      <c r="D27" s="401">
        <v>-2718.7</v>
      </c>
      <c r="E27" s="401">
        <v>-2975</v>
      </c>
      <c r="F27" s="401">
        <v>-2359.3641300000018</v>
      </c>
      <c r="G27" s="401">
        <v>-2110.6802299999999</v>
      </c>
      <c r="H27" s="401">
        <v>-1911</v>
      </c>
      <c r="I27" s="401">
        <v>-1735</v>
      </c>
      <c r="J27" s="401">
        <v>-3213</v>
      </c>
      <c r="K27" s="401">
        <v>-4828</v>
      </c>
      <c r="L27" s="401">
        <v>-9927</v>
      </c>
      <c r="M27" s="401">
        <v>-9147</v>
      </c>
      <c r="N27" s="401">
        <v>-8350</v>
      </c>
      <c r="O27" s="401">
        <v>-8188</v>
      </c>
      <c r="P27" s="401">
        <v>-4216.0749100000003</v>
      </c>
      <c r="Q27" s="401">
        <v>-5721</v>
      </c>
      <c r="R27" s="401">
        <v>-7089.3792399999993</v>
      </c>
      <c r="S27" s="401">
        <v>-7072.9814599999991</v>
      </c>
      <c r="T27" s="401">
        <v>-4216.0749100000003</v>
      </c>
      <c r="U27" s="401">
        <v>-10471.453809999999</v>
      </c>
      <c r="V27" s="401">
        <v>-7089.3792399999993</v>
      </c>
      <c r="W27" s="401">
        <v>-15748.753780000001</v>
      </c>
      <c r="X27" s="401">
        <v>-18508.246220000001</v>
      </c>
      <c r="Y27" s="401">
        <v>-16202</v>
      </c>
      <c r="Z27" s="401">
        <v>-17437.753460000022</v>
      </c>
      <c r="AA27" s="401">
        <v>-19890.379480000003</v>
      </c>
      <c r="AB27" s="401">
        <v>-17640.619059999997</v>
      </c>
      <c r="AC27" s="401">
        <v>-17323.802620000009</v>
      </c>
      <c r="AD27" s="401">
        <v>-23135.19883999999</v>
      </c>
      <c r="AE27" s="401">
        <v>-16194</v>
      </c>
    </row>
    <row r="28" spans="1:31" ht="15" thickBot="1">
      <c r="A28" s="140" t="s">
        <v>602</v>
      </c>
      <c r="B28" s="134"/>
      <c r="C28" s="141">
        <f t="shared" ref="C28:X28" si="11">SUM(C24:C25)</f>
        <v>20074.97382000001</v>
      </c>
      <c r="D28" s="141">
        <f t="shared" si="11"/>
        <v>20657.599999999999</v>
      </c>
      <c r="E28" s="141">
        <f t="shared" si="11"/>
        <v>16772</v>
      </c>
      <c r="F28" s="141">
        <f t="shared" si="11"/>
        <v>18395.047019999991</v>
      </c>
      <c r="G28" s="141">
        <f t="shared" si="11"/>
        <v>22221.555020000003</v>
      </c>
      <c r="H28" s="141">
        <f t="shared" si="11"/>
        <v>27899</v>
      </c>
      <c r="I28" s="141">
        <f t="shared" si="11"/>
        <v>25771.89971000002</v>
      </c>
      <c r="J28" s="141">
        <f t="shared" si="11"/>
        <v>29338.693619999998</v>
      </c>
      <c r="K28" s="141">
        <f t="shared" si="11"/>
        <v>25580.796300000002</v>
      </c>
      <c r="L28" s="141">
        <f t="shared" si="11"/>
        <v>23809.887380000007</v>
      </c>
      <c r="M28" s="141">
        <f t="shared" si="11"/>
        <v>26710.088049999995</v>
      </c>
      <c r="N28" s="141">
        <f t="shared" si="11"/>
        <v>24803.224349999997</v>
      </c>
      <c r="O28" s="141">
        <f t="shared" si="11"/>
        <v>26356</v>
      </c>
      <c r="P28" s="141">
        <f t="shared" si="11"/>
        <v>27473.123109999997</v>
      </c>
      <c r="Q28" s="141">
        <f t="shared" si="11"/>
        <v>24510</v>
      </c>
      <c r="R28" s="141">
        <f t="shared" si="11"/>
        <v>22593.09924999997</v>
      </c>
      <c r="S28" s="141">
        <f t="shared" si="11"/>
        <v>22345.971650000007</v>
      </c>
      <c r="T28" s="141">
        <f t="shared" si="11"/>
        <v>27473.123109999997</v>
      </c>
      <c r="U28" s="141">
        <f t="shared" si="11"/>
        <v>23569.082800000011</v>
      </c>
      <c r="V28" s="141">
        <f t="shared" si="11"/>
        <v>22593.09924999997</v>
      </c>
      <c r="W28" s="141">
        <f t="shared" si="11"/>
        <v>17673.341770000006</v>
      </c>
      <c r="X28" s="141">
        <f t="shared" si="11"/>
        <v>12463.543889999997</v>
      </c>
      <c r="Y28" s="141">
        <f t="shared" ref="Y28:AE28" si="12">SUM(Y24:Y25)</f>
        <v>22604.183749999989</v>
      </c>
      <c r="Z28" s="141">
        <f t="shared" si="12"/>
        <v>21307.140589999974</v>
      </c>
      <c r="AA28" s="141">
        <f t="shared" si="12"/>
        <v>21967.411119999997</v>
      </c>
      <c r="AB28" s="141">
        <f t="shared" si="12"/>
        <v>24951.598040000004</v>
      </c>
      <c r="AC28" s="141">
        <f t="shared" si="12"/>
        <v>7132.8664299999873</v>
      </c>
      <c r="AD28" s="141">
        <f t="shared" si="12"/>
        <v>-5748.875589999996</v>
      </c>
      <c r="AE28" s="141">
        <f t="shared" si="12"/>
        <v>4500</v>
      </c>
    </row>
    <row r="29" spans="1:31">
      <c r="A29" s="137" t="s">
        <v>624</v>
      </c>
      <c r="B29" s="134"/>
      <c r="C29" s="401">
        <v>-1444.15933</v>
      </c>
      <c r="D29" s="401">
        <v>-5701</v>
      </c>
      <c r="E29" s="401">
        <v>-4579</v>
      </c>
      <c r="F29" s="401">
        <v>-1432.84951</v>
      </c>
      <c r="G29" s="401">
        <v>-2948.09022</v>
      </c>
      <c r="H29" s="401">
        <v>-8529</v>
      </c>
      <c r="I29" s="401">
        <v>-7925</v>
      </c>
      <c r="J29" s="401">
        <v>-8431</v>
      </c>
      <c r="K29" s="401">
        <v>-3077</v>
      </c>
      <c r="L29" s="401">
        <v>-2828</v>
      </c>
      <c r="M29" s="401">
        <v>-15402</v>
      </c>
      <c r="N29" s="401">
        <v>-23148</v>
      </c>
      <c r="O29" s="401">
        <v>-246</v>
      </c>
      <c r="P29" s="401">
        <v>-3548</v>
      </c>
      <c r="Q29" s="401">
        <v>540</v>
      </c>
      <c r="R29" s="401">
        <v>-2807.97795</v>
      </c>
      <c r="S29" s="401">
        <v>-2097.9537099999998</v>
      </c>
      <c r="T29" s="401">
        <v>-3548</v>
      </c>
      <c r="U29" s="401">
        <v>-6392</v>
      </c>
      <c r="V29" s="401">
        <v>-2807.97795</v>
      </c>
      <c r="W29" s="401">
        <v>-5882</v>
      </c>
      <c r="X29" s="401">
        <v>-4438</v>
      </c>
      <c r="Y29" s="401">
        <v>-5435</v>
      </c>
      <c r="Z29" s="401">
        <v>-826.25031999999919</v>
      </c>
      <c r="AA29" s="401">
        <v>-4444.9819600000001</v>
      </c>
      <c r="AB29" s="401">
        <v>-1583.4290899999996</v>
      </c>
      <c r="AC29" s="401">
        <v>-2029.568040000001</v>
      </c>
      <c r="AD29" s="401">
        <v>-2933.0209099999993</v>
      </c>
      <c r="AE29" s="401">
        <v>-314</v>
      </c>
    </row>
    <row r="30" spans="1:31" ht="15" thickBot="1">
      <c r="A30" s="137" t="s">
        <v>625</v>
      </c>
      <c r="B30" s="134"/>
      <c r="C30" s="401">
        <v>-1502.15679</v>
      </c>
      <c r="D30" s="401">
        <v>4223</v>
      </c>
      <c r="E30" s="401">
        <v>2317</v>
      </c>
      <c r="F30" s="401">
        <v>-1305.6140800000001</v>
      </c>
      <c r="G30" s="401">
        <v>-2082.5753599999998</v>
      </c>
      <c r="H30" s="401">
        <v>3733</v>
      </c>
      <c r="I30" s="401">
        <v>3536</v>
      </c>
      <c r="J30" s="401">
        <v>5977.2547300000006</v>
      </c>
      <c r="K30" s="401">
        <v>1989</v>
      </c>
      <c r="L30" s="401">
        <v>2078</v>
      </c>
      <c r="M30" s="401">
        <v>10637</v>
      </c>
      <c r="N30" s="401">
        <v>3692</v>
      </c>
      <c r="O30" s="401">
        <v>0</v>
      </c>
      <c r="P30" s="401">
        <v>2512</v>
      </c>
      <c r="Q30" s="401">
        <v>-122</v>
      </c>
      <c r="R30" s="401">
        <v>1036</v>
      </c>
      <c r="S30" s="401">
        <v>0</v>
      </c>
      <c r="T30" s="401">
        <v>2512</v>
      </c>
      <c r="U30" s="401">
        <v>3013</v>
      </c>
      <c r="V30" s="401">
        <v>1036</v>
      </c>
      <c r="W30" s="401">
        <v>556</v>
      </c>
      <c r="X30" s="401">
        <v>1700</v>
      </c>
      <c r="Y30" s="401">
        <v>2057</v>
      </c>
      <c r="Z30" s="401">
        <v>-4313</v>
      </c>
      <c r="AA30" s="401"/>
      <c r="AB30" s="401">
        <v>0</v>
      </c>
      <c r="AC30" s="401">
        <v>0</v>
      </c>
      <c r="AD30" s="401">
        <v>0</v>
      </c>
      <c r="AE30" s="401">
        <v>0</v>
      </c>
    </row>
    <row r="31" spans="1:31" ht="15" thickBot="1">
      <c r="A31" s="140" t="s">
        <v>604</v>
      </c>
      <c r="B31" s="134"/>
      <c r="C31" s="141">
        <f t="shared" ref="C31:X31" si="13">SUM(C28:C30)</f>
        <v>17128.657700000011</v>
      </c>
      <c r="D31" s="141">
        <f t="shared" si="13"/>
        <v>19179.599999999999</v>
      </c>
      <c r="E31" s="141">
        <f t="shared" si="13"/>
        <v>14510</v>
      </c>
      <c r="F31" s="141">
        <f t="shared" si="13"/>
        <v>15656.583429999991</v>
      </c>
      <c r="G31" s="141">
        <f t="shared" si="13"/>
        <v>17190.889440000003</v>
      </c>
      <c r="H31" s="141">
        <f t="shared" si="13"/>
        <v>23103</v>
      </c>
      <c r="I31" s="141">
        <f t="shared" si="13"/>
        <v>21382.89971000002</v>
      </c>
      <c r="J31" s="141">
        <f t="shared" si="13"/>
        <v>26884.948349999999</v>
      </c>
      <c r="K31" s="141">
        <f t="shared" si="13"/>
        <v>24492.796300000002</v>
      </c>
      <c r="L31" s="141">
        <f t="shared" si="13"/>
        <v>23059.887380000007</v>
      </c>
      <c r="M31" s="141">
        <f t="shared" si="13"/>
        <v>21945.088049999995</v>
      </c>
      <c r="N31" s="141">
        <f t="shared" si="13"/>
        <v>5347.2243499999968</v>
      </c>
      <c r="O31" s="141">
        <f t="shared" si="13"/>
        <v>26110</v>
      </c>
      <c r="P31" s="141">
        <f t="shared" si="13"/>
        <v>26437.123109999997</v>
      </c>
      <c r="Q31" s="141">
        <f t="shared" si="13"/>
        <v>24928</v>
      </c>
      <c r="R31" s="141">
        <f t="shared" si="13"/>
        <v>20821.12129999997</v>
      </c>
      <c r="S31" s="141">
        <f t="shared" si="13"/>
        <v>20248.017940000005</v>
      </c>
      <c r="T31" s="141">
        <f t="shared" si="13"/>
        <v>26437.123109999997</v>
      </c>
      <c r="U31" s="141">
        <f t="shared" si="13"/>
        <v>20190.082800000011</v>
      </c>
      <c r="V31" s="141">
        <f t="shared" si="13"/>
        <v>20821.12129999997</v>
      </c>
      <c r="W31" s="141">
        <f t="shared" si="13"/>
        <v>12347.341770000006</v>
      </c>
      <c r="X31" s="141">
        <f t="shared" si="13"/>
        <v>9725.5438899999972</v>
      </c>
      <c r="Y31" s="141">
        <f t="shared" ref="Y31:AE31" si="14">SUM(Y28:Y30)</f>
        <v>19226.183749999989</v>
      </c>
      <c r="Z31" s="141">
        <f t="shared" si="14"/>
        <v>16167.890269999974</v>
      </c>
      <c r="AA31" s="141">
        <f t="shared" si="14"/>
        <v>17522.429159999996</v>
      </c>
      <c r="AB31" s="141">
        <f t="shared" si="14"/>
        <v>23368.168950000007</v>
      </c>
      <c r="AC31" s="141">
        <f t="shared" si="14"/>
        <v>5103.2983899999863</v>
      </c>
      <c r="AD31" s="141">
        <f t="shared" si="14"/>
        <v>-8681.8964999999953</v>
      </c>
      <c r="AE31" s="141">
        <f t="shared" si="14"/>
        <v>4186</v>
      </c>
    </row>
  </sheetData>
  <pageMargins left="0.511811024" right="0.511811024" top="0.78740157499999996" bottom="0.78740157499999996" header="0.31496062000000002" footer="0.31496062000000002"/>
  <ignoredErrors>
    <ignoredError sqref="W9:AE9" formulaRange="1"/>
  </ignoredErrors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9" tint="0.79998168889431442"/>
  </sheetPr>
  <dimension ref="A6:AF39"/>
  <sheetViews>
    <sheetView showGridLines="0" zoomScaleNormal="100" workbookViewId="0">
      <pane xSplit="1" ySplit="8" topLeftCell="B9" activePane="bottomRight" state="frozen"/>
      <selection pane="topRight" activeCell="T10" sqref="T10"/>
      <selection pane="bottomLeft" activeCell="T10" sqref="T10"/>
      <selection pane="bottomRight" activeCell="AF11" sqref="AF11"/>
    </sheetView>
  </sheetViews>
  <sheetFormatPr defaultColWidth="9.1796875" defaultRowHeight="14.5" outlineLevelCol="1"/>
  <cols>
    <col min="1" max="1" width="44.453125" style="37" bestFit="1" customWidth="1"/>
    <col min="2" max="2" width="0.81640625" customWidth="1"/>
    <col min="3" max="12" width="9.1796875" style="37" hidden="1" customWidth="1" outlineLevel="1"/>
    <col min="13" max="22" width="9.54296875" style="37" hidden="1" customWidth="1" outlineLevel="1"/>
    <col min="23" max="23" width="9.54296875" style="37" bestFit="1" customWidth="1" collapsed="1"/>
    <col min="24" max="32" width="9.54296875" style="37" bestFit="1" customWidth="1"/>
    <col min="33" max="16384" width="9.1796875" style="37"/>
  </cols>
  <sheetData>
    <row r="6" spans="1:32">
      <c r="W6" s="630"/>
      <c r="X6" s="630"/>
      <c r="Y6" s="630"/>
      <c r="Z6" s="630"/>
      <c r="AA6" s="630"/>
      <c r="AB6" s="630"/>
      <c r="AC6" s="630"/>
      <c r="AD6" s="630"/>
      <c r="AE6" s="630"/>
      <c r="AF6" s="630"/>
    </row>
    <row r="7" spans="1:32">
      <c r="A7" s="41" t="s">
        <v>629</v>
      </c>
      <c r="B7" s="133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</row>
    <row r="8" spans="1:32" ht="15" thickBot="1">
      <c r="A8" s="544" t="s">
        <v>585</v>
      </c>
      <c r="B8" s="134"/>
      <c r="C8" s="545" t="s">
        <v>25</v>
      </c>
      <c r="D8" s="545" t="s">
        <v>26</v>
      </c>
      <c r="E8" s="545" t="s">
        <v>27</v>
      </c>
      <c r="F8" s="545" t="s">
        <v>28</v>
      </c>
      <c r="G8" s="545" t="s">
        <v>29</v>
      </c>
      <c r="H8" s="545" t="s">
        <v>30</v>
      </c>
      <c r="I8" s="545" t="s">
        <v>31</v>
      </c>
      <c r="J8" s="545" t="s">
        <v>32</v>
      </c>
      <c r="K8" s="545" t="s">
        <v>33</v>
      </c>
      <c r="L8" s="545" t="s">
        <v>34</v>
      </c>
      <c r="M8" s="545" t="s">
        <v>35</v>
      </c>
      <c r="N8" s="545" t="s">
        <v>36</v>
      </c>
      <c r="O8" s="545" t="s">
        <v>37</v>
      </c>
      <c r="P8" s="545" t="s">
        <v>38</v>
      </c>
      <c r="Q8" s="545" t="s">
        <v>39</v>
      </c>
      <c r="R8" s="545" t="s">
        <v>40</v>
      </c>
      <c r="S8" s="545" t="s">
        <v>41</v>
      </c>
      <c r="T8" s="545" t="s">
        <v>42</v>
      </c>
      <c r="U8" s="545" t="s">
        <v>43</v>
      </c>
      <c r="V8" s="545" t="s">
        <v>44</v>
      </c>
      <c r="W8" s="545" t="s">
        <v>45</v>
      </c>
      <c r="X8" s="545" t="s">
        <v>46</v>
      </c>
      <c r="Y8" s="545" t="s">
        <v>47</v>
      </c>
      <c r="Z8" s="545" t="s">
        <v>48</v>
      </c>
      <c r="AA8" s="545" t="s">
        <v>49</v>
      </c>
      <c r="AB8" s="545" t="s">
        <v>50</v>
      </c>
      <c r="AC8" s="549" t="s">
        <v>51</v>
      </c>
      <c r="AD8" s="549" t="s">
        <v>52</v>
      </c>
      <c r="AE8" s="549" t="s">
        <v>53</v>
      </c>
      <c r="AF8" s="549" t="s">
        <v>54</v>
      </c>
    </row>
    <row r="9" spans="1:32" ht="15" thickBot="1">
      <c r="A9" s="140" t="s">
        <v>465</v>
      </c>
      <c r="B9" s="134"/>
      <c r="C9" s="141">
        <f t="shared" ref="C9:X9" si="0">SUM(C10:C17)</f>
        <v>0</v>
      </c>
      <c r="D9" s="141">
        <f t="shared" si="0"/>
        <v>0</v>
      </c>
      <c r="E9" s="141">
        <f t="shared" si="0"/>
        <v>9923</v>
      </c>
      <c r="F9" s="141">
        <f t="shared" si="0"/>
        <v>142995</v>
      </c>
      <c r="G9" s="141">
        <f t="shared" si="0"/>
        <v>143495</v>
      </c>
      <c r="H9" s="141">
        <f t="shared" si="0"/>
        <v>103366</v>
      </c>
      <c r="I9" s="141">
        <f t="shared" si="0"/>
        <v>134755</v>
      </c>
      <c r="J9" s="141">
        <f t="shared" si="0"/>
        <v>513686</v>
      </c>
      <c r="K9" s="141">
        <f t="shared" si="0"/>
        <v>675627</v>
      </c>
      <c r="L9" s="141">
        <f t="shared" si="0"/>
        <v>1163460</v>
      </c>
      <c r="M9" s="141">
        <f t="shared" si="0"/>
        <v>1485647</v>
      </c>
      <c r="N9" s="141">
        <f t="shared" si="0"/>
        <v>1945431</v>
      </c>
      <c r="O9" s="141">
        <f t="shared" si="0"/>
        <v>1072192.9340600001</v>
      </c>
      <c r="P9" s="141">
        <f t="shared" si="0"/>
        <v>591704</v>
      </c>
      <c r="Q9" s="141">
        <f t="shared" si="0"/>
        <v>647919</v>
      </c>
      <c r="R9" s="141">
        <f t="shared" si="0"/>
        <v>735974.16735</v>
      </c>
      <c r="S9" s="141">
        <f t="shared" si="0"/>
        <v>328144.53672999993</v>
      </c>
      <c r="T9" s="141">
        <f t="shared" si="0"/>
        <v>383858.12818999996</v>
      </c>
      <c r="U9" s="141">
        <f t="shared" si="0"/>
        <v>350164.34206</v>
      </c>
      <c r="V9" s="141">
        <f t="shared" si="0"/>
        <v>425636</v>
      </c>
      <c r="W9" s="141">
        <f t="shared" si="0"/>
        <v>476236</v>
      </c>
      <c r="X9" s="141">
        <f t="shared" si="0"/>
        <v>361348</v>
      </c>
      <c r="Y9" s="141">
        <f t="shared" ref="Y9:AF9" si="1">SUM(Y10:Y17)</f>
        <v>303730</v>
      </c>
      <c r="Z9" s="141">
        <f t="shared" si="1"/>
        <v>353917.05000000005</v>
      </c>
      <c r="AA9" s="141">
        <f t="shared" si="1"/>
        <v>356144.68083000003</v>
      </c>
      <c r="AB9" s="141">
        <f t="shared" si="1"/>
        <v>375851.89542999998</v>
      </c>
      <c r="AC9" s="141">
        <f t="shared" si="1"/>
        <v>435889.69406249997</v>
      </c>
      <c r="AD9" s="141">
        <f t="shared" si="1"/>
        <v>438202.35199999996</v>
      </c>
      <c r="AE9" s="141">
        <f t="shared" si="1"/>
        <v>383880.90299999999</v>
      </c>
      <c r="AF9" s="141">
        <f t="shared" si="1"/>
        <v>378767.99699999997</v>
      </c>
    </row>
    <row r="10" spans="1:32">
      <c r="A10" s="137" t="s">
        <v>616</v>
      </c>
      <c r="B10" s="134"/>
      <c r="C10" s="401"/>
      <c r="D10" s="401"/>
      <c r="E10" s="401"/>
      <c r="F10" s="401"/>
      <c r="G10" s="401"/>
      <c r="H10" s="401"/>
      <c r="I10" s="401"/>
      <c r="J10" s="401"/>
      <c r="K10" s="401"/>
      <c r="L10" s="401"/>
      <c r="M10" s="401"/>
      <c r="N10" s="401">
        <v>322</v>
      </c>
      <c r="O10" s="401">
        <v>0</v>
      </c>
      <c r="P10" s="401">
        <v>2260</v>
      </c>
      <c r="Q10" s="401">
        <v>389151</v>
      </c>
      <c r="R10" s="401">
        <v>-6195.9338599999901</v>
      </c>
      <c r="S10" s="401">
        <v>1.2445199999809264</v>
      </c>
      <c r="T10" s="401"/>
      <c r="U10" s="401"/>
      <c r="V10" s="401">
        <v>0</v>
      </c>
      <c r="W10" s="401"/>
      <c r="X10" s="401">
        <v>0</v>
      </c>
      <c r="Y10" s="401">
        <v>0</v>
      </c>
      <c r="Z10" s="401">
        <v>0</v>
      </c>
      <c r="AA10" s="401">
        <v>0</v>
      </c>
      <c r="AB10" s="401">
        <v>0</v>
      </c>
      <c r="AC10" s="401"/>
      <c r="AD10" s="401"/>
      <c r="AE10" s="401"/>
      <c r="AF10" s="401"/>
    </row>
    <row r="11" spans="1:32">
      <c r="A11" s="137" t="s">
        <v>617</v>
      </c>
      <c r="B11" s="134"/>
      <c r="C11" s="401"/>
      <c r="D11" s="401"/>
      <c r="E11" s="401"/>
      <c r="F11" s="401"/>
      <c r="G11" s="401"/>
      <c r="H11" s="401"/>
      <c r="I11" s="401"/>
      <c r="J11" s="401"/>
      <c r="K11" s="401"/>
      <c r="L11" s="401">
        <v>781</v>
      </c>
      <c r="M11" s="401">
        <v>6776</v>
      </c>
      <c r="N11" s="401">
        <v>-7557</v>
      </c>
      <c r="O11" s="401">
        <v>769.66656</v>
      </c>
      <c r="P11" s="401">
        <v>2003</v>
      </c>
      <c r="Q11" s="401">
        <v>4567</v>
      </c>
      <c r="R11" s="401">
        <v>3526.2989400000006</v>
      </c>
      <c r="S11" s="401">
        <v>2719.5368900000003</v>
      </c>
      <c r="T11" s="401">
        <v>5297.7349600000007</v>
      </c>
      <c r="U11" s="401">
        <v>4527.7281500000008</v>
      </c>
      <c r="V11" s="401">
        <v>6873</v>
      </c>
      <c r="W11" s="401">
        <v>15039</v>
      </c>
      <c r="X11" s="401">
        <v>28057</v>
      </c>
      <c r="Y11" s="401">
        <v>21229</v>
      </c>
      <c r="Z11" s="401">
        <v>29360</v>
      </c>
      <c r="AA11" s="401">
        <v>25689</v>
      </c>
      <c r="AB11" s="401">
        <v>24659.370999999999</v>
      </c>
      <c r="AC11" s="401">
        <v>47764.966</v>
      </c>
      <c r="AD11" s="401">
        <v>35514.927000000003</v>
      </c>
      <c r="AE11" s="401">
        <v>20219.705999999998</v>
      </c>
      <c r="AF11" s="401">
        <v>27495.419000000002</v>
      </c>
    </row>
    <row r="12" spans="1:32">
      <c r="A12" s="137" t="s">
        <v>470</v>
      </c>
      <c r="B12" s="134"/>
      <c r="C12" s="401"/>
      <c r="D12" s="401"/>
      <c r="E12" s="401">
        <v>9683</v>
      </c>
      <c r="F12" s="401">
        <v>141393</v>
      </c>
      <c r="G12" s="401">
        <v>133306</v>
      </c>
      <c r="H12" s="401">
        <v>91022</v>
      </c>
      <c r="I12" s="401">
        <v>118945</v>
      </c>
      <c r="J12" s="401">
        <v>503562</v>
      </c>
      <c r="K12" s="401">
        <v>643077</v>
      </c>
      <c r="L12" s="404">
        <v>1111691</v>
      </c>
      <c r="M12" s="401">
        <v>1398844</v>
      </c>
      <c r="N12" s="401">
        <v>1493035</v>
      </c>
      <c r="O12" s="401">
        <v>868792.4585999999</v>
      </c>
      <c r="P12" s="401">
        <v>352962</v>
      </c>
      <c r="Q12" s="401"/>
      <c r="R12" s="401">
        <v>710168.90979000006</v>
      </c>
      <c r="S12" s="401">
        <v>301785.47652999999</v>
      </c>
      <c r="T12" s="401">
        <v>76844.393229999987</v>
      </c>
      <c r="U12" s="401">
        <v>36023.130240000028</v>
      </c>
      <c r="V12" s="401">
        <v>104201</v>
      </c>
      <c r="W12" s="401">
        <v>107282</v>
      </c>
      <c r="X12" s="401">
        <v>0</v>
      </c>
      <c r="Y12" s="401">
        <v>0</v>
      </c>
      <c r="Z12" s="401">
        <v>0</v>
      </c>
      <c r="AA12" s="401">
        <v>1355.6684599999999</v>
      </c>
      <c r="AB12" s="401">
        <v>7231.7060000000001</v>
      </c>
      <c r="AC12" s="401">
        <v>61013.017999999996</v>
      </c>
      <c r="AD12" s="401">
        <v>28275.884999999998</v>
      </c>
      <c r="AE12" s="401">
        <v>6097.1580000000004</v>
      </c>
      <c r="AF12" s="401">
        <v>1430.386</v>
      </c>
    </row>
    <row r="13" spans="1:32">
      <c r="A13" s="137" t="s">
        <v>618</v>
      </c>
      <c r="B13" s="134"/>
      <c r="C13" s="401"/>
      <c r="D13" s="401"/>
      <c r="F13" s="401"/>
      <c r="L13" s="401"/>
      <c r="M13" s="401">
        <v>9259</v>
      </c>
      <c r="N13" s="401">
        <v>-9259</v>
      </c>
      <c r="O13" s="401">
        <v>0</v>
      </c>
      <c r="P13" s="401"/>
      <c r="Q13" s="401"/>
      <c r="R13" s="401">
        <v>81603.676259999993</v>
      </c>
      <c r="S13" s="401">
        <v>0</v>
      </c>
      <c r="T13" s="401"/>
      <c r="U13" s="401"/>
      <c r="V13" s="401">
        <v>0</v>
      </c>
      <c r="W13" s="401"/>
      <c r="X13" s="401">
        <v>0</v>
      </c>
      <c r="Y13" s="401">
        <v>0</v>
      </c>
      <c r="Z13" s="401">
        <v>0</v>
      </c>
      <c r="AA13" s="401">
        <v>0</v>
      </c>
      <c r="AB13" s="401">
        <v>0</v>
      </c>
      <c r="AC13" s="401"/>
      <c r="AD13" s="401"/>
      <c r="AE13" s="401"/>
      <c r="AF13" s="401"/>
    </row>
    <row r="14" spans="1:32">
      <c r="A14" s="137" t="s">
        <v>630</v>
      </c>
      <c r="B14" s="134"/>
      <c r="C14" s="401"/>
      <c r="D14" s="401"/>
      <c r="F14" s="401"/>
      <c r="L14" s="401"/>
      <c r="M14" s="401"/>
      <c r="N14" s="401"/>
      <c r="O14" s="401">
        <v>0</v>
      </c>
      <c r="P14" s="401">
        <v>83309</v>
      </c>
      <c r="Q14" s="401"/>
      <c r="R14" s="401"/>
      <c r="S14" s="401">
        <v>356145.04414999997</v>
      </c>
      <c r="T14" s="401">
        <v>206811</v>
      </c>
      <c r="U14" s="401"/>
      <c r="V14" s="401"/>
      <c r="W14" s="401">
        <v>339879</v>
      </c>
      <c r="X14" s="401">
        <v>312613</v>
      </c>
      <c r="Y14" s="401">
        <v>0</v>
      </c>
      <c r="Z14" s="401">
        <v>0</v>
      </c>
      <c r="AA14" s="401">
        <v>329100</v>
      </c>
      <c r="AB14" s="401">
        <v>343957.05643</v>
      </c>
      <c r="AC14" s="401">
        <v>327111.71006249997</v>
      </c>
      <c r="AD14" s="401">
        <v>374411.54</v>
      </c>
      <c r="AE14" s="401">
        <v>357564.03899999999</v>
      </c>
      <c r="AF14" s="401">
        <v>349842.19199999998</v>
      </c>
    </row>
    <row r="15" spans="1:32">
      <c r="A15" s="137" t="s">
        <v>480</v>
      </c>
      <c r="B15" s="134"/>
      <c r="C15" s="401"/>
      <c r="D15" s="401"/>
      <c r="F15" s="401"/>
      <c r="L15" s="401"/>
      <c r="M15" s="401"/>
      <c r="N15" s="401"/>
      <c r="O15" s="401">
        <v>216195.24131000001</v>
      </c>
      <c r="P15" s="401">
        <v>-40547</v>
      </c>
      <c r="Q15" s="401"/>
      <c r="R15" s="401">
        <v>-259290.27708000003</v>
      </c>
      <c r="S15" s="401">
        <v>-42930.616739999998</v>
      </c>
      <c r="T15" s="401">
        <v>86344</v>
      </c>
      <c r="U15" s="401"/>
      <c r="V15" s="401">
        <v>-875530</v>
      </c>
      <c r="W15" s="401"/>
      <c r="X15" s="401">
        <v>0</v>
      </c>
      <c r="Y15" s="401">
        <v>313670</v>
      </c>
      <c r="Z15" s="401">
        <v>-966162</v>
      </c>
      <c r="AA15" s="401">
        <v>0</v>
      </c>
      <c r="AB15" s="401">
        <v>0</v>
      </c>
      <c r="AC15" s="401"/>
      <c r="AD15" s="401"/>
      <c r="AE15" s="401"/>
      <c r="AF15" s="401"/>
    </row>
    <row r="16" spans="1:32">
      <c r="A16" s="137" t="s">
        <v>631</v>
      </c>
      <c r="B16" s="134"/>
      <c r="C16" s="401"/>
      <c r="D16" s="401"/>
      <c r="F16" s="401"/>
      <c r="L16" s="401"/>
      <c r="M16" s="401"/>
      <c r="N16" s="401"/>
      <c r="O16" s="401">
        <v>-14707.235680000002</v>
      </c>
      <c r="P16" s="401">
        <v>191436</v>
      </c>
      <c r="Q16" s="401">
        <v>250970</v>
      </c>
      <c r="R16" s="401">
        <v>195356.12375999999</v>
      </c>
      <c r="S16" s="401">
        <v>-296179.96953</v>
      </c>
      <c r="T16" s="401"/>
      <c r="U16" s="401">
        <v>298132.48366999999</v>
      </c>
      <c r="V16" s="401">
        <v>1175307</v>
      </c>
      <c r="W16" s="401"/>
      <c r="X16" s="401">
        <v>0</v>
      </c>
      <c r="Y16" s="401">
        <v>0</v>
      </c>
      <c r="Z16" s="401">
        <v>1290592.05</v>
      </c>
      <c r="AA16" s="401">
        <v>0</v>
      </c>
      <c r="AB16" s="401">
        <v>0</v>
      </c>
      <c r="AC16" s="401"/>
      <c r="AD16" s="401"/>
      <c r="AE16" s="401"/>
      <c r="AF16" s="401"/>
    </row>
    <row r="17" spans="1:32" ht="15" thickBot="1">
      <c r="A17" s="137" t="s">
        <v>474</v>
      </c>
      <c r="B17" s="134"/>
      <c r="C17" s="401"/>
      <c r="D17" s="401"/>
      <c r="E17" s="401">
        <v>240</v>
      </c>
      <c r="F17" s="401">
        <v>1602</v>
      </c>
      <c r="G17" s="401">
        <v>10189</v>
      </c>
      <c r="H17" s="401">
        <v>12344</v>
      </c>
      <c r="I17" s="401">
        <v>15810</v>
      </c>
      <c r="J17" s="401">
        <v>10124</v>
      </c>
      <c r="K17" s="401">
        <v>32550</v>
      </c>
      <c r="L17" s="401">
        <v>50988</v>
      </c>
      <c r="M17" s="401">
        <v>70768</v>
      </c>
      <c r="N17" s="401">
        <v>468890</v>
      </c>
      <c r="O17" s="401">
        <v>1142.8032700000001</v>
      </c>
      <c r="P17" s="401">
        <v>281</v>
      </c>
      <c r="Q17" s="401">
        <v>3231</v>
      </c>
      <c r="R17" s="401">
        <v>10805.369540000002</v>
      </c>
      <c r="S17" s="401">
        <v>6603.8209100000004</v>
      </c>
      <c r="T17" s="401">
        <v>8561</v>
      </c>
      <c r="U17" s="401">
        <v>11481</v>
      </c>
      <c r="V17" s="401">
        <v>14785</v>
      </c>
      <c r="W17" s="401">
        <v>14036</v>
      </c>
      <c r="X17" s="401">
        <v>20678</v>
      </c>
      <c r="Y17" s="401">
        <v>-31169</v>
      </c>
      <c r="Z17" s="401">
        <v>127</v>
      </c>
      <c r="AA17" s="401">
        <v>1.2370000007649651E-2</v>
      </c>
      <c r="AB17" s="401">
        <v>3.762</v>
      </c>
      <c r="AC17" s="401"/>
      <c r="AD17" s="401">
        <v>0</v>
      </c>
      <c r="AE17" s="401"/>
      <c r="AF17" s="401"/>
    </row>
    <row r="18" spans="1:32" ht="15" thickBot="1">
      <c r="A18" s="140" t="s">
        <v>587</v>
      </c>
      <c r="B18" s="134"/>
      <c r="C18" s="141"/>
      <c r="D18" s="141"/>
      <c r="E18" s="141"/>
      <c r="F18" s="141">
        <v>-13975</v>
      </c>
      <c r="G18" s="141">
        <v>-12266</v>
      </c>
      <c r="H18" s="141">
        <v>-8484</v>
      </c>
      <c r="I18" s="141">
        <v>-11002</v>
      </c>
      <c r="J18" s="141">
        <v>-51094</v>
      </c>
      <c r="K18" s="141">
        <v>-62184</v>
      </c>
      <c r="L18" s="141">
        <v>-107873</v>
      </c>
      <c r="M18" s="141">
        <v>-137071</v>
      </c>
      <c r="N18" s="141">
        <v>-179898</v>
      </c>
      <c r="O18" s="141">
        <v>-100499.34121</v>
      </c>
      <c r="P18" s="141">
        <v>-58385</v>
      </c>
      <c r="Q18" s="141">
        <v>-66037</v>
      </c>
      <c r="R18" s="141">
        <v>-75977.113219999999</v>
      </c>
      <c r="S18" s="141">
        <v>-44384.487800000003</v>
      </c>
      <c r="T18" s="141">
        <v>-24653</v>
      </c>
      <c r="U18" s="141">
        <v>-21391</v>
      </c>
      <c r="V18" s="141">
        <v>-31441</v>
      </c>
      <c r="W18" s="141">
        <v>-31645</v>
      </c>
      <c r="X18" s="141">
        <v>-19758</v>
      </c>
      <c r="Y18" s="141">
        <v>-19615</v>
      </c>
      <c r="Z18" s="141">
        <v>-21984.294999999984</v>
      </c>
      <c r="AA18" s="141">
        <v>-20527</v>
      </c>
      <c r="AB18" s="141">
        <v>-21143.014429999996</v>
      </c>
      <c r="AC18" s="141">
        <v>-25613.230062499999</v>
      </c>
      <c r="AD18" s="141">
        <v>-70806.016000000003</v>
      </c>
      <c r="AE18" s="141">
        <v>-35028.089000000007</v>
      </c>
      <c r="AF18" s="141">
        <v>-35776.637999999992</v>
      </c>
    </row>
    <row r="19" spans="1:32" ht="15" thickBot="1">
      <c r="A19" s="140" t="s">
        <v>491</v>
      </c>
      <c r="B19" s="142"/>
      <c r="C19" s="402">
        <f t="shared" ref="C19:X19" si="2">C9+C18</f>
        <v>0</v>
      </c>
      <c r="D19" s="402">
        <f t="shared" si="2"/>
        <v>0</v>
      </c>
      <c r="E19" s="402">
        <f t="shared" si="2"/>
        <v>9923</v>
      </c>
      <c r="F19" s="402">
        <f t="shared" si="2"/>
        <v>129020</v>
      </c>
      <c r="G19" s="402">
        <f t="shared" si="2"/>
        <v>131229</v>
      </c>
      <c r="H19" s="402">
        <f t="shared" si="2"/>
        <v>94882</v>
      </c>
      <c r="I19" s="402">
        <f t="shared" si="2"/>
        <v>123753</v>
      </c>
      <c r="J19" s="402">
        <f t="shared" si="2"/>
        <v>462592</v>
      </c>
      <c r="K19" s="402">
        <f t="shared" si="2"/>
        <v>613443</v>
      </c>
      <c r="L19" s="402">
        <f t="shared" si="2"/>
        <v>1055587</v>
      </c>
      <c r="M19" s="402">
        <f t="shared" si="2"/>
        <v>1348576</v>
      </c>
      <c r="N19" s="402">
        <f t="shared" si="2"/>
        <v>1765533</v>
      </c>
      <c r="O19" s="402">
        <f t="shared" si="2"/>
        <v>971693.59285000013</v>
      </c>
      <c r="P19" s="402">
        <f t="shared" si="2"/>
        <v>533319</v>
      </c>
      <c r="Q19" s="402">
        <f t="shared" si="2"/>
        <v>581882</v>
      </c>
      <c r="R19" s="402">
        <f t="shared" si="2"/>
        <v>659997.05413000006</v>
      </c>
      <c r="S19" s="402">
        <f t="shared" si="2"/>
        <v>283760.04892999993</v>
      </c>
      <c r="T19" s="402">
        <f t="shared" si="2"/>
        <v>359205.12818999996</v>
      </c>
      <c r="U19" s="402">
        <f t="shared" si="2"/>
        <v>328773.34206</v>
      </c>
      <c r="V19" s="402">
        <f t="shared" si="2"/>
        <v>394195</v>
      </c>
      <c r="W19" s="402">
        <f t="shared" si="2"/>
        <v>444591</v>
      </c>
      <c r="X19" s="402">
        <f t="shared" si="2"/>
        <v>341590</v>
      </c>
      <c r="Y19" s="402">
        <f t="shared" ref="Y19:AF19" si="3">Y9+Y18</f>
        <v>284115</v>
      </c>
      <c r="Z19" s="402">
        <f t="shared" si="3"/>
        <v>331932.75500000006</v>
      </c>
      <c r="AA19" s="402">
        <f t="shared" si="3"/>
        <v>335617.68083000003</v>
      </c>
      <c r="AB19" s="402">
        <f t="shared" si="3"/>
        <v>354708.88099999999</v>
      </c>
      <c r="AC19" s="402">
        <f t="shared" si="3"/>
        <v>410276.46399999998</v>
      </c>
      <c r="AD19" s="402">
        <f t="shared" si="3"/>
        <v>367396.33599999995</v>
      </c>
      <c r="AE19" s="402">
        <f t="shared" si="3"/>
        <v>348852.81400000001</v>
      </c>
      <c r="AF19" s="402">
        <f t="shared" si="3"/>
        <v>342991.359</v>
      </c>
    </row>
    <row r="20" spans="1:32" ht="15" thickBot="1">
      <c r="A20" s="140" t="s">
        <v>622</v>
      </c>
      <c r="B20" s="142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>
        <v>-23005</v>
      </c>
      <c r="Y20" s="141">
        <v>38367</v>
      </c>
      <c r="Z20" s="141">
        <v>0.24500000000261934</v>
      </c>
      <c r="AA20" s="141"/>
      <c r="AB20" s="141"/>
      <c r="AC20" s="141"/>
      <c r="AD20" s="141"/>
      <c r="AE20" s="141"/>
      <c r="AF20" s="141"/>
    </row>
    <row r="21" spans="1:32" ht="15" thickBot="1">
      <c r="A21" s="140" t="s">
        <v>594</v>
      </c>
      <c r="B21" s="142"/>
      <c r="C21" s="141">
        <f t="shared" ref="C21:X21" si="4">SUM(C22:C27)</f>
        <v>0</v>
      </c>
      <c r="D21" s="141">
        <f t="shared" si="4"/>
        <v>-848</v>
      </c>
      <c r="E21" s="141">
        <f t="shared" si="4"/>
        <v>-6384</v>
      </c>
      <c r="F21" s="141">
        <f t="shared" si="4"/>
        <v>-129341</v>
      </c>
      <c r="G21" s="141">
        <f t="shared" si="4"/>
        <v>-123123</v>
      </c>
      <c r="H21" s="141">
        <f t="shared" si="4"/>
        <v>-87847</v>
      </c>
      <c r="I21" s="141">
        <f t="shared" si="4"/>
        <v>-111319</v>
      </c>
      <c r="J21" s="141">
        <f t="shared" si="4"/>
        <v>-301884</v>
      </c>
      <c r="K21" s="141">
        <f t="shared" si="4"/>
        <v>-463403</v>
      </c>
      <c r="L21" s="141">
        <f t="shared" si="4"/>
        <v>-794740</v>
      </c>
      <c r="M21" s="141">
        <f t="shared" si="4"/>
        <v>-1007353.6674499999</v>
      </c>
      <c r="N21" s="141">
        <f t="shared" si="4"/>
        <v>-1786</v>
      </c>
      <c r="O21" s="141">
        <f t="shared" si="4"/>
        <v>-469599.37370999996</v>
      </c>
      <c r="P21" s="141">
        <f t="shared" si="4"/>
        <v>-222768</v>
      </c>
      <c r="Q21" s="141">
        <f t="shared" si="4"/>
        <v>-242747</v>
      </c>
      <c r="R21" s="141">
        <f t="shared" si="4"/>
        <v>-296907.93952000007</v>
      </c>
      <c r="S21" s="141">
        <f t="shared" si="4"/>
        <v>-184072.10290999999</v>
      </c>
      <c r="T21" s="141">
        <f t="shared" si="4"/>
        <v>-121090.51560000003</v>
      </c>
      <c r="U21" s="141">
        <f t="shared" si="4"/>
        <v>-38528.740069999993</v>
      </c>
      <c r="V21" s="141">
        <f t="shared" si="4"/>
        <v>-57314</v>
      </c>
      <c r="W21" s="141">
        <f t="shared" si="4"/>
        <v>-19960</v>
      </c>
      <c r="X21" s="141">
        <f t="shared" si="4"/>
        <v>-24389</v>
      </c>
      <c r="Y21" s="141">
        <f t="shared" ref="Y21:AF21" si="5">SUM(Y22:Y27)</f>
        <v>-21346</v>
      </c>
      <c r="Z21" s="141">
        <f t="shared" si="5"/>
        <v>-32601</v>
      </c>
      <c r="AA21" s="141">
        <f t="shared" si="5"/>
        <v>-25240.279230000004</v>
      </c>
      <c r="AB21" s="141">
        <f t="shared" si="5"/>
        <v>-32769.998889999995</v>
      </c>
      <c r="AC21" s="141">
        <f t="shared" si="5"/>
        <v>-79745.358749999999</v>
      </c>
      <c r="AD21" s="141">
        <f t="shared" si="5"/>
        <v>-46714.909820000001</v>
      </c>
      <c r="AE21" s="141">
        <f t="shared" si="5"/>
        <v>-26262.102739999998</v>
      </c>
      <c r="AF21" s="141">
        <f t="shared" si="5"/>
        <v>-19554.130229999999</v>
      </c>
    </row>
    <row r="22" spans="1:32">
      <c r="A22" s="137" t="s">
        <v>595</v>
      </c>
      <c r="B22" s="142"/>
      <c r="C22" s="401"/>
      <c r="D22" s="401"/>
      <c r="E22" s="401">
        <v>-196</v>
      </c>
      <c r="F22" s="401">
        <v>-141</v>
      </c>
      <c r="G22" s="401"/>
      <c r="H22" s="401">
        <v>-3312</v>
      </c>
      <c r="I22" s="401">
        <v>-2127</v>
      </c>
      <c r="J22" s="401">
        <v>8774</v>
      </c>
      <c r="K22" s="401"/>
      <c r="L22" s="401"/>
      <c r="M22" s="401"/>
      <c r="N22" s="401">
        <v>-974</v>
      </c>
      <c r="O22" s="401">
        <v>-733.0973999999992</v>
      </c>
      <c r="P22" s="401">
        <v>-2726</v>
      </c>
      <c r="Q22" s="401">
        <v>-1944</v>
      </c>
      <c r="R22" s="401">
        <v>-9582.803729999996</v>
      </c>
      <c r="S22" s="401">
        <v>-4397.0078900000008</v>
      </c>
      <c r="T22" s="401">
        <v>-3063.386469999999</v>
      </c>
      <c r="U22" s="401">
        <v>-9955.6056400000052</v>
      </c>
      <c r="V22" s="401">
        <v>-8386</v>
      </c>
      <c r="W22" s="401">
        <v>-8423</v>
      </c>
      <c r="X22" s="401">
        <v>-8576</v>
      </c>
      <c r="Y22" s="401">
        <v>-8889</v>
      </c>
      <c r="Z22" s="401">
        <v>-10527</v>
      </c>
      <c r="AA22" s="401">
        <v>-10633.622150000003</v>
      </c>
      <c r="AB22" s="401">
        <v>-8919.996149999999</v>
      </c>
      <c r="AC22" s="401">
        <v>-11058.333720000001</v>
      </c>
      <c r="AD22" s="401">
        <v>-7381.2777700000006</v>
      </c>
      <c r="AE22" s="401">
        <v>-8952.3142499999994</v>
      </c>
      <c r="AF22" s="401">
        <v>-8747.5060300000005</v>
      </c>
    </row>
    <row r="23" spans="1:32">
      <c r="A23" s="137" t="s">
        <v>596</v>
      </c>
      <c r="B23" s="142"/>
      <c r="C23" s="401"/>
      <c r="D23" s="401">
        <v>-4</v>
      </c>
      <c r="E23" s="401">
        <v>15</v>
      </c>
      <c r="F23" s="401">
        <v>-90</v>
      </c>
      <c r="G23" s="401"/>
      <c r="H23" s="401">
        <v>-16</v>
      </c>
      <c r="I23" s="401">
        <v>-31</v>
      </c>
      <c r="J23" s="401">
        <v>31</v>
      </c>
      <c r="K23" s="401"/>
      <c r="L23" s="401">
        <v>-2</v>
      </c>
      <c r="M23" s="401">
        <v>-3</v>
      </c>
      <c r="N23" s="401">
        <v>-116</v>
      </c>
      <c r="O23" s="401">
        <v>-121.26676999999999</v>
      </c>
      <c r="P23" s="401">
        <v>-72</v>
      </c>
      <c r="Q23" s="401">
        <v>-188</v>
      </c>
      <c r="R23" s="401">
        <v>-125.69810000000007</v>
      </c>
      <c r="S23" s="401">
        <v>-63.872559999999993</v>
      </c>
      <c r="T23" s="401">
        <v>-268.23597999999998</v>
      </c>
      <c r="U23" s="401">
        <v>-383.89146000000005</v>
      </c>
      <c r="V23" s="401">
        <v>-633</v>
      </c>
      <c r="W23" s="401">
        <v>-304</v>
      </c>
      <c r="X23" s="401">
        <v>-682</v>
      </c>
      <c r="Y23" s="401">
        <v>-289</v>
      </c>
      <c r="Z23" s="401">
        <v>-993</v>
      </c>
      <c r="AA23" s="401">
        <v>-987.9697799999999</v>
      </c>
      <c r="AB23" s="401">
        <v>-640.00072999999998</v>
      </c>
      <c r="AC23" s="401">
        <v>-333.70517000000001</v>
      </c>
      <c r="AD23" s="401">
        <v>-363.75536</v>
      </c>
      <c r="AE23" s="401">
        <v>-342.22136</v>
      </c>
      <c r="AF23" s="401">
        <v>-56.883099999999999</v>
      </c>
    </row>
    <row r="24" spans="1:32">
      <c r="A24" s="137" t="s">
        <v>597</v>
      </c>
      <c r="B24" s="357"/>
      <c r="C24" s="401"/>
      <c r="D24" s="401">
        <v>-49</v>
      </c>
      <c r="E24" s="401">
        <v>3221</v>
      </c>
      <c r="F24" s="401">
        <v>-1320</v>
      </c>
      <c r="G24" s="401">
        <v>73</v>
      </c>
      <c r="H24" s="401">
        <v>-637</v>
      </c>
      <c r="I24" s="401">
        <v>-1095</v>
      </c>
      <c r="J24" s="401">
        <v>1793</v>
      </c>
      <c r="K24" s="401">
        <v>-15</v>
      </c>
      <c r="L24" s="401"/>
      <c r="M24" s="401">
        <v>-522</v>
      </c>
      <c r="N24" s="401">
        <v>-489</v>
      </c>
      <c r="O24" s="401">
        <v>-728.69161000000031</v>
      </c>
      <c r="P24" s="401">
        <v>-1661</v>
      </c>
      <c r="Q24" s="401">
        <v>-1956</v>
      </c>
      <c r="R24" s="401">
        <v>-3707.5206999999969</v>
      </c>
      <c r="S24" s="401">
        <v>-2245.3326499999998</v>
      </c>
      <c r="T24" s="401">
        <v>-5449.4639600000237</v>
      </c>
      <c r="U24" s="401">
        <v>-5982.6793899999993</v>
      </c>
      <c r="V24" s="401">
        <v>-6924</v>
      </c>
      <c r="W24" s="401">
        <v>-4494</v>
      </c>
      <c r="X24" s="401">
        <v>-14998</v>
      </c>
      <c r="Y24" s="401">
        <v>-12820</v>
      </c>
      <c r="Z24" s="401">
        <v>1969</v>
      </c>
      <c r="AA24" s="401">
        <v>-7934.9851900000003</v>
      </c>
      <c r="AB24" s="401">
        <v>-7265.9658600000012</v>
      </c>
      <c r="AC24" s="401">
        <v>-12911.68468</v>
      </c>
      <c r="AD24" s="401">
        <v>-8392.5364200000004</v>
      </c>
      <c r="AE24" s="401">
        <v>-7470.924</v>
      </c>
      <c r="AF24" s="401">
        <v>-9002.8876199999995</v>
      </c>
    </row>
    <row r="25" spans="1:32">
      <c r="A25" s="137" t="s">
        <v>623</v>
      </c>
      <c r="B25" s="142"/>
      <c r="C25" s="401"/>
      <c r="D25" s="401">
        <v>-795</v>
      </c>
      <c r="E25" s="401">
        <v>-9683</v>
      </c>
      <c r="F25" s="401">
        <v>-127418</v>
      </c>
      <c r="G25" s="401">
        <f>-123392+196</f>
        <v>-123196</v>
      </c>
      <c r="H25" s="401">
        <v>-83853</v>
      </c>
      <c r="I25" s="401">
        <v>-107942</v>
      </c>
      <c r="J25" s="401">
        <v>-312637</v>
      </c>
      <c r="K25" s="401">
        <v>-463388</v>
      </c>
      <c r="L25" s="401">
        <v>-794738</v>
      </c>
      <c r="M25" s="401">
        <v>-1006829</v>
      </c>
      <c r="N25" s="401"/>
      <c r="O25" s="401">
        <v>-467993.25327999995</v>
      </c>
      <c r="P25" s="401">
        <v>-217765</v>
      </c>
      <c r="Q25" s="401">
        <v>-238324</v>
      </c>
      <c r="R25" s="401">
        <v>-282985.10194000008</v>
      </c>
      <c r="S25" s="401">
        <v>-176947.00722999999</v>
      </c>
      <c r="T25" s="401">
        <v>-43179.429190000003</v>
      </c>
      <c r="U25" s="401">
        <v>-20728.563579999987</v>
      </c>
      <c r="V25" s="401">
        <v>-39956</v>
      </c>
      <c r="W25" s="401">
        <v>-5465</v>
      </c>
      <c r="X25" s="401">
        <v>0</v>
      </c>
      <c r="Y25" s="401">
        <v>1</v>
      </c>
      <c r="Z25" s="401">
        <v>-20965</v>
      </c>
      <c r="AA25" s="401">
        <v>-5201.31837</v>
      </c>
      <c r="AB25" s="401">
        <v>-15417.034</v>
      </c>
      <c r="AC25" s="401">
        <v>-53586.459000000003</v>
      </c>
      <c r="AD25" s="401">
        <v>-28223.607</v>
      </c>
      <c r="AE25" s="401">
        <v>-8248.8259999999991</v>
      </c>
      <c r="AF25" s="401">
        <v>-1707.9490000000001</v>
      </c>
    </row>
    <row r="26" spans="1:32">
      <c r="A26" s="137" t="s">
        <v>59</v>
      </c>
      <c r="B26" s="142"/>
      <c r="C26" s="401"/>
      <c r="D26" s="401"/>
      <c r="E26" s="401">
        <v>258</v>
      </c>
      <c r="F26" s="401">
        <v>-372</v>
      </c>
      <c r="G26" s="401"/>
      <c r="H26" s="401">
        <v>-29</v>
      </c>
      <c r="I26" s="401">
        <v>-119</v>
      </c>
      <c r="J26" s="401">
        <v>149</v>
      </c>
      <c r="K26" s="401"/>
      <c r="L26" s="401"/>
      <c r="M26" s="401">
        <v>0.3325500000026077</v>
      </c>
      <c r="N26" s="401">
        <v>-225</v>
      </c>
      <c r="O26" s="401">
        <v>-23.064649999999965</v>
      </c>
      <c r="P26" s="401">
        <v>-544</v>
      </c>
      <c r="Q26" s="401">
        <v>-335</v>
      </c>
      <c r="R26" s="401">
        <v>-506.81504999999981</v>
      </c>
      <c r="S26" s="401">
        <v>-418.8825799999999</v>
      </c>
      <c r="T26" s="401">
        <v>-414</v>
      </c>
      <c r="U26" s="401">
        <v>-1478</v>
      </c>
      <c r="V26" s="401">
        <v>-1415</v>
      </c>
      <c r="W26" s="401">
        <v>-1274</v>
      </c>
      <c r="X26" s="401">
        <v>-133</v>
      </c>
      <c r="Y26" s="401">
        <v>651</v>
      </c>
      <c r="Z26" s="401">
        <v>-2085</v>
      </c>
      <c r="AA26" s="401">
        <v>-482.38373999999993</v>
      </c>
      <c r="AB26" s="401">
        <v>-527.00215000000003</v>
      </c>
      <c r="AC26" s="401">
        <v>-1855.1761800000004</v>
      </c>
      <c r="AD26" s="401">
        <v>-2353.7332699999997</v>
      </c>
      <c r="AE26" s="401">
        <v>-1211.60213</v>
      </c>
      <c r="AF26" s="401">
        <v>-38.904480000000014</v>
      </c>
    </row>
    <row r="27" spans="1:32">
      <c r="A27" s="137" t="s">
        <v>598</v>
      </c>
      <c r="B27" s="142"/>
      <c r="C27" s="401"/>
      <c r="D27" s="401"/>
      <c r="E27" s="401">
        <v>1</v>
      </c>
      <c r="F27" s="401"/>
      <c r="G27" s="401"/>
      <c r="H27" s="401"/>
      <c r="I27" s="401">
        <v>-5</v>
      </c>
      <c r="J27" s="401">
        <v>6</v>
      </c>
      <c r="K27" s="401"/>
      <c r="L27" s="401"/>
      <c r="M27" s="401"/>
      <c r="N27" s="401">
        <v>18</v>
      </c>
      <c r="O27" s="401">
        <v>0</v>
      </c>
      <c r="P27" s="401"/>
      <c r="Q27" s="401"/>
      <c r="R27" s="401"/>
      <c r="S27" s="401"/>
      <c r="T27" s="401">
        <v>-68716</v>
      </c>
      <c r="U27" s="401"/>
      <c r="V27" s="401"/>
      <c r="W27" s="401"/>
      <c r="X27" s="401"/>
      <c r="Y27" s="401"/>
      <c r="Z27" s="401"/>
      <c r="AA27" s="401"/>
      <c r="AB27" s="401"/>
      <c r="AC27" s="401"/>
      <c r="AD27" s="401"/>
      <c r="AE27" s="401">
        <v>-36.215000000000003</v>
      </c>
      <c r="AF27" s="401">
        <v>0</v>
      </c>
    </row>
    <row r="28" spans="1:32">
      <c r="A28" s="551" t="s">
        <v>529</v>
      </c>
      <c r="B28" s="142"/>
      <c r="C28" s="550">
        <f t="shared" ref="C28:X28" si="6">SUM(C19:C21)</f>
        <v>0</v>
      </c>
      <c r="D28" s="550">
        <f t="shared" si="6"/>
        <v>-848</v>
      </c>
      <c r="E28" s="550">
        <f t="shared" si="6"/>
        <v>3539</v>
      </c>
      <c r="F28" s="550">
        <f t="shared" si="6"/>
        <v>-321</v>
      </c>
      <c r="G28" s="550">
        <f t="shared" si="6"/>
        <v>8106</v>
      </c>
      <c r="H28" s="550">
        <f t="shared" si="6"/>
        <v>7035</v>
      </c>
      <c r="I28" s="550">
        <f t="shared" si="6"/>
        <v>12434</v>
      </c>
      <c r="J28" s="550">
        <f t="shared" si="6"/>
        <v>160708</v>
      </c>
      <c r="K28" s="550">
        <f t="shared" si="6"/>
        <v>150040</v>
      </c>
      <c r="L28" s="550">
        <f t="shared" si="6"/>
        <v>260847</v>
      </c>
      <c r="M28" s="550">
        <f t="shared" si="6"/>
        <v>341222.33255000005</v>
      </c>
      <c r="N28" s="550">
        <f t="shared" si="6"/>
        <v>1763747</v>
      </c>
      <c r="O28" s="550">
        <f t="shared" si="6"/>
        <v>502094.21914000018</v>
      </c>
      <c r="P28" s="550">
        <f t="shared" si="6"/>
        <v>310551</v>
      </c>
      <c r="Q28" s="550">
        <f t="shared" si="6"/>
        <v>339135</v>
      </c>
      <c r="R28" s="550">
        <f t="shared" si="6"/>
        <v>363089.11460999999</v>
      </c>
      <c r="S28" s="550">
        <f t="shared" si="6"/>
        <v>99687.946019999945</v>
      </c>
      <c r="T28" s="550">
        <f t="shared" si="6"/>
        <v>238114.61258999992</v>
      </c>
      <c r="U28" s="550">
        <f t="shared" si="6"/>
        <v>290244.60199</v>
      </c>
      <c r="V28" s="550">
        <f t="shared" si="6"/>
        <v>336881</v>
      </c>
      <c r="W28" s="550">
        <f t="shared" si="6"/>
        <v>424631</v>
      </c>
      <c r="X28" s="550">
        <f t="shared" si="6"/>
        <v>294196</v>
      </c>
      <c r="Y28" s="550">
        <f t="shared" ref="Y28:AF28" si="7">SUM(Y19:Y21)</f>
        <v>301136</v>
      </c>
      <c r="Z28" s="550">
        <f t="shared" si="7"/>
        <v>299332.00000000006</v>
      </c>
      <c r="AA28" s="550">
        <f t="shared" si="7"/>
        <v>310377.40160000004</v>
      </c>
      <c r="AB28" s="550">
        <f t="shared" si="7"/>
        <v>321938.88211000001</v>
      </c>
      <c r="AC28" s="550">
        <f t="shared" si="7"/>
        <v>330531.10524999996</v>
      </c>
      <c r="AD28" s="550">
        <f t="shared" si="7"/>
        <v>320681.42617999995</v>
      </c>
      <c r="AE28" s="550">
        <f t="shared" si="7"/>
        <v>322590.71126000001</v>
      </c>
      <c r="AF28" s="550">
        <f t="shared" si="7"/>
        <v>323437.22876999999</v>
      </c>
    </row>
    <row r="29" spans="1:32" ht="15" thickBot="1">
      <c r="A29" s="137" t="s">
        <v>600</v>
      </c>
      <c r="B29" s="134"/>
      <c r="C29" s="401"/>
      <c r="D29" s="401"/>
      <c r="E29" s="401">
        <v>-27</v>
      </c>
      <c r="F29" s="401">
        <v>-61</v>
      </c>
      <c r="G29" s="401">
        <v>-196</v>
      </c>
      <c r="H29" s="401">
        <v>-78</v>
      </c>
      <c r="I29" s="401">
        <v>-63</v>
      </c>
      <c r="J29" s="401">
        <v>-65</v>
      </c>
      <c r="K29" s="401">
        <v>-108</v>
      </c>
      <c r="L29" s="401">
        <v>-79</v>
      </c>
      <c r="M29" s="401">
        <v>-6</v>
      </c>
      <c r="N29" s="401">
        <v>-122</v>
      </c>
      <c r="O29" s="401">
        <v>-147.72015000000002</v>
      </c>
      <c r="P29" s="401">
        <v>-29</v>
      </c>
      <c r="Q29" s="401">
        <v>-63</v>
      </c>
      <c r="R29" s="401">
        <v>-80.755400000000236</v>
      </c>
      <c r="S29" s="401">
        <v>-64.199159999999992</v>
      </c>
      <c r="T29" s="401">
        <v>-64</v>
      </c>
      <c r="U29" s="401">
        <v>-61</v>
      </c>
      <c r="V29" s="401">
        <v>-69</v>
      </c>
      <c r="W29" s="401">
        <v>-54</v>
      </c>
      <c r="X29" s="401">
        <v>-95515</v>
      </c>
      <c r="Y29" s="401">
        <v>-72192</v>
      </c>
      <c r="Z29" s="401">
        <v>-72713</v>
      </c>
      <c r="AA29" s="401">
        <v>-77590</v>
      </c>
      <c r="AB29" s="401">
        <v>-63267.995869999992</v>
      </c>
      <c r="AC29" s="401">
        <v>-71350.744539999985</v>
      </c>
      <c r="AD29" s="401">
        <v>-71335.972259999995</v>
      </c>
      <c r="AE29" s="401">
        <v>-71346.649359999981</v>
      </c>
      <c r="AF29" s="401">
        <v>-70739.606049999988</v>
      </c>
    </row>
    <row r="30" spans="1:32" ht="15" thickBot="1">
      <c r="A30" s="140" t="s">
        <v>601</v>
      </c>
      <c r="B30" s="134"/>
      <c r="C30" s="141">
        <f t="shared" ref="C30:X30" si="8">SUM(C28:C29)</f>
        <v>0</v>
      </c>
      <c r="D30" s="141">
        <f t="shared" si="8"/>
        <v>-848</v>
      </c>
      <c r="E30" s="141">
        <f t="shared" si="8"/>
        <v>3512</v>
      </c>
      <c r="F30" s="141">
        <f t="shared" si="8"/>
        <v>-382</v>
      </c>
      <c r="G30" s="141">
        <f t="shared" si="8"/>
        <v>7910</v>
      </c>
      <c r="H30" s="141">
        <f t="shared" si="8"/>
        <v>6957</v>
      </c>
      <c r="I30" s="141">
        <f t="shared" si="8"/>
        <v>12371</v>
      </c>
      <c r="J30" s="141">
        <f t="shared" si="8"/>
        <v>160643</v>
      </c>
      <c r="K30" s="141">
        <f t="shared" si="8"/>
        <v>149932</v>
      </c>
      <c r="L30" s="141">
        <f t="shared" si="8"/>
        <v>260768</v>
      </c>
      <c r="M30" s="141">
        <f t="shared" si="8"/>
        <v>341216.33255000005</v>
      </c>
      <c r="N30" s="141">
        <f t="shared" si="8"/>
        <v>1763625</v>
      </c>
      <c r="O30" s="141">
        <f t="shared" si="8"/>
        <v>501946.49899000017</v>
      </c>
      <c r="P30" s="141">
        <f t="shared" si="8"/>
        <v>310522</v>
      </c>
      <c r="Q30" s="141">
        <f t="shared" si="8"/>
        <v>339072</v>
      </c>
      <c r="R30" s="141">
        <f t="shared" si="8"/>
        <v>363008.35920999997</v>
      </c>
      <c r="S30" s="141">
        <f t="shared" si="8"/>
        <v>99623.746859999941</v>
      </c>
      <c r="T30" s="141">
        <f t="shared" si="8"/>
        <v>238050.61258999992</v>
      </c>
      <c r="U30" s="141">
        <f t="shared" si="8"/>
        <v>290183.60199</v>
      </c>
      <c r="V30" s="141">
        <f t="shared" si="8"/>
        <v>336812</v>
      </c>
      <c r="W30" s="141">
        <f t="shared" si="8"/>
        <v>424577</v>
      </c>
      <c r="X30" s="141">
        <f t="shared" si="8"/>
        <v>198681</v>
      </c>
      <c r="Y30" s="141">
        <f t="shared" ref="Y30:AD30" si="9">SUM(Y28:Y29)</f>
        <v>228944</v>
      </c>
      <c r="Z30" s="141">
        <f t="shared" si="9"/>
        <v>226619.00000000006</v>
      </c>
      <c r="AA30" s="141">
        <f t="shared" si="9"/>
        <v>232787.40160000004</v>
      </c>
      <c r="AB30" s="141">
        <f t="shared" si="9"/>
        <v>258670.88624000002</v>
      </c>
      <c r="AC30" s="141">
        <f t="shared" si="9"/>
        <v>259180.36070999998</v>
      </c>
      <c r="AD30" s="141">
        <f t="shared" si="9"/>
        <v>249345.45391999994</v>
      </c>
      <c r="AE30" s="141">
        <f t="shared" ref="AE30" si="10">SUM(AE28:AE29)</f>
        <v>251244.06190000003</v>
      </c>
      <c r="AF30" s="141">
        <f t="shared" ref="AF30" si="11">SUM(AF28:AF29)</f>
        <v>252697.62271999998</v>
      </c>
    </row>
    <row r="31" spans="1:32" ht="15" thickBot="1">
      <c r="A31" s="140" t="s">
        <v>531</v>
      </c>
      <c r="B31" s="134"/>
      <c r="C31" s="351">
        <f t="shared" ref="C31:AB31" si="12">SUM(C32:C33)</f>
        <v>0</v>
      </c>
      <c r="D31" s="351">
        <f t="shared" si="12"/>
        <v>-3</v>
      </c>
      <c r="E31" s="351">
        <f t="shared" si="12"/>
        <v>-113</v>
      </c>
      <c r="F31" s="351">
        <f t="shared" si="12"/>
        <v>-350</v>
      </c>
      <c r="G31" s="351">
        <f t="shared" si="12"/>
        <v>-1156</v>
      </c>
      <c r="H31" s="351">
        <f t="shared" si="12"/>
        <v>792</v>
      </c>
      <c r="I31" s="351">
        <f t="shared" si="12"/>
        <v>-3639</v>
      </c>
      <c r="J31" s="351">
        <f t="shared" si="12"/>
        <v>3547</v>
      </c>
      <c r="K31" s="351">
        <f t="shared" si="12"/>
        <v>-3055</v>
      </c>
      <c r="L31" s="351">
        <f t="shared" si="12"/>
        <v>-20164</v>
      </c>
      <c r="M31" s="351">
        <f t="shared" si="12"/>
        <v>-6258</v>
      </c>
      <c r="N31" s="351">
        <f t="shared" si="12"/>
        <v>-4950</v>
      </c>
      <c r="O31" s="351">
        <f t="shared" si="12"/>
        <v>-5963.7393900000034</v>
      </c>
      <c r="P31" s="351">
        <f t="shared" si="12"/>
        <v>46</v>
      </c>
      <c r="Q31" s="351">
        <f t="shared" si="12"/>
        <v>-23426</v>
      </c>
      <c r="R31" s="351">
        <f t="shared" si="12"/>
        <v>-37113.41047000001</v>
      </c>
      <c r="S31" s="351">
        <f t="shared" si="12"/>
        <v>-56394.864239999995</v>
      </c>
      <c r="T31" s="351">
        <f t="shared" si="12"/>
        <v>-142013.06457000005</v>
      </c>
      <c r="U31" s="351">
        <f t="shared" si="12"/>
        <v>-178027.07119000002</v>
      </c>
      <c r="V31" s="351">
        <f t="shared" si="12"/>
        <v>-237625</v>
      </c>
      <c r="W31" s="351">
        <f t="shared" si="12"/>
        <v>-173804</v>
      </c>
      <c r="X31" s="351">
        <f t="shared" si="12"/>
        <v>-228014</v>
      </c>
      <c r="Y31" s="351">
        <f t="shared" si="12"/>
        <v>-18966</v>
      </c>
      <c r="Z31" s="351">
        <f t="shared" si="12"/>
        <v>-69674</v>
      </c>
      <c r="AA31" s="351">
        <f t="shared" si="12"/>
        <v>-147309</v>
      </c>
      <c r="AB31" s="351">
        <f t="shared" si="12"/>
        <v>-123181.37678999998</v>
      </c>
      <c r="AC31" s="351">
        <f>SUM(AC32:AC33)</f>
        <v>-58521.628519999998</v>
      </c>
      <c r="AD31" s="351">
        <f>SUM(AD32:AD33)</f>
        <v>-78640.666829999987</v>
      </c>
      <c r="AE31" s="351">
        <f>SUM(AE32:AE33)</f>
        <v>-108986.72353</v>
      </c>
      <c r="AF31" s="351">
        <f>SUM(AF32:AF33)</f>
        <v>-79036.492570000002</v>
      </c>
    </row>
    <row r="32" spans="1:32">
      <c r="A32" s="137" t="s">
        <v>532</v>
      </c>
      <c r="B32" s="134"/>
      <c r="C32" s="401"/>
      <c r="D32" s="401">
        <v>0</v>
      </c>
      <c r="E32" s="401">
        <v>-87</v>
      </c>
      <c r="F32" s="401">
        <v>5</v>
      </c>
      <c r="G32" s="401">
        <v>13</v>
      </c>
      <c r="H32" s="401">
        <v>15</v>
      </c>
      <c r="I32" s="401">
        <v>34</v>
      </c>
      <c r="J32" s="401">
        <v>21</v>
      </c>
      <c r="K32" s="401">
        <v>18</v>
      </c>
      <c r="L32" s="401">
        <v>15</v>
      </c>
      <c r="M32" s="401">
        <v>-33</v>
      </c>
      <c r="N32" s="401">
        <f>230+18</f>
        <v>248</v>
      </c>
      <c r="O32" s="401">
        <v>16.870579999999375</v>
      </c>
      <c r="P32" s="401">
        <v>766</v>
      </c>
      <c r="Q32" s="401">
        <v>1189</v>
      </c>
      <c r="R32" s="401">
        <v>974.71113000000014</v>
      </c>
      <c r="S32" s="401">
        <v>383.84478000000007</v>
      </c>
      <c r="T32" s="401">
        <v>7051.9047699999974</v>
      </c>
      <c r="U32" s="401">
        <v>4984.2504500000005</v>
      </c>
      <c r="V32" s="401">
        <v>10141</v>
      </c>
      <c r="W32" s="401">
        <v>18270</v>
      </c>
      <c r="X32" s="401">
        <v>20988</v>
      </c>
      <c r="Y32" s="401">
        <v>28621</v>
      </c>
      <c r="Z32" s="401">
        <v>34472</v>
      </c>
      <c r="AA32" s="401">
        <v>24924</v>
      </c>
      <c r="AB32" s="401">
        <v>39383.539539999998</v>
      </c>
      <c r="AC32" s="401">
        <v>45371.846270000009</v>
      </c>
      <c r="AD32" s="401">
        <v>39688.903980000003</v>
      </c>
      <c r="AE32" s="401">
        <v>53329.364090000003</v>
      </c>
      <c r="AF32" s="401">
        <v>44896.017529999997</v>
      </c>
    </row>
    <row r="33" spans="1:32" ht="15" thickBot="1">
      <c r="A33" s="137" t="s">
        <v>541</v>
      </c>
      <c r="B33" s="134"/>
      <c r="C33" s="401"/>
      <c r="D33" s="401">
        <v>-3</v>
      </c>
      <c r="E33" s="401">
        <v>-26</v>
      </c>
      <c r="F33" s="401">
        <v>-355</v>
      </c>
      <c r="G33" s="401">
        <v>-1169</v>
      </c>
      <c r="H33" s="401">
        <v>777</v>
      </c>
      <c r="I33" s="401">
        <v>-3673</v>
      </c>
      <c r="J33" s="401">
        <v>3526</v>
      </c>
      <c r="K33" s="401">
        <v>-3073</v>
      </c>
      <c r="L33" s="401">
        <v>-20179</v>
      </c>
      <c r="M33" s="401">
        <v>-6225</v>
      </c>
      <c r="N33" s="401">
        <v>-5198</v>
      </c>
      <c r="O33" s="401">
        <v>-5980.6099700000032</v>
      </c>
      <c r="P33" s="401">
        <v>-720</v>
      </c>
      <c r="Q33" s="401">
        <v>-24615</v>
      </c>
      <c r="R33" s="401">
        <v>-38088.121600000013</v>
      </c>
      <c r="S33" s="401">
        <v>-56778.709019999995</v>
      </c>
      <c r="T33" s="401">
        <v>-149064.96934000004</v>
      </c>
      <c r="U33" s="401">
        <v>-183011.32164000001</v>
      </c>
      <c r="V33" s="401">
        <v>-247766</v>
      </c>
      <c r="W33" s="401">
        <v>-192074</v>
      </c>
      <c r="X33" s="401">
        <v>-249002</v>
      </c>
      <c r="Y33" s="401">
        <v>-47587</v>
      </c>
      <c r="Z33" s="401">
        <v>-104146</v>
      </c>
      <c r="AA33" s="401">
        <v>-172233</v>
      </c>
      <c r="AB33" s="401">
        <v>-162564.91632999998</v>
      </c>
      <c r="AC33" s="401">
        <v>-103893.47479000001</v>
      </c>
      <c r="AD33" s="401">
        <v>-118329.57080999999</v>
      </c>
      <c r="AE33" s="401">
        <v>-162316.08762000001</v>
      </c>
      <c r="AF33" s="401">
        <v>-123932.5101</v>
      </c>
    </row>
    <row r="34" spans="1:32" ht="15" thickBot="1">
      <c r="A34" s="140" t="s">
        <v>602</v>
      </c>
      <c r="B34" s="134"/>
      <c r="C34" s="141">
        <f t="shared" ref="C34:X34" si="13">SUM(C30:C31)</f>
        <v>0</v>
      </c>
      <c r="D34" s="141">
        <f t="shared" si="13"/>
        <v>-851</v>
      </c>
      <c r="E34" s="141">
        <f t="shared" si="13"/>
        <v>3399</v>
      </c>
      <c r="F34" s="141">
        <f t="shared" si="13"/>
        <v>-732</v>
      </c>
      <c r="G34" s="141">
        <f t="shared" si="13"/>
        <v>6754</v>
      </c>
      <c r="H34" s="141">
        <f t="shared" si="13"/>
        <v>7749</v>
      </c>
      <c r="I34" s="141">
        <f t="shared" si="13"/>
        <v>8732</v>
      </c>
      <c r="J34" s="141">
        <f t="shared" si="13"/>
        <v>164190</v>
      </c>
      <c r="K34" s="141">
        <f t="shared" si="13"/>
        <v>146877</v>
      </c>
      <c r="L34" s="141">
        <f t="shared" si="13"/>
        <v>240604</v>
      </c>
      <c r="M34" s="141">
        <f t="shared" si="13"/>
        <v>334958.33255000005</v>
      </c>
      <c r="N34" s="141">
        <f t="shared" si="13"/>
        <v>1758675</v>
      </c>
      <c r="O34" s="141">
        <f t="shared" si="13"/>
        <v>495982.75960000016</v>
      </c>
      <c r="P34" s="141">
        <f t="shared" si="13"/>
        <v>310568</v>
      </c>
      <c r="Q34" s="141">
        <f t="shared" si="13"/>
        <v>315646</v>
      </c>
      <c r="R34" s="141">
        <f t="shared" si="13"/>
        <v>325894.94873999996</v>
      </c>
      <c r="S34" s="141">
        <f t="shared" si="13"/>
        <v>43228.882619999946</v>
      </c>
      <c r="T34" s="141">
        <f t="shared" si="13"/>
        <v>96037.548019999871</v>
      </c>
      <c r="U34" s="141">
        <f t="shared" si="13"/>
        <v>112156.53079999998</v>
      </c>
      <c r="V34" s="141">
        <f t="shared" si="13"/>
        <v>99187</v>
      </c>
      <c r="W34" s="141">
        <f t="shared" si="13"/>
        <v>250773</v>
      </c>
      <c r="X34" s="141">
        <f t="shared" si="13"/>
        <v>-29333</v>
      </c>
      <c r="Y34" s="141">
        <f t="shared" ref="Y34:AF34" si="14">SUM(Y30:Y31)</f>
        <v>209978</v>
      </c>
      <c r="Z34" s="141">
        <f t="shared" si="14"/>
        <v>156945.00000000006</v>
      </c>
      <c r="AA34" s="141">
        <f t="shared" si="14"/>
        <v>85478.401600000041</v>
      </c>
      <c r="AB34" s="141">
        <f t="shared" si="14"/>
        <v>135489.50945000004</v>
      </c>
      <c r="AC34" s="141">
        <f t="shared" si="14"/>
        <v>200658.73218999998</v>
      </c>
      <c r="AD34" s="141">
        <f t="shared" si="14"/>
        <v>170704.78708999994</v>
      </c>
      <c r="AE34" s="141">
        <f t="shared" si="14"/>
        <v>142257.33837000001</v>
      </c>
      <c r="AF34" s="141">
        <f t="shared" si="14"/>
        <v>173661.13014999998</v>
      </c>
    </row>
    <row r="35" spans="1:32">
      <c r="A35" s="137" t="s">
        <v>624</v>
      </c>
      <c r="B35" s="134"/>
      <c r="C35" s="401"/>
      <c r="D35" s="401"/>
      <c r="E35" s="401">
        <v>-11</v>
      </c>
      <c r="F35" s="401">
        <v>-8</v>
      </c>
      <c r="G35" s="401">
        <v>-59</v>
      </c>
      <c r="H35" s="401">
        <v>-41</v>
      </c>
      <c r="I35" s="401">
        <v>-10</v>
      </c>
      <c r="J35" s="401">
        <v>-346</v>
      </c>
      <c r="K35" s="401">
        <v>-670</v>
      </c>
      <c r="L35" s="401">
        <v>666</v>
      </c>
      <c r="M35" s="401">
        <v>11</v>
      </c>
      <c r="N35" s="401">
        <v>0</v>
      </c>
      <c r="O35" s="401">
        <v>0</v>
      </c>
      <c r="P35" s="401"/>
      <c r="Q35" s="401"/>
      <c r="R35" s="401">
        <v>-20939.99625</v>
      </c>
      <c r="S35" s="401">
        <v>-6638.5818300000001</v>
      </c>
      <c r="T35" s="401">
        <v>-10204</v>
      </c>
      <c r="U35" s="401"/>
      <c r="V35" s="401">
        <v>-12601</v>
      </c>
      <c r="W35" s="401">
        <v>-22667</v>
      </c>
      <c r="X35" s="401">
        <v>-7415</v>
      </c>
      <c r="Y35" s="401">
        <v>-66053</v>
      </c>
      <c r="Z35" s="401">
        <v>-52486</v>
      </c>
      <c r="AA35" s="401">
        <v>-37758.242189999997</v>
      </c>
      <c r="AB35" s="401">
        <v>-42603.154000000002</v>
      </c>
      <c r="AC35" s="401">
        <v>-66632.286999999997</v>
      </c>
      <c r="AD35" s="401">
        <v>-47285.012000000002</v>
      </c>
      <c r="AE35" s="401">
        <v>-38083.449999999997</v>
      </c>
      <c r="AF35" s="401">
        <v>-50315.962</v>
      </c>
    </row>
    <row r="36" spans="1:32">
      <c r="A36" s="137" t="s">
        <v>625</v>
      </c>
      <c r="B36" s="134"/>
      <c r="C36" s="401"/>
      <c r="D36" s="401"/>
      <c r="E36" s="401"/>
      <c r="F36" s="401">
        <v>-12</v>
      </c>
      <c r="G36" s="401">
        <v>-135</v>
      </c>
      <c r="H36" s="401">
        <v>-87</v>
      </c>
      <c r="I36" s="401">
        <v>19</v>
      </c>
      <c r="J36" s="401">
        <v>-908</v>
      </c>
      <c r="K36" s="401">
        <v>-1851</v>
      </c>
      <c r="L36" s="401">
        <v>1844</v>
      </c>
      <c r="M36" s="401">
        <v>0</v>
      </c>
      <c r="N36" s="401">
        <v>0</v>
      </c>
      <c r="O36" s="401">
        <v>0</v>
      </c>
      <c r="P36" s="401"/>
      <c r="Q36" s="401"/>
      <c r="R36" s="401">
        <v>6385.8210600000002</v>
      </c>
      <c r="S36" s="401">
        <v>1395.44866</v>
      </c>
      <c r="T36" s="401">
        <v>2957</v>
      </c>
      <c r="U36" s="401"/>
      <c r="V36" s="401">
        <v>7716</v>
      </c>
      <c r="W36" s="401">
        <v>16302</v>
      </c>
      <c r="X36" s="401">
        <v>7016</v>
      </c>
      <c r="Y36" s="401">
        <v>49564</v>
      </c>
      <c r="Z36" s="401">
        <v>38201</v>
      </c>
      <c r="AA36" s="401">
        <v>28185</v>
      </c>
      <c r="AB36" s="401">
        <v>31389.069</v>
      </c>
      <c r="AC36" s="401">
        <v>43362.135000000002</v>
      </c>
      <c r="AD36" s="401">
        <v>43467.322</v>
      </c>
      <c r="AE36" s="401">
        <v>28666.431</v>
      </c>
      <c r="AF36" s="401">
        <v>36902.095999999998</v>
      </c>
    </row>
    <row r="37" spans="1:32">
      <c r="A37" s="137" t="s">
        <v>555</v>
      </c>
      <c r="B37" s="134"/>
      <c r="C37" s="401"/>
      <c r="D37" s="401"/>
      <c r="E37" s="401"/>
      <c r="F37" s="401"/>
      <c r="G37" s="401"/>
      <c r="H37" s="401"/>
      <c r="I37" s="401"/>
      <c r="J37" s="401"/>
      <c r="K37" s="401"/>
      <c r="L37" s="401"/>
      <c r="M37" s="401"/>
      <c r="N37" s="401"/>
      <c r="O37" s="401"/>
      <c r="P37" s="401"/>
      <c r="Q37" s="401"/>
      <c r="R37" s="401"/>
      <c r="S37" s="401"/>
      <c r="T37" s="401"/>
      <c r="U37" s="401"/>
      <c r="V37" s="401"/>
      <c r="W37" s="401"/>
      <c r="X37" s="401">
        <v>48645</v>
      </c>
      <c r="Y37" s="401">
        <v>0</v>
      </c>
      <c r="Z37" s="401">
        <v>0</v>
      </c>
      <c r="AA37" s="401"/>
      <c r="AB37" s="401">
        <v>0</v>
      </c>
      <c r="AC37" s="401">
        <v>0</v>
      </c>
      <c r="AD37" s="401">
        <v>0</v>
      </c>
      <c r="AE37" s="401">
        <v>0</v>
      </c>
      <c r="AF37" s="401">
        <v>0</v>
      </c>
    </row>
    <row r="38" spans="1:32" ht="15" thickBot="1">
      <c r="A38" s="137" t="s">
        <v>603</v>
      </c>
      <c r="B38" s="134"/>
      <c r="C38" s="401"/>
      <c r="D38" s="401"/>
      <c r="E38" s="401"/>
      <c r="F38" s="401">
        <v>-350</v>
      </c>
      <c r="G38" s="401">
        <v>-3099</v>
      </c>
      <c r="H38" s="401">
        <v>-4752</v>
      </c>
      <c r="I38" s="401">
        <v>-4403</v>
      </c>
      <c r="J38" s="401">
        <v>-51308</v>
      </c>
      <c r="K38" s="401">
        <v>-48602</v>
      </c>
      <c r="L38" s="401">
        <v>-106502</v>
      </c>
      <c r="M38" s="401">
        <v>-118592</v>
      </c>
      <c r="N38" s="401">
        <v>-324667</v>
      </c>
      <c r="O38" s="401">
        <v>-197643.32855999999</v>
      </c>
      <c r="P38" s="401">
        <v>-112766</v>
      </c>
      <c r="Q38" s="401">
        <v>-25517</v>
      </c>
      <c r="R38" s="401">
        <v>-92124.167690000031</v>
      </c>
      <c r="S38" s="401">
        <v>-8465.4872400000022</v>
      </c>
      <c r="T38" s="401">
        <v>-29598.136059999993</v>
      </c>
      <c r="U38" s="401">
        <v>-30420</v>
      </c>
      <c r="V38" s="401">
        <v>-35415</v>
      </c>
      <c r="W38" s="401">
        <v>-48645</v>
      </c>
      <c r="X38" s="401">
        <v>-82702</v>
      </c>
      <c r="Y38" s="401">
        <v>-32175</v>
      </c>
      <c r="Z38" s="401">
        <v>-31935</v>
      </c>
      <c r="AA38" s="401">
        <v>-31399</v>
      </c>
      <c r="AB38" s="401">
        <v>-34166.875999999997</v>
      </c>
      <c r="AC38" s="401">
        <v>-30787.342000000001</v>
      </c>
      <c r="AD38" s="401">
        <v>-36583.146000000001</v>
      </c>
      <c r="AE38" s="401">
        <v>-38866.087</v>
      </c>
      <c r="AF38" s="401">
        <v>-35000.769999999997</v>
      </c>
    </row>
    <row r="39" spans="1:32" ht="15" thickBot="1">
      <c r="A39" s="140" t="s">
        <v>604</v>
      </c>
      <c r="B39" s="134"/>
      <c r="C39" s="141">
        <f t="shared" ref="C39:X39" si="15">SUM(C34:C38)</f>
        <v>0</v>
      </c>
      <c r="D39" s="141">
        <f t="shared" si="15"/>
        <v>-851</v>
      </c>
      <c r="E39" s="141">
        <f t="shared" si="15"/>
        <v>3388</v>
      </c>
      <c r="F39" s="141">
        <f t="shared" si="15"/>
        <v>-1102</v>
      </c>
      <c r="G39" s="141">
        <f t="shared" si="15"/>
        <v>3461</v>
      </c>
      <c r="H39" s="141">
        <f t="shared" si="15"/>
        <v>2869</v>
      </c>
      <c r="I39" s="141">
        <f t="shared" si="15"/>
        <v>4338</v>
      </c>
      <c r="J39" s="141">
        <f t="shared" si="15"/>
        <v>111628</v>
      </c>
      <c r="K39" s="141">
        <f t="shared" si="15"/>
        <v>95754</v>
      </c>
      <c r="L39" s="141">
        <f t="shared" si="15"/>
        <v>136612</v>
      </c>
      <c r="M39" s="141">
        <f t="shared" si="15"/>
        <v>216377.33255000005</v>
      </c>
      <c r="N39" s="141">
        <f t="shared" si="15"/>
        <v>1434008</v>
      </c>
      <c r="O39" s="141">
        <f t="shared" si="15"/>
        <v>298339.43104000017</v>
      </c>
      <c r="P39" s="141">
        <f t="shared" si="15"/>
        <v>197802</v>
      </c>
      <c r="Q39" s="141">
        <f t="shared" si="15"/>
        <v>290129</v>
      </c>
      <c r="R39" s="141">
        <f t="shared" si="15"/>
        <v>219216.60585999989</v>
      </c>
      <c r="S39" s="141">
        <f t="shared" si="15"/>
        <v>29520.262209999943</v>
      </c>
      <c r="T39" s="141">
        <f t="shared" si="15"/>
        <v>59192.411959999881</v>
      </c>
      <c r="U39" s="141">
        <f t="shared" si="15"/>
        <v>81736.530799999979</v>
      </c>
      <c r="V39" s="141">
        <f t="shared" si="15"/>
        <v>58887</v>
      </c>
      <c r="W39" s="141">
        <f t="shared" si="15"/>
        <v>195763</v>
      </c>
      <c r="X39" s="141">
        <f t="shared" si="15"/>
        <v>-63789</v>
      </c>
      <c r="Y39" s="141">
        <f t="shared" ref="Y39:AF39" si="16">SUM(Y34:Y38)</f>
        <v>161314</v>
      </c>
      <c r="Z39" s="141">
        <f t="shared" si="16"/>
        <v>110725.00000000006</v>
      </c>
      <c r="AA39" s="141">
        <f t="shared" si="16"/>
        <v>44506.159410000051</v>
      </c>
      <c r="AB39" s="141">
        <f t="shared" si="16"/>
        <v>90108.548450000031</v>
      </c>
      <c r="AC39" s="141">
        <f t="shared" si="16"/>
        <v>146601.23819</v>
      </c>
      <c r="AD39" s="141">
        <f t="shared" si="16"/>
        <v>130303.95108999993</v>
      </c>
      <c r="AE39" s="141">
        <f t="shared" si="16"/>
        <v>93974.232370000012</v>
      </c>
      <c r="AF39" s="141">
        <f t="shared" si="16"/>
        <v>125246.49414999998</v>
      </c>
    </row>
  </sheetData>
  <pageMargins left="0.511811024" right="0.511811024" top="0.78740157499999996" bottom="0.78740157499999996" header="0.31496062000000002" footer="0.31496062000000002"/>
  <ignoredErrors>
    <ignoredError sqref="W9:AE9" formulaRange="1"/>
  </ignoredErrors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9" tint="0.79998168889431442"/>
  </sheetPr>
  <dimension ref="A7:T32"/>
  <sheetViews>
    <sheetView showGridLines="0" zoomScaleNormal="100" workbookViewId="0">
      <pane xSplit="1" ySplit="8" topLeftCell="K9" activePane="bottomRight" state="frozen"/>
      <selection pane="topRight" activeCell="AF39" sqref="AE39:AF39"/>
      <selection pane="bottomLeft" activeCell="AF39" sqref="AE39:AF39"/>
      <selection pane="bottomRight" activeCell="T10" sqref="T10"/>
    </sheetView>
  </sheetViews>
  <sheetFormatPr defaultColWidth="9.1796875" defaultRowHeight="14.5" outlineLevelCol="1"/>
  <cols>
    <col min="1" max="1" width="44.453125" style="37" bestFit="1" customWidth="1"/>
    <col min="2" max="2" width="0.7265625" customWidth="1"/>
    <col min="3" max="10" width="9.54296875" style="37" hidden="1" customWidth="1" outlineLevel="1"/>
    <col min="11" max="11" width="9.54296875" style="37" bestFit="1" customWidth="1" collapsed="1"/>
    <col min="12" max="20" width="9.54296875" style="37" bestFit="1" customWidth="1"/>
    <col min="21" max="16384" width="9.1796875" style="37"/>
  </cols>
  <sheetData>
    <row r="7" spans="1:20">
      <c r="A7" s="41" t="s">
        <v>632</v>
      </c>
      <c r="B7" s="133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</row>
    <row r="8" spans="1:20" ht="15" thickBot="1">
      <c r="A8" s="544" t="s">
        <v>633</v>
      </c>
      <c r="C8" s="545" t="s">
        <v>37</v>
      </c>
      <c r="D8" s="545" t="s">
        <v>38</v>
      </c>
      <c r="E8" s="545" t="s">
        <v>39</v>
      </c>
      <c r="F8" s="545" t="s">
        <v>40</v>
      </c>
      <c r="G8" s="545" t="s">
        <v>41</v>
      </c>
      <c r="H8" s="545" t="s">
        <v>42</v>
      </c>
      <c r="I8" s="545" t="s">
        <v>43</v>
      </c>
      <c r="J8" s="545" t="s">
        <v>44</v>
      </c>
      <c r="K8" s="545" t="s">
        <v>45</v>
      </c>
      <c r="L8" s="545" t="s">
        <v>46</v>
      </c>
      <c r="M8" s="545" t="s">
        <v>47</v>
      </c>
      <c r="N8" s="545" t="s">
        <v>48</v>
      </c>
      <c r="O8" s="545" t="s">
        <v>49</v>
      </c>
      <c r="P8" s="545" t="s">
        <v>50</v>
      </c>
      <c r="Q8" s="549" t="s">
        <v>51</v>
      </c>
      <c r="R8" s="549" t="s">
        <v>52</v>
      </c>
      <c r="S8" s="549" t="s">
        <v>53</v>
      </c>
      <c r="T8" s="549" t="s">
        <v>54</v>
      </c>
    </row>
    <row r="9" spans="1:20" ht="15" thickBot="1">
      <c r="A9" s="140" t="s">
        <v>465</v>
      </c>
      <c r="C9" s="141">
        <f t="shared" ref="C9:M9" si="0">SUM(C10:C11)</f>
        <v>43462.41988999999</v>
      </c>
      <c r="D9" s="141">
        <f t="shared" si="0"/>
        <v>61896.58011000001</v>
      </c>
      <c r="E9" s="141">
        <f t="shared" si="0"/>
        <v>84807.140649999987</v>
      </c>
      <c r="F9" s="141">
        <f t="shared" si="0"/>
        <v>138209.80521000002</v>
      </c>
      <c r="G9" s="141">
        <f t="shared" si="0"/>
        <v>205955.76048999999</v>
      </c>
      <c r="H9" s="141">
        <f t="shared" si="0"/>
        <v>254753</v>
      </c>
      <c r="I9" s="141">
        <f t="shared" si="0"/>
        <v>249736.62753000006</v>
      </c>
      <c r="J9" s="141">
        <f t="shared" si="0"/>
        <v>324757.62337999995</v>
      </c>
      <c r="K9" s="141">
        <f t="shared" si="0"/>
        <v>286252.41719000001</v>
      </c>
      <c r="L9" s="141">
        <f t="shared" si="0"/>
        <v>286262.58280999999</v>
      </c>
      <c r="M9" s="141">
        <f t="shared" si="0"/>
        <v>312548.17930000013</v>
      </c>
      <c r="N9" s="141">
        <f t="shared" ref="N9:T9" si="1">SUM(N10:N11)</f>
        <v>315193.6871599998</v>
      </c>
      <c r="O9" s="141">
        <f t="shared" si="1"/>
        <v>313822.17221999995</v>
      </c>
      <c r="P9" s="141">
        <f t="shared" si="1"/>
        <v>324294.50694000005</v>
      </c>
      <c r="Q9" s="141">
        <f t="shared" si="1"/>
        <v>342075.48433999997</v>
      </c>
      <c r="R9" s="141">
        <f t="shared" si="1"/>
        <v>326417.83650000003</v>
      </c>
      <c r="S9" s="141">
        <f t="shared" si="1"/>
        <v>337095</v>
      </c>
      <c r="T9" s="141">
        <f t="shared" si="1"/>
        <v>333629.14134999999</v>
      </c>
    </row>
    <row r="10" spans="1:20">
      <c r="A10" s="137" t="s">
        <v>616</v>
      </c>
      <c r="C10" s="401">
        <v>43027.41988999999</v>
      </c>
      <c r="D10" s="401">
        <v>61896.58011000001</v>
      </c>
      <c r="E10" s="401">
        <v>84522.825259999983</v>
      </c>
      <c r="F10" s="401">
        <v>127404.43567000002</v>
      </c>
      <c r="G10" s="401">
        <v>199351.93957999998</v>
      </c>
      <c r="H10" s="401">
        <v>245825</v>
      </c>
      <c r="I10" s="401">
        <v>264733.79933000007</v>
      </c>
      <c r="J10" s="401">
        <v>321560.33950999996</v>
      </c>
      <c r="K10" s="401">
        <v>290726.86193000001</v>
      </c>
      <c r="L10" s="401">
        <v>263215.13806999999</v>
      </c>
      <c r="M10" s="401">
        <v>327714.24514000013</v>
      </c>
      <c r="N10" s="401">
        <v>315066.19745999982</v>
      </c>
      <c r="O10" s="401">
        <v>313822.17221999995</v>
      </c>
      <c r="P10" s="401">
        <v>324291.04274000006</v>
      </c>
      <c r="Q10" s="401">
        <v>342075.48433999997</v>
      </c>
      <c r="R10" s="401">
        <v>326417.30070000002</v>
      </c>
      <c r="S10" s="401">
        <v>337095</v>
      </c>
      <c r="T10" s="401">
        <v>333629.14134999999</v>
      </c>
    </row>
    <row r="11" spans="1:20" ht="15" thickBot="1">
      <c r="A11" s="137" t="s">
        <v>474</v>
      </c>
      <c r="C11" s="401">
        <v>435</v>
      </c>
      <c r="D11" s="401"/>
      <c r="E11" s="401">
        <v>284.31538999999992</v>
      </c>
      <c r="F11" s="401">
        <v>10805.36954</v>
      </c>
      <c r="G11" s="401">
        <v>6603.8209100000004</v>
      </c>
      <c r="H11" s="401">
        <v>8928</v>
      </c>
      <c r="I11" s="401">
        <v>-14997.1718</v>
      </c>
      <c r="J11" s="401">
        <v>3197.2838699999998</v>
      </c>
      <c r="K11" s="401">
        <v>-4474.4447399999981</v>
      </c>
      <c r="L11" s="401">
        <v>23047.444739999999</v>
      </c>
      <c r="M11" s="401">
        <v>-15166.065839999999</v>
      </c>
      <c r="N11" s="401">
        <v>127.4897</v>
      </c>
      <c r="O11" s="401"/>
      <c r="P11" s="401">
        <v>3.4641999999999999</v>
      </c>
      <c r="Q11" s="401">
        <v>0</v>
      </c>
      <c r="R11" s="401">
        <v>0.53580000000000005</v>
      </c>
      <c r="S11" s="401"/>
      <c r="T11" s="401"/>
    </row>
    <row r="12" spans="1:20" ht="15" thickBot="1">
      <c r="A12" s="140" t="s">
        <v>587</v>
      </c>
      <c r="C12" s="141">
        <v>-2730.0229899999995</v>
      </c>
      <c r="D12" s="141">
        <v>-5822.3765100000001</v>
      </c>
      <c r="E12" s="141">
        <v>-9120.4472999999998</v>
      </c>
      <c r="F12" s="141">
        <v>-11964.35102</v>
      </c>
      <c r="G12" s="141">
        <v>-20580.2654</v>
      </c>
      <c r="H12" s="141">
        <v>-24699</v>
      </c>
      <c r="I12" s="141">
        <v>-26939.261929999993</v>
      </c>
      <c r="J12" s="141">
        <v>-31061.681969999991</v>
      </c>
      <c r="K12" s="141">
        <v>-31723.646270000001</v>
      </c>
      <c r="L12" s="141">
        <v>-29346.338809999997</v>
      </c>
      <c r="M12" s="141">
        <v>-30559.461899999995</v>
      </c>
      <c r="N12" s="141">
        <v>-31955.521330000003</v>
      </c>
      <c r="O12" s="141">
        <v>-31384.860349999999</v>
      </c>
      <c r="P12" s="141">
        <v>-31824.359770000006</v>
      </c>
      <c r="Q12" s="141">
        <v>-31703.982119999993</v>
      </c>
      <c r="R12" s="141">
        <v>-34127.797760000001</v>
      </c>
      <c r="S12" s="141">
        <v>-34464</v>
      </c>
      <c r="T12" s="141">
        <v>-35643.343460000004</v>
      </c>
    </row>
    <row r="13" spans="1:20" ht="15" thickBot="1">
      <c r="A13" s="140" t="s">
        <v>491</v>
      </c>
      <c r="C13" s="402">
        <f t="shared" ref="C13:P13" si="2">C9+C12</f>
        <v>40732.396899999992</v>
      </c>
      <c r="D13" s="402">
        <f t="shared" si="2"/>
        <v>56074.203600000008</v>
      </c>
      <c r="E13" s="402">
        <f t="shared" si="2"/>
        <v>75686.693349999987</v>
      </c>
      <c r="F13" s="402">
        <f t="shared" si="2"/>
        <v>126245.45419000002</v>
      </c>
      <c r="G13" s="402">
        <f t="shared" si="2"/>
        <v>185375.49508999998</v>
      </c>
      <c r="H13" s="402">
        <f t="shared" si="2"/>
        <v>230054</v>
      </c>
      <c r="I13" s="402">
        <f t="shared" si="2"/>
        <v>222797.36560000008</v>
      </c>
      <c r="J13" s="402">
        <f t="shared" si="2"/>
        <v>293695.94140999997</v>
      </c>
      <c r="K13" s="402">
        <f t="shared" si="2"/>
        <v>254528.77092000001</v>
      </c>
      <c r="L13" s="402">
        <f t="shared" si="2"/>
        <v>256916.24400000001</v>
      </c>
      <c r="M13" s="402">
        <f t="shared" si="2"/>
        <v>281988.71740000014</v>
      </c>
      <c r="N13" s="402">
        <f t="shared" si="2"/>
        <v>283238.16582999978</v>
      </c>
      <c r="O13" s="402">
        <f t="shared" si="2"/>
        <v>282437.31186999998</v>
      </c>
      <c r="P13" s="402">
        <f t="shared" si="2"/>
        <v>292470.14717000007</v>
      </c>
      <c r="Q13" s="402">
        <f>Q9+Q12</f>
        <v>310371.50221999997</v>
      </c>
      <c r="R13" s="402">
        <f>R9+R12</f>
        <v>292290.03874000005</v>
      </c>
      <c r="S13" s="402">
        <f>S9+S12</f>
        <v>302631</v>
      </c>
      <c r="T13" s="402">
        <f>T9+T12</f>
        <v>297985.79788999999</v>
      </c>
    </row>
    <row r="14" spans="1:20" ht="15" thickBot="1">
      <c r="A14" s="140" t="s">
        <v>594</v>
      </c>
      <c r="C14" s="141">
        <f t="shared" ref="C14:P14" si="3">SUM(C15:C19)</f>
        <v>-1670</v>
      </c>
      <c r="D14" s="141">
        <f t="shared" si="3"/>
        <v>-5003</v>
      </c>
      <c r="E14" s="141">
        <f t="shared" si="3"/>
        <v>-5114.4227800000008</v>
      </c>
      <c r="F14" s="141">
        <f t="shared" si="3"/>
        <v>-13920.58641</v>
      </c>
      <c r="G14" s="141">
        <f t="shared" si="3"/>
        <v>-7123.0956799999994</v>
      </c>
      <c r="H14" s="141">
        <f t="shared" si="3"/>
        <v>-9167.6487899999993</v>
      </c>
      <c r="I14" s="141">
        <f t="shared" si="3"/>
        <v>-17801</v>
      </c>
      <c r="J14" s="141">
        <f t="shared" si="3"/>
        <v>-17358</v>
      </c>
      <c r="K14" s="141">
        <f t="shared" si="3"/>
        <v>-14503.586230000001</v>
      </c>
      <c r="L14" s="141">
        <f t="shared" si="3"/>
        <v>-18001.413769999999</v>
      </c>
      <c r="M14" s="141">
        <f t="shared" si="3"/>
        <v>-16652.150629999996</v>
      </c>
      <c r="N14" s="141">
        <f t="shared" si="3"/>
        <v>-22709.337020000014</v>
      </c>
      <c r="O14" s="141">
        <f t="shared" si="3"/>
        <v>-19521.960860000003</v>
      </c>
      <c r="P14" s="141">
        <f t="shared" si="3"/>
        <v>-17875.949920000003</v>
      </c>
      <c r="Q14" s="141">
        <f>SUM(Q15:Q19)</f>
        <v>-26227.460220000004</v>
      </c>
      <c r="R14" s="141">
        <f>SUM(R15:R19)</f>
        <v>-18491.629000000001</v>
      </c>
      <c r="S14" s="141">
        <f>SUM(S15:S19)</f>
        <v>-18075</v>
      </c>
      <c r="T14" s="141">
        <f>SUM(T15:T19)</f>
        <v>-17755.328859999998</v>
      </c>
    </row>
    <row r="15" spans="1:20">
      <c r="A15" s="137" t="s">
        <v>595</v>
      </c>
      <c r="C15" s="401">
        <v>-764</v>
      </c>
      <c r="D15" s="401">
        <v>-2726</v>
      </c>
      <c r="E15" s="401">
        <v>-3049.2834800000001</v>
      </c>
      <c r="F15" s="401">
        <v>-9582.9867699999995</v>
      </c>
      <c r="G15" s="401">
        <v>-4397.007889999999</v>
      </c>
      <c r="H15" s="401">
        <v>-3063.1216599999998</v>
      </c>
      <c r="I15" s="401">
        <v>-9956</v>
      </c>
      <c r="J15" s="401">
        <v>-8386</v>
      </c>
      <c r="K15" s="401">
        <v>-8406.9942300000002</v>
      </c>
      <c r="L15" s="401">
        <v>-8592.0057699999998</v>
      </c>
      <c r="M15" s="401">
        <v>-8889.2125899999992</v>
      </c>
      <c r="N15" s="401">
        <v>-10526.809570000001</v>
      </c>
      <c r="O15" s="401">
        <v>-10090.622150000003</v>
      </c>
      <c r="P15" s="401">
        <v>-9472.1843899999949</v>
      </c>
      <c r="Q15" s="401">
        <v>-11123.551640000005</v>
      </c>
      <c r="R15" s="401">
        <v>-7381.6418199999971</v>
      </c>
      <c r="S15" s="401">
        <v>-8954</v>
      </c>
      <c r="T15" s="401">
        <v>-8747.0909199999969</v>
      </c>
    </row>
    <row r="16" spans="1:20">
      <c r="A16" s="137" t="s">
        <v>596</v>
      </c>
      <c r="C16" s="401">
        <v>-119</v>
      </c>
      <c r="D16" s="401">
        <v>-72</v>
      </c>
      <c r="E16" s="401">
        <v>-204.49114000000003</v>
      </c>
      <c r="F16" s="401">
        <v>-212.13924</v>
      </c>
      <c r="G16" s="401">
        <v>-149.87256000000002</v>
      </c>
      <c r="H16" s="401">
        <v>-268.23608999999999</v>
      </c>
      <c r="I16" s="401">
        <v>-384</v>
      </c>
      <c r="J16" s="401">
        <v>-633</v>
      </c>
      <c r="K16" s="401">
        <v>-323.70368999999999</v>
      </c>
      <c r="L16" s="401">
        <v>-662.29630999999995</v>
      </c>
      <c r="M16" s="401">
        <v>-289.28607000000011</v>
      </c>
      <c r="N16" s="401">
        <v>-992.90796</v>
      </c>
      <c r="O16" s="401">
        <v>-987.9697799999999</v>
      </c>
      <c r="P16" s="401">
        <v>-14139.055640000004</v>
      </c>
      <c r="Q16" s="401">
        <v>-12080.454149999996</v>
      </c>
      <c r="R16" s="401">
        <v>-363.52043000000049</v>
      </c>
      <c r="S16" s="401">
        <v>-817</v>
      </c>
      <c r="T16" s="401">
        <v>-57.049970000000002</v>
      </c>
    </row>
    <row r="17" spans="1:20">
      <c r="A17" s="137" t="s">
        <v>597</v>
      </c>
      <c r="C17" s="401">
        <v>-871</v>
      </c>
      <c r="D17" s="401">
        <v>-1661</v>
      </c>
      <c r="E17" s="401">
        <v>-1584.0815300000002</v>
      </c>
      <c r="F17" s="401">
        <v>-3621.3896300000001</v>
      </c>
      <c r="G17" s="401">
        <v>-2159.3326499999998</v>
      </c>
      <c r="H17" s="401">
        <v>-5449.2910400000001</v>
      </c>
      <c r="I17" s="401">
        <v>-5983</v>
      </c>
      <c r="J17" s="401">
        <v>-6924</v>
      </c>
      <c r="K17" s="401">
        <v>-4488.7892499999998</v>
      </c>
      <c r="L17" s="401">
        <v>-8626.2107500000002</v>
      </c>
      <c r="M17" s="401">
        <v>-8122.4132299999983</v>
      </c>
      <c r="N17" s="401">
        <v>-9105.356090000012</v>
      </c>
      <c r="O17" s="401">
        <v>-7960.9851900000003</v>
      </c>
      <c r="P17" s="401">
        <v>6313.3294100000003</v>
      </c>
      <c r="Q17" s="401">
        <v>-345.46456999999987</v>
      </c>
      <c r="R17" s="401">
        <v>-8392.8796500000026</v>
      </c>
      <c r="S17" s="401">
        <v>-6999</v>
      </c>
      <c r="T17" s="401">
        <v>-8912.6454200000026</v>
      </c>
    </row>
    <row r="18" spans="1:20">
      <c r="A18" s="137" t="s">
        <v>623</v>
      </c>
      <c r="C18" s="401"/>
      <c r="D18" s="401"/>
      <c r="E18" s="401"/>
      <c r="F18" s="401">
        <v>0</v>
      </c>
      <c r="G18" s="401">
        <v>0</v>
      </c>
      <c r="H18" s="401"/>
      <c r="I18" s="401"/>
      <c r="J18" s="401">
        <v>0</v>
      </c>
      <c r="K18" s="401">
        <v>0</v>
      </c>
      <c r="L18" s="401">
        <v>0</v>
      </c>
      <c r="M18" s="401">
        <v>0</v>
      </c>
      <c r="N18" s="401">
        <v>0</v>
      </c>
      <c r="O18" s="401">
        <v>0</v>
      </c>
      <c r="P18" s="401">
        <v>0</v>
      </c>
      <c r="Q18" s="401">
        <v>0</v>
      </c>
      <c r="R18" s="401">
        <v>0</v>
      </c>
      <c r="S18" s="401">
        <v>0</v>
      </c>
      <c r="T18" s="401">
        <v>0</v>
      </c>
    </row>
    <row r="19" spans="1:20">
      <c r="A19" s="137" t="s">
        <v>59</v>
      </c>
      <c r="C19" s="401">
        <v>84</v>
      </c>
      <c r="D19" s="401">
        <v>-544</v>
      </c>
      <c r="E19" s="401">
        <v>-276.5666299999998</v>
      </c>
      <c r="F19" s="401">
        <v>-504.07076999999998</v>
      </c>
      <c r="G19" s="401">
        <v>-416.88258000000002</v>
      </c>
      <c r="H19" s="401">
        <v>-387</v>
      </c>
      <c r="I19" s="401">
        <v>-1478</v>
      </c>
      <c r="J19" s="401">
        <v>-1415</v>
      </c>
      <c r="K19" s="401">
        <v>-1284.09906</v>
      </c>
      <c r="L19" s="401">
        <v>-120.90093999999999</v>
      </c>
      <c r="M19" s="401">
        <v>648.76126000000022</v>
      </c>
      <c r="N19" s="401">
        <v>-2084.2633999999985</v>
      </c>
      <c r="O19" s="401">
        <v>-482.38373999999999</v>
      </c>
      <c r="P19" s="401">
        <v>-578.03930000000014</v>
      </c>
      <c r="Q19" s="401">
        <v>-2677.9898600000001</v>
      </c>
      <c r="R19" s="401">
        <v>-2353.5870999999997</v>
      </c>
      <c r="S19" s="401">
        <v>-1305</v>
      </c>
      <c r="T19" s="401">
        <v>-38.5425499999997</v>
      </c>
    </row>
    <row r="20" spans="1:20">
      <c r="A20" s="137" t="s">
        <v>598</v>
      </c>
      <c r="C20" s="401"/>
      <c r="D20" s="401"/>
      <c r="E20" s="401"/>
      <c r="F20" s="401"/>
      <c r="G20" s="401"/>
      <c r="H20" s="401"/>
      <c r="I20" s="401"/>
      <c r="J20" s="401"/>
      <c r="K20" s="401"/>
      <c r="L20" s="401"/>
      <c r="M20" s="401"/>
      <c r="N20" s="401"/>
      <c r="O20" s="401"/>
      <c r="P20" s="401"/>
      <c r="Q20" s="401"/>
      <c r="R20" s="401">
        <v>0</v>
      </c>
      <c r="S20" s="401">
        <v>0</v>
      </c>
      <c r="T20" s="401">
        <v>0</v>
      </c>
    </row>
    <row r="21" spans="1:20">
      <c r="A21" s="551" t="s">
        <v>529</v>
      </c>
      <c r="C21" s="550">
        <f t="shared" ref="C21:P21" si="4">SUM(C13:C14)</f>
        <v>39062.396899999992</v>
      </c>
      <c r="D21" s="550">
        <f t="shared" si="4"/>
        <v>51071.203600000008</v>
      </c>
      <c r="E21" s="550">
        <f t="shared" si="4"/>
        <v>70572.270569999993</v>
      </c>
      <c r="F21" s="550">
        <f t="shared" si="4"/>
        <v>112324.86778000002</v>
      </c>
      <c r="G21" s="550">
        <f t="shared" si="4"/>
        <v>178252.39940999998</v>
      </c>
      <c r="H21" s="550">
        <f t="shared" si="4"/>
        <v>220886.35120999999</v>
      </c>
      <c r="I21" s="550">
        <f t="shared" si="4"/>
        <v>204996.36560000008</v>
      </c>
      <c r="J21" s="550">
        <f t="shared" si="4"/>
        <v>276337.94140999997</v>
      </c>
      <c r="K21" s="550">
        <f t="shared" si="4"/>
        <v>240025.18469000002</v>
      </c>
      <c r="L21" s="550">
        <f t="shared" si="4"/>
        <v>238914.83023000002</v>
      </c>
      <c r="M21" s="550">
        <f t="shared" si="4"/>
        <v>265336.56677000015</v>
      </c>
      <c r="N21" s="550">
        <f t="shared" si="4"/>
        <v>260528.82880999977</v>
      </c>
      <c r="O21" s="550">
        <f t="shared" si="4"/>
        <v>262915.35100999998</v>
      </c>
      <c r="P21" s="550">
        <f t="shared" si="4"/>
        <v>274594.19725000008</v>
      </c>
      <c r="Q21" s="550">
        <f>SUM(Q13:Q14)</f>
        <v>284144.04199999996</v>
      </c>
      <c r="R21" s="550">
        <f>SUM(R13:R14)</f>
        <v>273798.40974000003</v>
      </c>
      <c r="S21" s="550">
        <f>SUM(S13:S14)</f>
        <v>284556</v>
      </c>
      <c r="T21" s="550">
        <f>SUM(T13:T14)</f>
        <v>280230.46902999998</v>
      </c>
    </row>
    <row r="22" spans="1:20" ht="15" thickBot="1">
      <c r="A22" s="137" t="s">
        <v>600</v>
      </c>
      <c r="C22" s="401">
        <v>-142.44229999999999</v>
      </c>
      <c r="D22" s="401">
        <v>-181.56352000000004</v>
      </c>
      <c r="E22" s="401">
        <v>-487.11209000000008</v>
      </c>
      <c r="F22" s="401">
        <v>-2924.3473199999999</v>
      </c>
      <c r="G22" s="401">
        <v>-7469.7377999999999</v>
      </c>
      <c r="H22" s="401">
        <v>-7807</v>
      </c>
      <c r="I22" s="401">
        <v>-14797.278490000001</v>
      </c>
      <c r="J22" s="401">
        <v>-18989.629589999993</v>
      </c>
      <c r="K22" s="401">
        <v>-22914.688829999999</v>
      </c>
      <c r="L22" s="401">
        <v>-30238.671939999993</v>
      </c>
      <c r="M22" s="401">
        <v>-206695.63923</v>
      </c>
      <c r="N22" s="401">
        <v>-110818.57176000002</v>
      </c>
      <c r="O22" s="401">
        <v>-134842.65187</v>
      </c>
      <c r="P22" s="401">
        <v>-124637.65657999998</v>
      </c>
      <c r="Q22" s="401">
        <v>-109899.00689999995</v>
      </c>
      <c r="R22" s="401">
        <v>-109886.68465000007</v>
      </c>
      <c r="S22" s="401">
        <v>-109904</v>
      </c>
      <c r="T22" s="401">
        <v>-109948.74718000002</v>
      </c>
    </row>
    <row r="23" spans="1:20" ht="15" thickBot="1">
      <c r="A23" s="140" t="s">
        <v>601</v>
      </c>
      <c r="C23" s="141">
        <f t="shared" ref="C23:L23" si="5">SUM(C21:C22)</f>
        <v>38919.95459999999</v>
      </c>
      <c r="D23" s="141">
        <f t="shared" si="5"/>
        <v>50889.640080000005</v>
      </c>
      <c r="E23" s="141">
        <f t="shared" si="5"/>
        <v>70085.158479999998</v>
      </c>
      <c r="F23" s="141">
        <f t="shared" si="5"/>
        <v>109400.52046000001</v>
      </c>
      <c r="G23" s="141">
        <f t="shared" si="5"/>
        <v>170782.66160999998</v>
      </c>
      <c r="H23" s="141">
        <f t="shared" si="5"/>
        <v>213079.35120999999</v>
      </c>
      <c r="I23" s="141">
        <f t="shared" si="5"/>
        <v>190199.08711000008</v>
      </c>
      <c r="J23" s="141">
        <f t="shared" si="5"/>
        <v>257348.31181999997</v>
      </c>
      <c r="K23" s="141">
        <f t="shared" si="5"/>
        <v>217110.49586000002</v>
      </c>
      <c r="L23" s="141">
        <f t="shared" si="5"/>
        <v>208676.15829000002</v>
      </c>
      <c r="M23" s="141">
        <f t="shared" ref="M23:R23" si="6">SUM(M21:M22)</f>
        <v>58640.92754000015</v>
      </c>
      <c r="N23" s="141">
        <f t="shared" si="6"/>
        <v>149710.25704999975</v>
      </c>
      <c r="O23" s="141">
        <f t="shared" si="6"/>
        <v>128072.69913999998</v>
      </c>
      <c r="P23" s="141">
        <f t="shared" si="6"/>
        <v>149956.5406700001</v>
      </c>
      <c r="Q23" s="141">
        <f t="shared" si="6"/>
        <v>174245.03510000001</v>
      </c>
      <c r="R23" s="141">
        <f t="shared" si="6"/>
        <v>163911.72508999996</v>
      </c>
      <c r="S23" s="141">
        <f t="shared" ref="S23" si="7">SUM(S21:S22)</f>
        <v>174652</v>
      </c>
      <c r="T23" s="141">
        <f t="shared" ref="T23" si="8">SUM(T21:T22)</f>
        <v>170281.72184999997</v>
      </c>
    </row>
    <row r="24" spans="1:20" ht="15" thickBot="1">
      <c r="A24" s="140" t="s">
        <v>531</v>
      </c>
      <c r="C24" s="351">
        <f t="shared" ref="C24:L24" si="9">SUM(C25:C26)</f>
        <v>-5983.301239999977</v>
      </c>
      <c r="D24" s="351">
        <f t="shared" si="9"/>
        <v>46</v>
      </c>
      <c r="E24" s="351">
        <f t="shared" si="9"/>
        <v>-23399.770310000011</v>
      </c>
      <c r="F24" s="351">
        <f t="shared" si="9"/>
        <v>-37112.717479999999</v>
      </c>
      <c r="G24" s="351">
        <f t="shared" si="9"/>
        <v>-56363.894440000004</v>
      </c>
      <c r="H24" s="351">
        <f t="shared" si="9"/>
        <v>-142013</v>
      </c>
      <c r="I24" s="351">
        <f t="shared" si="9"/>
        <v>-178027.35047999999</v>
      </c>
      <c r="J24" s="351">
        <f t="shared" si="9"/>
        <v>-237624.97116000002</v>
      </c>
      <c r="K24" s="351">
        <f t="shared" si="9"/>
        <v>-173802.0042</v>
      </c>
      <c r="L24" s="351">
        <f t="shared" si="9"/>
        <v>-228015.9958</v>
      </c>
      <c r="M24" s="351">
        <f t="shared" ref="M24:R24" si="10">SUM(M25:M26)</f>
        <v>-18966.670929999978</v>
      </c>
      <c r="N24" s="351">
        <f t="shared" si="10"/>
        <v>-69673.944280000025</v>
      </c>
      <c r="O24" s="351">
        <f t="shared" si="10"/>
        <v>-147306.60672999997</v>
      </c>
      <c r="P24" s="351">
        <f t="shared" si="10"/>
        <v>-123185.7910400001</v>
      </c>
      <c r="Q24" s="351">
        <f t="shared" si="10"/>
        <v>-58517.214729999905</v>
      </c>
      <c r="R24" s="351">
        <f t="shared" si="10"/>
        <v>-78640.387500000026</v>
      </c>
      <c r="S24" s="351">
        <f t="shared" ref="S24" si="11">SUM(S25:S26)</f>
        <v>-108984</v>
      </c>
      <c r="T24" s="351">
        <f t="shared" ref="T24" si="12">SUM(T25:T26)</f>
        <v>-79036.487210000036</v>
      </c>
    </row>
    <row r="25" spans="1:20">
      <c r="A25" s="137" t="s">
        <v>532</v>
      </c>
      <c r="C25" s="401">
        <v>-8.6258000000001402</v>
      </c>
      <c r="D25" s="401">
        <v>766</v>
      </c>
      <c r="E25" s="401">
        <v>1182.9561299999984</v>
      </c>
      <c r="F25" s="401">
        <v>974.21344999999997</v>
      </c>
      <c r="G25" s="401">
        <v>366.36067999999989</v>
      </c>
      <c r="H25" s="401">
        <v>7052</v>
      </c>
      <c r="I25" s="401">
        <v>4983.6811099999995</v>
      </c>
      <c r="J25" s="401">
        <v>10141.31889</v>
      </c>
      <c r="K25" s="401">
        <v>18269.69397</v>
      </c>
      <c r="L25" s="401">
        <v>20988.30603</v>
      </c>
      <c r="M25" s="401">
        <v>28620.71931</v>
      </c>
      <c r="N25" s="401">
        <v>34471.824449999986</v>
      </c>
      <c r="O25" s="401">
        <v>30168.288079999995</v>
      </c>
      <c r="P25" s="401">
        <v>39383.53912999999</v>
      </c>
      <c r="Q25" s="401">
        <v>45371.845970000009</v>
      </c>
      <c r="R25" s="401">
        <v>39689.326820000002</v>
      </c>
      <c r="S25" s="401">
        <v>53330</v>
      </c>
      <c r="T25" s="401">
        <v>44896.018039999995</v>
      </c>
    </row>
    <row r="26" spans="1:20" ht="15" thickBot="1">
      <c r="A26" s="137" t="s">
        <v>541</v>
      </c>
      <c r="C26" s="401">
        <v>-5974.6754399999772</v>
      </c>
      <c r="D26" s="401">
        <v>-720</v>
      </c>
      <c r="E26" s="401">
        <v>-24582.726440000009</v>
      </c>
      <c r="F26" s="401">
        <v>-38086.930930000002</v>
      </c>
      <c r="G26" s="401">
        <v>-56730.255120000002</v>
      </c>
      <c r="H26" s="401">
        <v>-149065</v>
      </c>
      <c r="I26" s="401">
        <v>-183011.03159</v>
      </c>
      <c r="J26" s="401">
        <v>-247766.29005000001</v>
      </c>
      <c r="K26" s="401">
        <v>-192071.69816999999</v>
      </c>
      <c r="L26" s="401">
        <v>-249004.30183000001</v>
      </c>
      <c r="M26" s="401">
        <v>-47587.390239999979</v>
      </c>
      <c r="N26" s="401">
        <v>-104145.76873000001</v>
      </c>
      <c r="O26" s="401">
        <v>-177474.89480999997</v>
      </c>
      <c r="P26" s="401">
        <v>-162569.33017000009</v>
      </c>
      <c r="Q26" s="401">
        <v>-103889.06069999991</v>
      </c>
      <c r="R26" s="401">
        <v>-118329.71432000003</v>
      </c>
      <c r="S26" s="401">
        <v>-162314</v>
      </c>
      <c r="T26" s="401">
        <v>-123932.50525000003</v>
      </c>
    </row>
    <row r="27" spans="1:20" ht="15" thickBot="1">
      <c r="A27" s="140" t="s">
        <v>602</v>
      </c>
      <c r="C27" s="141">
        <f t="shared" ref="C27:L27" si="13">SUM(C23:C24)</f>
        <v>32936.653360000011</v>
      </c>
      <c r="D27" s="141">
        <f t="shared" si="13"/>
        <v>50935.640080000005</v>
      </c>
      <c r="E27" s="141">
        <f t="shared" si="13"/>
        <v>46685.388169999991</v>
      </c>
      <c r="F27" s="141">
        <f t="shared" si="13"/>
        <v>72287.802980000008</v>
      </c>
      <c r="G27" s="141">
        <f t="shared" si="13"/>
        <v>114418.76716999998</v>
      </c>
      <c r="H27" s="141">
        <f t="shared" si="13"/>
        <v>71066.351209999993</v>
      </c>
      <c r="I27" s="141">
        <f t="shared" si="13"/>
        <v>12171.736630000087</v>
      </c>
      <c r="J27" s="141">
        <f t="shared" si="13"/>
        <v>19723.340659999958</v>
      </c>
      <c r="K27" s="141">
        <f t="shared" si="13"/>
        <v>43308.491660000029</v>
      </c>
      <c r="L27" s="141">
        <f t="shared" si="13"/>
        <v>-19339.837509999983</v>
      </c>
      <c r="M27" s="141">
        <f t="shared" ref="M27:T27" si="14">SUM(M23:M24)</f>
        <v>39674.256610000171</v>
      </c>
      <c r="N27" s="141">
        <f t="shared" si="14"/>
        <v>80036.312769999728</v>
      </c>
      <c r="O27" s="141">
        <f t="shared" si="14"/>
        <v>-19233.907589999988</v>
      </c>
      <c r="P27" s="141">
        <f t="shared" si="14"/>
        <v>26770.749630000006</v>
      </c>
      <c r="Q27" s="141">
        <f t="shared" si="14"/>
        <v>115727.8203700001</v>
      </c>
      <c r="R27" s="141">
        <f t="shared" si="14"/>
        <v>85271.337589999937</v>
      </c>
      <c r="S27" s="141">
        <f t="shared" si="14"/>
        <v>65668</v>
      </c>
      <c r="T27" s="141">
        <f t="shared" si="14"/>
        <v>91245.234639999937</v>
      </c>
    </row>
    <row r="28" spans="1:20">
      <c r="A28" s="137" t="s">
        <v>624</v>
      </c>
      <c r="C28" s="401"/>
      <c r="D28" s="401"/>
      <c r="E28" s="401"/>
      <c r="F28" s="401">
        <v>-20939.98245</v>
      </c>
      <c r="G28" s="401">
        <v>-11629.133170000001</v>
      </c>
      <c r="H28" s="401">
        <v>-10143.336809999999</v>
      </c>
      <c r="I28" s="401">
        <v>-3574</v>
      </c>
      <c r="J28" s="401">
        <v>-12601</v>
      </c>
      <c r="K28" s="401">
        <v>-6364.1526599999997</v>
      </c>
      <c r="L28" s="401">
        <v>-23717.84734</v>
      </c>
      <c r="M28" s="401">
        <v>-66051</v>
      </c>
      <c r="N28" s="401">
        <v>58596.100689999999</v>
      </c>
      <c r="O28" s="401">
        <v>-10059.04709</v>
      </c>
      <c r="P28" s="401">
        <v>-11214.085149999999</v>
      </c>
      <c r="Q28" s="401">
        <v>-18574.509360000004</v>
      </c>
      <c r="R28" s="401">
        <v>-5497.3583999999973</v>
      </c>
      <c r="S28" s="401">
        <v>-50451</v>
      </c>
      <c r="T28" s="401">
        <v>-13413.866200000002</v>
      </c>
    </row>
    <row r="29" spans="1:20">
      <c r="A29" s="137" t="s">
        <v>625</v>
      </c>
      <c r="C29" s="401">
        <v>-506</v>
      </c>
      <c r="D29" s="401">
        <v>506</v>
      </c>
      <c r="E29" s="401"/>
      <c r="F29" s="401">
        <v>6386</v>
      </c>
      <c r="G29" s="401">
        <v>6386</v>
      </c>
      <c r="H29" s="401">
        <v>2957</v>
      </c>
      <c r="I29" s="401">
        <v>2994</v>
      </c>
      <c r="J29" s="401">
        <v>7716</v>
      </c>
      <c r="K29" s="401"/>
      <c r="L29" s="401">
        <v>23318</v>
      </c>
      <c r="M29" s="401">
        <v>49564</v>
      </c>
      <c r="N29" s="401">
        <v>-72882</v>
      </c>
      <c r="O29" s="401"/>
      <c r="P29" s="401">
        <v>0</v>
      </c>
      <c r="Q29" s="401">
        <v>0</v>
      </c>
      <c r="R29" s="401">
        <v>0</v>
      </c>
      <c r="S29" s="401">
        <v>0</v>
      </c>
      <c r="T29" s="401">
        <v>0</v>
      </c>
    </row>
    <row r="30" spans="1:20" ht="15" thickBot="1">
      <c r="A30" s="137" t="s">
        <v>603</v>
      </c>
      <c r="C30" s="401"/>
      <c r="D30" s="401"/>
      <c r="E30" s="401"/>
      <c r="F30" s="401"/>
      <c r="G30" s="401"/>
      <c r="H30" s="401"/>
      <c r="I30" s="401"/>
      <c r="J30" s="401"/>
      <c r="K30" s="401"/>
      <c r="L30" s="401"/>
      <c r="M30" s="401"/>
      <c r="N30" s="401">
        <v>0</v>
      </c>
      <c r="O30" s="401"/>
      <c r="P30" s="401">
        <v>0</v>
      </c>
      <c r="Q30" s="401">
        <v>0</v>
      </c>
      <c r="R30" s="401">
        <v>0</v>
      </c>
      <c r="S30" s="401">
        <v>41035</v>
      </c>
      <c r="T30" s="401">
        <v>0</v>
      </c>
    </row>
    <row r="31" spans="1:20" ht="15" thickBot="1">
      <c r="A31" s="140" t="s">
        <v>604</v>
      </c>
      <c r="C31" s="141">
        <f t="shared" ref="C31:L31" si="15">SUM(C27:C30)</f>
        <v>32430.653360000011</v>
      </c>
      <c r="D31" s="141">
        <f t="shared" si="15"/>
        <v>51441.640080000005</v>
      </c>
      <c r="E31" s="141">
        <f t="shared" si="15"/>
        <v>46685.388169999991</v>
      </c>
      <c r="F31" s="141">
        <f t="shared" si="15"/>
        <v>57733.820530000012</v>
      </c>
      <c r="G31" s="141">
        <f t="shared" si="15"/>
        <v>109175.63399999998</v>
      </c>
      <c r="H31" s="141">
        <f t="shared" si="15"/>
        <v>63880.014399999993</v>
      </c>
      <c r="I31" s="141">
        <f t="shared" si="15"/>
        <v>11591.736630000087</v>
      </c>
      <c r="J31" s="141">
        <f t="shared" si="15"/>
        <v>14838.340659999958</v>
      </c>
      <c r="K31" s="141">
        <f t="shared" si="15"/>
        <v>36944.339000000029</v>
      </c>
      <c r="L31" s="141">
        <f t="shared" si="15"/>
        <v>-19739.684849999983</v>
      </c>
      <c r="M31" s="141">
        <f t="shared" ref="M31:T31" si="16">SUM(M27:M30)</f>
        <v>23187.256610000171</v>
      </c>
      <c r="N31" s="141">
        <f t="shared" si="16"/>
        <v>65750.41345999972</v>
      </c>
      <c r="O31" s="141">
        <f t="shared" si="16"/>
        <v>-29292.954679999988</v>
      </c>
      <c r="P31" s="141">
        <f t="shared" si="16"/>
        <v>15556.664480000007</v>
      </c>
      <c r="Q31" s="141">
        <f t="shared" si="16"/>
        <v>97153.311010000092</v>
      </c>
      <c r="R31" s="141">
        <f t="shared" si="16"/>
        <v>79773.97918999994</v>
      </c>
      <c r="S31" s="141">
        <f t="shared" si="16"/>
        <v>56252</v>
      </c>
      <c r="T31" s="141">
        <f t="shared" si="16"/>
        <v>77831.368439999933</v>
      </c>
    </row>
    <row r="32" spans="1:20">
      <c r="R32" s="598"/>
      <c r="S32" s="598"/>
      <c r="T32" s="598"/>
    </row>
  </sheetData>
  <pageMargins left="0.511811024" right="0.511811024" top="0.78740157499999996" bottom="0.78740157499999996" header="0.31496062000000002" footer="0.31496062000000002"/>
  <ignoredErrors>
    <ignoredError sqref="K9:Q9 R9:R15 S9:S22" formulaRange="1"/>
  </ignoredErrors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9" tint="0.79998168889431442"/>
  </sheetPr>
  <dimension ref="A6:AN74"/>
  <sheetViews>
    <sheetView showGridLines="0" zoomScaleNormal="100" workbookViewId="0">
      <pane xSplit="1" ySplit="7" topLeftCell="B8" activePane="bottomRight" state="frozen"/>
      <selection pane="topRight" activeCell="AN17" sqref="AN17"/>
      <selection pane="bottomLeft" activeCell="AN17" sqref="AN17"/>
      <selection pane="bottomRight" activeCell="Q7" sqref="Q7"/>
    </sheetView>
  </sheetViews>
  <sheetFormatPr defaultColWidth="8.7265625" defaultRowHeight="14.5" outlineLevelCol="1"/>
  <cols>
    <col min="1" max="1" width="56.453125" customWidth="1"/>
    <col min="2" max="2" width="0.54296875" customWidth="1"/>
    <col min="3" max="3" width="0" style="37" hidden="1" customWidth="1" outlineLevel="1"/>
    <col min="4" max="7" width="9.1796875" hidden="1" customWidth="1" outlineLevel="1"/>
    <col min="8" max="8" width="9.1796875" customWidth="1" collapsed="1"/>
    <col min="9" max="9" width="9.1796875" customWidth="1"/>
  </cols>
  <sheetData>
    <row r="6" spans="1:40">
      <c r="A6" s="41" t="s">
        <v>142</v>
      </c>
      <c r="C6" s="456" t="s">
        <v>634</v>
      </c>
      <c r="D6" s="457"/>
      <c r="E6" s="457"/>
      <c r="F6" s="457"/>
      <c r="G6" s="457"/>
      <c r="H6" s="457"/>
      <c r="I6" s="457"/>
      <c r="J6" s="457"/>
      <c r="K6" s="457"/>
      <c r="L6" s="457"/>
      <c r="M6" s="457"/>
      <c r="N6" s="457"/>
      <c r="O6" s="457"/>
      <c r="P6" s="457"/>
      <c r="Q6" s="457"/>
    </row>
    <row r="7" spans="1:40" ht="15" thickBot="1">
      <c r="A7" s="544" t="s">
        <v>585</v>
      </c>
      <c r="B7" s="134"/>
      <c r="C7" s="545" t="s">
        <v>40</v>
      </c>
      <c r="D7" s="545" t="s">
        <v>41</v>
      </c>
      <c r="E7" s="545" t="s">
        <v>42</v>
      </c>
      <c r="F7" s="545" t="s">
        <v>43</v>
      </c>
      <c r="G7" s="545" t="s">
        <v>44</v>
      </c>
      <c r="H7" s="545" t="s">
        <v>45</v>
      </c>
      <c r="I7" s="545" t="s">
        <v>46</v>
      </c>
      <c r="J7" s="545" t="s">
        <v>47</v>
      </c>
      <c r="K7" s="545" t="s">
        <v>48</v>
      </c>
      <c r="L7" s="545" t="s">
        <v>49</v>
      </c>
      <c r="M7" s="545" t="s">
        <v>50</v>
      </c>
      <c r="N7" s="549" t="s">
        <v>51</v>
      </c>
      <c r="O7" s="549" t="s">
        <v>52</v>
      </c>
      <c r="P7" s="549" t="s">
        <v>53</v>
      </c>
      <c r="Q7" s="549" t="s">
        <v>54</v>
      </c>
      <c r="R7" s="458"/>
      <c r="S7" s="458"/>
      <c r="T7" s="458"/>
      <c r="U7" s="458"/>
      <c r="V7" s="458"/>
      <c r="W7" s="458"/>
      <c r="X7" s="458"/>
      <c r="Y7" s="458"/>
      <c r="Z7" s="458"/>
      <c r="AA7" s="458"/>
      <c r="AB7" s="458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</row>
    <row r="8" spans="1:40" ht="15" thickBot="1">
      <c r="A8" s="140" t="s">
        <v>635</v>
      </c>
      <c r="B8" s="142"/>
      <c r="C8" s="141">
        <v>271105</v>
      </c>
      <c r="D8" s="141">
        <v>198416</v>
      </c>
      <c r="E8" s="141">
        <v>191403</v>
      </c>
      <c r="F8" s="141">
        <v>324240</v>
      </c>
      <c r="G8" s="141">
        <v>306995</v>
      </c>
      <c r="H8" s="141">
        <v>212302</v>
      </c>
      <c r="I8" s="141">
        <v>203998</v>
      </c>
      <c r="J8" s="141">
        <v>311171</v>
      </c>
      <c r="K8" s="141">
        <v>289548.00000000006</v>
      </c>
      <c r="L8" s="141">
        <v>252261</v>
      </c>
      <c r="M8" s="141">
        <v>215664.00000000003</v>
      </c>
      <c r="N8" s="141">
        <v>293369.11019999994</v>
      </c>
      <c r="O8" s="141">
        <v>315567.95167000015</v>
      </c>
      <c r="P8" s="141">
        <v>212024</v>
      </c>
      <c r="Q8" s="141">
        <v>214550</v>
      </c>
      <c r="R8" s="460"/>
      <c r="S8" s="460"/>
      <c r="T8" s="460"/>
      <c r="U8" s="460"/>
      <c r="V8" s="460"/>
      <c r="W8" s="460"/>
      <c r="X8" s="460"/>
      <c r="Y8" s="460"/>
      <c r="Z8" s="460"/>
      <c r="AA8" s="460"/>
      <c r="AB8" s="460"/>
      <c r="AC8" s="461"/>
      <c r="AD8" s="461"/>
      <c r="AE8" s="461"/>
      <c r="AF8" s="461"/>
      <c r="AG8" s="461"/>
      <c r="AH8" s="461"/>
      <c r="AI8" s="461"/>
      <c r="AJ8" s="461"/>
      <c r="AK8" s="461"/>
      <c r="AL8" s="461"/>
      <c r="AM8" s="461"/>
      <c r="AN8" s="461"/>
    </row>
    <row r="9" spans="1:40" ht="15" thickBot="1">
      <c r="A9" s="140" t="s">
        <v>636</v>
      </c>
      <c r="B9" s="142"/>
      <c r="C9" s="141">
        <f t="shared" ref="C9:I9" si="0">+SUM(C10:C12)</f>
        <v>-9895</v>
      </c>
      <c r="D9" s="141">
        <f t="shared" si="0"/>
        <v>-7242</v>
      </c>
      <c r="E9" s="141">
        <f t="shared" si="0"/>
        <v>-8047</v>
      </c>
      <c r="F9" s="141">
        <f t="shared" si="0"/>
        <v>-13385</v>
      </c>
      <c r="G9" s="141">
        <f t="shared" si="0"/>
        <v>-13668</v>
      </c>
      <c r="H9" s="141">
        <f t="shared" si="0"/>
        <v>-8008</v>
      </c>
      <c r="I9" s="141">
        <f t="shared" si="0"/>
        <v>-7256</v>
      </c>
      <c r="J9" s="141">
        <f t="shared" ref="J9:Q9" si="1">+SUM(J10:J12)</f>
        <v>-11338</v>
      </c>
      <c r="K9" s="141">
        <f t="shared" si="1"/>
        <v>-10903.000000000004</v>
      </c>
      <c r="L9" s="141">
        <f t="shared" si="1"/>
        <v>-11343</v>
      </c>
      <c r="M9" s="141">
        <f t="shared" si="1"/>
        <v>-6328</v>
      </c>
      <c r="N9" s="141">
        <f t="shared" si="1"/>
        <v>-10141</v>
      </c>
      <c r="O9" s="141">
        <f t="shared" si="1"/>
        <v>-11357.148419999998</v>
      </c>
      <c r="P9" s="141">
        <f t="shared" si="1"/>
        <v>-10408</v>
      </c>
      <c r="Q9" s="141">
        <f t="shared" si="1"/>
        <v>-8947</v>
      </c>
      <c r="R9" s="460"/>
      <c r="S9" s="460"/>
      <c r="T9" s="460"/>
      <c r="U9" s="460"/>
      <c r="V9" s="460"/>
      <c r="W9" s="460"/>
      <c r="X9" s="460"/>
      <c r="Y9" s="460"/>
      <c r="Z9" s="460"/>
      <c r="AA9" s="460"/>
      <c r="AB9" s="460"/>
      <c r="AC9" s="461"/>
      <c r="AD9" s="461"/>
      <c r="AE9" s="461"/>
      <c r="AF9" s="461"/>
      <c r="AG9" s="461"/>
      <c r="AH9" s="461"/>
      <c r="AI9" s="461"/>
      <c r="AJ9" s="461"/>
      <c r="AK9" s="461"/>
      <c r="AL9" s="461"/>
      <c r="AM9" s="461"/>
      <c r="AN9" s="461"/>
    </row>
    <row r="10" spans="1:40">
      <c r="A10" s="462" t="s">
        <v>637</v>
      </c>
      <c r="B10" s="134"/>
      <c r="C10" s="142">
        <v>-1762</v>
      </c>
      <c r="D10" s="142">
        <v>-1290</v>
      </c>
      <c r="E10" s="142">
        <v>-1433</v>
      </c>
      <c r="F10" s="142">
        <v>-2387</v>
      </c>
      <c r="G10" s="142">
        <v>-2448</v>
      </c>
      <c r="H10" s="142">
        <v>-1426</v>
      </c>
      <c r="I10" s="142">
        <v>-1292</v>
      </c>
      <c r="J10" s="142">
        <v>-2065</v>
      </c>
      <c r="K10" s="142">
        <v>-1961.0000000000002</v>
      </c>
      <c r="L10" s="142">
        <v>-1845</v>
      </c>
      <c r="M10" s="142">
        <v>-1299</v>
      </c>
      <c r="N10" s="142">
        <v>-1806</v>
      </c>
      <c r="O10" s="142">
        <v>-2022.4574499999999</v>
      </c>
      <c r="P10" s="142">
        <v>-1631</v>
      </c>
      <c r="Q10" s="142">
        <v>-1454</v>
      </c>
    </row>
    <row r="11" spans="1:40">
      <c r="A11" s="462" t="s">
        <v>638</v>
      </c>
      <c r="B11" s="134"/>
      <c r="C11" s="142">
        <v>-8133</v>
      </c>
      <c r="D11" s="142">
        <v>-5952</v>
      </c>
      <c r="E11" s="142">
        <v>-6614</v>
      </c>
      <c r="F11" s="142">
        <v>-10998</v>
      </c>
      <c r="G11" s="142">
        <v>-11220</v>
      </c>
      <c r="H11" s="142">
        <v>-6582</v>
      </c>
      <c r="I11" s="142">
        <v>-5964</v>
      </c>
      <c r="J11" s="142">
        <v>-9245</v>
      </c>
      <c r="K11" s="142">
        <v>-9021.0000000000036</v>
      </c>
      <c r="L11" s="142">
        <v>-8543</v>
      </c>
      <c r="M11" s="142">
        <v>-5969</v>
      </c>
      <c r="N11" s="142">
        <v>-8335</v>
      </c>
      <c r="O11" s="142">
        <v>-9334.8061099999977</v>
      </c>
      <c r="P11" s="142">
        <v>-7526</v>
      </c>
      <c r="Q11" s="142">
        <v>-6708</v>
      </c>
    </row>
    <row r="12" spans="1:40" ht="15" thickBot="1">
      <c r="A12" s="462" t="s">
        <v>639</v>
      </c>
      <c r="B12" s="134"/>
      <c r="C12" s="142"/>
      <c r="D12" s="142"/>
      <c r="E12" s="142"/>
      <c r="F12" s="142"/>
      <c r="G12" s="142"/>
      <c r="H12" s="142"/>
      <c r="I12" s="142"/>
      <c r="J12" s="142">
        <v>-28</v>
      </c>
      <c r="K12" s="142">
        <v>79</v>
      </c>
      <c r="L12" s="142">
        <v>-955</v>
      </c>
      <c r="M12" s="142">
        <v>940</v>
      </c>
      <c r="N12" s="142">
        <v>1.3877787807814457E-14</v>
      </c>
      <c r="O12" s="142">
        <v>0.1151400000003342</v>
      </c>
      <c r="P12" s="142">
        <v>-1251</v>
      </c>
      <c r="Q12" s="142">
        <v>-785</v>
      </c>
    </row>
    <row r="13" spans="1:40" ht="15" thickBot="1">
      <c r="A13" s="140" t="s">
        <v>491</v>
      </c>
      <c r="B13" s="142"/>
      <c r="C13" s="141">
        <f>+C8+C9</f>
        <v>261210</v>
      </c>
      <c r="D13" s="141">
        <f t="shared" ref="D13:M13" si="2">+D8+D9</f>
        <v>191174</v>
      </c>
      <c r="E13" s="141">
        <f t="shared" si="2"/>
        <v>183356</v>
      </c>
      <c r="F13" s="141">
        <f t="shared" si="2"/>
        <v>310855</v>
      </c>
      <c r="G13" s="141">
        <f t="shared" si="2"/>
        <v>293327</v>
      </c>
      <c r="H13" s="141">
        <f t="shared" si="2"/>
        <v>204294</v>
      </c>
      <c r="I13" s="141">
        <f t="shared" si="2"/>
        <v>196742</v>
      </c>
      <c r="J13" s="141">
        <f t="shared" si="2"/>
        <v>299833</v>
      </c>
      <c r="K13" s="141">
        <f t="shared" si="2"/>
        <v>278645.00000000006</v>
      </c>
      <c r="L13" s="141">
        <f t="shared" si="2"/>
        <v>240918</v>
      </c>
      <c r="M13" s="141">
        <f t="shared" si="2"/>
        <v>209336.00000000003</v>
      </c>
      <c r="N13" s="141">
        <f>+N8+N9</f>
        <v>283228.11019999994</v>
      </c>
      <c r="O13" s="141">
        <f>+O8+O9</f>
        <v>304210.80325000017</v>
      </c>
      <c r="P13" s="141">
        <f>+P8+P9</f>
        <v>201616</v>
      </c>
      <c r="Q13" s="141">
        <f>+Q8+Q9</f>
        <v>205603</v>
      </c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</row>
    <row r="14" spans="1:40">
      <c r="A14" s="463" t="s">
        <v>640</v>
      </c>
      <c r="B14" s="142"/>
      <c r="C14" s="460">
        <f>SUM(C15:C21)</f>
        <v>-58906</v>
      </c>
      <c r="D14" s="460">
        <f t="shared" ref="D14:M14" si="3">SUM(D15:D21)</f>
        <v>-58375</v>
      </c>
      <c r="E14" s="460">
        <f t="shared" si="3"/>
        <v>-71839</v>
      </c>
      <c r="F14" s="460">
        <f t="shared" si="3"/>
        <v>-110068</v>
      </c>
      <c r="G14" s="460">
        <f t="shared" si="3"/>
        <v>-79745</v>
      </c>
      <c r="H14" s="460">
        <f t="shared" si="3"/>
        <v>-67093</v>
      </c>
      <c r="I14" s="460">
        <f t="shared" si="3"/>
        <v>-70534</v>
      </c>
      <c r="J14" s="460">
        <f t="shared" si="3"/>
        <v>-68865</v>
      </c>
      <c r="K14" s="460">
        <f t="shared" si="3"/>
        <v>-64443.000000000058</v>
      </c>
      <c r="L14" s="460">
        <f t="shared" si="3"/>
        <v>-83151.392959999997</v>
      </c>
      <c r="M14" s="460">
        <f t="shared" si="3"/>
        <v>-77370</v>
      </c>
      <c r="N14" s="464">
        <f>SUM(N15:N21)</f>
        <v>-72335</v>
      </c>
      <c r="O14" s="464">
        <f>SUM(O15:O21)</f>
        <v>-59340.48002000009</v>
      </c>
      <c r="P14" s="464">
        <f>SUM(P15:P21)</f>
        <v>-76145</v>
      </c>
      <c r="Q14" s="464">
        <f>SUM(Q15:Q21)</f>
        <v>-78185</v>
      </c>
    </row>
    <row r="15" spans="1:40">
      <c r="A15" s="465" t="s">
        <v>641</v>
      </c>
      <c r="B15" s="142"/>
      <c r="C15" s="142">
        <v>-20258</v>
      </c>
      <c r="D15" s="142">
        <v>-19018</v>
      </c>
      <c r="E15" s="142">
        <v>-19077</v>
      </c>
      <c r="F15" s="142">
        <v>-21264</v>
      </c>
      <c r="G15" s="142">
        <v>-26895</v>
      </c>
      <c r="H15" s="142">
        <v>-19750</v>
      </c>
      <c r="I15" s="142">
        <v>-25506</v>
      </c>
      <c r="J15" s="142">
        <v>-26341</v>
      </c>
      <c r="K15" s="142">
        <v>-29412.999999999996</v>
      </c>
      <c r="L15" s="142">
        <v>-27763.94616</v>
      </c>
      <c r="M15" s="142">
        <v>-25286</v>
      </c>
      <c r="N15" s="142">
        <v>-28382</v>
      </c>
      <c r="O15" s="142">
        <v>-20923.254929999923</v>
      </c>
      <c r="P15" s="142">
        <v>-26935</v>
      </c>
      <c r="Q15" s="142">
        <v>-28878</v>
      </c>
    </row>
    <row r="16" spans="1:40">
      <c r="A16" s="465" t="s">
        <v>642</v>
      </c>
      <c r="B16" s="142"/>
      <c r="C16" s="142">
        <v>-12613</v>
      </c>
      <c r="D16" s="142">
        <v>-12039</v>
      </c>
      <c r="E16" s="142">
        <v>-12264</v>
      </c>
      <c r="F16" s="142">
        <v>-15466</v>
      </c>
      <c r="G16" s="142">
        <v>-15664</v>
      </c>
      <c r="H16" s="142">
        <v>-16439</v>
      </c>
      <c r="I16" s="142">
        <v>-16575</v>
      </c>
      <c r="J16" s="142">
        <v>-17665</v>
      </c>
      <c r="K16" s="142">
        <v>-18177</v>
      </c>
      <c r="L16" s="142">
        <v>-18045.446799999998</v>
      </c>
      <c r="M16" s="142">
        <v>-18252</v>
      </c>
      <c r="N16" s="142">
        <v>-19038</v>
      </c>
      <c r="O16" s="142">
        <v>-19737.789059999996</v>
      </c>
      <c r="P16" s="142">
        <v>-19472</v>
      </c>
      <c r="Q16" s="142">
        <v>-20024</v>
      </c>
    </row>
    <row r="17" spans="1:40">
      <c r="A17" s="465" t="s">
        <v>643</v>
      </c>
      <c r="B17" s="142"/>
      <c r="C17" s="142">
        <v>-11972</v>
      </c>
      <c r="D17" s="142">
        <v>-10764</v>
      </c>
      <c r="E17" s="142">
        <v>-21877</v>
      </c>
      <c r="F17" s="142">
        <v>-54337</v>
      </c>
      <c r="G17" s="142">
        <v>-31184</v>
      </c>
      <c r="H17" s="142">
        <v>-11481</v>
      </c>
      <c r="I17" s="142">
        <v>-1103</v>
      </c>
      <c r="J17" s="142">
        <v>-6103</v>
      </c>
      <c r="K17" s="142">
        <v>4291.9999999999982</v>
      </c>
      <c r="L17" s="142">
        <v>-12504</v>
      </c>
      <c r="M17" s="142">
        <v>-8625</v>
      </c>
      <c r="N17" s="142">
        <v>-2678</v>
      </c>
      <c r="O17" s="142">
        <v>-2621.5181999999913</v>
      </c>
      <c r="P17" s="142">
        <v>-6242</v>
      </c>
      <c r="Q17" s="142">
        <v>-4367</v>
      </c>
    </row>
    <row r="18" spans="1:40">
      <c r="A18" s="465" t="s">
        <v>644</v>
      </c>
      <c r="B18" s="142"/>
      <c r="C18" s="142">
        <v>-4157</v>
      </c>
      <c r="D18" s="142">
        <v>-5054</v>
      </c>
      <c r="E18" s="142">
        <v>-6320</v>
      </c>
      <c r="F18" s="142">
        <v>-6827</v>
      </c>
      <c r="G18" s="142">
        <v>-6635</v>
      </c>
      <c r="H18" s="142">
        <v>-7033</v>
      </c>
      <c r="I18" s="142">
        <v>-8196</v>
      </c>
      <c r="J18" s="142">
        <v>-8817</v>
      </c>
      <c r="K18" s="142">
        <v>-5122</v>
      </c>
      <c r="L18" s="142">
        <v>-5502</v>
      </c>
      <c r="M18" s="142">
        <v>-7820</v>
      </c>
      <c r="N18" s="142">
        <v>-6568</v>
      </c>
      <c r="O18" s="142">
        <v>-6884.126470000032</v>
      </c>
      <c r="P18" s="142">
        <v>-6055</v>
      </c>
      <c r="Q18" s="142">
        <v>-8133</v>
      </c>
    </row>
    <row r="19" spans="1:40">
      <c r="A19" s="465" t="s">
        <v>645</v>
      </c>
      <c r="B19" s="142"/>
      <c r="C19" s="142">
        <v>0</v>
      </c>
      <c r="D19" s="142">
        <v>0</v>
      </c>
      <c r="E19" s="142">
        <v>0</v>
      </c>
      <c r="F19" s="142">
        <v>-402</v>
      </c>
      <c r="G19" s="142">
        <v>0</v>
      </c>
      <c r="H19" s="142">
        <v>0</v>
      </c>
      <c r="I19" s="142">
        <v>0</v>
      </c>
      <c r="J19" s="142">
        <v>-2431</v>
      </c>
      <c r="K19" s="142">
        <v>-6419</v>
      </c>
      <c r="L19" s="142">
        <v>-2190</v>
      </c>
      <c r="M19" s="142">
        <v>-4598</v>
      </c>
      <c r="N19" s="142">
        <v>-3576</v>
      </c>
      <c r="O19" s="142">
        <v>-2340.7919500000025</v>
      </c>
      <c r="P19" s="142">
        <v>-2619</v>
      </c>
      <c r="Q19" s="142">
        <v>-1736</v>
      </c>
    </row>
    <row r="20" spans="1:40">
      <c r="A20" s="465" t="s">
        <v>646</v>
      </c>
      <c r="B20" s="144"/>
      <c r="C20" s="142">
        <v>-3576</v>
      </c>
      <c r="D20" s="142">
        <v>-2928</v>
      </c>
      <c r="E20" s="142">
        <v>-4561</v>
      </c>
      <c r="F20" s="142">
        <v>-4883</v>
      </c>
      <c r="G20" s="142">
        <v>-6664</v>
      </c>
      <c r="H20" s="142">
        <v>-4328</v>
      </c>
      <c r="I20" s="142">
        <v>-4935</v>
      </c>
      <c r="J20" s="142">
        <v>-3545</v>
      </c>
      <c r="K20" s="142">
        <v>-5632.0000000000018</v>
      </c>
      <c r="L20" s="142">
        <v>-3156</v>
      </c>
      <c r="M20" s="142">
        <v>-4870</v>
      </c>
      <c r="N20" s="142">
        <v>-3124</v>
      </c>
      <c r="O20" s="142">
        <v>-3393.0902400000396</v>
      </c>
      <c r="P20" s="142">
        <v>-3011</v>
      </c>
      <c r="Q20" s="142">
        <v>-6834</v>
      </c>
      <c r="T20" s="466"/>
    </row>
    <row r="21" spans="1:40" ht="15" thickBot="1">
      <c r="A21" s="465" t="s">
        <v>59</v>
      </c>
      <c r="B21" s="142"/>
      <c r="C21" s="142">
        <v>-6330</v>
      </c>
      <c r="D21" s="142">
        <v>-8572</v>
      </c>
      <c r="E21" s="142">
        <v>-7740</v>
      </c>
      <c r="F21" s="142">
        <v>-6889</v>
      </c>
      <c r="G21" s="142">
        <v>7297</v>
      </c>
      <c r="H21" s="142">
        <v>-8062</v>
      </c>
      <c r="I21" s="142">
        <v>-14219</v>
      </c>
      <c r="J21" s="142">
        <v>-3962.9999999999991</v>
      </c>
      <c r="K21" s="142">
        <v>-3972.0000000000609</v>
      </c>
      <c r="L21" s="142">
        <f>-5096-4471-2194-563-1666</f>
        <v>-13990</v>
      </c>
      <c r="M21" s="142">
        <v>-7919.0000000000009</v>
      </c>
      <c r="N21" s="142">
        <v>-8969.0000000000018</v>
      </c>
      <c r="O21" s="142">
        <v>-3439.9091700001063</v>
      </c>
      <c r="P21" s="142">
        <f>-(3702+4422+2347+328+1012)</f>
        <v>-11811</v>
      </c>
      <c r="Q21" s="142">
        <f>-4375-1198-1487-808-345</f>
        <v>-8213</v>
      </c>
      <c r="T21" s="466"/>
    </row>
    <row r="22" spans="1:40" ht="15" thickBot="1">
      <c r="A22" s="140" t="s">
        <v>647</v>
      </c>
      <c r="B22" s="142"/>
      <c r="C22" s="141">
        <f>SUM(C23:C26)</f>
        <v>-12841</v>
      </c>
      <c r="D22" s="141">
        <f t="shared" ref="D22:M22" si="4">SUM(D23:D26)</f>
        <v>-8681</v>
      </c>
      <c r="E22" s="141">
        <f t="shared" si="4"/>
        <v>-9603</v>
      </c>
      <c r="F22" s="141">
        <f t="shared" si="4"/>
        <v>-10657</v>
      </c>
      <c r="G22" s="141">
        <f t="shared" si="4"/>
        <v>-82082</v>
      </c>
      <c r="H22" s="141">
        <f t="shared" si="4"/>
        <v>-25375</v>
      </c>
      <c r="I22" s="141">
        <f t="shared" si="4"/>
        <v>-12212</v>
      </c>
      <c r="J22" s="141">
        <f t="shared" si="4"/>
        <v>-10088</v>
      </c>
      <c r="K22" s="141">
        <f t="shared" si="4"/>
        <v>-19699.000000000007</v>
      </c>
      <c r="L22" s="141">
        <f t="shared" si="4"/>
        <v>-19347.281479999998</v>
      </c>
      <c r="M22" s="141">
        <f t="shared" si="4"/>
        <v>-7246</v>
      </c>
      <c r="N22" s="141">
        <f>SUM(N23:N26)</f>
        <v>-10596</v>
      </c>
      <c r="O22" s="141">
        <f>SUM(O23:O26)</f>
        <v>-3147.7041399999616</v>
      </c>
      <c r="P22" s="141">
        <f>SUM(P23:P26)</f>
        <v>-11411</v>
      </c>
      <c r="Q22" s="141">
        <f>SUM(Q23:Q26)</f>
        <v>-18505</v>
      </c>
      <c r="R22" s="460"/>
      <c r="S22" s="460"/>
      <c r="T22" s="467"/>
      <c r="U22" s="460"/>
      <c r="V22" s="460"/>
      <c r="W22" s="460"/>
      <c r="X22" s="460"/>
      <c r="Y22" s="460"/>
      <c r="Z22" s="460"/>
      <c r="AA22" s="460"/>
      <c r="AB22" s="460"/>
      <c r="AC22" s="461"/>
      <c r="AD22" s="461"/>
      <c r="AE22" s="461"/>
      <c r="AF22" s="461"/>
      <c r="AG22" s="461"/>
      <c r="AH22" s="461"/>
      <c r="AI22" s="461"/>
      <c r="AJ22" s="461"/>
      <c r="AK22" s="461"/>
      <c r="AL22" s="461"/>
      <c r="AM22" s="461"/>
      <c r="AN22" s="461"/>
    </row>
    <row r="23" spans="1:40">
      <c r="A23" s="465" t="s">
        <v>648</v>
      </c>
      <c r="B23" s="142"/>
      <c r="C23" s="142">
        <v>0</v>
      </c>
      <c r="D23" s="142">
        <v>0</v>
      </c>
      <c r="E23" s="142">
        <v>0</v>
      </c>
      <c r="F23" s="142">
        <v>0</v>
      </c>
      <c r="G23" s="142">
        <v>-68935</v>
      </c>
      <c r="H23" s="142">
        <v>0</v>
      </c>
      <c r="I23" s="142">
        <v>0</v>
      </c>
      <c r="J23" s="142">
        <v>0</v>
      </c>
      <c r="K23" s="142">
        <v>-14972</v>
      </c>
      <c r="L23" s="142">
        <v>0</v>
      </c>
      <c r="M23" s="142">
        <v>0</v>
      </c>
      <c r="N23" s="142" t="s">
        <v>371</v>
      </c>
      <c r="O23" s="142" t="s">
        <v>371</v>
      </c>
      <c r="P23" s="142" t="s">
        <v>371</v>
      </c>
      <c r="Q23" s="142"/>
      <c r="T23" s="466"/>
    </row>
    <row r="24" spans="1:40">
      <c r="A24" s="465" t="s">
        <v>644</v>
      </c>
      <c r="B24" s="142"/>
      <c r="C24" s="142">
        <v>-1776</v>
      </c>
      <c r="D24" s="142">
        <v>-4345</v>
      </c>
      <c r="E24" s="142">
        <v>-4356</v>
      </c>
      <c r="F24" s="142">
        <v>-4418</v>
      </c>
      <c r="G24" s="142">
        <v>-4465</v>
      </c>
      <c r="H24" s="142">
        <v>-20139</v>
      </c>
      <c r="I24" s="142">
        <v>-5170</v>
      </c>
      <c r="J24" s="142">
        <v>-4162</v>
      </c>
      <c r="K24" s="142">
        <v>8456.9999999999964</v>
      </c>
      <c r="L24" s="142">
        <v>-5606.2814799999996</v>
      </c>
      <c r="M24" s="142">
        <v>-5158</v>
      </c>
      <c r="N24" s="142">
        <v>-6376</v>
      </c>
      <c r="O24" s="142">
        <v>-1133.2843699999576</v>
      </c>
      <c r="P24" s="142">
        <v>-6075</v>
      </c>
      <c r="Q24" s="142">
        <v>-11202</v>
      </c>
      <c r="T24" s="466"/>
    </row>
    <row r="25" spans="1:40">
      <c r="A25" s="465" t="s">
        <v>646</v>
      </c>
      <c r="B25" s="134"/>
      <c r="C25" s="142">
        <v>-5554</v>
      </c>
      <c r="D25" s="142">
        <v>-2602</v>
      </c>
      <c r="E25" s="142">
        <v>-2736</v>
      </c>
      <c r="F25" s="142">
        <v>-4708</v>
      </c>
      <c r="G25" s="142">
        <v>-4885</v>
      </c>
      <c r="H25" s="142">
        <v>-4110</v>
      </c>
      <c r="I25" s="142">
        <v>-4916</v>
      </c>
      <c r="J25" s="142">
        <v>-4478</v>
      </c>
      <c r="K25" s="142">
        <v>-6130.0000000000009</v>
      </c>
      <c r="L25" s="142">
        <v>-13015</v>
      </c>
      <c r="M25" s="142">
        <v>-488</v>
      </c>
      <c r="N25" s="142">
        <v>-2630</v>
      </c>
      <c r="O25" s="142">
        <v>-1424.8727100000133</v>
      </c>
      <c r="P25" s="142">
        <v>-3225</v>
      </c>
      <c r="Q25" s="142">
        <v>-2836</v>
      </c>
      <c r="T25" s="466"/>
      <c r="U25" s="466"/>
    </row>
    <row r="26" spans="1:40">
      <c r="A26" s="465" t="s">
        <v>59</v>
      </c>
      <c r="B26" s="134"/>
      <c r="C26" s="142">
        <v>-5511</v>
      </c>
      <c r="D26" s="142">
        <v>-1734</v>
      </c>
      <c r="E26" s="142">
        <v>-2511</v>
      </c>
      <c r="F26" s="142">
        <v>-1531</v>
      </c>
      <c r="G26" s="142">
        <v>-3797</v>
      </c>
      <c r="H26" s="142">
        <v>-1126</v>
      </c>
      <c r="I26" s="142">
        <v>-2126</v>
      </c>
      <c r="J26" s="142">
        <v>-1448</v>
      </c>
      <c r="K26" s="142">
        <v>-7054.0000000000018</v>
      </c>
      <c r="L26" s="142">
        <f>-289-215-222</f>
        <v>-726</v>
      </c>
      <c r="M26" s="142">
        <v>-1600</v>
      </c>
      <c r="N26" s="142">
        <v>-1590</v>
      </c>
      <c r="O26" s="142">
        <v>-589.54705999999101</v>
      </c>
      <c r="P26" s="142">
        <f>-(144+145+1822)</f>
        <v>-2111</v>
      </c>
      <c r="Q26" s="142">
        <f>-1304-122-3041</f>
        <v>-4467</v>
      </c>
      <c r="T26" s="466"/>
      <c r="U26" s="466"/>
    </row>
    <row r="27" spans="1:40">
      <c r="A27" s="462" t="s">
        <v>649</v>
      </c>
      <c r="B27" s="134"/>
      <c r="C27" s="142">
        <v>631</v>
      </c>
      <c r="D27" s="142">
        <v>0</v>
      </c>
      <c r="E27" s="142">
        <v>0</v>
      </c>
      <c r="F27" s="142">
        <v>0</v>
      </c>
      <c r="G27" s="142">
        <v>1159</v>
      </c>
      <c r="H27" s="142">
        <v>0</v>
      </c>
      <c r="I27" s="142">
        <v>0</v>
      </c>
      <c r="J27" s="142">
        <v>0</v>
      </c>
      <c r="K27" s="142">
        <v>0</v>
      </c>
      <c r="L27" s="142">
        <v>-445</v>
      </c>
      <c r="M27" s="142">
        <v>-36</v>
      </c>
      <c r="N27" s="142">
        <v>-764</v>
      </c>
      <c r="O27" s="142">
        <v>-25164.784040000042</v>
      </c>
      <c r="P27" s="142">
        <v>59</v>
      </c>
      <c r="Q27" s="142">
        <v>63</v>
      </c>
      <c r="T27" s="466"/>
      <c r="U27" s="467"/>
    </row>
    <row r="28" spans="1:40">
      <c r="A28" s="462" t="s">
        <v>650</v>
      </c>
      <c r="B28" s="134"/>
      <c r="C28" s="142">
        <v>-1085</v>
      </c>
      <c r="D28" s="142">
        <v>0</v>
      </c>
      <c r="E28" s="142">
        <v>0</v>
      </c>
      <c r="F28" s="142">
        <v>557</v>
      </c>
      <c r="G28" s="142">
        <v>-557</v>
      </c>
      <c r="H28" s="142">
        <v>0</v>
      </c>
      <c r="I28" s="142">
        <v>0</v>
      </c>
      <c r="J28" s="142">
        <v>0</v>
      </c>
      <c r="K28" s="142">
        <v>0</v>
      </c>
      <c r="L28" s="142"/>
      <c r="M28" s="142">
        <v>0</v>
      </c>
      <c r="N28" s="142"/>
      <c r="O28" s="142"/>
      <c r="P28" s="142"/>
      <c r="Q28" s="142"/>
      <c r="U28" s="466"/>
    </row>
    <row r="29" spans="1:40">
      <c r="A29" s="551" t="s">
        <v>529</v>
      </c>
      <c r="B29" s="142"/>
      <c r="C29" s="550">
        <f>+C13+C14+C22+C27+C28</f>
        <v>189009</v>
      </c>
      <c r="D29" s="550">
        <f t="shared" ref="D29:M29" si="5">+D13+D14+D22+D27+D28</f>
        <v>124118</v>
      </c>
      <c r="E29" s="550">
        <f t="shared" si="5"/>
        <v>101914</v>
      </c>
      <c r="F29" s="550">
        <f t="shared" si="5"/>
        <v>190687</v>
      </c>
      <c r="G29" s="550">
        <f t="shared" si="5"/>
        <v>132102</v>
      </c>
      <c r="H29" s="550">
        <f t="shared" si="5"/>
        <v>111826</v>
      </c>
      <c r="I29" s="550">
        <f t="shared" si="5"/>
        <v>113996</v>
      </c>
      <c r="J29" s="550">
        <f t="shared" si="5"/>
        <v>220880</v>
      </c>
      <c r="K29" s="550">
        <f t="shared" si="5"/>
        <v>194503</v>
      </c>
      <c r="L29" s="550">
        <f t="shared" si="5"/>
        <v>137974.32556</v>
      </c>
      <c r="M29" s="550">
        <f t="shared" si="5"/>
        <v>124684.00000000003</v>
      </c>
      <c r="N29" s="550">
        <f>+N13+N14+N22+N27+N28</f>
        <v>199533.11019999994</v>
      </c>
      <c r="O29" s="550">
        <f>+O13+O14+O22+O27+O28</f>
        <v>216557.83505000011</v>
      </c>
      <c r="P29" s="550">
        <f>+P13+P14+P22+P27+P28</f>
        <v>114119</v>
      </c>
      <c r="Q29" s="550">
        <f>+Q13+Q14+Q22+Q27+Q28</f>
        <v>108976</v>
      </c>
      <c r="R29" s="468"/>
      <c r="S29" s="468"/>
      <c r="T29" s="468"/>
      <c r="U29" s="468"/>
      <c r="V29" s="468"/>
      <c r="W29" s="468"/>
      <c r="X29" s="468"/>
      <c r="Y29" s="468"/>
      <c r="Z29" s="468"/>
      <c r="AA29" s="468"/>
      <c r="AB29" s="468"/>
      <c r="AC29" s="469"/>
      <c r="AD29" s="470"/>
      <c r="AE29" s="470"/>
      <c r="AF29" s="470"/>
      <c r="AG29" s="470"/>
      <c r="AH29" s="470"/>
      <c r="AI29" s="470"/>
      <c r="AJ29" s="470"/>
      <c r="AK29" s="470"/>
      <c r="AL29" s="470"/>
      <c r="AM29" s="470"/>
      <c r="AN29" s="470"/>
    </row>
    <row r="30" spans="1:40" s="476" customFormat="1">
      <c r="A30" s="134" t="s">
        <v>651</v>
      </c>
      <c r="B30" s="142"/>
      <c r="C30" s="471">
        <v>-67143</v>
      </c>
      <c r="D30" s="471">
        <v>-62475</v>
      </c>
      <c r="E30" s="471">
        <v>-62689</v>
      </c>
      <c r="F30" s="471">
        <v>-64196</v>
      </c>
      <c r="G30" s="471">
        <v>-66490</v>
      </c>
      <c r="H30" s="471">
        <v>-75223</v>
      </c>
      <c r="I30" s="471">
        <v>-71270</v>
      </c>
      <c r="J30" s="471">
        <v>-73413</v>
      </c>
      <c r="K30" s="471">
        <v>-78914</v>
      </c>
      <c r="L30" s="471">
        <f>-64719-1275-9441-533-148</f>
        <v>-76116</v>
      </c>
      <c r="M30" s="471">
        <v>-75285</v>
      </c>
      <c r="N30" s="472">
        <v>-74291.000000000015</v>
      </c>
      <c r="O30" s="472">
        <v>-30116.380319955439</v>
      </c>
      <c r="P30" s="472">
        <f>-(9441+679+138+51545+2622)</f>
        <v>-64425</v>
      </c>
      <c r="Q30" s="472">
        <f>-9440-417-117-51539-2884</f>
        <v>-64397</v>
      </c>
      <c r="R30" s="473"/>
      <c r="S30" s="473"/>
      <c r="T30" s="473"/>
      <c r="U30" s="473"/>
      <c r="V30" s="473"/>
      <c r="W30" s="473"/>
      <c r="X30" s="473"/>
      <c r="Y30" s="473"/>
      <c r="Z30" s="473"/>
      <c r="AA30" s="473"/>
      <c r="AB30" s="473"/>
      <c r="AC30" s="474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</row>
    <row r="31" spans="1:40" s="476" customFormat="1">
      <c r="A31" s="477" t="s">
        <v>601</v>
      </c>
      <c r="B31" s="142"/>
      <c r="C31" s="478">
        <f>+SUM(C29:C30)</f>
        <v>121866</v>
      </c>
      <c r="D31" s="478">
        <f t="shared" ref="D31:I31" si="6">+SUM(D29:D30)</f>
        <v>61643</v>
      </c>
      <c r="E31" s="478">
        <f t="shared" si="6"/>
        <v>39225</v>
      </c>
      <c r="F31" s="478">
        <f t="shared" si="6"/>
        <v>126491</v>
      </c>
      <c r="G31" s="478">
        <f t="shared" si="6"/>
        <v>65612</v>
      </c>
      <c r="H31" s="478">
        <f t="shared" si="6"/>
        <v>36603</v>
      </c>
      <c r="I31" s="478">
        <f t="shared" si="6"/>
        <v>42726</v>
      </c>
      <c r="J31" s="478">
        <f t="shared" ref="J31:O31" si="7">+SUM(J29:J30)</f>
        <v>147467</v>
      </c>
      <c r="K31" s="478">
        <f t="shared" si="7"/>
        <v>115589</v>
      </c>
      <c r="L31" s="478">
        <f t="shared" si="7"/>
        <v>61858.325559999997</v>
      </c>
      <c r="M31" s="478">
        <f t="shared" si="7"/>
        <v>49399.000000000029</v>
      </c>
      <c r="N31" s="479">
        <f t="shared" si="7"/>
        <v>125242.11019999992</v>
      </c>
      <c r="O31" s="479">
        <f t="shared" si="7"/>
        <v>186441.45473004467</v>
      </c>
      <c r="P31" s="479">
        <f t="shared" ref="P31:Q31" si="8">+SUM(P29:P30)</f>
        <v>49694</v>
      </c>
      <c r="Q31" s="479">
        <f t="shared" si="8"/>
        <v>44579</v>
      </c>
      <c r="R31" s="480"/>
      <c r="S31" s="480"/>
      <c r="T31" s="480"/>
      <c r="U31" s="480"/>
      <c r="V31" s="480"/>
      <c r="W31" s="480"/>
      <c r="X31" s="480"/>
      <c r="Y31" s="480"/>
      <c r="Z31" s="480"/>
      <c r="AA31" s="480"/>
      <c r="AB31" s="480"/>
      <c r="AC31" s="481"/>
      <c r="AD31" s="482"/>
      <c r="AE31" s="482"/>
      <c r="AF31" s="482"/>
      <c r="AG31" s="482"/>
      <c r="AH31" s="482"/>
      <c r="AI31" s="482"/>
      <c r="AJ31" s="482"/>
      <c r="AK31" s="482"/>
      <c r="AL31" s="482"/>
      <c r="AM31" s="482"/>
      <c r="AN31" s="482"/>
    </row>
    <row r="32" spans="1:40" s="476" customFormat="1">
      <c r="A32" s="477" t="s">
        <v>531</v>
      </c>
      <c r="B32" s="142"/>
      <c r="C32" s="478">
        <f>+SUM(C33:C34)</f>
        <v>-93474</v>
      </c>
      <c r="D32" s="478">
        <f t="shared" ref="D32:I32" si="9">+SUM(D33:D34)</f>
        <v>-101383</v>
      </c>
      <c r="E32" s="478">
        <f t="shared" si="9"/>
        <v>-97082</v>
      </c>
      <c r="F32" s="478">
        <f t="shared" si="9"/>
        <v>-110203</v>
      </c>
      <c r="G32" s="478">
        <f t="shared" si="9"/>
        <v>-270445</v>
      </c>
      <c r="H32" s="478">
        <f t="shared" si="9"/>
        <v>-114954</v>
      </c>
      <c r="I32" s="478">
        <f t="shared" si="9"/>
        <v>-129750</v>
      </c>
      <c r="J32" s="478">
        <f t="shared" ref="J32:O32" si="10">+SUM(J33:J34)</f>
        <v>-57270.000000000015</v>
      </c>
      <c r="K32" s="478">
        <f t="shared" si="10"/>
        <v>-62299</v>
      </c>
      <c r="L32" s="478">
        <f t="shared" si="10"/>
        <v>-90569</v>
      </c>
      <c r="M32" s="478">
        <f t="shared" si="10"/>
        <v>-85892</v>
      </c>
      <c r="N32" s="479">
        <f t="shared" si="10"/>
        <v>-49793</v>
      </c>
      <c r="O32" s="479">
        <f t="shared" si="10"/>
        <v>-68793.878479999941</v>
      </c>
      <c r="P32" s="479">
        <f t="shared" ref="P32:Q32" si="11">+SUM(P33:P34)</f>
        <v>-72304</v>
      </c>
      <c r="Q32" s="479">
        <f t="shared" si="11"/>
        <v>-66922</v>
      </c>
      <c r="R32" s="480"/>
      <c r="S32" s="480"/>
      <c r="T32" s="480"/>
      <c r="U32" s="480"/>
      <c r="V32" s="480"/>
      <c r="W32" s="480"/>
      <c r="X32" s="480"/>
      <c r="Y32" s="480"/>
      <c r="Z32" s="480"/>
      <c r="AA32" s="480"/>
      <c r="AB32" s="480"/>
      <c r="AC32" s="481"/>
      <c r="AD32" s="482"/>
      <c r="AE32" s="482"/>
      <c r="AF32" s="482"/>
      <c r="AG32" s="482"/>
      <c r="AH32" s="482"/>
      <c r="AI32" s="482"/>
      <c r="AJ32" s="482"/>
      <c r="AK32" s="482"/>
      <c r="AL32" s="482"/>
      <c r="AM32" s="482"/>
      <c r="AN32" s="482"/>
    </row>
    <row r="33" spans="1:40">
      <c r="A33" s="483" t="s">
        <v>532</v>
      </c>
      <c r="B33" s="134"/>
      <c r="C33" s="484">
        <v>6706</v>
      </c>
      <c r="D33" s="484">
        <v>2763</v>
      </c>
      <c r="E33" s="484">
        <v>5720</v>
      </c>
      <c r="F33" s="484">
        <v>10097</v>
      </c>
      <c r="G33" s="484">
        <v>15331</v>
      </c>
      <c r="H33" s="484">
        <v>17213</v>
      </c>
      <c r="I33" s="484">
        <v>21515</v>
      </c>
      <c r="J33" s="484">
        <v>25351</v>
      </c>
      <c r="K33" s="484">
        <v>29656.999999999996</v>
      </c>
      <c r="L33" s="484">
        <v>30531</v>
      </c>
      <c r="M33" s="484">
        <v>26853</v>
      </c>
      <c r="N33" s="485">
        <v>28646</v>
      </c>
      <c r="O33" s="485">
        <v>25976.087220000019</v>
      </c>
      <c r="P33" s="485">
        <v>23036</v>
      </c>
      <c r="Q33" s="485">
        <v>20769</v>
      </c>
    </row>
    <row r="34" spans="1:40" ht="15" thickBot="1">
      <c r="A34" s="486" t="s">
        <v>541</v>
      </c>
      <c r="B34" s="142"/>
      <c r="C34" s="484">
        <v>-100180</v>
      </c>
      <c r="D34" s="484">
        <v>-104146</v>
      </c>
      <c r="E34" s="484">
        <v>-102802</v>
      </c>
      <c r="F34" s="484">
        <v>-120300</v>
      </c>
      <c r="G34" s="484">
        <v>-285776</v>
      </c>
      <c r="H34" s="484">
        <v>-132167</v>
      </c>
      <c r="I34" s="484">
        <v>-151265</v>
      </c>
      <c r="J34" s="484">
        <v>-82621.000000000015</v>
      </c>
      <c r="K34" s="484">
        <v>-91956</v>
      </c>
      <c r="L34" s="484">
        <v>-121100</v>
      </c>
      <c r="M34" s="484">
        <v>-112745</v>
      </c>
      <c r="N34" s="485">
        <v>-78439</v>
      </c>
      <c r="O34" s="485">
        <v>-94769.965699999957</v>
      </c>
      <c r="P34" s="485">
        <v>-95340</v>
      </c>
      <c r="Q34" s="485">
        <v>-87691</v>
      </c>
      <c r="R34" s="460"/>
      <c r="S34" s="460"/>
      <c r="T34" s="460"/>
      <c r="U34" s="460"/>
      <c r="V34" s="460"/>
      <c r="W34" s="460"/>
      <c r="X34" s="460"/>
      <c r="Y34" s="460"/>
      <c r="Z34" s="460"/>
      <c r="AA34" s="460"/>
      <c r="AB34" s="460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</row>
    <row r="35" spans="1:40" ht="15" thickBot="1">
      <c r="A35" s="140" t="s">
        <v>602</v>
      </c>
      <c r="B35" s="142"/>
      <c r="C35" s="141">
        <f>+C31+C32</f>
        <v>28392</v>
      </c>
      <c r="D35" s="141">
        <f t="shared" ref="D35:M35" si="12">+D31+D32</f>
        <v>-39740</v>
      </c>
      <c r="E35" s="141">
        <f t="shared" si="12"/>
        <v>-57857</v>
      </c>
      <c r="F35" s="141">
        <f t="shared" si="12"/>
        <v>16288</v>
      </c>
      <c r="G35" s="141">
        <f t="shared" si="12"/>
        <v>-204833</v>
      </c>
      <c r="H35" s="141">
        <f t="shared" si="12"/>
        <v>-78351</v>
      </c>
      <c r="I35" s="141">
        <f t="shared" si="12"/>
        <v>-87024</v>
      </c>
      <c r="J35" s="141">
        <f t="shared" si="12"/>
        <v>90196.999999999985</v>
      </c>
      <c r="K35" s="141">
        <f t="shared" si="12"/>
        <v>53290</v>
      </c>
      <c r="L35" s="141">
        <f t="shared" si="12"/>
        <v>-28710.674440000003</v>
      </c>
      <c r="M35" s="141">
        <f t="shared" si="12"/>
        <v>-36492.999999999971</v>
      </c>
      <c r="N35" s="141">
        <f>+N31+N32</f>
        <v>75449.110199999923</v>
      </c>
      <c r="O35" s="141">
        <f>+O31+O32</f>
        <v>117647.57625004473</v>
      </c>
      <c r="P35" s="141">
        <f>+P31+P32</f>
        <v>-22610</v>
      </c>
      <c r="Q35" s="141">
        <f>+Q31+Q32</f>
        <v>-22343</v>
      </c>
      <c r="R35" s="460"/>
      <c r="S35" s="460"/>
      <c r="T35" s="460"/>
      <c r="U35" s="460"/>
      <c r="V35" s="460"/>
      <c r="W35" s="460"/>
      <c r="X35" s="460"/>
      <c r="Y35" s="460"/>
      <c r="Z35" s="460"/>
      <c r="AA35" s="460"/>
      <c r="AB35" s="460"/>
      <c r="AC35" s="461"/>
      <c r="AD35" s="461"/>
      <c r="AE35" s="461"/>
      <c r="AF35" s="461"/>
      <c r="AG35" s="461"/>
      <c r="AH35" s="461"/>
      <c r="AI35" s="461"/>
      <c r="AJ35" s="461"/>
      <c r="AK35" s="461"/>
      <c r="AL35" s="461"/>
      <c r="AM35" s="461"/>
      <c r="AN35" s="461"/>
    </row>
    <row r="36" spans="1:40">
      <c r="A36" s="483" t="s">
        <v>652</v>
      </c>
      <c r="B36" s="134"/>
      <c r="C36" s="484">
        <v>3209</v>
      </c>
      <c r="D36" s="484">
        <v>3210</v>
      </c>
      <c r="E36" s="484">
        <v>3209</v>
      </c>
      <c r="F36" s="484">
        <v>3209</v>
      </c>
      <c r="G36" s="484">
        <v>3211</v>
      </c>
      <c r="H36" s="484">
        <v>3210</v>
      </c>
      <c r="I36" s="484">
        <v>3210</v>
      </c>
      <c r="J36" s="484">
        <v>3210</v>
      </c>
      <c r="K36" s="484">
        <v>2585</v>
      </c>
      <c r="L36" s="484">
        <v>3304</v>
      </c>
      <c r="M36" s="484">
        <v>3225</v>
      </c>
      <c r="N36" s="485">
        <v>3210</v>
      </c>
      <c r="O36" s="485">
        <v>3210</v>
      </c>
      <c r="P36" s="485">
        <v>3210</v>
      </c>
      <c r="Q36" s="485">
        <v>3209</v>
      </c>
    </row>
    <row r="37" spans="1:40" ht="15" thickBot="1">
      <c r="A37" s="483" t="s">
        <v>653</v>
      </c>
      <c r="B37" s="134"/>
      <c r="C37" s="484">
        <v>-9151</v>
      </c>
      <c r="D37" s="484">
        <v>-6562</v>
      </c>
      <c r="E37" s="484">
        <v>-6389</v>
      </c>
      <c r="F37" s="484">
        <v>-14599</v>
      </c>
      <c r="G37" s="484">
        <v>-12226</v>
      </c>
      <c r="H37" s="484">
        <v>-10936</v>
      </c>
      <c r="I37" s="484">
        <v>-13059</v>
      </c>
      <c r="J37" s="484">
        <v>-17195</v>
      </c>
      <c r="K37" s="484">
        <v>-20283</v>
      </c>
      <c r="L37" s="484">
        <v>-16327.986955795997</v>
      </c>
      <c r="M37" s="484">
        <v>-15709</v>
      </c>
      <c r="N37" s="485">
        <v>-21492</v>
      </c>
      <c r="O37" s="485">
        <v>-19816</v>
      </c>
      <c r="P37" s="485">
        <v>-14285</v>
      </c>
      <c r="Q37" s="485">
        <v>-12695</v>
      </c>
    </row>
    <row r="38" spans="1:40" ht="15" thickBot="1">
      <c r="A38" s="140" t="s">
        <v>654</v>
      </c>
      <c r="B38" s="142"/>
      <c r="C38" s="141">
        <f>+SUM(C35:C37)</f>
        <v>22450</v>
      </c>
      <c r="D38" s="141">
        <f t="shared" ref="D38:M38" si="13">+SUM(D35:D37)</f>
        <v>-43092</v>
      </c>
      <c r="E38" s="141">
        <f t="shared" si="13"/>
        <v>-61037</v>
      </c>
      <c r="F38" s="141">
        <f t="shared" si="13"/>
        <v>4898</v>
      </c>
      <c r="G38" s="141">
        <f t="shared" si="13"/>
        <v>-213848</v>
      </c>
      <c r="H38" s="141">
        <f t="shared" si="13"/>
        <v>-86077</v>
      </c>
      <c r="I38" s="141">
        <f t="shared" si="13"/>
        <v>-96873</v>
      </c>
      <c r="J38" s="141">
        <f t="shared" si="13"/>
        <v>76211.999999999985</v>
      </c>
      <c r="K38" s="141">
        <f t="shared" si="13"/>
        <v>35592</v>
      </c>
      <c r="L38" s="141">
        <f t="shared" si="13"/>
        <v>-41734.661395796</v>
      </c>
      <c r="M38" s="141">
        <f t="shared" si="13"/>
        <v>-48976.999999999971</v>
      </c>
      <c r="N38" s="141">
        <f>+SUM(N35:N37)</f>
        <v>57167.110199999923</v>
      </c>
      <c r="O38" s="141">
        <f>+SUM(O35:O37)</f>
        <v>101041.57625004473</v>
      </c>
      <c r="P38" s="141">
        <f>+SUM(P35:P37)</f>
        <v>-33685</v>
      </c>
      <c r="Q38" s="141">
        <f>+SUM(Q35:Q37)</f>
        <v>-31829</v>
      </c>
      <c r="R38" s="460"/>
      <c r="S38" s="460"/>
      <c r="T38" s="460"/>
      <c r="U38" s="460"/>
      <c r="V38" s="460"/>
      <c r="W38" s="460"/>
      <c r="X38" s="460"/>
      <c r="Y38" s="460"/>
      <c r="Z38" s="460"/>
      <c r="AA38" s="460"/>
      <c r="AB38" s="460"/>
      <c r="AC38" s="461"/>
      <c r="AD38" s="461"/>
      <c r="AE38" s="461"/>
      <c r="AF38" s="461"/>
      <c r="AG38" s="461"/>
      <c r="AH38" s="461"/>
      <c r="AI38" s="461"/>
      <c r="AJ38" s="461"/>
      <c r="AK38" s="461"/>
      <c r="AL38" s="461"/>
      <c r="AM38" s="461"/>
      <c r="AN38" s="461"/>
    </row>
    <row r="39" spans="1:40">
      <c r="C39"/>
    </row>
    <row r="40" spans="1:40">
      <c r="C40"/>
    </row>
    <row r="41" spans="1:40">
      <c r="C41"/>
    </row>
    <row r="42" spans="1:40">
      <c r="C42"/>
    </row>
    <row r="43" spans="1:40">
      <c r="C43"/>
    </row>
    <row r="44" spans="1:40">
      <c r="C44"/>
    </row>
    <row r="45" spans="1:40">
      <c r="C45"/>
    </row>
    <row r="46" spans="1:40">
      <c r="C46"/>
    </row>
    <row r="47" spans="1:40">
      <c r="C47"/>
    </row>
    <row r="48" spans="1:40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  <row r="63" spans="3:3">
      <c r="C63"/>
    </row>
    <row r="64" spans="3:3">
      <c r="C64"/>
    </row>
    <row r="65" spans="3:3">
      <c r="C65"/>
    </row>
    <row r="66" spans="3:3">
      <c r="C66"/>
    </row>
    <row r="67" spans="3:3">
      <c r="C67"/>
    </row>
    <row r="68" spans="3:3">
      <c r="C68"/>
    </row>
    <row r="69" spans="3:3">
      <c r="C69"/>
    </row>
    <row r="70" spans="3:3">
      <c r="C70"/>
    </row>
    <row r="71" spans="3:3">
      <c r="C71"/>
    </row>
    <row r="72" spans="3:3">
      <c r="C72"/>
    </row>
    <row r="73" spans="3:3">
      <c r="C73"/>
    </row>
    <row r="74" spans="3:3">
      <c r="C74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H22:O22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79998168889431442"/>
  </sheetPr>
  <dimension ref="B6:AV90"/>
  <sheetViews>
    <sheetView zoomScale="85" zoomScaleNormal="85" workbookViewId="0">
      <pane xSplit="2" ySplit="6" topLeftCell="AG27" activePane="bottomRight" state="frozen"/>
      <selection pane="topRight" activeCell="G18" sqref="G18"/>
      <selection pane="bottomLeft" activeCell="G18" sqref="G18"/>
      <selection pane="bottomRight" activeCell="BB75" sqref="BB75"/>
    </sheetView>
  </sheetViews>
  <sheetFormatPr defaultColWidth="9.1796875" defaultRowHeight="13" outlineLevelCol="1"/>
  <cols>
    <col min="1" max="1" width="5.1796875" style="61" customWidth="1"/>
    <col min="2" max="2" width="34" style="61" customWidth="1"/>
    <col min="3" max="26" width="12.453125" style="61" hidden="1" customWidth="1" outlineLevel="1"/>
    <col min="27" max="27" width="12.453125" style="61" customWidth="1" collapsed="1"/>
    <col min="28" max="39" width="12.453125" style="61" customWidth="1"/>
    <col min="40" max="48" width="12.453125" style="61" bestFit="1" customWidth="1"/>
    <col min="49" max="16384" width="9.1796875" style="61"/>
  </cols>
  <sheetData>
    <row r="6" spans="2:48">
      <c r="B6" s="533" t="s">
        <v>90</v>
      </c>
      <c r="C6" s="129" t="s">
        <v>9</v>
      </c>
      <c r="D6" s="129" t="s">
        <v>10</v>
      </c>
      <c r="E6" s="129" t="s">
        <v>11</v>
      </c>
      <c r="F6" s="129" t="s">
        <v>12</v>
      </c>
      <c r="G6" s="129" t="s">
        <v>13</v>
      </c>
      <c r="H6" s="129" t="s">
        <v>14</v>
      </c>
      <c r="I6" s="129" t="s">
        <v>15</v>
      </c>
      <c r="J6" s="129" t="s">
        <v>16</v>
      </c>
      <c r="K6" s="129" t="s">
        <v>17</v>
      </c>
      <c r="L6" s="129" t="s">
        <v>18</v>
      </c>
      <c r="M6" s="129" t="s">
        <v>19</v>
      </c>
      <c r="N6" s="129" t="s">
        <v>20</v>
      </c>
      <c r="O6" s="129" t="s">
        <v>21</v>
      </c>
      <c r="P6" s="129" t="s">
        <v>22</v>
      </c>
      <c r="Q6" s="129" t="s">
        <v>23</v>
      </c>
      <c r="R6" s="129" t="s">
        <v>24</v>
      </c>
      <c r="S6" s="129" t="s">
        <v>25</v>
      </c>
      <c r="T6" s="129" t="s">
        <v>26</v>
      </c>
      <c r="U6" s="129" t="s">
        <v>27</v>
      </c>
      <c r="V6" s="129" t="s">
        <v>28</v>
      </c>
      <c r="W6" s="129" t="s">
        <v>29</v>
      </c>
      <c r="X6" s="129" t="s">
        <v>30</v>
      </c>
      <c r="Y6" s="129" t="s">
        <v>31</v>
      </c>
      <c r="Z6" s="129" t="s">
        <v>32</v>
      </c>
      <c r="AA6" s="129" t="s">
        <v>33</v>
      </c>
      <c r="AB6" s="129" t="s">
        <v>34</v>
      </c>
      <c r="AC6" s="129" t="s">
        <v>35</v>
      </c>
      <c r="AD6" s="129" t="s">
        <v>36</v>
      </c>
      <c r="AE6" s="129" t="s">
        <v>37</v>
      </c>
      <c r="AF6" s="129" t="s">
        <v>38</v>
      </c>
      <c r="AG6" s="129" t="s">
        <v>39</v>
      </c>
      <c r="AH6" s="129" t="s">
        <v>40</v>
      </c>
      <c r="AI6" s="129" t="s">
        <v>41</v>
      </c>
      <c r="AJ6" s="129" t="s">
        <v>42</v>
      </c>
      <c r="AK6" s="129" t="s">
        <v>43</v>
      </c>
      <c r="AL6" s="129" t="s">
        <v>44</v>
      </c>
      <c r="AM6" s="129" t="s">
        <v>45</v>
      </c>
      <c r="AN6" s="129" t="s">
        <v>46</v>
      </c>
      <c r="AO6" s="129" t="s">
        <v>47</v>
      </c>
      <c r="AP6" s="129" t="s">
        <v>48</v>
      </c>
      <c r="AQ6" s="129" t="s">
        <v>49</v>
      </c>
      <c r="AR6" s="129" t="s">
        <v>50</v>
      </c>
      <c r="AS6" s="129" t="s">
        <v>51</v>
      </c>
      <c r="AT6" s="129" t="s">
        <v>52</v>
      </c>
      <c r="AU6" s="129" t="s">
        <v>53</v>
      </c>
      <c r="AV6" s="129" t="s">
        <v>54</v>
      </c>
    </row>
    <row r="7" spans="2:48">
      <c r="B7" s="235" t="s">
        <v>91</v>
      </c>
      <c r="C7" s="236">
        <v>1526615.4867999807</v>
      </c>
      <c r="D7" s="236">
        <v>1581813.1632261479</v>
      </c>
      <c r="E7" s="236">
        <v>1699002.9119384571</v>
      </c>
      <c r="F7" s="236">
        <v>1745389.1146598607</v>
      </c>
      <c r="G7" s="236">
        <v>1583219.4156067655</v>
      </c>
      <c r="H7" s="236">
        <v>1660906.8014424639</v>
      </c>
      <c r="I7" s="236">
        <v>1813517.5957417819</v>
      </c>
      <c r="J7" s="236">
        <v>1864066.0124096428</v>
      </c>
      <c r="K7" s="236">
        <v>1683773.3463106123</v>
      </c>
      <c r="L7" s="236">
        <v>1743627.2382556917</v>
      </c>
      <c r="M7" s="236">
        <v>1860011.3503605344</v>
      </c>
      <c r="N7" s="236">
        <v>1948277.612314831</v>
      </c>
      <c r="O7" s="236">
        <v>1767976.6093684826</v>
      </c>
      <c r="P7" s="236">
        <v>1846433.8785640257</v>
      </c>
      <c r="Q7" s="236">
        <v>1934752.8616930454</v>
      </c>
      <c r="R7" s="236">
        <v>1981507.3484924228</v>
      </c>
      <c r="S7" s="236">
        <v>1709191</v>
      </c>
      <c r="T7" s="236">
        <v>1831783</v>
      </c>
      <c r="U7" s="236">
        <v>1955279</v>
      </c>
      <c r="V7" s="236">
        <v>1993483</v>
      </c>
      <c r="W7" s="236">
        <v>1742942.0553852729</v>
      </c>
      <c r="X7" s="224">
        <v>1821911.2945724502</v>
      </c>
      <c r="Y7" s="224">
        <v>1967896.6213962552</v>
      </c>
      <c r="Z7" s="224">
        <v>1985304.5531040998</v>
      </c>
      <c r="AA7" s="224">
        <v>1779750.8516329874</v>
      </c>
      <c r="AB7" s="224">
        <v>1889468.6414841129</v>
      </c>
      <c r="AC7" s="224">
        <v>2031818.6113393791</v>
      </c>
      <c r="AD7" s="224">
        <v>2125307.8748774254</v>
      </c>
      <c r="AE7" s="224">
        <v>1865334.0670048376</v>
      </c>
      <c r="AF7" s="224">
        <v>1901764.5931744881</v>
      </c>
      <c r="AG7" s="224">
        <v>2117282.7991008889</v>
      </c>
      <c r="AH7" s="224">
        <v>2201710.221504706</v>
      </c>
      <c r="AI7" s="224">
        <v>1959722.1635070001</v>
      </c>
      <c r="AJ7" s="224">
        <v>2082997.4178913299</v>
      </c>
      <c r="AK7" s="224">
        <v>2196610.6192615889</v>
      </c>
      <c r="AL7" s="224">
        <v>2209970.28690982</v>
      </c>
      <c r="AM7" s="224">
        <v>1966425.9398538147</v>
      </c>
      <c r="AN7" s="224">
        <v>2088053.6346000803</v>
      </c>
      <c r="AO7" s="224">
        <v>2255893.6854976648</v>
      </c>
      <c r="AP7" s="224">
        <v>2302604.2781308992</v>
      </c>
      <c r="AQ7" s="224">
        <v>2053738.1087607869</v>
      </c>
      <c r="AR7" s="224">
        <v>2254358.1012226432</v>
      </c>
      <c r="AS7" s="224">
        <v>2457907.9195126863</v>
      </c>
      <c r="AT7" s="224">
        <v>2581449.16903061</v>
      </c>
      <c r="AU7" s="224">
        <v>2316483.4993973803</v>
      </c>
      <c r="AV7" s="224">
        <v>2430246.7442725701</v>
      </c>
    </row>
    <row r="8" spans="2:48">
      <c r="B8" s="237" t="s">
        <v>92</v>
      </c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24"/>
      <c r="Y8" s="224"/>
      <c r="Z8" s="224"/>
      <c r="AA8" s="224">
        <v>2166.4990000000003</v>
      </c>
      <c r="AB8" s="224">
        <v>3195.0579982450004</v>
      </c>
      <c r="AC8" s="224">
        <v>5747.0200000000023</v>
      </c>
      <c r="AD8" s="224">
        <v>8838.7829999999994</v>
      </c>
      <c r="AE8" s="224">
        <v>11325.987999999999</v>
      </c>
      <c r="AF8" s="224">
        <v>16158.523394680007</v>
      </c>
      <c r="AG8" s="224">
        <v>24886.670653799993</v>
      </c>
      <c r="AH8" s="224">
        <v>27084.328999999998</v>
      </c>
      <c r="AI8" s="224">
        <v>28209.815999999992</v>
      </c>
      <c r="AJ8" s="224">
        <v>35876.932000000001</v>
      </c>
      <c r="AK8" s="224">
        <v>48507.407999999981</v>
      </c>
      <c r="AL8" s="224">
        <v>52918.842000000019</v>
      </c>
      <c r="AM8" s="224">
        <v>51767.37900000003</v>
      </c>
      <c r="AN8" s="224">
        <v>68319.449000000022</v>
      </c>
      <c r="AO8" s="224">
        <v>89884.172091149987</v>
      </c>
      <c r="AP8" s="224">
        <v>98024.286254620005</v>
      </c>
      <c r="AQ8" s="224">
        <v>98911.24660749</v>
      </c>
      <c r="AR8" s="224">
        <v>118912.10500000001</v>
      </c>
      <c r="AS8" s="224">
        <v>139020.807</v>
      </c>
      <c r="AT8" s="224">
        <v>145271.323</v>
      </c>
      <c r="AU8" s="224">
        <v>139868.00200000001</v>
      </c>
      <c r="AV8" s="224">
        <v>166175.00122000001</v>
      </c>
    </row>
    <row r="9" spans="2:48">
      <c r="B9" s="238" t="s">
        <v>93</v>
      </c>
      <c r="C9" s="239">
        <f>SUM(C7:C7)</f>
        <v>1526615.4867999807</v>
      </c>
      <c r="D9" s="239">
        <f>SUM(D7:D7)</f>
        <v>1581813.1632261479</v>
      </c>
      <c r="E9" s="239">
        <f t="shared" ref="E9:X9" si="0">SUM(E7:E7)</f>
        <v>1699002.9119384571</v>
      </c>
      <c r="F9" s="239">
        <f t="shared" si="0"/>
        <v>1745389.1146598607</v>
      </c>
      <c r="G9" s="239">
        <f t="shared" si="0"/>
        <v>1583219.4156067655</v>
      </c>
      <c r="H9" s="239">
        <f t="shared" si="0"/>
        <v>1660906.8014424639</v>
      </c>
      <c r="I9" s="239">
        <f t="shared" si="0"/>
        <v>1813517.5957417819</v>
      </c>
      <c r="J9" s="239">
        <f t="shared" si="0"/>
        <v>1864066.0124096428</v>
      </c>
      <c r="K9" s="239">
        <f t="shared" si="0"/>
        <v>1683773.3463106123</v>
      </c>
      <c r="L9" s="239">
        <f t="shared" si="0"/>
        <v>1743627.2382556917</v>
      </c>
      <c r="M9" s="239">
        <f t="shared" si="0"/>
        <v>1860011.3503605344</v>
      </c>
      <c r="N9" s="239">
        <f t="shared" si="0"/>
        <v>1948277.612314831</v>
      </c>
      <c r="O9" s="239">
        <f t="shared" si="0"/>
        <v>1767976.6093684826</v>
      </c>
      <c r="P9" s="239">
        <f t="shared" si="0"/>
        <v>1846433.8785640257</v>
      </c>
      <c r="Q9" s="239">
        <f t="shared" si="0"/>
        <v>1934752.8616930454</v>
      </c>
      <c r="R9" s="239">
        <f t="shared" si="0"/>
        <v>1981507.3484924228</v>
      </c>
      <c r="S9" s="239">
        <f t="shared" si="0"/>
        <v>1709191</v>
      </c>
      <c r="T9" s="239">
        <f t="shared" si="0"/>
        <v>1831783</v>
      </c>
      <c r="U9" s="239">
        <f t="shared" si="0"/>
        <v>1955279</v>
      </c>
      <c r="V9" s="239">
        <f t="shared" si="0"/>
        <v>1993483</v>
      </c>
      <c r="W9" s="239">
        <f t="shared" si="0"/>
        <v>1742942.0553852729</v>
      </c>
      <c r="X9" s="239">
        <f t="shared" si="0"/>
        <v>1821911.2945724502</v>
      </c>
      <c r="Y9" s="239">
        <f>SUM(Y7:Y8)</f>
        <v>1967896.6213962552</v>
      </c>
      <c r="Z9" s="239">
        <f>SUM(Z7:Z8)</f>
        <v>1985304.5531040998</v>
      </c>
      <c r="AA9" s="239">
        <f>SUM(AA7:AA8)</f>
        <v>1781917.3506329875</v>
      </c>
      <c r="AB9" s="239">
        <f t="shared" ref="AB9:AT9" si="1">SUM(AB7:AB8)</f>
        <v>1892663.6994823581</v>
      </c>
      <c r="AC9" s="239">
        <f t="shared" si="1"/>
        <v>2037565.6313393791</v>
      </c>
      <c r="AD9" s="239">
        <f t="shared" si="1"/>
        <v>2134146.6578774252</v>
      </c>
      <c r="AE9" s="239">
        <f t="shared" si="1"/>
        <v>1876660.0550048375</v>
      </c>
      <c r="AF9" s="239">
        <f t="shared" si="1"/>
        <v>1917923.1165691682</v>
      </c>
      <c r="AG9" s="239">
        <f t="shared" si="1"/>
        <v>2142169.4697546889</v>
      </c>
      <c r="AH9" s="239">
        <f t="shared" si="1"/>
        <v>2228794.5505047059</v>
      </c>
      <c r="AI9" s="239">
        <f t="shared" si="1"/>
        <v>1987931.9795070002</v>
      </c>
      <c r="AJ9" s="239">
        <f t="shared" si="1"/>
        <v>2118874.3498913296</v>
      </c>
      <c r="AK9" s="239">
        <f t="shared" si="1"/>
        <v>2245118.0272615887</v>
      </c>
      <c r="AL9" s="239">
        <f t="shared" si="1"/>
        <v>2262889.1289098202</v>
      </c>
      <c r="AM9" s="239">
        <f t="shared" si="1"/>
        <v>2018193.3188538146</v>
      </c>
      <c r="AN9" s="239">
        <f t="shared" si="1"/>
        <v>2156373.0836000806</v>
      </c>
      <c r="AO9" s="239">
        <f t="shared" si="1"/>
        <v>2345777.857588815</v>
      </c>
      <c r="AP9" s="239">
        <f t="shared" si="1"/>
        <v>2400628.5643855194</v>
      </c>
      <c r="AQ9" s="239">
        <f t="shared" si="1"/>
        <v>2152649.3553682771</v>
      </c>
      <c r="AR9" s="239">
        <f t="shared" si="1"/>
        <v>2373270.2062226431</v>
      </c>
      <c r="AS9" s="239">
        <f t="shared" si="1"/>
        <v>2596928.7265126863</v>
      </c>
      <c r="AT9" s="239">
        <f t="shared" si="1"/>
        <v>2726720.4920306099</v>
      </c>
      <c r="AU9" s="239">
        <f t="shared" ref="AU9:AV9" si="2">SUM(AU7:AU8)</f>
        <v>2456351.5013973801</v>
      </c>
      <c r="AV9" s="239">
        <f t="shared" si="2"/>
        <v>2596421.7454925701</v>
      </c>
    </row>
    <row r="10" spans="2:48">
      <c r="B10" s="223" t="s">
        <v>94</v>
      </c>
      <c r="C10" s="236">
        <v>1237996.2379283668</v>
      </c>
      <c r="D10" s="236">
        <v>1251922.78168</v>
      </c>
      <c r="E10" s="236">
        <v>1363727.3566432905</v>
      </c>
      <c r="F10" s="236">
        <v>1442845.4009800002</v>
      </c>
      <c r="G10" s="236">
        <v>1335719.714414</v>
      </c>
      <c r="H10" s="236">
        <v>1354850.1634104759</v>
      </c>
      <c r="I10" s="236">
        <v>1490813.4507200001</v>
      </c>
      <c r="J10" s="236">
        <v>1531393.7356199999</v>
      </c>
      <c r="K10" s="236">
        <v>1413950.7979339999</v>
      </c>
      <c r="L10" s="236">
        <v>1425746.8517399998</v>
      </c>
      <c r="M10" s="236">
        <v>1520358.1663560942</v>
      </c>
      <c r="N10" s="236">
        <v>1600149.9113690017</v>
      </c>
      <c r="O10" s="236">
        <v>1461894.6266399999</v>
      </c>
      <c r="P10" s="236">
        <v>1529112.276178</v>
      </c>
      <c r="Q10" s="236">
        <v>1563196.3576740001</v>
      </c>
      <c r="R10" s="236">
        <v>1615903.5772998317</v>
      </c>
      <c r="S10" s="236">
        <v>1400107.8546250002</v>
      </c>
      <c r="T10" s="236">
        <v>1483749.4529328307</v>
      </c>
      <c r="U10" s="236">
        <v>1602158.1703430791</v>
      </c>
      <c r="V10" s="236">
        <v>1708083.6452422519</v>
      </c>
      <c r="W10" s="236">
        <v>1455239.4517215765</v>
      </c>
      <c r="X10" s="224">
        <v>1523032.2242709999</v>
      </c>
      <c r="Y10" s="224">
        <v>1599619.1839255127</v>
      </c>
      <c r="Z10" s="224">
        <v>1642391.0072042223</v>
      </c>
      <c r="AA10" s="224">
        <v>1480746.6595438749</v>
      </c>
      <c r="AB10" s="224">
        <v>1551130.401232536</v>
      </c>
      <c r="AC10" s="224">
        <v>1648471.1285478328</v>
      </c>
      <c r="AD10" s="224">
        <v>1754749.8470075002</v>
      </c>
      <c r="AE10" s="224">
        <v>1554624.3368220003</v>
      </c>
      <c r="AF10" s="224">
        <v>1561072.5060305039</v>
      </c>
      <c r="AG10" s="224">
        <v>1723654.1053529044</v>
      </c>
      <c r="AH10" s="224">
        <v>1814126.0742293333</v>
      </c>
      <c r="AI10" s="224">
        <v>1637831.7855050005</v>
      </c>
      <c r="AJ10" s="224">
        <v>1674008.1887353605</v>
      </c>
      <c r="AK10" s="224">
        <v>1819167.5297750935</v>
      </c>
      <c r="AL10" s="224">
        <v>1884923.2375259355</v>
      </c>
      <c r="AM10" s="224">
        <v>1674400.3366751831</v>
      </c>
      <c r="AN10" s="224">
        <v>1760671.7368007372</v>
      </c>
      <c r="AO10" s="224">
        <v>1922073.8926191628</v>
      </c>
      <c r="AP10" s="224">
        <v>1990333.9562998377</v>
      </c>
      <c r="AQ10" s="224">
        <v>1793543.2940435545</v>
      </c>
      <c r="AR10" s="224">
        <v>1938820.955984375</v>
      </c>
      <c r="AS10" s="224">
        <v>2100994.8576775403</v>
      </c>
      <c r="AT10" s="224">
        <v>2240726.8231000248</v>
      </c>
      <c r="AU10" s="224">
        <v>2017102.902767675</v>
      </c>
      <c r="AV10" s="224">
        <v>2153700.7991192248</v>
      </c>
    </row>
    <row r="11" spans="2:48">
      <c r="B11" s="223" t="s">
        <v>95</v>
      </c>
      <c r="C11" s="236">
        <v>114.05799999999999</v>
      </c>
      <c r="D11" s="236">
        <v>116.54899999999999</v>
      </c>
      <c r="E11" s="236">
        <v>133.244</v>
      </c>
      <c r="F11" s="236">
        <v>131.40199999999999</v>
      </c>
      <c r="G11" s="236">
        <v>111.21970999999999</v>
      </c>
      <c r="H11" s="236">
        <v>120.422</v>
      </c>
      <c r="I11" s="236">
        <v>139.31900000000002</v>
      </c>
      <c r="J11" s="236">
        <v>136.40100000000001</v>
      </c>
      <c r="K11" s="236">
        <v>121.655</v>
      </c>
      <c r="L11" s="236">
        <v>132.41200000000001</v>
      </c>
      <c r="M11" s="236">
        <v>144.20000000000002</v>
      </c>
      <c r="N11" s="236">
        <v>158.22500000000002</v>
      </c>
      <c r="O11" s="236">
        <v>356.48955599999999</v>
      </c>
      <c r="P11" s="236">
        <v>386.45155899999997</v>
      </c>
      <c r="Q11" s="236">
        <v>1838.397666999999</v>
      </c>
      <c r="R11" s="236">
        <v>2691.0476666666677</v>
      </c>
      <c r="S11" s="236">
        <v>2454.0745663333337</v>
      </c>
      <c r="T11" s="236">
        <v>2722.0059999999994</v>
      </c>
      <c r="U11" s="236">
        <v>2343.048086666668</v>
      </c>
      <c r="V11" s="236">
        <v>1607.775408666666</v>
      </c>
      <c r="W11" s="236">
        <v>1715.7239705802467</v>
      </c>
      <c r="X11" s="224">
        <v>1853.4546610660482</v>
      </c>
      <c r="Y11" s="224">
        <v>1264.3880833333335</v>
      </c>
      <c r="Z11" s="224">
        <v>1411.5641190555555</v>
      </c>
      <c r="AA11" s="224">
        <v>1329.1043958333339</v>
      </c>
      <c r="AB11" s="224">
        <v>3154.0878725358425</v>
      </c>
      <c r="AC11" s="224">
        <v>2436.8126108333322</v>
      </c>
      <c r="AD11" s="224">
        <v>1733.6872708333331</v>
      </c>
      <c r="AE11" s="224">
        <v>2475.8066706666668</v>
      </c>
      <c r="AF11" s="224">
        <v>1429.8231666666666</v>
      </c>
      <c r="AG11" s="224">
        <v>1504.3503333333333</v>
      </c>
      <c r="AH11" s="224">
        <v>1188.2680186666666</v>
      </c>
      <c r="AI11" s="224">
        <v>1826.0140833333339</v>
      </c>
      <c r="AJ11" s="224">
        <v>1393.1388333333332</v>
      </c>
      <c r="AK11" s="224">
        <v>1809.472500000001</v>
      </c>
      <c r="AL11" s="224">
        <v>1942.6497733292185</v>
      </c>
      <c r="AM11" s="224">
        <v>2223.7395833333335</v>
      </c>
      <c r="AN11" s="224">
        <v>1483.9377870370372</v>
      </c>
      <c r="AO11" s="224">
        <v>2092.5880000000002</v>
      </c>
      <c r="AP11" s="224">
        <v>1191.0473299999999</v>
      </c>
      <c r="AQ11" s="224">
        <v>2402.6529895833337</v>
      </c>
      <c r="AR11" s="224">
        <v>1999.8315564516126</v>
      </c>
      <c r="AS11" s="224">
        <v>5183.9675460322596</v>
      </c>
      <c r="AT11" s="224">
        <v>2297.2633919322602</v>
      </c>
      <c r="AU11" s="224">
        <v>2081.05441666667</v>
      </c>
      <c r="AV11" s="224">
        <v>1677.6105</v>
      </c>
    </row>
    <row r="12" spans="2:48">
      <c r="B12" s="223" t="s">
        <v>96</v>
      </c>
      <c r="C12" s="240">
        <f t="shared" ref="C12:AS12" si="3">C9-C10-C11</f>
        <v>288505.19087161397</v>
      </c>
      <c r="D12" s="240">
        <f t="shared" si="3"/>
        <v>329773.83254614787</v>
      </c>
      <c r="E12" s="240">
        <f t="shared" si="3"/>
        <v>335142.31129516655</v>
      </c>
      <c r="F12" s="240">
        <f t="shared" si="3"/>
        <v>302412.31167986058</v>
      </c>
      <c r="G12" s="240">
        <f t="shared" si="3"/>
        <v>247388.48148276549</v>
      </c>
      <c r="H12" s="240">
        <f t="shared" si="3"/>
        <v>305936.21603198792</v>
      </c>
      <c r="I12" s="240">
        <f t="shared" si="3"/>
        <v>322564.82602178177</v>
      </c>
      <c r="J12" s="240">
        <f t="shared" si="3"/>
        <v>332535.87578964286</v>
      </c>
      <c r="K12" s="240">
        <f t="shared" si="3"/>
        <v>269700.89337661234</v>
      </c>
      <c r="L12" s="240">
        <f t="shared" si="3"/>
        <v>317747.97451569187</v>
      </c>
      <c r="M12" s="240">
        <f t="shared" si="3"/>
        <v>339508.98400444019</v>
      </c>
      <c r="N12" s="240">
        <f t="shared" si="3"/>
        <v>347969.4759458293</v>
      </c>
      <c r="O12" s="240">
        <f t="shared" si="3"/>
        <v>305725.4931724827</v>
      </c>
      <c r="P12" s="240">
        <f t="shared" si="3"/>
        <v>316935.1508270257</v>
      </c>
      <c r="Q12" s="240">
        <f t="shared" si="3"/>
        <v>369718.10635204526</v>
      </c>
      <c r="R12" s="240">
        <f t="shared" si="3"/>
        <v>362912.72352592449</v>
      </c>
      <c r="S12" s="240">
        <f t="shared" si="3"/>
        <v>306629.07080866653</v>
      </c>
      <c r="T12" s="240">
        <f t="shared" si="3"/>
        <v>345311.54106716934</v>
      </c>
      <c r="U12" s="240">
        <f t="shared" si="3"/>
        <v>350777.78157025418</v>
      </c>
      <c r="V12" s="240">
        <f t="shared" si="3"/>
        <v>283791.57934908144</v>
      </c>
      <c r="W12" s="240">
        <f t="shared" si="3"/>
        <v>285986.87969311618</v>
      </c>
      <c r="X12" s="240">
        <f t="shared" si="3"/>
        <v>297025.61564038426</v>
      </c>
      <c r="Y12" s="240">
        <f t="shared" si="3"/>
        <v>367013.04938740918</v>
      </c>
      <c r="Z12" s="240">
        <f t="shared" si="3"/>
        <v>341501.98178082198</v>
      </c>
      <c r="AA12" s="240">
        <f t="shared" si="3"/>
        <v>299841.58669327921</v>
      </c>
      <c r="AB12" s="240">
        <f t="shared" si="3"/>
        <v>338379.21037728625</v>
      </c>
      <c r="AC12" s="240">
        <f t="shared" si="3"/>
        <v>386657.69018071296</v>
      </c>
      <c r="AD12" s="240">
        <f t="shared" si="3"/>
        <v>377663.1235990916</v>
      </c>
      <c r="AE12" s="240">
        <f t="shared" si="3"/>
        <v>319559.91151217045</v>
      </c>
      <c r="AF12" s="240">
        <f t="shared" si="3"/>
        <v>355420.78737199761</v>
      </c>
      <c r="AG12" s="240">
        <f t="shared" si="3"/>
        <v>417011.01406845119</v>
      </c>
      <c r="AH12" s="240">
        <f t="shared" si="3"/>
        <v>413480.2082567059</v>
      </c>
      <c r="AI12" s="240">
        <f t="shared" si="3"/>
        <v>348274.17991866637</v>
      </c>
      <c r="AJ12" s="240">
        <f t="shared" si="3"/>
        <v>443473.02232263581</v>
      </c>
      <c r="AK12" s="240">
        <f t="shared" si="3"/>
        <v>424141.02498649521</v>
      </c>
      <c r="AL12" s="240">
        <f t="shared" si="3"/>
        <v>376023.2416105555</v>
      </c>
      <c r="AM12" s="240">
        <f t="shared" si="3"/>
        <v>341569.24259529816</v>
      </c>
      <c r="AN12" s="240">
        <f t="shared" si="3"/>
        <v>394217.40901230631</v>
      </c>
      <c r="AO12" s="240">
        <f t="shared" si="3"/>
        <v>421611.37696965225</v>
      </c>
      <c r="AP12" s="240">
        <f t="shared" si="3"/>
        <v>409103.56075568171</v>
      </c>
      <c r="AQ12" s="240">
        <f t="shared" si="3"/>
        <v>356703.40833513928</v>
      </c>
      <c r="AR12" s="240">
        <f t="shared" si="3"/>
        <v>432449.41868181655</v>
      </c>
      <c r="AS12" s="240">
        <f t="shared" si="3"/>
        <v>490749.9012891138</v>
      </c>
      <c r="AT12" s="240">
        <f>AT9-AT10-AT11</f>
        <v>483696.40553865279</v>
      </c>
      <c r="AU12" s="240">
        <v>437167.54421303846</v>
      </c>
      <c r="AV12" s="240">
        <v>441043.33587334532</v>
      </c>
    </row>
    <row r="13" spans="2:48">
      <c r="B13" s="241" t="s">
        <v>97</v>
      </c>
      <c r="C13" s="242"/>
      <c r="D13" s="242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3"/>
      <c r="Y13" s="243"/>
      <c r="Z13" s="243"/>
      <c r="AA13" s="243">
        <f>AA7-AA10-AA11+'Mercado Distribuição'!AA19</f>
        <v>299531.12469327915</v>
      </c>
      <c r="AB13" s="243">
        <f>AB7-AB10-AB11+'Mercado Distribuição'!AB19</f>
        <v>337892.17537904117</v>
      </c>
      <c r="AC13" s="243">
        <f>AC7-AC10-AC11+'Mercado Distribuição'!AC19</f>
        <v>385229.82818071276</v>
      </c>
      <c r="AD13" s="243">
        <f>AD7-AD10-AD11+'Mercado Distribuição'!AD19</f>
        <v>376391.38059909182</v>
      </c>
      <c r="AE13" s="243">
        <f>AE7-AE10-AE11+'Mercado Distribuição'!AE19</f>
        <v>317156.50751217059</v>
      </c>
      <c r="AF13" s="243">
        <f>AF7-AF10-AF11+'Mercado Distribuição'!AF19</f>
        <v>351158.50097731769</v>
      </c>
      <c r="AG13" s="243">
        <f>AG7-AG10-AG11+'Mercado Distribuição'!AG19</f>
        <v>411091.14541465131</v>
      </c>
      <c r="AH13" s="243">
        <f>AH7-AH10-AH11+'Mercado Distribuição'!AH19</f>
        <v>410413.41925670602</v>
      </c>
      <c r="AI13" s="243">
        <f>AI7-AI10-AI11+'Mercado Distribuição'!AI19</f>
        <v>343829.74591866648</v>
      </c>
      <c r="AJ13" s="243">
        <f>AJ7-AJ10-AJ11+'Mercado Distribuição'!AJ19</f>
        <v>436641.46532263601</v>
      </c>
      <c r="AK13" s="243">
        <f>AK7-AK10-AK11+'Mercado Distribuição'!AK19</f>
        <v>414692.43498649512</v>
      </c>
      <c r="AL13" s="243">
        <f>AL7-AL10-AL11+'Mercado Distribuição'!AL19</f>
        <v>370049.35561055556</v>
      </c>
      <c r="AM13" s="243">
        <f>AM7-AM10-AM11+'Mercado Distribuição'!AM19</f>
        <v>334347.73459529801</v>
      </c>
      <c r="AN13" s="243">
        <f>AN7-AN10-AN11+'Mercado Distribuição'!AN19</f>
        <v>381669.17301230627</v>
      </c>
      <c r="AO13" s="243">
        <f>AO7-AO10-AO11+'Mercado Distribuição'!AO19</f>
        <v>403164.62387850229</v>
      </c>
      <c r="AP13" s="243">
        <f>AP7-AP10-AP11+'Mercado Distribuição'!AP19</f>
        <v>394336.56884579919</v>
      </c>
      <c r="AQ13" s="243">
        <f>AQ7-AQ10-AQ11+'Mercado Distribuição'!AQ19</f>
        <v>339961.19972764933</v>
      </c>
      <c r="AR13" s="243">
        <f>AR7-AR10-AR11+'Mercado Distribuição'!AR19</f>
        <v>413359.75268181635</v>
      </c>
      <c r="AS13" s="243">
        <f>AS7-AS10-AS11+'Mercado Distribuição'!AS19</f>
        <v>470563.56928911386</v>
      </c>
      <c r="AT13" s="243">
        <f>AT7-AT10-AT11+'Mercado Distribuição'!AT19</f>
        <v>469615.00353865279</v>
      </c>
      <c r="AU13" s="243">
        <v>417831.05821303866</v>
      </c>
      <c r="AV13" s="243">
        <v>414240.40065334545</v>
      </c>
    </row>
    <row r="14" spans="2:48">
      <c r="B14" s="223" t="s">
        <v>98</v>
      </c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</row>
    <row r="15" spans="2:48">
      <c r="B15" s="223"/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4"/>
    </row>
    <row r="16" spans="2:48">
      <c r="B16" s="533" t="s">
        <v>99</v>
      </c>
      <c r="C16" s="129" t="s">
        <v>9</v>
      </c>
      <c r="D16" s="129" t="s">
        <v>10</v>
      </c>
      <c r="E16" s="129" t="s">
        <v>11</v>
      </c>
      <c r="F16" s="129" t="s">
        <v>12</v>
      </c>
      <c r="G16" s="129" t="s">
        <v>13</v>
      </c>
      <c r="H16" s="129" t="s">
        <v>14</v>
      </c>
      <c r="I16" s="129" t="s">
        <v>15</v>
      </c>
      <c r="J16" s="129" t="s">
        <v>16</v>
      </c>
      <c r="K16" s="129" t="s">
        <v>17</v>
      </c>
      <c r="L16" s="129" t="s">
        <v>18</v>
      </c>
      <c r="M16" s="129" t="s">
        <v>19</v>
      </c>
      <c r="N16" s="129" t="s">
        <v>20</v>
      </c>
      <c r="O16" s="129" t="s">
        <v>21</v>
      </c>
      <c r="P16" s="129" t="s">
        <v>22</v>
      </c>
      <c r="Q16" s="129" t="s">
        <v>23</v>
      </c>
      <c r="R16" s="129" t="s">
        <v>24</v>
      </c>
      <c r="S16" s="129" t="s">
        <v>25</v>
      </c>
      <c r="T16" s="129" t="s">
        <v>26</v>
      </c>
      <c r="U16" s="129" t="s">
        <v>27</v>
      </c>
      <c r="V16" s="129" t="s">
        <v>28</v>
      </c>
      <c r="W16" s="129" t="s">
        <v>29</v>
      </c>
      <c r="X16" s="129" t="s">
        <v>30</v>
      </c>
      <c r="Y16" s="129" t="s">
        <v>31</v>
      </c>
      <c r="Z16" s="129" t="s">
        <v>32</v>
      </c>
      <c r="AA16" s="129" t="str">
        <f>AA6</f>
        <v>1T19</v>
      </c>
      <c r="AB16" s="129" t="s">
        <v>34</v>
      </c>
      <c r="AC16" s="129" t="s">
        <v>35</v>
      </c>
      <c r="AD16" s="129" t="s">
        <v>36</v>
      </c>
      <c r="AE16" s="129" t="str">
        <f t="shared" ref="AE16:AT16" si="4">AE6</f>
        <v>1T20</v>
      </c>
      <c r="AF16" s="129" t="str">
        <f t="shared" si="4"/>
        <v>2T20</v>
      </c>
      <c r="AG16" s="129" t="str">
        <f t="shared" si="4"/>
        <v>3T20</v>
      </c>
      <c r="AH16" s="129" t="str">
        <f t="shared" si="4"/>
        <v>4T20</v>
      </c>
      <c r="AI16" s="129" t="str">
        <f t="shared" si="4"/>
        <v>1T21</v>
      </c>
      <c r="AJ16" s="129" t="str">
        <f t="shared" si="4"/>
        <v>2T21</v>
      </c>
      <c r="AK16" s="129" t="str">
        <f t="shared" si="4"/>
        <v>3T21</v>
      </c>
      <c r="AL16" s="129" t="str">
        <f t="shared" si="4"/>
        <v>4T21</v>
      </c>
      <c r="AM16" s="129" t="str">
        <f t="shared" si="4"/>
        <v>1T22</v>
      </c>
      <c r="AN16" s="129" t="str">
        <f t="shared" si="4"/>
        <v>2T22</v>
      </c>
      <c r="AO16" s="129" t="str">
        <f t="shared" si="4"/>
        <v>3T22</v>
      </c>
      <c r="AP16" s="129" t="str">
        <f t="shared" si="4"/>
        <v>4T22</v>
      </c>
      <c r="AQ16" s="129" t="str">
        <f t="shared" si="4"/>
        <v>1T23</v>
      </c>
      <c r="AR16" s="129" t="str">
        <f t="shared" si="4"/>
        <v>2T23</v>
      </c>
      <c r="AS16" s="129" t="str">
        <f t="shared" si="4"/>
        <v>3T23</v>
      </c>
      <c r="AT16" s="129" t="str">
        <f t="shared" si="4"/>
        <v>4T23</v>
      </c>
      <c r="AU16" s="129" t="str">
        <f t="shared" ref="AU16:AV16" si="5">AU6</f>
        <v>1T24</v>
      </c>
      <c r="AV16" s="129" t="str">
        <f t="shared" si="5"/>
        <v>2T24</v>
      </c>
    </row>
    <row r="17" spans="2:48">
      <c r="B17" s="235" t="s">
        <v>91</v>
      </c>
      <c r="C17" s="245">
        <v>2509501.7060000002</v>
      </c>
      <c r="D17" s="245">
        <v>2661205.0489999996</v>
      </c>
      <c r="E17" s="245">
        <v>2801315.7760000001</v>
      </c>
      <c r="F17" s="245">
        <v>2869545.4389999998</v>
      </c>
      <c r="G17" s="245">
        <v>2639580.992819</v>
      </c>
      <c r="H17" s="245">
        <v>2780922.677832</v>
      </c>
      <c r="I17" s="245">
        <v>2923297.7091629999</v>
      </c>
      <c r="J17" s="245">
        <v>3011242.8395789987</v>
      </c>
      <c r="K17" s="245">
        <v>2690125.5700970008</v>
      </c>
      <c r="L17" s="245">
        <v>2807034.459549</v>
      </c>
      <c r="M17" s="245">
        <v>2963488.6574300001</v>
      </c>
      <c r="N17" s="245">
        <v>3041036.7716290001</v>
      </c>
      <c r="O17" s="245">
        <v>2800561.9614049997</v>
      </c>
      <c r="P17" s="245">
        <v>2929411.8209899995</v>
      </c>
      <c r="Q17" s="245">
        <v>3008775.7994609997</v>
      </c>
      <c r="R17" s="245">
        <v>3015288.1430269992</v>
      </c>
      <c r="S17" s="245">
        <v>2672958.046451</v>
      </c>
      <c r="T17" s="245">
        <v>2897436.0124920001</v>
      </c>
      <c r="U17" s="245">
        <v>3076740.6430409993</v>
      </c>
      <c r="V17" s="245">
        <v>3065911.1293193242</v>
      </c>
      <c r="W17" s="245">
        <v>2746540.3066916177</v>
      </c>
      <c r="X17" s="224">
        <v>2844799.911659</v>
      </c>
      <c r="Y17" s="224">
        <v>3024188.1343684308</v>
      </c>
      <c r="Z17" s="224">
        <v>3062118.9826388247</v>
      </c>
      <c r="AA17" s="224">
        <v>2788108.5060966332</v>
      </c>
      <c r="AB17" s="224">
        <v>2945799.5335277398</v>
      </c>
      <c r="AC17" s="224">
        <v>3132366.4374117199</v>
      </c>
      <c r="AD17" s="224">
        <v>3155890.6027908493</v>
      </c>
      <c r="AE17" s="224">
        <v>2873863.0822594259</v>
      </c>
      <c r="AF17" s="224">
        <v>2908296.3431524271</v>
      </c>
      <c r="AG17" s="224">
        <v>3322148.0637392174</v>
      </c>
      <c r="AH17" s="224">
        <v>3288021.8645551694</v>
      </c>
      <c r="AI17" s="224">
        <v>2974698.1339864014</v>
      </c>
      <c r="AJ17" s="224">
        <v>3161171.5250826865</v>
      </c>
      <c r="AK17" s="224">
        <v>3351573.4195166784</v>
      </c>
      <c r="AL17" s="224">
        <v>3365162.8518906841</v>
      </c>
      <c r="AM17" s="224">
        <v>3053230.030443382</v>
      </c>
      <c r="AN17" s="224">
        <v>3202961.2033871971</v>
      </c>
      <c r="AO17" s="224">
        <v>3500751.028924033</v>
      </c>
      <c r="AP17" s="240">
        <v>3452999.8296258794</v>
      </c>
      <c r="AQ17" s="240">
        <v>3105549.1199188172</v>
      </c>
      <c r="AR17" s="240">
        <v>3381109.3023034134</v>
      </c>
      <c r="AS17" s="240">
        <v>3699764.3017650107</v>
      </c>
      <c r="AT17" s="240">
        <v>3804598.4518197281</v>
      </c>
      <c r="AU17" s="240">
        <v>3471026.3829326923</v>
      </c>
      <c r="AV17" s="240">
        <v>3593914.7966992948</v>
      </c>
    </row>
    <row r="18" spans="2:48">
      <c r="B18" s="235" t="s">
        <v>100</v>
      </c>
      <c r="C18" s="245">
        <v>102632.63999</v>
      </c>
      <c r="D18" s="245">
        <v>110318.74709</v>
      </c>
      <c r="E18" s="245">
        <v>115621.07097</v>
      </c>
      <c r="F18" s="245">
        <v>120510.24145999999</v>
      </c>
      <c r="G18" s="245">
        <v>106758.75399</v>
      </c>
      <c r="H18" s="245">
        <v>113355.38521000001</v>
      </c>
      <c r="I18" s="245">
        <v>121301.49673999999</v>
      </c>
      <c r="J18" s="245">
        <v>127321.95121000003</v>
      </c>
      <c r="K18" s="245">
        <v>113601.188818</v>
      </c>
      <c r="L18" s="245">
        <v>102635.620307</v>
      </c>
      <c r="M18" s="245">
        <v>109496.67886100001</v>
      </c>
      <c r="N18" s="245">
        <v>115611.527485</v>
      </c>
      <c r="O18" s="245">
        <v>105948.222471</v>
      </c>
      <c r="P18" s="245">
        <v>107084.155918</v>
      </c>
      <c r="Q18" s="245">
        <v>110838.80999699999</v>
      </c>
      <c r="R18" s="245">
        <v>111177.11994666667</v>
      </c>
      <c r="S18" s="245">
        <v>92186.681693934632</v>
      </c>
      <c r="T18" s="245">
        <v>90874.765197050699</v>
      </c>
      <c r="U18" s="245">
        <v>97391.081392158085</v>
      </c>
      <c r="V18" s="245">
        <v>98703.485641807099</v>
      </c>
      <c r="W18" s="245">
        <v>87756.596782186461</v>
      </c>
      <c r="X18" s="224">
        <v>91577.904120000021</v>
      </c>
      <c r="Y18" s="224">
        <v>100470.26348999998</v>
      </c>
      <c r="Z18" s="224">
        <v>98359.341780000017</v>
      </c>
      <c r="AA18" s="224">
        <v>70159.918357000017</v>
      </c>
      <c r="AB18" s="224">
        <v>72084.386335999981</v>
      </c>
      <c r="AC18" s="224">
        <v>78538.429994607824</v>
      </c>
      <c r="AD18" s="224">
        <v>78508.03360155056</v>
      </c>
      <c r="AE18" s="224">
        <v>74143.589719162919</v>
      </c>
      <c r="AF18" s="224">
        <v>73493.287170605472</v>
      </c>
      <c r="AG18" s="224">
        <v>88081.192773005067</v>
      </c>
      <c r="AH18" s="224">
        <v>82544.296225383412</v>
      </c>
      <c r="AI18" s="224">
        <v>63467.153614719857</v>
      </c>
      <c r="AJ18" s="224">
        <v>69073.112262955343</v>
      </c>
      <c r="AK18" s="224">
        <v>74564.931499295781</v>
      </c>
      <c r="AL18" s="224">
        <v>76330.624848383261</v>
      </c>
      <c r="AM18" s="224">
        <v>66148.448995060477</v>
      </c>
      <c r="AN18" s="224">
        <v>66732.063101269276</v>
      </c>
      <c r="AO18" s="224">
        <v>75864.288340524887</v>
      </c>
      <c r="AP18" s="224">
        <v>75341.773573030718</v>
      </c>
      <c r="AQ18" s="224">
        <v>74412.811360676031</v>
      </c>
      <c r="AR18" s="224">
        <v>62900.077876791482</v>
      </c>
      <c r="AS18" s="224">
        <v>64102.332257790935</v>
      </c>
      <c r="AT18" s="224">
        <v>68358.843953242103</v>
      </c>
      <c r="AU18" s="224">
        <v>61884.865593697505</v>
      </c>
      <c r="AV18" s="224">
        <v>70085.203300705296</v>
      </c>
    </row>
    <row r="19" spans="2:48">
      <c r="B19" s="237" t="s">
        <v>92</v>
      </c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24"/>
      <c r="Y19" s="224"/>
      <c r="Z19" s="224"/>
      <c r="AA19" s="224"/>
      <c r="AB19" s="224"/>
      <c r="AC19" s="224"/>
      <c r="AD19" s="224"/>
      <c r="AE19" s="224">
        <v>9860.2340000000004</v>
      </c>
      <c r="AF19" s="224">
        <v>15034.46</v>
      </c>
      <c r="AG19" s="224">
        <v>21873.008999999998</v>
      </c>
      <c r="AH19" s="224">
        <v>24756.544999999998</v>
      </c>
      <c r="AI19" s="224">
        <v>28248.456296999993</v>
      </c>
      <c r="AJ19" s="224">
        <v>39835.748999999996</v>
      </c>
      <c r="AK19" s="224">
        <v>50978.900999999998</v>
      </c>
      <c r="AL19" s="224">
        <v>56137.644</v>
      </c>
      <c r="AM19" s="224">
        <v>59292.176000000007</v>
      </c>
      <c r="AN19" s="224">
        <v>74153.45100000003</v>
      </c>
      <c r="AO19" s="224">
        <v>101168.64386274994</v>
      </c>
      <c r="AP19" s="224">
        <v>109760.13221990003</v>
      </c>
      <c r="AQ19" s="224">
        <v>123904.21995410029</v>
      </c>
      <c r="AR19" s="224">
        <v>151304.04263084999</v>
      </c>
      <c r="AS19" s="224">
        <v>187391.55399999995</v>
      </c>
      <c r="AT19" s="224">
        <v>205238.75613289999</v>
      </c>
      <c r="AU19" s="224">
        <v>197429.41483575001</v>
      </c>
      <c r="AV19" s="224">
        <v>232000</v>
      </c>
    </row>
    <row r="20" spans="2:48">
      <c r="B20" s="238" t="s">
        <v>93</v>
      </c>
      <c r="C20" s="239">
        <f>SUM(C17:C18)</f>
        <v>2612134.3459900003</v>
      </c>
      <c r="D20" s="239">
        <f>SUM(D17:D18)</f>
        <v>2771523.7960899998</v>
      </c>
      <c r="E20" s="239">
        <f t="shared" ref="E20:X20" si="6">SUM(E17:E18)</f>
        <v>2916936.8469700003</v>
      </c>
      <c r="F20" s="239">
        <f t="shared" si="6"/>
        <v>2990055.6804599999</v>
      </c>
      <c r="G20" s="239">
        <f t="shared" si="6"/>
        <v>2746339.7468090001</v>
      </c>
      <c r="H20" s="239">
        <f t="shared" si="6"/>
        <v>2894278.0630419999</v>
      </c>
      <c r="I20" s="239">
        <f t="shared" si="6"/>
        <v>3044599.2059029997</v>
      </c>
      <c r="J20" s="239">
        <f t="shared" si="6"/>
        <v>3138564.7907889988</v>
      </c>
      <c r="K20" s="239">
        <f t="shared" si="6"/>
        <v>2803726.7589150006</v>
      </c>
      <c r="L20" s="239">
        <f t="shared" si="6"/>
        <v>2909670.0798559999</v>
      </c>
      <c r="M20" s="239">
        <f t="shared" si="6"/>
        <v>3072985.3362910002</v>
      </c>
      <c r="N20" s="239">
        <f t="shared" si="6"/>
        <v>3156648.2991140001</v>
      </c>
      <c r="O20" s="239">
        <f t="shared" si="6"/>
        <v>2906510.1838759999</v>
      </c>
      <c r="P20" s="239">
        <f t="shared" si="6"/>
        <v>3036495.9769079993</v>
      </c>
      <c r="Q20" s="239">
        <f t="shared" si="6"/>
        <v>3119614.6094579995</v>
      </c>
      <c r="R20" s="239">
        <f t="shared" si="6"/>
        <v>3126465.2629736657</v>
      </c>
      <c r="S20" s="239">
        <f t="shared" si="6"/>
        <v>2765144.7281449349</v>
      </c>
      <c r="T20" s="239">
        <f t="shared" si="6"/>
        <v>2988310.7776890509</v>
      </c>
      <c r="U20" s="239">
        <f t="shared" si="6"/>
        <v>3174131.7244331576</v>
      </c>
      <c r="V20" s="239">
        <f t="shared" si="6"/>
        <v>3164614.6149611315</v>
      </c>
      <c r="W20" s="239">
        <f t="shared" si="6"/>
        <v>2834296.9034738042</v>
      </c>
      <c r="X20" s="239">
        <f t="shared" si="6"/>
        <v>2936377.8157790001</v>
      </c>
      <c r="Y20" s="239">
        <f t="shared" ref="Y20:AD20" si="7">+SUM(Y17:Y19)</f>
        <v>3124658.3978584306</v>
      </c>
      <c r="Z20" s="239">
        <f t="shared" si="7"/>
        <v>3160478.3244188246</v>
      </c>
      <c r="AA20" s="239">
        <f t="shared" si="7"/>
        <v>2858268.4244536334</v>
      </c>
      <c r="AB20" s="239">
        <f t="shared" si="7"/>
        <v>3017883.91986374</v>
      </c>
      <c r="AC20" s="239">
        <f t="shared" si="7"/>
        <v>3210904.8674063277</v>
      </c>
      <c r="AD20" s="239">
        <f t="shared" si="7"/>
        <v>3234398.6363923997</v>
      </c>
      <c r="AE20" s="239">
        <f>+SUM(AE17:AE19)</f>
        <v>2957866.9059785889</v>
      </c>
      <c r="AF20" s="239">
        <f t="shared" ref="AF20:AT20" si="8">+SUM(AF17:AF19)</f>
        <v>2996824.0903230323</v>
      </c>
      <c r="AG20" s="239">
        <f t="shared" si="8"/>
        <v>3432102.2655122224</v>
      </c>
      <c r="AH20" s="239">
        <f t="shared" si="8"/>
        <v>3395322.7057805527</v>
      </c>
      <c r="AI20" s="239">
        <f t="shared" si="8"/>
        <v>3066413.7438981212</v>
      </c>
      <c r="AJ20" s="239">
        <f t="shared" si="8"/>
        <v>3270080.3863456417</v>
      </c>
      <c r="AK20" s="239">
        <f t="shared" si="8"/>
        <v>3477117.2520159744</v>
      </c>
      <c r="AL20" s="239">
        <f t="shared" si="8"/>
        <v>3497631.1207390674</v>
      </c>
      <c r="AM20" s="239">
        <f t="shared" si="8"/>
        <v>3178670.6554384422</v>
      </c>
      <c r="AN20" s="239">
        <f t="shared" si="8"/>
        <v>3343846.7174884663</v>
      </c>
      <c r="AO20" s="239">
        <f t="shared" si="8"/>
        <v>3677783.9611273077</v>
      </c>
      <c r="AP20" s="239">
        <f t="shared" si="8"/>
        <v>3638101.73541881</v>
      </c>
      <c r="AQ20" s="239">
        <f t="shared" si="8"/>
        <v>3303866.1512335935</v>
      </c>
      <c r="AR20" s="239">
        <f t="shared" si="8"/>
        <v>3595313.4228110546</v>
      </c>
      <c r="AS20" s="239">
        <f t="shared" si="8"/>
        <v>3951258.1880228017</v>
      </c>
      <c r="AT20" s="239">
        <f t="shared" si="8"/>
        <v>4078196.05190587</v>
      </c>
      <c r="AU20" s="239">
        <f t="shared" ref="AU20:AV20" si="9">+SUM(AU17:AU19)</f>
        <v>3730340.6633621398</v>
      </c>
      <c r="AV20" s="239">
        <f t="shared" si="9"/>
        <v>3896000</v>
      </c>
    </row>
    <row r="21" spans="2:48">
      <c r="B21" s="223" t="s">
        <v>94</v>
      </c>
      <c r="C21" s="236">
        <v>1656068.9679999999</v>
      </c>
      <c r="D21" s="236">
        <v>1765453.953</v>
      </c>
      <c r="E21" s="236">
        <v>1863187.0870000003</v>
      </c>
      <c r="F21" s="236">
        <v>1998072.773</v>
      </c>
      <c r="G21" s="236">
        <v>1887720.5249999999</v>
      </c>
      <c r="H21" s="236">
        <v>1987624.5270000002</v>
      </c>
      <c r="I21" s="236">
        <v>2095996.7169999999</v>
      </c>
      <c r="J21" s="236">
        <v>2159906.068</v>
      </c>
      <c r="K21" s="236">
        <v>1975730.5630000001</v>
      </c>
      <c r="L21" s="236">
        <v>1882863.4780000001</v>
      </c>
      <c r="M21" s="236">
        <v>2174548.4810000001</v>
      </c>
      <c r="N21" s="236">
        <v>2422326.3929999997</v>
      </c>
      <c r="O21" s="236">
        <v>2002101.5968240001</v>
      </c>
      <c r="P21" s="236">
        <v>2088856.3543029986</v>
      </c>
      <c r="Q21" s="236">
        <v>2316200.3490019985</v>
      </c>
      <c r="R21" s="236">
        <v>2332312.869022999</v>
      </c>
      <c r="S21" s="236">
        <v>1959174.3571019999</v>
      </c>
      <c r="T21" s="236">
        <v>2170178.2829780001</v>
      </c>
      <c r="U21" s="236">
        <v>2281048.9241780001</v>
      </c>
      <c r="V21" s="236">
        <v>2356630.7025609971</v>
      </c>
      <c r="W21" s="236">
        <v>2039607.702419</v>
      </c>
      <c r="X21" s="245">
        <v>2140437.620017</v>
      </c>
      <c r="Y21" s="245">
        <v>2211013.2408540002</v>
      </c>
      <c r="Z21" s="245">
        <v>2249551.9877067497</v>
      </c>
      <c r="AA21" s="245">
        <v>1954385.15288206</v>
      </c>
      <c r="AB21" s="245">
        <v>2088654.6510695298</v>
      </c>
      <c r="AC21" s="245">
        <v>2247822.1727060704</v>
      </c>
      <c r="AD21" s="245">
        <v>2326094.32250077</v>
      </c>
      <c r="AE21" s="245">
        <v>2089310.3761811585</v>
      </c>
      <c r="AF21" s="224">
        <v>2036276.3400466195</v>
      </c>
      <c r="AG21" s="224">
        <v>2399142.7308608703</v>
      </c>
      <c r="AH21" s="224">
        <v>2325463.200335816</v>
      </c>
      <c r="AI21" s="224">
        <v>2167144.9577237247</v>
      </c>
      <c r="AJ21" s="224">
        <v>2305199.1051781327</v>
      </c>
      <c r="AK21" s="224">
        <v>2472009.2068795683</v>
      </c>
      <c r="AL21" s="224">
        <v>2506734.6470890949</v>
      </c>
      <c r="AM21" s="224">
        <v>2307446.9097290817</v>
      </c>
      <c r="AN21" s="224">
        <v>2440691.1773466393</v>
      </c>
      <c r="AO21" s="224">
        <v>2646778.149478646</v>
      </c>
      <c r="AP21" s="224">
        <v>2637647.839518839</v>
      </c>
      <c r="AQ21" s="224">
        <v>2427842.3332823822</v>
      </c>
      <c r="AR21" s="224">
        <v>2584484.9082702771</v>
      </c>
      <c r="AS21" s="224">
        <v>2834237.1093314504</v>
      </c>
      <c r="AT21" s="224">
        <v>3012332.990287039</v>
      </c>
      <c r="AU21" s="224">
        <v>2727518.4130807491</v>
      </c>
      <c r="AV21" s="224">
        <v>2769861.4096169998</v>
      </c>
    </row>
    <row r="22" spans="2:48">
      <c r="B22" s="223" t="s">
        <v>95</v>
      </c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45"/>
      <c r="Y22" s="245"/>
      <c r="Z22" s="245"/>
      <c r="AA22" s="245"/>
      <c r="AB22" s="245"/>
      <c r="AC22" s="245"/>
      <c r="AD22" s="245"/>
      <c r="AE22" s="245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4">
        <v>10559.42288</v>
      </c>
      <c r="AT22" s="224">
        <v>4061.3919799999999</v>
      </c>
      <c r="AU22" s="224">
        <v>3551.7392640000003</v>
      </c>
      <c r="AV22" s="224">
        <v>3995.1038880000001</v>
      </c>
    </row>
    <row r="23" spans="2:48">
      <c r="B23" s="223" t="s">
        <v>96</v>
      </c>
      <c r="C23" s="240">
        <f t="shared" ref="C23:AS23" si="10">C20-C21-C22</f>
        <v>956065.37799000042</v>
      </c>
      <c r="D23" s="240">
        <f t="shared" si="10"/>
        <v>1006069.8430899999</v>
      </c>
      <c r="E23" s="240">
        <f t="shared" si="10"/>
        <v>1053749.75997</v>
      </c>
      <c r="F23" s="240">
        <f t="shared" si="10"/>
        <v>991982.9074599999</v>
      </c>
      <c r="G23" s="240">
        <f t="shared" si="10"/>
        <v>858619.22180900024</v>
      </c>
      <c r="H23" s="240">
        <f t="shared" si="10"/>
        <v>906653.5360419997</v>
      </c>
      <c r="I23" s="240">
        <f t="shared" si="10"/>
        <v>948602.48890299979</v>
      </c>
      <c r="J23" s="240">
        <f t="shared" si="10"/>
        <v>978658.72278899886</v>
      </c>
      <c r="K23" s="240">
        <f t="shared" si="10"/>
        <v>827996.19591500051</v>
      </c>
      <c r="L23" s="240">
        <f t="shared" si="10"/>
        <v>1026806.6018559998</v>
      </c>
      <c r="M23" s="240">
        <f t="shared" si="10"/>
        <v>898436.8552910001</v>
      </c>
      <c r="N23" s="240">
        <f t="shared" si="10"/>
        <v>734321.90611400036</v>
      </c>
      <c r="O23" s="240">
        <f t="shared" si="10"/>
        <v>904408.58705199976</v>
      </c>
      <c r="P23" s="240">
        <f t="shared" si="10"/>
        <v>947639.62260500062</v>
      </c>
      <c r="Q23" s="240">
        <f t="shared" si="10"/>
        <v>803414.26045600092</v>
      </c>
      <c r="R23" s="240">
        <f t="shared" si="10"/>
        <v>794152.39395066677</v>
      </c>
      <c r="S23" s="240">
        <f t="shared" si="10"/>
        <v>805970.37104293494</v>
      </c>
      <c r="T23" s="240">
        <f t="shared" si="10"/>
        <v>818132.49471105076</v>
      </c>
      <c r="U23" s="240">
        <f t="shared" si="10"/>
        <v>893082.80025515752</v>
      </c>
      <c r="V23" s="240">
        <f t="shared" si="10"/>
        <v>807983.91240013437</v>
      </c>
      <c r="W23" s="240">
        <f t="shared" si="10"/>
        <v>794689.20105480426</v>
      </c>
      <c r="X23" s="240">
        <f t="shared" si="10"/>
        <v>795940.19576200005</v>
      </c>
      <c r="Y23" s="240">
        <f t="shared" si="10"/>
        <v>913645.15700443042</v>
      </c>
      <c r="Z23" s="240">
        <f t="shared" si="10"/>
        <v>910926.33671207493</v>
      </c>
      <c r="AA23" s="240">
        <f t="shared" si="10"/>
        <v>903883.27157157334</v>
      </c>
      <c r="AB23" s="240">
        <f t="shared" si="10"/>
        <v>929229.26879421016</v>
      </c>
      <c r="AC23" s="240">
        <f t="shared" si="10"/>
        <v>963082.69470025739</v>
      </c>
      <c r="AD23" s="240">
        <f t="shared" si="10"/>
        <v>908304.31389162969</v>
      </c>
      <c r="AE23" s="240">
        <f t="shared" si="10"/>
        <v>868556.52979743038</v>
      </c>
      <c r="AF23" s="240">
        <f t="shared" si="10"/>
        <v>960547.75027641281</v>
      </c>
      <c r="AG23" s="240">
        <f t="shared" si="10"/>
        <v>1032959.5346513521</v>
      </c>
      <c r="AH23" s="240">
        <f t="shared" si="10"/>
        <v>1069859.5054447367</v>
      </c>
      <c r="AI23" s="240">
        <f t="shared" si="10"/>
        <v>899268.78617439652</v>
      </c>
      <c r="AJ23" s="240">
        <f t="shared" si="10"/>
        <v>964881.28116750903</v>
      </c>
      <c r="AK23" s="240">
        <f t="shared" si="10"/>
        <v>1005108.0451364061</v>
      </c>
      <c r="AL23" s="240">
        <f t="shared" si="10"/>
        <v>990896.47364997258</v>
      </c>
      <c r="AM23" s="240">
        <f t="shared" si="10"/>
        <v>871223.74570936058</v>
      </c>
      <c r="AN23" s="240">
        <f t="shared" si="10"/>
        <v>903155.54014182696</v>
      </c>
      <c r="AO23" s="240">
        <f t="shared" si="10"/>
        <v>1031005.8116486617</v>
      </c>
      <c r="AP23" s="240">
        <f t="shared" si="10"/>
        <v>1000453.895899971</v>
      </c>
      <c r="AQ23" s="240">
        <f t="shared" si="10"/>
        <v>876023.81795121124</v>
      </c>
      <c r="AR23" s="240">
        <f t="shared" si="10"/>
        <v>1010828.5145407775</v>
      </c>
      <c r="AS23" s="240">
        <f t="shared" si="10"/>
        <v>1106461.6558113513</v>
      </c>
      <c r="AT23" s="240">
        <f>AT20-AT21-AT22</f>
        <v>1061801.6696388309</v>
      </c>
      <c r="AU23" s="240">
        <v>999270.51101739076</v>
      </c>
      <c r="AV23" s="240">
        <v>1122143.4864950003</v>
      </c>
    </row>
    <row r="24" spans="2:48">
      <c r="B24" s="246" t="s">
        <v>97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8"/>
      <c r="Y24" s="248"/>
      <c r="Z24" s="248"/>
      <c r="AA24" s="248"/>
      <c r="AB24" s="248"/>
      <c r="AC24" s="248"/>
      <c r="AD24" s="248"/>
      <c r="AE24" s="248"/>
      <c r="AF24" s="249">
        <f>AF17+AF18-AF21-AF22+'Mercado Distribuição'!AF35</f>
        <v>957170.88627641276</v>
      </c>
      <c r="AG24" s="249">
        <f>AG17+AG18-AG21-AG22+'Mercado Distribuição'!AG35</f>
        <v>1028127.4986513518</v>
      </c>
      <c r="AH24" s="249">
        <f>AH17+AH18-AH21-AH22+'Mercado Distribuição'!AH35</f>
        <v>1066625.3224447365</v>
      </c>
      <c r="AI24" s="249">
        <f>AI17+AI18-AI21-AI22+'Mercado Distribuição'!AI35</f>
        <v>893094.75887739658</v>
      </c>
      <c r="AJ24" s="249">
        <f>AJ17+AJ18-AJ21-AJ22+'Mercado Distribuição'!AJ35</f>
        <v>957273.63516750932</v>
      </c>
      <c r="AK24" s="249">
        <f>AK17+AK18-AK21-AK22+'Mercado Distribuição'!AK35</f>
        <v>994544.05813640612</v>
      </c>
      <c r="AL24" s="249">
        <f>AL17+AL18-AL21-AL22+'Mercado Distribuição'!AL35</f>
        <v>981844.75464997301</v>
      </c>
      <c r="AM24" s="249">
        <f>AM17+AM18-AM21-AM22+'Mercado Distribuição'!AM35</f>
        <v>858701.25370936026</v>
      </c>
      <c r="AN24" s="249">
        <f>AN17+AN18-AN21-AN22+'Mercado Distribuição'!AN35</f>
        <v>888566.67314182734</v>
      </c>
      <c r="AO24" s="249">
        <f>AO17+AO18-AO21-AO22+'Mercado Distribuição'!AO35</f>
        <v>1009867.1837859116</v>
      </c>
      <c r="AP24" s="249">
        <f>AP17+AP18-AP21-AP22+'Mercado Distribuição'!AP35</f>
        <v>983356.45968007145</v>
      </c>
      <c r="AQ24" s="249">
        <f>AQ17+AQ18-AQ21-AQ22+'Mercado Distribuição'!AQ35</f>
        <v>847506.22099711117</v>
      </c>
      <c r="AR24" s="249">
        <f>AR17+AR18-AR21-AR22+'Mercado Distribuição'!AR35</f>
        <v>977820.88590992778</v>
      </c>
      <c r="AS24" s="249">
        <f>AS17+AS18-AS21-AS22+'Mercado Distribuição'!AS35</f>
        <v>1072387.6038113516</v>
      </c>
      <c r="AT24" s="249">
        <f>AT17+AT18-AT21-AT22+'Mercado Distribuição'!AT35</f>
        <v>1034637.403505931</v>
      </c>
      <c r="AU24" s="249">
        <v>969735.20918164076</v>
      </c>
      <c r="AV24" s="249">
        <v>1084090.1874950002</v>
      </c>
    </row>
    <row r="25" spans="2:48">
      <c r="B25" s="223" t="s">
        <v>101</v>
      </c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250"/>
      <c r="AU25" s="250"/>
      <c r="AV25" s="250"/>
    </row>
    <row r="27" spans="2:48">
      <c r="B27" s="533" t="s">
        <v>102</v>
      </c>
      <c r="C27" s="129" t="s">
        <v>9</v>
      </c>
      <c r="D27" s="129" t="s">
        <v>10</v>
      </c>
      <c r="E27" s="129" t="s">
        <v>11</v>
      </c>
      <c r="F27" s="129" t="s">
        <v>12</v>
      </c>
      <c r="G27" s="129" t="s">
        <v>13</v>
      </c>
      <c r="H27" s="129" t="s">
        <v>14</v>
      </c>
      <c r="I27" s="129" t="s">
        <v>15</v>
      </c>
      <c r="J27" s="129" t="s">
        <v>16</v>
      </c>
      <c r="K27" s="129" t="s">
        <v>17</v>
      </c>
      <c r="L27" s="129" t="s">
        <v>18</v>
      </c>
      <c r="M27" s="129" t="s">
        <v>19</v>
      </c>
      <c r="N27" s="129" t="s">
        <v>20</v>
      </c>
      <c r="O27" s="129" t="s">
        <v>21</v>
      </c>
      <c r="P27" s="129" t="s">
        <v>22</v>
      </c>
      <c r="Q27" s="129" t="s">
        <v>23</v>
      </c>
      <c r="R27" s="129" t="s">
        <v>24</v>
      </c>
      <c r="S27" s="129" t="s">
        <v>25</v>
      </c>
      <c r="T27" s="129" t="s">
        <v>26</v>
      </c>
      <c r="U27" s="129" t="s">
        <v>27</v>
      </c>
      <c r="V27" s="129" t="s">
        <v>28</v>
      </c>
      <c r="W27" s="129" t="s">
        <v>29</v>
      </c>
      <c r="X27" s="129" t="s">
        <v>30</v>
      </c>
      <c r="Y27" s="129" t="s">
        <v>31</v>
      </c>
      <c r="Z27" s="129" t="s">
        <v>32</v>
      </c>
      <c r="AA27" s="129" t="str">
        <f>AA16</f>
        <v>1T19</v>
      </c>
      <c r="AB27" s="129" t="s">
        <v>34</v>
      </c>
      <c r="AC27" s="129" t="s">
        <v>35</v>
      </c>
      <c r="AD27" s="129" t="s">
        <v>36</v>
      </c>
      <c r="AE27" s="129" t="str">
        <f>AE16</f>
        <v>1T20</v>
      </c>
      <c r="AF27" s="129" t="str">
        <f t="shared" ref="AF27:AK27" si="11">AF6</f>
        <v>2T20</v>
      </c>
      <c r="AG27" s="129" t="str">
        <f t="shared" si="11"/>
        <v>3T20</v>
      </c>
      <c r="AH27" s="129" t="str">
        <f t="shared" si="11"/>
        <v>4T20</v>
      </c>
      <c r="AI27" s="129" t="str">
        <f t="shared" si="11"/>
        <v>1T21</v>
      </c>
      <c r="AJ27" s="129" t="str">
        <f t="shared" si="11"/>
        <v>2T21</v>
      </c>
      <c r="AK27" s="129" t="str">
        <f t="shared" si="11"/>
        <v>3T21</v>
      </c>
      <c r="AL27" s="129" t="str">
        <f t="shared" ref="AL27:AT27" si="12">AL16</f>
        <v>4T21</v>
      </c>
      <c r="AM27" s="129" t="str">
        <f t="shared" si="12"/>
        <v>1T22</v>
      </c>
      <c r="AN27" s="129" t="str">
        <f t="shared" si="12"/>
        <v>2T22</v>
      </c>
      <c r="AO27" s="129" t="str">
        <f t="shared" si="12"/>
        <v>3T22</v>
      </c>
      <c r="AP27" s="129" t="str">
        <f t="shared" si="12"/>
        <v>4T22</v>
      </c>
      <c r="AQ27" s="129" t="str">
        <f t="shared" si="12"/>
        <v>1T23</v>
      </c>
      <c r="AR27" s="129" t="str">
        <f t="shared" si="12"/>
        <v>2T23</v>
      </c>
      <c r="AS27" s="129" t="str">
        <f t="shared" si="12"/>
        <v>3T23</v>
      </c>
      <c r="AT27" s="129" t="str">
        <f t="shared" si="12"/>
        <v>4T23</v>
      </c>
      <c r="AU27" s="129" t="str">
        <f t="shared" ref="AU27:AV27" si="13">AU16</f>
        <v>1T24</v>
      </c>
      <c r="AV27" s="129" t="str">
        <f t="shared" si="13"/>
        <v>2T24</v>
      </c>
    </row>
    <row r="28" spans="2:48">
      <c r="B28" s="235" t="s">
        <v>91</v>
      </c>
      <c r="C28" s="236">
        <v>982756.98611199996</v>
      </c>
      <c r="D28" s="236">
        <v>1008400.6968825001</v>
      </c>
      <c r="E28" s="236">
        <v>1116006.4541419996</v>
      </c>
      <c r="F28" s="236">
        <v>1163797.4270306695</v>
      </c>
      <c r="G28" s="236">
        <v>1012137.1069558323</v>
      </c>
      <c r="H28" s="236">
        <v>1078103.1968451715</v>
      </c>
      <c r="I28" s="236">
        <v>1195195.6312286668</v>
      </c>
      <c r="J28" s="236">
        <v>1269982.3915386898</v>
      </c>
      <c r="K28" s="236">
        <v>1090785.43099776</v>
      </c>
      <c r="L28" s="236">
        <v>1124015.9471939998</v>
      </c>
      <c r="M28" s="236">
        <v>1244463.4943397832</v>
      </c>
      <c r="N28" s="236">
        <v>1373201.1764449743</v>
      </c>
      <c r="O28" s="236">
        <v>1143053.4569721599</v>
      </c>
      <c r="P28" s="236">
        <v>1233470.5446909992</v>
      </c>
      <c r="Q28" s="236">
        <v>1305495.9945849995</v>
      </c>
      <c r="R28" s="236">
        <v>1389232.978935089</v>
      </c>
      <c r="S28" s="236">
        <v>1124865.0467790519</v>
      </c>
      <c r="T28" s="236">
        <v>1201841.8416649997</v>
      </c>
      <c r="U28" s="236">
        <v>1301018.0979124345</v>
      </c>
      <c r="V28" s="236">
        <v>1386665.239641377</v>
      </c>
      <c r="W28" s="236">
        <v>1106627.6490966196</v>
      </c>
      <c r="X28" s="224">
        <v>1172507.0177652109</v>
      </c>
      <c r="Y28" s="224">
        <v>1302472.0533890065</v>
      </c>
      <c r="Z28" s="224">
        <v>1326162.796845854</v>
      </c>
      <c r="AA28" s="224">
        <v>1123918.6677301938</v>
      </c>
      <c r="AB28" s="224">
        <v>1179998.9287554589</v>
      </c>
      <c r="AC28" s="224">
        <v>1292329.8868828914</v>
      </c>
      <c r="AD28" s="224">
        <v>1392841.5450556441</v>
      </c>
      <c r="AE28" s="224">
        <v>1107184.0714686487</v>
      </c>
      <c r="AF28" s="224">
        <v>1109068.0430000001</v>
      </c>
      <c r="AG28" s="224">
        <v>1251751.0240392722</v>
      </c>
      <c r="AH28" s="224">
        <v>1348860.1825934746</v>
      </c>
      <c r="AI28" s="224">
        <v>1138003.3341037231</v>
      </c>
      <c r="AJ28" s="224">
        <v>1206119.5989999999</v>
      </c>
      <c r="AK28" s="224">
        <v>1312436.1302899285</v>
      </c>
      <c r="AL28" s="224">
        <v>1301914.1037059505</v>
      </c>
      <c r="AM28" s="224">
        <v>1083374.1508182979</v>
      </c>
      <c r="AN28" s="224">
        <v>1137134.499535789</v>
      </c>
      <c r="AO28" s="224">
        <v>1249301.9463274151</v>
      </c>
      <c r="AP28" s="224">
        <v>1284093.334081606</v>
      </c>
      <c r="AQ28" s="224">
        <v>1090164.0457566471</v>
      </c>
      <c r="AR28" s="224">
        <v>1176386.7871043095</v>
      </c>
      <c r="AS28" s="224">
        <v>1322804.8604703799</v>
      </c>
      <c r="AT28" s="224">
        <v>1430858.8696935601</v>
      </c>
      <c r="AU28" s="224">
        <v>1210942.03904284</v>
      </c>
      <c r="AV28" s="224">
        <v>1240835.4126381301</v>
      </c>
    </row>
    <row r="29" spans="2:48">
      <c r="B29" s="237" t="s">
        <v>92</v>
      </c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24"/>
      <c r="Y29" s="224"/>
      <c r="Z29" s="224"/>
      <c r="AA29" s="224">
        <v>2392.0199999999986</v>
      </c>
      <c r="AB29" s="224">
        <v>2644.0830000000078</v>
      </c>
      <c r="AC29" s="224">
        <v>5533.2700000000023</v>
      </c>
      <c r="AD29" s="224">
        <v>7919.707000000004</v>
      </c>
      <c r="AE29" s="224">
        <v>10276.014999999996</v>
      </c>
      <c r="AF29" s="224">
        <v>16733.957000000009</v>
      </c>
      <c r="AG29" s="224">
        <v>23393.055999999964</v>
      </c>
      <c r="AH29" s="224">
        <v>25778.708000000028</v>
      </c>
      <c r="AI29" s="224">
        <v>26647.286000000062</v>
      </c>
      <c r="AJ29" s="224">
        <v>36559.4010000001</v>
      </c>
      <c r="AK29" s="224">
        <v>46644.899999999965</v>
      </c>
      <c r="AL29" s="224">
        <v>51153.838999999964</v>
      </c>
      <c r="AM29" s="224">
        <v>55767.289999999892</v>
      </c>
      <c r="AN29" s="224">
        <v>68188.562999999951</v>
      </c>
      <c r="AO29" s="224">
        <v>91028.556000000041</v>
      </c>
      <c r="AP29" s="224">
        <v>94766.582999999999</v>
      </c>
      <c r="AQ29" s="224">
        <v>95718.903000000078</v>
      </c>
      <c r="AR29" s="224">
        <v>116814.97100000002</v>
      </c>
      <c r="AS29" s="224">
        <v>143432.97899999999</v>
      </c>
      <c r="AT29" s="224">
        <v>150856.85200000001</v>
      </c>
      <c r="AU29" s="224">
        <v>145993.72700000001</v>
      </c>
      <c r="AV29" s="224">
        <v>176543.201</v>
      </c>
    </row>
    <row r="30" spans="2:48">
      <c r="B30" s="238" t="s">
        <v>93</v>
      </c>
      <c r="C30" s="239">
        <f>SUM(C28:C28)</f>
        <v>982756.98611199996</v>
      </c>
      <c r="D30" s="239">
        <f>SUM(D28:D28)</f>
        <v>1008400.6968825001</v>
      </c>
      <c r="E30" s="239">
        <f t="shared" ref="E30:X30" si="14">SUM(E28:E28)</f>
        <v>1116006.4541419996</v>
      </c>
      <c r="F30" s="239">
        <f t="shared" si="14"/>
        <v>1163797.4270306695</v>
      </c>
      <c r="G30" s="239">
        <f t="shared" si="14"/>
        <v>1012137.1069558323</v>
      </c>
      <c r="H30" s="239">
        <f t="shared" si="14"/>
        <v>1078103.1968451715</v>
      </c>
      <c r="I30" s="239">
        <f t="shared" si="14"/>
        <v>1195195.6312286668</v>
      </c>
      <c r="J30" s="239">
        <f t="shared" si="14"/>
        <v>1269982.3915386898</v>
      </c>
      <c r="K30" s="239">
        <f t="shared" si="14"/>
        <v>1090785.43099776</v>
      </c>
      <c r="L30" s="239">
        <f t="shared" si="14"/>
        <v>1124015.9471939998</v>
      </c>
      <c r="M30" s="239">
        <f t="shared" si="14"/>
        <v>1244463.4943397832</v>
      </c>
      <c r="N30" s="239">
        <f t="shared" si="14"/>
        <v>1373201.1764449743</v>
      </c>
      <c r="O30" s="239">
        <f t="shared" si="14"/>
        <v>1143053.4569721599</v>
      </c>
      <c r="P30" s="239">
        <f t="shared" si="14"/>
        <v>1233470.5446909992</v>
      </c>
      <c r="Q30" s="239">
        <f t="shared" si="14"/>
        <v>1305495.9945849995</v>
      </c>
      <c r="R30" s="239">
        <f t="shared" si="14"/>
        <v>1389232.978935089</v>
      </c>
      <c r="S30" s="239">
        <f t="shared" si="14"/>
        <v>1124865.0467790519</v>
      </c>
      <c r="T30" s="239">
        <f t="shared" si="14"/>
        <v>1201841.8416649997</v>
      </c>
      <c r="U30" s="239">
        <f t="shared" si="14"/>
        <v>1301018.0979124345</v>
      </c>
      <c r="V30" s="239">
        <f t="shared" si="14"/>
        <v>1386665.239641377</v>
      </c>
      <c r="W30" s="239">
        <f t="shared" si="14"/>
        <v>1106627.6490966196</v>
      </c>
      <c r="X30" s="239">
        <f t="shared" si="14"/>
        <v>1172507.0177652109</v>
      </c>
      <c r="Y30" s="239">
        <f>+SUM(Y28:Y29)</f>
        <v>1302472.0533890065</v>
      </c>
      <c r="Z30" s="239">
        <f>+SUM(Z28:Z29)</f>
        <v>1326162.796845854</v>
      </c>
      <c r="AA30" s="239">
        <f>+SUM(AA28:AA29)</f>
        <v>1126310.6877301938</v>
      </c>
      <c r="AB30" s="239">
        <f t="shared" ref="AB30:AT30" si="15">+SUM(AB28:AB29)</f>
        <v>1182643.011755459</v>
      </c>
      <c r="AC30" s="239">
        <f t="shared" si="15"/>
        <v>1297863.1568828914</v>
      </c>
      <c r="AD30" s="239">
        <f t="shared" si="15"/>
        <v>1400761.2520556441</v>
      </c>
      <c r="AE30" s="239">
        <f t="shared" si="15"/>
        <v>1117460.0864686486</v>
      </c>
      <c r="AF30" s="239">
        <f t="shared" si="15"/>
        <v>1125802</v>
      </c>
      <c r="AG30" s="239">
        <f t="shared" si="15"/>
        <v>1275144.0800392721</v>
      </c>
      <c r="AH30" s="239">
        <f t="shared" si="15"/>
        <v>1374638.8905934747</v>
      </c>
      <c r="AI30" s="239">
        <f t="shared" si="15"/>
        <v>1164650.6201037231</v>
      </c>
      <c r="AJ30" s="239">
        <f t="shared" si="15"/>
        <v>1242679</v>
      </c>
      <c r="AK30" s="239">
        <f t="shared" si="15"/>
        <v>1359081.0302899284</v>
      </c>
      <c r="AL30" s="239">
        <f t="shared" si="15"/>
        <v>1353067.9427059505</v>
      </c>
      <c r="AM30" s="239">
        <f t="shared" si="15"/>
        <v>1139141.4408182977</v>
      </c>
      <c r="AN30" s="239">
        <f t="shared" si="15"/>
        <v>1205323.0625357889</v>
      </c>
      <c r="AO30" s="239">
        <f t="shared" si="15"/>
        <v>1340330.5023274152</v>
      </c>
      <c r="AP30" s="239">
        <f t="shared" si="15"/>
        <v>1378859.9170816061</v>
      </c>
      <c r="AQ30" s="239">
        <f t="shared" si="15"/>
        <v>1185882.9487566473</v>
      </c>
      <c r="AR30" s="239">
        <f t="shared" si="15"/>
        <v>1293201.7581043094</v>
      </c>
      <c r="AS30" s="239">
        <f t="shared" si="15"/>
        <v>1466237.83947038</v>
      </c>
      <c r="AT30" s="239">
        <f t="shared" si="15"/>
        <v>1581715.72169356</v>
      </c>
      <c r="AU30" s="239">
        <f t="shared" ref="AU30:AV30" si="16">+SUM(AU28:AU29)</f>
        <v>1356935.76604284</v>
      </c>
      <c r="AV30" s="239">
        <f t="shared" si="16"/>
        <v>1417378.61363813</v>
      </c>
    </row>
    <row r="31" spans="2:48">
      <c r="B31" s="223" t="s">
        <v>94</v>
      </c>
      <c r="C31" s="236">
        <v>688043.28446800006</v>
      </c>
      <c r="D31" s="236">
        <v>716807.18229200016</v>
      </c>
      <c r="E31" s="236">
        <v>775250.76144479995</v>
      </c>
      <c r="F31" s="236">
        <v>811717.67531199998</v>
      </c>
      <c r="G31" s="236">
        <v>751174.473</v>
      </c>
      <c r="H31" s="236">
        <v>756630.83293675247</v>
      </c>
      <c r="I31" s="236">
        <v>841180.69144430524</v>
      </c>
      <c r="J31" s="236">
        <v>871819.65899999999</v>
      </c>
      <c r="K31" s="236">
        <v>792327.4926749916</v>
      </c>
      <c r="L31" s="236">
        <v>796065.24676184508</v>
      </c>
      <c r="M31" s="236">
        <v>852063.52971400251</v>
      </c>
      <c r="N31" s="236">
        <v>919045.72080637957</v>
      </c>
      <c r="O31" s="236">
        <v>806999.32263335795</v>
      </c>
      <c r="P31" s="236">
        <v>856290.14455109264</v>
      </c>
      <c r="Q31" s="236">
        <v>902430.73313999851</v>
      </c>
      <c r="R31" s="236">
        <v>950744.72488787957</v>
      </c>
      <c r="S31" s="236">
        <v>830279.71631956182</v>
      </c>
      <c r="T31" s="236">
        <v>867353.80320473842</v>
      </c>
      <c r="U31" s="236">
        <v>922231.25657458021</v>
      </c>
      <c r="V31" s="236">
        <v>989806.3030446918</v>
      </c>
      <c r="W31" s="236">
        <v>820254.50399999996</v>
      </c>
      <c r="X31" s="224">
        <v>838606.68399999989</v>
      </c>
      <c r="Y31" s="224">
        <v>913685.88500000001</v>
      </c>
      <c r="Z31" s="224">
        <v>829384.95700000005</v>
      </c>
      <c r="AA31" s="224">
        <v>859291.03199212777</v>
      </c>
      <c r="AB31" s="224">
        <v>896323.35468582716</v>
      </c>
      <c r="AC31" s="224">
        <v>958096.41700000002</v>
      </c>
      <c r="AD31" s="224">
        <v>1077025.5000000002</v>
      </c>
      <c r="AE31" s="224">
        <v>904747.88700000022</v>
      </c>
      <c r="AF31" s="224">
        <v>869112.46700000006</v>
      </c>
      <c r="AG31" s="224">
        <v>960757.93099999998</v>
      </c>
      <c r="AH31" s="224">
        <v>1103997.0380000002</v>
      </c>
      <c r="AI31" s="224">
        <v>953448.65500000014</v>
      </c>
      <c r="AJ31" s="224">
        <v>996648.17800000007</v>
      </c>
      <c r="AK31" s="224">
        <v>1075841.1060000001</v>
      </c>
      <c r="AL31" s="224">
        <v>1085327.7630000003</v>
      </c>
      <c r="AM31" s="224">
        <v>911521.20400000003</v>
      </c>
      <c r="AN31" s="224">
        <v>954317.0632548721</v>
      </c>
      <c r="AO31" s="224">
        <v>1081633.0149781201</v>
      </c>
      <c r="AP31" s="224">
        <v>1080618.5105601801</v>
      </c>
      <c r="AQ31" s="224">
        <v>949328.72046668001</v>
      </c>
      <c r="AR31" s="224">
        <v>1024562.6345297607</v>
      </c>
      <c r="AS31" s="224">
        <v>1150620.8855965938</v>
      </c>
      <c r="AT31" s="224">
        <v>1233976.6912537592</v>
      </c>
      <c r="AU31" s="224">
        <v>1087226.2707407</v>
      </c>
      <c r="AV31" s="224">
        <v>1140619.0392434169</v>
      </c>
    </row>
    <row r="32" spans="2:48">
      <c r="B32" s="223" t="s">
        <v>95</v>
      </c>
      <c r="C32" s="236">
        <v>24720.379468000003</v>
      </c>
      <c r="D32" s="236">
        <v>25974.084292000003</v>
      </c>
      <c r="E32" s="236">
        <v>27535.693444800003</v>
      </c>
      <c r="F32" s="236">
        <v>29171.060312000001</v>
      </c>
      <c r="G32" s="236">
        <v>26864.347999999998</v>
      </c>
      <c r="H32" s="236">
        <v>28895.479936752505</v>
      </c>
      <c r="I32" s="236">
        <v>33391.927444305198</v>
      </c>
      <c r="J32" s="236">
        <v>33285.366000000002</v>
      </c>
      <c r="K32" s="236">
        <v>30467.275674991673</v>
      </c>
      <c r="L32" s="236">
        <v>31011.724761845093</v>
      </c>
      <c r="M32" s="236">
        <v>33290.018714002501</v>
      </c>
      <c r="N32" s="236">
        <v>35386.541806379697</v>
      </c>
      <c r="O32" s="236">
        <v>32248.860633357999</v>
      </c>
      <c r="P32" s="236">
        <v>34403.665551092701</v>
      </c>
      <c r="Q32" s="236">
        <v>36263.119139998402</v>
      </c>
      <c r="R32" s="236">
        <v>36213.923887879595</v>
      </c>
      <c r="S32" s="236">
        <v>31998.781319561731</v>
      </c>
      <c r="T32" s="236">
        <v>32825.451204738398</v>
      </c>
      <c r="U32" s="236">
        <v>35462.7305745802</v>
      </c>
      <c r="V32" s="236">
        <v>34864.7050446918</v>
      </c>
      <c r="W32" s="236">
        <v>29862.91472567321</v>
      </c>
      <c r="X32" s="224">
        <v>31004.696208293906</v>
      </c>
      <c r="Y32" s="224">
        <v>33312.177684063499</v>
      </c>
      <c r="Z32" s="224">
        <v>34095.757067614599</v>
      </c>
      <c r="AA32" s="224">
        <v>30452.26299212774</v>
      </c>
      <c r="AB32" s="224">
        <v>32018.805685827298</v>
      </c>
      <c r="AC32" s="224">
        <v>35481</v>
      </c>
      <c r="AD32" s="224">
        <v>34983.775999999998</v>
      </c>
      <c r="AE32" s="224">
        <v>32416.33</v>
      </c>
      <c r="AF32" s="224">
        <v>34414.71</v>
      </c>
      <c r="AG32" s="224">
        <v>39505.686999999998</v>
      </c>
      <c r="AH32" s="224">
        <v>38860.991000000002</v>
      </c>
      <c r="AI32" s="224">
        <v>36424.182000000001</v>
      </c>
      <c r="AJ32" s="224">
        <v>37824.080000000002</v>
      </c>
      <c r="AK32" s="224">
        <v>41043.202000000005</v>
      </c>
      <c r="AL32" s="224">
        <v>40353.236000000004</v>
      </c>
      <c r="AM32" s="224">
        <v>37382.29</v>
      </c>
      <c r="AN32" s="224">
        <v>36591.605000000003</v>
      </c>
      <c r="AO32" s="224">
        <v>38024.331000000006</v>
      </c>
      <c r="AP32" s="224">
        <f>'Mercado Distribuição'!AP49</f>
        <v>40917.446000000004</v>
      </c>
      <c r="AQ32" s="224">
        <v>47063.362139050012</v>
      </c>
      <c r="AR32" s="224">
        <v>38386.433417526699</v>
      </c>
      <c r="AS32" s="224">
        <v>43027.037722453802</v>
      </c>
      <c r="AT32" s="224">
        <v>45632.668140361697</v>
      </c>
      <c r="AU32" s="224">
        <v>42865.671298559901</v>
      </c>
      <c r="AV32" s="224">
        <v>44213.054976164298</v>
      </c>
    </row>
    <row r="33" spans="2:48">
      <c r="B33" s="223" t="s">
        <v>96</v>
      </c>
      <c r="C33" s="245">
        <f t="shared" ref="C33:AS33" si="17">C30-C31-C32</f>
        <v>269993.32217599987</v>
      </c>
      <c r="D33" s="245">
        <f t="shared" si="17"/>
        <v>265619.43029849994</v>
      </c>
      <c r="E33" s="245">
        <f t="shared" si="17"/>
        <v>313219.99925239966</v>
      </c>
      <c r="F33" s="245">
        <f t="shared" si="17"/>
        <v>322908.69140666956</v>
      </c>
      <c r="G33" s="245">
        <f t="shared" si="17"/>
        <v>234098.28595583234</v>
      </c>
      <c r="H33" s="245">
        <f t="shared" si="17"/>
        <v>292576.88397166651</v>
      </c>
      <c r="I33" s="245">
        <f t="shared" si="17"/>
        <v>320623.0123400563</v>
      </c>
      <c r="J33" s="245">
        <f t="shared" si="17"/>
        <v>364877.36653868988</v>
      </c>
      <c r="K33" s="245">
        <f t="shared" si="17"/>
        <v>267990.66264777677</v>
      </c>
      <c r="L33" s="245">
        <f t="shared" si="17"/>
        <v>296938.97567030962</v>
      </c>
      <c r="M33" s="245">
        <f t="shared" si="17"/>
        <v>359109.9459117782</v>
      </c>
      <c r="N33" s="245">
        <f t="shared" si="17"/>
        <v>418768.91383221501</v>
      </c>
      <c r="O33" s="245">
        <f t="shared" si="17"/>
        <v>303805.27370544395</v>
      </c>
      <c r="P33" s="245">
        <f t="shared" si="17"/>
        <v>342776.73458881385</v>
      </c>
      <c r="Q33" s="245">
        <f t="shared" si="17"/>
        <v>366802.14230500261</v>
      </c>
      <c r="R33" s="245">
        <f t="shared" si="17"/>
        <v>402274.33015932981</v>
      </c>
      <c r="S33" s="245">
        <f t="shared" si="17"/>
        <v>262586.54913992836</v>
      </c>
      <c r="T33" s="245">
        <f t="shared" si="17"/>
        <v>301662.5872555229</v>
      </c>
      <c r="U33" s="245">
        <f t="shared" si="17"/>
        <v>343324.11076327407</v>
      </c>
      <c r="V33" s="245">
        <f t="shared" si="17"/>
        <v>361994.23155199341</v>
      </c>
      <c r="W33" s="245">
        <f t="shared" si="17"/>
        <v>256510.2303709464</v>
      </c>
      <c r="X33" s="245">
        <f t="shared" si="17"/>
        <v>302895.63755691715</v>
      </c>
      <c r="Y33" s="245">
        <f t="shared" si="17"/>
        <v>355473.99070494302</v>
      </c>
      <c r="Z33" s="245">
        <f t="shared" si="17"/>
        <v>462682.08277823939</v>
      </c>
      <c r="AA33" s="245">
        <f t="shared" si="17"/>
        <v>236567.39274593833</v>
      </c>
      <c r="AB33" s="245">
        <f t="shared" si="17"/>
        <v>254300.85138380455</v>
      </c>
      <c r="AC33" s="245">
        <f t="shared" si="17"/>
        <v>304285.73988289142</v>
      </c>
      <c r="AD33" s="245">
        <f t="shared" si="17"/>
        <v>288751.97605564381</v>
      </c>
      <c r="AE33" s="245">
        <f t="shared" si="17"/>
        <v>180295.86946864839</v>
      </c>
      <c r="AF33" s="245">
        <f t="shared" si="17"/>
        <v>222274.82299999995</v>
      </c>
      <c r="AG33" s="245">
        <f t="shared" si="17"/>
        <v>274880.46203927213</v>
      </c>
      <c r="AH33" s="245">
        <f t="shared" si="17"/>
        <v>231780.86159347455</v>
      </c>
      <c r="AI33" s="245">
        <f t="shared" si="17"/>
        <v>174777.78310372299</v>
      </c>
      <c r="AJ33" s="245">
        <f t="shared" si="17"/>
        <v>208206.74199999991</v>
      </c>
      <c r="AK33" s="245">
        <f t="shared" si="17"/>
        <v>242196.72228992829</v>
      </c>
      <c r="AL33" s="245">
        <f t="shared" si="17"/>
        <v>227386.94370595019</v>
      </c>
      <c r="AM33" s="245">
        <f t="shared" si="17"/>
        <v>190237.94681829764</v>
      </c>
      <c r="AN33" s="245">
        <f t="shared" si="17"/>
        <v>214414.39428091675</v>
      </c>
      <c r="AO33" s="245">
        <f t="shared" si="17"/>
        <v>220673.15634929505</v>
      </c>
      <c r="AP33" s="245">
        <f t="shared" si="17"/>
        <v>257323.96052142605</v>
      </c>
      <c r="AQ33" s="245">
        <f t="shared" si="17"/>
        <v>189490.86615091728</v>
      </c>
      <c r="AR33" s="245">
        <f t="shared" si="17"/>
        <v>230252.69015702204</v>
      </c>
      <c r="AS33" s="245">
        <f t="shared" si="17"/>
        <v>272589.91615133232</v>
      </c>
      <c r="AT33" s="245">
        <f>AT30-AT31-AT32</f>
        <v>302106.36229943915</v>
      </c>
      <c r="AU33" s="245">
        <v>226843.82400358011</v>
      </c>
      <c r="AV33" s="245">
        <v>232546.51941854885</v>
      </c>
    </row>
    <row r="34" spans="2:48">
      <c r="B34" s="246" t="s">
        <v>97</v>
      </c>
      <c r="C34" s="247"/>
      <c r="D34" s="247"/>
      <c r="E34" s="247"/>
      <c r="F34" s="247"/>
      <c r="G34" s="247"/>
      <c r="H34" s="247"/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8"/>
      <c r="Y34" s="248"/>
      <c r="Z34" s="248"/>
      <c r="AA34" s="248">
        <f>AA28-AA31-AA32+'Mercado Distribuição'!AA50</f>
        <v>239455.56274593837</v>
      </c>
      <c r="AB34" s="248">
        <f>AB28-AB31-AB32+'Mercado Distribuição'!AB50</f>
        <v>258183.06438380454</v>
      </c>
      <c r="AC34" s="248">
        <f>AC28-AC31-AC32+'Mercado Distribuição'!AC50</f>
        <v>306837.27788289147</v>
      </c>
      <c r="AD34" s="248">
        <f>AD28-AD31-AD32+'Mercado Distribuição'!AD50</f>
        <v>291623.05705564382</v>
      </c>
      <c r="AE34" s="248">
        <f>AE28-AE31-AE32+'Mercado Distribuição'!AE50</f>
        <v>180113.55246864859</v>
      </c>
      <c r="AF34" s="248">
        <f>AF28-AF31-AF32+'Mercado Distribuição'!AF50</f>
        <v>217792.4610000001</v>
      </c>
      <c r="AG34" s="248">
        <f>AG28-AG31-AG32+'Mercado Distribuição'!AG50</f>
        <v>269885.77803927218</v>
      </c>
      <c r="AH34" s="248">
        <f>AH28-AH31-AH32+'Mercado Distribuição'!AH50</f>
        <v>231057.84259347446</v>
      </c>
      <c r="AI34" s="248">
        <f>AI28-AI31-AI32+'Mercado Distribuição'!AI50</f>
        <v>173257.12310372296</v>
      </c>
      <c r="AJ34" s="248">
        <f>AJ28-AJ31-AJ32+'Mercado Distribuição'!AJ50</f>
        <v>200676.02699999983</v>
      </c>
      <c r="AK34" s="248">
        <f>AK28-AK31-AK32+'Mercado Distribuição'!AK50</f>
        <v>232381.70928992849</v>
      </c>
      <c r="AL34" s="248">
        <f>AL28-AL31-AL32+'Mercado Distribuição'!AL50</f>
        <v>220463.77270595034</v>
      </c>
      <c r="AM34" s="248">
        <f>AM28-AM31-AM32+'Mercado Distribuição'!AM50</f>
        <v>177608.97581829785</v>
      </c>
      <c r="AN34" s="248">
        <f>AN28-AN31-AN32+'Mercado Distribuição'!AN50</f>
        <v>198085.4912809167</v>
      </c>
      <c r="AO34" s="248">
        <f>AO28-AO31-AO32+'Mercado Distribuição'!AO50</f>
        <v>196492.6373492952</v>
      </c>
      <c r="AP34" s="248">
        <f>AP28-AP31-AP32+'Mercado Distribuição'!AP50</f>
        <v>240385.04852142592</v>
      </c>
      <c r="AQ34" s="248">
        <f>AQ28-AQ31-AQ32+'Mercado Distribuição'!AQ50</f>
        <v>167201.64315091702</v>
      </c>
      <c r="AR34" s="248">
        <f>AR28-AR31-AR32+'Mercado Distribuição'!AR50</f>
        <v>204108.32115702215</v>
      </c>
      <c r="AS34" s="248">
        <f>AS28-AS31-AS32+'Mercado Distribuição'!AS50</f>
        <v>247786.51515133231</v>
      </c>
      <c r="AT34" s="248">
        <f>AT28-AT31-AT32+'Mercado Distribuição'!AT50</f>
        <v>286337.37229943927</v>
      </c>
      <c r="AU34" s="248">
        <v>201943.04000358024</v>
      </c>
      <c r="AV34" s="248">
        <v>192831.89041854901</v>
      </c>
    </row>
    <row r="35" spans="2:48">
      <c r="B35" s="223" t="s">
        <v>98</v>
      </c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50"/>
      <c r="S35" s="250"/>
      <c r="T35" s="250"/>
      <c r="U35" s="250"/>
      <c r="V35" s="250"/>
      <c r="W35" s="250"/>
      <c r="X35" s="250"/>
      <c r="Y35" s="250"/>
      <c r="Z35" s="250"/>
      <c r="AA35" s="250"/>
      <c r="AB35" s="250"/>
      <c r="AC35" s="250"/>
      <c r="AD35" s="250"/>
      <c r="AE35" s="250"/>
      <c r="AF35" s="250"/>
      <c r="AG35" s="250"/>
      <c r="AH35" s="250"/>
      <c r="AI35" s="250"/>
      <c r="AJ35" s="250"/>
      <c r="AK35" s="250"/>
      <c r="AL35" s="250"/>
      <c r="AM35" s="250"/>
      <c r="AN35" s="250"/>
      <c r="AO35" s="250"/>
      <c r="AP35" s="250"/>
      <c r="AQ35" s="250"/>
      <c r="AR35" s="250"/>
      <c r="AS35" s="250"/>
      <c r="AT35" s="250"/>
      <c r="AU35" s="250"/>
      <c r="AV35" s="250"/>
    </row>
    <row r="36" spans="2:48">
      <c r="V36" s="250"/>
      <c r="W36" s="210"/>
      <c r="X36" s="210"/>
      <c r="Y36" s="210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</row>
    <row r="37" spans="2:48">
      <c r="B37" s="533" t="s">
        <v>103</v>
      </c>
      <c r="C37" s="129" t="s">
        <v>9</v>
      </c>
      <c r="D37" s="129" t="s">
        <v>10</v>
      </c>
      <c r="E37" s="129" t="s">
        <v>11</v>
      </c>
      <c r="F37" s="129" t="s">
        <v>12</v>
      </c>
      <c r="G37" s="129" t="s">
        <v>13</v>
      </c>
      <c r="H37" s="129" t="s">
        <v>14</v>
      </c>
      <c r="I37" s="129" t="s">
        <v>15</v>
      </c>
      <c r="J37" s="129" t="s">
        <v>16</v>
      </c>
      <c r="K37" s="129" t="s">
        <v>17</v>
      </c>
      <c r="L37" s="129" t="s">
        <v>18</v>
      </c>
      <c r="M37" s="129" t="s">
        <v>19</v>
      </c>
      <c r="N37" s="129" t="s">
        <v>20</v>
      </c>
      <c r="O37" s="129" t="s">
        <v>21</v>
      </c>
      <c r="P37" s="129" t="s">
        <v>22</v>
      </c>
      <c r="Q37" s="129" t="s">
        <v>23</v>
      </c>
      <c r="R37" s="129" t="s">
        <v>24</v>
      </c>
      <c r="S37" s="129" t="s">
        <v>25</v>
      </c>
      <c r="T37" s="129" t="s">
        <v>26</v>
      </c>
      <c r="U37" s="129" t="s">
        <v>27</v>
      </c>
      <c r="V37" s="129" t="s">
        <v>28</v>
      </c>
      <c r="W37" s="129" t="s">
        <v>29</v>
      </c>
      <c r="X37" s="129" t="s">
        <v>30</v>
      </c>
      <c r="Y37" s="129" t="s">
        <v>31</v>
      </c>
      <c r="Z37" s="129" t="s">
        <v>32</v>
      </c>
      <c r="AA37" s="129" t="str">
        <f>AA27</f>
        <v>1T19</v>
      </c>
      <c r="AB37" s="129" t="s">
        <v>34</v>
      </c>
      <c r="AC37" s="129" t="s">
        <v>35</v>
      </c>
      <c r="AD37" s="129" t="s">
        <v>36</v>
      </c>
      <c r="AE37" s="129" t="str">
        <f t="shared" ref="AE37:AT37" si="18">AE27</f>
        <v>1T20</v>
      </c>
      <c r="AF37" s="129" t="str">
        <f t="shared" si="18"/>
        <v>2T20</v>
      </c>
      <c r="AG37" s="129" t="str">
        <f t="shared" si="18"/>
        <v>3T20</v>
      </c>
      <c r="AH37" s="129" t="str">
        <f t="shared" si="18"/>
        <v>4T20</v>
      </c>
      <c r="AI37" s="129" t="str">
        <f t="shared" si="18"/>
        <v>1T21</v>
      </c>
      <c r="AJ37" s="129" t="str">
        <f t="shared" si="18"/>
        <v>2T21</v>
      </c>
      <c r="AK37" s="129" t="str">
        <f t="shared" si="18"/>
        <v>3T21</v>
      </c>
      <c r="AL37" s="129" t="str">
        <f t="shared" si="18"/>
        <v>4T21</v>
      </c>
      <c r="AM37" s="129" t="str">
        <f t="shared" si="18"/>
        <v>1T22</v>
      </c>
      <c r="AN37" s="129" t="str">
        <f t="shared" si="18"/>
        <v>2T22</v>
      </c>
      <c r="AO37" s="129" t="str">
        <f t="shared" si="18"/>
        <v>3T22</v>
      </c>
      <c r="AP37" s="129" t="str">
        <f t="shared" si="18"/>
        <v>4T22</v>
      </c>
      <c r="AQ37" s="129" t="str">
        <f t="shared" si="18"/>
        <v>1T23</v>
      </c>
      <c r="AR37" s="129" t="str">
        <f t="shared" si="18"/>
        <v>2T23</v>
      </c>
      <c r="AS37" s="129" t="str">
        <f t="shared" si="18"/>
        <v>3T23</v>
      </c>
      <c r="AT37" s="129" t="str">
        <f t="shared" si="18"/>
        <v>4T23</v>
      </c>
      <c r="AU37" s="129" t="str">
        <f t="shared" ref="AU37:AV37" si="19">AU27</f>
        <v>1T24</v>
      </c>
      <c r="AV37" s="129" t="str">
        <f t="shared" si="19"/>
        <v>2T24</v>
      </c>
    </row>
    <row r="38" spans="2:48">
      <c r="B38" s="235" t="s">
        <v>91</v>
      </c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>
        <v>1313269</v>
      </c>
      <c r="T38" s="236">
        <v>1154152</v>
      </c>
      <c r="U38" s="236">
        <v>1024398</v>
      </c>
      <c r="V38" s="236">
        <v>1214749</v>
      </c>
      <c r="W38" s="236">
        <v>1257033.7940000002</v>
      </c>
      <c r="X38" s="224">
        <v>1145603.2889999999</v>
      </c>
      <c r="Y38" s="224">
        <v>1119954.1199999999</v>
      </c>
      <c r="Z38" s="224">
        <v>1308972.7820000001</v>
      </c>
      <c r="AA38" s="224">
        <v>1315070.6939999999</v>
      </c>
      <c r="AB38" s="224">
        <v>1234017.3239999998</v>
      </c>
      <c r="AC38" s="224">
        <v>1127407.6284965009</v>
      </c>
      <c r="AD38" s="224">
        <v>1346161.4140663424</v>
      </c>
      <c r="AE38" s="224">
        <v>1381402.574425143</v>
      </c>
      <c r="AF38" s="224">
        <v>1157952.4580000001</v>
      </c>
      <c r="AG38" s="224">
        <v>1128447.6075612013</v>
      </c>
      <c r="AH38" s="224">
        <v>1352733.9671441042</v>
      </c>
      <c r="AI38" s="224">
        <v>1360725.4006042525</v>
      </c>
      <c r="AJ38" s="224">
        <v>1192912.3989474056</v>
      </c>
      <c r="AK38" s="224">
        <v>1137947.017234277</v>
      </c>
      <c r="AL38" s="224">
        <v>1362104.2093538081</v>
      </c>
      <c r="AM38" s="224">
        <v>1352186.8149191551</v>
      </c>
      <c r="AN38" s="224">
        <v>1203454.5205839172</v>
      </c>
      <c r="AO38" s="224">
        <v>1098933.7387875526</v>
      </c>
      <c r="AP38" s="224">
        <v>1289049.2905312623</v>
      </c>
      <c r="AQ38" s="224">
        <v>1346772.1086245542</v>
      </c>
      <c r="AR38" s="224">
        <v>1251548.4373576185</v>
      </c>
      <c r="AS38" s="224">
        <v>1170908.821</v>
      </c>
      <c r="AT38" s="224">
        <v>1344385.21622273</v>
      </c>
      <c r="AU38" s="224">
        <v>1463111.99428059</v>
      </c>
      <c r="AV38" s="224">
        <v>1294508.1605098872</v>
      </c>
    </row>
    <row r="39" spans="2:48">
      <c r="B39" s="237" t="s">
        <v>92</v>
      </c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24"/>
      <c r="Y39" s="224"/>
      <c r="Z39" s="224"/>
      <c r="AA39" s="224">
        <v>1133.2429999999999</v>
      </c>
      <c r="AB39" s="224">
        <v>1382.5160000000001</v>
      </c>
      <c r="AC39" s="224">
        <v>2072.1800000000003</v>
      </c>
      <c r="AD39" s="224">
        <v>3461.7330000000002</v>
      </c>
      <c r="AE39" s="224">
        <v>4110.7659999999996</v>
      </c>
      <c r="AF39" s="224">
        <v>4592.5419999999995</v>
      </c>
      <c r="AG39" s="224">
        <v>6872.2500039314655</v>
      </c>
      <c r="AH39" s="224">
        <v>9284.3970000000008</v>
      </c>
      <c r="AI39" s="224">
        <v>10969.002999999999</v>
      </c>
      <c r="AJ39" s="224">
        <v>11872.596652302167</v>
      </c>
      <c r="AK39" s="224">
        <v>18630.519112028371</v>
      </c>
      <c r="AL39" s="224">
        <v>30004.551928304885</v>
      </c>
      <c r="AM39" s="224">
        <v>33344.100001786595</v>
      </c>
      <c r="AN39" s="224">
        <v>29963.685999999943</v>
      </c>
      <c r="AO39" s="224">
        <v>40259.784999999996</v>
      </c>
      <c r="AP39" s="224">
        <v>58190.132999999994</v>
      </c>
      <c r="AQ39" s="224">
        <v>66704.812000000049</v>
      </c>
      <c r="AR39" s="224">
        <v>65005.746999999974</v>
      </c>
      <c r="AS39" s="224">
        <v>73220.27</v>
      </c>
      <c r="AT39" s="224">
        <v>105397.13400000001</v>
      </c>
      <c r="AU39" s="224">
        <v>111897.348</v>
      </c>
      <c r="AV39" s="224">
        <v>100106.65300000001</v>
      </c>
    </row>
    <row r="40" spans="2:48">
      <c r="B40" s="238" t="s">
        <v>93</v>
      </c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>
        <v>1313269</v>
      </c>
      <c r="T40" s="239">
        <v>1154152</v>
      </c>
      <c r="U40" s="239">
        <v>1024398</v>
      </c>
      <c r="V40" s="239">
        <v>1214749</v>
      </c>
      <c r="W40" s="239">
        <v>1257033.7940000002</v>
      </c>
      <c r="X40" s="239">
        <v>1145603.2889999999</v>
      </c>
      <c r="Y40" s="239">
        <f>+SUM(Y38:Y39)</f>
        <v>1119954.1199999999</v>
      </c>
      <c r="Z40" s="239">
        <f>+SUM(Z38:Z39)</f>
        <v>1308972.7820000001</v>
      </c>
      <c r="AA40" s="239">
        <f>+SUM(AA38:AA39)</f>
        <v>1316203.9369999999</v>
      </c>
      <c r="AB40" s="239">
        <f t="shared" ref="AB40:AT40" si="20">+SUM(AB38:AB39)</f>
        <v>1235399.8399999999</v>
      </c>
      <c r="AC40" s="239">
        <f t="shared" si="20"/>
        <v>1129479.8084965008</v>
      </c>
      <c r="AD40" s="239">
        <f t="shared" si="20"/>
        <v>1349623.1470663424</v>
      </c>
      <c r="AE40" s="239">
        <f t="shared" si="20"/>
        <v>1385513.340425143</v>
      </c>
      <c r="AF40" s="239">
        <f t="shared" si="20"/>
        <v>1162545</v>
      </c>
      <c r="AG40" s="239">
        <f t="shared" si="20"/>
        <v>1135319.8575651329</v>
      </c>
      <c r="AH40" s="239">
        <f t="shared" si="20"/>
        <v>1362018.3641441043</v>
      </c>
      <c r="AI40" s="239">
        <f t="shared" si="20"/>
        <v>1371694.4036042525</v>
      </c>
      <c r="AJ40" s="239">
        <f t="shared" si="20"/>
        <v>1204784.9955997078</v>
      </c>
      <c r="AK40" s="239">
        <f t="shared" si="20"/>
        <v>1156577.5363463054</v>
      </c>
      <c r="AL40" s="239">
        <f t="shared" si="20"/>
        <v>1392108.7612821129</v>
      </c>
      <c r="AM40" s="239">
        <f t="shared" si="20"/>
        <v>1385530.9149209417</v>
      </c>
      <c r="AN40" s="239">
        <f t="shared" si="20"/>
        <v>1233418.2065839171</v>
      </c>
      <c r="AO40" s="239">
        <f t="shared" si="20"/>
        <v>1139193.5237875525</v>
      </c>
      <c r="AP40" s="239">
        <f t="shared" si="20"/>
        <v>1347239.4235312622</v>
      </c>
      <c r="AQ40" s="239">
        <f t="shared" si="20"/>
        <v>1413476.9206245544</v>
      </c>
      <c r="AR40" s="239">
        <f t="shared" si="20"/>
        <v>1316554.1843576184</v>
      </c>
      <c r="AS40" s="239">
        <f t="shared" si="20"/>
        <v>1244129.091</v>
      </c>
      <c r="AT40" s="239">
        <f t="shared" si="20"/>
        <v>1449782.3502227301</v>
      </c>
      <c r="AU40" s="239">
        <f t="shared" ref="AU40:AV40" si="21">+SUM(AU38:AU39)</f>
        <v>1575009.34228059</v>
      </c>
      <c r="AV40" s="239">
        <f t="shared" si="21"/>
        <v>1394614.8135098871</v>
      </c>
    </row>
    <row r="41" spans="2:48">
      <c r="B41" s="223" t="s">
        <v>94</v>
      </c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>
        <v>940849</v>
      </c>
      <c r="T41" s="236">
        <v>927662</v>
      </c>
      <c r="U41" s="236">
        <v>833017</v>
      </c>
      <c r="V41" s="236">
        <v>905384</v>
      </c>
      <c r="W41" s="236">
        <v>940526.86499999999</v>
      </c>
      <c r="X41" s="236">
        <v>880385.35799999989</v>
      </c>
      <c r="Y41" s="236">
        <v>866763.60999999987</v>
      </c>
      <c r="Z41" s="236">
        <v>970090.95700000005</v>
      </c>
      <c r="AA41" s="236">
        <v>961765.13500000013</v>
      </c>
      <c r="AB41" s="236">
        <v>643861.68299999996</v>
      </c>
      <c r="AC41" s="236">
        <v>863540.92277295759</v>
      </c>
      <c r="AD41" s="236">
        <v>1041882.7024809809</v>
      </c>
      <c r="AE41" s="236">
        <v>1031911.0082143547</v>
      </c>
      <c r="AF41" s="236">
        <v>882174.8321968182</v>
      </c>
      <c r="AG41" s="236">
        <v>877847.94974993379</v>
      </c>
      <c r="AH41" s="236">
        <v>1063339.0554110773</v>
      </c>
      <c r="AI41" s="236">
        <v>1045737.011431156</v>
      </c>
      <c r="AJ41" s="236">
        <v>945641.13011194731</v>
      </c>
      <c r="AK41" s="236">
        <v>907664.66915221431</v>
      </c>
      <c r="AL41" s="236">
        <v>1085988.7762996631</v>
      </c>
      <c r="AM41" s="236">
        <v>1065999.0652054227</v>
      </c>
      <c r="AN41" s="236">
        <v>981462.9268372053</v>
      </c>
      <c r="AO41" s="236">
        <v>947105.45335791609</v>
      </c>
      <c r="AP41" s="236">
        <v>1078055.1888036232</v>
      </c>
      <c r="AQ41" s="245">
        <v>1131534.2159510783</v>
      </c>
      <c r="AR41" s="245">
        <v>1090514.934169458</v>
      </c>
      <c r="AS41" s="245">
        <v>1011938.0856047045</v>
      </c>
      <c r="AT41" s="245">
        <v>1169554.9535748463</v>
      </c>
      <c r="AU41" s="245">
        <v>1254043.2651997881</v>
      </c>
      <c r="AV41" s="245">
        <v>1180831.6939834929</v>
      </c>
    </row>
    <row r="42" spans="2:48">
      <c r="B42" s="223" t="s">
        <v>95</v>
      </c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>
        <v>5175</v>
      </c>
      <c r="T42" s="236">
        <v>4882</v>
      </c>
      <c r="U42" s="236">
        <v>4713</v>
      </c>
      <c r="V42" s="236">
        <v>5409</v>
      </c>
      <c r="W42" s="236">
        <v>5474</v>
      </c>
      <c r="X42" s="236">
        <v>4831</v>
      </c>
      <c r="Y42" s="236">
        <v>4230</v>
      </c>
      <c r="Z42" s="236">
        <v>4422</v>
      </c>
      <c r="AA42" s="236">
        <v>4008</v>
      </c>
      <c r="AB42" s="236">
        <v>4123.0590000000002</v>
      </c>
      <c r="AC42" s="236">
        <v>3952.0550000000003</v>
      </c>
      <c r="AD42" s="236">
        <v>4699.951</v>
      </c>
      <c r="AE42" s="236">
        <v>4618.2070000000003</v>
      </c>
      <c r="AF42" s="236">
        <v>4252.6400000000003</v>
      </c>
      <c r="AG42" s="236">
        <v>4188.42</v>
      </c>
      <c r="AH42" s="236">
        <v>4821.4679999999998</v>
      </c>
      <c r="AI42" s="236">
        <v>4591.29</v>
      </c>
      <c r="AJ42" s="236">
        <v>4219.7640000000001</v>
      </c>
      <c r="AK42" s="236">
        <v>4111.5019999999995</v>
      </c>
      <c r="AL42" s="236">
        <v>4791.6580000000004</v>
      </c>
      <c r="AM42" s="236">
        <v>4525.6329999999998</v>
      </c>
      <c r="AN42" s="236">
        <v>4384.375</v>
      </c>
      <c r="AO42" s="236">
        <v>4320.366</v>
      </c>
      <c r="AP42" s="236">
        <v>4856.5889999999999</v>
      </c>
      <c r="AQ42" s="245">
        <v>4802.6409999999996</v>
      </c>
      <c r="AR42" s="245">
        <v>4473.2950000000001</v>
      </c>
      <c r="AS42" s="245">
        <v>4161.357</v>
      </c>
      <c r="AT42" s="245">
        <v>4799.2849999999999</v>
      </c>
      <c r="AU42" s="245">
        <v>4844.5029999999997</v>
      </c>
      <c r="AV42" s="245">
        <v>4365.5450000000001</v>
      </c>
    </row>
    <row r="43" spans="2:48">
      <c r="B43" s="223" t="s">
        <v>96</v>
      </c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45">
        <f t="shared" ref="S43:AS43" si="22">S40-S41-S42</f>
        <v>367245</v>
      </c>
      <c r="T43" s="245">
        <f t="shared" si="22"/>
        <v>221608</v>
      </c>
      <c r="U43" s="245">
        <f t="shared" si="22"/>
        <v>186668</v>
      </c>
      <c r="V43" s="245">
        <f t="shared" si="22"/>
        <v>303956</v>
      </c>
      <c r="W43" s="245">
        <f t="shared" si="22"/>
        <v>311032.92900000024</v>
      </c>
      <c r="X43" s="245">
        <f t="shared" si="22"/>
        <v>260386.93099999998</v>
      </c>
      <c r="Y43" s="245">
        <f t="shared" si="22"/>
        <v>248960.51</v>
      </c>
      <c r="Z43" s="245">
        <f t="shared" si="22"/>
        <v>334459.82500000007</v>
      </c>
      <c r="AA43" s="245">
        <f t="shared" si="22"/>
        <v>350430.80199999979</v>
      </c>
      <c r="AB43" s="245">
        <f t="shared" si="22"/>
        <v>587415.09799999988</v>
      </c>
      <c r="AC43" s="245">
        <f t="shared" si="22"/>
        <v>261986.83072354324</v>
      </c>
      <c r="AD43" s="245">
        <f t="shared" si="22"/>
        <v>303040.49358536152</v>
      </c>
      <c r="AE43" s="245">
        <f t="shared" si="22"/>
        <v>348984.12521078828</v>
      </c>
      <c r="AF43" s="245">
        <f t="shared" si="22"/>
        <v>276117.52780318179</v>
      </c>
      <c r="AG43" s="245">
        <f t="shared" si="22"/>
        <v>253283.4878151991</v>
      </c>
      <c r="AH43" s="245">
        <f t="shared" si="22"/>
        <v>293857.84073302697</v>
      </c>
      <c r="AI43" s="245">
        <f t="shared" si="22"/>
        <v>321366.10217309656</v>
      </c>
      <c r="AJ43" s="245">
        <f t="shared" si="22"/>
        <v>254924.10148776052</v>
      </c>
      <c r="AK43" s="245">
        <f t="shared" si="22"/>
        <v>244801.36519409108</v>
      </c>
      <c r="AL43" s="245">
        <f t="shared" si="22"/>
        <v>301328.3269824498</v>
      </c>
      <c r="AM43" s="245">
        <f t="shared" si="22"/>
        <v>315006.21671551903</v>
      </c>
      <c r="AN43" s="245">
        <f t="shared" si="22"/>
        <v>247570.90474671184</v>
      </c>
      <c r="AO43" s="245">
        <f t="shared" si="22"/>
        <v>187767.70442963639</v>
      </c>
      <c r="AP43" s="245">
        <f t="shared" si="22"/>
        <v>264327.64572763903</v>
      </c>
      <c r="AQ43" s="245">
        <f t="shared" si="22"/>
        <v>277140.06367347605</v>
      </c>
      <c r="AR43" s="245">
        <f t="shared" si="22"/>
        <v>221565.95518816044</v>
      </c>
      <c r="AS43" s="245">
        <f t="shared" si="22"/>
        <v>228029.64839529558</v>
      </c>
      <c r="AT43" s="245">
        <f>AT40-AT41-AT42</f>
        <v>275428.11164788384</v>
      </c>
      <c r="AU43" s="245">
        <v>316121.5740808018</v>
      </c>
      <c r="AV43" s="245">
        <v>209417.57452639416</v>
      </c>
    </row>
    <row r="44" spans="2:48">
      <c r="B44" s="246" t="s">
        <v>97</v>
      </c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8"/>
      <c r="Y44" s="248"/>
      <c r="Z44" s="248"/>
      <c r="AA44" s="248">
        <f>AA38-AA41-AA42+'Mercado Distribuição'!AA65</f>
        <v>350487.0199999999</v>
      </c>
      <c r="AB44" s="248">
        <f>AB38-AB41-AB42+'Mercado Distribuição'!AB65</f>
        <v>587528.32499999995</v>
      </c>
      <c r="AC44" s="248">
        <f>AC38-AC41-AC42+'Mercado Distribuição'!AC65</f>
        <v>261736.4467235434</v>
      </c>
      <c r="AD44" s="248">
        <f>AD38-AD41-AD42+'Mercado Distribuição'!AD65</f>
        <v>302265.94058536156</v>
      </c>
      <c r="AE44" s="248">
        <f>AE38-AE41-AE42+'Mercado Distribuição'!AE65</f>
        <v>349177.35921078821</v>
      </c>
      <c r="AF44" s="248">
        <f>AF38-AF41-AF42+'Mercado Distribuição'!AF65</f>
        <v>275408.65980318189</v>
      </c>
      <c r="AG44" s="248">
        <f>AG38-AG41-AG42+'Mercado Distribuição'!AG65</f>
        <v>251316.0608112675</v>
      </c>
      <c r="AH44" s="248">
        <f>AH38-AH41-AH42+'Mercado Distribuição'!AH65</f>
        <v>323984.15973302722</v>
      </c>
      <c r="AI44" s="248">
        <f>AI38-AI41-AI42+'Mercado Distribuição'!AI65</f>
        <v>320538.40917309659</v>
      </c>
      <c r="AJ44" s="248">
        <f>AJ38-AJ41-AJ42+'Mercado Distribuição'!AJ65</f>
        <v>251125.25161715291</v>
      </c>
      <c r="AK44" s="248">
        <f>AK38-AK41-AK42+'Mercado Distribuição'!AK65</f>
        <v>237843.42208206267</v>
      </c>
      <c r="AL44" s="248">
        <f>AL38-AL41-AL42+'Mercado Distribuição'!AL65</f>
        <v>292182.72205414478</v>
      </c>
      <c r="AM44" s="248">
        <f>AM38-AM41-AM42+'Mercado Distribuição'!AM65</f>
        <v>308220.24171373219</v>
      </c>
      <c r="AN44" s="248">
        <f>AN38-AN41-AN42+'Mercado Distribuição'!AN65</f>
        <v>244119.90674671158</v>
      </c>
      <c r="AO44" s="248">
        <f>AO38-AO41-AO42+'Mercado Distribuição'!AO65</f>
        <v>174274.63942963645</v>
      </c>
      <c r="AP44" s="248">
        <f>AP38-AP41-AP42+'Mercado Distribuição'!AP65</f>
        <v>246972.29672763907</v>
      </c>
      <c r="AQ44" s="248">
        <f>AQ38-AQ41-AQ42+'Mercado Distribuição'!AQ65</f>
        <v>261944.45167347597</v>
      </c>
      <c r="AR44" s="248">
        <f>AR38-AR41-AR42+'Mercado Distribuição'!AR65</f>
        <v>211598.04618816046</v>
      </c>
      <c r="AS44" s="248">
        <f>AS38-AS41-AS42+'Mercado Distribuição'!AS65</f>
        <v>209929.9283952956</v>
      </c>
      <c r="AT44" s="248">
        <f>AT38-AT41-AT42+'Mercado Distribuição'!AT65</f>
        <v>246580.8296478838</v>
      </c>
      <c r="AU44" s="248">
        <v>292606.69508080184</v>
      </c>
      <c r="AV44" s="248">
        <v>193406.28952639448</v>
      </c>
    </row>
    <row r="45" spans="2:48">
      <c r="B45" s="223" t="s">
        <v>98</v>
      </c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</row>
    <row r="47" spans="2:48">
      <c r="B47" s="533" t="s">
        <v>104</v>
      </c>
      <c r="C47" s="129" t="s">
        <v>9</v>
      </c>
      <c r="D47" s="129" t="s">
        <v>10</v>
      </c>
      <c r="E47" s="129" t="s">
        <v>11</v>
      </c>
      <c r="F47" s="129" t="s">
        <v>12</v>
      </c>
      <c r="G47" s="129" t="s">
        <v>13</v>
      </c>
      <c r="H47" s="129" t="s">
        <v>14</v>
      </c>
      <c r="I47" s="129" t="s">
        <v>15</v>
      </c>
      <c r="J47" s="129" t="s">
        <v>16</v>
      </c>
      <c r="K47" s="129" t="s">
        <v>17</v>
      </c>
      <c r="L47" s="129" t="s">
        <v>18</v>
      </c>
      <c r="M47" s="129" t="s">
        <v>19</v>
      </c>
      <c r="N47" s="129" t="s">
        <v>20</v>
      </c>
      <c r="O47" s="129" t="s">
        <v>21</v>
      </c>
      <c r="P47" s="129" t="s">
        <v>22</v>
      </c>
      <c r="Q47" s="129" t="s">
        <v>23</v>
      </c>
      <c r="R47" s="129" t="s">
        <v>24</v>
      </c>
      <c r="S47" s="129" t="s">
        <v>25</v>
      </c>
      <c r="T47" s="129" t="s">
        <v>26</v>
      </c>
      <c r="U47" s="129" t="s">
        <v>27</v>
      </c>
      <c r="V47" s="129" t="s">
        <v>28</v>
      </c>
      <c r="W47" s="129" t="s">
        <v>29</v>
      </c>
      <c r="X47" s="129" t="s">
        <v>30</v>
      </c>
      <c r="Y47" s="129" t="s">
        <v>31</v>
      </c>
      <c r="Z47" s="129" t="s">
        <v>32</v>
      </c>
      <c r="AA47" s="129" t="str">
        <f>AA37</f>
        <v>1T19</v>
      </c>
      <c r="AB47" s="129" t="s">
        <v>34</v>
      </c>
      <c r="AC47" s="129" t="s">
        <v>35</v>
      </c>
      <c r="AD47" s="129" t="s">
        <v>36</v>
      </c>
      <c r="AE47" s="129" t="str">
        <f t="shared" ref="AE47:AT47" si="23">AE37</f>
        <v>1T20</v>
      </c>
      <c r="AF47" s="129" t="str">
        <f t="shared" si="23"/>
        <v>2T20</v>
      </c>
      <c r="AG47" s="129" t="str">
        <f t="shared" si="23"/>
        <v>3T20</v>
      </c>
      <c r="AH47" s="129" t="str">
        <f t="shared" si="23"/>
        <v>4T20</v>
      </c>
      <c r="AI47" s="129" t="str">
        <f t="shared" si="23"/>
        <v>1T21</v>
      </c>
      <c r="AJ47" s="129" t="str">
        <f t="shared" si="23"/>
        <v>2T21</v>
      </c>
      <c r="AK47" s="129" t="str">
        <f t="shared" si="23"/>
        <v>3T21</v>
      </c>
      <c r="AL47" s="129" t="str">
        <f t="shared" si="23"/>
        <v>4T21</v>
      </c>
      <c r="AM47" s="129" t="str">
        <f t="shared" si="23"/>
        <v>1T22</v>
      </c>
      <c r="AN47" s="129" t="str">
        <f t="shared" si="23"/>
        <v>2T22</v>
      </c>
      <c r="AO47" s="129" t="str">
        <f t="shared" si="23"/>
        <v>3T22</v>
      </c>
      <c r="AP47" s="129" t="str">
        <f t="shared" si="23"/>
        <v>4T22</v>
      </c>
      <c r="AQ47" s="129" t="str">
        <f t="shared" si="23"/>
        <v>1T23</v>
      </c>
      <c r="AR47" s="129" t="str">
        <f t="shared" si="23"/>
        <v>2T23</v>
      </c>
      <c r="AS47" s="129" t="str">
        <f t="shared" si="23"/>
        <v>3T23</v>
      </c>
      <c r="AT47" s="129" t="str">
        <f t="shared" si="23"/>
        <v>4T23</v>
      </c>
      <c r="AU47" s="129" t="str">
        <f t="shared" ref="AU47:AV47" si="24">AU37</f>
        <v>1T24</v>
      </c>
      <c r="AV47" s="129" t="str">
        <f t="shared" si="24"/>
        <v>2T24</v>
      </c>
    </row>
    <row r="48" spans="2:48">
      <c r="B48" s="235" t="s">
        <v>91</v>
      </c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24"/>
      <c r="Y48" s="224"/>
      <c r="Z48" s="224"/>
      <c r="AA48" s="224"/>
      <c r="AB48" s="224"/>
      <c r="AC48" s="224"/>
      <c r="AD48" s="224"/>
      <c r="AE48" s="224"/>
      <c r="AF48" s="224"/>
      <c r="AG48" s="224">
        <v>2189848.8214456076</v>
      </c>
      <c r="AH48" s="224">
        <v>2421298.2024441473</v>
      </c>
      <c r="AI48" s="224">
        <v>2702008.8241919307</v>
      </c>
      <c r="AJ48" s="224">
        <v>2263144.9930928042</v>
      </c>
      <c r="AK48" s="224">
        <v>2185183.4387885449</v>
      </c>
      <c r="AL48" s="224">
        <v>2374408.5180929508</v>
      </c>
      <c r="AM48" s="224">
        <v>2775113.4988698876</v>
      </c>
      <c r="AN48" s="224">
        <v>2219409.670670602</v>
      </c>
      <c r="AO48" s="224">
        <v>2148246.7044669744</v>
      </c>
      <c r="AP48" s="224">
        <v>2347448.6335789193</v>
      </c>
      <c r="AQ48" s="224">
        <v>2859278.6680733743</v>
      </c>
      <c r="AR48" s="224">
        <v>2171364.7187439031</v>
      </c>
      <c r="AS48" s="224">
        <v>2134828.3901629276</v>
      </c>
      <c r="AT48" s="224">
        <v>2331645.1571236905</v>
      </c>
      <c r="AU48" s="224">
        <v>2833859.5320312302</v>
      </c>
      <c r="AV48" s="224">
        <v>2224156.6767055001</v>
      </c>
    </row>
    <row r="49" spans="2:48">
      <c r="B49" s="237" t="s">
        <v>92</v>
      </c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24"/>
      <c r="Y49" s="224"/>
      <c r="Z49" s="224"/>
      <c r="AA49" s="224"/>
      <c r="AB49" s="224"/>
      <c r="AC49" s="224"/>
      <c r="AD49" s="224"/>
      <c r="AE49" s="224"/>
      <c r="AF49" s="224"/>
      <c r="AG49" s="224"/>
      <c r="AH49" s="224"/>
      <c r="AI49" s="224">
        <v>31881.957999999999</v>
      </c>
      <c r="AJ49" s="224">
        <v>23967.942999999999</v>
      </c>
      <c r="AK49" s="224">
        <v>24653.397999999997</v>
      </c>
      <c r="AL49" s="224">
        <v>51859.155000000013</v>
      </c>
      <c r="AM49" s="224">
        <v>57663.393000000025</v>
      </c>
      <c r="AN49" s="224">
        <v>47811.458000127015</v>
      </c>
      <c r="AO49" s="224">
        <v>55259.724000225004</v>
      </c>
      <c r="AP49" s="224">
        <v>88782.78899999999</v>
      </c>
      <c r="AQ49" s="224">
        <v>111353.386</v>
      </c>
      <c r="AR49" s="224">
        <v>82067.633998953999</v>
      </c>
      <c r="AS49" s="224">
        <v>70854.74900016599</v>
      </c>
      <c r="AT49" s="224">
        <v>99157.168999999994</v>
      </c>
      <c r="AU49" s="224">
        <v>120563.122</v>
      </c>
      <c r="AV49" s="224">
        <v>66379.745999999999</v>
      </c>
    </row>
    <row r="50" spans="2:48">
      <c r="B50" s="238" t="s">
        <v>93</v>
      </c>
      <c r="C50" s="239"/>
      <c r="D50" s="239"/>
      <c r="E50" s="239"/>
      <c r="F50" s="239"/>
      <c r="G50" s="239"/>
      <c r="H50" s="239"/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  <c r="AA50" s="239"/>
      <c r="AB50" s="239"/>
      <c r="AC50" s="239"/>
      <c r="AD50" s="239"/>
      <c r="AE50" s="239"/>
      <c r="AF50" s="239"/>
      <c r="AG50" s="239">
        <f>+SUM(AG48:AG49)</f>
        <v>2189848.8214456076</v>
      </c>
      <c r="AH50" s="239">
        <f t="shared" ref="AH50:AT50" si="25">+SUM(AH48:AH49)</f>
        <v>2421298.2024441473</v>
      </c>
      <c r="AI50" s="239">
        <f t="shared" si="25"/>
        <v>2733890.7821919308</v>
      </c>
      <c r="AJ50" s="239">
        <f t="shared" si="25"/>
        <v>2287112.9360928042</v>
      </c>
      <c r="AK50" s="239">
        <f t="shared" si="25"/>
        <v>2209836.8367885449</v>
      </c>
      <c r="AL50" s="239">
        <f t="shared" si="25"/>
        <v>2426267.6730929506</v>
      </c>
      <c r="AM50" s="239">
        <f t="shared" si="25"/>
        <v>2832776.8918698877</v>
      </c>
      <c r="AN50" s="239">
        <f t="shared" si="25"/>
        <v>2267221.1286707292</v>
      </c>
      <c r="AO50" s="239">
        <f t="shared" si="25"/>
        <v>2203506.4284671992</v>
      </c>
      <c r="AP50" s="239">
        <f t="shared" si="25"/>
        <v>2436231.4225789192</v>
      </c>
      <c r="AQ50" s="239">
        <f t="shared" si="25"/>
        <v>2970632.0540733743</v>
      </c>
      <c r="AR50" s="239">
        <f t="shared" si="25"/>
        <v>2253432.3527428573</v>
      </c>
      <c r="AS50" s="239">
        <f t="shared" si="25"/>
        <v>2205683.1391630936</v>
      </c>
      <c r="AT50" s="239">
        <f t="shared" si="25"/>
        <v>2430802.3261236902</v>
      </c>
      <c r="AU50" s="239">
        <f t="shared" ref="AU50:AV50" si="26">+SUM(AU48:AU49)</f>
        <v>2954422.6540312301</v>
      </c>
      <c r="AV50" s="239">
        <f t="shared" si="26"/>
        <v>2290536.4227054999</v>
      </c>
    </row>
    <row r="51" spans="2:48">
      <c r="B51" s="223" t="s">
        <v>94</v>
      </c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>
        <v>1808736.343793706</v>
      </c>
      <c r="AH51" s="236">
        <v>1799105.964667337</v>
      </c>
      <c r="AI51" s="236">
        <v>2261190.3456494617</v>
      </c>
      <c r="AJ51" s="236">
        <v>1968104.746192927</v>
      </c>
      <c r="AK51" s="236">
        <v>1760905.6963577201</v>
      </c>
      <c r="AL51" s="236">
        <v>1869197.7646663368</v>
      </c>
      <c r="AM51" s="236">
        <v>2378499.5677081533</v>
      </c>
      <c r="AN51" s="236">
        <v>1900914.6863652267</v>
      </c>
      <c r="AO51" s="236">
        <v>1900285.0043742633</v>
      </c>
      <c r="AP51" s="236">
        <v>1967632.5864333091</v>
      </c>
      <c r="AQ51" s="245">
        <v>2513408.372180324</v>
      </c>
      <c r="AR51" s="245">
        <v>2055105.345245915</v>
      </c>
      <c r="AS51" s="245">
        <v>1947139.7398957319</v>
      </c>
      <c r="AT51" s="245">
        <v>2018439.8072361602</v>
      </c>
      <c r="AU51" s="245">
        <v>2539477.1864494337</v>
      </c>
      <c r="AV51" s="245">
        <v>1995395.2058053634</v>
      </c>
    </row>
    <row r="52" spans="2:48">
      <c r="B52" s="223" t="s">
        <v>95</v>
      </c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  <c r="AA52" s="236"/>
      <c r="AB52" s="236"/>
      <c r="AC52" s="236"/>
      <c r="AD52" s="236"/>
      <c r="AE52" s="236"/>
      <c r="AF52" s="236"/>
      <c r="AG52" s="236">
        <v>11439.867</v>
      </c>
      <c r="AH52" s="236">
        <v>12420.375</v>
      </c>
      <c r="AI52" s="236">
        <v>15151.186764256006</v>
      </c>
      <c r="AJ52" s="236">
        <v>14632.198761490028</v>
      </c>
      <c r="AK52" s="236">
        <v>12600.839453161738</v>
      </c>
      <c r="AL52" s="236">
        <v>12959.749186542269</v>
      </c>
      <c r="AM52" s="236">
        <v>16404.885351480421</v>
      </c>
      <c r="AN52" s="236">
        <v>13604.669417033212</v>
      </c>
      <c r="AO52" s="236">
        <v>13238.516325097564</v>
      </c>
      <c r="AP52" s="236">
        <v>14056.917965504097</v>
      </c>
      <c r="AQ52" s="245">
        <v>19552.020650945477</v>
      </c>
      <c r="AR52" s="245">
        <v>15750.640402166944</v>
      </c>
      <c r="AS52" s="245">
        <v>13309.000136122293</v>
      </c>
      <c r="AT52" s="245">
        <v>12394.38499049705</v>
      </c>
      <c r="AU52" s="245">
        <v>17445</v>
      </c>
      <c r="AV52" s="245">
        <v>16091.996294917386</v>
      </c>
    </row>
    <row r="53" spans="2:48">
      <c r="B53" s="223" t="s">
        <v>96</v>
      </c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45"/>
      <c r="Y53" s="245"/>
      <c r="Z53" s="245"/>
      <c r="AA53" s="245"/>
      <c r="AB53" s="245"/>
      <c r="AC53" s="245"/>
      <c r="AD53" s="245"/>
      <c r="AE53" s="245"/>
      <c r="AF53" s="245"/>
      <c r="AG53" s="245">
        <v>369672.61065190152</v>
      </c>
      <c r="AH53" s="245">
        <v>609771.8627768103</v>
      </c>
      <c r="AI53" s="245">
        <v>472700.43654246908</v>
      </c>
      <c r="AJ53" s="245">
        <v>319008.18989987735</v>
      </c>
      <c r="AK53" s="245">
        <v>448931.1404308246</v>
      </c>
      <c r="AL53" s="245">
        <v>557069.90842661436</v>
      </c>
      <c r="AM53" s="245">
        <v>437872.43881025398</v>
      </c>
      <c r="AN53" s="245">
        <v>352701.7728884691</v>
      </c>
      <c r="AO53" s="245">
        <v>303221.4240929361</v>
      </c>
      <c r="AP53" s="245">
        <v>455321.10738561006</v>
      </c>
      <c r="AQ53" s="245">
        <v>437671.66124210472</v>
      </c>
      <c r="AR53" s="245">
        <v>182576.36709477537</v>
      </c>
      <c r="AS53" s="245">
        <v>245234.39913123945</v>
      </c>
      <c r="AT53" s="245">
        <f>AT50-AT51-AT52</f>
        <v>399968.13389703305</v>
      </c>
      <c r="AU53" s="245">
        <v>397500.46758179646</v>
      </c>
      <c r="AV53" s="245">
        <v>279049.22060521919</v>
      </c>
    </row>
    <row r="54" spans="2:48">
      <c r="B54" s="246" t="s">
        <v>97</v>
      </c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8"/>
      <c r="Y54" s="248"/>
      <c r="Z54" s="248"/>
      <c r="AA54" s="248"/>
      <c r="AB54" s="248"/>
      <c r="AC54" s="248"/>
      <c r="AD54" s="248"/>
      <c r="AE54" s="248"/>
      <c r="AF54" s="248"/>
      <c r="AG54" s="248"/>
      <c r="AH54" s="248"/>
      <c r="AI54" s="248">
        <f>AI48-AI51-AI52+'Mercado Distribuição'!AI80</f>
        <v>444452.44477821293</v>
      </c>
      <c r="AJ54" s="248">
        <f>AJ48-AJ51-AJ52+'Mercado Distribuição'!AJ80</f>
        <v>299966.65113838704</v>
      </c>
      <c r="AK54" s="248">
        <f>AK48-AK51-AK52+'Mercado Distribuição'!AK80</f>
        <v>430569.40397766297</v>
      </c>
      <c r="AL54" s="248">
        <f>AL48-AL51-AL52+'Mercado Distribuição'!AL80</f>
        <v>515222.69424007164</v>
      </c>
      <c r="AM54" s="248">
        <f>AM48-AM51-AM52+'Mercado Distribuição'!AM80</f>
        <v>408715.40981025365</v>
      </c>
      <c r="AN54" s="248">
        <f>AN48-AN51-AN52+'Mercado Distribuição'!AN80</f>
        <v>340461.44988834229</v>
      </c>
      <c r="AO54" s="248">
        <f>AO48-AO51-AO52+'Mercado Distribuição'!AO80</f>
        <v>263043.17676761327</v>
      </c>
      <c r="AP54" s="248">
        <f>AP48-AP51-AP52+'Mercado Distribuição'!AP80</f>
        <v>406580.58118010615</v>
      </c>
      <c r="AQ54" s="248">
        <f>AQ48-AQ51-AQ52+'Mercado Distribuição'!AQ80</f>
        <v>402962.36624210479</v>
      </c>
      <c r="AR54" s="248">
        <f>AR48-AR51-AR52+'Mercado Distribuição'!AR80</f>
        <v>170988.67009582109</v>
      </c>
      <c r="AS54" s="248">
        <f>AS48-AS51-AS52+'Mercado Distribuição'!AS80</f>
        <v>240790.13613107317</v>
      </c>
      <c r="AT54" s="248">
        <f>AT48-AT51-AT52+'Mercado Distribuição'!AT80</f>
        <v>376470.77589703328</v>
      </c>
      <c r="AU54" s="248">
        <v>388732.64258179674</v>
      </c>
      <c r="AV54" s="248">
        <v>301802.10360521934</v>
      </c>
    </row>
    <row r="55" spans="2:48">
      <c r="B55" s="223" t="s">
        <v>98</v>
      </c>
      <c r="C55" s="22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223"/>
      <c r="AA55" s="223"/>
      <c r="AB55" s="223"/>
      <c r="AC55" s="223"/>
      <c r="AD55" s="223"/>
      <c r="AE55" s="223"/>
      <c r="AF55" s="223"/>
      <c r="AG55" s="223"/>
      <c r="AH55" s="223"/>
      <c r="AI55" s="223"/>
      <c r="AJ55" s="223"/>
      <c r="AK55" s="223"/>
      <c r="AL55" s="223"/>
      <c r="AM55" s="223"/>
      <c r="AN55" s="223"/>
      <c r="AO55" s="223"/>
      <c r="AP55" s="223"/>
      <c r="AQ55" s="223"/>
      <c r="AR55" s="223"/>
      <c r="AS55" s="223"/>
      <c r="AT55" s="223"/>
      <c r="AU55" s="223"/>
      <c r="AV55" s="223"/>
    </row>
    <row r="57" spans="2:48">
      <c r="B57" s="533" t="s">
        <v>105</v>
      </c>
      <c r="C57" s="129" t="s">
        <v>9</v>
      </c>
      <c r="D57" s="129" t="s">
        <v>10</v>
      </c>
      <c r="E57" s="129" t="s">
        <v>11</v>
      </c>
      <c r="F57" s="129" t="s">
        <v>12</v>
      </c>
      <c r="G57" s="129" t="s">
        <v>13</v>
      </c>
      <c r="H57" s="129" t="s">
        <v>14</v>
      </c>
      <c r="I57" s="129" t="s">
        <v>15</v>
      </c>
      <c r="J57" s="129" t="s">
        <v>16</v>
      </c>
      <c r="K57" s="129" t="s">
        <v>17</v>
      </c>
      <c r="L57" s="129" t="s">
        <v>18</v>
      </c>
      <c r="M57" s="129" t="s">
        <v>19</v>
      </c>
      <c r="N57" s="129" t="s">
        <v>20</v>
      </c>
      <c r="O57" s="129" t="s">
        <v>21</v>
      </c>
      <c r="P57" s="129" t="s">
        <v>22</v>
      </c>
      <c r="Q57" s="129" t="s">
        <v>23</v>
      </c>
      <c r="R57" s="129" t="s">
        <v>24</v>
      </c>
      <c r="S57" s="129" t="s">
        <v>25</v>
      </c>
      <c r="T57" s="129" t="s">
        <v>26</v>
      </c>
      <c r="U57" s="129" t="s">
        <v>27</v>
      </c>
      <c r="V57" s="129" t="s">
        <v>28</v>
      </c>
      <c r="W57" s="129" t="s">
        <v>29</v>
      </c>
      <c r="X57" s="129" t="s">
        <v>30</v>
      </c>
      <c r="Y57" s="129" t="s">
        <v>31</v>
      </c>
      <c r="Z57" s="129" t="s">
        <v>32</v>
      </c>
      <c r="AA57" s="129" t="str">
        <f>AA47</f>
        <v>1T19</v>
      </c>
      <c r="AB57" s="129" t="s">
        <v>34</v>
      </c>
      <c r="AC57" s="129" t="s">
        <v>35</v>
      </c>
      <c r="AD57" s="129" t="s">
        <v>36</v>
      </c>
      <c r="AE57" s="129" t="str">
        <f t="shared" ref="AE57:AT57" si="27">AE47</f>
        <v>1T20</v>
      </c>
      <c r="AF57" s="129" t="str">
        <f t="shared" si="27"/>
        <v>2T20</v>
      </c>
      <c r="AG57" s="129" t="str">
        <f t="shared" si="27"/>
        <v>3T20</v>
      </c>
      <c r="AH57" s="129" t="str">
        <f t="shared" si="27"/>
        <v>4T20</v>
      </c>
      <c r="AI57" s="129" t="str">
        <f t="shared" si="27"/>
        <v>1T21</v>
      </c>
      <c r="AJ57" s="129" t="str">
        <f t="shared" si="27"/>
        <v>2T21</v>
      </c>
      <c r="AK57" s="129" t="str">
        <f t="shared" si="27"/>
        <v>3T21</v>
      </c>
      <c r="AL57" s="129" t="str">
        <f t="shared" si="27"/>
        <v>4T21</v>
      </c>
      <c r="AM57" s="129" t="str">
        <f t="shared" si="27"/>
        <v>1T22</v>
      </c>
      <c r="AN57" s="129" t="str">
        <f t="shared" si="27"/>
        <v>2T22</v>
      </c>
      <c r="AO57" s="129" t="str">
        <f t="shared" si="27"/>
        <v>3T22</v>
      </c>
      <c r="AP57" s="129" t="str">
        <f t="shared" si="27"/>
        <v>4T22</v>
      </c>
      <c r="AQ57" s="129" t="str">
        <f t="shared" si="27"/>
        <v>1T23</v>
      </c>
      <c r="AR57" s="129" t="str">
        <f t="shared" si="27"/>
        <v>2T23</v>
      </c>
      <c r="AS57" s="129" t="str">
        <f t="shared" si="27"/>
        <v>3T23</v>
      </c>
      <c r="AT57" s="129" t="str">
        <f t="shared" si="27"/>
        <v>4T23</v>
      </c>
      <c r="AU57" s="129" t="str">
        <f t="shared" ref="AU57:AV57" si="28">AU47</f>
        <v>1T24</v>
      </c>
      <c r="AV57" s="129" t="str">
        <f t="shared" si="28"/>
        <v>2T24</v>
      </c>
    </row>
    <row r="58" spans="2:48">
      <c r="B58" s="235" t="s">
        <v>91</v>
      </c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24"/>
      <c r="Y58" s="224"/>
      <c r="Z58" s="224"/>
      <c r="AA58" s="224"/>
      <c r="AB58" s="224"/>
      <c r="AC58" s="224"/>
      <c r="AD58" s="224"/>
      <c r="AE58" s="224"/>
      <c r="AF58" s="224"/>
      <c r="AG58" s="224"/>
      <c r="AH58" s="224">
        <v>510284.96499999997</v>
      </c>
      <c r="AI58" s="224">
        <v>473061.04100000003</v>
      </c>
      <c r="AJ58" s="224">
        <v>514946.17800000001</v>
      </c>
      <c r="AK58" s="224">
        <v>553710.55139545887</v>
      </c>
      <c r="AL58" s="224">
        <v>476578.27585599991</v>
      </c>
      <c r="AM58" s="224">
        <v>457319.00521899993</v>
      </c>
      <c r="AN58" s="224">
        <v>479145.93446600001</v>
      </c>
      <c r="AO58" s="224">
        <v>532881.16737300018</v>
      </c>
      <c r="AP58" s="224">
        <v>540262.86248576839</v>
      </c>
      <c r="AQ58" s="224">
        <v>433050.23555333313</v>
      </c>
      <c r="AR58" s="224">
        <v>475209.20853403036</v>
      </c>
      <c r="AS58" s="224">
        <v>522421.70107795758</v>
      </c>
      <c r="AT58" s="224">
        <v>537681.34191111499</v>
      </c>
      <c r="AU58" s="224">
        <v>467790.35602585046</v>
      </c>
      <c r="AV58" s="224">
        <v>482344.57813593186</v>
      </c>
    </row>
    <row r="59" spans="2:48">
      <c r="B59" s="235" t="s">
        <v>100</v>
      </c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24"/>
      <c r="Y59" s="224"/>
      <c r="Z59" s="224"/>
      <c r="AA59" s="224"/>
      <c r="AB59" s="224"/>
      <c r="AC59" s="224"/>
      <c r="AD59" s="224"/>
      <c r="AE59" s="224"/>
      <c r="AF59" s="224"/>
      <c r="AG59" s="224"/>
      <c r="AH59" s="224">
        <v>12277.400758344285</v>
      </c>
      <c r="AI59" s="224">
        <v>11069.567344000001</v>
      </c>
      <c r="AJ59" s="224">
        <v>12244.484409000001</v>
      </c>
      <c r="AK59" s="224">
        <v>13232.09096456612</v>
      </c>
      <c r="AL59" s="224">
        <v>11091.880590524564</v>
      </c>
      <c r="AM59" s="224">
        <v>10965.17473713282</v>
      </c>
      <c r="AN59" s="224">
        <v>11847.797597377908</v>
      </c>
      <c r="AO59" s="224">
        <v>13094.480783325234</v>
      </c>
      <c r="AP59" s="224">
        <v>13201.550968962383</v>
      </c>
      <c r="AQ59" s="224">
        <v>11175.098559355483</v>
      </c>
      <c r="AR59" s="224">
        <v>12422.681189345079</v>
      </c>
      <c r="AS59" s="224">
        <v>13943.84689519418</v>
      </c>
      <c r="AT59" s="224">
        <v>14390.461936641001</v>
      </c>
      <c r="AU59" s="224">
        <v>12791.449000238499</v>
      </c>
      <c r="AV59" s="224">
        <v>13479.568363928101</v>
      </c>
    </row>
    <row r="60" spans="2:48">
      <c r="B60" s="252" t="s">
        <v>92</v>
      </c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24"/>
      <c r="Y60" s="224"/>
      <c r="Z60" s="224"/>
      <c r="AA60" s="224"/>
      <c r="AB60" s="224"/>
      <c r="AC60" s="224"/>
      <c r="AD60" s="224"/>
      <c r="AE60" s="224"/>
      <c r="AF60" s="224"/>
      <c r="AG60" s="224"/>
      <c r="AH60" s="224"/>
      <c r="AI60" s="224">
        <v>1362.318</v>
      </c>
      <c r="AJ60" s="224">
        <v>2158.7209999999995</v>
      </c>
      <c r="AK60" s="224">
        <v>3061.422</v>
      </c>
      <c r="AL60" s="224">
        <v>2722.712</v>
      </c>
      <c r="AM60" s="224">
        <v>2760.058</v>
      </c>
      <c r="AN60" s="224">
        <v>3337.116</v>
      </c>
      <c r="AO60" s="224">
        <v>4619.2739999999994</v>
      </c>
      <c r="AP60" s="224">
        <v>5307.5810000000001</v>
      </c>
      <c r="AQ60" s="224">
        <v>5408.7340000000004</v>
      </c>
      <c r="AR60" s="224">
        <v>7641.8810000000003</v>
      </c>
      <c r="AS60" s="224">
        <v>10060.393999999997</v>
      </c>
      <c r="AT60" s="224">
        <v>12448.287</v>
      </c>
      <c r="AU60" s="224">
        <v>12737.775</v>
      </c>
      <c r="AV60" s="224">
        <v>16475</v>
      </c>
    </row>
    <row r="61" spans="2:48">
      <c r="B61" s="238" t="s">
        <v>93</v>
      </c>
      <c r="C61" s="239"/>
      <c r="D61" s="239"/>
      <c r="E61" s="239"/>
      <c r="F61" s="239"/>
      <c r="G61" s="239"/>
      <c r="H61" s="239"/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  <c r="AA61" s="239"/>
      <c r="AB61" s="239"/>
      <c r="AC61" s="239"/>
      <c r="AD61" s="239"/>
      <c r="AE61" s="239"/>
      <c r="AF61" s="239"/>
      <c r="AG61" s="239"/>
      <c r="AH61" s="239">
        <f>+SUM(AH58:AH60)</f>
        <v>522562.36575834424</v>
      </c>
      <c r="AI61" s="239">
        <f>+SUM(AI58:AI60)</f>
        <v>485492.92634400004</v>
      </c>
      <c r="AJ61" s="239">
        <f t="shared" ref="AJ61:AT61" si="29">+SUM(AJ58:AJ60)</f>
        <v>529349.383409</v>
      </c>
      <c r="AK61" s="239">
        <f t="shared" si="29"/>
        <v>570004.06436002499</v>
      </c>
      <c r="AL61" s="239">
        <f t="shared" si="29"/>
        <v>490392.86844652449</v>
      </c>
      <c r="AM61" s="239">
        <f t="shared" si="29"/>
        <v>471044.23795613274</v>
      </c>
      <c r="AN61" s="239">
        <f t="shared" si="29"/>
        <v>494330.8480633779</v>
      </c>
      <c r="AO61" s="239">
        <f t="shared" si="29"/>
        <v>550594.92215632543</v>
      </c>
      <c r="AP61" s="239">
        <f t="shared" si="29"/>
        <v>558771.99445473077</v>
      </c>
      <c r="AQ61" s="239">
        <f t="shared" si="29"/>
        <v>449634.0681126886</v>
      </c>
      <c r="AR61" s="239">
        <f t="shared" si="29"/>
        <v>495273.77072337543</v>
      </c>
      <c r="AS61" s="239">
        <f t="shared" si="29"/>
        <v>546425.94197315176</v>
      </c>
      <c r="AT61" s="239">
        <f t="shared" si="29"/>
        <v>564520.09084775602</v>
      </c>
      <c r="AU61" s="239">
        <f t="shared" ref="AU61:AV61" si="30">+SUM(AU58:AU60)</f>
        <v>493319.58002608898</v>
      </c>
      <c r="AV61" s="239">
        <f t="shared" si="30"/>
        <v>512299.14649985998</v>
      </c>
    </row>
    <row r="62" spans="2:48">
      <c r="B62" s="223" t="s">
        <v>94</v>
      </c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6"/>
      <c r="AC62" s="236"/>
      <c r="AD62" s="236"/>
      <c r="AE62" s="236"/>
      <c r="AF62" s="236"/>
      <c r="AG62" s="236"/>
      <c r="AH62" s="236">
        <v>256186.28099999999</v>
      </c>
      <c r="AI62" s="236">
        <v>273294.28700000007</v>
      </c>
      <c r="AJ62" s="236">
        <v>275240.83500000002</v>
      </c>
      <c r="AK62" s="236">
        <v>294418.20599999995</v>
      </c>
      <c r="AL62" s="236">
        <v>285506.50200000021</v>
      </c>
      <c r="AM62" s="236">
        <v>234186.527</v>
      </c>
      <c r="AN62" s="236">
        <v>265025.32499999995</v>
      </c>
      <c r="AO62" s="236">
        <v>286756.58100000001</v>
      </c>
      <c r="AP62" s="236">
        <v>335263.87099999993</v>
      </c>
      <c r="AQ62" s="245">
        <v>251814.98700000002</v>
      </c>
      <c r="AR62" s="245">
        <v>283128.99300000002</v>
      </c>
      <c r="AS62" s="245">
        <v>328801.95799999998</v>
      </c>
      <c r="AT62" s="245">
        <v>341051.72999199998</v>
      </c>
      <c r="AU62" s="245">
        <v>322692.42</v>
      </c>
      <c r="AV62" s="245">
        <v>335212.40100000001</v>
      </c>
    </row>
    <row r="63" spans="2:48">
      <c r="B63" s="223" t="s">
        <v>96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45"/>
      <c r="Y63" s="245"/>
      <c r="Z63" s="245"/>
      <c r="AA63" s="245"/>
      <c r="AB63" s="245"/>
      <c r="AC63" s="245"/>
      <c r="AD63" s="245"/>
      <c r="AE63" s="245"/>
      <c r="AF63" s="245"/>
      <c r="AG63" s="245"/>
      <c r="AH63" s="245">
        <f t="shared" ref="AH63:AS63" si="31">AH61-AH62</f>
        <v>266376.08475834422</v>
      </c>
      <c r="AI63" s="245">
        <f t="shared" si="31"/>
        <v>212198.63934399997</v>
      </c>
      <c r="AJ63" s="245">
        <f t="shared" si="31"/>
        <v>254108.54840899998</v>
      </c>
      <c r="AK63" s="245">
        <f t="shared" si="31"/>
        <v>275585.85836002504</v>
      </c>
      <c r="AL63" s="245">
        <f t="shared" si="31"/>
        <v>204886.36644652428</v>
      </c>
      <c r="AM63" s="245">
        <f t="shared" si="31"/>
        <v>236857.71095613274</v>
      </c>
      <c r="AN63" s="245">
        <f t="shared" si="31"/>
        <v>229305.52306337794</v>
      </c>
      <c r="AO63" s="245">
        <f t="shared" si="31"/>
        <v>263838.34115632542</v>
      </c>
      <c r="AP63" s="245">
        <f t="shared" si="31"/>
        <v>223508.12345473084</v>
      </c>
      <c r="AQ63" s="245">
        <f t="shared" si="31"/>
        <v>197819.08111268858</v>
      </c>
      <c r="AR63" s="245">
        <f t="shared" si="31"/>
        <v>212144.77772337542</v>
      </c>
      <c r="AS63" s="245">
        <f t="shared" si="31"/>
        <v>217623.98397315177</v>
      </c>
      <c r="AT63" s="245">
        <f>AT61-AT62</f>
        <v>223468.36085575604</v>
      </c>
      <c r="AU63" s="245">
        <v>170627.160026089</v>
      </c>
      <c r="AV63" s="245">
        <v>177086.74549985997</v>
      </c>
    </row>
    <row r="64" spans="2:48">
      <c r="B64" s="246" t="s">
        <v>97</v>
      </c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8"/>
      <c r="Y64" s="248"/>
      <c r="Z64" s="248"/>
      <c r="AA64" s="248"/>
      <c r="AB64" s="248"/>
      <c r="AC64" s="248"/>
      <c r="AD64" s="248"/>
      <c r="AE64" s="248"/>
      <c r="AF64" s="248"/>
      <c r="AG64" s="248"/>
      <c r="AH64" s="248"/>
      <c r="AI64" s="248">
        <f>AI58+AI59-AI62+'Mercado Distribuição'!AI95</f>
        <v>211995.49734399992</v>
      </c>
      <c r="AJ64" s="248">
        <f>AJ58+AJ59-AJ62+'Mercado Distribuição'!AJ95</f>
        <v>253319.01140899997</v>
      </c>
      <c r="AK64" s="248">
        <f>AK58+AK59-AK62+'Mercado Distribuição'!AK95</f>
        <v>274610.54299498367</v>
      </c>
      <c r="AL64" s="248">
        <f>AL58+AL59-AL62+'Mercado Distribuição'!AL95</f>
        <v>205036.61407153832</v>
      </c>
      <c r="AM64" s="248">
        <f>AM58+AM59-AM62+'Mercado Distribuição'!AM95</f>
        <v>236485.85795613274</v>
      </c>
      <c r="AN64" s="248">
        <f>AN58+AN59-AN62+'Mercado Distribuição'!AN95</f>
        <v>229099.37306337798</v>
      </c>
      <c r="AO64" s="248">
        <f>AO58+AO59-AO62+'Mercado Distribuição'!AO95</f>
        <v>263267.88915632549</v>
      </c>
      <c r="AP64" s="248">
        <f>AP58+AP59-AP62+'Mercado Distribuição'!AP95</f>
        <v>223035.56345473079</v>
      </c>
      <c r="AQ64" s="248">
        <f>AQ58+AQ59-AQ62+'Mercado Distribuição'!AQ95</f>
        <v>196869.01711268863</v>
      </c>
      <c r="AR64" s="248">
        <f>AR58+AR59-AR62+'Mercado Distribuição'!AR95</f>
        <v>210713.04872337542</v>
      </c>
      <c r="AS64" s="248">
        <f>AS58+AS59-AS62+'Mercado Distribuição'!AS95</f>
        <v>215316.35197315179</v>
      </c>
      <c r="AT64" s="248">
        <f>AT58+AT59-AT62+'Mercado Distribuição'!AT95</f>
        <v>221105.73985575599</v>
      </c>
      <c r="AU64" s="248">
        <v>168569.38502608897</v>
      </c>
      <c r="AV64" s="248">
        <v>174132.61549985997</v>
      </c>
    </row>
    <row r="65" spans="2:48">
      <c r="B65" s="223" t="s">
        <v>98</v>
      </c>
      <c r="C65" s="223"/>
      <c r="D65" s="223"/>
      <c r="E65" s="223"/>
      <c r="F65" s="223"/>
      <c r="G65" s="223"/>
      <c r="H65" s="223"/>
      <c r="I65" s="223"/>
      <c r="J65" s="223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  <c r="AJ65" s="223"/>
      <c r="AK65" s="223"/>
      <c r="AL65" s="223"/>
      <c r="AM65" s="223"/>
      <c r="AN65" s="223"/>
      <c r="AO65" s="253"/>
      <c r="AP65" s="253"/>
      <c r="AQ65" s="253"/>
      <c r="AR65" s="253"/>
      <c r="AS65" s="253"/>
      <c r="AT65" s="253"/>
      <c r="AU65" s="253"/>
      <c r="AV65" s="253"/>
    </row>
    <row r="67" spans="2:48">
      <c r="B67" s="533" t="s">
        <v>106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 t="str">
        <f>AA57</f>
        <v>1T19</v>
      </c>
      <c r="AB67" s="129" t="s">
        <v>34</v>
      </c>
      <c r="AC67" s="129" t="s">
        <v>35</v>
      </c>
      <c r="AD67" s="129" t="s">
        <v>36</v>
      </c>
      <c r="AE67" s="129" t="str">
        <f t="shared" ref="AE67:AT67" si="32">AE57</f>
        <v>1T20</v>
      </c>
      <c r="AF67" s="129" t="str">
        <f t="shared" si="32"/>
        <v>2T20</v>
      </c>
      <c r="AG67" s="129" t="str">
        <f t="shared" si="32"/>
        <v>3T20</v>
      </c>
      <c r="AH67" s="129" t="str">
        <f t="shared" si="32"/>
        <v>4T20</v>
      </c>
      <c r="AI67" s="129" t="str">
        <f t="shared" si="32"/>
        <v>1T21</v>
      </c>
      <c r="AJ67" s="129" t="str">
        <f t="shared" si="32"/>
        <v>2T21</v>
      </c>
      <c r="AK67" s="129" t="str">
        <f t="shared" si="32"/>
        <v>3T21</v>
      </c>
      <c r="AL67" s="129" t="str">
        <f t="shared" si="32"/>
        <v>4T21</v>
      </c>
      <c r="AM67" s="129" t="str">
        <f t="shared" si="32"/>
        <v>1T22</v>
      </c>
      <c r="AN67" s="129" t="str">
        <f t="shared" si="32"/>
        <v>2T22</v>
      </c>
      <c r="AO67" s="129" t="str">
        <f t="shared" si="32"/>
        <v>3T22</v>
      </c>
      <c r="AP67" s="129" t="str">
        <f t="shared" si="32"/>
        <v>4T22</v>
      </c>
      <c r="AQ67" s="129" t="str">
        <f t="shared" si="32"/>
        <v>1T23</v>
      </c>
      <c r="AR67" s="129" t="str">
        <f t="shared" si="32"/>
        <v>2T23</v>
      </c>
      <c r="AS67" s="129" t="str">
        <f t="shared" si="32"/>
        <v>3T23</v>
      </c>
      <c r="AT67" s="129" t="str">
        <f t="shared" si="32"/>
        <v>4T23</v>
      </c>
      <c r="AU67" s="129" t="str">
        <f t="shared" ref="AU67:AV67" si="33">AU57</f>
        <v>1T24</v>
      </c>
      <c r="AV67" s="129" t="str">
        <f t="shared" si="33"/>
        <v>2T24</v>
      </c>
    </row>
    <row r="68" spans="2:48">
      <c r="B68" s="235" t="s">
        <v>91</v>
      </c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24"/>
      <c r="Y68" s="224"/>
      <c r="Z68" s="224"/>
      <c r="AA68" s="224"/>
      <c r="AB68" s="224"/>
      <c r="AC68" s="224"/>
      <c r="AD68" s="224"/>
      <c r="AE68" s="224"/>
      <c r="AF68" s="224"/>
      <c r="AG68" s="224"/>
      <c r="AH68" s="224"/>
      <c r="AI68" s="224"/>
      <c r="AJ68" s="224"/>
      <c r="AK68" s="224"/>
      <c r="AL68" s="224">
        <v>4189336.1358500007</v>
      </c>
      <c r="AM68" s="224">
        <v>4063382.9286895012</v>
      </c>
      <c r="AN68" s="224">
        <v>4277441.3129559988</v>
      </c>
      <c r="AO68" s="224">
        <v>4385573.7333819997</v>
      </c>
      <c r="AP68" s="224">
        <v>4252782.758032999</v>
      </c>
      <c r="AQ68" s="224">
        <v>4125068.2600139999</v>
      </c>
      <c r="AR68" s="224">
        <v>4242406.0453049997</v>
      </c>
      <c r="AS68" s="224">
        <v>4568159</v>
      </c>
      <c r="AT68" s="224">
        <v>4898084.2577809999</v>
      </c>
      <c r="AU68" s="224">
        <v>4476285.9821620006</v>
      </c>
      <c r="AV68" s="224">
        <v>4606501.4476450002</v>
      </c>
    </row>
    <row r="69" spans="2:48">
      <c r="B69" s="252" t="s">
        <v>92</v>
      </c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>
        <v>121906.37914999999</v>
      </c>
      <c r="AM69" s="224">
        <v>148198.93817000001</v>
      </c>
      <c r="AN69" s="224">
        <v>159419.00109000003</v>
      </c>
      <c r="AO69" s="224">
        <v>180345</v>
      </c>
      <c r="AP69" s="224">
        <v>226081.27370999998</v>
      </c>
      <c r="AQ69" s="224">
        <v>247189.91177000001</v>
      </c>
      <c r="AR69" s="224">
        <v>292279.41599999997</v>
      </c>
      <c r="AS69" s="224">
        <v>313884</v>
      </c>
      <c r="AT69" s="224">
        <v>379290.17700000003</v>
      </c>
      <c r="AU69" s="224">
        <v>382567.13500000001</v>
      </c>
      <c r="AV69" s="224">
        <v>401769.34700000001</v>
      </c>
    </row>
    <row r="70" spans="2:48">
      <c r="B70" s="238" t="s">
        <v>93</v>
      </c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  <c r="AA70" s="239"/>
      <c r="AB70" s="239"/>
      <c r="AC70" s="239"/>
      <c r="AD70" s="239"/>
      <c r="AE70" s="239"/>
      <c r="AF70" s="239"/>
      <c r="AG70" s="239"/>
      <c r="AH70" s="239"/>
      <c r="AI70" s="239"/>
      <c r="AJ70" s="239"/>
      <c r="AK70" s="239"/>
      <c r="AL70" s="239">
        <f t="shared" ref="AL70:AT70" si="34">+SUM(AL68:AL69)</f>
        <v>4311242.5150000006</v>
      </c>
      <c r="AM70" s="239">
        <f t="shared" si="34"/>
        <v>4211581.8668595012</v>
      </c>
      <c r="AN70" s="239">
        <f t="shared" si="34"/>
        <v>4436860.3140459992</v>
      </c>
      <c r="AO70" s="239">
        <f t="shared" si="34"/>
        <v>4565918.7333819997</v>
      </c>
      <c r="AP70" s="239">
        <f t="shared" si="34"/>
        <v>4478864.0317429993</v>
      </c>
      <c r="AQ70" s="239">
        <f t="shared" si="34"/>
        <v>4372258.1717839995</v>
      </c>
      <c r="AR70" s="239">
        <f t="shared" si="34"/>
        <v>4534685.4613049999</v>
      </c>
      <c r="AS70" s="239">
        <f t="shared" si="34"/>
        <v>4882043</v>
      </c>
      <c r="AT70" s="239">
        <f t="shared" si="34"/>
        <v>5277374.434781</v>
      </c>
      <c r="AU70" s="239">
        <f t="shared" ref="AU70:AV70" si="35">+SUM(AU68:AU69)</f>
        <v>4858853.1171620004</v>
      </c>
      <c r="AV70" s="239">
        <f t="shared" si="35"/>
        <v>5008270.7946450002</v>
      </c>
    </row>
    <row r="71" spans="2:48">
      <c r="B71" s="223" t="s">
        <v>94</v>
      </c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  <c r="AA71" s="236"/>
      <c r="AB71" s="236"/>
      <c r="AC71" s="236"/>
      <c r="AD71" s="236"/>
      <c r="AE71" s="236"/>
      <c r="AF71" s="236"/>
      <c r="AG71" s="236"/>
      <c r="AH71" s="236"/>
      <c r="AI71" s="236"/>
      <c r="AJ71" s="236"/>
      <c r="AK71" s="236"/>
      <c r="AL71" s="236">
        <v>3969455.4773200005</v>
      </c>
      <c r="AM71" s="245">
        <v>3646657.2260999996</v>
      </c>
      <c r="AN71" s="245">
        <v>3880833.4598580003</v>
      </c>
      <c r="AO71" s="236">
        <v>3957529.707043</v>
      </c>
      <c r="AP71" s="236">
        <f>'Mercado Distribuição'!AP111-'Mercado Distribuição'!AP109</f>
        <v>4055387.0291590006</v>
      </c>
      <c r="AQ71" s="245">
        <v>3750935.2639619997</v>
      </c>
      <c r="AR71" s="245">
        <v>4030556.8471339997</v>
      </c>
      <c r="AS71" s="245">
        <v>4155894.6289340006</v>
      </c>
      <c r="AT71" s="245">
        <v>4743608.9314401792</v>
      </c>
      <c r="AU71" s="245">
        <v>4328544.539564589</v>
      </c>
      <c r="AV71" s="245">
        <v>4470757.6079561012</v>
      </c>
    </row>
    <row r="72" spans="2:48">
      <c r="B72" s="223" t="s">
        <v>95</v>
      </c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36"/>
      <c r="AL72" s="245">
        <f>'Mercado Distribuição'!AL109</f>
        <v>1864.0644800000002</v>
      </c>
      <c r="AM72" s="245">
        <f>'Mercado Distribuição'!AM109</f>
        <v>2140.9533569999999</v>
      </c>
      <c r="AN72" s="245">
        <f>'Mercado Distribuição'!AN109</f>
        <v>2536.526237</v>
      </c>
      <c r="AO72" s="245">
        <f>'Mercado Distribuição'!AO109</f>
        <v>2649.0252799999998</v>
      </c>
      <c r="AP72" s="245">
        <f>'Mercado Distribuição'!AP109</f>
        <v>2533.7059949999998</v>
      </c>
      <c r="AQ72" s="245">
        <f>'Mercado Distribuição'!AQ109</f>
        <v>2544.739075</v>
      </c>
      <c r="AR72" s="245">
        <f>'Mercado Distribuição'!AR109</f>
        <v>2790.492949</v>
      </c>
      <c r="AS72" s="245">
        <f>'Mercado Distribuição'!AS109</f>
        <v>3064.3879999999999</v>
      </c>
      <c r="AT72" s="245">
        <f>'Mercado Distribuição'!AT109</f>
        <v>2926.55</v>
      </c>
      <c r="AU72" s="245">
        <v>5759.33</v>
      </c>
      <c r="AV72" s="245">
        <v>2898.64</v>
      </c>
    </row>
    <row r="73" spans="2:48">
      <c r="B73" s="223" t="s">
        <v>96</v>
      </c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>
        <v>339922.97320000007</v>
      </c>
      <c r="AM73" s="245">
        <v>562783.68740250159</v>
      </c>
      <c r="AN73" s="245">
        <v>553490.32795099891</v>
      </c>
      <c r="AO73" s="245">
        <v>605740.00105899968</v>
      </c>
      <c r="AP73" s="245">
        <v>406119.45303299901</v>
      </c>
      <c r="AQ73" s="245">
        <v>618778.16874699981</v>
      </c>
      <c r="AR73" s="245">
        <v>501338.12122200022</v>
      </c>
      <c r="AS73" s="245">
        <v>723084.37106599938</v>
      </c>
      <c r="AT73" s="245">
        <f>AT70-AT71-AT72</f>
        <v>530838.95334082074</v>
      </c>
      <c r="AU73" s="245">
        <v>524549.24759741139</v>
      </c>
      <c r="AV73" s="245">
        <v>534614.54668889905</v>
      </c>
    </row>
    <row r="74" spans="2:48">
      <c r="B74" s="246" t="s">
        <v>97</v>
      </c>
      <c r="C74" s="247"/>
      <c r="D74" s="247"/>
      <c r="E74" s="247"/>
      <c r="F74" s="247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>
        <f>AL68-AL71-AL72+'Mercado Distribuição'!AL110</f>
        <v>322342.02205000044</v>
      </c>
      <c r="AM74" s="248">
        <f>AM68-AM71-AM72+'Mercado Distribuição'!AM110</f>
        <v>535310.85823250178</v>
      </c>
      <c r="AN74" s="248">
        <f>AN68-AN71-AN72+'Mercado Distribuição'!AN110</f>
        <v>529723.29486099887</v>
      </c>
      <c r="AO74" s="248">
        <f>AO68-AO71-AO72+'Mercado Distribuição'!AO110</f>
        <v>569617.0330589998</v>
      </c>
      <c r="AP74" s="248">
        <f>AP68-AP71-AP72+'Mercado Distribuição'!AP110</f>
        <v>382934.73387899855</v>
      </c>
      <c r="AQ74" s="248">
        <f>AQ68-AQ71-AQ72+'Mercado Distribuição'!AQ110</f>
        <v>569250.40697700018</v>
      </c>
      <c r="AR74" s="248">
        <f>AR68-AR71-AR72+'Mercado Distribuição'!AR110</f>
        <v>440154.02122200013</v>
      </c>
      <c r="AS74" s="248">
        <f>AS68-AS71-AS72+'Mercado Distribuição'!AS110</f>
        <v>669662.63506600005</v>
      </c>
      <c r="AT74" s="248">
        <f>AT68-AT71-AT72+'Mercado Distribuição'!AT110</f>
        <v>487137.73234082042</v>
      </c>
      <c r="AU74" s="248">
        <v>461972.59059741121</v>
      </c>
      <c r="AV74" s="248">
        <v>462575.86568889918</v>
      </c>
    </row>
    <row r="75" spans="2:48">
      <c r="B75" s="223" t="s">
        <v>98</v>
      </c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223"/>
      <c r="O75" s="223"/>
      <c r="P75" s="223"/>
      <c r="Q75" s="223"/>
      <c r="R75" s="223"/>
      <c r="S75" s="223"/>
      <c r="T75" s="223"/>
      <c r="U75" s="223"/>
      <c r="V75" s="223"/>
      <c r="W75" s="223"/>
      <c r="X75" s="223"/>
      <c r="Y75" s="223"/>
      <c r="Z75" s="223"/>
      <c r="AA75" s="223"/>
      <c r="AB75" s="223"/>
      <c r="AC75" s="223"/>
      <c r="AD75" s="223"/>
      <c r="AE75" s="223"/>
      <c r="AF75" s="223"/>
      <c r="AG75" s="223"/>
      <c r="AH75" s="223"/>
      <c r="AI75" s="223"/>
      <c r="AJ75" s="223"/>
      <c r="AK75" s="223"/>
      <c r="AL75" s="223"/>
      <c r="AM75" s="223"/>
      <c r="AN75" s="223"/>
      <c r="AO75" s="253"/>
      <c r="AP75" s="253"/>
      <c r="AQ75" s="253"/>
      <c r="AR75" s="253"/>
      <c r="AS75" s="253"/>
      <c r="AT75" s="253"/>
      <c r="AU75" s="253"/>
      <c r="AV75" s="253"/>
    </row>
    <row r="77" spans="2:48">
      <c r="B77" s="533" t="s">
        <v>107</v>
      </c>
      <c r="C77" s="129" t="s">
        <v>9</v>
      </c>
      <c r="D77" s="129" t="s">
        <v>10</v>
      </c>
      <c r="E77" s="129" t="s">
        <v>11</v>
      </c>
      <c r="F77" s="129" t="s">
        <v>12</v>
      </c>
      <c r="G77" s="129" t="s">
        <v>13</v>
      </c>
      <c r="H77" s="129" t="s">
        <v>14</v>
      </c>
      <c r="I77" s="129" t="s">
        <v>15</v>
      </c>
      <c r="J77" s="129" t="s">
        <v>16</v>
      </c>
      <c r="K77" s="129" t="s">
        <v>17</v>
      </c>
      <c r="L77" s="129" t="s">
        <v>18</v>
      </c>
      <c r="M77" s="129" t="s">
        <v>19</v>
      </c>
      <c r="N77" s="129" t="s">
        <v>20</v>
      </c>
      <c r="O77" s="129" t="s">
        <v>21</v>
      </c>
      <c r="P77" s="129" t="s">
        <v>22</v>
      </c>
      <c r="Q77" s="129" t="s">
        <v>23</v>
      </c>
      <c r="R77" s="129" t="s">
        <v>24</v>
      </c>
      <c r="S77" s="129" t="s">
        <v>25</v>
      </c>
      <c r="T77" s="129" t="s">
        <v>26</v>
      </c>
      <c r="U77" s="129" t="s">
        <v>27</v>
      </c>
      <c r="V77" s="129" t="s">
        <v>28</v>
      </c>
      <c r="W77" s="129" t="s">
        <v>29</v>
      </c>
      <c r="X77" s="129" t="s">
        <v>30</v>
      </c>
      <c r="Y77" s="129" t="s">
        <v>31</v>
      </c>
      <c r="Z77" s="129" t="s">
        <v>32</v>
      </c>
      <c r="AA77" s="129" t="str">
        <f>AA57</f>
        <v>1T19</v>
      </c>
      <c r="AB77" s="129" t="s">
        <v>34</v>
      </c>
      <c r="AC77" s="129" t="s">
        <v>35</v>
      </c>
      <c r="AD77" s="129" t="s">
        <v>36</v>
      </c>
      <c r="AE77" s="129" t="str">
        <f t="shared" ref="AE77:AL77" si="36">AE57</f>
        <v>1T20</v>
      </c>
      <c r="AF77" s="129" t="str">
        <f t="shared" si="36"/>
        <v>2T20</v>
      </c>
      <c r="AG77" s="129" t="str">
        <f t="shared" si="36"/>
        <v>3T20</v>
      </c>
      <c r="AH77" s="129" t="str">
        <f t="shared" si="36"/>
        <v>4T20</v>
      </c>
      <c r="AI77" s="129" t="str">
        <f t="shared" si="36"/>
        <v>1T21</v>
      </c>
      <c r="AJ77" s="129" t="str">
        <f t="shared" si="36"/>
        <v>2T21</v>
      </c>
      <c r="AK77" s="129" t="str">
        <f t="shared" si="36"/>
        <v>3T21</v>
      </c>
      <c r="AL77" s="129" t="str">
        <f t="shared" si="36"/>
        <v>4T21</v>
      </c>
      <c r="AM77" s="129" t="str">
        <f>AM57</f>
        <v>1T22</v>
      </c>
      <c r="AN77" s="129" t="str">
        <f>AN57</f>
        <v>2T22</v>
      </c>
      <c r="AO77" s="129" t="str">
        <f t="shared" ref="AO77:AT77" si="37">AO57</f>
        <v>3T22</v>
      </c>
      <c r="AP77" s="129" t="str">
        <f t="shared" si="37"/>
        <v>4T22</v>
      </c>
      <c r="AQ77" s="129" t="str">
        <f t="shared" si="37"/>
        <v>1T23</v>
      </c>
      <c r="AR77" s="129" t="str">
        <f t="shared" si="37"/>
        <v>2T23</v>
      </c>
      <c r="AS77" s="129" t="str">
        <f t="shared" si="37"/>
        <v>3T23</v>
      </c>
      <c r="AT77" s="129" t="str">
        <f t="shared" si="37"/>
        <v>4T23</v>
      </c>
      <c r="AU77" s="129" t="str">
        <f t="shared" ref="AU77:AV77" si="38">AU57</f>
        <v>1T24</v>
      </c>
      <c r="AV77" s="129" t="str">
        <f t="shared" si="38"/>
        <v>2T24</v>
      </c>
    </row>
    <row r="78" spans="2:48">
      <c r="B78" s="235" t="s">
        <v>91</v>
      </c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24"/>
      <c r="Y78" s="224"/>
      <c r="Z78" s="224"/>
      <c r="AA78" s="224">
        <f t="shared" ref="AA78:AO78" si="39">AA58+AA48+AA38+AA28+AA17+AA7+AA68</f>
        <v>7006848.719459814</v>
      </c>
      <c r="AB78" s="224">
        <f t="shared" si="39"/>
        <v>7249284.4277673122</v>
      </c>
      <c r="AC78" s="224">
        <f t="shared" si="39"/>
        <v>7583922.5641304916</v>
      </c>
      <c r="AD78" s="224">
        <f t="shared" si="39"/>
        <v>8020201.4367902614</v>
      </c>
      <c r="AE78" s="224">
        <f t="shared" si="39"/>
        <v>7227783.7951580547</v>
      </c>
      <c r="AF78" s="224">
        <f t="shared" si="39"/>
        <v>7077081.4373269156</v>
      </c>
      <c r="AG78" s="224">
        <f t="shared" si="39"/>
        <v>10009478.315886188</v>
      </c>
      <c r="AH78" s="224">
        <f t="shared" si="39"/>
        <v>11122909.403241601</v>
      </c>
      <c r="AI78" s="224">
        <f t="shared" si="39"/>
        <v>10608218.897393309</v>
      </c>
      <c r="AJ78" s="224">
        <f t="shared" si="39"/>
        <v>10421292.112014225</v>
      </c>
      <c r="AK78" s="224">
        <f t="shared" si="39"/>
        <v>10737461.176486477</v>
      </c>
      <c r="AL78" s="224">
        <f t="shared" si="39"/>
        <v>15279474.381659215</v>
      </c>
      <c r="AM78" s="224">
        <f t="shared" si="39"/>
        <v>14751032.368813038</v>
      </c>
      <c r="AN78" s="224">
        <f t="shared" si="39"/>
        <v>14607600.776199583</v>
      </c>
      <c r="AO78" s="224">
        <f t="shared" si="39"/>
        <v>15171582.004758639</v>
      </c>
      <c r="AP78" s="224">
        <f>AP58+AP48+AP38+AP28+AP17+AP7+AP68</f>
        <v>15469240.986467335</v>
      </c>
      <c r="AQ78" s="224">
        <f>AQ58+AQ48+AQ38+AQ28+AQ17+AQ7+AQ68</f>
        <v>15013620.546701513</v>
      </c>
      <c r="AR78" s="224">
        <f>AR58+AR48+AR38+AR28+AR17+AR7+AR68</f>
        <v>14952382.600570917</v>
      </c>
      <c r="AS78" s="224">
        <f>AS58+AS48+AS38+AS28+AS17+AS7+AS68</f>
        <v>15876794.993988961</v>
      </c>
      <c r="AT78" s="224">
        <v>16928702.463582434</v>
      </c>
      <c r="AU78" s="224">
        <v>16239499.785872584</v>
      </c>
      <c r="AV78" s="224">
        <f>AV58+AV48+AV38+AV28+AV17+AV7+AV68</f>
        <v>15872507.816606317</v>
      </c>
    </row>
    <row r="79" spans="2:48">
      <c r="B79" s="235" t="s">
        <v>100</v>
      </c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24"/>
      <c r="Y79" s="224"/>
      <c r="Z79" s="224"/>
      <c r="AA79" s="224">
        <f>AA59+AA18</f>
        <v>70159.918357000017</v>
      </c>
      <c r="AB79" s="224">
        <f t="shared" ref="AB79:AO79" si="40">AB59+AB18</f>
        <v>72084.386335999981</v>
      </c>
      <c r="AC79" s="224">
        <f t="shared" si="40"/>
        <v>78538.429994607824</v>
      </c>
      <c r="AD79" s="224">
        <f t="shared" si="40"/>
        <v>78508.03360155056</v>
      </c>
      <c r="AE79" s="224">
        <f t="shared" si="40"/>
        <v>74143.589719162919</v>
      </c>
      <c r="AF79" s="224">
        <f t="shared" si="40"/>
        <v>73493.287170605472</v>
      </c>
      <c r="AG79" s="224">
        <f t="shared" si="40"/>
        <v>88081.192773005067</v>
      </c>
      <c r="AH79" s="224">
        <f t="shared" si="40"/>
        <v>94821.696983727699</v>
      </c>
      <c r="AI79" s="224">
        <f t="shared" si="40"/>
        <v>74536.720958719859</v>
      </c>
      <c r="AJ79" s="224">
        <f t="shared" si="40"/>
        <v>81317.59667195534</v>
      </c>
      <c r="AK79" s="224">
        <f t="shared" si="40"/>
        <v>87797.022463861897</v>
      </c>
      <c r="AL79" s="224">
        <f t="shared" si="40"/>
        <v>87422.505438907829</v>
      </c>
      <c r="AM79" s="224">
        <f t="shared" si="40"/>
        <v>77113.6237321933</v>
      </c>
      <c r="AN79" s="224">
        <f t="shared" si="40"/>
        <v>78579.860698647186</v>
      </c>
      <c r="AO79" s="224">
        <f t="shared" si="40"/>
        <v>88958.769123850128</v>
      </c>
      <c r="AP79" s="224">
        <f>AP59+AP18</f>
        <v>88543.324541993105</v>
      </c>
      <c r="AQ79" s="224">
        <f>AQ59+AQ18</f>
        <v>85587.90992003151</v>
      </c>
      <c r="AR79" s="224">
        <f>AR59+AR18</f>
        <v>75322.759066136554</v>
      </c>
      <c r="AS79" s="224">
        <f>AS59+AS18</f>
        <v>78046.179152985118</v>
      </c>
      <c r="AT79" s="224">
        <v>82749.305889883108</v>
      </c>
      <c r="AU79" s="224">
        <v>74676.314593935997</v>
      </c>
      <c r="AV79" s="224">
        <f>AV59+AV18</f>
        <v>83564.771664633401</v>
      </c>
    </row>
    <row r="80" spans="2:48">
      <c r="B80" s="252" t="s">
        <v>92</v>
      </c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24"/>
      <c r="Y80" s="224"/>
      <c r="Z80" s="224"/>
      <c r="AA80" s="224">
        <f t="shared" ref="AA80:AT82" si="41">AA60+AA49+AA39+AA29+AA19+AA8+AA69</f>
        <v>5691.7619999999988</v>
      </c>
      <c r="AB80" s="224">
        <f t="shared" si="41"/>
        <v>7221.6569982450083</v>
      </c>
      <c r="AC80" s="224">
        <f t="shared" si="41"/>
        <v>13352.470000000005</v>
      </c>
      <c r="AD80" s="224">
        <f t="shared" si="41"/>
        <v>20220.223000000005</v>
      </c>
      <c r="AE80" s="224">
        <f t="shared" si="41"/>
        <v>35573.002999999997</v>
      </c>
      <c r="AF80" s="224">
        <f t="shared" si="41"/>
        <v>52519.482394680017</v>
      </c>
      <c r="AG80" s="224">
        <f t="shared" si="41"/>
        <v>77024.98565773142</v>
      </c>
      <c r="AH80" s="224">
        <f t="shared" si="41"/>
        <v>86903.979000000021</v>
      </c>
      <c r="AI80" s="224">
        <f t="shared" si="41"/>
        <v>127318.83729700005</v>
      </c>
      <c r="AJ80" s="224">
        <f t="shared" si="41"/>
        <v>150271.34265230226</v>
      </c>
      <c r="AK80" s="224">
        <f t="shared" si="41"/>
        <v>192476.54811202834</v>
      </c>
      <c r="AL80" s="224">
        <f t="shared" si="41"/>
        <v>366703.12307830487</v>
      </c>
      <c r="AM80" s="224">
        <f t="shared" si="41"/>
        <v>408793.33417178656</v>
      </c>
      <c r="AN80" s="224">
        <f t="shared" si="41"/>
        <v>451192.72409012704</v>
      </c>
      <c r="AO80" s="224">
        <f t="shared" si="41"/>
        <v>562565.15495412494</v>
      </c>
      <c r="AP80" s="224">
        <f t="shared" si="41"/>
        <v>680912.77818452008</v>
      </c>
      <c r="AQ80" s="224">
        <f t="shared" si="41"/>
        <v>749191.21333159041</v>
      </c>
      <c r="AR80" s="224">
        <f t="shared" si="41"/>
        <v>834025.79662980395</v>
      </c>
      <c r="AS80" s="224">
        <f t="shared" si="41"/>
        <v>937864.75300016592</v>
      </c>
      <c r="AT80" s="224">
        <v>1097659.6981329001</v>
      </c>
      <c r="AU80" s="224">
        <v>1111056.5238357498</v>
      </c>
      <c r="AV80" s="224">
        <f t="shared" ref="AV80" si="42">AV60+AV49+AV39+AV29+AV19+AV8+AV69</f>
        <v>1159448.9482199999</v>
      </c>
    </row>
    <row r="81" spans="2:48">
      <c r="B81" s="238" t="s">
        <v>93</v>
      </c>
      <c r="C81" s="239">
        <f t="shared" ref="C81:Z81" si="43">C61+C50+C40+C30+C20+C9</f>
        <v>5121506.8189019812</v>
      </c>
      <c r="D81" s="239">
        <f t="shared" si="43"/>
        <v>5361737.6561986478</v>
      </c>
      <c r="E81" s="239">
        <f t="shared" si="43"/>
        <v>5731946.2130504567</v>
      </c>
      <c r="F81" s="239">
        <f t="shared" si="43"/>
        <v>5899242.2221505307</v>
      </c>
      <c r="G81" s="239">
        <f t="shared" si="43"/>
        <v>5341696.269371598</v>
      </c>
      <c r="H81" s="239">
        <f t="shared" si="43"/>
        <v>5633288.0613296349</v>
      </c>
      <c r="I81" s="239">
        <f t="shared" si="43"/>
        <v>6053312.4328734484</v>
      </c>
      <c r="J81" s="239">
        <f t="shared" si="43"/>
        <v>6272613.1947373319</v>
      </c>
      <c r="K81" s="239">
        <f t="shared" si="43"/>
        <v>5578285.5362233724</v>
      </c>
      <c r="L81" s="239">
        <f t="shared" si="43"/>
        <v>5777313.2653056914</v>
      </c>
      <c r="M81" s="239">
        <f t="shared" si="43"/>
        <v>6177460.1809913171</v>
      </c>
      <c r="N81" s="239">
        <f t="shared" si="43"/>
        <v>6478127.0878738053</v>
      </c>
      <c r="O81" s="239">
        <f t="shared" si="43"/>
        <v>5817540.2502166424</v>
      </c>
      <c r="P81" s="239">
        <f t="shared" si="43"/>
        <v>6116400.4001630247</v>
      </c>
      <c r="Q81" s="239">
        <f t="shared" si="43"/>
        <v>6359863.4657360446</v>
      </c>
      <c r="R81" s="239">
        <f t="shared" si="43"/>
        <v>6497205.5904011782</v>
      </c>
      <c r="S81" s="239">
        <f t="shared" si="43"/>
        <v>6912469.7749239868</v>
      </c>
      <c r="T81" s="239">
        <f t="shared" si="43"/>
        <v>7176087.6193540506</v>
      </c>
      <c r="U81" s="239">
        <f t="shared" si="43"/>
        <v>7454826.8223455921</v>
      </c>
      <c r="V81" s="239">
        <f t="shared" si="43"/>
        <v>7759511.8546025082</v>
      </c>
      <c r="W81" s="239">
        <f t="shared" si="43"/>
        <v>6940900.4019556977</v>
      </c>
      <c r="X81" s="239">
        <f t="shared" si="43"/>
        <v>7076399.4171166606</v>
      </c>
      <c r="Y81" s="239">
        <f t="shared" si="43"/>
        <v>7514981.1926436927</v>
      </c>
      <c r="Z81" s="239">
        <f t="shared" si="43"/>
        <v>7780918.4563687788</v>
      </c>
      <c r="AA81" s="254">
        <f t="shared" si="41"/>
        <v>7082700.3998168148</v>
      </c>
      <c r="AB81" s="254">
        <f t="shared" si="41"/>
        <v>7328590.4711015569</v>
      </c>
      <c r="AC81" s="254">
        <f t="shared" si="41"/>
        <v>7675813.4641250987</v>
      </c>
      <c r="AD81" s="254">
        <f t="shared" si="41"/>
        <v>8118929.6933918111</v>
      </c>
      <c r="AE81" s="254">
        <f t="shared" si="41"/>
        <v>7337500.3878772184</v>
      </c>
      <c r="AF81" s="254">
        <f t="shared" si="41"/>
        <v>7203094.2068922007</v>
      </c>
      <c r="AG81" s="254">
        <f t="shared" si="41"/>
        <v>10174584.494316924</v>
      </c>
      <c r="AH81" s="254">
        <f t="shared" si="41"/>
        <v>11304635.079225328</v>
      </c>
      <c r="AI81" s="254">
        <f t="shared" si="41"/>
        <v>10810074.455649029</v>
      </c>
      <c r="AJ81" s="254">
        <f t="shared" si="41"/>
        <v>10652881.051338483</v>
      </c>
      <c r="AK81" s="254">
        <f t="shared" si="41"/>
        <v>11017734.747062366</v>
      </c>
      <c r="AL81" s="254">
        <f t="shared" si="41"/>
        <v>15733600.010176428</v>
      </c>
      <c r="AM81" s="254">
        <f t="shared" si="41"/>
        <v>15236939.326717017</v>
      </c>
      <c r="AN81" s="254">
        <f t="shared" si="41"/>
        <v>15137373.36098836</v>
      </c>
      <c r="AO81" s="254">
        <f t="shared" si="41"/>
        <v>15823105.928836614</v>
      </c>
      <c r="AP81" s="254">
        <f t="shared" si="41"/>
        <v>16238697.089193845</v>
      </c>
      <c r="AQ81" s="254">
        <f t="shared" si="41"/>
        <v>15848399.669953134</v>
      </c>
      <c r="AR81" s="254">
        <f t="shared" si="41"/>
        <v>15861731.156266857</v>
      </c>
      <c r="AS81" s="254">
        <f t="shared" si="41"/>
        <v>16892705.926142111</v>
      </c>
      <c r="AT81" s="254">
        <f t="shared" si="41"/>
        <v>18109111.467605218</v>
      </c>
      <c r="AU81" s="254">
        <f t="shared" ref="AU81:AV81" si="44">AU61+AU50+AU40+AU30+AU20+AU9+AU70</f>
        <v>17425232.624302268</v>
      </c>
      <c r="AV81" s="254">
        <f t="shared" si="44"/>
        <v>17115521.536490947</v>
      </c>
    </row>
    <row r="82" spans="2:48">
      <c r="B82" s="223" t="s">
        <v>94</v>
      </c>
      <c r="AA82" s="255">
        <f t="shared" si="41"/>
        <v>5256187.9794180626</v>
      </c>
      <c r="AB82" s="255">
        <f t="shared" si="41"/>
        <v>5179970.0899878927</v>
      </c>
      <c r="AC82" s="255">
        <f t="shared" si="41"/>
        <v>5717930.6410268601</v>
      </c>
      <c r="AD82" s="255">
        <f t="shared" si="41"/>
        <v>6199752.3719892511</v>
      </c>
      <c r="AE82" s="255">
        <f t="shared" si="41"/>
        <v>5580593.6082175141</v>
      </c>
      <c r="AF82" s="255">
        <f t="shared" si="41"/>
        <v>5348636.1452739416</v>
      </c>
      <c r="AG82" s="255">
        <f t="shared" si="41"/>
        <v>7770139.0607574144</v>
      </c>
      <c r="AH82" s="255">
        <f t="shared" si="41"/>
        <v>8362217.6136435643</v>
      </c>
      <c r="AI82" s="255">
        <f t="shared" si="41"/>
        <v>8338647.0423093429</v>
      </c>
      <c r="AJ82" s="255">
        <f t="shared" si="41"/>
        <v>8164842.1832183674</v>
      </c>
      <c r="AK82" s="255">
        <f t="shared" si="41"/>
        <v>8330006.4141645962</v>
      </c>
      <c r="AL82" s="255">
        <f t="shared" si="41"/>
        <v>12687134.167901032</v>
      </c>
      <c r="AM82" s="255">
        <f t="shared" si="41"/>
        <v>12218710.836417841</v>
      </c>
      <c r="AN82" s="255">
        <f t="shared" si="41"/>
        <v>12183916.375462681</v>
      </c>
      <c r="AO82" s="255">
        <f t="shared" si="41"/>
        <v>12742161.802851107</v>
      </c>
      <c r="AP82" s="255">
        <f t="shared" si="41"/>
        <v>13144938.981774788</v>
      </c>
      <c r="AQ82" s="255">
        <f t="shared" si="41"/>
        <v>12818407.18688602</v>
      </c>
      <c r="AR82" s="255">
        <f t="shared" si="41"/>
        <v>13007174.618333787</v>
      </c>
      <c r="AS82" s="255">
        <f t="shared" si="41"/>
        <v>13529627.265040021</v>
      </c>
      <c r="AT82" s="255">
        <v>14759691.92688401</v>
      </c>
      <c r="AU82" s="255">
        <v>14276604.997802936</v>
      </c>
      <c r="AV82" s="255">
        <f t="shared" ref="AV82" si="45">AV62+AV51+AV41+AV31+AV21+AV10+AV71</f>
        <v>14046378.156724598</v>
      </c>
    </row>
    <row r="83" spans="2:48">
      <c r="B83" s="223" t="s">
        <v>95</v>
      </c>
      <c r="AA83" s="255">
        <f t="shared" ref="AA83:AS83" si="46">+AA11+AA22+AA32+AA42+AA52+AA72</f>
        <v>35789.367387961072</v>
      </c>
      <c r="AB83" s="255">
        <f t="shared" si="46"/>
        <v>39295.95255836314</v>
      </c>
      <c r="AC83" s="255">
        <f t="shared" si="46"/>
        <v>41869.867610833331</v>
      </c>
      <c r="AD83" s="255">
        <f t="shared" si="46"/>
        <v>41417.414270833331</v>
      </c>
      <c r="AE83" s="255">
        <f t="shared" si="46"/>
        <v>39510.343670666669</v>
      </c>
      <c r="AF83" s="255">
        <f t="shared" si="46"/>
        <v>40097.173166666667</v>
      </c>
      <c r="AG83" s="255">
        <f t="shared" si="46"/>
        <v>56638.32433333333</v>
      </c>
      <c r="AH83" s="255">
        <f t="shared" si="46"/>
        <v>57291.102018666672</v>
      </c>
      <c r="AI83" s="255">
        <f t="shared" si="46"/>
        <v>57992.672847589347</v>
      </c>
      <c r="AJ83" s="255">
        <f t="shared" si="46"/>
        <v>58069.181594823363</v>
      </c>
      <c r="AK83" s="255">
        <f t="shared" si="46"/>
        <v>59565.015953161746</v>
      </c>
      <c r="AL83" s="255">
        <f t="shared" si="46"/>
        <v>61911.357439871499</v>
      </c>
      <c r="AM83" s="255">
        <f t="shared" si="46"/>
        <v>62677.501291813758</v>
      </c>
      <c r="AN83" s="255">
        <f t="shared" si="46"/>
        <v>58601.113441070251</v>
      </c>
      <c r="AO83" s="255">
        <f t="shared" si="46"/>
        <v>60324.82660509758</v>
      </c>
      <c r="AP83" s="255">
        <f t="shared" si="46"/>
        <v>63555.706290504095</v>
      </c>
      <c r="AQ83" s="255">
        <f t="shared" si="46"/>
        <v>76365.415854578823</v>
      </c>
      <c r="AR83" s="255">
        <f t="shared" si="46"/>
        <v>63400.693325145257</v>
      </c>
      <c r="AS83" s="255">
        <f t="shared" si="46"/>
        <v>79305.173284608361</v>
      </c>
      <c r="AT83" s="255">
        <f>+AT11+AT22+AT32+AT42+AT52+AT72</f>
        <v>72111.543502791013</v>
      </c>
      <c r="AU83" s="255">
        <v>76547.297979226583</v>
      </c>
      <c r="AV83" s="255">
        <f t="shared" ref="AV83" si="47">+AV11+AV22+AV32+AV42+AV52+AV72</f>
        <v>73241.950659081675</v>
      </c>
    </row>
    <row r="84" spans="2:48">
      <c r="B84" s="223" t="s">
        <v>96</v>
      </c>
      <c r="AA84" s="255">
        <f t="shared" ref="AA84:AS84" si="48">AA81-AA82-AA83</f>
        <v>1790723.0530107911</v>
      </c>
      <c r="AB84" s="255">
        <f t="shared" si="48"/>
        <v>2109324.4285553009</v>
      </c>
      <c r="AC84" s="255">
        <f t="shared" si="48"/>
        <v>1916012.9554874052</v>
      </c>
      <c r="AD84" s="255">
        <f t="shared" si="48"/>
        <v>1877759.9071317266</v>
      </c>
      <c r="AE84" s="255">
        <f t="shared" si="48"/>
        <v>1717396.4359890376</v>
      </c>
      <c r="AF84" s="255">
        <f t="shared" si="48"/>
        <v>1814360.8884515925</v>
      </c>
      <c r="AG84" s="255">
        <f t="shared" si="48"/>
        <v>2347807.1092261765</v>
      </c>
      <c r="AH84" s="255">
        <f t="shared" si="48"/>
        <v>2885126.3635630971</v>
      </c>
      <c r="AI84" s="255">
        <f t="shared" si="48"/>
        <v>2413434.7404920971</v>
      </c>
      <c r="AJ84" s="255">
        <f t="shared" si="48"/>
        <v>2429969.6865252918</v>
      </c>
      <c r="AK84" s="255">
        <f t="shared" si="48"/>
        <v>2628163.3169446085</v>
      </c>
      <c r="AL84" s="255">
        <f t="shared" si="48"/>
        <v>2984554.4848355246</v>
      </c>
      <c r="AM84" s="255">
        <f t="shared" si="48"/>
        <v>2955550.9890073626</v>
      </c>
      <c r="AN84" s="255">
        <f t="shared" si="48"/>
        <v>2894855.8720846088</v>
      </c>
      <c r="AO84" s="255">
        <f t="shared" si="48"/>
        <v>3020619.2993804095</v>
      </c>
      <c r="AP84" s="255">
        <f t="shared" si="48"/>
        <v>3030202.4011285529</v>
      </c>
      <c r="AQ84" s="255">
        <f t="shared" si="48"/>
        <v>2953627.0672125351</v>
      </c>
      <c r="AR84" s="255">
        <f t="shared" si="48"/>
        <v>2791155.844607925</v>
      </c>
      <c r="AS84" s="255">
        <f t="shared" si="48"/>
        <v>3283773.4878174816</v>
      </c>
      <c r="AT84" s="255">
        <f>AT81-AT82-AT83</f>
        <v>3277307.997218417</v>
      </c>
      <c r="AU84" s="255">
        <v>3072080.3285201057</v>
      </c>
      <c r="AV84" s="255">
        <f t="shared" ref="AV84" si="49">AV81-AV82-AV83</f>
        <v>2995901.4291072669</v>
      </c>
    </row>
    <row r="85" spans="2:48">
      <c r="B85" s="246" t="s">
        <v>97</v>
      </c>
      <c r="AA85" s="256">
        <f>AA64+AA54+AA44+AA34+AA24+AA13+AA74</f>
        <v>889473.70743921748</v>
      </c>
      <c r="AB85" s="256">
        <f t="shared" ref="AB85:AP85" si="50">AB64+AB54+AB44+AB34+AB24+AB13+AB74</f>
        <v>1183603.5647628456</v>
      </c>
      <c r="AC85" s="256">
        <f t="shared" si="50"/>
        <v>953803.55278714758</v>
      </c>
      <c r="AD85" s="256">
        <f t="shared" si="50"/>
        <v>970280.37824009708</v>
      </c>
      <c r="AE85" s="256">
        <f t="shared" si="50"/>
        <v>846447.41919160739</v>
      </c>
      <c r="AF85" s="256">
        <f t="shared" si="50"/>
        <v>1801530.5080569126</v>
      </c>
      <c r="AG85" s="256">
        <f t="shared" si="50"/>
        <v>1960420.4829165428</v>
      </c>
      <c r="AH85" s="256">
        <f t="shared" si="50"/>
        <v>2032080.744027944</v>
      </c>
      <c r="AI85" s="256">
        <f t="shared" si="50"/>
        <v>2387167.9791950956</v>
      </c>
      <c r="AJ85" s="256">
        <f t="shared" si="50"/>
        <v>2399002.041654685</v>
      </c>
      <c r="AK85" s="256">
        <f t="shared" si="50"/>
        <v>2584641.5714675388</v>
      </c>
      <c r="AL85" s="256">
        <f t="shared" si="50"/>
        <v>2907141.9353822339</v>
      </c>
      <c r="AM85" s="256">
        <f>AM64+AM54+AM44+AM34+AM24+AM13+AM74</f>
        <v>2859390.3318355763</v>
      </c>
      <c r="AN85" s="256">
        <f t="shared" si="50"/>
        <v>2811725.3619944816</v>
      </c>
      <c r="AO85" s="256">
        <f t="shared" si="50"/>
        <v>2879727.1834262842</v>
      </c>
      <c r="AP85" s="256">
        <f t="shared" si="50"/>
        <v>2877601.2522887713</v>
      </c>
      <c r="AQ85" s="256">
        <f t="shared" ref="AQ85:AT85" si="51">AQ64+AQ54+AQ44+AQ34+AQ24+AQ13+AQ74</f>
        <v>2785695.305880947</v>
      </c>
      <c r="AR85" s="256">
        <f t="shared" si="51"/>
        <v>2628742.7459781235</v>
      </c>
      <c r="AS85" s="256">
        <f t="shared" si="51"/>
        <v>3126436.7398173185</v>
      </c>
      <c r="AT85" s="256">
        <f t="shared" si="51"/>
        <v>3121884.8570855167</v>
      </c>
      <c r="AU85" s="256">
        <v>3054485.21664281</v>
      </c>
      <c r="AV85" s="256">
        <f t="shared" ref="AV85" si="52">AV64+AV54+AV44+AV34+AV24+AV13+AV74</f>
        <v>2823079.3528872672</v>
      </c>
    </row>
    <row r="87" spans="2:48">
      <c r="AL87" s="255"/>
      <c r="AM87" s="255"/>
      <c r="AN87" s="255"/>
      <c r="AO87" s="255"/>
      <c r="AP87" s="255"/>
      <c r="AQ87" s="255"/>
      <c r="AR87" s="255"/>
      <c r="AS87" s="255"/>
      <c r="AT87" s="255"/>
      <c r="AU87" s="255"/>
      <c r="AV87" s="255"/>
    </row>
    <row r="89" spans="2:48">
      <c r="AJ89" s="210"/>
      <c r="AN89" s="210"/>
      <c r="AO89" s="210"/>
      <c r="AP89" s="210"/>
      <c r="AQ89" s="210"/>
      <c r="AR89" s="210"/>
      <c r="AS89" s="210"/>
      <c r="AT89" s="210"/>
      <c r="AU89" s="210"/>
      <c r="AV89" s="210"/>
    </row>
    <row r="90" spans="2:48">
      <c r="AJ90" s="250"/>
      <c r="AK90" s="250"/>
      <c r="AL90" s="250"/>
      <c r="AM90" s="250"/>
      <c r="AN90" s="250"/>
      <c r="AO90" s="250"/>
      <c r="AP90" s="250"/>
      <c r="AQ90" s="250"/>
      <c r="AR90" s="250"/>
      <c r="AS90" s="250"/>
      <c r="AT90" s="250"/>
      <c r="AU90" s="250"/>
      <c r="AV90" s="250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9" tint="0.79998168889431442"/>
  </sheetPr>
  <dimension ref="A6:AH36"/>
  <sheetViews>
    <sheetView showGridLines="0" zoomScaleNormal="100" workbookViewId="0">
      <pane xSplit="1" ySplit="7" topLeftCell="B8" activePane="bottomRight" state="frozen"/>
      <selection pane="topRight" activeCell="AN17" sqref="AN17"/>
      <selection pane="bottomLeft" activeCell="AN17" sqref="AN17"/>
      <selection pane="bottomRight" activeCell="K10" sqref="K10"/>
    </sheetView>
  </sheetViews>
  <sheetFormatPr defaultColWidth="8.7265625" defaultRowHeight="14.5"/>
  <cols>
    <col min="1" max="1" width="56.453125" customWidth="1"/>
    <col min="2" max="2" width="0.453125" customWidth="1"/>
  </cols>
  <sheetData>
    <row r="6" spans="1:34">
      <c r="A6" s="41" t="s">
        <v>436</v>
      </c>
      <c r="C6" s="457"/>
      <c r="D6" s="457"/>
      <c r="E6" s="457"/>
      <c r="F6" s="457"/>
      <c r="G6" s="457"/>
      <c r="H6" s="457"/>
      <c r="I6" s="457"/>
      <c r="J6" s="457"/>
      <c r="K6" s="457"/>
    </row>
    <row r="7" spans="1:34" ht="15" thickBot="1">
      <c r="A7" s="544" t="s">
        <v>585</v>
      </c>
      <c r="B7" s="134"/>
      <c r="C7" s="545" t="s">
        <v>48</v>
      </c>
      <c r="D7" s="545" t="s">
        <v>47</v>
      </c>
      <c r="E7" s="545" t="s">
        <v>48</v>
      </c>
      <c r="F7" s="545" t="s">
        <v>49</v>
      </c>
      <c r="G7" s="545" t="s">
        <v>50</v>
      </c>
      <c r="H7" s="549" t="s">
        <v>51</v>
      </c>
      <c r="I7" s="549" t="s">
        <v>52</v>
      </c>
      <c r="J7" s="549" t="s">
        <v>53</v>
      </c>
      <c r="K7" s="549" t="s">
        <v>54</v>
      </c>
      <c r="L7" s="458"/>
      <c r="M7" s="458"/>
      <c r="N7" s="458"/>
      <c r="O7" s="458"/>
      <c r="P7" s="458"/>
      <c r="Q7" s="458"/>
      <c r="R7" s="458"/>
      <c r="S7" s="458"/>
      <c r="T7" s="458"/>
      <c r="U7" s="458"/>
      <c r="V7" s="458"/>
      <c r="W7" s="459"/>
      <c r="X7" s="459"/>
      <c r="Y7" s="459"/>
      <c r="Z7" s="459"/>
      <c r="AA7" s="459"/>
      <c r="AB7" s="459"/>
      <c r="AC7" s="459"/>
      <c r="AD7" s="459"/>
      <c r="AE7" s="459"/>
      <c r="AF7" s="459"/>
      <c r="AG7" s="459"/>
      <c r="AH7" s="459"/>
    </row>
    <row r="8" spans="1:34" ht="15" thickBot="1">
      <c r="A8" s="497" t="s">
        <v>465</v>
      </c>
      <c r="B8" s="477"/>
      <c r="C8" s="498">
        <f t="shared" ref="C8:K8" si="0">SUM(C9:C11)</f>
        <v>51551</v>
      </c>
      <c r="D8" s="498">
        <f t="shared" si="0"/>
        <v>44566.494839999999</v>
      </c>
      <c r="E8" s="498">
        <f t="shared" si="0"/>
        <v>51259</v>
      </c>
      <c r="F8" s="498">
        <f t="shared" si="0"/>
        <v>42602</v>
      </c>
      <c r="G8" s="498">
        <f t="shared" si="0"/>
        <v>46014.587999999996</v>
      </c>
      <c r="H8" s="498">
        <f t="shared" si="0"/>
        <v>42267</v>
      </c>
      <c r="I8" s="498">
        <f t="shared" si="0"/>
        <v>33853</v>
      </c>
      <c r="J8" s="498">
        <f t="shared" si="0"/>
        <v>42846</v>
      </c>
      <c r="K8" s="498">
        <f t="shared" si="0"/>
        <v>61417</v>
      </c>
      <c r="L8" s="460"/>
      <c r="M8" s="460"/>
      <c r="N8" s="460"/>
      <c r="O8" s="460"/>
      <c r="P8" s="460"/>
      <c r="Q8" s="460"/>
      <c r="R8" s="460"/>
      <c r="S8" s="460"/>
      <c r="T8" s="460"/>
      <c r="U8" s="460"/>
      <c r="V8" s="460"/>
      <c r="W8" s="461"/>
      <c r="X8" s="461"/>
      <c r="Y8" s="461"/>
      <c r="Z8" s="461"/>
      <c r="AA8" s="461"/>
      <c r="AB8" s="461"/>
      <c r="AC8" s="461"/>
      <c r="AD8" s="461"/>
      <c r="AE8" s="461"/>
      <c r="AF8" s="461"/>
      <c r="AG8" s="461"/>
      <c r="AH8" s="461"/>
    </row>
    <row r="9" spans="1:34">
      <c r="A9" s="134" t="s">
        <v>655</v>
      </c>
      <c r="B9" s="142"/>
      <c r="C9" s="485">
        <v>20661</v>
      </c>
      <c r="D9" s="484">
        <v>13427.602750000004</v>
      </c>
      <c r="E9" s="484">
        <v>20660</v>
      </c>
      <c r="F9" s="484">
        <v>27047</v>
      </c>
      <c r="G9" s="484">
        <v>20634.053999999996</v>
      </c>
      <c r="H9" s="485">
        <v>18779</v>
      </c>
      <c r="I9" s="485">
        <v>17689</v>
      </c>
      <c r="J9" s="485">
        <v>21842</v>
      </c>
      <c r="K9" s="485">
        <v>22816</v>
      </c>
      <c r="L9" s="460"/>
      <c r="M9" s="460"/>
      <c r="N9" s="460"/>
      <c r="O9" s="460"/>
      <c r="P9" s="460"/>
      <c r="Q9" s="460"/>
      <c r="R9" s="460"/>
      <c r="S9" s="460"/>
      <c r="T9" s="460"/>
      <c r="U9" s="460"/>
      <c r="V9" s="460"/>
      <c r="W9" s="461"/>
      <c r="X9" s="461"/>
      <c r="Y9" s="461"/>
      <c r="Z9" s="461"/>
      <c r="AA9" s="461"/>
      <c r="AB9" s="461"/>
      <c r="AC9" s="461"/>
      <c r="AD9" s="461"/>
      <c r="AE9" s="461"/>
      <c r="AF9" s="461"/>
      <c r="AG9" s="461"/>
      <c r="AH9" s="461"/>
    </row>
    <row r="10" spans="1:34">
      <c r="A10" s="134" t="s">
        <v>470</v>
      </c>
      <c r="B10" s="134"/>
      <c r="C10" s="485">
        <v>30629</v>
      </c>
      <c r="D10" s="484">
        <v>31117.99584</v>
      </c>
      <c r="E10" s="484">
        <v>30338</v>
      </c>
      <c r="F10" s="484">
        <v>15219</v>
      </c>
      <c r="G10" s="484">
        <v>24571.663</v>
      </c>
      <c r="H10" s="485">
        <v>23013</v>
      </c>
      <c r="I10" s="485">
        <v>15161</v>
      </c>
      <c r="J10" s="485">
        <v>20198</v>
      </c>
      <c r="K10" s="485">
        <v>37765</v>
      </c>
    </row>
    <row r="11" spans="1:34" ht="15" thickBot="1">
      <c r="A11" s="134" t="s">
        <v>474</v>
      </c>
      <c r="B11" s="134"/>
      <c r="C11" s="485">
        <v>261</v>
      </c>
      <c r="D11" s="484">
        <v>20.896249999999998</v>
      </c>
      <c r="E11" s="484">
        <v>261</v>
      </c>
      <c r="F11" s="484">
        <v>336</v>
      </c>
      <c r="G11" s="484">
        <v>808.87100000000009</v>
      </c>
      <c r="H11" s="485">
        <v>475</v>
      </c>
      <c r="I11" s="485">
        <v>1003</v>
      </c>
      <c r="J11" s="485">
        <v>806</v>
      </c>
      <c r="K11" s="485">
        <v>836</v>
      </c>
    </row>
    <row r="12" spans="1:34" ht="15" thickBot="1">
      <c r="A12" s="499" t="s">
        <v>587</v>
      </c>
      <c r="B12" s="134"/>
      <c r="C12" s="500">
        <v>-2596</v>
      </c>
      <c r="D12" s="500">
        <v>-1242.0532599999999</v>
      </c>
      <c r="E12" s="500">
        <v>-2596</v>
      </c>
      <c r="F12" s="500">
        <v>-2533</v>
      </c>
      <c r="G12" s="500">
        <v>-1983.3980000000006</v>
      </c>
      <c r="H12" s="500">
        <v>-1777</v>
      </c>
      <c r="I12" s="500">
        <v>-3362</v>
      </c>
      <c r="J12" s="500">
        <v>-2087</v>
      </c>
      <c r="K12" s="500">
        <v>-2188</v>
      </c>
    </row>
    <row r="13" spans="1:34" ht="15" thickBot="1">
      <c r="A13" s="499" t="s">
        <v>491</v>
      </c>
      <c r="B13" s="134"/>
      <c r="C13" s="500">
        <f t="shared" ref="C13:K13" si="1">C8+C12</f>
        <v>48955</v>
      </c>
      <c r="D13" s="500">
        <f t="shared" si="1"/>
        <v>43324.441579999999</v>
      </c>
      <c r="E13" s="500">
        <f t="shared" si="1"/>
        <v>48663</v>
      </c>
      <c r="F13" s="500">
        <f t="shared" si="1"/>
        <v>40069</v>
      </c>
      <c r="G13" s="500">
        <f t="shared" si="1"/>
        <v>44031.189999999995</v>
      </c>
      <c r="H13" s="500">
        <f t="shared" si="1"/>
        <v>40490</v>
      </c>
      <c r="I13" s="500">
        <f t="shared" si="1"/>
        <v>30491</v>
      </c>
      <c r="J13" s="500">
        <f t="shared" si="1"/>
        <v>40759</v>
      </c>
      <c r="K13" s="500">
        <f t="shared" si="1"/>
        <v>59229</v>
      </c>
    </row>
    <row r="14" spans="1:34" ht="15" thickBot="1">
      <c r="A14" s="134" t="s">
        <v>591</v>
      </c>
      <c r="B14" s="477"/>
      <c r="C14" s="485">
        <v>-30629</v>
      </c>
      <c r="D14" s="484">
        <v>-31117.99584</v>
      </c>
      <c r="E14" s="484">
        <v>-30338</v>
      </c>
      <c r="F14" s="484">
        <f>-F10</f>
        <v>-15219</v>
      </c>
      <c r="G14" s="484">
        <v>-24571.999999999996</v>
      </c>
      <c r="H14" s="485">
        <v>-23013</v>
      </c>
      <c r="I14" s="485">
        <v>-15161</v>
      </c>
      <c r="J14" s="485">
        <v>-20198</v>
      </c>
      <c r="K14" s="485">
        <v>-37765</v>
      </c>
    </row>
    <row r="15" spans="1:34" ht="15" thickBot="1">
      <c r="A15" s="499" t="s">
        <v>593</v>
      </c>
      <c r="B15" s="134"/>
      <c r="C15" s="500">
        <f t="shared" ref="C15:I15" si="2">SUM(C13:C14)</f>
        <v>18326</v>
      </c>
      <c r="D15" s="500">
        <f t="shared" si="2"/>
        <v>12206.445739999999</v>
      </c>
      <c r="E15" s="500">
        <f t="shared" si="2"/>
        <v>18325</v>
      </c>
      <c r="F15" s="500">
        <f t="shared" si="2"/>
        <v>24850</v>
      </c>
      <c r="G15" s="500">
        <f t="shared" si="2"/>
        <v>19459.189999999999</v>
      </c>
      <c r="H15" s="500">
        <f t="shared" si="2"/>
        <v>17477</v>
      </c>
      <c r="I15" s="500">
        <f t="shared" si="2"/>
        <v>15330</v>
      </c>
      <c r="J15" s="500">
        <f t="shared" ref="J15:K15" si="3">SUM(J13:J14)</f>
        <v>20561</v>
      </c>
      <c r="K15" s="500">
        <f t="shared" si="3"/>
        <v>21464</v>
      </c>
    </row>
    <row r="16" spans="1:34" ht="15" thickBot="1">
      <c r="A16" s="499" t="s">
        <v>594</v>
      </c>
      <c r="B16" s="134"/>
      <c r="C16" s="500">
        <f t="shared" ref="C16:I16" si="4">SUM(C17:C23)</f>
        <v>-10301</v>
      </c>
      <c r="D16" s="500">
        <f t="shared" si="4"/>
        <v>-15900.402149999996</v>
      </c>
      <c r="E16" s="500">
        <f t="shared" si="4"/>
        <v>-10301</v>
      </c>
      <c r="F16" s="500">
        <f t="shared" si="4"/>
        <v>-23396</v>
      </c>
      <c r="G16" s="500">
        <f t="shared" si="4"/>
        <v>-28448.684000000001</v>
      </c>
      <c r="H16" s="500">
        <f t="shared" si="4"/>
        <v>-34110</v>
      </c>
      <c r="I16" s="500">
        <f t="shared" si="4"/>
        <v>-29139</v>
      </c>
      <c r="J16" s="500">
        <f t="shared" ref="J16:K16" si="5">SUM(J17:J23)</f>
        <v>-25960</v>
      </c>
      <c r="K16" s="500">
        <f t="shared" si="5"/>
        <v>-25129</v>
      </c>
    </row>
    <row r="17" spans="1:34">
      <c r="A17" s="134" t="s">
        <v>595</v>
      </c>
      <c r="B17" s="142"/>
      <c r="C17" s="142">
        <v>-4561</v>
      </c>
      <c r="D17" s="142">
        <v>-7536.9060199999985</v>
      </c>
      <c r="E17" s="142">
        <v>-4561</v>
      </c>
      <c r="F17" s="142">
        <v>-7833</v>
      </c>
      <c r="G17" s="142">
        <v>-7066.2919999999986</v>
      </c>
      <c r="H17" s="142">
        <v>-6925</v>
      </c>
      <c r="I17" s="142">
        <v>-7471</v>
      </c>
      <c r="J17" s="142">
        <v>-8453</v>
      </c>
      <c r="K17" s="142">
        <v>-5224</v>
      </c>
    </row>
    <row r="18" spans="1:34">
      <c r="A18" s="134" t="s">
        <v>596</v>
      </c>
      <c r="B18" s="142"/>
      <c r="C18" s="142">
        <v>-906</v>
      </c>
      <c r="D18" s="142">
        <v>-5999.1231899999993</v>
      </c>
      <c r="E18" s="142">
        <v>-906</v>
      </c>
      <c r="F18" s="142">
        <v>-3098</v>
      </c>
      <c r="G18" s="142">
        <v>-3822.9390000000008</v>
      </c>
      <c r="H18" s="142">
        <v>-3123</v>
      </c>
      <c r="I18" s="142">
        <v>-2972</v>
      </c>
      <c r="J18" s="142">
        <v>-2303</v>
      </c>
      <c r="K18" s="142">
        <v>-2477</v>
      </c>
    </row>
    <row r="19" spans="1:34">
      <c r="A19" s="134" t="s">
        <v>597</v>
      </c>
      <c r="B19" s="144"/>
      <c r="C19" s="142">
        <v>-542</v>
      </c>
      <c r="D19" s="142">
        <v>-1947.01694</v>
      </c>
      <c r="E19" s="142">
        <v>-542</v>
      </c>
      <c r="F19" s="142">
        <v>-2274</v>
      </c>
      <c r="G19" s="142">
        <v>-3313.9859999999999</v>
      </c>
      <c r="H19" s="142">
        <v>-4620</v>
      </c>
      <c r="I19" s="142">
        <v>-11836</v>
      </c>
      <c r="J19" s="142">
        <v>-3383</v>
      </c>
      <c r="K19" s="142">
        <v>-3761</v>
      </c>
    </row>
    <row r="20" spans="1:34">
      <c r="A20" s="134" t="s">
        <v>598</v>
      </c>
      <c r="B20" s="142"/>
      <c r="C20" s="142">
        <v>-20</v>
      </c>
      <c r="D20" s="142">
        <v>-12</v>
      </c>
      <c r="E20" s="142">
        <v>-20</v>
      </c>
      <c r="F20" s="142">
        <v>0</v>
      </c>
      <c r="G20" s="142">
        <v>0</v>
      </c>
      <c r="H20" s="142">
        <v>-38</v>
      </c>
      <c r="I20" s="142">
        <v>-393.90699999999924</v>
      </c>
      <c r="J20" s="142">
        <v>-8060</v>
      </c>
      <c r="K20" s="142">
        <v>-9246</v>
      </c>
    </row>
    <row r="21" spans="1:34">
      <c r="A21" s="134" t="s">
        <v>59</v>
      </c>
      <c r="B21" s="142"/>
      <c r="C21" s="142">
        <v>-4272</v>
      </c>
      <c r="D21" s="142">
        <v>-405.35599999999971</v>
      </c>
      <c r="E21" s="142">
        <v>-3337</v>
      </c>
      <c r="F21" s="142">
        <v>-3756</v>
      </c>
      <c r="G21" s="142">
        <v>-4399.5599999999995</v>
      </c>
      <c r="H21" s="142">
        <v>-3984</v>
      </c>
      <c r="I21" s="142">
        <v>-3021</v>
      </c>
      <c r="J21" s="142">
        <v>-3495</v>
      </c>
      <c r="K21" s="142">
        <v>-4485</v>
      </c>
      <c r="L21" s="460"/>
      <c r="M21" s="460"/>
      <c r="N21" s="460"/>
      <c r="O21" s="460"/>
      <c r="P21" s="460"/>
      <c r="Q21" s="460"/>
      <c r="R21" s="460"/>
      <c r="S21" s="460"/>
      <c r="T21" s="460"/>
      <c r="U21" s="460"/>
      <c r="V21" s="460"/>
      <c r="W21" s="461"/>
      <c r="X21" s="461"/>
      <c r="Y21" s="461"/>
      <c r="Z21" s="461"/>
      <c r="AA21" s="461"/>
      <c r="AB21" s="461"/>
      <c r="AC21" s="461"/>
      <c r="AD21" s="461"/>
      <c r="AE21" s="461"/>
      <c r="AF21" s="461"/>
      <c r="AG21" s="461"/>
      <c r="AH21" s="461"/>
    </row>
    <row r="22" spans="1:34">
      <c r="A22" s="134" t="s">
        <v>656</v>
      </c>
      <c r="B22" s="142"/>
      <c r="C22" s="142">
        <v>0</v>
      </c>
      <c r="D22" s="142"/>
      <c r="E22" s="142"/>
      <c r="F22" s="142">
        <v>-6283</v>
      </c>
      <c r="G22" s="142">
        <v>-9845.9069999999992</v>
      </c>
      <c r="H22" s="142">
        <v>-15420</v>
      </c>
      <c r="I22" s="142">
        <v>-3445.0930000000008</v>
      </c>
      <c r="J22" s="142">
        <v>-266</v>
      </c>
      <c r="K22" s="142">
        <v>64</v>
      </c>
      <c r="L22" s="460"/>
      <c r="M22" s="460"/>
      <c r="N22" s="460"/>
      <c r="O22" s="460"/>
      <c r="P22" s="460"/>
      <c r="Q22" s="460"/>
      <c r="R22" s="460"/>
      <c r="S22" s="460"/>
      <c r="T22" s="460"/>
      <c r="U22" s="460"/>
      <c r="V22" s="460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1"/>
    </row>
    <row r="23" spans="1:34">
      <c r="A23" s="134" t="s">
        <v>599</v>
      </c>
      <c r="B23" s="142"/>
      <c r="C23" s="142">
        <v>0</v>
      </c>
      <c r="D23" s="142">
        <v>0</v>
      </c>
      <c r="E23" s="142">
        <v>-935</v>
      </c>
      <c r="F23" s="142">
        <v>-152</v>
      </c>
      <c r="G23" s="142">
        <v>0</v>
      </c>
      <c r="H23" s="142"/>
      <c r="I23" s="142">
        <v>0</v>
      </c>
      <c r="J23" s="142">
        <v>0</v>
      </c>
      <c r="K23" s="142">
        <v>0</v>
      </c>
    </row>
    <row r="24" spans="1:34">
      <c r="A24" s="554" t="s">
        <v>529</v>
      </c>
      <c r="B24" s="142"/>
      <c r="C24" s="555">
        <f t="shared" ref="C24:K24" si="6">C15+C16</f>
        <v>8025</v>
      </c>
      <c r="D24" s="555">
        <f t="shared" si="6"/>
        <v>-3693.956409999997</v>
      </c>
      <c r="E24" s="555">
        <f t="shared" si="6"/>
        <v>8024</v>
      </c>
      <c r="F24" s="555">
        <f t="shared" si="6"/>
        <v>1454</v>
      </c>
      <c r="G24" s="555">
        <f t="shared" si="6"/>
        <v>-8989.4940000000024</v>
      </c>
      <c r="H24" s="555">
        <f t="shared" si="6"/>
        <v>-16633</v>
      </c>
      <c r="I24" s="555">
        <f t="shared" si="6"/>
        <v>-13809</v>
      </c>
      <c r="J24" s="555">
        <f t="shared" si="6"/>
        <v>-5399</v>
      </c>
      <c r="K24" s="555">
        <f t="shared" si="6"/>
        <v>-3665</v>
      </c>
    </row>
    <row r="25" spans="1:34">
      <c r="A25" s="137" t="s">
        <v>600</v>
      </c>
      <c r="B25" s="134"/>
      <c r="C25" s="142">
        <v>-73</v>
      </c>
      <c r="D25" s="142">
        <v>0</v>
      </c>
      <c r="E25" s="142">
        <v>-73</v>
      </c>
      <c r="F25" s="142">
        <v>-70</v>
      </c>
      <c r="G25" s="142">
        <v>-166.86699999999999</v>
      </c>
      <c r="H25" s="142">
        <v>-167</v>
      </c>
      <c r="I25" s="142">
        <v>-1657</v>
      </c>
      <c r="J25" s="142">
        <v>-500</v>
      </c>
      <c r="K25" s="142">
        <v>-625</v>
      </c>
    </row>
    <row r="26" spans="1:34" ht="15" thickBot="1">
      <c r="A26" s="501" t="s">
        <v>657</v>
      </c>
      <c r="B26" s="134"/>
      <c r="C26" s="142">
        <v>-6736</v>
      </c>
      <c r="D26" s="142">
        <v>-5763.4125000000004</v>
      </c>
      <c r="E26" s="142">
        <v>-6737</v>
      </c>
      <c r="F26" s="142">
        <v>-6736</v>
      </c>
      <c r="G26" s="142">
        <v>-6736.4560000000001</v>
      </c>
      <c r="H26" s="142">
        <v>-6736</v>
      </c>
      <c r="I26" s="142">
        <v>-6736</v>
      </c>
      <c r="J26" s="142">
        <v>-6736</v>
      </c>
      <c r="K26" s="142">
        <v>-6736</v>
      </c>
    </row>
    <row r="27" spans="1:34" ht="15" thickBot="1">
      <c r="A27" s="499" t="s">
        <v>601</v>
      </c>
      <c r="B27" s="134"/>
      <c r="C27" s="500">
        <f t="shared" ref="C27:I27" si="7">SUM(C24:C26)</f>
        <v>1216</v>
      </c>
      <c r="D27" s="500">
        <f t="shared" si="7"/>
        <v>-9457.3689099999974</v>
      </c>
      <c r="E27" s="500">
        <f t="shared" si="7"/>
        <v>1214</v>
      </c>
      <c r="F27" s="500">
        <f t="shared" si="7"/>
        <v>-5352</v>
      </c>
      <c r="G27" s="500">
        <f t="shared" si="7"/>
        <v>-15892.817000000003</v>
      </c>
      <c r="H27" s="500">
        <f t="shared" si="7"/>
        <v>-23536</v>
      </c>
      <c r="I27" s="500">
        <f t="shared" si="7"/>
        <v>-22202</v>
      </c>
      <c r="J27" s="500">
        <f t="shared" ref="J27:K27" si="8">SUM(J24:J26)</f>
        <v>-12635</v>
      </c>
      <c r="K27" s="500">
        <f t="shared" si="8"/>
        <v>-11026</v>
      </c>
    </row>
    <row r="28" spans="1:34" ht="15" thickBot="1">
      <c r="A28" s="499" t="s">
        <v>531</v>
      </c>
      <c r="B28" s="134"/>
      <c r="C28" s="500">
        <f t="shared" ref="C28:I28" si="9">SUM(C29:C30)</f>
        <v>-38836</v>
      </c>
      <c r="D28" s="500">
        <f t="shared" si="9"/>
        <v>-48590.698989999997</v>
      </c>
      <c r="E28" s="500">
        <f t="shared" si="9"/>
        <v>-38835</v>
      </c>
      <c r="F28" s="500">
        <f t="shared" si="9"/>
        <v>-42104</v>
      </c>
      <c r="G28" s="500">
        <f t="shared" si="9"/>
        <v>-41154.262999999999</v>
      </c>
      <c r="H28" s="500">
        <f t="shared" si="9"/>
        <v>-43183</v>
      </c>
      <c r="I28" s="500">
        <f t="shared" si="9"/>
        <v>-40756</v>
      </c>
      <c r="J28" s="500">
        <f t="shared" ref="J28:K28" si="10">SUM(J29:J30)</f>
        <v>-44295</v>
      </c>
      <c r="K28" s="500">
        <f t="shared" si="10"/>
        <v>-38057</v>
      </c>
    </row>
    <row r="29" spans="1:34">
      <c r="A29" s="137" t="s">
        <v>532</v>
      </c>
      <c r="B29" s="142"/>
      <c r="C29" s="142">
        <v>1660</v>
      </c>
      <c r="D29" s="142">
        <v>3780.6098199999997</v>
      </c>
      <c r="E29" s="142">
        <v>1660</v>
      </c>
      <c r="F29" s="142">
        <v>982</v>
      </c>
      <c r="G29" s="142">
        <v>670.79</v>
      </c>
      <c r="H29" s="142">
        <v>2238</v>
      </c>
      <c r="I29" s="142">
        <v>7936</v>
      </c>
      <c r="J29" s="142">
        <v>2963</v>
      </c>
      <c r="K29" s="142">
        <v>3378</v>
      </c>
      <c r="L29" s="468"/>
      <c r="M29" s="468"/>
      <c r="N29" s="468"/>
      <c r="O29" s="468"/>
      <c r="P29" s="468"/>
      <c r="Q29" s="468"/>
      <c r="R29" s="468"/>
      <c r="S29" s="468"/>
      <c r="T29" s="468"/>
      <c r="U29" s="468"/>
      <c r="V29" s="468"/>
      <c r="W29" s="469"/>
      <c r="X29" s="470"/>
      <c r="Y29" s="470"/>
      <c r="Z29" s="470"/>
      <c r="AA29" s="470"/>
      <c r="AB29" s="470"/>
      <c r="AC29" s="470"/>
      <c r="AD29" s="470"/>
      <c r="AE29" s="470"/>
      <c r="AF29" s="470"/>
      <c r="AG29" s="470"/>
      <c r="AH29" s="470"/>
    </row>
    <row r="30" spans="1:34" s="476" customFormat="1" ht="15" thickBot="1">
      <c r="A30" s="137" t="s">
        <v>541</v>
      </c>
      <c r="B30" s="142"/>
      <c r="C30" s="142">
        <v>-40496</v>
      </c>
      <c r="D30" s="142">
        <v>-52371.308809999995</v>
      </c>
      <c r="E30" s="142">
        <v>-40495</v>
      </c>
      <c r="F30" s="142">
        <v>-43086</v>
      </c>
      <c r="G30" s="142">
        <v>-41825.053</v>
      </c>
      <c r="H30" s="142">
        <v>-45421</v>
      </c>
      <c r="I30" s="142">
        <v>-48692</v>
      </c>
      <c r="J30" s="142">
        <v>-47258</v>
      </c>
      <c r="K30" s="142">
        <v>-41435</v>
      </c>
      <c r="L30" s="473"/>
      <c r="M30" s="473"/>
      <c r="N30" s="473"/>
      <c r="O30" s="473"/>
      <c r="P30" s="473"/>
      <c r="Q30" s="473"/>
      <c r="R30" s="473"/>
      <c r="S30" s="473"/>
      <c r="T30" s="473"/>
      <c r="U30" s="473"/>
      <c r="V30" s="473"/>
      <c r="W30" s="474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</row>
    <row r="31" spans="1:34" ht="15" thickBot="1">
      <c r="A31" s="499" t="s">
        <v>609</v>
      </c>
      <c r="B31" s="134"/>
      <c r="C31" s="500">
        <f t="shared" ref="C31:K31" si="11">SUM(C27:C28)</f>
        <v>-37620</v>
      </c>
      <c r="D31" s="500">
        <f t="shared" si="11"/>
        <v>-58048.067899999995</v>
      </c>
      <c r="E31" s="500">
        <f t="shared" si="11"/>
        <v>-37621</v>
      </c>
      <c r="F31" s="500">
        <f t="shared" si="11"/>
        <v>-47456</v>
      </c>
      <c r="G31" s="500">
        <f t="shared" si="11"/>
        <v>-57047.08</v>
      </c>
      <c r="H31" s="500">
        <f t="shared" si="11"/>
        <v>-66719</v>
      </c>
      <c r="I31" s="500">
        <f t="shared" si="11"/>
        <v>-62958</v>
      </c>
      <c r="J31" s="500">
        <f t="shared" si="11"/>
        <v>-56930</v>
      </c>
      <c r="K31" s="500">
        <f t="shared" si="11"/>
        <v>-49083</v>
      </c>
    </row>
    <row r="32" spans="1:34" s="476" customFormat="1">
      <c r="A32" s="137" t="s">
        <v>553</v>
      </c>
      <c r="B32" s="142"/>
      <c r="C32" s="142">
        <v>0</v>
      </c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480"/>
      <c r="M32" s="480"/>
      <c r="N32" s="480"/>
      <c r="O32" s="480"/>
      <c r="P32" s="480"/>
      <c r="Q32" s="480"/>
      <c r="R32" s="480"/>
      <c r="S32" s="480"/>
      <c r="T32" s="480"/>
      <c r="U32" s="480"/>
      <c r="V32" s="480"/>
      <c r="W32" s="481"/>
      <c r="X32" s="482"/>
      <c r="Y32" s="482"/>
      <c r="Z32" s="482"/>
      <c r="AA32" s="482"/>
      <c r="AB32" s="482"/>
      <c r="AC32" s="482"/>
      <c r="AD32" s="482"/>
      <c r="AE32" s="482"/>
      <c r="AF32" s="482"/>
      <c r="AG32" s="482"/>
      <c r="AH32" s="482"/>
    </row>
    <row r="33" spans="1:34">
      <c r="A33" s="137" t="s">
        <v>554</v>
      </c>
      <c r="B33" s="134"/>
      <c r="C33" s="142">
        <v>0</v>
      </c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</row>
    <row r="34" spans="1:34">
      <c r="A34" s="137" t="s">
        <v>603</v>
      </c>
      <c r="B34" s="142"/>
      <c r="C34" s="142">
        <v>0</v>
      </c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460"/>
      <c r="M34" s="460"/>
      <c r="N34" s="460"/>
      <c r="O34" s="460"/>
      <c r="P34" s="460"/>
      <c r="Q34" s="460"/>
      <c r="R34" s="460"/>
      <c r="S34" s="460"/>
      <c r="T34" s="460"/>
      <c r="U34" s="460"/>
      <c r="V34" s="460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</row>
    <row r="35" spans="1:34" ht="15" thickBot="1">
      <c r="A35" s="137" t="s">
        <v>555</v>
      </c>
      <c r="B35" s="142"/>
      <c r="C35" s="142">
        <v>0</v>
      </c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460"/>
      <c r="M35" s="460"/>
      <c r="N35" s="460"/>
      <c r="O35" s="460"/>
      <c r="P35" s="460"/>
      <c r="Q35" s="460"/>
      <c r="R35" s="460"/>
      <c r="S35" s="460"/>
      <c r="T35" s="460"/>
      <c r="U35" s="460"/>
      <c r="V35" s="460"/>
      <c r="W35" s="461"/>
      <c r="X35" s="461"/>
      <c r="Y35" s="461"/>
      <c r="Z35" s="461"/>
      <c r="AA35" s="461"/>
      <c r="AB35" s="461"/>
      <c r="AC35" s="461"/>
      <c r="AD35" s="461"/>
      <c r="AE35" s="461"/>
      <c r="AF35" s="461"/>
      <c r="AG35" s="461"/>
      <c r="AH35" s="461"/>
    </row>
    <row r="36" spans="1:34" ht="15" thickBot="1">
      <c r="A36" s="499" t="s">
        <v>604</v>
      </c>
      <c r="B36" s="134"/>
      <c r="C36" s="500">
        <f t="shared" ref="C36:K36" si="12">SUM(C31:C35)</f>
        <v>-37620</v>
      </c>
      <c r="D36" s="500">
        <f t="shared" si="12"/>
        <v>-58048.067899999995</v>
      </c>
      <c r="E36" s="500">
        <f t="shared" si="12"/>
        <v>-37621</v>
      </c>
      <c r="F36" s="500">
        <f t="shared" si="12"/>
        <v>-47456</v>
      </c>
      <c r="G36" s="500">
        <f t="shared" si="12"/>
        <v>-57047.08</v>
      </c>
      <c r="H36" s="500">
        <f t="shared" si="12"/>
        <v>-66719</v>
      </c>
      <c r="I36" s="500">
        <f t="shared" si="12"/>
        <v>-62958</v>
      </c>
      <c r="J36" s="500">
        <f t="shared" si="12"/>
        <v>-56930</v>
      </c>
      <c r="K36" s="500">
        <f t="shared" si="12"/>
        <v>-49083</v>
      </c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D8:J8" formulaRange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9" tint="0.79998168889431442"/>
  </sheetPr>
  <dimension ref="A6:AV37"/>
  <sheetViews>
    <sheetView showGridLines="0" zoomScaleNormal="100" workbookViewId="0">
      <pane xSplit="1" ySplit="7" topLeftCell="B8" activePane="bottomRight" state="frozen"/>
      <selection pane="topRight" activeCell="AN17" sqref="AN17"/>
      <selection pane="bottomLeft" activeCell="AN17" sqref="AN17"/>
      <selection pane="bottomRight" activeCell="AV9" sqref="AV9"/>
    </sheetView>
  </sheetViews>
  <sheetFormatPr defaultColWidth="9.1796875" defaultRowHeight="14.5" outlineLevelCol="1"/>
  <cols>
    <col min="1" max="1" width="44.453125" style="37" bestFit="1" customWidth="1"/>
    <col min="2" max="2" width="0.54296875" customWidth="1"/>
    <col min="3" max="38" width="0" style="37" hidden="1" customWidth="1" outlineLevel="1"/>
    <col min="39" max="39" width="9.1796875" style="37" collapsed="1"/>
    <col min="40" max="16384" width="9.1796875" style="37"/>
  </cols>
  <sheetData>
    <row r="6" spans="1:48">
      <c r="A6" s="41" t="s">
        <v>658</v>
      </c>
      <c r="B6" s="133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</row>
    <row r="7" spans="1:48" s="38" customFormat="1" ht="15" thickBot="1">
      <c r="A7" s="553" t="s">
        <v>659</v>
      </c>
      <c r="B7" s="552"/>
      <c r="C7" s="549" t="s">
        <v>9</v>
      </c>
      <c r="D7" s="549" t="s">
        <v>10</v>
      </c>
      <c r="E7" s="549" t="s">
        <v>11</v>
      </c>
      <c r="F7" s="549" t="s">
        <v>12</v>
      </c>
      <c r="G7" s="549" t="s">
        <v>13</v>
      </c>
      <c r="H7" s="549" t="s">
        <v>14</v>
      </c>
      <c r="I7" s="549" t="s">
        <v>15</v>
      </c>
      <c r="J7" s="549" t="s">
        <v>16</v>
      </c>
      <c r="K7" s="549" t="s">
        <v>17</v>
      </c>
      <c r="L7" s="549" t="s">
        <v>18</v>
      </c>
      <c r="M7" s="549" t="s">
        <v>19</v>
      </c>
      <c r="N7" s="549" t="s">
        <v>20</v>
      </c>
      <c r="O7" s="549" t="s">
        <v>21</v>
      </c>
      <c r="P7" s="549" t="s">
        <v>22</v>
      </c>
      <c r="Q7" s="549" t="s">
        <v>23</v>
      </c>
      <c r="R7" s="549" t="s">
        <v>24</v>
      </c>
      <c r="S7" s="549" t="s">
        <v>25</v>
      </c>
      <c r="T7" s="549" t="s">
        <v>26</v>
      </c>
      <c r="U7" s="549" t="s">
        <v>27</v>
      </c>
      <c r="V7" s="549" t="s">
        <v>28</v>
      </c>
      <c r="W7" s="549" t="s">
        <v>29</v>
      </c>
      <c r="X7" s="549" t="s">
        <v>30</v>
      </c>
      <c r="Y7" s="549" t="s">
        <v>31</v>
      </c>
      <c r="Z7" s="549" t="s">
        <v>32</v>
      </c>
      <c r="AA7" s="549" t="s">
        <v>33</v>
      </c>
      <c r="AB7" s="549" t="s">
        <v>34</v>
      </c>
      <c r="AC7" s="545" t="s">
        <v>35</v>
      </c>
      <c r="AD7" s="545" t="s">
        <v>36</v>
      </c>
      <c r="AE7" s="545" t="s">
        <v>37</v>
      </c>
      <c r="AF7" s="545" t="s">
        <v>38</v>
      </c>
      <c r="AG7" s="545" t="s">
        <v>39</v>
      </c>
      <c r="AH7" s="545" t="s">
        <v>40</v>
      </c>
      <c r="AI7" s="545" t="s">
        <v>41</v>
      </c>
      <c r="AJ7" s="545" t="s">
        <v>42</v>
      </c>
      <c r="AK7" s="545" t="s">
        <v>43</v>
      </c>
      <c r="AL7" s="545" t="s">
        <v>44</v>
      </c>
      <c r="AM7" s="545" t="s">
        <v>45</v>
      </c>
      <c r="AN7" s="545" t="s">
        <v>46</v>
      </c>
      <c r="AO7" s="545" t="s">
        <v>47</v>
      </c>
      <c r="AP7" s="545" t="s">
        <v>48</v>
      </c>
      <c r="AQ7" s="545" t="s">
        <v>49</v>
      </c>
      <c r="AR7" s="545" t="s">
        <v>50</v>
      </c>
      <c r="AS7" s="549" t="s">
        <v>51</v>
      </c>
      <c r="AT7" s="549" t="s">
        <v>52</v>
      </c>
      <c r="AU7" s="549" t="s">
        <v>53</v>
      </c>
      <c r="AV7" s="549" t="s">
        <v>54</v>
      </c>
    </row>
    <row r="8" spans="1:48" ht="15" thickBot="1">
      <c r="A8" s="140" t="s">
        <v>465</v>
      </c>
      <c r="B8" s="134"/>
      <c r="C8" s="141"/>
      <c r="D8" s="141"/>
      <c r="E8" s="141"/>
      <c r="F8" s="141"/>
      <c r="G8" s="141">
        <f t="shared" ref="G8:AN8" si="0">SUM(G9:G10)</f>
        <v>143571</v>
      </c>
      <c r="H8" s="141">
        <f t="shared" si="0"/>
        <v>190910</v>
      </c>
      <c r="I8" s="141">
        <f t="shared" si="0"/>
        <v>253252</v>
      </c>
      <c r="J8" s="141">
        <f t="shared" si="0"/>
        <v>332901</v>
      </c>
      <c r="K8" s="141">
        <f t="shared" si="0"/>
        <v>42056</v>
      </c>
      <c r="L8" s="141">
        <f t="shared" si="0"/>
        <v>121151</v>
      </c>
      <c r="M8" s="141">
        <f t="shared" si="0"/>
        <v>171690</v>
      </c>
      <c r="N8" s="141">
        <f t="shared" si="0"/>
        <v>231208</v>
      </c>
      <c r="O8" s="141">
        <f t="shared" si="0"/>
        <v>62362</v>
      </c>
      <c r="P8" s="141">
        <f t="shared" si="0"/>
        <v>97561</v>
      </c>
      <c r="Q8" s="141">
        <f t="shared" si="0"/>
        <v>169042</v>
      </c>
      <c r="R8" s="141">
        <f t="shared" si="0"/>
        <v>283075</v>
      </c>
      <c r="S8" s="141">
        <f t="shared" si="0"/>
        <v>58790</v>
      </c>
      <c r="T8" s="141">
        <f t="shared" si="0"/>
        <v>115719</v>
      </c>
      <c r="U8" s="141">
        <f t="shared" si="0"/>
        <v>121835</v>
      </c>
      <c r="V8" s="141">
        <f t="shared" si="0"/>
        <v>171503</v>
      </c>
      <c r="W8" s="141">
        <f t="shared" si="0"/>
        <v>130720</v>
      </c>
      <c r="X8" s="141">
        <f t="shared" si="0"/>
        <v>105307</v>
      </c>
      <c r="Y8" s="141">
        <f t="shared" si="0"/>
        <v>144641</v>
      </c>
      <c r="Z8" s="141">
        <f t="shared" si="0"/>
        <v>195119</v>
      </c>
      <c r="AA8" s="141">
        <f t="shared" si="0"/>
        <v>90096</v>
      </c>
      <c r="AB8" s="141">
        <f t="shared" si="0"/>
        <v>117758</v>
      </c>
      <c r="AC8" s="141">
        <f t="shared" si="0"/>
        <v>139181</v>
      </c>
      <c r="AD8" s="141">
        <f t="shared" si="0"/>
        <v>162220</v>
      </c>
      <c r="AE8" s="141">
        <f t="shared" si="0"/>
        <v>139537</v>
      </c>
      <c r="AF8" s="141">
        <f t="shared" si="0"/>
        <v>89528</v>
      </c>
      <c r="AG8" s="141">
        <f t="shared" si="0"/>
        <v>118037</v>
      </c>
      <c r="AH8" s="141">
        <f t="shared" si="0"/>
        <v>337597</v>
      </c>
      <c r="AI8" s="141">
        <f t="shared" si="0"/>
        <v>66910</v>
      </c>
      <c r="AJ8" s="141">
        <f t="shared" si="0"/>
        <v>90421</v>
      </c>
      <c r="AK8" s="141">
        <f t="shared" si="0"/>
        <v>140428</v>
      </c>
      <c r="AL8" s="141">
        <f t="shared" si="0"/>
        <v>128647</v>
      </c>
      <c r="AM8" s="141">
        <f t="shared" si="0"/>
        <v>77170</v>
      </c>
      <c r="AN8" s="141">
        <f t="shared" si="0"/>
        <v>107401</v>
      </c>
      <c r="AO8" s="141">
        <f t="shared" ref="AO8:AV8" si="1">SUM(AO9:AO10)</f>
        <v>122743</v>
      </c>
      <c r="AP8" s="141">
        <f t="shared" si="1"/>
        <v>127941</v>
      </c>
      <c r="AQ8" s="141">
        <f t="shared" si="1"/>
        <v>212054</v>
      </c>
      <c r="AR8" s="141">
        <f t="shared" si="1"/>
        <v>149185</v>
      </c>
      <c r="AS8" s="141">
        <f t="shared" si="1"/>
        <v>177588</v>
      </c>
      <c r="AT8" s="141">
        <f t="shared" si="1"/>
        <v>-48599</v>
      </c>
      <c r="AU8" s="141">
        <f t="shared" si="1"/>
        <v>186247</v>
      </c>
      <c r="AV8" s="141">
        <f t="shared" si="1"/>
        <v>183290</v>
      </c>
    </row>
    <row r="9" spans="1:48">
      <c r="A9" s="137" t="s">
        <v>586</v>
      </c>
      <c r="B9" s="134"/>
      <c r="C9" s="502"/>
      <c r="D9" s="502"/>
      <c r="E9" s="502"/>
      <c r="F9" s="502"/>
      <c r="G9" s="502">
        <v>142215</v>
      </c>
      <c r="H9" s="502">
        <v>190315</v>
      </c>
      <c r="I9" s="502">
        <v>251282</v>
      </c>
      <c r="J9" s="502">
        <v>328486</v>
      </c>
      <c r="K9" s="502">
        <v>40741</v>
      </c>
      <c r="L9" s="502">
        <v>118462</v>
      </c>
      <c r="M9" s="502">
        <v>168006</v>
      </c>
      <c r="N9" s="502">
        <v>214044</v>
      </c>
      <c r="O9" s="502">
        <v>48148</v>
      </c>
      <c r="P9" s="502">
        <v>71737</v>
      </c>
      <c r="Q9" s="502">
        <v>113670</v>
      </c>
      <c r="R9" s="502">
        <v>189846</v>
      </c>
      <c r="S9" s="502">
        <v>37245</v>
      </c>
      <c r="T9" s="502">
        <v>71106</v>
      </c>
      <c r="U9" s="502">
        <v>89037</v>
      </c>
      <c r="V9" s="502">
        <v>137879</v>
      </c>
      <c r="W9" s="502">
        <v>95259</v>
      </c>
      <c r="X9" s="502">
        <v>66779</v>
      </c>
      <c r="Y9" s="502">
        <v>106028</v>
      </c>
      <c r="Z9" s="502">
        <v>146456</v>
      </c>
      <c r="AA9" s="502">
        <v>44577</v>
      </c>
      <c r="AB9" s="502">
        <v>73789</v>
      </c>
      <c r="AC9" s="502">
        <v>79645</v>
      </c>
      <c r="AD9" s="502">
        <v>105079</v>
      </c>
      <c r="AE9" s="502">
        <v>88077</v>
      </c>
      <c r="AF9" s="502">
        <v>35162</v>
      </c>
      <c r="AG9" s="502">
        <v>67856</v>
      </c>
      <c r="AH9" s="502">
        <v>143773</v>
      </c>
      <c r="AI9" s="502">
        <v>38072</v>
      </c>
      <c r="AJ9" s="502">
        <v>68492</v>
      </c>
      <c r="AK9" s="502">
        <v>109989</v>
      </c>
      <c r="AL9" s="502">
        <v>111088</v>
      </c>
      <c r="AM9" s="502">
        <v>38604</v>
      </c>
      <c r="AN9" s="502">
        <v>62837</v>
      </c>
      <c r="AO9" s="502">
        <v>93728</v>
      </c>
      <c r="AP9" s="502">
        <v>107199</v>
      </c>
      <c r="AQ9" s="502">
        <v>69646</v>
      </c>
      <c r="AR9" s="502">
        <v>63533</v>
      </c>
      <c r="AS9" s="502">
        <v>67161</v>
      </c>
      <c r="AT9" s="502">
        <v>71358</v>
      </c>
      <c r="AU9" s="502">
        <v>78294</v>
      </c>
      <c r="AV9" s="502">
        <v>90271</v>
      </c>
    </row>
    <row r="10" spans="1:48" ht="15" thickBot="1">
      <c r="A10" s="137" t="s">
        <v>474</v>
      </c>
      <c r="B10" s="134"/>
      <c r="C10" s="502"/>
      <c r="D10" s="502"/>
      <c r="E10" s="502"/>
      <c r="F10" s="502"/>
      <c r="G10" s="502">
        <v>1356</v>
      </c>
      <c r="H10" s="502">
        <v>595</v>
      </c>
      <c r="I10" s="502">
        <v>1970</v>
      </c>
      <c r="J10" s="502">
        <v>4415</v>
      </c>
      <c r="K10" s="502">
        <v>1315</v>
      </c>
      <c r="L10" s="502">
        <v>2689</v>
      </c>
      <c r="M10" s="502">
        <v>3684</v>
      </c>
      <c r="N10" s="502">
        <v>17164</v>
      </c>
      <c r="O10" s="502">
        <v>14214</v>
      </c>
      <c r="P10" s="502">
        <v>25824</v>
      </c>
      <c r="Q10" s="502">
        <v>55372</v>
      </c>
      <c r="R10" s="502">
        <v>93229</v>
      </c>
      <c r="S10" s="502">
        <v>21545</v>
      </c>
      <c r="T10" s="502">
        <v>44613</v>
      </c>
      <c r="U10" s="502">
        <v>32798</v>
      </c>
      <c r="V10" s="502">
        <v>33624</v>
      </c>
      <c r="W10" s="502">
        <v>35461</v>
      </c>
      <c r="X10" s="502">
        <v>38528</v>
      </c>
      <c r="Y10" s="502">
        <v>38613</v>
      </c>
      <c r="Z10" s="502">
        <v>48663</v>
      </c>
      <c r="AA10" s="502">
        <v>45519</v>
      </c>
      <c r="AB10" s="502">
        <v>43969</v>
      </c>
      <c r="AC10" s="502">
        <v>59536</v>
      </c>
      <c r="AD10" s="502">
        <v>57141</v>
      </c>
      <c r="AE10" s="502">
        <v>51460</v>
      </c>
      <c r="AF10" s="502">
        <v>54366</v>
      </c>
      <c r="AG10" s="502">
        <v>50181</v>
      </c>
      <c r="AH10" s="502">
        <v>193824</v>
      </c>
      <c r="AI10" s="502">
        <v>28838</v>
      </c>
      <c r="AJ10" s="502">
        <v>21929</v>
      </c>
      <c r="AK10" s="502">
        <v>30439</v>
      </c>
      <c r="AL10" s="502">
        <v>17559</v>
      </c>
      <c r="AM10" s="502">
        <v>38566</v>
      </c>
      <c r="AN10" s="502">
        <v>44564</v>
      </c>
      <c r="AO10" s="502">
        <v>29015</v>
      </c>
      <c r="AP10" s="502">
        <v>20742</v>
      </c>
      <c r="AQ10" s="502">
        <v>142408</v>
      </c>
      <c r="AR10" s="502">
        <v>85652</v>
      </c>
      <c r="AS10" s="502">
        <v>110427</v>
      </c>
      <c r="AT10" s="502">
        <v>-119957</v>
      </c>
      <c r="AU10" s="502">
        <v>107953</v>
      </c>
      <c r="AV10" s="502">
        <v>93019</v>
      </c>
    </row>
    <row r="11" spans="1:48" ht="15" thickBot="1">
      <c r="A11" s="140" t="s">
        <v>587</v>
      </c>
      <c r="B11" s="134"/>
      <c r="C11" s="503"/>
      <c r="D11" s="503"/>
      <c r="E11" s="503"/>
      <c r="F11" s="503"/>
      <c r="G11" s="503">
        <v>-13237</v>
      </c>
      <c r="H11" s="503">
        <v>-17825</v>
      </c>
      <c r="I11" s="503">
        <v>-23567</v>
      </c>
      <c r="J11" s="503">
        <v>-30844</v>
      </c>
      <c r="K11" s="503">
        <v>-3977</v>
      </c>
      <c r="L11" s="503">
        <v>-11937</v>
      </c>
      <c r="M11" s="503">
        <v>-16695</v>
      </c>
      <c r="N11" s="503">
        <v>-22658</v>
      </c>
      <c r="O11" s="503">
        <v>-7140</v>
      </c>
      <c r="P11" s="503">
        <v>-11870</v>
      </c>
      <c r="Q11" s="503">
        <v>-21169</v>
      </c>
      <c r="R11" s="503">
        <v>-35155</v>
      </c>
      <c r="S11" s="503">
        <v>-7677</v>
      </c>
      <c r="T11" s="503">
        <v>-15218</v>
      </c>
      <c r="U11" s="503">
        <v>-14762</v>
      </c>
      <c r="V11" s="503">
        <v>-19523</v>
      </c>
      <c r="W11" s="503">
        <v>-16691</v>
      </c>
      <c r="X11" s="503">
        <v>-11969</v>
      </c>
      <c r="Y11" s="503">
        <v>-16916</v>
      </c>
      <c r="Z11" s="503">
        <v>-22677</v>
      </c>
      <c r="AA11" s="503">
        <v>-12436</v>
      </c>
      <c r="AB11" s="503">
        <v>-14967</v>
      </c>
      <c r="AC11" s="503">
        <v>-18032</v>
      </c>
      <c r="AD11" s="503">
        <v>-21685</v>
      </c>
      <c r="AE11" s="503">
        <v>-17380</v>
      </c>
      <c r="AF11" s="503">
        <v>-13004</v>
      </c>
      <c r="AG11" s="503">
        <v>-15551</v>
      </c>
      <c r="AH11" s="503">
        <v>-37239</v>
      </c>
      <c r="AI11" s="503">
        <v>-9558</v>
      </c>
      <c r="AJ11" s="503">
        <v>-9995</v>
      </c>
      <c r="AK11" s="503">
        <v>-14810</v>
      </c>
      <c r="AL11" s="503">
        <v>-9534</v>
      </c>
      <c r="AM11" s="503">
        <v>-9023</v>
      </c>
      <c r="AN11" s="503">
        <v>-11882</v>
      </c>
      <c r="AO11" s="503">
        <v>-13058</v>
      </c>
      <c r="AP11" s="503">
        <v>-32806</v>
      </c>
      <c r="AQ11" s="503">
        <v>-29162</v>
      </c>
      <c r="AR11" s="503">
        <v>-13710</v>
      </c>
      <c r="AS11" s="503">
        <v>-23624</v>
      </c>
      <c r="AT11" s="503">
        <v>-4965</v>
      </c>
      <c r="AU11" s="503">
        <v>-23269</v>
      </c>
      <c r="AV11" s="503">
        <v>-27979</v>
      </c>
    </row>
    <row r="12" spans="1:48" ht="15" thickBot="1">
      <c r="A12" s="140" t="s">
        <v>491</v>
      </c>
      <c r="B12" s="142"/>
      <c r="C12" s="141"/>
      <c r="D12" s="141"/>
      <c r="E12" s="141"/>
      <c r="F12" s="141"/>
      <c r="G12" s="141">
        <f t="shared" ref="G12:W12" si="2">G8+G11</f>
        <v>130334</v>
      </c>
      <c r="H12" s="141">
        <f t="shared" si="2"/>
        <v>173085</v>
      </c>
      <c r="I12" s="141">
        <f t="shared" si="2"/>
        <v>229685</v>
      </c>
      <c r="J12" s="141">
        <f t="shared" si="2"/>
        <v>302057</v>
      </c>
      <c r="K12" s="141">
        <f t="shared" si="2"/>
        <v>38079</v>
      </c>
      <c r="L12" s="141">
        <f t="shared" si="2"/>
        <v>109214</v>
      </c>
      <c r="M12" s="141">
        <f t="shared" si="2"/>
        <v>154995</v>
      </c>
      <c r="N12" s="141">
        <f t="shared" si="2"/>
        <v>208550</v>
      </c>
      <c r="O12" s="141">
        <f t="shared" si="2"/>
        <v>55222</v>
      </c>
      <c r="P12" s="141">
        <f t="shared" si="2"/>
        <v>85691</v>
      </c>
      <c r="Q12" s="141">
        <f t="shared" si="2"/>
        <v>147873</v>
      </c>
      <c r="R12" s="141">
        <f t="shared" si="2"/>
        <v>247920</v>
      </c>
      <c r="S12" s="141">
        <f t="shared" si="2"/>
        <v>51113</v>
      </c>
      <c r="T12" s="141">
        <f t="shared" si="2"/>
        <v>100501</v>
      </c>
      <c r="U12" s="141">
        <f t="shared" si="2"/>
        <v>107073</v>
      </c>
      <c r="V12" s="141">
        <f t="shared" si="2"/>
        <v>151980</v>
      </c>
      <c r="W12" s="141">
        <f t="shared" si="2"/>
        <v>114029</v>
      </c>
      <c r="X12" s="141">
        <f>X8+X11</f>
        <v>93338</v>
      </c>
      <c r="Y12" s="141">
        <f>Y8+Y11</f>
        <v>127725</v>
      </c>
      <c r="Z12" s="141">
        <f>Z8+Z11</f>
        <v>172442</v>
      </c>
      <c r="AA12" s="141">
        <f>AA8+AA11</f>
        <v>77660</v>
      </c>
      <c r="AB12" s="141">
        <f t="shared" ref="AB12:AG12" si="3">AB8+AB11</f>
        <v>102791</v>
      </c>
      <c r="AC12" s="141">
        <f t="shared" si="3"/>
        <v>121149</v>
      </c>
      <c r="AD12" s="141">
        <f t="shared" si="3"/>
        <v>140535</v>
      </c>
      <c r="AE12" s="141">
        <f t="shared" si="3"/>
        <v>122157</v>
      </c>
      <c r="AF12" s="141">
        <f t="shared" si="3"/>
        <v>76524</v>
      </c>
      <c r="AG12" s="141">
        <f t="shared" si="3"/>
        <v>102486</v>
      </c>
      <c r="AH12" s="141">
        <v>300358</v>
      </c>
      <c r="AI12" s="141">
        <v>57352</v>
      </c>
      <c r="AJ12" s="141">
        <f>AJ8+AJ11</f>
        <v>80426</v>
      </c>
      <c r="AK12" s="141">
        <f>AK8+AK11</f>
        <v>125618</v>
      </c>
      <c r="AL12" s="141">
        <v>119113</v>
      </c>
      <c r="AM12" s="141">
        <v>68147</v>
      </c>
      <c r="AN12" s="141">
        <f t="shared" ref="AN12:AS12" si="4">AN8+AN11</f>
        <v>95519</v>
      </c>
      <c r="AO12" s="141">
        <f t="shared" si="4"/>
        <v>109685</v>
      </c>
      <c r="AP12" s="141">
        <f t="shared" si="4"/>
        <v>95135</v>
      </c>
      <c r="AQ12" s="141">
        <f t="shared" si="4"/>
        <v>182892</v>
      </c>
      <c r="AR12" s="141">
        <f t="shared" si="4"/>
        <v>135475</v>
      </c>
      <c r="AS12" s="141">
        <f t="shared" si="4"/>
        <v>153964</v>
      </c>
      <c r="AT12" s="141">
        <f t="shared" ref="AT12:AU12" si="5">AT8+AT11</f>
        <v>-53564</v>
      </c>
      <c r="AU12" s="141">
        <f t="shared" si="5"/>
        <v>162978</v>
      </c>
      <c r="AV12" s="141">
        <f t="shared" ref="AV12" si="6">AV8+AV11</f>
        <v>155311</v>
      </c>
    </row>
    <row r="13" spans="1:48" ht="15" thickBot="1">
      <c r="A13" s="140" t="s">
        <v>588</v>
      </c>
      <c r="B13" s="142"/>
      <c r="C13" s="351"/>
      <c r="D13" s="351"/>
      <c r="E13" s="351"/>
      <c r="F13" s="351"/>
      <c r="G13" s="351">
        <f t="shared" ref="G13:AG13" si="7">G14</f>
        <v>-102975</v>
      </c>
      <c r="H13" s="351">
        <f t="shared" si="7"/>
        <v>-141926</v>
      </c>
      <c r="I13" s="351">
        <f t="shared" si="7"/>
        <v>-194255</v>
      </c>
      <c r="J13" s="351">
        <f t="shared" si="7"/>
        <v>-258059</v>
      </c>
      <c r="K13" s="351">
        <f t="shared" si="7"/>
        <v>-26472</v>
      </c>
      <c r="L13" s="351">
        <f t="shared" si="7"/>
        <v>-85707</v>
      </c>
      <c r="M13" s="351">
        <f t="shared" si="7"/>
        <v>-129564</v>
      </c>
      <c r="N13" s="351">
        <f t="shared" si="7"/>
        <v>-181338</v>
      </c>
      <c r="O13" s="351">
        <f t="shared" si="7"/>
        <v>-36617</v>
      </c>
      <c r="P13" s="351">
        <f t="shared" si="7"/>
        <v>-55348</v>
      </c>
      <c r="Q13" s="351">
        <f t="shared" si="7"/>
        <v>-89080</v>
      </c>
      <c r="R13" s="351">
        <f t="shared" si="7"/>
        <v>-154702</v>
      </c>
      <c r="S13" s="351">
        <f t="shared" si="7"/>
        <v>-29881</v>
      </c>
      <c r="T13" s="351">
        <f t="shared" si="7"/>
        <v>-41595</v>
      </c>
      <c r="U13" s="351">
        <f t="shared" si="7"/>
        <v>-85466</v>
      </c>
      <c r="V13" s="351">
        <f t="shared" si="7"/>
        <v>-124417</v>
      </c>
      <c r="W13" s="351">
        <f t="shared" si="7"/>
        <v>-99381</v>
      </c>
      <c r="X13" s="351">
        <f t="shared" si="7"/>
        <v>-81363</v>
      </c>
      <c r="Y13" s="351">
        <f t="shared" si="7"/>
        <v>-88482</v>
      </c>
      <c r="Z13" s="351">
        <f t="shared" si="7"/>
        <v>-123650</v>
      </c>
      <c r="AA13" s="351">
        <f t="shared" si="7"/>
        <v>-36889</v>
      </c>
      <c r="AB13" s="351">
        <f t="shared" si="7"/>
        <v>-59623</v>
      </c>
      <c r="AC13" s="351">
        <f t="shared" si="7"/>
        <v>-68359</v>
      </c>
      <c r="AD13" s="351">
        <f t="shared" si="7"/>
        <v>-88299</v>
      </c>
      <c r="AE13" s="351">
        <f t="shared" si="7"/>
        <v>-77589</v>
      </c>
      <c r="AF13" s="351">
        <f t="shared" si="7"/>
        <v>-31528</v>
      </c>
      <c r="AG13" s="351">
        <f t="shared" si="7"/>
        <v>-60243</v>
      </c>
      <c r="AH13" s="351">
        <v>-123405</v>
      </c>
      <c r="AI13" s="351">
        <f>AI14</f>
        <v>-33789</v>
      </c>
      <c r="AJ13" s="351">
        <v>-56195</v>
      </c>
      <c r="AK13" s="351">
        <f>AK14</f>
        <v>-95048</v>
      </c>
      <c r="AL13" s="351">
        <f>AL14</f>
        <v>-93991</v>
      </c>
      <c r="AM13" s="351">
        <v>-34223</v>
      </c>
      <c r="AN13" s="351">
        <f t="shared" ref="AN13:AV13" si="8">AN14</f>
        <v>-55325</v>
      </c>
      <c r="AO13" s="351">
        <f t="shared" si="8"/>
        <v>-83924</v>
      </c>
      <c r="AP13" s="351">
        <f t="shared" si="8"/>
        <v>-71938</v>
      </c>
      <c r="AQ13" s="351">
        <f t="shared" si="8"/>
        <v>-50218</v>
      </c>
      <c r="AR13" s="351">
        <f t="shared" si="8"/>
        <v>-45849</v>
      </c>
      <c r="AS13" s="351">
        <f t="shared" si="8"/>
        <v>-52339</v>
      </c>
      <c r="AT13" s="351">
        <f t="shared" si="8"/>
        <v>-63456</v>
      </c>
      <c r="AU13" s="351">
        <f t="shared" si="8"/>
        <v>-65322</v>
      </c>
      <c r="AV13" s="351">
        <f t="shared" si="8"/>
        <v>-84991</v>
      </c>
    </row>
    <row r="14" spans="1:48" ht="15" thickBot="1">
      <c r="A14" s="137" t="s">
        <v>589</v>
      </c>
      <c r="B14" s="142"/>
      <c r="C14" s="502"/>
      <c r="D14" s="502"/>
      <c r="E14" s="502"/>
      <c r="F14" s="502"/>
      <c r="G14" s="502">
        <v>-102975</v>
      </c>
      <c r="H14" s="502">
        <v>-141926</v>
      </c>
      <c r="I14" s="502">
        <v>-194255</v>
      </c>
      <c r="J14" s="502">
        <v>-258059</v>
      </c>
      <c r="K14" s="502">
        <v>-26472</v>
      </c>
      <c r="L14" s="502">
        <v>-85707</v>
      </c>
      <c r="M14" s="502">
        <v>-129564</v>
      </c>
      <c r="N14" s="502">
        <v>-181338</v>
      </c>
      <c r="O14" s="502">
        <v>-36617</v>
      </c>
      <c r="P14" s="502">
        <v>-55348</v>
      </c>
      <c r="Q14" s="502">
        <v>-89080</v>
      </c>
      <c r="R14" s="502">
        <v>-154702</v>
      </c>
      <c r="S14" s="502">
        <v>-29881</v>
      </c>
      <c r="T14" s="502">
        <v>-41595</v>
      </c>
      <c r="U14" s="502">
        <v>-85466</v>
      </c>
      <c r="V14" s="502">
        <v>-124417</v>
      </c>
      <c r="W14" s="502">
        <v>-99381</v>
      </c>
      <c r="X14" s="502">
        <v>-81363</v>
      </c>
      <c r="Y14" s="502">
        <v>-88482</v>
      </c>
      <c r="Z14" s="502">
        <v>-123650</v>
      </c>
      <c r="AA14" s="502">
        <f>-36.889*1000</f>
        <v>-36889</v>
      </c>
      <c r="AB14" s="502">
        <v>-59623</v>
      </c>
      <c r="AC14" s="502">
        <v>-68359</v>
      </c>
      <c r="AD14" s="502">
        <v>-88299</v>
      </c>
      <c r="AE14" s="502">
        <v>-77589</v>
      </c>
      <c r="AF14" s="502">
        <v>-31528</v>
      </c>
      <c r="AG14" s="502">
        <v>-60243</v>
      </c>
      <c r="AH14" s="502">
        <v>-123405</v>
      </c>
      <c r="AI14" s="502">
        <v>-33789</v>
      </c>
      <c r="AJ14" s="502">
        <v>-56195</v>
      </c>
      <c r="AK14" s="502">
        <v>-95048</v>
      </c>
      <c r="AL14" s="502">
        <v>-93991</v>
      </c>
      <c r="AM14" s="502">
        <v>-34223</v>
      </c>
      <c r="AN14" s="502">
        <v>-55325</v>
      </c>
      <c r="AO14" s="502">
        <v>-83924</v>
      </c>
      <c r="AP14" s="502">
        <v>-71938</v>
      </c>
      <c r="AQ14" s="502">
        <v>-50218</v>
      </c>
      <c r="AR14" s="502">
        <v>-45849</v>
      </c>
      <c r="AS14" s="502">
        <v>-52339</v>
      </c>
      <c r="AT14" s="502">
        <v>-63456</v>
      </c>
      <c r="AU14" s="502">
        <v>-65322</v>
      </c>
      <c r="AV14" s="502">
        <v>-84991</v>
      </c>
    </row>
    <row r="15" spans="1:48" ht="15" thickBot="1">
      <c r="A15" s="140" t="s">
        <v>594</v>
      </c>
      <c r="B15" s="142"/>
      <c r="C15" s="141"/>
      <c r="D15" s="141"/>
      <c r="E15" s="141"/>
      <c r="F15" s="141"/>
      <c r="G15" s="141">
        <f t="shared" ref="G15:V15" si="9">SUM(G16:G20)</f>
        <v>-2289</v>
      </c>
      <c r="H15" s="141">
        <f t="shared" si="9"/>
        <v>-4397</v>
      </c>
      <c r="I15" s="141">
        <f t="shared" si="9"/>
        <v>-5422</v>
      </c>
      <c r="J15" s="141">
        <f t="shared" si="9"/>
        <v>-8024</v>
      </c>
      <c r="K15" s="141">
        <f t="shared" si="9"/>
        <v>-1813</v>
      </c>
      <c r="L15" s="141">
        <f t="shared" si="9"/>
        <v>-4530</v>
      </c>
      <c r="M15" s="141">
        <f t="shared" si="9"/>
        <v>-9086</v>
      </c>
      <c r="N15" s="141">
        <f t="shared" si="9"/>
        <v>-16730</v>
      </c>
      <c r="O15" s="141">
        <f t="shared" si="9"/>
        <v>-12741</v>
      </c>
      <c r="P15" s="141">
        <f t="shared" si="9"/>
        <v>-21854</v>
      </c>
      <c r="Q15" s="141">
        <f t="shared" si="9"/>
        <v>-44690</v>
      </c>
      <c r="R15" s="141">
        <f t="shared" si="9"/>
        <v>-72163</v>
      </c>
      <c r="S15" s="141">
        <f t="shared" si="9"/>
        <v>-15300</v>
      </c>
      <c r="T15" s="141">
        <f t="shared" si="9"/>
        <v>-41374</v>
      </c>
      <c r="U15" s="141">
        <f t="shared" si="9"/>
        <v>-10442</v>
      </c>
      <c r="V15" s="141">
        <f t="shared" si="9"/>
        <v>-10884</v>
      </c>
      <c r="W15" s="141">
        <f>SUM(W16:W20)</f>
        <v>-4607</v>
      </c>
      <c r="X15" s="141">
        <f>SUM(X16:X20)</f>
        <v>-5658</v>
      </c>
      <c r="Y15" s="141">
        <f>SUM(Y16:Y20)</f>
        <v>-31311</v>
      </c>
      <c r="Z15" s="141">
        <f>SUM(Z16:Z20)</f>
        <v>-30667</v>
      </c>
      <c r="AA15" s="141">
        <f>SUM(AA16:AA20)</f>
        <v>-30653</v>
      </c>
      <c r="AB15" s="141">
        <v>-32942</v>
      </c>
      <c r="AC15" s="141">
        <v>-31729</v>
      </c>
      <c r="AD15" s="141">
        <v>-34991</v>
      </c>
      <c r="AE15" s="141">
        <v>-33845</v>
      </c>
      <c r="AF15" s="141">
        <f>SUM(AF16:AF20)</f>
        <v>-28041</v>
      </c>
      <c r="AG15" s="141">
        <f>SUM(AG16:AG20)</f>
        <v>-26861</v>
      </c>
      <c r="AH15" s="141">
        <v>-37157</v>
      </c>
      <c r="AI15" s="141">
        <f t="shared" ref="AI15:AL15" si="10">SUM(AI16:AI20)</f>
        <v>-14945</v>
      </c>
      <c r="AJ15" s="141">
        <f t="shared" si="10"/>
        <v>-17625</v>
      </c>
      <c r="AK15" s="141">
        <f t="shared" si="10"/>
        <v>-19049</v>
      </c>
      <c r="AL15" s="141">
        <f t="shared" si="10"/>
        <v>-44251</v>
      </c>
      <c r="AM15" s="141">
        <f t="shared" ref="AM15:AT15" si="11">SUM(AM16:AM21)</f>
        <v>-30075</v>
      </c>
      <c r="AN15" s="141">
        <f t="shared" si="11"/>
        <v>-32174</v>
      </c>
      <c r="AO15" s="141">
        <f t="shared" si="11"/>
        <v>-30613</v>
      </c>
      <c r="AP15" s="141">
        <f t="shared" si="11"/>
        <v>-57517</v>
      </c>
      <c r="AQ15" s="141">
        <f t="shared" si="11"/>
        <v>-46830</v>
      </c>
      <c r="AR15" s="141">
        <f t="shared" si="11"/>
        <v>-47592</v>
      </c>
      <c r="AS15" s="141">
        <f t="shared" si="11"/>
        <v>-55516</v>
      </c>
      <c r="AT15" s="141">
        <f t="shared" si="11"/>
        <v>-59709</v>
      </c>
      <c r="AU15" s="141">
        <f>SUM(AU16:AU21)</f>
        <v>-67655</v>
      </c>
      <c r="AV15" s="141">
        <f>SUM(AV16:AV21)</f>
        <v>-61165</v>
      </c>
    </row>
    <row r="16" spans="1:48">
      <c r="A16" s="137" t="s">
        <v>595</v>
      </c>
      <c r="B16" s="142"/>
      <c r="C16" s="502"/>
      <c r="D16" s="502"/>
      <c r="E16" s="502"/>
      <c r="F16" s="502"/>
      <c r="G16" s="502">
        <v>-1198</v>
      </c>
      <c r="H16" s="502">
        <v>-2218</v>
      </c>
      <c r="I16" s="502">
        <v>-3214</v>
      </c>
      <c r="J16" s="502">
        <v>-4489</v>
      </c>
      <c r="K16" s="502">
        <v>-967</v>
      </c>
      <c r="L16" s="502">
        <v>-1522</v>
      </c>
      <c r="M16" s="502">
        <v>-4179</v>
      </c>
      <c r="N16" s="502">
        <v>-11817</v>
      </c>
      <c r="O16" s="502">
        <v>-10174</v>
      </c>
      <c r="P16" s="502">
        <v>-17922</v>
      </c>
      <c r="Q16" s="502">
        <v>-36445</v>
      </c>
      <c r="R16" s="502">
        <v>-58185</v>
      </c>
      <c r="S16" s="502">
        <v>-12711</v>
      </c>
      <c r="T16" s="502">
        <v>-38055</v>
      </c>
      <c r="U16" s="502">
        <v>-8608</v>
      </c>
      <c r="V16" s="502">
        <v>-8156</v>
      </c>
      <c r="W16" s="502">
        <v>-2442</v>
      </c>
      <c r="X16" s="502">
        <v>-2422</v>
      </c>
      <c r="Y16" s="502">
        <v>-23159.5</v>
      </c>
      <c r="Z16" s="502">
        <v>-21589</v>
      </c>
      <c r="AA16" s="502">
        <v>-23350</v>
      </c>
      <c r="AB16" s="502">
        <v>-24630</v>
      </c>
      <c r="AC16" s="502">
        <v>-23503</v>
      </c>
      <c r="AD16" s="502">
        <v>-24376</v>
      </c>
      <c r="AE16" s="502">
        <v>-25064</v>
      </c>
      <c r="AF16" s="502">
        <v>-21330</v>
      </c>
      <c r="AG16" s="502">
        <v>-20907</v>
      </c>
      <c r="AH16" s="502">
        <v>-27516</v>
      </c>
      <c r="AI16" s="502">
        <v>-11201</v>
      </c>
      <c r="AJ16" s="502">
        <v>-11744</v>
      </c>
      <c r="AK16" s="502">
        <v>-11312</v>
      </c>
      <c r="AL16" s="502">
        <v>-17813</v>
      </c>
      <c r="AM16" s="502">
        <v>-17726</v>
      </c>
      <c r="AN16" s="502">
        <v>-21445</v>
      </c>
      <c r="AO16" s="502">
        <v>-20952</v>
      </c>
      <c r="AP16" s="502">
        <v>-23077</v>
      </c>
      <c r="AQ16" s="502">
        <v>-29338</v>
      </c>
      <c r="AR16" s="502">
        <v>-28815</v>
      </c>
      <c r="AS16" s="502">
        <v>-31233</v>
      </c>
      <c r="AT16" s="502">
        <v>-31314</v>
      </c>
      <c r="AU16" s="502">
        <v>-38896</v>
      </c>
      <c r="AV16" s="502">
        <v>-35084</v>
      </c>
    </row>
    <row r="17" spans="1:48">
      <c r="A17" s="137" t="s">
        <v>596</v>
      </c>
      <c r="B17" s="142"/>
      <c r="C17" s="502"/>
      <c r="D17" s="502"/>
      <c r="E17" s="502"/>
      <c r="F17" s="502"/>
      <c r="G17" s="502">
        <v>-8</v>
      </c>
      <c r="H17" s="502">
        <v>-16</v>
      </c>
      <c r="I17" s="502">
        <v>-22</v>
      </c>
      <c r="J17" s="502">
        <v>-26</v>
      </c>
      <c r="K17" s="502">
        <v>-2</v>
      </c>
      <c r="L17" s="502">
        <v>-2023</v>
      </c>
      <c r="M17" s="502">
        <v>-2987</v>
      </c>
      <c r="N17" s="502">
        <v>-2571</v>
      </c>
      <c r="O17" s="502">
        <v>-884</v>
      </c>
      <c r="P17" s="502">
        <v>-227</v>
      </c>
      <c r="Q17" s="502">
        <v>-558</v>
      </c>
      <c r="R17" s="502">
        <v>-1937</v>
      </c>
      <c r="S17" s="502">
        <v>-233</v>
      </c>
      <c r="T17" s="502">
        <v>-320</v>
      </c>
      <c r="U17" s="502">
        <v>-152</v>
      </c>
      <c r="V17" s="502">
        <v>156</v>
      </c>
      <c r="W17" s="502">
        <v>-59</v>
      </c>
      <c r="X17" s="502">
        <v>1</v>
      </c>
      <c r="Y17" s="502">
        <v>-983.5</v>
      </c>
      <c r="Z17" s="502">
        <v>-713</v>
      </c>
      <c r="AA17" s="502">
        <v>-576</v>
      </c>
      <c r="AB17" s="502">
        <v>-1287</v>
      </c>
      <c r="AC17" s="502">
        <v>-1103</v>
      </c>
      <c r="AD17" s="502">
        <v>-1427</v>
      </c>
      <c r="AE17" s="502">
        <v>-1438</v>
      </c>
      <c r="AF17" s="502">
        <v>-982</v>
      </c>
      <c r="AG17" s="502">
        <v>-1246</v>
      </c>
      <c r="AH17" s="502">
        <v>-1331</v>
      </c>
      <c r="AI17" s="502">
        <v>-525</v>
      </c>
      <c r="AJ17" s="502">
        <v>-405</v>
      </c>
      <c r="AK17" s="502">
        <v>-1802</v>
      </c>
      <c r="AL17" s="502">
        <v>-12320</v>
      </c>
      <c r="AM17" s="502">
        <v>-6277</v>
      </c>
      <c r="AN17" s="502">
        <v>-853</v>
      </c>
      <c r="AO17" s="502">
        <v>-1033</v>
      </c>
      <c r="AP17" s="502">
        <v>-17598</v>
      </c>
      <c r="AQ17" s="502">
        <v>-3087</v>
      </c>
      <c r="AR17" s="502">
        <v>-8062</v>
      </c>
      <c r="AS17" s="502">
        <v>-3259</v>
      </c>
      <c r="AT17" s="502">
        <v>-1512</v>
      </c>
      <c r="AU17" s="502">
        <v>-1460</v>
      </c>
      <c r="AV17" s="502">
        <v>-830</v>
      </c>
    </row>
    <row r="18" spans="1:48">
      <c r="A18" s="137" t="s">
        <v>597</v>
      </c>
      <c r="B18" s="142"/>
      <c r="C18" s="502"/>
      <c r="D18" s="502"/>
      <c r="E18" s="502"/>
      <c r="F18" s="502"/>
      <c r="G18" s="502">
        <v>-578</v>
      </c>
      <c r="H18" s="502">
        <v>-2071</v>
      </c>
      <c r="I18" s="502">
        <v>-2032</v>
      </c>
      <c r="J18" s="502">
        <v>-3173</v>
      </c>
      <c r="K18" s="502">
        <v>-733</v>
      </c>
      <c r="L18" s="502">
        <v>-416</v>
      </c>
      <c r="M18" s="502">
        <v>-707</v>
      </c>
      <c r="N18" s="502">
        <v>-1066</v>
      </c>
      <c r="O18" s="502">
        <v>-525</v>
      </c>
      <c r="P18" s="502">
        <v>-1819</v>
      </c>
      <c r="Q18" s="502">
        <v>-3377</v>
      </c>
      <c r="R18" s="502">
        <v>-5351</v>
      </c>
      <c r="S18" s="502">
        <v>-949</v>
      </c>
      <c r="T18" s="502">
        <v>-2768</v>
      </c>
      <c r="U18" s="502">
        <v>-1394</v>
      </c>
      <c r="V18" s="502">
        <v>-1087</v>
      </c>
      <c r="W18" s="502">
        <v>-1839</v>
      </c>
      <c r="X18" s="502">
        <v>-733</v>
      </c>
      <c r="Y18" s="502">
        <v>-2597</v>
      </c>
      <c r="Z18" s="502">
        <v>-2944</v>
      </c>
      <c r="AA18" s="502">
        <v>-2058</v>
      </c>
      <c r="AB18" s="502">
        <v>-2511</v>
      </c>
      <c r="AC18" s="502">
        <v>-2216</v>
      </c>
      <c r="AD18" s="502">
        <v>-2646</v>
      </c>
      <c r="AE18" s="502">
        <v>-2323</v>
      </c>
      <c r="AF18" s="502">
        <v>-1684</v>
      </c>
      <c r="AG18" s="502">
        <v>-712</v>
      </c>
      <c r="AH18" s="502">
        <v>-2372</v>
      </c>
      <c r="AI18" s="502">
        <v>-557</v>
      </c>
      <c r="AJ18" s="502">
        <v>-2916</v>
      </c>
      <c r="AK18" s="502">
        <v>-1694</v>
      </c>
      <c r="AL18" s="502">
        <v>-3460</v>
      </c>
      <c r="AM18" s="502">
        <v>-2668</v>
      </c>
      <c r="AN18" s="502">
        <v>-3051</v>
      </c>
      <c r="AO18" s="502">
        <v>-4291</v>
      </c>
      <c r="AP18" s="502">
        <v>-4747</v>
      </c>
      <c r="AQ18" s="502">
        <v>-2560</v>
      </c>
      <c r="AR18" s="502">
        <v>-442</v>
      </c>
      <c r="AS18" s="502">
        <v>-2848</v>
      </c>
      <c r="AT18" s="502">
        <v>2902</v>
      </c>
      <c r="AU18" s="502">
        <v>-3870</v>
      </c>
      <c r="AV18" s="502">
        <v>-404</v>
      </c>
    </row>
    <row r="19" spans="1:48">
      <c r="A19" s="137" t="s">
        <v>598</v>
      </c>
      <c r="B19" s="142"/>
      <c r="C19" s="502"/>
      <c r="D19" s="502"/>
      <c r="E19" s="502"/>
      <c r="F19" s="502"/>
      <c r="G19" s="502">
        <v>0</v>
      </c>
      <c r="H19" s="502">
        <v>0</v>
      </c>
      <c r="I19" s="502">
        <v>0</v>
      </c>
      <c r="J19" s="502">
        <v>0</v>
      </c>
      <c r="K19" s="502">
        <v>0</v>
      </c>
      <c r="L19" s="502">
        <v>0</v>
      </c>
      <c r="M19" s="502">
        <v>0</v>
      </c>
      <c r="N19" s="502">
        <v>0</v>
      </c>
      <c r="O19" s="502">
        <v>-97</v>
      </c>
      <c r="P19" s="502">
        <v>0</v>
      </c>
      <c r="Q19" s="502">
        <v>0</v>
      </c>
      <c r="R19" s="502">
        <v>0</v>
      </c>
      <c r="S19" s="502">
        <v>0</v>
      </c>
      <c r="T19" s="502">
        <v>-52</v>
      </c>
      <c r="U19" s="502">
        <v>9</v>
      </c>
      <c r="V19" s="502">
        <v>-1104</v>
      </c>
      <c r="W19" s="502">
        <v>-96</v>
      </c>
      <c r="X19" s="502">
        <v>-237</v>
      </c>
      <c r="Y19" s="502">
        <v>-413</v>
      </c>
      <c r="Z19" s="502">
        <v>597</v>
      </c>
      <c r="AA19" s="502">
        <v>-217</v>
      </c>
      <c r="AB19" s="502">
        <v>-144</v>
      </c>
      <c r="AC19" s="502">
        <v>-125</v>
      </c>
      <c r="AD19" s="502">
        <v>-312</v>
      </c>
      <c r="AE19" s="502">
        <v>-202</v>
      </c>
      <c r="AF19" s="502">
        <v>-229</v>
      </c>
      <c r="AG19" s="502"/>
      <c r="AH19" s="502">
        <v>-199</v>
      </c>
      <c r="AI19" s="502">
        <v>-686</v>
      </c>
      <c r="AJ19" s="502">
        <v>-218</v>
      </c>
      <c r="AK19" s="502">
        <v>-162</v>
      </c>
      <c r="AL19" s="502"/>
      <c r="AM19" s="502"/>
      <c r="AN19" s="502">
        <v>-2056</v>
      </c>
      <c r="AO19" s="502">
        <v>-297</v>
      </c>
      <c r="AP19" s="502">
        <v>-157</v>
      </c>
      <c r="AQ19" s="502">
        <v>-894</v>
      </c>
      <c r="AR19" s="502">
        <v>116</v>
      </c>
      <c r="AS19" s="502">
        <v>-364</v>
      </c>
      <c r="AT19" s="502">
        <v>-572</v>
      </c>
      <c r="AU19" s="502">
        <v>171</v>
      </c>
      <c r="AV19" s="502">
        <v>-1487</v>
      </c>
    </row>
    <row r="20" spans="1:48">
      <c r="A20" s="137" t="s">
        <v>59</v>
      </c>
      <c r="B20" s="357"/>
      <c r="C20" s="502"/>
      <c r="D20" s="502"/>
      <c r="E20" s="502"/>
      <c r="F20" s="502"/>
      <c r="G20" s="502">
        <v>-505</v>
      </c>
      <c r="H20" s="502">
        <v>-92</v>
      </c>
      <c r="I20" s="502">
        <v>-154</v>
      </c>
      <c r="J20" s="502">
        <v>-336</v>
      </c>
      <c r="K20" s="502">
        <v>-111</v>
      </c>
      <c r="L20" s="502">
        <v>-569</v>
      </c>
      <c r="M20" s="502">
        <v>-1213</v>
      </c>
      <c r="N20" s="502">
        <v>-1276</v>
      </c>
      <c r="O20" s="502">
        <v>-1061</v>
      </c>
      <c r="P20" s="502">
        <v>-1886</v>
      </c>
      <c r="Q20" s="502">
        <v>-4310</v>
      </c>
      <c r="R20" s="502">
        <v>-6690</v>
      </c>
      <c r="S20" s="502">
        <v>-1407</v>
      </c>
      <c r="T20" s="502">
        <v>-179</v>
      </c>
      <c r="U20" s="502">
        <v>-297</v>
      </c>
      <c r="V20" s="502">
        <f>-299-404+10</f>
        <v>-693</v>
      </c>
      <c r="W20" s="502">
        <f>-115-56</f>
        <v>-171</v>
      </c>
      <c r="X20" s="502">
        <f>-1735-532</f>
        <v>-2267</v>
      </c>
      <c r="Y20" s="502">
        <v>-4158</v>
      </c>
      <c r="Z20" s="502">
        <v>-6018</v>
      </c>
      <c r="AA20" s="502">
        <v>-4452</v>
      </c>
      <c r="AB20" s="502">
        <v>-4370</v>
      </c>
      <c r="AC20" s="502">
        <v>-4782</v>
      </c>
      <c r="AD20" s="502">
        <v>-6230</v>
      </c>
      <c r="AE20" s="502">
        <v>-4818</v>
      </c>
      <c r="AF20" s="502">
        <v>-3816</v>
      </c>
      <c r="AG20" s="502">
        <v>-3996</v>
      </c>
      <c r="AH20" s="502">
        <v>-5739</v>
      </c>
      <c r="AI20" s="502">
        <v>-1976</v>
      </c>
      <c r="AJ20" s="502">
        <v>-2342</v>
      </c>
      <c r="AK20" s="502">
        <v>-4079</v>
      </c>
      <c r="AL20" s="502">
        <v>-10658</v>
      </c>
      <c r="AM20" s="502">
        <v>-3404</v>
      </c>
      <c r="AN20" s="502">
        <v>-4769</v>
      </c>
      <c r="AO20" s="502">
        <v>-4040</v>
      </c>
      <c r="AP20" s="502">
        <v>-11938</v>
      </c>
      <c r="AQ20" s="502">
        <v>-10951</v>
      </c>
      <c r="AR20" s="502">
        <v>-10389</v>
      </c>
      <c r="AS20" s="502">
        <v>-17812</v>
      </c>
      <c r="AT20" s="502">
        <v>-29213</v>
      </c>
      <c r="AU20" s="502">
        <v>-23421</v>
      </c>
      <c r="AV20" s="502">
        <v>-24046</v>
      </c>
    </row>
    <row r="21" spans="1:48">
      <c r="A21" s="137" t="s">
        <v>599</v>
      </c>
      <c r="B21" s="357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02"/>
      <c r="AD21" s="502"/>
      <c r="AE21" s="502"/>
      <c r="AF21" s="502"/>
      <c r="AG21" s="502"/>
      <c r="AH21" s="502"/>
      <c r="AI21" s="502"/>
      <c r="AJ21" s="502"/>
      <c r="AK21" s="502"/>
      <c r="AL21" s="502"/>
      <c r="AM21" s="502"/>
      <c r="AN21" s="502"/>
      <c r="AO21" s="502"/>
      <c r="AP21" s="502"/>
      <c r="AQ21" s="502"/>
      <c r="AR21" s="502"/>
      <c r="AS21" s="502"/>
      <c r="AT21" s="502"/>
      <c r="AU21" s="502">
        <v>-179</v>
      </c>
      <c r="AV21" s="502">
        <v>686</v>
      </c>
    </row>
    <row r="22" spans="1:48">
      <c r="A22" s="551" t="s">
        <v>529</v>
      </c>
      <c r="B22" s="142"/>
      <c r="C22" s="550"/>
      <c r="D22" s="550"/>
      <c r="E22" s="550"/>
      <c r="F22" s="550"/>
      <c r="G22" s="550">
        <f t="shared" ref="G22:AA22" si="12">G12+G13+G15</f>
        <v>25070</v>
      </c>
      <c r="H22" s="550">
        <f t="shared" si="12"/>
        <v>26762</v>
      </c>
      <c r="I22" s="550">
        <f t="shared" si="12"/>
        <v>30008</v>
      </c>
      <c r="J22" s="550">
        <f t="shared" si="12"/>
        <v>35974</v>
      </c>
      <c r="K22" s="550">
        <f t="shared" si="12"/>
        <v>9794</v>
      </c>
      <c r="L22" s="550">
        <f t="shared" si="12"/>
        <v>18977</v>
      </c>
      <c r="M22" s="550">
        <f t="shared" si="12"/>
        <v>16345</v>
      </c>
      <c r="N22" s="550">
        <f t="shared" si="12"/>
        <v>10482</v>
      </c>
      <c r="O22" s="550">
        <f t="shared" si="12"/>
        <v>5864</v>
      </c>
      <c r="P22" s="550">
        <f t="shared" si="12"/>
        <v>8489</v>
      </c>
      <c r="Q22" s="550">
        <f t="shared" si="12"/>
        <v>14103</v>
      </c>
      <c r="R22" s="550">
        <f t="shared" si="12"/>
        <v>21055</v>
      </c>
      <c r="S22" s="550">
        <f t="shared" si="12"/>
        <v>5932</v>
      </c>
      <c r="T22" s="550">
        <f t="shared" si="12"/>
        <v>17532</v>
      </c>
      <c r="U22" s="550">
        <f t="shared" si="12"/>
        <v>11165</v>
      </c>
      <c r="V22" s="550">
        <f t="shared" si="12"/>
        <v>16679</v>
      </c>
      <c r="W22" s="550">
        <f t="shared" si="12"/>
        <v>10041</v>
      </c>
      <c r="X22" s="550">
        <f t="shared" si="12"/>
        <v>6317</v>
      </c>
      <c r="Y22" s="550">
        <f t="shared" si="12"/>
        <v>7932</v>
      </c>
      <c r="Z22" s="550">
        <f t="shared" si="12"/>
        <v>18125</v>
      </c>
      <c r="AA22" s="550">
        <f t="shared" si="12"/>
        <v>10118</v>
      </c>
      <c r="AB22" s="550">
        <v>10226</v>
      </c>
      <c r="AC22" s="550">
        <v>21061</v>
      </c>
      <c r="AD22" s="550">
        <v>17245</v>
      </c>
      <c r="AE22" s="550">
        <v>10723.000000000013</v>
      </c>
      <c r="AF22" s="550">
        <v>16955</v>
      </c>
      <c r="AG22" s="550">
        <f>AG12+AG13+AG15</f>
        <v>15382</v>
      </c>
      <c r="AH22" s="550">
        <v>139796</v>
      </c>
      <c r="AI22" s="550">
        <f t="shared" ref="AI22:AT22" si="13">AI12+AI13+AI15</f>
        <v>8618</v>
      </c>
      <c r="AJ22" s="550">
        <f t="shared" si="13"/>
        <v>6606</v>
      </c>
      <c r="AK22" s="550">
        <f t="shared" si="13"/>
        <v>11521</v>
      </c>
      <c r="AL22" s="550">
        <f t="shared" si="13"/>
        <v>-19129</v>
      </c>
      <c r="AM22" s="550">
        <f t="shared" si="13"/>
        <v>3849</v>
      </c>
      <c r="AN22" s="550">
        <f t="shared" si="13"/>
        <v>8020</v>
      </c>
      <c r="AO22" s="550">
        <f t="shared" si="13"/>
        <v>-4852</v>
      </c>
      <c r="AP22" s="550">
        <f t="shared" si="13"/>
        <v>-34320</v>
      </c>
      <c r="AQ22" s="550">
        <f t="shared" si="13"/>
        <v>85844</v>
      </c>
      <c r="AR22" s="550">
        <f t="shared" si="13"/>
        <v>42034</v>
      </c>
      <c r="AS22" s="550">
        <f t="shared" si="13"/>
        <v>46109</v>
      </c>
      <c r="AT22" s="550">
        <f t="shared" si="13"/>
        <v>-176729</v>
      </c>
      <c r="AU22" s="550">
        <f>AU12+AU13+AU15</f>
        <v>30001</v>
      </c>
      <c r="AV22" s="550">
        <f>AV12+AV13+AV15</f>
        <v>9155</v>
      </c>
    </row>
    <row r="23" spans="1:48">
      <c r="A23" s="137" t="s">
        <v>600</v>
      </c>
      <c r="B23" s="134"/>
      <c r="C23" s="502"/>
      <c r="D23" s="502"/>
      <c r="E23" s="502"/>
      <c r="F23" s="502"/>
      <c r="G23" s="502">
        <v>-35</v>
      </c>
      <c r="H23" s="502">
        <v>-70</v>
      </c>
      <c r="I23" s="502">
        <v>-106</v>
      </c>
      <c r="J23" s="502">
        <v>-142</v>
      </c>
      <c r="K23" s="502">
        <v>-29</v>
      </c>
      <c r="L23" s="502">
        <v>-75</v>
      </c>
      <c r="M23" s="502">
        <v>-113</v>
      </c>
      <c r="N23" s="502">
        <v>-153</v>
      </c>
      <c r="O23" s="502">
        <v>-35</v>
      </c>
      <c r="P23" s="502">
        <v>-61</v>
      </c>
      <c r="Q23" s="502">
        <v>-97</v>
      </c>
      <c r="R23" s="502">
        <v>-154</v>
      </c>
      <c r="S23" s="502">
        <v>-7</v>
      </c>
      <c r="T23" s="502">
        <v>-125.6</v>
      </c>
      <c r="U23" s="502">
        <v>-87</v>
      </c>
      <c r="V23" s="502">
        <v>158</v>
      </c>
      <c r="W23" s="502">
        <v>-87</v>
      </c>
      <c r="X23" s="502">
        <v>-66</v>
      </c>
      <c r="Y23" s="502">
        <v>-92</v>
      </c>
      <c r="Z23" s="502">
        <v>-113</v>
      </c>
      <c r="AA23" s="502">
        <v>-61</v>
      </c>
      <c r="AB23" s="502">
        <v>-73</v>
      </c>
      <c r="AC23" s="502">
        <v>-111</v>
      </c>
      <c r="AD23" s="502">
        <v>-84</v>
      </c>
      <c r="AE23" s="502">
        <v>-41</v>
      </c>
      <c r="AF23" s="502">
        <v>-72</v>
      </c>
      <c r="AG23" s="502">
        <v>-36</v>
      </c>
      <c r="AH23" s="502">
        <v>-43</v>
      </c>
      <c r="AI23" s="502">
        <v>-48</v>
      </c>
      <c r="AJ23" s="502">
        <v>-33</v>
      </c>
      <c r="AK23" s="502">
        <v>0</v>
      </c>
      <c r="AL23" s="502">
        <v>-701</v>
      </c>
      <c r="AM23" s="502">
        <v>-61</v>
      </c>
      <c r="AN23" s="502">
        <v>-63</v>
      </c>
      <c r="AO23" s="502">
        <v>-1182</v>
      </c>
      <c r="AP23" s="502">
        <v>-1405</v>
      </c>
      <c r="AQ23" s="502">
        <v>-1467</v>
      </c>
      <c r="AR23" s="502">
        <v>-1841</v>
      </c>
      <c r="AS23" s="502">
        <v>-1950</v>
      </c>
      <c r="AT23" s="502">
        <v>-2774</v>
      </c>
      <c r="AU23" s="502">
        <v>-2693</v>
      </c>
      <c r="AV23" s="502">
        <v>-2714</v>
      </c>
    </row>
    <row r="24" spans="1:48" ht="15" thickBot="1">
      <c r="A24" s="137" t="s">
        <v>650</v>
      </c>
      <c r="B24" s="134"/>
      <c r="C24" s="502"/>
      <c r="D24" s="502"/>
      <c r="E24" s="502"/>
      <c r="F24" s="502"/>
      <c r="G24" s="502"/>
      <c r="H24" s="502"/>
      <c r="I24" s="502"/>
      <c r="J24" s="502"/>
      <c r="K24" s="502"/>
      <c r="L24" s="502"/>
      <c r="M24" s="502"/>
      <c r="N24" s="502"/>
      <c r="O24" s="502"/>
      <c r="P24" s="502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  <c r="AD24" s="502"/>
      <c r="AE24" s="502"/>
      <c r="AF24" s="502"/>
      <c r="AG24" s="502"/>
      <c r="AH24" s="502"/>
      <c r="AI24" s="502"/>
      <c r="AJ24" s="502"/>
      <c r="AK24" s="502"/>
      <c r="AL24" s="502"/>
      <c r="AM24" s="502"/>
      <c r="AN24" s="502"/>
      <c r="AO24" s="502"/>
      <c r="AP24" s="502"/>
      <c r="AQ24" s="502"/>
      <c r="AR24" s="502"/>
      <c r="AS24" s="502"/>
      <c r="AT24" s="502"/>
      <c r="AU24" s="502"/>
      <c r="AV24" s="502">
        <v>-605</v>
      </c>
    </row>
    <row r="25" spans="1:48" ht="15" thickBot="1">
      <c r="A25" s="140" t="s">
        <v>601</v>
      </c>
      <c r="B25" s="134"/>
      <c r="C25" s="141"/>
      <c r="D25" s="141"/>
      <c r="E25" s="141"/>
      <c r="F25" s="141"/>
      <c r="G25" s="141">
        <f t="shared" ref="G25:AR25" si="14">G22+G23</f>
        <v>25035</v>
      </c>
      <c r="H25" s="141">
        <f t="shared" si="14"/>
        <v>26692</v>
      </c>
      <c r="I25" s="141">
        <f t="shared" si="14"/>
        <v>29902</v>
      </c>
      <c r="J25" s="141">
        <f t="shared" si="14"/>
        <v>35832</v>
      </c>
      <c r="K25" s="141">
        <f t="shared" si="14"/>
        <v>9765</v>
      </c>
      <c r="L25" s="141">
        <f t="shared" si="14"/>
        <v>18902</v>
      </c>
      <c r="M25" s="141">
        <f t="shared" si="14"/>
        <v>16232</v>
      </c>
      <c r="N25" s="141">
        <f t="shared" si="14"/>
        <v>10329</v>
      </c>
      <c r="O25" s="141">
        <f t="shared" si="14"/>
        <v>5829</v>
      </c>
      <c r="P25" s="141">
        <f t="shared" si="14"/>
        <v>8428</v>
      </c>
      <c r="Q25" s="141">
        <f t="shared" si="14"/>
        <v>14006</v>
      </c>
      <c r="R25" s="141">
        <f t="shared" si="14"/>
        <v>20901</v>
      </c>
      <c r="S25" s="141">
        <f t="shared" si="14"/>
        <v>5925</v>
      </c>
      <c r="T25" s="141">
        <f t="shared" si="14"/>
        <v>17406.400000000001</v>
      </c>
      <c r="U25" s="141">
        <f t="shared" si="14"/>
        <v>11078</v>
      </c>
      <c r="V25" s="141">
        <f t="shared" si="14"/>
        <v>16837</v>
      </c>
      <c r="W25" s="141">
        <f t="shared" si="14"/>
        <v>9954</v>
      </c>
      <c r="X25" s="141">
        <f t="shared" si="14"/>
        <v>6251</v>
      </c>
      <c r="Y25" s="141">
        <f t="shared" si="14"/>
        <v>7840</v>
      </c>
      <c r="Z25" s="141">
        <f t="shared" si="14"/>
        <v>18012</v>
      </c>
      <c r="AA25" s="141">
        <f t="shared" si="14"/>
        <v>10057</v>
      </c>
      <c r="AB25" s="141">
        <f t="shared" si="14"/>
        <v>10153</v>
      </c>
      <c r="AC25" s="141">
        <f t="shared" si="14"/>
        <v>20950</v>
      </c>
      <c r="AD25" s="141">
        <f t="shared" si="14"/>
        <v>17161</v>
      </c>
      <c r="AE25" s="141">
        <f t="shared" si="14"/>
        <v>10682.000000000013</v>
      </c>
      <c r="AF25" s="141">
        <f t="shared" si="14"/>
        <v>16883</v>
      </c>
      <c r="AG25" s="141">
        <f t="shared" si="14"/>
        <v>15346</v>
      </c>
      <c r="AH25" s="141">
        <f t="shared" si="14"/>
        <v>139753</v>
      </c>
      <c r="AI25" s="141">
        <f t="shared" si="14"/>
        <v>8570</v>
      </c>
      <c r="AJ25" s="141">
        <f t="shared" si="14"/>
        <v>6573</v>
      </c>
      <c r="AK25" s="141">
        <f t="shared" si="14"/>
        <v>11521</v>
      </c>
      <c r="AL25" s="141">
        <f t="shared" si="14"/>
        <v>-19830</v>
      </c>
      <c r="AM25" s="141">
        <f t="shared" si="14"/>
        <v>3788</v>
      </c>
      <c r="AN25" s="141">
        <f t="shared" si="14"/>
        <v>7957</v>
      </c>
      <c r="AO25" s="141">
        <f t="shared" si="14"/>
        <v>-6034</v>
      </c>
      <c r="AP25" s="141">
        <f t="shared" si="14"/>
        <v>-35725</v>
      </c>
      <c r="AQ25" s="141">
        <f t="shared" si="14"/>
        <v>84377</v>
      </c>
      <c r="AR25" s="141">
        <f t="shared" si="14"/>
        <v>40193</v>
      </c>
      <c r="AS25" s="141">
        <f>AS22+AS23</f>
        <v>44159</v>
      </c>
      <c r="AT25" s="141">
        <f>AT22+AT23</f>
        <v>-179503</v>
      </c>
      <c r="AU25" s="141">
        <f>AU22+AU23</f>
        <v>27308</v>
      </c>
      <c r="AV25" s="141">
        <f>AV22+SUM(AV23:AV24)</f>
        <v>5836</v>
      </c>
    </row>
    <row r="26" spans="1:48" ht="15" thickBot="1">
      <c r="A26" s="140" t="s">
        <v>660</v>
      </c>
      <c r="B26" s="134"/>
      <c r="C26" s="141"/>
      <c r="D26" s="141"/>
      <c r="E26" s="141"/>
      <c r="F26" s="141"/>
      <c r="G26" s="141">
        <f t="shared" ref="G26:AM26" si="15">SUM(G27:G28)</f>
        <v>425</v>
      </c>
      <c r="H26" s="141">
        <f t="shared" si="15"/>
        <v>1452</v>
      </c>
      <c r="I26" s="141">
        <f t="shared" si="15"/>
        <v>2759</v>
      </c>
      <c r="J26" s="141">
        <f t="shared" si="15"/>
        <v>4075</v>
      </c>
      <c r="K26" s="141">
        <f t="shared" si="15"/>
        <v>925</v>
      </c>
      <c r="L26" s="141">
        <f t="shared" si="15"/>
        <v>2883</v>
      </c>
      <c r="M26" s="141">
        <f t="shared" si="15"/>
        <v>4843</v>
      </c>
      <c r="N26" s="141">
        <f t="shared" si="15"/>
        <v>6476</v>
      </c>
      <c r="O26" s="141">
        <f t="shared" si="15"/>
        <v>1252</v>
      </c>
      <c r="P26" s="141">
        <f t="shared" si="15"/>
        <v>2074</v>
      </c>
      <c r="Q26" s="141">
        <f t="shared" si="15"/>
        <v>3395</v>
      </c>
      <c r="R26" s="141">
        <f t="shared" si="15"/>
        <v>5627</v>
      </c>
      <c r="S26" s="141">
        <f t="shared" si="15"/>
        <v>868</v>
      </c>
      <c r="T26" s="141">
        <f t="shared" si="15"/>
        <v>1713</v>
      </c>
      <c r="U26" s="141">
        <f t="shared" si="15"/>
        <v>1882</v>
      </c>
      <c r="V26" s="141">
        <f t="shared" si="15"/>
        <v>2043</v>
      </c>
      <c r="W26" s="141">
        <f t="shared" si="15"/>
        <v>1043</v>
      </c>
      <c r="X26" s="141">
        <f t="shared" si="15"/>
        <v>739</v>
      </c>
      <c r="Y26" s="141">
        <f t="shared" si="15"/>
        <v>1428</v>
      </c>
      <c r="Z26" s="141">
        <f t="shared" si="15"/>
        <v>1775</v>
      </c>
      <c r="AA26" s="141">
        <f t="shared" si="15"/>
        <v>920</v>
      </c>
      <c r="AB26" s="141">
        <f t="shared" si="15"/>
        <v>1347</v>
      </c>
      <c r="AC26" s="141">
        <f t="shared" si="15"/>
        <v>1305</v>
      </c>
      <c r="AD26" s="141">
        <f t="shared" si="15"/>
        <v>22848</v>
      </c>
      <c r="AE26" s="141">
        <f t="shared" si="15"/>
        <v>781</v>
      </c>
      <c r="AF26" s="141">
        <f t="shared" si="15"/>
        <v>953</v>
      </c>
      <c r="AG26" s="141">
        <f t="shared" si="15"/>
        <v>-5418</v>
      </c>
      <c r="AH26" s="141">
        <f t="shared" si="15"/>
        <v>1942</v>
      </c>
      <c r="AI26" s="141">
        <f t="shared" si="15"/>
        <v>599</v>
      </c>
      <c r="AJ26" s="141">
        <f t="shared" si="15"/>
        <v>394</v>
      </c>
      <c r="AK26" s="141">
        <f t="shared" si="15"/>
        <v>912</v>
      </c>
      <c r="AL26" s="141">
        <f t="shared" si="15"/>
        <v>1518</v>
      </c>
      <c r="AM26" s="141">
        <f t="shared" si="15"/>
        <v>1183</v>
      </c>
      <c r="AN26" s="141">
        <f>SUM(AN27:AN28)</f>
        <v>1036</v>
      </c>
      <c r="AO26" s="141">
        <f t="shared" ref="AO26:AR26" si="16">SUM(AO27:AO28)</f>
        <v>1405</v>
      </c>
      <c r="AP26" s="141">
        <f t="shared" si="16"/>
        <v>-412</v>
      </c>
      <c r="AQ26" s="141">
        <f t="shared" si="16"/>
        <v>1720</v>
      </c>
      <c r="AR26" s="141">
        <f t="shared" si="16"/>
        <v>-376</v>
      </c>
      <c r="AS26" s="141">
        <f>SUM(AS27:AS28)</f>
        <v>-2129</v>
      </c>
      <c r="AT26" s="141">
        <f>SUM(AT27:AT28)</f>
        <v>-3521</v>
      </c>
      <c r="AU26" s="141">
        <f>SUM(AU27:AU28)</f>
        <v>-4922</v>
      </c>
      <c r="AV26" s="141">
        <f>SUM(AV27:AV28)</f>
        <v>-9252</v>
      </c>
    </row>
    <row r="27" spans="1:48">
      <c r="A27" s="137" t="s">
        <v>532</v>
      </c>
      <c r="B27" s="134"/>
      <c r="C27" s="502"/>
      <c r="D27" s="502"/>
      <c r="E27" s="502"/>
      <c r="F27" s="502"/>
      <c r="G27" s="502">
        <v>497</v>
      </c>
      <c r="H27" s="502">
        <v>1591</v>
      </c>
      <c r="I27" s="502">
        <v>2941</v>
      </c>
      <c r="J27" s="502">
        <v>4328</v>
      </c>
      <c r="K27" s="502">
        <v>994</v>
      </c>
      <c r="L27" s="502">
        <v>3139</v>
      </c>
      <c r="M27" s="502">
        <v>5127</v>
      </c>
      <c r="N27" s="502">
        <v>6890</v>
      </c>
      <c r="O27" s="502">
        <v>1397</v>
      </c>
      <c r="P27" s="502">
        <v>2811</v>
      </c>
      <c r="Q27" s="502">
        <v>4715</v>
      </c>
      <c r="R27" s="502">
        <v>6821</v>
      </c>
      <c r="S27" s="502">
        <v>908</v>
      </c>
      <c r="T27" s="502">
        <v>1810</v>
      </c>
      <c r="U27" s="502">
        <v>1903</v>
      </c>
      <c r="V27" s="502">
        <v>2148</v>
      </c>
      <c r="W27" s="502">
        <v>1088</v>
      </c>
      <c r="X27" s="502">
        <v>798</v>
      </c>
      <c r="Y27" s="502">
        <v>1506</v>
      </c>
      <c r="Z27" s="502">
        <v>1962</v>
      </c>
      <c r="AA27" s="502">
        <v>990</v>
      </c>
      <c r="AB27" s="502">
        <v>1341</v>
      </c>
      <c r="AC27" s="502">
        <v>1436</v>
      </c>
      <c r="AD27" s="502">
        <v>22817</v>
      </c>
      <c r="AE27" s="502">
        <v>809</v>
      </c>
      <c r="AF27" s="502">
        <v>981</v>
      </c>
      <c r="AG27" s="502">
        <v>717</v>
      </c>
      <c r="AH27" s="502">
        <v>1809</v>
      </c>
      <c r="AI27" s="502">
        <v>627</v>
      </c>
      <c r="AJ27" s="502">
        <v>716</v>
      </c>
      <c r="AK27" s="502">
        <v>954</v>
      </c>
      <c r="AL27" s="502">
        <v>1771</v>
      </c>
      <c r="AM27" s="502">
        <v>5260</v>
      </c>
      <c r="AN27" s="502">
        <v>6792</v>
      </c>
      <c r="AO27" s="502">
        <v>12100</v>
      </c>
      <c r="AP27" s="502">
        <v>9494</v>
      </c>
      <c r="AQ27" s="502">
        <v>15333</v>
      </c>
      <c r="AR27" s="502">
        <v>13461</v>
      </c>
      <c r="AS27" s="502">
        <v>4893</v>
      </c>
      <c r="AT27" s="502">
        <v>6216</v>
      </c>
      <c r="AU27" s="502">
        <v>9175</v>
      </c>
      <c r="AV27" s="502">
        <v>16897</v>
      </c>
    </row>
    <row r="28" spans="1:48" ht="15" thickBot="1">
      <c r="A28" s="137" t="s">
        <v>541</v>
      </c>
      <c r="B28" s="134"/>
      <c r="C28" s="502"/>
      <c r="D28" s="502"/>
      <c r="E28" s="502"/>
      <c r="F28" s="502"/>
      <c r="G28" s="502">
        <v>-72</v>
      </c>
      <c r="H28" s="502">
        <v>-139</v>
      </c>
      <c r="I28" s="502">
        <v>-182</v>
      </c>
      <c r="J28" s="502">
        <v>-253</v>
      </c>
      <c r="K28" s="502">
        <v>-69</v>
      </c>
      <c r="L28" s="502">
        <v>-256</v>
      </c>
      <c r="M28" s="502">
        <v>-284</v>
      </c>
      <c r="N28" s="502">
        <v>-414</v>
      </c>
      <c r="O28" s="502">
        <v>-145</v>
      </c>
      <c r="P28" s="502">
        <v>-737</v>
      </c>
      <c r="Q28" s="502">
        <v>-1320</v>
      </c>
      <c r="R28" s="502">
        <v>-1194</v>
      </c>
      <c r="S28" s="502">
        <v>-40</v>
      </c>
      <c r="T28" s="502">
        <v>-97</v>
      </c>
      <c r="U28" s="502">
        <v>-21</v>
      </c>
      <c r="V28" s="502">
        <v>-105</v>
      </c>
      <c r="W28" s="502">
        <v>-45</v>
      </c>
      <c r="X28" s="502">
        <v>-59</v>
      </c>
      <c r="Y28" s="502">
        <v>-78</v>
      </c>
      <c r="Z28" s="502">
        <v>-187</v>
      </c>
      <c r="AA28" s="502">
        <v>-70</v>
      </c>
      <c r="AB28" s="502">
        <v>6</v>
      </c>
      <c r="AC28" s="502">
        <v>-131</v>
      </c>
      <c r="AD28" s="502">
        <v>31</v>
      </c>
      <c r="AE28" s="502">
        <v>-28</v>
      </c>
      <c r="AF28" s="502">
        <v>-28</v>
      </c>
      <c r="AG28" s="502">
        <v>-6135</v>
      </c>
      <c r="AH28" s="502">
        <v>133</v>
      </c>
      <c r="AI28" s="502">
        <v>-28</v>
      </c>
      <c r="AJ28" s="502">
        <v>-322</v>
      </c>
      <c r="AK28" s="502">
        <v>-42</v>
      </c>
      <c r="AL28" s="502">
        <v>-253</v>
      </c>
      <c r="AM28" s="502">
        <v>-4077</v>
      </c>
      <c r="AN28" s="502">
        <v>-5756</v>
      </c>
      <c r="AO28" s="502">
        <v>-10695</v>
      </c>
      <c r="AP28" s="502">
        <v>-9906</v>
      </c>
      <c r="AQ28" s="502">
        <v>-13613</v>
      </c>
      <c r="AR28" s="502">
        <v>-13837</v>
      </c>
      <c r="AS28" s="502">
        <v>-7022</v>
      </c>
      <c r="AT28" s="502">
        <v>-9737</v>
      </c>
      <c r="AU28" s="502">
        <v>-14097</v>
      </c>
      <c r="AV28" s="502">
        <v>-26149</v>
      </c>
    </row>
    <row r="29" spans="1:48" ht="15" thickBot="1">
      <c r="A29" s="140" t="s">
        <v>602</v>
      </c>
      <c r="B29" s="134"/>
      <c r="C29" s="141"/>
      <c r="D29" s="141"/>
      <c r="E29" s="141"/>
      <c r="F29" s="141"/>
      <c r="G29" s="141">
        <f t="shared" ref="G29:AA29" si="17">G25+G26</f>
        <v>25460</v>
      </c>
      <c r="H29" s="141">
        <f t="shared" si="17"/>
        <v>28144</v>
      </c>
      <c r="I29" s="141">
        <f t="shared" si="17"/>
        <v>32661</v>
      </c>
      <c r="J29" s="141">
        <f t="shared" si="17"/>
        <v>39907</v>
      </c>
      <c r="K29" s="141">
        <f t="shared" si="17"/>
        <v>10690</v>
      </c>
      <c r="L29" s="141">
        <f t="shared" si="17"/>
        <v>21785</v>
      </c>
      <c r="M29" s="141">
        <f t="shared" si="17"/>
        <v>21075</v>
      </c>
      <c r="N29" s="141">
        <f t="shared" si="17"/>
        <v>16805</v>
      </c>
      <c r="O29" s="141">
        <f t="shared" si="17"/>
        <v>7081</v>
      </c>
      <c r="P29" s="141">
        <f t="shared" si="17"/>
        <v>10502</v>
      </c>
      <c r="Q29" s="141">
        <f t="shared" si="17"/>
        <v>17401</v>
      </c>
      <c r="R29" s="141">
        <f t="shared" si="17"/>
        <v>26528</v>
      </c>
      <c r="S29" s="141">
        <f t="shared" si="17"/>
        <v>6793</v>
      </c>
      <c r="T29" s="141">
        <f t="shared" si="17"/>
        <v>19119.400000000001</v>
      </c>
      <c r="U29" s="141">
        <f t="shared" si="17"/>
        <v>12960</v>
      </c>
      <c r="V29" s="141">
        <f t="shared" si="17"/>
        <v>18880</v>
      </c>
      <c r="W29" s="141">
        <f t="shared" si="17"/>
        <v>10997</v>
      </c>
      <c r="X29" s="141">
        <f t="shared" si="17"/>
        <v>6990</v>
      </c>
      <c r="Y29" s="141">
        <f t="shared" si="17"/>
        <v>9268</v>
      </c>
      <c r="Z29" s="141">
        <f t="shared" si="17"/>
        <v>19787</v>
      </c>
      <c r="AA29" s="141">
        <f t="shared" si="17"/>
        <v>10977</v>
      </c>
      <c r="AB29" s="141">
        <v>11500</v>
      </c>
      <c r="AC29" s="141">
        <v>22255</v>
      </c>
      <c r="AD29" s="141">
        <v>40009</v>
      </c>
      <c r="AE29" s="141">
        <v>11463.000000000013</v>
      </c>
      <c r="AF29" s="141">
        <f>AF25+AF26</f>
        <v>17836</v>
      </c>
      <c r="AG29" s="141">
        <f>AG25+AG26</f>
        <v>9928</v>
      </c>
      <c r="AH29" s="141">
        <v>141695</v>
      </c>
      <c r="AI29" s="141">
        <f t="shared" ref="AI29:AR29" si="18">AI25+AI26</f>
        <v>9169</v>
      </c>
      <c r="AJ29" s="141">
        <f t="shared" si="18"/>
        <v>6967</v>
      </c>
      <c r="AK29" s="141">
        <f t="shared" si="18"/>
        <v>12433</v>
      </c>
      <c r="AL29" s="141">
        <f t="shared" si="18"/>
        <v>-18312</v>
      </c>
      <c r="AM29" s="141">
        <f t="shared" si="18"/>
        <v>4971</v>
      </c>
      <c r="AN29" s="141">
        <f t="shared" si="18"/>
        <v>8993</v>
      </c>
      <c r="AO29" s="141">
        <f t="shared" si="18"/>
        <v>-4629</v>
      </c>
      <c r="AP29" s="141">
        <f t="shared" si="18"/>
        <v>-36137</v>
      </c>
      <c r="AQ29" s="141">
        <f t="shared" si="18"/>
        <v>86097</v>
      </c>
      <c r="AR29" s="141">
        <f t="shared" si="18"/>
        <v>39817</v>
      </c>
      <c r="AS29" s="141">
        <f>AS25+AS26</f>
        <v>42030</v>
      </c>
      <c r="AT29" s="141">
        <f>AT25+AT26</f>
        <v>-183024</v>
      </c>
      <c r="AU29" s="141">
        <f>AU25+AU26</f>
        <v>22386</v>
      </c>
      <c r="AV29" s="141">
        <f>AV25+AV26</f>
        <v>-3416</v>
      </c>
    </row>
    <row r="30" spans="1:48">
      <c r="A30" s="137" t="s">
        <v>553</v>
      </c>
      <c r="B30" s="134"/>
      <c r="C30" s="502"/>
      <c r="D30" s="502"/>
      <c r="E30" s="502"/>
      <c r="F30" s="502"/>
      <c r="G30" s="502">
        <v>-2345</v>
      </c>
      <c r="H30" s="502">
        <v>-2786</v>
      </c>
      <c r="I30" s="502">
        <v>-3224</v>
      </c>
      <c r="J30" s="502">
        <v>-3871</v>
      </c>
      <c r="K30" s="502">
        <v>-1132</v>
      </c>
      <c r="L30" s="502">
        <v>-1958</v>
      </c>
      <c r="M30" s="502">
        <v>-1988</v>
      </c>
      <c r="N30" s="502">
        <v>-1558</v>
      </c>
      <c r="O30" s="502">
        <v>-486</v>
      </c>
      <c r="P30" s="502">
        <v>-741</v>
      </c>
      <c r="Q30" s="502">
        <v>-1227</v>
      </c>
      <c r="R30" s="502">
        <v>-1918</v>
      </c>
      <c r="S30" s="502">
        <v>-683</v>
      </c>
      <c r="T30" s="502">
        <v>-1773</v>
      </c>
      <c r="U30" s="502">
        <v>-1419</v>
      </c>
      <c r="V30" s="502">
        <v>-2249</v>
      </c>
      <c r="W30" s="502">
        <v>-1110</v>
      </c>
      <c r="X30" s="502">
        <v>-619</v>
      </c>
      <c r="Y30" s="502">
        <v>-661</v>
      </c>
      <c r="Z30" s="502">
        <v>-1800</v>
      </c>
      <c r="AA30" s="502">
        <v>-980</v>
      </c>
      <c r="AB30" s="502">
        <v>-1012.9999999999999</v>
      </c>
      <c r="AC30" s="502">
        <v>-2012</v>
      </c>
      <c r="AD30" s="502">
        <v>-1925</v>
      </c>
      <c r="AE30" s="502">
        <v>-1445</v>
      </c>
      <c r="AF30" s="502">
        <v>-1210</v>
      </c>
      <c r="AG30" s="502">
        <v>-1005</v>
      </c>
      <c r="AH30" s="502">
        <v>-2101</v>
      </c>
      <c r="AI30" s="502">
        <v>-392</v>
      </c>
      <c r="AJ30" s="502">
        <v>-912</v>
      </c>
      <c r="AK30" s="502">
        <v>-1146</v>
      </c>
      <c r="AL30" s="502">
        <v>-1764</v>
      </c>
      <c r="AM30" s="502">
        <v>-785</v>
      </c>
      <c r="AN30" s="502">
        <v>-1057</v>
      </c>
      <c r="AO30" s="502">
        <v>-191</v>
      </c>
      <c r="AP30" s="502">
        <v>-1295</v>
      </c>
      <c r="AQ30" s="502">
        <v>-1693</v>
      </c>
      <c r="AR30" s="502">
        <v>-2120</v>
      </c>
      <c r="AS30" s="502">
        <v>-2458</v>
      </c>
      <c r="AT30" s="502">
        <v>-1038</v>
      </c>
      <c r="AU30" s="502">
        <v>-1324</v>
      </c>
      <c r="AV30" s="502">
        <v>-1965</v>
      </c>
    </row>
    <row r="31" spans="1:48">
      <c r="A31" s="137" t="s">
        <v>554</v>
      </c>
      <c r="B31" s="134"/>
      <c r="C31" s="502"/>
      <c r="D31" s="502"/>
      <c r="E31" s="502"/>
      <c r="F31" s="502"/>
      <c r="G31" s="502">
        <v>-6542</v>
      </c>
      <c r="H31" s="502">
        <v>-7760</v>
      </c>
      <c r="I31" s="502">
        <v>-8960</v>
      </c>
      <c r="J31" s="502">
        <v>-10684</v>
      </c>
      <c r="K31" s="502">
        <v>-2614</v>
      </c>
      <c r="L31" s="502">
        <v>-5356</v>
      </c>
      <c r="M31" s="502">
        <v>-5425</v>
      </c>
      <c r="N31" s="502">
        <v>-4213</v>
      </c>
      <c r="O31" s="502">
        <v>-1320</v>
      </c>
      <c r="P31" s="502">
        <v>-1960</v>
      </c>
      <c r="Q31" s="502">
        <v>-2918</v>
      </c>
      <c r="R31" s="502">
        <v>-5114</v>
      </c>
      <c r="S31" s="502">
        <v>-1869</v>
      </c>
      <c r="T31" s="502">
        <v>-4868</v>
      </c>
      <c r="U31" s="502">
        <v>-3854</v>
      </c>
      <c r="V31" s="502">
        <v>-6063</v>
      </c>
      <c r="W31" s="502">
        <v>-3096</v>
      </c>
      <c r="X31" s="502">
        <v>-1657</v>
      </c>
      <c r="Y31" s="502">
        <v>-1811</v>
      </c>
      <c r="Z31" s="502">
        <v>-4901</v>
      </c>
      <c r="AA31" s="502">
        <v>-2727</v>
      </c>
      <c r="AB31" s="502">
        <v>-2743</v>
      </c>
      <c r="AC31" s="502">
        <v>-5546</v>
      </c>
      <c r="AD31" s="502">
        <v>-5619</v>
      </c>
      <c r="AE31" s="502">
        <v>-4018</v>
      </c>
      <c r="AF31" s="502">
        <v>-3349</v>
      </c>
      <c r="AG31" s="502">
        <v>-2883</v>
      </c>
      <c r="AH31" s="502">
        <v>-5745</v>
      </c>
      <c r="AI31" s="502">
        <v>-1123</v>
      </c>
      <c r="AJ31" s="502">
        <v>-2391</v>
      </c>
      <c r="AK31" s="502">
        <v>-3142</v>
      </c>
      <c r="AL31" s="502">
        <v>-4621</v>
      </c>
      <c r="AM31" s="502">
        <v>-2018</v>
      </c>
      <c r="AN31" s="502">
        <v>-2925</v>
      </c>
      <c r="AO31" s="502">
        <v>-506</v>
      </c>
      <c r="AP31" s="502">
        <v>-3488</v>
      </c>
      <c r="AQ31" s="502">
        <v>-4513</v>
      </c>
      <c r="AR31" s="502">
        <v>-5370</v>
      </c>
      <c r="AS31" s="502">
        <v>-6305</v>
      </c>
      <c r="AT31" s="502">
        <v>-2457</v>
      </c>
      <c r="AU31" s="502">
        <v>-3594</v>
      </c>
      <c r="AV31" s="502">
        <v>-5851</v>
      </c>
    </row>
    <row r="32" spans="1:48">
      <c r="A32" s="137" t="s">
        <v>555</v>
      </c>
      <c r="B32" s="134"/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>
        <v>94</v>
      </c>
      <c r="AD32" s="502">
        <v>-6656</v>
      </c>
      <c r="AE32" s="502">
        <v>0</v>
      </c>
      <c r="AF32" s="502">
        <v>335</v>
      </c>
      <c r="AG32" s="502">
        <v>209</v>
      </c>
      <c r="AH32" s="502">
        <v>-40351</v>
      </c>
      <c r="AI32" s="502">
        <v>0</v>
      </c>
      <c r="AJ32" s="502"/>
      <c r="AK32" s="502">
        <v>52</v>
      </c>
      <c r="AL32" s="502">
        <v>0</v>
      </c>
      <c r="AM32" s="502"/>
      <c r="AN32" s="502"/>
      <c r="AO32" s="502">
        <v>-37</v>
      </c>
      <c r="AP32" s="502">
        <v>37</v>
      </c>
      <c r="AQ32" s="502">
        <v>0</v>
      </c>
      <c r="AR32" s="502">
        <v>0</v>
      </c>
      <c r="AS32" s="502">
        <v>0</v>
      </c>
      <c r="AT32" s="502">
        <v>0</v>
      </c>
      <c r="AU32" s="502">
        <v>-6157</v>
      </c>
      <c r="AV32" s="502">
        <v>118</v>
      </c>
    </row>
    <row r="33" spans="1:48" ht="15" thickBot="1">
      <c r="A33" s="137" t="s">
        <v>603</v>
      </c>
      <c r="B33" s="134"/>
      <c r="C33" s="502"/>
      <c r="D33" s="502"/>
      <c r="E33" s="502"/>
      <c r="F33" s="502"/>
      <c r="G33" s="502"/>
      <c r="H33" s="502"/>
      <c r="I33" s="502"/>
      <c r="J33" s="502"/>
      <c r="K33" s="502"/>
      <c r="L33" s="502"/>
      <c r="M33" s="502"/>
      <c r="N33" s="502"/>
      <c r="O33" s="502"/>
      <c r="P33" s="502"/>
      <c r="Q33" s="502"/>
      <c r="R33" s="502"/>
      <c r="S33" s="502"/>
      <c r="T33" s="502"/>
      <c r="U33" s="502"/>
      <c r="V33" s="502"/>
      <c r="W33" s="502"/>
      <c r="X33" s="502"/>
      <c r="Y33" s="502"/>
      <c r="Z33" s="502"/>
      <c r="AA33" s="502"/>
      <c r="AB33" s="502"/>
      <c r="AC33" s="502">
        <v>118</v>
      </c>
      <c r="AD33" s="502">
        <v>650</v>
      </c>
      <c r="AE33" s="502">
        <v>342</v>
      </c>
      <c r="AF33" s="502"/>
      <c r="AG33" s="502"/>
      <c r="AH33" s="502">
        <v>485</v>
      </c>
      <c r="AI33" s="502">
        <v>2594</v>
      </c>
      <c r="AJ33" s="502">
        <v>-2594</v>
      </c>
      <c r="AK33" s="502">
        <v>-4236</v>
      </c>
      <c r="AL33" s="502">
        <v>10337</v>
      </c>
      <c r="AM33" s="502"/>
      <c r="AN33" s="502"/>
      <c r="AO33" s="502">
        <v>3518</v>
      </c>
      <c r="AP33" s="502">
        <v>11510</v>
      </c>
      <c r="AQ33" s="502">
        <v>-25957</v>
      </c>
      <c r="AR33" s="502">
        <v>-9825</v>
      </c>
      <c r="AS33" s="502">
        <v>-8396</v>
      </c>
      <c r="AT33" s="502">
        <v>59786</v>
      </c>
      <c r="AU33" s="502">
        <v>0</v>
      </c>
      <c r="AV33" s="502">
        <v>0</v>
      </c>
    </row>
    <row r="34" spans="1:48" ht="15" thickBot="1">
      <c r="A34" s="140" t="s">
        <v>604</v>
      </c>
      <c r="B34" s="134"/>
      <c r="C34" s="503"/>
      <c r="D34" s="503"/>
      <c r="E34" s="503"/>
      <c r="F34" s="503"/>
      <c r="G34" s="503">
        <f t="shared" ref="G34:AM34" si="19">SUM(G29:G33)</f>
        <v>16573</v>
      </c>
      <c r="H34" s="503">
        <f t="shared" si="19"/>
        <v>17598</v>
      </c>
      <c r="I34" s="503">
        <f t="shared" si="19"/>
        <v>20477</v>
      </c>
      <c r="J34" s="503">
        <f t="shared" si="19"/>
        <v>25352</v>
      </c>
      <c r="K34" s="503">
        <f t="shared" si="19"/>
        <v>6944</v>
      </c>
      <c r="L34" s="503">
        <f t="shared" si="19"/>
        <v>14471</v>
      </c>
      <c r="M34" s="503">
        <f t="shared" si="19"/>
        <v>13662</v>
      </c>
      <c r="N34" s="503">
        <f t="shared" si="19"/>
        <v>11034</v>
      </c>
      <c r="O34" s="503">
        <f t="shared" si="19"/>
        <v>5275</v>
      </c>
      <c r="P34" s="503">
        <f t="shared" si="19"/>
        <v>7801</v>
      </c>
      <c r="Q34" s="503">
        <f t="shared" si="19"/>
        <v>13256</v>
      </c>
      <c r="R34" s="503">
        <f t="shared" si="19"/>
        <v>19496</v>
      </c>
      <c r="S34" s="503">
        <f t="shared" si="19"/>
        <v>4241</v>
      </c>
      <c r="T34" s="503">
        <f t="shared" si="19"/>
        <v>12478.400000000001</v>
      </c>
      <c r="U34" s="503">
        <f t="shared" si="19"/>
        <v>7687</v>
      </c>
      <c r="V34" s="503">
        <f t="shared" si="19"/>
        <v>10568</v>
      </c>
      <c r="W34" s="503">
        <f t="shared" si="19"/>
        <v>6791</v>
      </c>
      <c r="X34" s="503">
        <f t="shared" si="19"/>
        <v>4714</v>
      </c>
      <c r="Y34" s="503">
        <f t="shared" si="19"/>
        <v>6796</v>
      </c>
      <c r="Z34" s="503">
        <f t="shared" si="19"/>
        <v>13086</v>
      </c>
      <c r="AA34" s="503">
        <f t="shared" si="19"/>
        <v>7270</v>
      </c>
      <c r="AB34" s="503">
        <f t="shared" si="19"/>
        <v>7744</v>
      </c>
      <c r="AC34" s="503">
        <f t="shared" si="19"/>
        <v>14909</v>
      </c>
      <c r="AD34" s="503">
        <f t="shared" si="19"/>
        <v>26459</v>
      </c>
      <c r="AE34" s="503">
        <f t="shared" si="19"/>
        <v>6342.0000000000127</v>
      </c>
      <c r="AF34" s="503">
        <f t="shared" si="19"/>
        <v>13612</v>
      </c>
      <c r="AG34" s="503">
        <f t="shared" si="19"/>
        <v>6249</v>
      </c>
      <c r="AH34" s="503">
        <f t="shared" si="19"/>
        <v>93983</v>
      </c>
      <c r="AI34" s="503">
        <f t="shared" si="19"/>
        <v>10248</v>
      </c>
      <c r="AJ34" s="503">
        <f t="shared" si="19"/>
        <v>1070</v>
      </c>
      <c r="AK34" s="503">
        <f t="shared" si="19"/>
        <v>3961</v>
      </c>
      <c r="AL34" s="503">
        <f t="shared" si="19"/>
        <v>-14360</v>
      </c>
      <c r="AM34" s="503">
        <f t="shared" si="19"/>
        <v>2168</v>
      </c>
      <c r="AN34" s="503">
        <f>SUM(AN29:AN33)</f>
        <v>5011</v>
      </c>
      <c r="AO34" s="503">
        <f t="shared" ref="AO34:AR34" si="20">SUM(AO29:AO33)</f>
        <v>-1845</v>
      </c>
      <c r="AP34" s="503">
        <f t="shared" si="20"/>
        <v>-29373</v>
      </c>
      <c r="AQ34" s="503">
        <f t="shared" si="20"/>
        <v>53934</v>
      </c>
      <c r="AR34" s="503">
        <f t="shared" si="20"/>
        <v>22502</v>
      </c>
      <c r="AS34" s="503">
        <f>SUM(AS29:AS33)</f>
        <v>24871</v>
      </c>
      <c r="AT34" s="503">
        <f>SUM(AT29:AT33)</f>
        <v>-126733</v>
      </c>
      <c r="AU34" s="503">
        <f>SUM(AU29:AU33)</f>
        <v>11311</v>
      </c>
      <c r="AV34" s="503">
        <f>SUM(AV29:AV33)</f>
        <v>-11114</v>
      </c>
    </row>
    <row r="36" spans="1:48">
      <c r="S36" s="355"/>
      <c r="T36" s="355"/>
      <c r="U36" s="355"/>
      <c r="V36" s="355"/>
      <c r="W36" s="355"/>
      <c r="X36" s="355"/>
      <c r="Y36" s="355"/>
      <c r="Z36" s="355"/>
    </row>
    <row r="37" spans="1:48">
      <c r="S37" s="257"/>
      <c r="T37" s="257"/>
      <c r="U37" s="257"/>
      <c r="V37" s="257"/>
      <c r="W37" s="257"/>
      <c r="X37" s="257"/>
      <c r="Y37" s="257"/>
      <c r="Z37" s="257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AM8:AU8" formulaRange="1"/>
  </ignoredError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9" tint="0.79998168889431442"/>
  </sheetPr>
  <dimension ref="A7:AV44"/>
  <sheetViews>
    <sheetView showGridLines="0" zoomScaleNormal="100" workbookViewId="0">
      <pane xSplit="1" ySplit="8" topLeftCell="B9" activePane="bottomRight" state="frozen"/>
      <selection pane="topRight" activeCell="AN17" sqref="AN17"/>
      <selection pane="bottomLeft" activeCell="AN17" sqref="AN17"/>
      <selection pane="bottomRight" activeCell="AV14" sqref="AV14"/>
    </sheetView>
  </sheetViews>
  <sheetFormatPr defaultColWidth="9.1796875" defaultRowHeight="14.5" outlineLevelCol="1"/>
  <cols>
    <col min="1" max="1" width="44.453125" style="37" bestFit="1" customWidth="1"/>
    <col min="2" max="2" width="0.453125" style="133" customWidth="1"/>
    <col min="3" max="33" width="0" style="37" hidden="1" customWidth="1" outlineLevel="1"/>
    <col min="34" max="38" width="9.453125" style="37" hidden="1" customWidth="1" outlineLevel="1"/>
    <col min="39" max="39" width="9.453125" style="37" bestFit="1" customWidth="1" collapsed="1"/>
    <col min="40" max="48" width="9.453125" style="37" bestFit="1" customWidth="1"/>
    <col min="49" max="16384" width="9.1796875" style="37"/>
  </cols>
  <sheetData>
    <row r="7" spans="1:48">
      <c r="A7" s="41" t="s">
        <v>661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</row>
    <row r="8" spans="1:48" ht="15" thickBot="1">
      <c r="A8" s="544" t="s">
        <v>585</v>
      </c>
      <c r="C8" s="545" t="s">
        <v>9</v>
      </c>
      <c r="D8" s="545" t="s">
        <v>10</v>
      </c>
      <c r="E8" s="545" t="s">
        <v>11</v>
      </c>
      <c r="F8" s="545" t="s">
        <v>12</v>
      </c>
      <c r="G8" s="545" t="s">
        <v>13</v>
      </c>
      <c r="H8" s="545" t="s">
        <v>14</v>
      </c>
      <c r="I8" s="545" t="s">
        <v>15</v>
      </c>
      <c r="J8" s="545" t="s">
        <v>16</v>
      </c>
      <c r="K8" s="545" t="s">
        <v>17</v>
      </c>
      <c r="L8" s="545" t="s">
        <v>18</v>
      </c>
      <c r="M8" s="545" t="s">
        <v>19</v>
      </c>
      <c r="N8" s="545" t="s">
        <v>20</v>
      </c>
      <c r="O8" s="545" t="s">
        <v>21</v>
      </c>
      <c r="P8" s="545" t="s">
        <v>22</v>
      </c>
      <c r="Q8" s="545" t="s">
        <v>23</v>
      </c>
      <c r="R8" s="545" t="s">
        <v>24</v>
      </c>
      <c r="S8" s="545" t="s">
        <v>25</v>
      </c>
      <c r="T8" s="545" t="s">
        <v>26</v>
      </c>
      <c r="U8" s="545" t="s">
        <v>27</v>
      </c>
      <c r="V8" s="545" t="s">
        <v>28</v>
      </c>
      <c r="W8" s="545" t="s">
        <v>29</v>
      </c>
      <c r="X8" s="545" t="s">
        <v>30</v>
      </c>
      <c r="Y8" s="545" t="s">
        <v>31</v>
      </c>
      <c r="Z8" s="545" t="s">
        <v>32</v>
      </c>
      <c r="AA8" s="545" t="s">
        <v>33</v>
      </c>
      <c r="AB8" s="545" t="s">
        <v>34</v>
      </c>
      <c r="AC8" s="546" t="s">
        <v>35</v>
      </c>
      <c r="AD8" s="546" t="s">
        <v>36</v>
      </c>
      <c r="AE8" s="546" t="s">
        <v>37</v>
      </c>
      <c r="AF8" s="546" t="s">
        <v>38</v>
      </c>
      <c r="AG8" s="546" t="s">
        <v>39</v>
      </c>
      <c r="AH8" s="546" t="s">
        <v>40</v>
      </c>
      <c r="AI8" s="546" t="s">
        <v>41</v>
      </c>
      <c r="AJ8" s="546" t="s">
        <v>42</v>
      </c>
      <c r="AK8" s="546" t="s">
        <v>43</v>
      </c>
      <c r="AL8" s="546" t="s">
        <v>44</v>
      </c>
      <c r="AM8" s="546" t="s">
        <v>45</v>
      </c>
      <c r="AN8" s="546" t="s">
        <v>46</v>
      </c>
      <c r="AO8" s="546" t="s">
        <v>47</v>
      </c>
      <c r="AP8" s="546" t="s">
        <v>48</v>
      </c>
      <c r="AQ8" s="546" t="s">
        <v>49</v>
      </c>
      <c r="AR8" s="546" t="s">
        <v>50</v>
      </c>
      <c r="AS8" s="546" t="s">
        <v>51</v>
      </c>
      <c r="AT8" s="546" t="s">
        <v>52</v>
      </c>
      <c r="AU8" s="546" t="s">
        <v>53</v>
      </c>
      <c r="AV8" s="546" t="s">
        <v>54</v>
      </c>
    </row>
    <row r="9" spans="1:48" ht="15" thickBot="1">
      <c r="A9" s="135" t="s">
        <v>465</v>
      </c>
      <c r="C9" s="141">
        <f>SUM(C10:C13)</f>
        <v>0</v>
      </c>
      <c r="D9" s="141">
        <f t="shared" ref="D9:X9" si="0">SUM(D10:D13)</f>
        <v>0</v>
      </c>
      <c r="E9" s="141">
        <f t="shared" si="0"/>
        <v>1005.15469</v>
      </c>
      <c r="F9" s="141">
        <f t="shared" si="0"/>
        <v>0</v>
      </c>
      <c r="G9" s="141">
        <f t="shared" si="0"/>
        <v>0</v>
      </c>
      <c r="H9" s="141">
        <f t="shared" si="0"/>
        <v>0</v>
      </c>
      <c r="I9" s="141">
        <f t="shared" si="0"/>
        <v>0</v>
      </c>
      <c r="J9" s="141">
        <f t="shared" si="0"/>
        <v>0</v>
      </c>
      <c r="K9" s="141">
        <f t="shared" si="0"/>
        <v>0</v>
      </c>
      <c r="L9" s="141">
        <f t="shared" si="0"/>
        <v>1.1918199999999999</v>
      </c>
      <c r="M9" s="141">
        <f t="shared" si="0"/>
        <v>0</v>
      </c>
      <c r="N9" s="141">
        <f t="shared" si="0"/>
        <v>17.205299999999998</v>
      </c>
      <c r="O9" s="141">
        <f t="shared" si="0"/>
        <v>0</v>
      </c>
      <c r="P9" s="141">
        <f t="shared" si="0"/>
        <v>0</v>
      </c>
      <c r="Q9" s="141">
        <f t="shared" si="0"/>
        <v>0</v>
      </c>
      <c r="R9" s="141">
        <f t="shared" si="0"/>
        <v>0</v>
      </c>
      <c r="S9" s="141">
        <f t="shared" si="0"/>
        <v>0</v>
      </c>
      <c r="T9" s="141">
        <f t="shared" si="0"/>
        <v>0</v>
      </c>
      <c r="U9" s="141">
        <f t="shared" si="0"/>
        <v>0</v>
      </c>
      <c r="V9" s="141">
        <f t="shared" si="0"/>
        <v>0</v>
      </c>
      <c r="W9" s="141">
        <f t="shared" si="0"/>
        <v>0</v>
      </c>
      <c r="X9" s="141">
        <f t="shared" si="0"/>
        <v>0</v>
      </c>
      <c r="Y9" s="141">
        <f>SUM(Y10:Y13)</f>
        <v>0</v>
      </c>
      <c r="Z9" s="141">
        <f>SUM(Z10:Z13)</f>
        <v>0</v>
      </c>
      <c r="AA9" s="141">
        <f>SUM(AA10:AA13)</f>
        <v>0</v>
      </c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</row>
    <row r="10" spans="1:48">
      <c r="A10" s="137" t="s">
        <v>586</v>
      </c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</row>
    <row r="11" spans="1:48">
      <c r="A11" s="137" t="s">
        <v>468</v>
      </c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</row>
    <row r="12" spans="1:48">
      <c r="A12" s="137" t="s">
        <v>470</v>
      </c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</row>
    <row r="13" spans="1:48" ht="15" thickBot="1">
      <c r="A13" s="139" t="s">
        <v>474</v>
      </c>
      <c r="C13" s="138"/>
      <c r="D13" s="138"/>
      <c r="E13" s="138">
        <v>1005.15469</v>
      </c>
      <c r="F13" s="138"/>
      <c r="G13" s="138"/>
      <c r="H13" s="138"/>
      <c r="I13" s="138"/>
      <c r="J13" s="138"/>
      <c r="K13" s="138"/>
      <c r="L13" s="138">
        <v>1.1918199999999999</v>
      </c>
      <c r="M13" s="138"/>
      <c r="N13" s="138">
        <v>17.205299999999998</v>
      </c>
      <c r="O13" s="138"/>
      <c r="P13" s="138"/>
      <c r="Q13" s="138"/>
      <c r="R13" s="138"/>
      <c r="S13" s="138"/>
      <c r="T13" s="138"/>
      <c r="U13" s="138"/>
      <c r="V13" s="138"/>
      <c r="W13" s="138"/>
    </row>
    <row r="14" spans="1:48" ht="15" thickBot="1">
      <c r="A14" s="140" t="s">
        <v>587</v>
      </c>
      <c r="C14" s="141"/>
      <c r="D14" s="141"/>
      <c r="E14" s="141">
        <v>-143.23453999999998</v>
      </c>
      <c r="F14" s="141"/>
      <c r="G14" s="141"/>
      <c r="H14" s="141"/>
      <c r="I14" s="141"/>
      <c r="J14" s="141"/>
      <c r="K14" s="141"/>
      <c r="L14" s="141"/>
      <c r="M14" s="141"/>
      <c r="N14" s="141">
        <v>-1.5914900000000001</v>
      </c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>
        <v>-141.54300000000001</v>
      </c>
    </row>
    <row r="15" spans="1:48" ht="15" thickBot="1">
      <c r="A15" s="140" t="s">
        <v>491</v>
      </c>
      <c r="C15" s="141">
        <f>C9+C14</f>
        <v>0</v>
      </c>
      <c r="D15" s="141">
        <f t="shared" ref="D15:X15" si="1">D9+D14</f>
        <v>0</v>
      </c>
      <c r="E15" s="141">
        <f t="shared" si="1"/>
        <v>861.92014999999992</v>
      </c>
      <c r="F15" s="141">
        <f t="shared" si="1"/>
        <v>0</v>
      </c>
      <c r="G15" s="141">
        <f t="shared" si="1"/>
        <v>0</v>
      </c>
      <c r="H15" s="141">
        <f t="shared" si="1"/>
        <v>0</v>
      </c>
      <c r="I15" s="141">
        <f t="shared" si="1"/>
        <v>0</v>
      </c>
      <c r="J15" s="141">
        <f t="shared" si="1"/>
        <v>0</v>
      </c>
      <c r="K15" s="141">
        <f t="shared" si="1"/>
        <v>0</v>
      </c>
      <c r="L15" s="141">
        <f t="shared" si="1"/>
        <v>1.1918199999999999</v>
      </c>
      <c r="M15" s="141">
        <f t="shared" si="1"/>
        <v>0</v>
      </c>
      <c r="N15" s="141">
        <f>N9+N14</f>
        <v>15.613809999999997</v>
      </c>
      <c r="O15" s="141">
        <f t="shared" si="1"/>
        <v>0</v>
      </c>
      <c r="P15" s="141">
        <f t="shared" si="1"/>
        <v>0</v>
      </c>
      <c r="Q15" s="141">
        <f t="shared" si="1"/>
        <v>0</v>
      </c>
      <c r="R15" s="141">
        <f t="shared" si="1"/>
        <v>0</v>
      </c>
      <c r="S15" s="141">
        <f t="shared" si="1"/>
        <v>0</v>
      </c>
      <c r="T15" s="141">
        <f t="shared" si="1"/>
        <v>0</v>
      </c>
      <c r="U15" s="141">
        <f t="shared" si="1"/>
        <v>0</v>
      </c>
      <c r="V15" s="141">
        <f t="shared" si="1"/>
        <v>0</v>
      </c>
      <c r="W15" s="141">
        <f t="shared" si="1"/>
        <v>0</v>
      </c>
      <c r="X15" s="141">
        <f t="shared" si="1"/>
        <v>0</v>
      </c>
      <c r="Y15" s="141">
        <f>Y9+Y14</f>
        <v>0</v>
      </c>
      <c r="Z15" s="141">
        <f>Z9+Z14</f>
        <v>0</v>
      </c>
      <c r="AA15" s="141">
        <f>AA9+AA14</f>
        <v>0</v>
      </c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</row>
    <row r="16" spans="1:48" ht="15" thickBot="1">
      <c r="A16" s="140" t="s">
        <v>588</v>
      </c>
      <c r="C16" s="141">
        <f>SUM(C17:C20)</f>
        <v>0</v>
      </c>
      <c r="D16" s="141">
        <f t="shared" ref="D16:X16" si="2">SUM(D17:D20)</f>
        <v>0</v>
      </c>
      <c r="E16" s="141">
        <f t="shared" si="2"/>
        <v>0</v>
      </c>
      <c r="F16" s="141">
        <f t="shared" si="2"/>
        <v>0</v>
      </c>
      <c r="G16" s="141">
        <f t="shared" si="2"/>
        <v>0</v>
      </c>
      <c r="H16" s="141">
        <f t="shared" si="2"/>
        <v>0</v>
      </c>
      <c r="I16" s="141">
        <f t="shared" si="2"/>
        <v>0</v>
      </c>
      <c r="J16" s="141">
        <f t="shared" si="2"/>
        <v>0</v>
      </c>
      <c r="K16" s="141">
        <f t="shared" si="2"/>
        <v>0</v>
      </c>
      <c r="L16" s="141">
        <f t="shared" si="2"/>
        <v>0</v>
      </c>
      <c r="M16" s="141">
        <f t="shared" si="2"/>
        <v>0</v>
      </c>
      <c r="N16" s="141">
        <f t="shared" si="2"/>
        <v>0</v>
      </c>
      <c r="O16" s="141">
        <f t="shared" si="2"/>
        <v>0</v>
      </c>
      <c r="P16" s="141">
        <f t="shared" si="2"/>
        <v>0</v>
      </c>
      <c r="Q16" s="141">
        <f t="shared" si="2"/>
        <v>0</v>
      </c>
      <c r="R16" s="141">
        <f t="shared" si="2"/>
        <v>0</v>
      </c>
      <c r="S16" s="141">
        <f t="shared" si="2"/>
        <v>0</v>
      </c>
      <c r="T16" s="141">
        <f t="shared" si="2"/>
        <v>0</v>
      </c>
      <c r="U16" s="141">
        <f t="shared" si="2"/>
        <v>0</v>
      </c>
      <c r="V16" s="141">
        <f t="shared" si="2"/>
        <v>0</v>
      </c>
      <c r="W16" s="141">
        <f t="shared" si="2"/>
        <v>0</v>
      </c>
      <c r="X16" s="141">
        <f t="shared" si="2"/>
        <v>0</v>
      </c>
      <c r="Y16" s="141">
        <f>SUM(Y17:Y20)</f>
        <v>0</v>
      </c>
      <c r="Z16" s="141">
        <f>SUM(Z17:Z20)</f>
        <v>0</v>
      </c>
      <c r="AA16" s="141">
        <f>SUM(AA17:AA20)</f>
        <v>0</v>
      </c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</row>
    <row r="17" spans="1:48">
      <c r="A17" s="137" t="s">
        <v>589</v>
      </c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</row>
    <row r="18" spans="1:48">
      <c r="A18" s="137" t="s">
        <v>590</v>
      </c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</row>
    <row r="19" spans="1:48">
      <c r="A19" s="137" t="s">
        <v>591</v>
      </c>
      <c r="C19" s="138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</row>
    <row r="20" spans="1:48" ht="15" thickBot="1">
      <c r="A20" s="139" t="s">
        <v>592</v>
      </c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</row>
    <row r="21" spans="1:48" ht="15" thickBot="1">
      <c r="A21" s="143" t="s">
        <v>593</v>
      </c>
      <c r="C21" s="141">
        <f t="shared" ref="C21:AB21" si="3">C15+C16</f>
        <v>0</v>
      </c>
      <c r="D21" s="141">
        <f t="shared" si="3"/>
        <v>0</v>
      </c>
      <c r="E21" s="141">
        <f t="shared" si="3"/>
        <v>861.92014999999992</v>
      </c>
      <c r="F21" s="141">
        <f t="shared" si="3"/>
        <v>0</v>
      </c>
      <c r="G21" s="141">
        <f t="shared" si="3"/>
        <v>0</v>
      </c>
      <c r="H21" s="141">
        <f t="shared" si="3"/>
        <v>0</v>
      </c>
      <c r="I21" s="141">
        <f t="shared" si="3"/>
        <v>0</v>
      </c>
      <c r="J21" s="141">
        <f t="shared" si="3"/>
        <v>0</v>
      </c>
      <c r="K21" s="141">
        <f t="shared" si="3"/>
        <v>0</v>
      </c>
      <c r="L21" s="141">
        <f t="shared" si="3"/>
        <v>1.1918199999999999</v>
      </c>
      <c r="M21" s="141">
        <f t="shared" si="3"/>
        <v>0</v>
      </c>
      <c r="N21" s="141">
        <f t="shared" si="3"/>
        <v>15.613809999999997</v>
      </c>
      <c r="O21" s="141">
        <f t="shared" si="3"/>
        <v>0</v>
      </c>
      <c r="P21" s="141">
        <f t="shared" si="3"/>
        <v>0</v>
      </c>
      <c r="Q21" s="141">
        <f t="shared" si="3"/>
        <v>0</v>
      </c>
      <c r="R21" s="141">
        <f t="shared" si="3"/>
        <v>0</v>
      </c>
      <c r="S21" s="141">
        <f t="shared" si="3"/>
        <v>0</v>
      </c>
      <c r="T21" s="141">
        <f t="shared" si="3"/>
        <v>0</v>
      </c>
      <c r="U21" s="141">
        <f t="shared" si="3"/>
        <v>0</v>
      </c>
      <c r="V21" s="141">
        <f t="shared" si="3"/>
        <v>0</v>
      </c>
      <c r="W21" s="141">
        <f t="shared" si="3"/>
        <v>0</v>
      </c>
      <c r="X21" s="141">
        <f t="shared" si="3"/>
        <v>0</v>
      </c>
      <c r="Y21" s="141">
        <f t="shared" si="3"/>
        <v>0</v>
      </c>
      <c r="Z21" s="141">
        <f t="shared" si="3"/>
        <v>0</v>
      </c>
      <c r="AA21" s="141">
        <f t="shared" si="3"/>
        <v>0</v>
      </c>
      <c r="AB21" s="141">
        <f t="shared" si="3"/>
        <v>0</v>
      </c>
      <c r="AC21" s="150">
        <v>0</v>
      </c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</row>
    <row r="22" spans="1:48" ht="15" thickBot="1">
      <c r="A22" s="140" t="s">
        <v>594</v>
      </c>
      <c r="C22" s="141">
        <f>SUM(C23:C28)</f>
        <v>-16555</v>
      </c>
      <c r="D22" s="141">
        <f t="shared" ref="D22:AB22" si="4">SUM(D23:D28)</f>
        <v>-8959</v>
      </c>
      <c r="E22" s="141">
        <f t="shared" si="4"/>
        <v>-4612</v>
      </c>
      <c r="F22" s="141">
        <f t="shared" si="4"/>
        <v>-7422.5585100000062</v>
      </c>
      <c r="G22" s="141">
        <f t="shared" si="4"/>
        <v>-4039</v>
      </c>
      <c r="H22" s="141">
        <f t="shared" si="4"/>
        <v>-3484</v>
      </c>
      <c r="I22" s="141">
        <f t="shared" si="4"/>
        <v>-10564.19325</v>
      </c>
      <c r="J22" s="141">
        <f t="shared" si="4"/>
        <v>-6715.2463100000023</v>
      </c>
      <c r="K22" s="141">
        <f t="shared" si="4"/>
        <v>-19697.012180000002</v>
      </c>
      <c r="L22" s="141">
        <f t="shared" si="4"/>
        <v>-10859.631229999992</v>
      </c>
      <c r="M22" s="141">
        <f t="shared" si="4"/>
        <v>-5727.4703400000026</v>
      </c>
      <c r="N22" s="141">
        <f t="shared" si="4"/>
        <v>-6790.6780500000059</v>
      </c>
      <c r="O22" s="141">
        <f t="shared" si="4"/>
        <v>-14490.117980000001</v>
      </c>
      <c r="P22" s="141">
        <f t="shared" si="4"/>
        <v>-6852.8820199999982</v>
      </c>
      <c r="Q22" s="141">
        <f t="shared" si="4"/>
        <v>-6708</v>
      </c>
      <c r="R22" s="141">
        <f t="shared" si="4"/>
        <v>-6739</v>
      </c>
      <c r="S22" s="141">
        <f t="shared" si="4"/>
        <v>-7230.5</v>
      </c>
      <c r="T22" s="141">
        <f t="shared" si="4"/>
        <v>-12773.5</v>
      </c>
      <c r="U22" s="141">
        <f t="shared" si="4"/>
        <v>-12233</v>
      </c>
      <c r="V22" s="141">
        <f t="shared" si="4"/>
        <v>-15572</v>
      </c>
      <c r="W22" s="141">
        <f t="shared" si="4"/>
        <v>-8190</v>
      </c>
      <c r="X22" s="141">
        <f t="shared" si="4"/>
        <v>-13270</v>
      </c>
      <c r="Y22" s="141">
        <f t="shared" si="4"/>
        <v>-7115</v>
      </c>
      <c r="Z22" s="141">
        <f t="shared" si="4"/>
        <v>-10366</v>
      </c>
      <c r="AA22" s="141">
        <f t="shared" si="4"/>
        <v>-6999.3419999999996</v>
      </c>
      <c r="AB22" s="141">
        <f t="shared" si="4"/>
        <v>-8159.0879999999997</v>
      </c>
      <c r="AC22" s="150">
        <v>-6946.1050000000005</v>
      </c>
      <c r="AD22" s="151">
        <v>-111763</v>
      </c>
      <c r="AE22" s="151">
        <v>-19669</v>
      </c>
      <c r="AF22" s="151">
        <v>-20737</v>
      </c>
      <c r="AG22" s="141">
        <f t="shared" ref="AG22:AV22" si="5">SUM(AG23:AG28)</f>
        <v>-20376</v>
      </c>
      <c r="AH22" s="141">
        <f t="shared" si="5"/>
        <v>33245.925000000003</v>
      </c>
      <c r="AI22" s="141">
        <f t="shared" si="5"/>
        <v>-12398</v>
      </c>
      <c r="AJ22" s="141">
        <f t="shared" si="5"/>
        <v>-25846</v>
      </c>
      <c r="AK22" s="141">
        <f t="shared" si="5"/>
        <v>-21940</v>
      </c>
      <c r="AL22" s="141">
        <f t="shared" si="5"/>
        <v>-20311</v>
      </c>
      <c r="AM22" s="141">
        <f t="shared" si="5"/>
        <v>-27506</v>
      </c>
      <c r="AN22" s="141">
        <f t="shared" si="5"/>
        <v>-16045</v>
      </c>
      <c r="AO22" s="141">
        <f t="shared" si="5"/>
        <v>-11480</v>
      </c>
      <c r="AP22" s="141">
        <f t="shared" si="5"/>
        <v>-14601</v>
      </c>
      <c r="AQ22" s="141">
        <f t="shared" si="5"/>
        <v>-20356</v>
      </c>
      <c r="AR22" s="141">
        <f t="shared" si="5"/>
        <v>-16910</v>
      </c>
      <c r="AS22" s="141">
        <f t="shared" si="5"/>
        <v>-21316</v>
      </c>
      <c r="AT22" s="141">
        <f t="shared" si="5"/>
        <v>-16089</v>
      </c>
      <c r="AU22" s="141">
        <f t="shared" si="5"/>
        <v>-26591</v>
      </c>
      <c r="AV22" s="141">
        <f t="shared" si="5"/>
        <v>-41333.919000000002</v>
      </c>
    </row>
    <row r="23" spans="1:48">
      <c r="A23" s="137" t="s">
        <v>595</v>
      </c>
      <c r="C23" s="138">
        <v>-2175</v>
      </c>
      <c r="D23" s="138">
        <v>-3090</v>
      </c>
      <c r="E23" s="138">
        <v>-2168</v>
      </c>
      <c r="F23" s="138">
        <v>-6271</v>
      </c>
      <c r="G23" s="138">
        <v>-2291</v>
      </c>
      <c r="H23" s="138">
        <v>-2281</v>
      </c>
      <c r="I23" s="138">
        <v>-7774</v>
      </c>
      <c r="J23" s="138">
        <v>-5645.369840000003</v>
      </c>
      <c r="K23" s="138">
        <v>-18529.619620000005</v>
      </c>
      <c r="L23" s="138">
        <v>-9264.1573699999935</v>
      </c>
      <c r="M23" s="138">
        <v>-4466.9395700000023</v>
      </c>
      <c r="N23" s="138">
        <v>-5288.7758500000054</v>
      </c>
      <c r="O23" s="138">
        <v>-13269.053320000001</v>
      </c>
      <c r="P23" s="138">
        <v>-5462.9466799999991</v>
      </c>
      <c r="Q23" s="138">
        <v>-4537</v>
      </c>
      <c r="R23" s="138">
        <v>-5182</v>
      </c>
      <c r="S23" s="138">
        <v>-4996</v>
      </c>
      <c r="T23" s="138">
        <v>-6730</v>
      </c>
      <c r="U23" s="138">
        <v>-9066</v>
      </c>
      <c r="V23" s="138">
        <v>-11447</v>
      </c>
      <c r="W23" s="138">
        <v>-5368</v>
      </c>
      <c r="X23" s="138">
        <v>-6008</v>
      </c>
      <c r="Y23" s="138">
        <v>-4099</v>
      </c>
      <c r="Z23" s="138">
        <v>-3820</v>
      </c>
      <c r="AA23" s="138">
        <v>-3775</v>
      </c>
      <c r="AB23" s="138">
        <f>-4797-86</f>
        <v>-4883</v>
      </c>
      <c r="AC23" s="149">
        <v>-2649</v>
      </c>
      <c r="AD23" s="152">
        <v>-5695</v>
      </c>
      <c r="AE23" s="152">
        <v>-16984</v>
      </c>
      <c r="AF23" s="152">
        <v>-17030</v>
      </c>
      <c r="AG23" s="152">
        <v>-17805</v>
      </c>
      <c r="AH23" s="152">
        <v>28978</v>
      </c>
      <c r="AI23" s="152">
        <v>-5055</v>
      </c>
      <c r="AJ23" s="152">
        <v>-11491</v>
      </c>
      <c r="AK23" s="152">
        <v>-5701</v>
      </c>
      <c r="AL23" s="152">
        <v>-5507</v>
      </c>
      <c r="AM23" s="152">
        <v>-6300</v>
      </c>
      <c r="AN23" s="152">
        <v>-5972</v>
      </c>
      <c r="AO23" s="152">
        <v>-6559</v>
      </c>
      <c r="AP23" s="152">
        <v>-6253</v>
      </c>
      <c r="AQ23" s="152">
        <v>-6335</v>
      </c>
      <c r="AR23" s="152">
        <v>-8057</v>
      </c>
      <c r="AS23" s="152">
        <v>-9276</v>
      </c>
      <c r="AT23" s="152">
        <v>-11467</v>
      </c>
      <c r="AU23" s="152">
        <v>-15749</v>
      </c>
      <c r="AV23" s="152">
        <v>-10184.004000000001</v>
      </c>
    </row>
    <row r="24" spans="1:48">
      <c r="A24" s="137" t="s">
        <v>596</v>
      </c>
      <c r="C24" s="138">
        <v>-2</v>
      </c>
      <c r="D24" s="138">
        <v>-2</v>
      </c>
      <c r="E24" s="138">
        <v>-1</v>
      </c>
      <c r="F24" s="138">
        <v>-2</v>
      </c>
      <c r="G24" s="138">
        <v>-25</v>
      </c>
      <c r="H24" s="138">
        <v>-4</v>
      </c>
      <c r="I24" s="138">
        <v>-32.902290000000001</v>
      </c>
      <c r="J24" s="138">
        <v>-3.558799999999998</v>
      </c>
      <c r="K24" s="138">
        <v>-2.5979800000000002</v>
      </c>
      <c r="L24" s="138">
        <v>-6.6219300000000008</v>
      </c>
      <c r="M24" s="138">
        <v>-0.25126000000000026</v>
      </c>
      <c r="N24" s="138">
        <v>-7.1604599999999969</v>
      </c>
      <c r="O24" s="138">
        <v>-4.2767400000000011</v>
      </c>
      <c r="P24" s="138">
        <v>-7.7232599999999989</v>
      </c>
      <c r="Q24" s="138">
        <v>-10</v>
      </c>
      <c r="R24" s="138">
        <v>-15</v>
      </c>
      <c r="S24" s="138">
        <v>-20</v>
      </c>
      <c r="T24" s="138">
        <v>-66</v>
      </c>
      <c r="U24" s="138">
        <v>-26</v>
      </c>
      <c r="V24" s="138">
        <v>-33</v>
      </c>
      <c r="W24" s="138">
        <v>-31</v>
      </c>
      <c r="X24" s="138">
        <v>-65</v>
      </c>
      <c r="Y24" s="138">
        <v>-35</v>
      </c>
      <c r="Z24" s="138">
        <v>-67</v>
      </c>
      <c r="AA24" s="138">
        <v>-45</v>
      </c>
      <c r="AB24" s="138">
        <v>-79</v>
      </c>
      <c r="AC24" s="149">
        <v>-47</v>
      </c>
      <c r="AD24" s="152">
        <v>-27</v>
      </c>
      <c r="AE24" s="152">
        <v>-22</v>
      </c>
      <c r="AF24" s="152">
        <v>-16</v>
      </c>
      <c r="AG24" s="152">
        <v>-18</v>
      </c>
      <c r="AH24" s="152">
        <v>-17</v>
      </c>
      <c r="AI24" s="152">
        <v>-7</v>
      </c>
      <c r="AJ24" s="152">
        <v>-61</v>
      </c>
      <c r="AK24" s="152">
        <v>-135</v>
      </c>
      <c r="AL24" s="152">
        <v>-216</v>
      </c>
      <c r="AM24" s="152">
        <v>-32</v>
      </c>
      <c r="AN24" s="152">
        <v>-42</v>
      </c>
      <c r="AO24" s="152">
        <v>-52</v>
      </c>
      <c r="AP24" s="152">
        <v>-85</v>
      </c>
      <c r="AQ24" s="152">
        <v>-93</v>
      </c>
      <c r="AR24" s="152">
        <v>-77</v>
      </c>
      <c r="AS24" s="152">
        <v>-44</v>
      </c>
      <c r="AT24" s="152">
        <v>-43</v>
      </c>
      <c r="AU24" s="152">
        <v>-62</v>
      </c>
      <c r="AV24" s="152">
        <v>-62.171999999999997</v>
      </c>
    </row>
    <row r="25" spans="1:48">
      <c r="A25" s="137" t="s">
        <v>597</v>
      </c>
      <c r="C25" s="138">
        <v>-13636</v>
      </c>
      <c r="D25" s="138">
        <v>-4605</v>
      </c>
      <c r="E25" s="138">
        <v>-1840</v>
      </c>
      <c r="F25" s="138">
        <v>-805.55851000000621</v>
      </c>
      <c r="G25" s="138">
        <v>-1109</v>
      </c>
      <c r="H25" s="138">
        <v>-638</v>
      </c>
      <c r="I25" s="138">
        <v>-1235.9927900000002</v>
      </c>
      <c r="J25" s="138">
        <v>-534.01261999999952</v>
      </c>
      <c r="K25" s="138">
        <v>-483.85053999999991</v>
      </c>
      <c r="L25" s="138">
        <v>-1158.9289799999997</v>
      </c>
      <c r="M25" s="138">
        <v>-675.42996000000039</v>
      </c>
      <c r="N25" s="138">
        <v>-1018.8673800000001</v>
      </c>
      <c r="O25" s="138">
        <v>-526.51661999999999</v>
      </c>
      <c r="P25" s="138">
        <v>-954.48338000000001</v>
      </c>
      <c r="Q25" s="138">
        <v>-1682</v>
      </c>
      <c r="R25" s="138">
        <v>-1258</v>
      </c>
      <c r="S25" s="138">
        <v>-1790</v>
      </c>
      <c r="T25" s="138">
        <v>-5637</v>
      </c>
      <c r="U25" s="138">
        <v>-2892</v>
      </c>
      <c r="V25" s="138">
        <v>-3581</v>
      </c>
      <c r="W25" s="138">
        <v>-2501</v>
      </c>
      <c r="X25" s="138">
        <v>-6964</v>
      </c>
      <c r="Y25" s="138">
        <v>-3422</v>
      </c>
      <c r="Z25" s="138">
        <v>-4618</v>
      </c>
      <c r="AA25" s="138">
        <v>-3298</v>
      </c>
      <c r="AB25" s="138">
        <v>-3064</v>
      </c>
      <c r="AC25" s="149">
        <v>-3533</v>
      </c>
      <c r="AD25" s="152">
        <v>-5802</v>
      </c>
      <c r="AE25" s="152">
        <v>-2307</v>
      </c>
      <c r="AF25" s="152">
        <v>-3625</v>
      </c>
      <c r="AG25" s="152">
        <v>-2388</v>
      </c>
      <c r="AH25" s="152">
        <v>-5759</v>
      </c>
      <c r="AI25" s="152">
        <v>-6799</v>
      </c>
      <c r="AJ25" s="152">
        <v>-13576</v>
      </c>
      <c r="AK25" s="152">
        <v>-15727</v>
      </c>
      <c r="AL25" s="152">
        <v>-14383</v>
      </c>
      <c r="AM25" s="152">
        <v>-19753</v>
      </c>
      <c r="AN25" s="152">
        <v>-9863</v>
      </c>
      <c r="AO25" s="152">
        <v>-7895</v>
      </c>
      <c r="AP25" s="152">
        <v>-7631</v>
      </c>
      <c r="AQ25" s="152">
        <v>-11602</v>
      </c>
      <c r="AR25" s="152">
        <v>-8424</v>
      </c>
      <c r="AS25" s="152">
        <v>-6308</v>
      </c>
      <c r="AT25" s="152">
        <v>-4173</v>
      </c>
      <c r="AU25" s="152">
        <v>-12554</v>
      </c>
      <c r="AV25" s="152">
        <v>-19503.940999999999</v>
      </c>
    </row>
    <row r="26" spans="1:48">
      <c r="A26" s="137" t="s">
        <v>598</v>
      </c>
      <c r="C26" s="138">
        <v>0</v>
      </c>
      <c r="D26" s="138">
        <v>0</v>
      </c>
      <c r="E26" s="138">
        <v>0</v>
      </c>
      <c r="F26" s="138">
        <v>0</v>
      </c>
      <c r="G26" s="138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0</v>
      </c>
      <c r="W26" s="138">
        <v>0</v>
      </c>
      <c r="X26" s="138">
        <v>0</v>
      </c>
      <c r="Y26" s="138">
        <v>0</v>
      </c>
      <c r="Z26" s="138">
        <v>0</v>
      </c>
      <c r="AA26" s="138">
        <v>0</v>
      </c>
      <c r="AB26" s="138">
        <v>0</v>
      </c>
      <c r="AC26" s="149">
        <v>0</v>
      </c>
      <c r="AD26" s="149">
        <v>0</v>
      </c>
      <c r="AE26" s="149">
        <v>-24</v>
      </c>
      <c r="AF26" s="149">
        <v>0</v>
      </c>
      <c r="AG26" s="149"/>
      <c r="AH26" s="149">
        <v>0</v>
      </c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>
        <v>0</v>
      </c>
      <c r="AT26" s="152">
        <v>0</v>
      </c>
      <c r="AU26" s="152">
        <v>0</v>
      </c>
      <c r="AV26" s="152">
        <v>0</v>
      </c>
    </row>
    <row r="27" spans="1:48">
      <c r="A27" s="137" t="s">
        <v>59</v>
      </c>
      <c r="C27" s="138">
        <v>-742</v>
      </c>
      <c r="D27" s="138">
        <v>-1262</v>
      </c>
      <c r="E27" s="138">
        <v>-603</v>
      </c>
      <c r="F27" s="138">
        <v>-344</v>
      </c>
      <c r="G27" s="138">
        <v>-614</v>
      </c>
      <c r="H27" s="138">
        <v>-561</v>
      </c>
      <c r="I27" s="138">
        <v>-1521.2981700000005</v>
      </c>
      <c r="J27" s="138">
        <v>-532.30504999999948</v>
      </c>
      <c r="K27" s="138">
        <v>-680.94403999999997</v>
      </c>
      <c r="L27" s="138">
        <v>-429.92295000000024</v>
      </c>
      <c r="M27" s="138">
        <v>-584.84955000000014</v>
      </c>
      <c r="N27" s="138">
        <v>-475.8743599999998</v>
      </c>
      <c r="O27" s="138">
        <v>-690.2713</v>
      </c>
      <c r="P27" s="138">
        <v>-427.7287</v>
      </c>
      <c r="Q27" s="138">
        <v>0</v>
      </c>
      <c r="R27" s="138">
        <v>-284</v>
      </c>
      <c r="S27" s="138">
        <v>-424.5</v>
      </c>
      <c r="T27" s="138">
        <v>-340.5</v>
      </c>
      <c r="U27" s="138">
        <v>-249</v>
      </c>
      <c r="V27" s="138">
        <v>-511</v>
      </c>
      <c r="W27" s="138">
        <v>-290</v>
      </c>
      <c r="X27" s="138">
        <v>-233</v>
      </c>
      <c r="Y27" s="138">
        <v>441</v>
      </c>
      <c r="Z27" s="138">
        <v>-1861</v>
      </c>
      <c r="AA27" s="138">
        <v>118.65799999999999</v>
      </c>
      <c r="AB27" s="138">
        <v>-133.08799999999999</v>
      </c>
      <c r="AC27" s="149">
        <v>-717.10500000000002</v>
      </c>
      <c r="AD27" s="152">
        <v>-87</v>
      </c>
      <c r="AE27" s="152">
        <v>-332</v>
      </c>
      <c r="AF27" s="152">
        <v>-66</v>
      </c>
      <c r="AG27" s="152">
        <v>-165</v>
      </c>
      <c r="AH27" s="152">
        <v>10043.924999999999</v>
      </c>
      <c r="AI27" s="152">
        <v>-537</v>
      </c>
      <c r="AJ27" s="152">
        <v>-718</v>
      </c>
      <c r="AK27" s="152">
        <v>-377</v>
      </c>
      <c r="AL27" s="152">
        <v>-205</v>
      </c>
      <c r="AM27" s="152">
        <v>-1396</v>
      </c>
      <c r="AN27" s="152">
        <v>-168</v>
      </c>
      <c r="AO27" s="152">
        <v>3026</v>
      </c>
      <c r="AP27" s="152">
        <v>-632</v>
      </c>
      <c r="AQ27" s="152">
        <v>-1831</v>
      </c>
      <c r="AR27" s="152">
        <v>-213</v>
      </c>
      <c r="AS27" s="152">
        <v>-5688</v>
      </c>
      <c r="AT27" s="152">
        <v>-406</v>
      </c>
      <c r="AU27" s="152">
        <v>-998</v>
      </c>
      <c r="AV27" s="152">
        <v>-3164.51</v>
      </c>
    </row>
    <row r="28" spans="1:48">
      <c r="A28" s="137" t="s">
        <v>599</v>
      </c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>
        <v>-479</v>
      </c>
      <c r="R28" s="138"/>
      <c r="S28" s="138"/>
      <c r="T28" s="138">
        <v>0</v>
      </c>
      <c r="U28" s="138">
        <v>0</v>
      </c>
      <c r="V28" s="138">
        <v>0</v>
      </c>
      <c r="W28" s="138"/>
      <c r="X28" s="138"/>
      <c r="Y28" s="138">
        <v>0</v>
      </c>
      <c r="Z28" s="138">
        <v>0</v>
      </c>
      <c r="AA28" s="138">
        <v>0</v>
      </c>
      <c r="AB28" s="138">
        <v>0</v>
      </c>
      <c r="AC28" s="149">
        <v>0</v>
      </c>
      <c r="AD28" s="149">
        <v>-100152</v>
      </c>
      <c r="AE28" s="149">
        <v>0</v>
      </c>
      <c r="AF28" s="149">
        <v>0</v>
      </c>
      <c r="AG28" s="149"/>
      <c r="AH28" s="149">
        <v>0</v>
      </c>
      <c r="AI28" s="149"/>
      <c r="AJ28" s="149"/>
      <c r="AK28" s="149"/>
      <c r="AL28" s="149"/>
      <c r="AM28" s="149">
        <v>-25</v>
      </c>
      <c r="AN28" s="149"/>
      <c r="AO28" s="149"/>
      <c r="AP28" s="149"/>
      <c r="AQ28" s="149">
        <v>-495</v>
      </c>
      <c r="AR28" s="149">
        <v>-139</v>
      </c>
      <c r="AS28" s="149">
        <v>0</v>
      </c>
      <c r="AT28" s="152">
        <v>0</v>
      </c>
      <c r="AU28" s="152">
        <v>2772</v>
      </c>
      <c r="AV28" s="152">
        <v>-8419.2919999999995</v>
      </c>
    </row>
    <row r="29" spans="1:48">
      <c r="A29" s="544" t="s">
        <v>529</v>
      </c>
      <c r="C29" s="547">
        <f>C15+C16+C22</f>
        <v>-16555</v>
      </c>
      <c r="D29" s="547">
        <f t="shared" ref="D29:AB29" si="6">D15+D16+D22</f>
        <v>-8959</v>
      </c>
      <c r="E29" s="547">
        <f t="shared" si="6"/>
        <v>-3750.0798500000001</v>
      </c>
      <c r="F29" s="547">
        <f t="shared" si="6"/>
        <v>-7422.5585100000062</v>
      </c>
      <c r="G29" s="547">
        <f t="shared" si="6"/>
        <v>-4039</v>
      </c>
      <c r="H29" s="547">
        <f t="shared" si="6"/>
        <v>-3484</v>
      </c>
      <c r="I29" s="547">
        <f t="shared" si="6"/>
        <v>-10564.19325</v>
      </c>
      <c r="J29" s="547">
        <f t="shared" si="6"/>
        <v>-6715.2463100000023</v>
      </c>
      <c r="K29" s="547">
        <f t="shared" si="6"/>
        <v>-19697.012180000002</v>
      </c>
      <c r="L29" s="547">
        <f t="shared" si="6"/>
        <v>-10858.439409999992</v>
      </c>
      <c r="M29" s="547">
        <f t="shared" si="6"/>
        <v>-5727.4703400000026</v>
      </c>
      <c r="N29" s="547">
        <f t="shared" si="6"/>
        <v>-6775.0642400000061</v>
      </c>
      <c r="O29" s="547">
        <f t="shared" si="6"/>
        <v>-14490.117980000001</v>
      </c>
      <c r="P29" s="547">
        <f t="shared" si="6"/>
        <v>-6852.8820199999982</v>
      </c>
      <c r="Q29" s="547">
        <f t="shared" si="6"/>
        <v>-6708</v>
      </c>
      <c r="R29" s="547">
        <f t="shared" si="6"/>
        <v>-6739</v>
      </c>
      <c r="S29" s="547">
        <f t="shared" si="6"/>
        <v>-7230.5</v>
      </c>
      <c r="T29" s="547">
        <f t="shared" si="6"/>
        <v>-12773.5</v>
      </c>
      <c r="U29" s="547">
        <f t="shared" si="6"/>
        <v>-12233</v>
      </c>
      <c r="V29" s="547">
        <f t="shared" si="6"/>
        <v>-15572</v>
      </c>
      <c r="W29" s="547">
        <f t="shared" si="6"/>
        <v>-8190</v>
      </c>
      <c r="X29" s="547">
        <f t="shared" si="6"/>
        <v>-13270</v>
      </c>
      <c r="Y29" s="547">
        <f t="shared" si="6"/>
        <v>-7115</v>
      </c>
      <c r="Z29" s="547">
        <f t="shared" si="6"/>
        <v>-10366</v>
      </c>
      <c r="AA29" s="547">
        <f t="shared" si="6"/>
        <v>-6999.3419999999996</v>
      </c>
      <c r="AB29" s="547">
        <f t="shared" si="6"/>
        <v>-8159.0879999999997</v>
      </c>
      <c r="AC29" s="548">
        <v>-6946.1050000000005</v>
      </c>
      <c r="AD29" s="548">
        <v>-111763</v>
      </c>
      <c r="AE29" s="548">
        <v>-19669</v>
      </c>
      <c r="AF29" s="548">
        <v>-20737</v>
      </c>
      <c r="AG29" s="547">
        <f t="shared" ref="AG29:AU29" si="7">AG15+AG16+AG22</f>
        <v>-20376</v>
      </c>
      <c r="AH29" s="547">
        <f t="shared" si="7"/>
        <v>33245.925000000003</v>
      </c>
      <c r="AI29" s="547">
        <f t="shared" si="7"/>
        <v>-12398</v>
      </c>
      <c r="AJ29" s="547">
        <f t="shared" si="7"/>
        <v>-25846</v>
      </c>
      <c r="AK29" s="547">
        <f t="shared" si="7"/>
        <v>-21940</v>
      </c>
      <c r="AL29" s="547">
        <f t="shared" si="7"/>
        <v>-20311</v>
      </c>
      <c r="AM29" s="547">
        <f t="shared" si="7"/>
        <v>-27506</v>
      </c>
      <c r="AN29" s="547">
        <f t="shared" si="7"/>
        <v>-16045</v>
      </c>
      <c r="AO29" s="547">
        <f t="shared" si="7"/>
        <v>-11480</v>
      </c>
      <c r="AP29" s="547">
        <f t="shared" si="7"/>
        <v>-14601</v>
      </c>
      <c r="AQ29" s="547">
        <f t="shared" si="7"/>
        <v>-20356</v>
      </c>
      <c r="AR29" s="547">
        <f t="shared" si="7"/>
        <v>-16910</v>
      </c>
      <c r="AS29" s="547">
        <f t="shared" si="7"/>
        <v>-21316</v>
      </c>
      <c r="AT29" s="547">
        <f t="shared" si="7"/>
        <v>-16089</v>
      </c>
      <c r="AU29" s="547">
        <f t="shared" si="7"/>
        <v>-26591</v>
      </c>
      <c r="AV29" s="547">
        <f>AV14+AV15+AV16+AV22</f>
        <v>-41475.462</v>
      </c>
    </row>
    <row r="30" spans="1:48" ht="15" thickBot="1">
      <c r="A30" s="139" t="s">
        <v>600</v>
      </c>
      <c r="C30" s="138"/>
      <c r="D30" s="138"/>
      <c r="E30" s="138"/>
      <c r="F30" s="138"/>
      <c r="G30" s="138"/>
      <c r="H30" s="138"/>
      <c r="I30" s="138">
        <v>-0.97099999999999997</v>
      </c>
      <c r="J30" s="138"/>
      <c r="K30" s="138"/>
      <c r="L30" s="138">
        <v>-48.585329999999999</v>
      </c>
      <c r="M30" s="138">
        <v>-1.5185999999999993</v>
      </c>
      <c r="N30" s="138">
        <v>-1.5185999999999993</v>
      </c>
      <c r="O30" s="138">
        <v>-1.5185999999999999</v>
      </c>
      <c r="P30" s="138">
        <v>-1.4814000000000001</v>
      </c>
      <c r="Q30" s="138">
        <v>-2</v>
      </c>
      <c r="R30" s="138"/>
      <c r="S30" s="138">
        <v>-2</v>
      </c>
      <c r="T30" s="138">
        <v>-1</v>
      </c>
      <c r="U30" s="138">
        <v>-2</v>
      </c>
      <c r="V30" s="138">
        <v>-1</v>
      </c>
      <c r="W30" s="138">
        <v>-2</v>
      </c>
      <c r="X30" s="138">
        <v>-2939</v>
      </c>
      <c r="Y30" s="138">
        <v>-2509</v>
      </c>
      <c r="Z30" s="138">
        <v>-12731</v>
      </c>
      <c r="AA30" s="138">
        <v>-2</v>
      </c>
      <c r="AB30" s="138">
        <v>-2</v>
      </c>
      <c r="AC30" s="149">
        <v>-34</v>
      </c>
      <c r="AD30" s="152">
        <v>-118</v>
      </c>
      <c r="AE30" s="152">
        <v>-30</v>
      </c>
      <c r="AF30" s="152">
        <v>-30</v>
      </c>
      <c r="AG30" s="152">
        <v>-29</v>
      </c>
      <c r="AH30" s="152">
        <v>-30</v>
      </c>
      <c r="AI30" s="152">
        <v>-30</v>
      </c>
      <c r="AJ30" s="152">
        <v>-59</v>
      </c>
      <c r="AK30" s="152">
        <v>-68</v>
      </c>
      <c r="AL30" s="152">
        <v>-197</v>
      </c>
      <c r="AM30" s="153">
        <v>-59</v>
      </c>
      <c r="AN30" s="153">
        <v>-24330</v>
      </c>
      <c r="AO30" s="153">
        <v>-18</v>
      </c>
      <c r="AP30" s="153">
        <v>-18</v>
      </c>
      <c r="AQ30" s="153">
        <v>-18</v>
      </c>
      <c r="AR30" s="153">
        <v>-18</v>
      </c>
      <c r="AS30" s="153">
        <v>-18</v>
      </c>
      <c r="AT30" s="153">
        <v>-61</v>
      </c>
      <c r="AU30" s="152">
        <v>-21</v>
      </c>
      <c r="AV30" s="152">
        <v>-20.757999999999999</v>
      </c>
    </row>
    <row r="31" spans="1:48" ht="15" thickBot="1">
      <c r="A31" s="140" t="s">
        <v>601</v>
      </c>
      <c r="C31" s="141">
        <f t="shared" ref="C31:AB31" si="8">SUM(C29:C30)</f>
        <v>-16555</v>
      </c>
      <c r="D31" s="141">
        <f t="shared" si="8"/>
        <v>-8959</v>
      </c>
      <c r="E31" s="141">
        <f t="shared" si="8"/>
        <v>-3750.0798500000001</v>
      </c>
      <c r="F31" s="141">
        <f t="shared" si="8"/>
        <v>-7422.5585100000062</v>
      </c>
      <c r="G31" s="141">
        <f t="shared" si="8"/>
        <v>-4039</v>
      </c>
      <c r="H31" s="141">
        <f t="shared" si="8"/>
        <v>-3484</v>
      </c>
      <c r="I31" s="141">
        <f t="shared" si="8"/>
        <v>-10565.16425</v>
      </c>
      <c r="J31" s="141">
        <f t="shared" si="8"/>
        <v>-6715.2463100000023</v>
      </c>
      <c r="K31" s="141">
        <f t="shared" si="8"/>
        <v>-19697.012180000002</v>
      </c>
      <c r="L31" s="141">
        <f t="shared" si="8"/>
        <v>-10907.024739999992</v>
      </c>
      <c r="M31" s="141">
        <f t="shared" si="8"/>
        <v>-5728.9889400000029</v>
      </c>
      <c r="N31" s="141">
        <f t="shared" si="8"/>
        <v>-6776.5828400000064</v>
      </c>
      <c r="O31" s="141">
        <f t="shared" si="8"/>
        <v>-14491.63658</v>
      </c>
      <c r="P31" s="141">
        <f t="shared" si="8"/>
        <v>-6854.3634199999979</v>
      </c>
      <c r="Q31" s="141">
        <f t="shared" si="8"/>
        <v>-6710</v>
      </c>
      <c r="R31" s="141">
        <f t="shared" si="8"/>
        <v>-6739</v>
      </c>
      <c r="S31" s="141">
        <f t="shared" si="8"/>
        <v>-7232.5</v>
      </c>
      <c r="T31" s="141">
        <f t="shared" si="8"/>
        <v>-12774.5</v>
      </c>
      <c r="U31" s="141">
        <f t="shared" si="8"/>
        <v>-12235</v>
      </c>
      <c r="V31" s="141">
        <f t="shared" si="8"/>
        <v>-15573</v>
      </c>
      <c r="W31" s="141">
        <f t="shared" si="8"/>
        <v>-8192</v>
      </c>
      <c r="X31" s="141">
        <f t="shared" si="8"/>
        <v>-16209</v>
      </c>
      <c r="Y31" s="141">
        <f t="shared" si="8"/>
        <v>-9624</v>
      </c>
      <c r="Z31" s="141">
        <f t="shared" si="8"/>
        <v>-23097</v>
      </c>
      <c r="AA31" s="141">
        <f t="shared" si="8"/>
        <v>-7001.3419999999996</v>
      </c>
      <c r="AB31" s="141">
        <f t="shared" si="8"/>
        <v>-8161.0879999999997</v>
      </c>
      <c r="AC31" s="150">
        <v>-6980.1049999999996</v>
      </c>
      <c r="AD31" s="151">
        <v>-111881</v>
      </c>
      <c r="AE31" s="151">
        <v>-19699</v>
      </c>
      <c r="AF31" s="151">
        <v>-20767</v>
      </c>
      <c r="AG31" s="141">
        <f t="shared" ref="AG31:AV31" si="9">SUM(AG29:AG30)</f>
        <v>-20405</v>
      </c>
      <c r="AH31" s="141">
        <f t="shared" si="9"/>
        <v>33215.925000000003</v>
      </c>
      <c r="AI31" s="141">
        <f t="shared" si="9"/>
        <v>-12428</v>
      </c>
      <c r="AJ31" s="141">
        <f t="shared" si="9"/>
        <v>-25905</v>
      </c>
      <c r="AK31" s="141">
        <f t="shared" si="9"/>
        <v>-22008</v>
      </c>
      <c r="AL31" s="141">
        <f t="shared" si="9"/>
        <v>-20508</v>
      </c>
      <c r="AM31" s="154">
        <f t="shared" si="9"/>
        <v>-27565</v>
      </c>
      <c r="AN31" s="154">
        <f t="shared" si="9"/>
        <v>-40375</v>
      </c>
      <c r="AO31" s="154">
        <f t="shared" si="9"/>
        <v>-11498</v>
      </c>
      <c r="AP31" s="154">
        <f t="shared" si="9"/>
        <v>-14619</v>
      </c>
      <c r="AQ31" s="154">
        <f t="shared" si="9"/>
        <v>-20374</v>
      </c>
      <c r="AR31" s="154">
        <f t="shared" si="9"/>
        <v>-16928</v>
      </c>
      <c r="AS31" s="154">
        <f t="shared" si="9"/>
        <v>-21334</v>
      </c>
      <c r="AT31" s="154">
        <f t="shared" si="9"/>
        <v>-16150</v>
      </c>
      <c r="AU31" s="154">
        <f t="shared" si="9"/>
        <v>-26612</v>
      </c>
      <c r="AV31" s="154">
        <f t="shared" si="9"/>
        <v>-41496.22</v>
      </c>
    </row>
    <row r="32" spans="1:48">
      <c r="A32" s="137" t="s">
        <v>662</v>
      </c>
      <c r="C32" s="138">
        <v>-18074</v>
      </c>
      <c r="D32" s="138">
        <v>-60124.399139999994</v>
      </c>
      <c r="E32" s="138">
        <v>200080.39913999999</v>
      </c>
      <c r="F32" s="138">
        <v>-76731</v>
      </c>
      <c r="G32" s="138">
        <v>3185</v>
      </c>
      <c r="H32" s="138">
        <v>-196894</v>
      </c>
      <c r="I32" s="138">
        <v>275675.0514</v>
      </c>
      <c r="J32" s="138">
        <v>503177.88875000004</v>
      </c>
      <c r="K32" s="138">
        <v>86874</v>
      </c>
      <c r="L32" s="138">
        <v>500039.76731999998</v>
      </c>
      <c r="M32" s="138">
        <v>70473.418680000002</v>
      </c>
      <c r="N32" s="138">
        <v>116621.69929000002</v>
      </c>
      <c r="O32" s="138">
        <v>99791.695909999995</v>
      </c>
      <c r="P32" s="138">
        <v>173471.30408999999</v>
      </c>
      <c r="Q32" s="138">
        <v>183333</v>
      </c>
      <c r="R32" s="138">
        <v>185101</v>
      </c>
      <c r="S32" s="138">
        <v>49443</v>
      </c>
      <c r="T32" s="138">
        <v>123795</v>
      </c>
      <c r="U32" s="138">
        <v>315346</v>
      </c>
      <c r="V32" s="138">
        <v>505434</v>
      </c>
      <c r="W32" s="138">
        <v>79029</v>
      </c>
      <c r="X32" s="138">
        <v>143536</v>
      </c>
      <c r="Y32" s="138">
        <v>265786</v>
      </c>
      <c r="Z32" s="138">
        <v>679758</v>
      </c>
      <c r="AA32" s="138">
        <v>254358</v>
      </c>
      <c r="AB32" s="138">
        <v>429373</v>
      </c>
      <c r="AC32" s="149">
        <v>610551</v>
      </c>
      <c r="AD32" s="152">
        <v>1418914</v>
      </c>
      <c r="AE32" s="152">
        <v>475508</v>
      </c>
      <c r="AF32" s="152">
        <v>481044</v>
      </c>
      <c r="AG32" s="152">
        <v>789894</v>
      </c>
      <c r="AH32" s="152">
        <v>1401133</v>
      </c>
      <c r="AI32" s="152">
        <v>397494</v>
      </c>
      <c r="AJ32" s="152">
        <v>1053223</v>
      </c>
      <c r="AK32" s="152">
        <v>1369648</v>
      </c>
      <c r="AL32" s="152">
        <v>1186234</v>
      </c>
      <c r="AM32" s="153">
        <v>678638</v>
      </c>
      <c r="AN32" s="153">
        <v>7779</v>
      </c>
      <c r="AO32" s="153">
        <v>652959</v>
      </c>
      <c r="AP32" s="153">
        <v>555613</v>
      </c>
      <c r="AQ32" s="153">
        <v>517741</v>
      </c>
      <c r="AR32" s="153">
        <v>645818</v>
      </c>
      <c r="AS32" s="153">
        <v>926364</v>
      </c>
      <c r="AT32" s="153">
        <v>713073</v>
      </c>
      <c r="AU32" s="152">
        <v>370431</v>
      </c>
      <c r="AV32" s="152">
        <v>464191</v>
      </c>
    </row>
    <row r="33" spans="1:48" ht="15" thickBot="1">
      <c r="A33" s="139" t="s">
        <v>523</v>
      </c>
      <c r="C33" s="138">
        <v>-1153</v>
      </c>
      <c r="D33" s="138">
        <v>-1153</v>
      </c>
      <c r="E33" s="138">
        <v>-1154.6701200000002</v>
      </c>
      <c r="F33" s="138">
        <v>-1150.8900399999998</v>
      </c>
      <c r="G33" s="138">
        <v>-280.96375999999998</v>
      </c>
      <c r="H33" s="138">
        <v>-277.03624000000002</v>
      </c>
      <c r="I33" s="138">
        <v>-278.89128000000005</v>
      </c>
      <c r="J33" s="138">
        <v>-278.96376000000009</v>
      </c>
      <c r="K33" s="138">
        <v>-1676.8068600000001</v>
      </c>
      <c r="L33" s="138">
        <v>-1676.8068600000001</v>
      </c>
      <c r="M33" s="138">
        <v>-1676.8068599999997</v>
      </c>
      <c r="N33" s="138">
        <v>-1676.8068600000006</v>
      </c>
      <c r="O33" s="138">
        <v>-1593.3617099999999</v>
      </c>
      <c r="P33" s="138">
        <v>-1593.6382900000001</v>
      </c>
      <c r="Q33" s="138">
        <v>-1593</v>
      </c>
      <c r="R33" s="138">
        <v>-1593</v>
      </c>
      <c r="S33" s="138">
        <v>-1481</v>
      </c>
      <c r="T33" s="138">
        <v>-1480</v>
      </c>
      <c r="U33" s="138">
        <v>-1481</v>
      </c>
      <c r="V33" s="138">
        <v>-1481</v>
      </c>
      <c r="W33" s="138">
        <v>-2077</v>
      </c>
      <c r="X33" s="138"/>
      <c r="Y33" s="138"/>
      <c r="Z33" s="138"/>
      <c r="AA33" s="138">
        <v>-5080</v>
      </c>
      <c r="AB33" s="138">
        <v>-45535</v>
      </c>
      <c r="AC33" s="149">
        <v>-23304</v>
      </c>
      <c r="AD33" s="149">
        <v>73919</v>
      </c>
      <c r="AE33" s="149">
        <v>0</v>
      </c>
      <c r="AF33" s="149">
        <v>-49297</v>
      </c>
      <c r="AG33" s="149">
        <v>-83676</v>
      </c>
      <c r="AH33" s="149">
        <v>-24586</v>
      </c>
      <c r="AI33" s="149">
        <v>-24237</v>
      </c>
      <c r="AJ33" s="149">
        <v>-53473</v>
      </c>
      <c r="AK33" s="149"/>
      <c r="AL33" s="149">
        <v>-24263</v>
      </c>
      <c r="AM33" s="155">
        <v>-24278</v>
      </c>
      <c r="AN33" s="155">
        <v>-36566</v>
      </c>
      <c r="AO33" s="155">
        <v>-24309</v>
      </c>
      <c r="AP33" s="155">
        <v>-24309</v>
      </c>
      <c r="AQ33" s="155">
        <v>-19794</v>
      </c>
      <c r="AR33" s="155">
        <v>-10762</v>
      </c>
      <c r="AS33" s="155">
        <v>-10762</v>
      </c>
      <c r="AT33" s="155">
        <v>-10763</v>
      </c>
      <c r="AU33" s="155">
        <v>-10762</v>
      </c>
      <c r="AV33" s="155">
        <v>-9602.9969999999994</v>
      </c>
    </row>
    <row r="34" spans="1:48" ht="15" thickBot="1">
      <c r="A34" s="140" t="s">
        <v>531</v>
      </c>
      <c r="C34" s="141">
        <f>SUM(C35:C36)</f>
        <v>11189</v>
      </c>
      <c r="D34" s="141">
        <f t="shared" ref="D34:AB34" si="10">SUM(D35:D36)</f>
        <v>25907.384850000002</v>
      </c>
      <c r="E34" s="141">
        <f t="shared" si="10"/>
        <v>9771.4728900000009</v>
      </c>
      <c r="F34" s="141">
        <f t="shared" si="10"/>
        <v>29688.964570000007</v>
      </c>
      <c r="G34" s="141">
        <f t="shared" si="10"/>
        <v>19769.874520000001</v>
      </c>
      <c r="H34" s="141">
        <f t="shared" si="10"/>
        <v>19807.125479999999</v>
      </c>
      <c r="I34" s="141">
        <f t="shared" si="10"/>
        <v>21707.856810000005</v>
      </c>
      <c r="J34" s="141">
        <f t="shared" si="10"/>
        <v>21030.612560000001</v>
      </c>
      <c r="K34" s="141">
        <f t="shared" si="10"/>
        <v>23344.658100000001</v>
      </c>
      <c r="L34" s="141">
        <f t="shared" si="10"/>
        <v>18021.564989999995</v>
      </c>
      <c r="M34" s="141">
        <f t="shared" si="10"/>
        <v>21443.580200000004</v>
      </c>
      <c r="N34" s="141">
        <f t="shared" si="10"/>
        <v>20808.742920000008</v>
      </c>
      <c r="O34" s="141">
        <f t="shared" si="10"/>
        <v>17139</v>
      </c>
      <c r="P34" s="141">
        <f t="shared" si="10"/>
        <v>19029</v>
      </c>
      <c r="Q34" s="141">
        <f t="shared" si="10"/>
        <v>20170</v>
      </c>
      <c r="R34" s="141">
        <f t="shared" si="10"/>
        <v>16348</v>
      </c>
      <c r="S34" s="141">
        <f t="shared" si="10"/>
        <v>11048</v>
      </c>
      <c r="T34" s="141">
        <f t="shared" si="10"/>
        <v>18214</v>
      </c>
      <c r="U34" s="141">
        <f t="shared" si="10"/>
        <v>10783</v>
      </c>
      <c r="V34" s="141">
        <f t="shared" si="10"/>
        <v>17018</v>
      </c>
      <c r="W34" s="141">
        <f t="shared" si="10"/>
        <v>-4179</v>
      </c>
      <c r="X34" s="141">
        <f t="shared" si="10"/>
        <v>-6259</v>
      </c>
      <c r="Y34" s="141">
        <f t="shared" si="10"/>
        <v>-8133</v>
      </c>
      <c r="Z34" s="141">
        <f t="shared" si="10"/>
        <v>-21654</v>
      </c>
      <c r="AA34" s="141">
        <f t="shared" si="10"/>
        <v>-29497</v>
      </c>
      <c r="AB34" s="141">
        <f t="shared" si="10"/>
        <v>-33601</v>
      </c>
      <c r="AC34" s="150">
        <v>-31617.999999999996</v>
      </c>
      <c r="AD34" s="151">
        <v>-68720</v>
      </c>
      <c r="AE34" s="151">
        <v>-15851.999999999998</v>
      </c>
      <c r="AF34" s="151">
        <v>-5249</v>
      </c>
      <c r="AG34" s="141">
        <f t="shared" ref="AG34:AV34" si="11">SUM(AG35:AG36)</f>
        <v>-7153</v>
      </c>
      <c r="AH34" s="141">
        <f t="shared" si="11"/>
        <v>-8244</v>
      </c>
      <c r="AI34" s="141">
        <f t="shared" si="11"/>
        <v>-7548</v>
      </c>
      <c r="AJ34" s="141">
        <f t="shared" si="11"/>
        <v>-110889</v>
      </c>
      <c r="AK34" s="141">
        <f t="shared" si="11"/>
        <v>40748</v>
      </c>
      <c r="AL34" s="141">
        <f t="shared" si="11"/>
        <v>420868</v>
      </c>
      <c r="AM34" s="154">
        <f t="shared" si="11"/>
        <v>-33375</v>
      </c>
      <c r="AN34" s="154">
        <f t="shared" si="11"/>
        <v>-87612</v>
      </c>
      <c r="AO34" s="154">
        <f t="shared" si="11"/>
        <v>-99584</v>
      </c>
      <c r="AP34" s="154">
        <f t="shared" si="11"/>
        <v>-38380</v>
      </c>
      <c r="AQ34" s="154">
        <f t="shared" si="11"/>
        <v>-414419</v>
      </c>
      <c r="AR34" s="154">
        <f t="shared" si="11"/>
        <v>-118143</v>
      </c>
      <c r="AS34" s="154">
        <f t="shared" si="11"/>
        <v>-192861</v>
      </c>
      <c r="AT34" s="154">
        <f t="shared" si="11"/>
        <v>1015</v>
      </c>
      <c r="AU34" s="154">
        <f t="shared" si="11"/>
        <v>-89842</v>
      </c>
      <c r="AV34" s="154">
        <f t="shared" si="11"/>
        <v>112723.80800000002</v>
      </c>
    </row>
    <row r="35" spans="1:48">
      <c r="A35" s="137" t="s">
        <v>532</v>
      </c>
      <c r="C35" s="138">
        <v>23437</v>
      </c>
      <c r="D35" s="138">
        <v>28439.985710000001</v>
      </c>
      <c r="E35" s="138">
        <v>10983.792820000002</v>
      </c>
      <c r="F35" s="138">
        <v>24266.559920000007</v>
      </c>
      <c r="G35" s="138">
        <v>19769.874520000001</v>
      </c>
      <c r="H35" s="138">
        <v>19807.125479999999</v>
      </c>
      <c r="I35" s="138">
        <v>21713.230860000003</v>
      </c>
      <c r="J35" s="138">
        <v>22282.354230000004</v>
      </c>
      <c r="K35" s="138">
        <v>23391.087</v>
      </c>
      <c r="L35" s="138">
        <v>24166.484299999996</v>
      </c>
      <c r="M35" s="138">
        <v>21373.582160000005</v>
      </c>
      <c r="N35" s="138">
        <v>20926.952480000007</v>
      </c>
      <c r="O35" s="138">
        <v>17139</v>
      </c>
      <c r="P35" s="138">
        <v>19030</v>
      </c>
      <c r="Q35" s="138">
        <v>20173</v>
      </c>
      <c r="R35" s="138">
        <v>16351</v>
      </c>
      <c r="S35" s="138">
        <v>15372</v>
      </c>
      <c r="T35" s="138">
        <v>19566</v>
      </c>
      <c r="U35" s="138">
        <v>11016</v>
      </c>
      <c r="V35" s="138">
        <v>22057</v>
      </c>
      <c r="W35" s="138">
        <v>17803</v>
      </c>
      <c r="X35" s="138">
        <v>15907</v>
      </c>
      <c r="Y35" s="138">
        <v>15750</v>
      </c>
      <c r="Z35" s="138">
        <v>18927</v>
      </c>
      <c r="AA35" s="138">
        <v>9114</v>
      </c>
      <c r="AB35" s="138">
        <v>5658</v>
      </c>
      <c r="AC35" s="149">
        <v>8039</v>
      </c>
      <c r="AD35" s="152">
        <v>10522</v>
      </c>
      <c r="AE35" s="152">
        <v>11830</v>
      </c>
      <c r="AF35" s="152">
        <v>5453</v>
      </c>
      <c r="AG35" s="152">
        <v>3499</v>
      </c>
      <c r="AH35" s="152">
        <v>2251</v>
      </c>
      <c r="AI35" s="152">
        <v>2011</v>
      </c>
      <c r="AJ35" s="152">
        <v>4796</v>
      </c>
      <c r="AK35" s="152">
        <v>13447</v>
      </c>
      <c r="AL35" s="152">
        <v>445500</v>
      </c>
      <c r="AM35" s="153">
        <v>106479</v>
      </c>
      <c r="AN35" s="153">
        <v>62459</v>
      </c>
      <c r="AO35" s="153">
        <v>68874</v>
      </c>
      <c r="AP35" s="153">
        <v>126815</v>
      </c>
      <c r="AQ35" s="153">
        <v>115928</v>
      </c>
      <c r="AR35" s="153">
        <v>94923</v>
      </c>
      <c r="AS35" s="153">
        <v>109967</v>
      </c>
      <c r="AT35" s="153">
        <v>198333</v>
      </c>
      <c r="AU35" s="153">
        <v>106877</v>
      </c>
      <c r="AV35" s="153">
        <v>146058.70800000001</v>
      </c>
    </row>
    <row r="36" spans="1:48" ht="15" thickBot="1">
      <c r="A36" s="139" t="s">
        <v>541</v>
      </c>
      <c r="C36" s="138">
        <v>-12248</v>
      </c>
      <c r="D36" s="138">
        <v>-2532.6008599999986</v>
      </c>
      <c r="E36" s="138">
        <v>-1212.3199300000015</v>
      </c>
      <c r="F36" s="138">
        <v>5422.4046500000004</v>
      </c>
      <c r="G36" s="138"/>
      <c r="H36" s="138"/>
      <c r="I36" s="138">
        <v>-5.3740500000000004</v>
      </c>
      <c r="J36" s="138">
        <v>-1251.7416700000017</v>
      </c>
      <c r="K36" s="138">
        <v>-46.428899999999999</v>
      </c>
      <c r="L36" s="138">
        <v>-6144.9193100000002</v>
      </c>
      <c r="M36" s="138">
        <v>69.998039999999492</v>
      </c>
      <c r="N36" s="138">
        <v>-118.20955999999933</v>
      </c>
      <c r="O36" s="138"/>
      <c r="P36" s="138">
        <v>-1</v>
      </c>
      <c r="Q36" s="138">
        <v>-3</v>
      </c>
      <c r="R36" s="138">
        <v>-3</v>
      </c>
      <c r="S36" s="138">
        <v>-4324</v>
      </c>
      <c r="T36" s="138">
        <v>-1352</v>
      </c>
      <c r="U36" s="138">
        <v>-233</v>
      </c>
      <c r="V36" s="138">
        <v>-5039</v>
      </c>
      <c r="W36" s="138">
        <v>-21982</v>
      </c>
      <c r="X36" s="138">
        <v>-22166</v>
      </c>
      <c r="Y36" s="138">
        <v>-23883</v>
      </c>
      <c r="Z36" s="138">
        <v>-40581</v>
      </c>
      <c r="AA36" s="138">
        <v>-38611</v>
      </c>
      <c r="AB36" s="138">
        <v>-39259</v>
      </c>
      <c r="AC36" s="149">
        <v>-39657</v>
      </c>
      <c r="AD36" s="152">
        <v>-79242</v>
      </c>
      <c r="AE36" s="152">
        <v>-27682</v>
      </c>
      <c r="AF36" s="152">
        <v>-10702</v>
      </c>
      <c r="AG36" s="152">
        <v>-10652</v>
      </c>
      <c r="AH36" s="152">
        <v>-10495</v>
      </c>
      <c r="AI36" s="152">
        <v>-9559</v>
      </c>
      <c r="AJ36" s="152">
        <v>-115685</v>
      </c>
      <c r="AK36" s="152">
        <v>27301</v>
      </c>
      <c r="AL36" s="152">
        <v>-24632</v>
      </c>
      <c r="AM36" s="153">
        <v>-139854</v>
      </c>
      <c r="AN36" s="153">
        <v>-150071</v>
      </c>
      <c r="AO36" s="153">
        <v>-168458</v>
      </c>
      <c r="AP36" s="153">
        <v>-165195</v>
      </c>
      <c r="AQ36" s="153">
        <v>-530347</v>
      </c>
      <c r="AR36" s="153">
        <v>-213066</v>
      </c>
      <c r="AS36" s="153">
        <v>-302828</v>
      </c>
      <c r="AT36" s="153">
        <v>-197318</v>
      </c>
      <c r="AU36" s="153">
        <v>-196719</v>
      </c>
      <c r="AV36" s="153">
        <v>-33334.9</v>
      </c>
    </row>
    <row r="37" spans="1:48" ht="15" thickBot="1">
      <c r="A37" s="145" t="s">
        <v>609</v>
      </c>
      <c r="C37" s="141">
        <f>C31+C32+C33+C34</f>
        <v>-24593</v>
      </c>
      <c r="D37" s="141">
        <f t="shared" ref="D37:AB37" si="12">D31+D32+D33+D34</f>
        <v>-44329.014289999992</v>
      </c>
      <c r="E37" s="141">
        <f t="shared" si="12"/>
        <v>204947.12205999999</v>
      </c>
      <c r="F37" s="141">
        <f t="shared" si="12"/>
        <v>-55615.48397999999</v>
      </c>
      <c r="G37" s="141">
        <f t="shared" si="12"/>
        <v>18634.910760000002</v>
      </c>
      <c r="H37" s="141">
        <f t="shared" si="12"/>
        <v>-180847.91076</v>
      </c>
      <c r="I37" s="141">
        <f t="shared" si="12"/>
        <v>286538.85268000007</v>
      </c>
      <c r="J37" s="141">
        <f t="shared" si="12"/>
        <v>517214.29123999999</v>
      </c>
      <c r="K37" s="141">
        <f t="shared" si="12"/>
        <v>88844.839059999998</v>
      </c>
      <c r="L37" s="141">
        <f t="shared" si="12"/>
        <v>505477.50070999999</v>
      </c>
      <c r="M37" s="141">
        <f t="shared" si="12"/>
        <v>84511.203080000007</v>
      </c>
      <c r="N37" s="141">
        <f t="shared" si="12"/>
        <v>128977.05251000002</v>
      </c>
      <c r="O37" s="141">
        <f t="shared" si="12"/>
        <v>100845.69761999999</v>
      </c>
      <c r="P37" s="141">
        <f t="shared" si="12"/>
        <v>184052.30237999998</v>
      </c>
      <c r="Q37" s="141">
        <f t="shared" si="12"/>
        <v>195200</v>
      </c>
      <c r="R37" s="141">
        <f t="shared" si="12"/>
        <v>193117</v>
      </c>
      <c r="S37" s="141">
        <f t="shared" si="12"/>
        <v>51777.5</v>
      </c>
      <c r="T37" s="141">
        <f t="shared" si="12"/>
        <v>127754.5</v>
      </c>
      <c r="U37" s="141">
        <f t="shared" si="12"/>
        <v>312413</v>
      </c>
      <c r="V37" s="141">
        <f t="shared" si="12"/>
        <v>505398</v>
      </c>
      <c r="W37" s="141">
        <f t="shared" si="12"/>
        <v>64581</v>
      </c>
      <c r="X37" s="141">
        <f t="shared" si="12"/>
        <v>121068</v>
      </c>
      <c r="Y37" s="141">
        <f t="shared" si="12"/>
        <v>248029</v>
      </c>
      <c r="Z37" s="141">
        <f t="shared" si="12"/>
        <v>635007</v>
      </c>
      <c r="AA37" s="141">
        <f t="shared" si="12"/>
        <v>212779.658</v>
      </c>
      <c r="AB37" s="141">
        <f t="shared" si="12"/>
        <v>342075.91200000001</v>
      </c>
      <c r="AC37" s="150">
        <v>548648.89500000002</v>
      </c>
      <c r="AD37" s="151">
        <v>1312232</v>
      </c>
      <c r="AE37" s="151">
        <v>439957</v>
      </c>
      <c r="AF37" s="151">
        <v>405730.99999999994</v>
      </c>
      <c r="AG37" s="141">
        <f t="shared" ref="AG37:AV37" si="13">AG31+AG32+AG33+AG34</f>
        <v>678660</v>
      </c>
      <c r="AH37" s="141">
        <f t="shared" si="13"/>
        <v>1401518.925</v>
      </c>
      <c r="AI37" s="141">
        <f t="shared" si="13"/>
        <v>353281</v>
      </c>
      <c r="AJ37" s="141">
        <f t="shared" si="13"/>
        <v>862956</v>
      </c>
      <c r="AK37" s="141">
        <f t="shared" si="13"/>
        <v>1388388</v>
      </c>
      <c r="AL37" s="141">
        <f t="shared" si="13"/>
        <v>1562331</v>
      </c>
      <c r="AM37" s="141">
        <f t="shared" si="13"/>
        <v>593420</v>
      </c>
      <c r="AN37" s="141">
        <f t="shared" si="13"/>
        <v>-156774</v>
      </c>
      <c r="AO37" s="141">
        <f t="shared" si="13"/>
        <v>517568</v>
      </c>
      <c r="AP37" s="141">
        <f t="shared" si="13"/>
        <v>478305</v>
      </c>
      <c r="AQ37" s="141">
        <f t="shared" si="13"/>
        <v>63154</v>
      </c>
      <c r="AR37" s="141">
        <f t="shared" si="13"/>
        <v>499985</v>
      </c>
      <c r="AS37" s="141">
        <f t="shared" si="13"/>
        <v>701407</v>
      </c>
      <c r="AT37" s="141">
        <f t="shared" si="13"/>
        <v>687175</v>
      </c>
      <c r="AU37" s="141">
        <f t="shared" si="13"/>
        <v>243215</v>
      </c>
      <c r="AV37" s="141">
        <f t="shared" si="13"/>
        <v>525815.59100000001</v>
      </c>
    </row>
    <row r="38" spans="1:48">
      <c r="A38" s="137" t="s">
        <v>553</v>
      </c>
      <c r="C38" s="138"/>
      <c r="D38" s="138"/>
      <c r="E38" s="138">
        <v>-1394</v>
      </c>
      <c r="F38" s="138">
        <v>-1728.7580699999999</v>
      </c>
      <c r="G38" s="138">
        <v>-1064.4675099999999</v>
      </c>
      <c r="H38" s="138">
        <v>-1106.3941199999999</v>
      </c>
      <c r="I38" s="138">
        <v>-1111.9614999999999</v>
      </c>
      <c r="J38" s="138">
        <v>2274.8680599999998</v>
      </c>
      <c r="K38" s="138">
        <v>-921.81399999999996</v>
      </c>
      <c r="L38" s="138">
        <v>-1335.8954300000005</v>
      </c>
      <c r="M38" s="138">
        <v>-822.57741999999962</v>
      </c>
      <c r="N38" s="138">
        <v>3251.6011699999999</v>
      </c>
      <c r="O38" s="138">
        <v>-820.04539999999997</v>
      </c>
      <c r="P38" s="138">
        <v>-1395.9546</v>
      </c>
      <c r="Q38" s="138">
        <v>-2291</v>
      </c>
      <c r="R38" s="138">
        <v>3958</v>
      </c>
      <c r="S38" s="138">
        <v>-609.4</v>
      </c>
      <c r="T38" s="138">
        <v>-1007.6</v>
      </c>
      <c r="U38" s="138">
        <v>-195</v>
      </c>
      <c r="V38" s="138">
        <v>957</v>
      </c>
      <c r="W38" s="138">
        <v>0</v>
      </c>
      <c r="X38" s="138">
        <v>0</v>
      </c>
      <c r="Y38" s="138">
        <v>0</v>
      </c>
      <c r="Z38" s="138">
        <v>0</v>
      </c>
      <c r="AA38" s="138"/>
      <c r="AB38" s="138"/>
      <c r="AC38" s="149">
        <v>0</v>
      </c>
      <c r="AD38" s="149">
        <v>0</v>
      </c>
      <c r="AE38" s="149">
        <v>0</v>
      </c>
      <c r="AF38" s="149">
        <v>0</v>
      </c>
      <c r="AG38" s="149">
        <v>0</v>
      </c>
      <c r="AH38" s="149">
        <v>0</v>
      </c>
      <c r="AI38" s="149">
        <v>0</v>
      </c>
      <c r="AJ38" s="149">
        <v>0</v>
      </c>
      <c r="AK38" s="149">
        <v>0</v>
      </c>
      <c r="AL38" s="149"/>
      <c r="AM38" s="149"/>
      <c r="AN38" s="149"/>
      <c r="AO38" s="149">
        <v>0</v>
      </c>
      <c r="AP38" s="149"/>
      <c r="AQ38" s="149"/>
      <c r="AR38" s="149"/>
      <c r="AS38" s="149"/>
      <c r="AT38" s="153">
        <v>0</v>
      </c>
      <c r="AU38" s="153">
        <v>0</v>
      </c>
      <c r="AV38" s="153">
        <v>0</v>
      </c>
    </row>
    <row r="39" spans="1:48">
      <c r="A39" s="137" t="s">
        <v>554</v>
      </c>
      <c r="C39" s="138"/>
      <c r="D39" s="138"/>
      <c r="E39" s="138">
        <v>-3853.3856700000001</v>
      </c>
      <c r="F39" s="138">
        <v>-4796.6143300000003</v>
      </c>
      <c r="G39" s="138">
        <v>-2950.8541700000001</v>
      </c>
      <c r="H39" s="138">
        <v>-3067.3148899999992</v>
      </c>
      <c r="I39" s="138">
        <v>-3528.4386999999997</v>
      </c>
      <c r="J39" s="138">
        <v>6771.607759999999</v>
      </c>
      <c r="K39" s="138">
        <v>-2554.5944500000001</v>
      </c>
      <c r="L39" s="138">
        <v>-4028.6577299999994</v>
      </c>
      <c r="M39" s="138">
        <v>-3264.8683400000009</v>
      </c>
      <c r="N39" s="138">
        <v>10347.995989999999</v>
      </c>
      <c r="O39" s="138">
        <v>-2271.9038799999998</v>
      </c>
      <c r="P39" s="138">
        <v>-3872.0961200000002</v>
      </c>
      <c r="Q39" s="138">
        <v>-4188</v>
      </c>
      <c r="R39" s="138">
        <v>8832</v>
      </c>
      <c r="S39" s="138">
        <v>-1685</v>
      </c>
      <c r="T39" s="138">
        <v>-2794</v>
      </c>
      <c r="U39" s="138">
        <v>-536</v>
      </c>
      <c r="V39" s="138">
        <v>2656</v>
      </c>
      <c r="W39" s="138">
        <v>0</v>
      </c>
      <c r="X39" s="138">
        <v>0</v>
      </c>
      <c r="Y39" s="138">
        <v>0</v>
      </c>
      <c r="Z39" s="138">
        <v>0</v>
      </c>
      <c r="AA39" s="138"/>
      <c r="AB39" s="138"/>
      <c r="AC39" s="149">
        <v>0</v>
      </c>
      <c r="AD39" s="149">
        <v>0</v>
      </c>
      <c r="AE39" s="149">
        <v>0</v>
      </c>
      <c r="AF39" s="149">
        <v>0</v>
      </c>
      <c r="AG39" s="149">
        <v>0</v>
      </c>
      <c r="AH39" s="149">
        <v>0</v>
      </c>
      <c r="AI39" s="149">
        <v>0</v>
      </c>
      <c r="AJ39" s="149">
        <v>0</v>
      </c>
      <c r="AK39" s="149">
        <v>0</v>
      </c>
      <c r="AL39" s="149"/>
      <c r="AM39" s="149"/>
      <c r="AN39" s="149"/>
      <c r="AO39" s="149">
        <v>0</v>
      </c>
      <c r="AP39" s="149"/>
      <c r="AQ39" s="149"/>
      <c r="AR39" s="149"/>
      <c r="AS39" s="149"/>
      <c r="AT39" s="153">
        <v>0</v>
      </c>
      <c r="AU39" s="153">
        <v>-111</v>
      </c>
      <c r="AV39" s="153">
        <v>111.77800000000001</v>
      </c>
    </row>
    <row r="40" spans="1:48">
      <c r="A40" s="137" t="s">
        <v>603</v>
      </c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>
        <v>0</v>
      </c>
      <c r="R40" s="138"/>
      <c r="S40" s="138">
        <v>0</v>
      </c>
      <c r="T40" s="138">
        <v>3134</v>
      </c>
      <c r="U40" s="138">
        <v>0</v>
      </c>
      <c r="V40" s="138">
        <v>0</v>
      </c>
      <c r="W40" s="138">
        <v>0</v>
      </c>
      <c r="X40" s="138">
        <v>0</v>
      </c>
      <c r="Y40" s="138">
        <v>0</v>
      </c>
      <c r="Z40" s="138">
        <v>0</v>
      </c>
      <c r="AA40" s="138"/>
      <c r="AB40" s="138"/>
      <c r="AC40" s="149">
        <v>0</v>
      </c>
      <c r="AD40" s="149">
        <v>0</v>
      </c>
      <c r="AE40" s="149">
        <v>0</v>
      </c>
      <c r="AF40" s="149">
        <v>0</v>
      </c>
      <c r="AG40" s="149">
        <v>0</v>
      </c>
      <c r="AH40" s="149">
        <v>0</v>
      </c>
      <c r="AI40" s="149">
        <v>0</v>
      </c>
      <c r="AJ40" s="149">
        <v>0</v>
      </c>
      <c r="AK40" s="149">
        <v>0</v>
      </c>
      <c r="AL40" s="149">
        <v>-140465</v>
      </c>
      <c r="AM40" s="149">
        <v>-13344</v>
      </c>
      <c r="AN40" s="149">
        <v>-13529</v>
      </c>
      <c r="AO40" s="149">
        <v>-13307</v>
      </c>
      <c r="AP40" s="149">
        <v>-18311</v>
      </c>
      <c r="AQ40" s="149">
        <v>100532</v>
      </c>
      <c r="AR40" s="149">
        <v>17714</v>
      </c>
      <c r="AS40" s="149">
        <v>18615</v>
      </c>
      <c r="AT40" s="153">
        <v>-12990</v>
      </c>
      <c r="AU40" s="153">
        <v>36341</v>
      </c>
      <c r="AV40" s="153">
        <v>-17451.008000000002</v>
      </c>
    </row>
    <row r="41" spans="1:48" ht="15" thickBot="1">
      <c r="A41" s="139" t="s">
        <v>555</v>
      </c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>
        <v>0</v>
      </c>
      <c r="R41" s="138"/>
      <c r="S41" s="138">
        <v>0</v>
      </c>
      <c r="T41" s="138">
        <v>0</v>
      </c>
      <c r="U41" s="138">
        <v>0</v>
      </c>
      <c r="V41" s="138">
        <v>0</v>
      </c>
      <c r="W41" s="138">
        <v>0</v>
      </c>
      <c r="X41" s="138">
        <v>0</v>
      </c>
      <c r="Y41" s="138">
        <v>0</v>
      </c>
      <c r="Z41" s="138">
        <v>0</v>
      </c>
      <c r="AA41" s="138"/>
      <c r="AB41" s="138"/>
      <c r="AC41" s="149">
        <v>0</v>
      </c>
      <c r="AD41" s="149">
        <v>0</v>
      </c>
      <c r="AE41" s="149">
        <v>0</v>
      </c>
      <c r="AF41" s="149">
        <v>0</v>
      </c>
      <c r="AG41" s="149">
        <v>0</v>
      </c>
      <c r="AH41" s="149">
        <v>0</v>
      </c>
      <c r="AI41" s="149">
        <v>0</v>
      </c>
      <c r="AJ41" s="149">
        <v>0</v>
      </c>
      <c r="AK41" s="149">
        <v>0</v>
      </c>
      <c r="AL41" s="149"/>
      <c r="AM41" s="149"/>
      <c r="AN41" s="149"/>
      <c r="AO41" s="149"/>
      <c r="AP41" s="149"/>
      <c r="AQ41" s="149"/>
      <c r="AR41" s="149"/>
      <c r="AS41" s="149"/>
      <c r="AT41" s="153">
        <v>0</v>
      </c>
      <c r="AU41" s="153">
        <v>0</v>
      </c>
      <c r="AV41" s="153">
        <v>0</v>
      </c>
    </row>
    <row r="42" spans="1:48" ht="15" thickBot="1">
      <c r="A42" s="140" t="s">
        <v>604</v>
      </c>
      <c r="C42" s="141">
        <f>SUM(C37:C41)</f>
        <v>-24593</v>
      </c>
      <c r="D42" s="141">
        <f t="shared" ref="D42:AB42" si="14">SUM(D37:D41)</f>
        <v>-44329.014289999992</v>
      </c>
      <c r="E42" s="141">
        <f t="shared" si="14"/>
        <v>199699.73639000001</v>
      </c>
      <c r="F42" s="141">
        <f t="shared" si="14"/>
        <v>-62140.856379999983</v>
      </c>
      <c r="G42" s="141">
        <f t="shared" si="14"/>
        <v>14619.589080000003</v>
      </c>
      <c r="H42" s="141">
        <f t="shared" si="14"/>
        <v>-185021.61977000002</v>
      </c>
      <c r="I42" s="141">
        <f t="shared" si="14"/>
        <v>281898.45248000009</v>
      </c>
      <c r="J42" s="141">
        <f t="shared" si="14"/>
        <v>526260.76705999998</v>
      </c>
      <c r="K42" s="141">
        <f t="shared" si="14"/>
        <v>85368.430609999996</v>
      </c>
      <c r="L42" s="141">
        <f t="shared" si="14"/>
        <v>500112.94755000004</v>
      </c>
      <c r="M42" s="141">
        <f t="shared" si="14"/>
        <v>80423.757320000004</v>
      </c>
      <c r="N42" s="141">
        <f t="shared" si="14"/>
        <v>142576.64967000001</v>
      </c>
      <c r="O42" s="141">
        <f t="shared" si="14"/>
        <v>97753.748339999991</v>
      </c>
      <c r="P42" s="141">
        <f t="shared" si="14"/>
        <v>178784.25165999998</v>
      </c>
      <c r="Q42" s="141">
        <f t="shared" si="14"/>
        <v>188721</v>
      </c>
      <c r="R42" s="141">
        <f t="shared" si="14"/>
        <v>205907</v>
      </c>
      <c r="S42" s="141">
        <f t="shared" si="14"/>
        <v>49483.1</v>
      </c>
      <c r="T42" s="141">
        <f t="shared" si="14"/>
        <v>127086.9</v>
      </c>
      <c r="U42" s="141">
        <f t="shared" si="14"/>
        <v>311682</v>
      </c>
      <c r="V42" s="141">
        <f t="shared" si="14"/>
        <v>509011</v>
      </c>
      <c r="W42" s="141">
        <f t="shared" si="14"/>
        <v>64581</v>
      </c>
      <c r="X42" s="141">
        <f t="shared" si="14"/>
        <v>121068</v>
      </c>
      <c r="Y42" s="141">
        <f t="shared" si="14"/>
        <v>248029</v>
      </c>
      <c r="Z42" s="141">
        <f t="shared" si="14"/>
        <v>635007</v>
      </c>
      <c r="AA42" s="141">
        <f t="shared" si="14"/>
        <v>212779.658</v>
      </c>
      <c r="AB42" s="141">
        <f t="shared" si="14"/>
        <v>342075.91200000001</v>
      </c>
      <c r="AC42" s="150">
        <v>548648.89500000002</v>
      </c>
      <c r="AD42" s="151">
        <v>1312232</v>
      </c>
      <c r="AE42" s="151">
        <v>439957</v>
      </c>
      <c r="AF42" s="151">
        <v>405730.99999999994</v>
      </c>
      <c r="AG42" s="141">
        <f t="shared" ref="AG42:AV42" si="15">SUM(AG37:AG41)</f>
        <v>678660</v>
      </c>
      <c r="AH42" s="141">
        <f t="shared" si="15"/>
        <v>1401518.925</v>
      </c>
      <c r="AI42" s="141">
        <f t="shared" si="15"/>
        <v>353281</v>
      </c>
      <c r="AJ42" s="141">
        <f t="shared" si="15"/>
        <v>862956</v>
      </c>
      <c r="AK42" s="141">
        <f t="shared" si="15"/>
        <v>1388388</v>
      </c>
      <c r="AL42" s="141">
        <f t="shared" si="15"/>
        <v>1421866</v>
      </c>
      <c r="AM42" s="141">
        <f t="shared" si="15"/>
        <v>580076</v>
      </c>
      <c r="AN42" s="141">
        <f t="shared" si="15"/>
        <v>-170303</v>
      </c>
      <c r="AO42" s="141">
        <f t="shared" si="15"/>
        <v>504261</v>
      </c>
      <c r="AP42" s="141">
        <f t="shared" si="15"/>
        <v>459994</v>
      </c>
      <c r="AQ42" s="141">
        <f t="shared" si="15"/>
        <v>163686</v>
      </c>
      <c r="AR42" s="141">
        <f t="shared" si="15"/>
        <v>517699</v>
      </c>
      <c r="AS42" s="141">
        <f t="shared" si="15"/>
        <v>720022</v>
      </c>
      <c r="AT42" s="141">
        <f t="shared" si="15"/>
        <v>674185</v>
      </c>
      <c r="AU42" s="141">
        <f t="shared" si="15"/>
        <v>279445</v>
      </c>
      <c r="AV42" s="141">
        <f t="shared" si="15"/>
        <v>508476.36100000003</v>
      </c>
    </row>
    <row r="44" spans="1:48">
      <c r="AN44" s="111"/>
      <c r="AO44" s="111"/>
      <c r="AP44" s="111"/>
      <c r="AQ44" s="111"/>
      <c r="AR44" s="111"/>
      <c r="AS44" s="111"/>
      <c r="AT44" s="111"/>
      <c r="AU44" s="111"/>
      <c r="AV44" s="111"/>
    </row>
  </sheetData>
  <pageMargins left="0.511811024" right="0.511811024" top="0.78740157499999996" bottom="0.78740157499999996" header="0.31496062000000002" footer="0.3149606200000000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9" tint="0.79998168889431442"/>
  </sheetPr>
  <dimension ref="A7:T1048576"/>
  <sheetViews>
    <sheetView showGridLines="0" zoomScaleNormal="100" workbookViewId="0">
      <pane xSplit="1" ySplit="8" topLeftCell="N24" activePane="bottomRight" state="frozen"/>
      <selection pane="topRight" activeCell="AN17" sqref="AN17"/>
      <selection pane="bottomLeft" activeCell="AN17" sqref="AN17"/>
      <selection pane="bottomRight" activeCell="T35" sqref="Q35:T35"/>
    </sheetView>
  </sheetViews>
  <sheetFormatPr defaultColWidth="9.1796875" defaultRowHeight="14.5" outlineLevelCol="1"/>
  <cols>
    <col min="1" max="1" width="44.453125" style="37" bestFit="1" customWidth="1"/>
    <col min="2" max="2" width="0.453125" customWidth="1"/>
    <col min="3" max="10" width="9.54296875" style="37" hidden="1" customWidth="1" outlineLevel="1"/>
    <col min="11" max="11" width="9.54296875" style="37" customWidth="1" collapsed="1"/>
    <col min="12" max="16" width="9.54296875" style="37" bestFit="1" customWidth="1"/>
    <col min="17" max="18" width="9.81640625" style="37" bestFit="1" customWidth="1"/>
    <col min="19" max="19" width="9.1796875" style="37"/>
    <col min="20" max="20" width="9.7265625" style="37" bestFit="1" customWidth="1"/>
    <col min="21" max="16384" width="9.1796875" style="37"/>
  </cols>
  <sheetData>
    <row r="7" spans="1:20">
      <c r="A7" s="41" t="s">
        <v>663</v>
      </c>
      <c r="B7" s="133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</row>
    <row r="8" spans="1:20" ht="15" thickBot="1">
      <c r="A8" s="544" t="s">
        <v>585</v>
      </c>
      <c r="B8" s="134"/>
      <c r="C8" s="545" t="s">
        <v>37</v>
      </c>
      <c r="D8" s="545" t="s">
        <v>38</v>
      </c>
      <c r="E8" s="545" t="s">
        <v>39</v>
      </c>
      <c r="F8" s="545" t="s">
        <v>40</v>
      </c>
      <c r="G8" s="545" t="s">
        <v>41</v>
      </c>
      <c r="H8" s="545" t="s">
        <v>42</v>
      </c>
      <c r="I8" s="545" t="s">
        <v>43</v>
      </c>
      <c r="J8" s="545" t="s">
        <v>44</v>
      </c>
      <c r="K8" s="545" t="s">
        <v>45</v>
      </c>
      <c r="L8" s="545" t="s">
        <v>46</v>
      </c>
      <c r="M8" s="545" t="s">
        <v>47</v>
      </c>
      <c r="N8" s="545" t="s">
        <v>48</v>
      </c>
      <c r="O8" s="545" t="s">
        <v>49</v>
      </c>
      <c r="P8" s="545" t="s">
        <v>50</v>
      </c>
      <c r="Q8" s="545" t="s">
        <v>51</v>
      </c>
      <c r="R8" s="545" t="s">
        <v>52</v>
      </c>
      <c r="S8" s="545" t="s">
        <v>53</v>
      </c>
      <c r="T8" s="545" t="s">
        <v>54</v>
      </c>
    </row>
    <row r="9" spans="1:20" ht="15" thickBot="1">
      <c r="A9" s="135" t="s">
        <v>465</v>
      </c>
      <c r="B9" s="134"/>
      <c r="C9" s="136">
        <f t="shared" ref="C9:K9" si="0">SUM(C10:C17)</f>
        <v>5673926</v>
      </c>
      <c r="D9" s="136">
        <f t="shared" si="0"/>
        <v>4604070</v>
      </c>
      <c r="E9" s="136">
        <f t="shared" si="0"/>
        <v>5615179</v>
      </c>
      <c r="F9" s="136">
        <f t="shared" si="0"/>
        <v>7537009</v>
      </c>
      <c r="G9" s="136">
        <f t="shared" si="0"/>
        <v>5564050</v>
      </c>
      <c r="H9" s="136">
        <f t="shared" si="0"/>
        <v>5714631</v>
      </c>
      <c r="I9" s="136">
        <f t="shared" si="0"/>
        <v>9824002</v>
      </c>
      <c r="J9" s="136">
        <f t="shared" si="0"/>
        <v>10739210</v>
      </c>
      <c r="K9" s="136">
        <f t="shared" si="0"/>
        <v>8665672</v>
      </c>
      <c r="L9" s="136">
        <f t="shared" ref="L9:T9" si="1">SUM(L10:L17)</f>
        <v>9041537</v>
      </c>
      <c r="M9" s="136">
        <f t="shared" si="1"/>
        <v>9019875</v>
      </c>
      <c r="N9" s="136">
        <f t="shared" si="1"/>
        <v>10085102</v>
      </c>
      <c r="O9" s="136">
        <f t="shared" si="1"/>
        <v>13238356</v>
      </c>
      <c r="P9" s="136">
        <f t="shared" si="1"/>
        <v>12540232</v>
      </c>
      <c r="Q9" s="136">
        <f t="shared" si="1"/>
        <v>13839762</v>
      </c>
      <c r="R9" s="136">
        <f t="shared" si="1"/>
        <v>15247257.314999999</v>
      </c>
      <c r="S9" s="136">
        <f t="shared" si="1"/>
        <v>13837155.754999999</v>
      </c>
      <c r="T9" s="136">
        <f t="shared" si="1"/>
        <v>14533209</v>
      </c>
    </row>
    <row r="10" spans="1:20">
      <c r="A10" s="137" t="s">
        <v>586</v>
      </c>
      <c r="B10" s="134"/>
      <c r="C10" s="138">
        <v>3966120</v>
      </c>
      <c r="D10" s="138">
        <v>3370350</v>
      </c>
      <c r="E10" s="138">
        <v>4302851</v>
      </c>
      <c r="F10" s="138">
        <v>5078160</v>
      </c>
      <c r="G10" s="138">
        <v>4408110</v>
      </c>
      <c r="H10" s="138">
        <v>4472232</v>
      </c>
      <c r="I10" s="138">
        <v>7440351</v>
      </c>
      <c r="J10" s="138">
        <v>8017446</v>
      </c>
      <c r="K10" s="138">
        <v>6505347</v>
      </c>
      <c r="L10" s="138">
        <v>6342428</v>
      </c>
      <c r="M10" s="138">
        <v>6442240</v>
      </c>
      <c r="N10" s="138">
        <v>6984645</v>
      </c>
      <c r="O10" s="138">
        <v>9068794</v>
      </c>
      <c r="P10" s="138">
        <v>8888486</v>
      </c>
      <c r="Q10" s="138">
        <v>9566498</v>
      </c>
      <c r="R10" s="138">
        <v>10754000</v>
      </c>
      <c r="S10" s="138">
        <v>10166242</v>
      </c>
      <c r="T10" s="138">
        <v>10377356</v>
      </c>
    </row>
    <row r="11" spans="1:20">
      <c r="A11" s="137" t="s">
        <v>468</v>
      </c>
      <c r="B11" s="134"/>
      <c r="C11" s="138">
        <v>78321</v>
      </c>
      <c r="D11" s="138">
        <v>27590</v>
      </c>
      <c r="E11" s="138">
        <v>32110</v>
      </c>
      <c r="F11" s="138">
        <v>134333</v>
      </c>
      <c r="G11" s="138">
        <v>33384</v>
      </c>
      <c r="H11" s="138">
        <v>82224</v>
      </c>
      <c r="I11" s="138">
        <v>459085</v>
      </c>
      <c r="J11" s="138">
        <v>496697</v>
      </c>
      <c r="K11" s="138">
        <v>69935</v>
      </c>
      <c r="L11" s="138">
        <v>110486</v>
      </c>
      <c r="M11" s="138">
        <v>93873</v>
      </c>
      <c r="N11" s="138">
        <v>91193</v>
      </c>
      <c r="O11" s="138">
        <v>96740</v>
      </c>
      <c r="P11" s="138">
        <v>124066</v>
      </c>
      <c r="Q11" s="138">
        <v>110338</v>
      </c>
      <c r="R11" s="138">
        <v>179902</v>
      </c>
      <c r="S11" s="138">
        <v>62768</v>
      </c>
      <c r="T11" s="138">
        <v>90433</v>
      </c>
    </row>
    <row r="12" spans="1:20">
      <c r="A12" s="137" t="s">
        <v>470</v>
      </c>
      <c r="B12" s="134"/>
      <c r="C12" s="138">
        <v>1233818</v>
      </c>
      <c r="D12" s="138">
        <v>806348</v>
      </c>
      <c r="E12" s="138">
        <v>784006</v>
      </c>
      <c r="F12" s="138">
        <v>1380132</v>
      </c>
      <c r="G12" s="138">
        <v>765529</v>
      </c>
      <c r="H12" s="138">
        <v>505150</v>
      </c>
      <c r="I12" s="138">
        <v>993769</v>
      </c>
      <c r="J12" s="138">
        <v>1041280</v>
      </c>
      <c r="K12" s="138">
        <v>830324</v>
      </c>
      <c r="L12" s="138">
        <v>1114220</v>
      </c>
      <c r="M12" s="138">
        <v>1561609</v>
      </c>
      <c r="N12" s="138">
        <v>1749184</v>
      </c>
      <c r="O12" s="138">
        <v>2345841</v>
      </c>
      <c r="P12" s="138">
        <v>1790271</v>
      </c>
      <c r="Q12" s="138">
        <v>1982832</v>
      </c>
      <c r="R12" s="138">
        <v>2043282</v>
      </c>
      <c r="S12" s="138">
        <v>1564880</v>
      </c>
      <c r="T12" s="138">
        <v>1997953</v>
      </c>
    </row>
    <row r="13" spans="1:20">
      <c r="A13" s="137" t="s">
        <v>471</v>
      </c>
      <c r="B13" s="134"/>
      <c r="C13" s="138">
        <v>2554</v>
      </c>
      <c r="D13" s="138">
        <v>-5262</v>
      </c>
      <c r="E13" s="138">
        <v>3303</v>
      </c>
      <c r="F13" s="138">
        <v>-595</v>
      </c>
      <c r="G13" s="138">
        <v>0</v>
      </c>
      <c r="H13" s="138">
        <v>0</v>
      </c>
      <c r="I13" s="138">
        <v>0</v>
      </c>
      <c r="J13" s="138">
        <v>31190</v>
      </c>
      <c r="K13" s="138">
        <v>0</v>
      </c>
      <c r="L13" s="138">
        <v>49828</v>
      </c>
      <c r="M13" s="138">
        <v>-49828</v>
      </c>
      <c r="N13" s="138">
        <v>0</v>
      </c>
      <c r="O13" s="138"/>
      <c r="P13" s="138">
        <v>0</v>
      </c>
      <c r="Q13" s="138">
        <v>0</v>
      </c>
      <c r="R13" s="138">
        <v>0</v>
      </c>
      <c r="S13" s="138">
        <v>0</v>
      </c>
      <c r="T13" s="138">
        <v>0</v>
      </c>
    </row>
    <row r="14" spans="1:20">
      <c r="A14" s="134" t="s">
        <v>617</v>
      </c>
      <c r="B14" s="134"/>
      <c r="C14" s="138">
        <v>5266</v>
      </c>
      <c r="D14" s="138">
        <v>6390</v>
      </c>
      <c r="E14" s="138">
        <v>8975</v>
      </c>
      <c r="F14" s="138">
        <v>1144</v>
      </c>
      <c r="G14" s="138">
        <v>5566</v>
      </c>
      <c r="H14" s="138">
        <v>7208</v>
      </c>
      <c r="I14" s="138">
        <v>7072</v>
      </c>
      <c r="J14" s="138">
        <v>-55246</v>
      </c>
      <c r="K14" s="138">
        <v>19337</v>
      </c>
      <c r="L14" s="138">
        <v>-19337</v>
      </c>
      <c r="M14" s="138">
        <v>78466</v>
      </c>
      <c r="N14" s="138">
        <v>35974</v>
      </c>
      <c r="O14" s="138">
        <v>28883</v>
      </c>
      <c r="P14" s="138">
        <v>27885</v>
      </c>
      <c r="Q14" s="138">
        <v>50564</v>
      </c>
      <c r="R14" s="138">
        <v>31181</v>
      </c>
      <c r="S14" s="138">
        <v>28220</v>
      </c>
      <c r="T14" s="138">
        <v>27494</v>
      </c>
    </row>
    <row r="15" spans="1:20">
      <c r="A15" s="134" t="s">
        <v>469</v>
      </c>
      <c r="B15" s="134"/>
      <c r="C15" s="138"/>
      <c r="D15" s="138"/>
      <c r="E15" s="138"/>
      <c r="F15" s="138"/>
      <c r="G15" s="138"/>
      <c r="H15" s="138"/>
      <c r="I15" s="138"/>
      <c r="J15" s="138"/>
      <c r="K15" s="138">
        <v>66744</v>
      </c>
      <c r="L15" s="138">
        <v>198875</v>
      </c>
      <c r="M15" s="138">
        <v>307963</v>
      </c>
      <c r="N15" s="138">
        <v>288649</v>
      </c>
      <c r="O15" s="138">
        <v>250025</v>
      </c>
      <c r="P15" s="138">
        <v>214564</v>
      </c>
      <c r="Q15" s="138">
        <v>286339</v>
      </c>
      <c r="R15" s="138">
        <v>316113</v>
      </c>
      <c r="S15" s="138">
        <v>210521</v>
      </c>
      <c r="T15" s="138">
        <v>225846</v>
      </c>
    </row>
    <row r="16" spans="1:20">
      <c r="A16" s="134" t="s">
        <v>473</v>
      </c>
      <c r="B16" s="134"/>
      <c r="C16" s="138"/>
      <c r="D16" s="138"/>
      <c r="E16" s="138"/>
      <c r="F16" s="138"/>
      <c r="G16" s="138"/>
      <c r="H16" s="138"/>
      <c r="I16" s="138"/>
      <c r="J16" s="138"/>
      <c r="K16" s="138"/>
      <c r="L16" s="138"/>
      <c r="M16" s="138">
        <v>13428</v>
      </c>
      <c r="N16" s="138">
        <v>20660</v>
      </c>
      <c r="O16" s="138">
        <v>27047</v>
      </c>
      <c r="P16" s="138">
        <v>20634</v>
      </c>
      <c r="Q16" s="138">
        <v>18779</v>
      </c>
      <c r="R16" s="138">
        <v>17689</v>
      </c>
      <c r="S16" s="138">
        <v>21842</v>
      </c>
      <c r="T16" s="138">
        <v>22817</v>
      </c>
    </row>
    <row r="17" spans="1:20" ht="15" thickBot="1">
      <c r="A17" s="139" t="s">
        <v>474</v>
      </c>
      <c r="B17" s="134"/>
      <c r="C17" s="138">
        <v>387847</v>
      </c>
      <c r="D17" s="138">
        <v>398654</v>
      </c>
      <c r="E17" s="138">
        <v>483934</v>
      </c>
      <c r="F17" s="138">
        <v>943835</v>
      </c>
      <c r="G17" s="138">
        <v>351461</v>
      </c>
      <c r="H17" s="138">
        <v>647817</v>
      </c>
      <c r="I17" s="138">
        <v>923725</v>
      </c>
      <c r="J17" s="138">
        <v>1207843</v>
      </c>
      <c r="K17" s="138">
        <v>1173985</v>
      </c>
      <c r="L17" s="138">
        <v>1245037</v>
      </c>
      <c r="M17" s="138">
        <v>572124</v>
      </c>
      <c r="N17" s="138">
        <v>914797</v>
      </c>
      <c r="O17" s="138">
        <v>1421026</v>
      </c>
      <c r="P17" s="138">
        <v>1474326</v>
      </c>
      <c r="Q17" s="138">
        <v>1824412</v>
      </c>
      <c r="R17" s="138">
        <v>1905090.3149999999</v>
      </c>
      <c r="S17" s="138">
        <v>1782682.7549999999</v>
      </c>
      <c r="T17" s="138">
        <v>1791310</v>
      </c>
    </row>
    <row r="18" spans="1:20" ht="15" thickBot="1">
      <c r="A18" s="140" t="s">
        <v>664</v>
      </c>
      <c r="B18" s="134"/>
      <c r="C18" s="141">
        <v>-1467424</v>
      </c>
      <c r="D18" s="141">
        <v>-1121860</v>
      </c>
      <c r="E18" s="141">
        <v>-1407150</v>
      </c>
      <c r="F18" s="141">
        <v>-1543681</v>
      </c>
      <c r="G18" s="141">
        <v>-1423880</v>
      </c>
      <c r="H18" s="141">
        <v>-1442369</v>
      </c>
      <c r="I18" s="141">
        <v>-2335166</v>
      </c>
      <c r="J18" s="141">
        <v>-2682016</v>
      </c>
      <c r="K18" s="141">
        <v>-2822483</v>
      </c>
      <c r="L18" s="141">
        <v>-2549431</v>
      </c>
      <c r="M18" s="141">
        <v>-2139598</v>
      </c>
      <c r="N18" s="141">
        <v>-2168167</v>
      </c>
      <c r="O18" s="141">
        <v>-3061782</v>
      </c>
      <c r="P18" s="141">
        <v>-3338755</v>
      </c>
      <c r="Q18" s="141">
        <v>-3478244</v>
      </c>
      <c r="R18" s="141">
        <v>-4001749.3149999999</v>
      </c>
      <c r="S18" s="141">
        <v>-3938997.7549999999</v>
      </c>
      <c r="T18" s="141">
        <v>-4044213</v>
      </c>
    </row>
    <row r="19" spans="1:20" ht="15" thickBot="1">
      <c r="A19" s="140" t="s">
        <v>491</v>
      </c>
      <c r="B19" s="142"/>
      <c r="C19" s="141">
        <f t="shared" ref="C19:Q19" si="2">C9+C18</f>
        <v>4206502</v>
      </c>
      <c r="D19" s="141">
        <f t="shared" si="2"/>
        <v>3482210</v>
      </c>
      <c r="E19" s="141">
        <f t="shared" si="2"/>
        <v>4208029</v>
      </c>
      <c r="F19" s="141">
        <f t="shared" si="2"/>
        <v>5993328</v>
      </c>
      <c r="G19" s="141">
        <f t="shared" si="2"/>
        <v>4140170</v>
      </c>
      <c r="H19" s="141">
        <f t="shared" si="2"/>
        <v>4272262</v>
      </c>
      <c r="I19" s="141">
        <f t="shared" si="2"/>
        <v>7488836</v>
      </c>
      <c r="J19" s="141">
        <f t="shared" si="2"/>
        <v>8057194</v>
      </c>
      <c r="K19" s="141">
        <f t="shared" si="2"/>
        <v>5843189</v>
      </c>
      <c r="L19" s="141">
        <f t="shared" si="2"/>
        <v>6492106</v>
      </c>
      <c r="M19" s="141">
        <f t="shared" si="2"/>
        <v>6880277</v>
      </c>
      <c r="N19" s="141">
        <f t="shared" si="2"/>
        <v>7916935</v>
      </c>
      <c r="O19" s="141">
        <f t="shared" si="2"/>
        <v>10176574</v>
      </c>
      <c r="P19" s="141">
        <f t="shared" si="2"/>
        <v>9201477</v>
      </c>
      <c r="Q19" s="141">
        <f t="shared" si="2"/>
        <v>10361518</v>
      </c>
      <c r="R19" s="141">
        <f t="shared" ref="R19:S19" si="3">R9+R18</f>
        <v>11245508</v>
      </c>
      <c r="S19" s="141">
        <f t="shared" si="3"/>
        <v>9898158</v>
      </c>
      <c r="T19" s="141">
        <f t="shared" ref="T19" si="4">T9+T18</f>
        <v>10488996</v>
      </c>
    </row>
    <row r="20" spans="1:20" ht="15" thickBot="1">
      <c r="A20" s="140" t="s">
        <v>588</v>
      </c>
      <c r="B20" s="142"/>
      <c r="C20" s="141">
        <f t="shared" ref="C20:Q20" si="5">SUM(C21:C25)</f>
        <v>-2569298</v>
      </c>
      <c r="D20" s="141">
        <f t="shared" si="5"/>
        <v>-2025621</v>
      </c>
      <c r="E20" s="141">
        <f t="shared" si="5"/>
        <v>-2406145</v>
      </c>
      <c r="F20" s="141">
        <f t="shared" si="5"/>
        <v>-3400428</v>
      </c>
      <c r="G20" s="141">
        <f t="shared" si="5"/>
        <v>-2571370</v>
      </c>
      <c r="H20" s="141">
        <f t="shared" si="5"/>
        <v>-2441894</v>
      </c>
      <c r="I20" s="141">
        <f t="shared" si="5"/>
        <v>-5395258</v>
      </c>
      <c r="J20" s="141">
        <f t="shared" si="5"/>
        <v>-5159861</v>
      </c>
      <c r="K20" s="141">
        <f t="shared" si="5"/>
        <v>-3331189</v>
      </c>
      <c r="L20" s="141">
        <f t="shared" si="5"/>
        <v>-3780258</v>
      </c>
      <c r="M20" s="141">
        <f t="shared" si="5"/>
        <v>-4346028</v>
      </c>
      <c r="N20" s="141">
        <f t="shared" si="5"/>
        <v>-4724277</v>
      </c>
      <c r="O20" s="141">
        <f t="shared" si="5"/>
        <v>-6368762</v>
      </c>
      <c r="P20" s="141">
        <f t="shared" si="5"/>
        <v>-5707627.5179999992</v>
      </c>
      <c r="Q20" s="141">
        <f t="shared" si="5"/>
        <v>-6092935.0021299999</v>
      </c>
      <c r="R20" s="141">
        <f t="shared" ref="R20:S20" si="6">SUM(R21:R25)</f>
        <v>-7002949.4939299999</v>
      </c>
      <c r="S20" s="141">
        <f t="shared" si="6"/>
        <v>-5704019.2331999997</v>
      </c>
      <c r="T20" s="141">
        <f t="shared" ref="T20" si="7">SUM(T21:T25)</f>
        <v>-6350161.3638599999</v>
      </c>
    </row>
    <row r="21" spans="1:20">
      <c r="A21" s="137" t="s">
        <v>589</v>
      </c>
      <c r="B21" s="142"/>
      <c r="C21" s="138">
        <v>-1672425</v>
      </c>
      <c r="D21" s="138">
        <v>-1363416</v>
      </c>
      <c r="E21" s="138">
        <v>-1786395</v>
      </c>
      <c r="F21" s="138">
        <v>-2470035</v>
      </c>
      <c r="G21" s="138">
        <v>-1934135</v>
      </c>
      <c r="H21" s="138">
        <v>-1892882</v>
      </c>
      <c r="I21" s="138">
        <v>-4360774</v>
      </c>
      <c r="J21" s="138">
        <v>-4205458</v>
      </c>
      <c r="K21" s="138">
        <v>-2502942</v>
      </c>
      <c r="L21" s="138">
        <v>-2632616</v>
      </c>
      <c r="M21" s="138">
        <v>-2810665</v>
      </c>
      <c r="N21" s="138">
        <v>-2975093</v>
      </c>
      <c r="O21" s="138">
        <v>-4023373</v>
      </c>
      <c r="P21" s="138">
        <v>-3909381</v>
      </c>
      <c r="Q21" s="138">
        <v>-4117384</v>
      </c>
      <c r="R21" s="138">
        <v>-4962815</v>
      </c>
      <c r="S21" s="138">
        <v>-3756180.9049999998</v>
      </c>
      <c r="T21" s="138">
        <v>-4351932</v>
      </c>
    </row>
    <row r="22" spans="1:20">
      <c r="A22" s="137" t="s">
        <v>497</v>
      </c>
      <c r="B22" s="142"/>
      <c r="C22" s="138"/>
      <c r="D22" s="138"/>
      <c r="E22" s="138"/>
      <c r="F22" s="138"/>
      <c r="G22" s="138"/>
      <c r="H22" s="138">
        <v>-77967</v>
      </c>
      <c r="I22" s="138"/>
      <c r="J22" s="138">
        <v>8848</v>
      </c>
      <c r="K22" s="138"/>
      <c r="L22" s="138">
        <v>-33415</v>
      </c>
      <c r="M22" s="138">
        <v>26246</v>
      </c>
      <c r="N22" s="138">
        <v>0</v>
      </c>
      <c r="O22" s="138"/>
      <c r="P22" s="138"/>
      <c r="Q22" s="138">
        <v>0</v>
      </c>
      <c r="R22" s="138"/>
      <c r="S22" s="138"/>
      <c r="T22" s="138"/>
    </row>
    <row r="23" spans="1:20">
      <c r="A23" s="137" t="s">
        <v>590</v>
      </c>
      <c r="B23" s="142"/>
      <c r="C23" s="138">
        <v>0</v>
      </c>
      <c r="D23" s="138"/>
      <c r="E23" s="138">
        <v>0</v>
      </c>
      <c r="F23" s="138">
        <v>0</v>
      </c>
      <c r="G23" s="138">
        <v>0</v>
      </c>
      <c r="H23" s="138">
        <v>0</v>
      </c>
      <c r="I23" s="138">
        <v>0</v>
      </c>
      <c r="J23" s="138"/>
      <c r="K23" s="138">
        <v>-99988</v>
      </c>
      <c r="L23" s="138"/>
      <c r="M23" s="138"/>
      <c r="N23" s="138"/>
      <c r="O23" s="138"/>
      <c r="P23" s="138"/>
      <c r="Q23" s="138">
        <v>0</v>
      </c>
      <c r="R23" s="138"/>
      <c r="S23" s="138">
        <v>-374307.69900000002</v>
      </c>
      <c r="T23" s="138"/>
    </row>
    <row r="24" spans="1:20">
      <c r="A24" s="137" t="s">
        <v>591</v>
      </c>
      <c r="B24" s="142"/>
      <c r="C24" s="138">
        <v>-896873</v>
      </c>
      <c r="D24" s="138">
        <v>-662205</v>
      </c>
      <c r="E24" s="138">
        <v>-619750</v>
      </c>
      <c r="F24" s="138"/>
      <c r="G24" s="138">
        <v>-637235</v>
      </c>
      <c r="H24" s="138">
        <v>-471045</v>
      </c>
      <c r="I24" s="138">
        <v>-57606</v>
      </c>
      <c r="J24" s="138">
        <v>-963251</v>
      </c>
      <c r="K24" s="138">
        <v>-728259</v>
      </c>
      <c r="L24" s="138">
        <v>-1114227</v>
      </c>
      <c r="M24" s="138">
        <v>-1561609</v>
      </c>
      <c r="N24" s="138">
        <v>-1749184</v>
      </c>
      <c r="O24" s="138">
        <v>-2345389</v>
      </c>
      <c r="P24" s="138">
        <v>-1798246.5179999997</v>
      </c>
      <c r="Q24" s="138">
        <v>-1975551.0021300002</v>
      </c>
      <c r="R24" s="138">
        <v>-2040134.4939300001</v>
      </c>
      <c r="S24" s="138">
        <v>-1573530.6291999999</v>
      </c>
      <c r="T24" s="138">
        <v>-1998229.3638599999</v>
      </c>
    </row>
    <row r="25" spans="1:20" ht="15" thickBot="1">
      <c r="A25" s="139" t="s">
        <v>592</v>
      </c>
      <c r="B25" s="142"/>
      <c r="C25" s="138">
        <v>0</v>
      </c>
      <c r="D25" s="138"/>
      <c r="E25" s="138"/>
      <c r="F25" s="138">
        <v>-930393</v>
      </c>
      <c r="G25" s="138"/>
      <c r="H25" s="138"/>
      <c r="I25" s="138">
        <v>-976878</v>
      </c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</row>
    <row r="26" spans="1:20" ht="15" thickBot="1">
      <c r="A26" s="143" t="s">
        <v>593</v>
      </c>
      <c r="B26" s="144"/>
      <c r="C26" s="141">
        <f t="shared" ref="C26:K26" si="8">SUM(C21:C25)+C19</f>
        <v>1637204</v>
      </c>
      <c r="D26" s="141">
        <f t="shared" si="8"/>
        <v>1456589</v>
      </c>
      <c r="E26" s="141">
        <f t="shared" si="8"/>
        <v>1801884</v>
      </c>
      <c r="F26" s="141">
        <f t="shared" si="8"/>
        <v>2592900</v>
      </c>
      <c r="G26" s="141">
        <f t="shared" si="8"/>
        <v>1568800</v>
      </c>
      <c r="H26" s="141">
        <f t="shared" si="8"/>
        <v>1830368</v>
      </c>
      <c r="I26" s="141">
        <f t="shared" si="8"/>
        <v>2093578</v>
      </c>
      <c r="J26" s="141">
        <f t="shared" si="8"/>
        <v>2897333</v>
      </c>
      <c r="K26" s="141">
        <f t="shared" si="8"/>
        <v>2512000</v>
      </c>
      <c r="L26" s="141">
        <f t="shared" ref="L26:Q26" si="9">SUM(L21:L25)+L19</f>
        <v>2711848</v>
      </c>
      <c r="M26" s="141">
        <f t="shared" si="9"/>
        <v>2534249</v>
      </c>
      <c r="N26" s="141">
        <f t="shared" si="9"/>
        <v>3192658</v>
      </c>
      <c r="O26" s="141">
        <f t="shared" si="9"/>
        <v>3807812</v>
      </c>
      <c r="P26" s="141">
        <f t="shared" si="9"/>
        <v>3493849.4820000008</v>
      </c>
      <c r="Q26" s="141">
        <f t="shared" si="9"/>
        <v>4268582.9978700001</v>
      </c>
      <c r="R26" s="141">
        <f t="shared" ref="R26:S26" si="10">SUM(R21:R25)+R19</f>
        <v>4242558.5060700001</v>
      </c>
      <c r="S26" s="141">
        <f t="shared" si="10"/>
        <v>4194138.7668000003</v>
      </c>
      <c r="T26" s="141">
        <f t="shared" ref="T26" si="11">SUM(T21:T25)+T19</f>
        <v>4138834.6361400001</v>
      </c>
    </row>
    <row r="27" spans="1:20" ht="15" thickBot="1">
      <c r="A27" s="140" t="s">
        <v>594</v>
      </c>
      <c r="B27" s="142"/>
      <c r="C27" s="141">
        <f t="shared" ref="C27:Q27" si="12">SUM(C28:C34)</f>
        <v>-487939</v>
      </c>
      <c r="D27" s="141">
        <f t="shared" si="12"/>
        <v>-583318</v>
      </c>
      <c r="E27" s="141">
        <f t="shared" si="12"/>
        <v>-530205.96185000008</v>
      </c>
      <c r="F27" s="141">
        <f t="shared" si="12"/>
        <v>-311186.03814999998</v>
      </c>
      <c r="G27" s="141">
        <f t="shared" si="12"/>
        <v>-562318</v>
      </c>
      <c r="H27" s="141">
        <f t="shared" si="12"/>
        <v>-539712</v>
      </c>
      <c r="I27" s="141">
        <f t="shared" si="12"/>
        <v>-745753</v>
      </c>
      <c r="J27" s="141">
        <f t="shared" si="12"/>
        <v>-667267</v>
      </c>
      <c r="K27" s="141">
        <f t="shared" si="12"/>
        <v>-920279</v>
      </c>
      <c r="L27" s="141">
        <f t="shared" si="12"/>
        <v>-1062379</v>
      </c>
      <c r="M27" s="141">
        <f t="shared" si="12"/>
        <v>-861059</v>
      </c>
      <c r="N27" s="141">
        <f t="shared" si="12"/>
        <v>-1104707</v>
      </c>
      <c r="O27" s="141">
        <f t="shared" si="12"/>
        <v>-1342978</v>
      </c>
      <c r="P27" s="141">
        <f t="shared" si="12"/>
        <v>-1123949.673</v>
      </c>
      <c r="Q27" s="141">
        <f t="shared" si="12"/>
        <v>-1435722.68857</v>
      </c>
      <c r="R27" s="141">
        <f t="shared" ref="R27:S27" si="13">SUM(R28:R34)</f>
        <v>-1815788.5060700001</v>
      </c>
      <c r="S27" s="141">
        <f t="shared" si="13"/>
        <v>-1550253.3707999999</v>
      </c>
      <c r="T27" s="141">
        <f t="shared" ref="T27" si="14">SUM(T28:T34)</f>
        <v>-1542180.6361400001</v>
      </c>
    </row>
    <row r="28" spans="1:20">
      <c r="A28" s="137" t="s">
        <v>595</v>
      </c>
      <c r="B28" s="142"/>
      <c r="C28" s="138">
        <v>-151362</v>
      </c>
      <c r="D28" s="138">
        <v>-134279</v>
      </c>
      <c r="E28" s="138">
        <v>-150800</v>
      </c>
      <c r="F28" s="138">
        <v>-164569</v>
      </c>
      <c r="G28" s="138">
        <v>-163345</v>
      </c>
      <c r="H28" s="138">
        <v>-146838</v>
      </c>
      <c r="I28" s="138">
        <v>-353966</v>
      </c>
      <c r="J28" s="138">
        <v>-269506</v>
      </c>
      <c r="K28" s="138">
        <v>-254347</v>
      </c>
      <c r="L28" s="138">
        <v>-262831</v>
      </c>
      <c r="M28" s="138">
        <v>-222078</v>
      </c>
      <c r="N28" s="138">
        <v>-281447</v>
      </c>
      <c r="O28" s="138">
        <v>-331753</v>
      </c>
      <c r="P28" s="138">
        <v>-336687</v>
      </c>
      <c r="Q28" s="138">
        <v>-317288</v>
      </c>
      <c r="R28" s="138">
        <v>-300213</v>
      </c>
      <c r="S28" s="138">
        <v>-309615</v>
      </c>
      <c r="T28" s="138">
        <v>-312477</v>
      </c>
    </row>
    <row r="29" spans="1:20">
      <c r="A29" s="137" t="s">
        <v>596</v>
      </c>
      <c r="B29" s="142"/>
      <c r="C29" s="138">
        <v>-8319</v>
      </c>
      <c r="D29" s="138">
        <v>-6631</v>
      </c>
      <c r="E29" s="138">
        <v>-15274</v>
      </c>
      <c r="F29" s="138">
        <v>-32598</v>
      </c>
      <c r="G29" s="138">
        <v>-15169</v>
      </c>
      <c r="H29" s="138">
        <v>-10835</v>
      </c>
      <c r="I29" s="138">
        <v>-18666</v>
      </c>
      <c r="J29" s="138">
        <v>-39651</v>
      </c>
      <c r="K29" s="138">
        <v>-32109</v>
      </c>
      <c r="L29" s="138">
        <v>-27649</v>
      </c>
      <c r="M29" s="138">
        <v>-35323</v>
      </c>
      <c r="N29" s="138">
        <v>-45020</v>
      </c>
      <c r="O29" s="138">
        <v>-45847</v>
      </c>
      <c r="P29" s="138">
        <v>-20893</v>
      </c>
      <c r="Q29" s="138">
        <v>-41826</v>
      </c>
      <c r="R29" s="138">
        <v>-74670</v>
      </c>
      <c r="S29" s="138">
        <v>-40865</v>
      </c>
      <c r="T29" s="138">
        <v>-46257</v>
      </c>
    </row>
    <row r="30" spans="1:20">
      <c r="A30" s="137" t="s">
        <v>597</v>
      </c>
      <c r="B30" s="142"/>
      <c r="C30" s="138">
        <v>-194182</v>
      </c>
      <c r="D30" s="138">
        <v>-201125</v>
      </c>
      <c r="E30" s="138">
        <v>-232643</v>
      </c>
      <c r="F30" s="138">
        <v>-245320</v>
      </c>
      <c r="G30" s="138">
        <v>-250980</v>
      </c>
      <c r="H30" s="138">
        <v>-268302</v>
      </c>
      <c r="I30" s="138">
        <v>-259248</v>
      </c>
      <c r="J30" s="138">
        <v>-372722</v>
      </c>
      <c r="K30" s="138">
        <v>-324577</v>
      </c>
      <c r="L30" s="138">
        <v>-398943</v>
      </c>
      <c r="M30" s="138">
        <v>-332046</v>
      </c>
      <c r="N30" s="138">
        <v>-484521</v>
      </c>
      <c r="O30" s="138">
        <v>-660274</v>
      </c>
      <c r="P30" s="138">
        <v>-494972.48200000008</v>
      </c>
      <c r="Q30" s="138">
        <v>-644149.99787000008</v>
      </c>
      <c r="R30" s="138">
        <v>-747478.50607</v>
      </c>
      <c r="S30" s="138">
        <v>-720939.37079999992</v>
      </c>
      <c r="T30" s="138">
        <v>-668470.63614000008</v>
      </c>
    </row>
    <row r="31" spans="1:20">
      <c r="A31" s="137" t="s">
        <v>598</v>
      </c>
      <c r="B31" s="142"/>
      <c r="C31" s="138">
        <v>-79132</v>
      </c>
      <c r="D31" s="138">
        <v>-189231</v>
      </c>
      <c r="E31" s="138">
        <v>-46707.96185</v>
      </c>
      <c r="F31" s="138">
        <v>17119.96185</v>
      </c>
      <c r="G31" s="138">
        <v>-83931</v>
      </c>
      <c r="H31" s="138">
        <v>-70686</v>
      </c>
      <c r="I31" s="138">
        <v>-129190</v>
      </c>
      <c r="J31" s="138">
        <v>219001</v>
      </c>
      <c r="K31" s="138">
        <v>-146632</v>
      </c>
      <c r="L31" s="138">
        <v>-95265</v>
      </c>
      <c r="M31" s="138">
        <v>-112242</v>
      </c>
      <c r="N31" s="138">
        <v>-13332</v>
      </c>
      <c r="O31" s="138">
        <v>-172242</v>
      </c>
      <c r="P31" s="138">
        <v>-78951.190999999992</v>
      </c>
      <c r="Q31" s="138">
        <v>-211820.69070000001</v>
      </c>
      <c r="R31" s="138">
        <v>-255003</v>
      </c>
      <c r="S31" s="138">
        <v>-266334</v>
      </c>
      <c r="T31" s="138">
        <v>-279724</v>
      </c>
    </row>
    <row r="32" spans="1:20">
      <c r="A32" s="137" t="s">
        <v>607</v>
      </c>
      <c r="B32" s="142"/>
      <c r="C32" s="138"/>
      <c r="D32" s="138"/>
      <c r="E32" s="138"/>
      <c r="F32" s="138"/>
      <c r="G32" s="138"/>
      <c r="H32" s="138">
        <v>0</v>
      </c>
      <c r="I32" s="138"/>
      <c r="J32" s="138">
        <v>-58726</v>
      </c>
      <c r="K32" s="138">
        <v>-33042</v>
      </c>
      <c r="L32" s="138">
        <v>-19331</v>
      </c>
      <c r="M32" s="138">
        <v>1592</v>
      </c>
      <c r="N32" s="138">
        <v>12512</v>
      </c>
      <c r="O32" s="138">
        <v>-7576</v>
      </c>
      <c r="P32" s="138">
        <v>-496</v>
      </c>
      <c r="Q32" s="138">
        <v>10385</v>
      </c>
      <c r="R32" s="138">
        <v>-21869</v>
      </c>
      <c r="S32" s="138">
        <v>-132549</v>
      </c>
      <c r="T32" s="138">
        <v>-41619</v>
      </c>
    </row>
    <row r="33" spans="1:20">
      <c r="A33" s="137" t="s">
        <v>59</v>
      </c>
      <c r="B33" s="142"/>
      <c r="C33" s="138">
        <v>-47696</v>
      </c>
      <c r="D33" s="138">
        <v>-52082</v>
      </c>
      <c r="E33" s="138">
        <v>-63071</v>
      </c>
      <c r="F33" s="138">
        <v>-18172</v>
      </c>
      <c r="G33" s="138">
        <v>-30485</v>
      </c>
      <c r="H33" s="138">
        <v>-41542</v>
      </c>
      <c r="I33" s="138">
        <v>15700</v>
      </c>
      <c r="J33" s="138">
        <v>-45226</v>
      </c>
      <c r="K33" s="138">
        <v>-41428</v>
      </c>
      <c r="L33" s="138">
        <v>-121120</v>
      </c>
      <c r="M33" s="138">
        <v>-70245</v>
      </c>
      <c r="N33" s="138">
        <v>-75667</v>
      </c>
      <c r="O33" s="138">
        <v>-111731</v>
      </c>
      <c r="P33" s="138">
        <v>-59375</v>
      </c>
      <c r="Q33" s="138">
        <v>-113672</v>
      </c>
      <c r="R33" s="138">
        <v>-120449</v>
      </c>
      <c r="S33" s="138">
        <v>-65953</v>
      </c>
      <c r="T33" s="138">
        <v>-175214</v>
      </c>
    </row>
    <row r="34" spans="1:20">
      <c r="A34" s="137" t="s">
        <v>599</v>
      </c>
      <c r="B34" s="134"/>
      <c r="C34" s="138">
        <v>-7248</v>
      </c>
      <c r="D34" s="138">
        <v>30</v>
      </c>
      <c r="E34" s="138">
        <v>-21710</v>
      </c>
      <c r="F34" s="138">
        <v>132353</v>
      </c>
      <c r="G34" s="138">
        <v>-18408</v>
      </c>
      <c r="H34" s="138">
        <v>-1509</v>
      </c>
      <c r="I34" s="138">
        <v>-383</v>
      </c>
      <c r="J34" s="138">
        <v>-100437</v>
      </c>
      <c r="K34" s="138">
        <v>-88144</v>
      </c>
      <c r="L34" s="138">
        <v>-137240</v>
      </c>
      <c r="M34" s="138">
        <v>-90717</v>
      </c>
      <c r="N34" s="138">
        <v>-217232</v>
      </c>
      <c r="O34" s="138">
        <v>-13555</v>
      </c>
      <c r="P34" s="138">
        <v>-132575</v>
      </c>
      <c r="Q34" s="138">
        <v>-117351</v>
      </c>
      <c r="R34" s="138">
        <v>-296106</v>
      </c>
      <c r="S34" s="138">
        <v>-13998</v>
      </c>
      <c r="T34" s="138">
        <v>-18419</v>
      </c>
    </row>
    <row r="35" spans="1:20">
      <c r="A35" s="544" t="s">
        <v>529</v>
      </c>
      <c r="B35" s="142"/>
      <c r="C35" s="547">
        <f t="shared" ref="C35:P35" si="15">C26+C27</f>
        <v>1149265</v>
      </c>
      <c r="D35" s="547">
        <f t="shared" si="15"/>
        <v>873271</v>
      </c>
      <c r="E35" s="547">
        <f t="shared" si="15"/>
        <v>1271678.0381499999</v>
      </c>
      <c r="F35" s="547">
        <f t="shared" si="15"/>
        <v>2281713.9618500001</v>
      </c>
      <c r="G35" s="547">
        <f t="shared" si="15"/>
        <v>1006482</v>
      </c>
      <c r="H35" s="547">
        <f t="shared" si="15"/>
        <v>1290656</v>
      </c>
      <c r="I35" s="547">
        <f t="shared" si="15"/>
        <v>1347825</v>
      </c>
      <c r="J35" s="547">
        <f t="shared" si="15"/>
        <v>2230066</v>
      </c>
      <c r="K35" s="547">
        <f t="shared" si="15"/>
        <v>1591721</v>
      </c>
      <c r="L35" s="547">
        <f t="shared" si="15"/>
        <v>1649469</v>
      </c>
      <c r="M35" s="547">
        <f t="shared" si="15"/>
        <v>1673190</v>
      </c>
      <c r="N35" s="547">
        <f t="shared" si="15"/>
        <v>2087951</v>
      </c>
      <c r="O35" s="547">
        <f t="shared" si="15"/>
        <v>2464834</v>
      </c>
      <c r="P35" s="547">
        <f t="shared" si="15"/>
        <v>2369899.8090000008</v>
      </c>
      <c r="Q35" s="547">
        <f>Q26+Q27</f>
        <v>2832860.3092999998</v>
      </c>
      <c r="R35" s="547">
        <f>R26+R27</f>
        <v>2426770</v>
      </c>
      <c r="S35" s="547">
        <f>S26+S27</f>
        <v>2643885.3960000006</v>
      </c>
      <c r="T35" s="547">
        <f>T26+T27</f>
        <v>2596654</v>
      </c>
    </row>
    <row r="36" spans="1:20" ht="15" thickBot="1">
      <c r="A36" s="139" t="s">
        <v>600</v>
      </c>
      <c r="B36" s="134"/>
      <c r="C36" s="138">
        <v>-160034</v>
      </c>
      <c r="D36" s="138">
        <v>-161624</v>
      </c>
      <c r="E36" s="138">
        <v>-163198</v>
      </c>
      <c r="F36" s="138">
        <v>-228201</v>
      </c>
      <c r="G36" s="138">
        <v>-164028</v>
      </c>
      <c r="H36" s="138">
        <v>-189578</v>
      </c>
      <c r="I36" s="138">
        <v>-165302</v>
      </c>
      <c r="J36" s="138">
        <v>-264610</v>
      </c>
      <c r="K36" s="138">
        <v>-255660</v>
      </c>
      <c r="L36" s="138">
        <v>-311542</v>
      </c>
      <c r="M36" s="138">
        <v>-299120</v>
      </c>
      <c r="N36" s="138">
        <v>-343394</v>
      </c>
      <c r="O36" s="138">
        <v>-441090</v>
      </c>
      <c r="P36" s="138">
        <v>-432398</v>
      </c>
      <c r="Q36" s="138">
        <v>-487659</v>
      </c>
      <c r="R36" s="138">
        <v>-512372</v>
      </c>
      <c r="S36" s="138">
        <v>-512843</v>
      </c>
      <c r="T36" s="138">
        <v>-515127</v>
      </c>
    </row>
    <row r="37" spans="1:20" ht="15" thickBot="1">
      <c r="A37" s="140" t="s">
        <v>601</v>
      </c>
      <c r="B37" s="134"/>
      <c r="C37" s="141">
        <f t="shared" ref="C37:K37" si="16">C35+C36+SUM(C38:C39)</f>
        <v>968638</v>
      </c>
      <c r="D37" s="141">
        <f t="shared" si="16"/>
        <v>691476</v>
      </c>
      <c r="E37" s="141">
        <f t="shared" si="16"/>
        <v>1088225.0381499999</v>
      </c>
      <c r="F37" s="141">
        <f t="shared" si="16"/>
        <v>2034087.9618500001</v>
      </c>
      <c r="G37" s="141">
        <f t="shared" si="16"/>
        <v>825514</v>
      </c>
      <c r="H37" s="141">
        <f t="shared" si="16"/>
        <v>1086343</v>
      </c>
      <c r="I37" s="141">
        <f t="shared" si="16"/>
        <v>1149333</v>
      </c>
      <c r="J37" s="141">
        <f t="shared" si="16"/>
        <v>1926302</v>
      </c>
      <c r="K37" s="141">
        <f t="shared" si="16"/>
        <v>1269541</v>
      </c>
      <c r="L37" s="141">
        <f t="shared" ref="L37:T37" si="17">L35+L36+SUM(L38:L39)</f>
        <v>1176223</v>
      </c>
      <c r="M37" s="141">
        <f t="shared" si="17"/>
        <v>1229958</v>
      </c>
      <c r="N37" s="141">
        <f t="shared" si="17"/>
        <v>1601491</v>
      </c>
      <c r="O37" s="141">
        <f t="shared" si="17"/>
        <v>1873691</v>
      </c>
      <c r="P37" s="141">
        <f t="shared" si="17"/>
        <v>1801775.8090000008</v>
      </c>
      <c r="Q37" s="141">
        <f t="shared" si="17"/>
        <v>2201374.3092999998</v>
      </c>
      <c r="R37" s="141">
        <f t="shared" si="17"/>
        <v>1770567</v>
      </c>
      <c r="S37" s="141">
        <f t="shared" si="17"/>
        <v>1987215.3960000006</v>
      </c>
      <c r="T37" s="141">
        <f t="shared" si="17"/>
        <v>1938659</v>
      </c>
    </row>
    <row r="38" spans="1:20">
      <c r="A38" s="137" t="s">
        <v>662</v>
      </c>
      <c r="B38" s="134"/>
      <c r="C38" s="138">
        <v>-20593</v>
      </c>
      <c r="D38" s="138">
        <v>36132</v>
      </c>
      <c r="E38" s="138">
        <v>7895</v>
      </c>
      <c r="F38" s="138">
        <v>10306</v>
      </c>
      <c r="G38" s="138">
        <v>11210</v>
      </c>
      <c r="H38" s="138">
        <v>13424</v>
      </c>
      <c r="I38" s="138">
        <v>22571</v>
      </c>
      <c r="J38" s="138">
        <v>19771</v>
      </c>
      <c r="K38" s="138" t="s">
        <v>371</v>
      </c>
      <c r="L38" s="138">
        <v>0</v>
      </c>
      <c r="M38" s="138">
        <v>0</v>
      </c>
      <c r="N38" s="138">
        <v>0</v>
      </c>
      <c r="O38" s="138"/>
      <c r="P38" s="138"/>
      <c r="Q38" s="138"/>
      <c r="R38" s="138"/>
      <c r="S38" s="138"/>
      <c r="T38" s="138"/>
    </row>
    <row r="39" spans="1:20" ht="15" thickBot="1">
      <c r="A39" s="139" t="s">
        <v>657</v>
      </c>
      <c r="B39" s="134"/>
      <c r="C39" s="138">
        <v>0</v>
      </c>
      <c r="D39" s="138">
        <v>-56303</v>
      </c>
      <c r="E39" s="138">
        <v>-28150</v>
      </c>
      <c r="F39" s="138">
        <v>-29731</v>
      </c>
      <c r="G39" s="138">
        <v>-28150</v>
      </c>
      <c r="H39" s="138">
        <v>-28159</v>
      </c>
      <c r="I39" s="138">
        <v>-55761</v>
      </c>
      <c r="J39" s="138">
        <v>-58925</v>
      </c>
      <c r="K39" s="138">
        <v>-66520</v>
      </c>
      <c r="L39" s="138">
        <v>-161704</v>
      </c>
      <c r="M39" s="138">
        <v>-144112</v>
      </c>
      <c r="N39" s="138">
        <v>-143066</v>
      </c>
      <c r="O39" s="138">
        <v>-150053</v>
      </c>
      <c r="P39" s="138">
        <v>-135726</v>
      </c>
      <c r="Q39" s="138">
        <v>-143827</v>
      </c>
      <c r="R39" s="138">
        <v>-143831</v>
      </c>
      <c r="S39" s="138">
        <v>-143827</v>
      </c>
      <c r="T39" s="138">
        <v>-142868</v>
      </c>
    </row>
    <row r="40" spans="1:20" ht="15" thickBot="1">
      <c r="A40" s="140" t="s">
        <v>531</v>
      </c>
      <c r="B40" s="134"/>
      <c r="C40" s="141">
        <f t="shared" ref="C40:K40" si="18">SUM(C41:C42)</f>
        <v>-153293</v>
      </c>
      <c r="D40" s="141">
        <f t="shared" si="18"/>
        <v>-64551</v>
      </c>
      <c r="E40" s="141">
        <f t="shared" si="18"/>
        <v>-116213</v>
      </c>
      <c r="F40" s="141">
        <f t="shared" si="18"/>
        <v>-90068</v>
      </c>
      <c r="G40" s="141">
        <f t="shared" si="18"/>
        <v>-230661</v>
      </c>
      <c r="H40" s="141">
        <f t="shared" si="18"/>
        <v>-308232</v>
      </c>
      <c r="I40" s="141">
        <f t="shared" si="18"/>
        <v>-445953</v>
      </c>
      <c r="J40" s="141">
        <f t="shared" si="18"/>
        <v>166787.76662999997</v>
      </c>
      <c r="K40" s="141">
        <f t="shared" si="18"/>
        <v>-360477</v>
      </c>
      <c r="L40" s="141">
        <f t="shared" ref="L40:T40" si="19">SUM(L41:L42)</f>
        <v>-1101244</v>
      </c>
      <c r="M40" s="141">
        <f t="shared" si="19"/>
        <v>-445078</v>
      </c>
      <c r="N40" s="141">
        <f t="shared" si="19"/>
        <v>-677677</v>
      </c>
      <c r="O40" s="141">
        <f t="shared" si="19"/>
        <v>-1500353</v>
      </c>
      <c r="P40" s="141">
        <f t="shared" si="19"/>
        <v>-1097822.8090000004</v>
      </c>
      <c r="Q40" s="141">
        <f t="shared" si="19"/>
        <v>-988149</v>
      </c>
      <c r="R40" s="141">
        <f t="shared" si="19"/>
        <v>-1026295</v>
      </c>
      <c r="S40" s="141">
        <f t="shared" si="19"/>
        <v>-1275764</v>
      </c>
      <c r="T40" s="141">
        <f t="shared" si="19"/>
        <v>-944155</v>
      </c>
    </row>
    <row r="41" spans="1:20">
      <c r="A41" s="137" t="s">
        <v>532</v>
      </c>
      <c r="B41" s="134"/>
      <c r="C41" s="138">
        <v>543749</v>
      </c>
      <c r="D41" s="138">
        <v>248646</v>
      </c>
      <c r="E41" s="138">
        <v>249400</v>
      </c>
      <c r="F41" s="138">
        <v>84927</v>
      </c>
      <c r="G41" s="138">
        <v>408119</v>
      </c>
      <c r="H41" s="138">
        <v>234841</v>
      </c>
      <c r="I41" s="138">
        <v>610204</v>
      </c>
      <c r="J41" s="138">
        <v>986539</v>
      </c>
      <c r="K41" s="138">
        <v>1338297</v>
      </c>
      <c r="L41" s="138">
        <v>668969</v>
      </c>
      <c r="M41" s="138">
        <v>772507</v>
      </c>
      <c r="N41" s="138">
        <v>725410</v>
      </c>
      <c r="O41" s="138">
        <v>931568</v>
      </c>
      <c r="P41" s="138">
        <v>975283</v>
      </c>
      <c r="Q41" s="138">
        <v>622798</v>
      </c>
      <c r="R41" s="138">
        <v>865313</v>
      </c>
      <c r="S41" s="138">
        <v>909857</v>
      </c>
      <c r="T41" s="138">
        <v>1062159</v>
      </c>
    </row>
    <row r="42" spans="1:20" ht="15" thickBot="1">
      <c r="A42" s="139" t="s">
        <v>541</v>
      </c>
      <c r="B42" s="134"/>
      <c r="C42" s="138">
        <v>-697042</v>
      </c>
      <c r="D42" s="138">
        <v>-313197</v>
      </c>
      <c r="E42" s="138">
        <v>-365613</v>
      </c>
      <c r="F42" s="138">
        <v>-174995</v>
      </c>
      <c r="G42" s="138">
        <v>-638780</v>
      </c>
      <c r="H42" s="138">
        <v>-543073</v>
      </c>
      <c r="I42" s="138">
        <v>-1056157</v>
      </c>
      <c r="J42" s="138">
        <v>-819751.23337000003</v>
      </c>
      <c r="K42" s="138">
        <v>-1698774</v>
      </c>
      <c r="L42" s="138">
        <v>-1770213</v>
      </c>
      <c r="M42" s="138">
        <v>-1217585</v>
      </c>
      <c r="N42" s="138">
        <v>-1403087</v>
      </c>
      <c r="O42" s="138">
        <v>-2431921</v>
      </c>
      <c r="P42" s="138">
        <v>-2073105.8090000004</v>
      </c>
      <c r="Q42" s="138">
        <v>-1610947</v>
      </c>
      <c r="R42" s="138">
        <v>-1891608</v>
      </c>
      <c r="S42" s="138">
        <v>-2185621</v>
      </c>
      <c r="T42" s="138">
        <v>-2006314</v>
      </c>
    </row>
    <row r="43" spans="1:20" ht="15" thickBot="1">
      <c r="A43" s="145" t="s">
        <v>609</v>
      </c>
      <c r="B43" s="134"/>
      <c r="C43" s="141">
        <f t="shared" ref="C43:T43" si="20">SUM(C37,C40)</f>
        <v>815345</v>
      </c>
      <c r="D43" s="141">
        <f t="shared" si="20"/>
        <v>626925</v>
      </c>
      <c r="E43" s="141">
        <f t="shared" si="20"/>
        <v>972012.03814999992</v>
      </c>
      <c r="F43" s="141">
        <f t="shared" si="20"/>
        <v>1944019.9618500001</v>
      </c>
      <c r="G43" s="141">
        <f t="shared" si="20"/>
        <v>594853</v>
      </c>
      <c r="H43" s="141">
        <f t="shared" si="20"/>
        <v>778111</v>
      </c>
      <c r="I43" s="141">
        <f t="shared" si="20"/>
        <v>703380</v>
      </c>
      <c r="J43" s="141">
        <f t="shared" si="20"/>
        <v>2093089.76663</v>
      </c>
      <c r="K43" s="141">
        <f t="shared" si="20"/>
        <v>909064</v>
      </c>
      <c r="L43" s="141">
        <f t="shared" si="20"/>
        <v>74979</v>
      </c>
      <c r="M43" s="141">
        <f t="shared" si="20"/>
        <v>784880</v>
      </c>
      <c r="N43" s="141">
        <f t="shared" si="20"/>
        <v>923814</v>
      </c>
      <c r="O43" s="141">
        <f t="shared" si="20"/>
        <v>373338</v>
      </c>
      <c r="P43" s="141">
        <f t="shared" si="20"/>
        <v>703953.00000000047</v>
      </c>
      <c r="Q43" s="141">
        <f t="shared" si="20"/>
        <v>1213225.3092999998</v>
      </c>
      <c r="R43" s="141">
        <f t="shared" si="20"/>
        <v>744272</v>
      </c>
      <c r="S43" s="141">
        <f t="shared" si="20"/>
        <v>711451.39600000065</v>
      </c>
      <c r="T43" s="141">
        <f t="shared" si="20"/>
        <v>994504</v>
      </c>
    </row>
    <row r="44" spans="1:20">
      <c r="A44" s="137" t="s">
        <v>553</v>
      </c>
      <c r="B44" s="134"/>
      <c r="C44" s="138">
        <v>-17548</v>
      </c>
      <c r="D44" s="138">
        <v>-34111</v>
      </c>
      <c r="E44" s="138">
        <v>-41532</v>
      </c>
      <c r="F44" s="138">
        <v>-92287</v>
      </c>
      <c r="G44" s="138">
        <v>-28839</v>
      </c>
      <c r="H44" s="138">
        <v>-78126</v>
      </c>
      <c r="I44" s="138">
        <v>-67224</v>
      </c>
      <c r="J44" s="138">
        <v>-39505</v>
      </c>
      <c r="K44" s="138">
        <v>-87684</v>
      </c>
      <c r="L44" s="138">
        <v>-56633</v>
      </c>
      <c r="M44" s="138">
        <v>-109737</v>
      </c>
      <c r="N44" s="138">
        <v>-102454</v>
      </c>
      <c r="O44" s="138">
        <v>-98588</v>
      </c>
      <c r="P44" s="138">
        <v>-108458</v>
      </c>
      <c r="Q44" s="138">
        <v>-110571</v>
      </c>
      <c r="R44" s="138">
        <v>29362</v>
      </c>
      <c r="S44" s="138">
        <v>-71012</v>
      </c>
      <c r="T44" s="138">
        <v>-74687</v>
      </c>
    </row>
    <row r="45" spans="1:20">
      <c r="A45" s="137" t="s">
        <v>554</v>
      </c>
      <c r="B45" s="134"/>
      <c r="C45" s="138">
        <v>-41525</v>
      </c>
      <c r="D45" s="138">
        <v>-101069</v>
      </c>
      <c r="E45" s="138">
        <v>-122106</v>
      </c>
      <c r="F45" s="138">
        <v>-278095</v>
      </c>
      <c r="G45" s="138">
        <v>-93589</v>
      </c>
      <c r="H45" s="138">
        <v>-223889</v>
      </c>
      <c r="I45" s="138">
        <v>-172727</v>
      </c>
      <c r="J45" s="138">
        <v>-128049</v>
      </c>
      <c r="K45" s="138">
        <v>-260158</v>
      </c>
      <c r="L45" s="138">
        <v>-152000</v>
      </c>
      <c r="M45" s="138">
        <v>-312043</v>
      </c>
      <c r="N45" s="138">
        <v>-313899</v>
      </c>
      <c r="O45" s="138">
        <v>-284953</v>
      </c>
      <c r="P45" s="138">
        <v>-312146</v>
      </c>
      <c r="Q45" s="138">
        <v>-311220</v>
      </c>
      <c r="R45" s="138">
        <v>-8958</v>
      </c>
      <c r="S45" s="138">
        <v>-215219</v>
      </c>
      <c r="T45" s="138">
        <v>-229127</v>
      </c>
    </row>
    <row r="46" spans="1:20">
      <c r="A46" s="137" t="s">
        <v>603</v>
      </c>
      <c r="B46" s="134"/>
      <c r="C46" s="138">
        <v>-271484.26</v>
      </c>
      <c r="D46" s="138">
        <v>-77462.140000000014</v>
      </c>
      <c r="E46" s="138">
        <v>-73985.572970999987</v>
      </c>
      <c r="F46" s="138">
        <v>-181915.02702899999</v>
      </c>
      <c r="G46" s="138">
        <v>-90858</v>
      </c>
      <c r="H46" s="138">
        <v>21944</v>
      </c>
      <c r="I46" s="138">
        <v>984382</v>
      </c>
      <c r="J46" s="138">
        <v>-426295</v>
      </c>
      <c r="K46" s="138">
        <v>-13439</v>
      </c>
      <c r="L46" s="138">
        <v>-114403</v>
      </c>
      <c r="M46" s="138">
        <v>5825</v>
      </c>
      <c r="N46" s="138">
        <v>-43058</v>
      </c>
      <c r="O46" s="138">
        <v>226845</v>
      </c>
      <c r="P46" s="138">
        <v>175203</v>
      </c>
      <c r="Q46" s="138">
        <v>-108900</v>
      </c>
      <c r="R46" s="138">
        <v>-47688</v>
      </c>
      <c r="S46" s="138">
        <v>-21737</v>
      </c>
      <c r="T46" s="138">
        <v>-166213</v>
      </c>
    </row>
    <row r="47" spans="1:20" ht="15" thickBot="1">
      <c r="A47" s="139" t="s">
        <v>555</v>
      </c>
      <c r="B47" s="134"/>
      <c r="C47" s="138">
        <v>29902</v>
      </c>
      <c r="D47" s="138">
        <v>59918</v>
      </c>
      <c r="E47" s="138">
        <v>112822</v>
      </c>
      <c r="F47" s="138">
        <v>219829</v>
      </c>
      <c r="G47" s="138">
        <v>71089</v>
      </c>
      <c r="H47" s="138">
        <v>133969</v>
      </c>
      <c r="I47" s="138">
        <v>143568</v>
      </c>
      <c r="J47" s="138">
        <v>127224</v>
      </c>
      <c r="K47" s="138">
        <v>130814</v>
      </c>
      <c r="L47" s="138">
        <v>135589</v>
      </c>
      <c r="M47" s="138">
        <v>215595</v>
      </c>
      <c r="N47" s="138">
        <v>306951</v>
      </c>
      <c r="O47" s="138">
        <v>71237</v>
      </c>
      <c r="P47" s="138">
        <v>212098</v>
      </c>
      <c r="Q47" s="138">
        <v>245150</v>
      </c>
      <c r="R47" s="138">
        <v>273082</v>
      </c>
      <c r="S47" s="138">
        <v>175948</v>
      </c>
      <c r="T47" s="138">
        <v>170618</v>
      </c>
    </row>
    <row r="48" spans="1:20" ht="15" thickBot="1">
      <c r="A48" s="140" t="s">
        <v>604</v>
      </c>
      <c r="B48" s="134"/>
      <c r="C48" s="141">
        <f t="shared" ref="C48:K48" si="21">SUM(C43:C47)</f>
        <v>514689.74</v>
      </c>
      <c r="D48" s="141">
        <f t="shared" si="21"/>
        <v>474200.86</v>
      </c>
      <c r="E48" s="141">
        <f t="shared" si="21"/>
        <v>847210.46517899993</v>
      </c>
      <c r="F48" s="141">
        <f t="shared" si="21"/>
        <v>1611551.9348210001</v>
      </c>
      <c r="G48" s="141">
        <f t="shared" si="21"/>
        <v>452656</v>
      </c>
      <c r="H48" s="141">
        <f t="shared" si="21"/>
        <v>632009</v>
      </c>
      <c r="I48" s="141">
        <f t="shared" si="21"/>
        <v>1591379</v>
      </c>
      <c r="J48" s="141">
        <f t="shared" si="21"/>
        <v>1626464.76663</v>
      </c>
      <c r="K48" s="141">
        <f t="shared" si="21"/>
        <v>678597</v>
      </c>
      <c r="L48" s="141">
        <f t="shared" ref="L48:T48" si="22">SUM(L43:L47)</f>
        <v>-112468</v>
      </c>
      <c r="M48" s="141">
        <f t="shared" si="22"/>
        <v>584520</v>
      </c>
      <c r="N48" s="141">
        <f t="shared" si="22"/>
        <v>771354</v>
      </c>
      <c r="O48" s="141">
        <f t="shared" si="22"/>
        <v>287879</v>
      </c>
      <c r="P48" s="141">
        <f t="shared" si="22"/>
        <v>670650.00000000047</v>
      </c>
      <c r="Q48" s="141">
        <f t="shared" si="22"/>
        <v>927684.30929999985</v>
      </c>
      <c r="R48" s="141">
        <f t="shared" si="22"/>
        <v>990070</v>
      </c>
      <c r="S48" s="141">
        <f t="shared" si="22"/>
        <v>579431.39600000065</v>
      </c>
      <c r="T48" s="141">
        <f t="shared" si="22"/>
        <v>695095</v>
      </c>
    </row>
    <row r="49" spans="1:20" ht="15" thickBot="1">
      <c r="A49" s="146" t="s">
        <v>665</v>
      </c>
      <c r="B49" s="134"/>
      <c r="C49" s="147">
        <v>-74732</v>
      </c>
      <c r="D49" s="147">
        <v>-68471</v>
      </c>
      <c r="E49" s="147">
        <v>-119253</v>
      </c>
      <c r="F49" s="147">
        <v>-210108</v>
      </c>
      <c r="G49" s="147">
        <v>-99430</v>
      </c>
      <c r="H49" s="147">
        <v>-122279</v>
      </c>
      <c r="I49" s="147">
        <v>-180984</v>
      </c>
      <c r="J49" s="147">
        <v>-205288.72273598076</v>
      </c>
      <c r="K49" s="147">
        <v>-98521</v>
      </c>
      <c r="L49" s="147">
        <v>-57833.573726359173</v>
      </c>
      <c r="M49" s="147">
        <v>-80259.226386072114</v>
      </c>
      <c r="N49" s="147">
        <v>-311449.13035226823</v>
      </c>
      <c r="O49" s="147">
        <v>-124193</v>
      </c>
      <c r="P49" s="147">
        <v>-152951</v>
      </c>
      <c r="Q49" s="147">
        <v>-207661.92636018206</v>
      </c>
      <c r="R49" s="147">
        <v>-315885.07016494643</v>
      </c>
      <c r="S49" s="147">
        <v>-299987.0387105</v>
      </c>
      <c r="T49" s="147">
        <v>-186620.72133250002</v>
      </c>
    </row>
    <row r="50" spans="1:20" ht="15" thickBot="1">
      <c r="A50" s="140" t="s">
        <v>666</v>
      </c>
      <c r="B50" s="134"/>
      <c r="C50" s="148">
        <f t="shared" ref="C50:T50" si="23">SUM(C48:C49)</f>
        <v>439957.74</v>
      </c>
      <c r="D50" s="148">
        <f t="shared" si="23"/>
        <v>405729.86</v>
      </c>
      <c r="E50" s="148">
        <f t="shared" si="23"/>
        <v>727957.46517899993</v>
      </c>
      <c r="F50" s="148">
        <f t="shared" si="23"/>
        <v>1401443.9348210001</v>
      </c>
      <c r="G50" s="148">
        <f t="shared" si="23"/>
        <v>353226</v>
      </c>
      <c r="H50" s="148">
        <f t="shared" si="23"/>
        <v>509730</v>
      </c>
      <c r="I50" s="148">
        <f t="shared" si="23"/>
        <v>1410395</v>
      </c>
      <c r="J50" s="148">
        <f t="shared" si="23"/>
        <v>1421176.0438940192</v>
      </c>
      <c r="K50" s="148">
        <f t="shared" si="23"/>
        <v>580076</v>
      </c>
      <c r="L50" s="148">
        <f t="shared" si="23"/>
        <v>-170301.57372635917</v>
      </c>
      <c r="M50" s="148">
        <f t="shared" si="23"/>
        <v>504260.77361392789</v>
      </c>
      <c r="N50" s="148">
        <f t="shared" si="23"/>
        <v>459904.86964773177</v>
      </c>
      <c r="O50" s="148">
        <f t="shared" si="23"/>
        <v>163686</v>
      </c>
      <c r="P50" s="148">
        <f t="shared" si="23"/>
        <v>517699.00000000047</v>
      </c>
      <c r="Q50" s="148">
        <f t="shared" si="23"/>
        <v>720022.38293981785</v>
      </c>
      <c r="R50" s="148">
        <f t="shared" si="23"/>
        <v>674184.92983505363</v>
      </c>
      <c r="S50" s="148">
        <f t="shared" si="23"/>
        <v>279444.35728950065</v>
      </c>
      <c r="T50" s="148">
        <f t="shared" si="23"/>
        <v>508474.27866750001</v>
      </c>
    </row>
    <row r="1048576" spans="16:18">
      <c r="P1048576" s="138"/>
      <c r="Q1048576" s="138"/>
      <c r="R1048576" s="138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ignoredErrors>
    <ignoredError sqref="K9:S9" formulaRange="1"/>
  </ignoredError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9" tint="0.79998168889431442"/>
  </sheetPr>
  <dimension ref="B7:V93"/>
  <sheetViews>
    <sheetView showGridLines="0" zoomScale="85" zoomScaleNormal="85" workbookViewId="0">
      <pane xSplit="2" ySplit="8" topLeftCell="C9" activePane="bottomRight" state="frozen"/>
      <selection pane="topRight" activeCell="AN17" sqref="AN17"/>
      <selection pane="bottomLeft" activeCell="AN17" sqref="AN17"/>
      <selection pane="bottomRight" activeCell="B8" sqref="B8"/>
    </sheetView>
  </sheetViews>
  <sheetFormatPr defaultColWidth="8.7265625" defaultRowHeight="13"/>
  <cols>
    <col min="1" max="1" width="8.7265625" style="126"/>
    <col min="2" max="2" width="45.54296875" style="126" customWidth="1"/>
    <col min="3" max="20" width="13.26953125" style="126" customWidth="1"/>
    <col min="21" max="21" width="10.7265625" style="126" bestFit="1" customWidth="1"/>
    <col min="22" max="16384" width="8.7265625" style="126"/>
  </cols>
  <sheetData>
    <row r="7" spans="2:20">
      <c r="B7" s="156" t="s">
        <v>667</v>
      </c>
      <c r="C7" s="655"/>
    </row>
    <row r="8" spans="2:20" ht="28" customHeight="1">
      <c r="B8" s="541" t="s">
        <v>659</v>
      </c>
      <c r="C8" s="542" t="s">
        <v>55</v>
      </c>
      <c r="D8" s="542" t="s">
        <v>67</v>
      </c>
      <c r="E8" s="542" t="s">
        <v>69</v>
      </c>
      <c r="F8" s="542" t="s">
        <v>71</v>
      </c>
      <c r="G8" s="542" t="s">
        <v>73</v>
      </c>
      <c r="H8" s="542" t="s">
        <v>75</v>
      </c>
      <c r="I8" s="542" t="s">
        <v>77</v>
      </c>
      <c r="J8" s="542" t="s">
        <v>450</v>
      </c>
      <c r="K8" s="542" t="s">
        <v>668</v>
      </c>
      <c r="L8" s="542" t="s">
        <v>669</v>
      </c>
      <c r="M8" s="542" t="s">
        <v>670</v>
      </c>
      <c r="N8" s="542" t="s">
        <v>671</v>
      </c>
      <c r="O8" s="542" t="s">
        <v>672</v>
      </c>
      <c r="P8" s="542" t="s">
        <v>673</v>
      </c>
      <c r="Q8" s="542" t="s">
        <v>674</v>
      </c>
      <c r="R8" s="543" t="s">
        <v>675</v>
      </c>
      <c r="S8" s="542" t="s">
        <v>59</v>
      </c>
      <c r="T8" s="542" t="s">
        <v>676</v>
      </c>
    </row>
    <row r="9" spans="2:20" s="607" customFormat="1">
      <c r="B9" s="609" t="s">
        <v>677</v>
      </c>
      <c r="C9" s="158">
        <f>SUM(C10:C17)</f>
        <v>2063.2307970000002</v>
      </c>
      <c r="D9" s="158">
        <f t="shared" ref="D9:T9" si="0">SUM(D10:D17)</f>
        <v>3410.7025479999998</v>
      </c>
      <c r="E9" s="158">
        <f t="shared" si="0"/>
        <v>1247.6400959999999</v>
      </c>
      <c r="F9" s="158">
        <f t="shared" si="0"/>
        <v>1077.6931809999999</v>
      </c>
      <c r="G9" s="158">
        <f t="shared" si="0"/>
        <v>1725.2846010000001</v>
      </c>
      <c r="H9" s="158">
        <f t="shared" si="0"/>
        <v>564.60375799999997</v>
      </c>
      <c r="I9" s="158">
        <f t="shared" si="0"/>
        <v>3655.9550699999995</v>
      </c>
      <c r="J9" s="158">
        <f t="shared" si="0"/>
        <v>378.76799699999998</v>
      </c>
      <c r="K9" s="158">
        <f t="shared" si="0"/>
        <v>214.54900000000001</v>
      </c>
      <c r="L9" s="158">
        <f t="shared" si="0"/>
        <v>14.731</v>
      </c>
      <c r="M9" s="158">
        <f t="shared" si="0"/>
        <v>183.29000000000002</v>
      </c>
      <c r="N9" s="158">
        <f t="shared" si="0"/>
        <v>61.417000000000002</v>
      </c>
      <c r="O9" s="158">
        <f t="shared" si="0"/>
        <v>0</v>
      </c>
      <c r="P9" s="158">
        <f t="shared" si="0"/>
        <v>0</v>
      </c>
      <c r="Q9" s="158">
        <f t="shared" si="0"/>
        <v>0</v>
      </c>
      <c r="R9" s="158">
        <f t="shared" si="0"/>
        <v>-64.656999999999996</v>
      </c>
      <c r="S9" s="158">
        <f t="shared" si="0"/>
        <v>0</v>
      </c>
      <c r="T9" s="158">
        <f t="shared" si="0"/>
        <v>14533.208048</v>
      </c>
    </row>
    <row r="10" spans="2:20">
      <c r="B10" s="159" t="s">
        <v>586</v>
      </c>
      <c r="C10" s="160">
        <v>1635.2804950000002</v>
      </c>
      <c r="D10" s="160">
        <v>2505.0979589999997</v>
      </c>
      <c r="E10" s="160">
        <v>970.59526899999992</v>
      </c>
      <c r="F10" s="160">
        <v>856.20022499999993</v>
      </c>
      <c r="G10" s="160">
        <v>1285.291939</v>
      </c>
      <c r="H10" s="160">
        <v>374.14537199999995</v>
      </c>
      <c r="I10" s="160">
        <v>2660.4723849999996</v>
      </c>
      <c r="J10" s="160">
        <v>0</v>
      </c>
      <c r="K10" s="160">
        <v>0</v>
      </c>
      <c r="L10" s="160">
        <v>0</v>
      </c>
      <c r="M10" s="160">
        <v>90.271000000000001</v>
      </c>
      <c r="N10" s="160">
        <v>0</v>
      </c>
      <c r="O10" s="160">
        <v>0</v>
      </c>
      <c r="P10" s="160">
        <v>0</v>
      </c>
      <c r="Q10" s="160">
        <v>0</v>
      </c>
      <c r="R10" s="160">
        <v>0</v>
      </c>
      <c r="S10" s="160">
        <v>0</v>
      </c>
      <c r="T10" s="160">
        <f t="shared" ref="T10:T18" si="1">SUM(C10:S10)</f>
        <v>10377.354643999999</v>
      </c>
    </row>
    <row r="11" spans="2:20">
      <c r="B11" s="159" t="s">
        <v>468</v>
      </c>
      <c r="C11" s="160">
        <v>4.4386790000000005</v>
      </c>
      <c r="D11" s="160">
        <v>8.5021439999999995</v>
      </c>
      <c r="E11" s="160">
        <v>2.8531960000000001</v>
      </c>
      <c r="F11" s="160">
        <v>4.6268349999999998</v>
      </c>
      <c r="G11" s="160">
        <v>25.959285999999999</v>
      </c>
      <c r="H11" s="160">
        <v>7.9800630000000004</v>
      </c>
      <c r="I11" s="160">
        <v>36.072724000000001</v>
      </c>
      <c r="J11" s="160">
        <v>0</v>
      </c>
      <c r="K11" s="160">
        <v>0</v>
      </c>
      <c r="L11" s="160">
        <v>0</v>
      </c>
      <c r="M11" s="160">
        <v>0</v>
      </c>
      <c r="N11" s="160">
        <v>0</v>
      </c>
      <c r="O11" s="160">
        <v>0</v>
      </c>
      <c r="P11" s="160">
        <v>0</v>
      </c>
      <c r="Q11" s="160">
        <v>0</v>
      </c>
      <c r="R11" s="160">
        <v>0</v>
      </c>
      <c r="S11" s="160">
        <v>0</v>
      </c>
      <c r="T11" s="160">
        <f t="shared" si="1"/>
        <v>90.432927000000007</v>
      </c>
    </row>
    <row r="12" spans="2:20">
      <c r="B12" s="159" t="s">
        <v>470</v>
      </c>
      <c r="C12" s="160">
        <v>290.48543100000001</v>
      </c>
      <c r="D12" s="160">
        <v>563.30090700000005</v>
      </c>
      <c r="E12" s="160">
        <v>196.57271700000001</v>
      </c>
      <c r="F12" s="160">
        <v>131.567914</v>
      </c>
      <c r="G12" s="160">
        <v>213.08363600000001</v>
      </c>
      <c r="H12" s="160">
        <v>83.670795999999996</v>
      </c>
      <c r="I12" s="160">
        <v>480.07731999999999</v>
      </c>
      <c r="J12" s="160">
        <v>1.4303859999999999</v>
      </c>
      <c r="K12" s="160">
        <v>0</v>
      </c>
      <c r="L12" s="160">
        <v>0</v>
      </c>
      <c r="M12" s="160">
        <v>0</v>
      </c>
      <c r="N12" s="160">
        <v>37.765000000000001</v>
      </c>
      <c r="O12" s="160">
        <v>0</v>
      </c>
      <c r="P12" s="160">
        <v>0</v>
      </c>
      <c r="Q12" s="160">
        <v>0</v>
      </c>
      <c r="R12" s="160">
        <v>0</v>
      </c>
      <c r="S12" s="160">
        <v>0</v>
      </c>
      <c r="T12" s="160">
        <f t="shared" si="1"/>
        <v>1997.9541070000002</v>
      </c>
    </row>
    <row r="13" spans="2:20">
      <c r="B13" s="159" t="s">
        <v>471</v>
      </c>
      <c r="C13" s="160">
        <v>0</v>
      </c>
      <c r="D13" s="160">
        <v>0</v>
      </c>
      <c r="E13" s="160">
        <v>0</v>
      </c>
      <c r="F13" s="160">
        <v>0</v>
      </c>
      <c r="G13" s="160">
        <v>0</v>
      </c>
      <c r="H13" s="160">
        <v>0</v>
      </c>
      <c r="I13" s="160">
        <v>0</v>
      </c>
      <c r="J13" s="160">
        <v>0</v>
      </c>
      <c r="K13" s="160">
        <v>0</v>
      </c>
      <c r="L13" s="160">
        <v>0</v>
      </c>
      <c r="M13" s="160">
        <v>0</v>
      </c>
      <c r="N13" s="160">
        <v>0</v>
      </c>
      <c r="O13" s="160">
        <v>0</v>
      </c>
      <c r="P13" s="160">
        <v>0</v>
      </c>
      <c r="Q13" s="160">
        <v>0</v>
      </c>
      <c r="R13" s="160">
        <v>0</v>
      </c>
      <c r="S13" s="160">
        <v>0</v>
      </c>
      <c r="T13" s="160">
        <f t="shared" si="1"/>
        <v>0</v>
      </c>
    </row>
    <row r="14" spans="2:20">
      <c r="B14" s="159" t="s">
        <v>617</v>
      </c>
      <c r="C14" s="160">
        <v>0</v>
      </c>
      <c r="D14" s="160">
        <v>0</v>
      </c>
      <c r="E14" s="160">
        <v>0</v>
      </c>
      <c r="F14" s="160">
        <v>0</v>
      </c>
      <c r="G14" s="160">
        <v>0</v>
      </c>
      <c r="H14" s="160">
        <v>0</v>
      </c>
      <c r="I14" s="160">
        <v>0</v>
      </c>
      <c r="J14" s="160">
        <v>27.495419000000002</v>
      </c>
      <c r="K14" s="160">
        <v>0</v>
      </c>
      <c r="L14" s="160">
        <v>0</v>
      </c>
      <c r="M14" s="160">
        <v>0</v>
      </c>
      <c r="N14" s="160">
        <v>0</v>
      </c>
      <c r="O14" s="160">
        <v>0</v>
      </c>
      <c r="P14" s="160">
        <v>0</v>
      </c>
      <c r="Q14" s="160">
        <v>0</v>
      </c>
      <c r="R14" s="160">
        <v>0</v>
      </c>
      <c r="S14" s="160">
        <v>0</v>
      </c>
      <c r="T14" s="160">
        <f t="shared" si="1"/>
        <v>27.495419000000002</v>
      </c>
    </row>
    <row r="15" spans="2:20">
      <c r="B15" s="159" t="s">
        <v>469</v>
      </c>
      <c r="C15" s="160">
        <v>0</v>
      </c>
      <c r="D15" s="160">
        <v>0</v>
      </c>
      <c r="E15" s="160">
        <v>0</v>
      </c>
      <c r="F15" s="160">
        <v>0</v>
      </c>
      <c r="G15" s="160">
        <v>0</v>
      </c>
      <c r="H15" s="160">
        <v>0</v>
      </c>
      <c r="I15" s="160">
        <v>0</v>
      </c>
      <c r="J15" s="160">
        <v>0</v>
      </c>
      <c r="K15" s="160">
        <v>211.06800000000001</v>
      </c>
      <c r="L15" s="160">
        <v>14.778</v>
      </c>
      <c r="M15" s="160">
        <v>0</v>
      </c>
      <c r="N15" s="160">
        <v>0</v>
      </c>
      <c r="O15" s="160">
        <v>0</v>
      </c>
      <c r="P15" s="160">
        <v>0</v>
      </c>
      <c r="Q15" s="160">
        <v>0</v>
      </c>
      <c r="R15" s="160">
        <v>0</v>
      </c>
      <c r="S15" s="160">
        <v>0</v>
      </c>
      <c r="T15" s="160">
        <f t="shared" si="1"/>
        <v>225.846</v>
      </c>
    </row>
    <row r="16" spans="2:20">
      <c r="B16" s="159" t="s">
        <v>473</v>
      </c>
      <c r="C16" s="160">
        <v>0</v>
      </c>
      <c r="D16" s="160">
        <v>0</v>
      </c>
      <c r="E16" s="160">
        <v>0</v>
      </c>
      <c r="F16" s="160">
        <v>0</v>
      </c>
      <c r="G16" s="160">
        <v>0</v>
      </c>
      <c r="H16" s="160">
        <v>0</v>
      </c>
      <c r="I16" s="160">
        <v>0</v>
      </c>
      <c r="J16" s="160">
        <v>0</v>
      </c>
      <c r="K16" s="160">
        <v>0</v>
      </c>
      <c r="L16" s="160">
        <v>0</v>
      </c>
      <c r="M16" s="160">
        <v>0</v>
      </c>
      <c r="N16" s="160">
        <v>22.815999999999999</v>
      </c>
      <c r="O16" s="160">
        <v>0</v>
      </c>
      <c r="P16" s="160">
        <v>0</v>
      </c>
      <c r="Q16" s="160">
        <v>0</v>
      </c>
      <c r="R16" s="160">
        <v>0</v>
      </c>
      <c r="S16" s="160">
        <v>0</v>
      </c>
      <c r="T16" s="160">
        <f t="shared" si="1"/>
        <v>22.815999999999999</v>
      </c>
    </row>
    <row r="17" spans="2:22">
      <c r="B17" s="159" t="s">
        <v>474</v>
      </c>
      <c r="C17" s="160">
        <v>133.02619199999998</v>
      </c>
      <c r="D17" s="160">
        <v>333.80153799999999</v>
      </c>
      <c r="E17" s="160">
        <v>77.618914000000004</v>
      </c>
      <c r="F17" s="160">
        <v>85.298206999999991</v>
      </c>
      <c r="G17" s="160">
        <v>200.94973999999999</v>
      </c>
      <c r="H17" s="160">
        <v>98.807527000000007</v>
      </c>
      <c r="I17" s="160">
        <v>479.33264100000002</v>
      </c>
      <c r="J17" s="160">
        <v>349.84219199999995</v>
      </c>
      <c r="K17" s="160">
        <v>3.4809999999999999</v>
      </c>
      <c r="L17" s="160">
        <v>-4.7E-2</v>
      </c>
      <c r="M17" s="160">
        <v>93.019000000000005</v>
      </c>
      <c r="N17" s="160">
        <v>0.83599999999999997</v>
      </c>
      <c r="O17" s="160">
        <v>0</v>
      </c>
      <c r="P17" s="160">
        <v>0</v>
      </c>
      <c r="Q17" s="160">
        <v>0</v>
      </c>
      <c r="R17" s="160">
        <v>-64.656999999999996</v>
      </c>
      <c r="S17" s="160">
        <v>0</v>
      </c>
      <c r="T17" s="160">
        <f t="shared" si="1"/>
        <v>1791.308951</v>
      </c>
    </row>
    <row r="18" spans="2:22" s="156" customFormat="1">
      <c r="B18" s="161" t="s">
        <v>587</v>
      </c>
      <c r="C18" s="162">
        <v>-582.52318500000001</v>
      </c>
      <c r="D18" s="162">
        <v>-833.82155599999999</v>
      </c>
      <c r="E18" s="162">
        <v>-355.25857400000001</v>
      </c>
      <c r="F18" s="162">
        <v>-342.542552</v>
      </c>
      <c r="G18" s="162">
        <v>-562.38709300000005</v>
      </c>
      <c r="H18" s="162">
        <v>-142.71904900000001</v>
      </c>
      <c r="I18" s="162">
        <v>-1148.7716459999999</v>
      </c>
      <c r="J18" s="162">
        <v>-35.776637999999991</v>
      </c>
      <c r="K18" s="162">
        <v>-8.9459999999999997</v>
      </c>
      <c r="L18" s="162">
        <v>-1.1619999999999999</v>
      </c>
      <c r="M18" s="162">
        <v>-27.978999999999999</v>
      </c>
      <c r="N18" s="162">
        <v>-2.1880000000000002</v>
      </c>
      <c r="O18" s="162">
        <v>-0.141543</v>
      </c>
      <c r="P18" s="162">
        <v>0</v>
      </c>
      <c r="Q18" s="162">
        <v>0</v>
      </c>
      <c r="R18" s="162">
        <v>0</v>
      </c>
      <c r="S18" s="162">
        <v>0</v>
      </c>
      <c r="T18" s="162">
        <f t="shared" si="1"/>
        <v>-4044.2168359999987</v>
      </c>
      <c r="U18" s="607"/>
      <c r="V18" s="162"/>
    </row>
    <row r="19" spans="2:22" s="156" customFormat="1">
      <c r="B19" s="157" t="s">
        <v>491</v>
      </c>
      <c r="C19" s="158">
        <f>+C9+C18</f>
        <v>1480.7076120000002</v>
      </c>
      <c r="D19" s="158">
        <f t="shared" ref="D19:T19" si="2">+D9+D18</f>
        <v>2576.8809919999999</v>
      </c>
      <c r="E19" s="158">
        <f t="shared" si="2"/>
        <v>892.3815219999999</v>
      </c>
      <c r="F19" s="158">
        <f t="shared" si="2"/>
        <v>735.15062899999987</v>
      </c>
      <c r="G19" s="158">
        <f t="shared" si="2"/>
        <v>1162.897508</v>
      </c>
      <c r="H19" s="158">
        <f t="shared" si="2"/>
        <v>421.88470899999993</v>
      </c>
      <c r="I19" s="158">
        <f t="shared" si="2"/>
        <v>2507.1834239999998</v>
      </c>
      <c r="J19" s="158">
        <f t="shared" si="2"/>
        <v>342.99135899999999</v>
      </c>
      <c r="K19" s="158">
        <f t="shared" si="2"/>
        <v>205.60300000000001</v>
      </c>
      <c r="L19" s="158">
        <f t="shared" si="2"/>
        <v>13.568999999999999</v>
      </c>
      <c r="M19" s="158">
        <f t="shared" si="2"/>
        <v>155.31100000000004</v>
      </c>
      <c r="N19" s="158">
        <f t="shared" si="2"/>
        <v>59.228999999999999</v>
      </c>
      <c r="O19" s="158">
        <f t="shared" si="2"/>
        <v>-0.141543</v>
      </c>
      <c r="P19" s="158">
        <f t="shared" si="2"/>
        <v>0</v>
      </c>
      <c r="Q19" s="158">
        <f t="shared" si="2"/>
        <v>0</v>
      </c>
      <c r="R19" s="158">
        <f t="shared" si="2"/>
        <v>-64.656999999999996</v>
      </c>
      <c r="S19" s="158">
        <f t="shared" si="2"/>
        <v>0</v>
      </c>
      <c r="T19" s="158">
        <f t="shared" si="2"/>
        <v>10488.991212000001</v>
      </c>
    </row>
    <row r="20" spans="2:22" s="156" customFormat="1">
      <c r="B20" s="161" t="s">
        <v>588</v>
      </c>
      <c r="C20" s="162">
        <f>+SUM(C21:C25)</f>
        <v>-920.29975300000001</v>
      </c>
      <c r="D20" s="162">
        <f t="shared" ref="D20:T20" si="3">+SUM(D21:D25)</f>
        <v>-1509.441546</v>
      </c>
      <c r="E20" s="162">
        <f t="shared" si="3"/>
        <v>-557.32751299999995</v>
      </c>
      <c r="F20" s="162">
        <f t="shared" si="3"/>
        <v>-459.240049</v>
      </c>
      <c r="G20" s="162">
        <f t="shared" si="3"/>
        <v>-910.559393</v>
      </c>
      <c r="H20" s="162">
        <f t="shared" si="3"/>
        <v>-221.75432000000001</v>
      </c>
      <c r="I20" s="162">
        <f t="shared" si="3"/>
        <v>-1639.3530609999998</v>
      </c>
      <c r="J20" s="162">
        <f t="shared" si="3"/>
        <v>-1.7079490000000002</v>
      </c>
      <c r="K20" s="162">
        <f t="shared" si="3"/>
        <v>-4.367</v>
      </c>
      <c r="L20" s="162">
        <f t="shared" si="3"/>
        <v>-3.3580000000000001</v>
      </c>
      <c r="M20" s="162">
        <f t="shared" si="3"/>
        <v>-84.991</v>
      </c>
      <c r="N20" s="162">
        <f t="shared" si="3"/>
        <v>-37.765000000000001</v>
      </c>
      <c r="O20" s="162">
        <f t="shared" si="3"/>
        <v>0</v>
      </c>
      <c r="P20" s="162">
        <f t="shared" si="3"/>
        <v>0</v>
      </c>
      <c r="Q20" s="162">
        <f t="shared" si="3"/>
        <v>0</v>
      </c>
      <c r="R20" s="162">
        <f t="shared" si="3"/>
        <v>0</v>
      </c>
      <c r="S20" s="162">
        <f t="shared" si="3"/>
        <v>0</v>
      </c>
      <c r="T20" s="162">
        <f t="shared" si="3"/>
        <v>-6350.164584000001</v>
      </c>
      <c r="U20" s="608"/>
    </row>
    <row r="21" spans="2:22">
      <c r="B21" s="159" t="s">
        <v>589</v>
      </c>
      <c r="C21" s="160">
        <v>-621.740452</v>
      </c>
      <c r="D21" s="160">
        <v>-935.38896900000009</v>
      </c>
      <c r="E21" s="160">
        <v>-368.47256499999997</v>
      </c>
      <c r="F21" s="160">
        <v>-324.79112699999996</v>
      </c>
      <c r="G21" s="160">
        <v>-642.88286399999993</v>
      </c>
      <c r="H21" s="160">
        <v>-125.544703</v>
      </c>
      <c r="I21" s="160">
        <v>-869.61639700000001</v>
      </c>
      <c r="J21" s="160">
        <v>0</v>
      </c>
      <c r="K21" s="160">
        <v>-4.367</v>
      </c>
      <c r="L21" s="160">
        <v>-3.3580000000000001</v>
      </c>
      <c r="M21" s="160">
        <v>-84.991</v>
      </c>
      <c r="N21" s="160">
        <v>0</v>
      </c>
      <c r="O21" s="160">
        <v>0</v>
      </c>
      <c r="P21" s="160">
        <v>0</v>
      </c>
      <c r="Q21" s="160">
        <v>0</v>
      </c>
      <c r="R21" s="160">
        <v>0</v>
      </c>
      <c r="S21" s="160">
        <v>0</v>
      </c>
      <c r="T21" s="160">
        <f>SUM(C21:S21)</f>
        <v>-3981.1530770000008</v>
      </c>
    </row>
    <row r="22" spans="2:22">
      <c r="B22" s="159" t="s">
        <v>590</v>
      </c>
      <c r="C22" s="160">
        <v>-8.0738699999999994</v>
      </c>
      <c r="D22" s="160">
        <v>-10.751670000000001</v>
      </c>
      <c r="E22" s="160">
        <v>7.7177690000000005</v>
      </c>
      <c r="F22" s="160">
        <v>-2.881008</v>
      </c>
      <c r="G22" s="160">
        <v>-54.592892999999997</v>
      </c>
      <c r="H22" s="160">
        <v>-12.538821</v>
      </c>
      <c r="I22" s="160">
        <v>-289.65934399999998</v>
      </c>
      <c r="J22" s="160">
        <v>0</v>
      </c>
      <c r="K22" s="160">
        <v>0</v>
      </c>
      <c r="L22" s="160">
        <v>0</v>
      </c>
      <c r="M22" s="160">
        <v>0</v>
      </c>
      <c r="N22" s="160">
        <v>0</v>
      </c>
      <c r="O22" s="160">
        <v>0</v>
      </c>
      <c r="P22" s="160">
        <v>0</v>
      </c>
      <c r="Q22" s="160">
        <v>0</v>
      </c>
      <c r="R22" s="160">
        <v>0</v>
      </c>
      <c r="S22" s="160">
        <v>0</v>
      </c>
      <c r="T22" s="160">
        <f>SUM(C22:S22)</f>
        <v>-370.77983699999999</v>
      </c>
    </row>
    <row r="23" spans="2:22">
      <c r="B23" s="159" t="s">
        <v>497</v>
      </c>
      <c r="C23" s="160">
        <v>0</v>
      </c>
      <c r="D23" s="160">
        <v>0</v>
      </c>
      <c r="E23" s="160">
        <v>0</v>
      </c>
      <c r="F23" s="160">
        <v>0</v>
      </c>
      <c r="G23" s="160">
        <v>0</v>
      </c>
      <c r="H23" s="160">
        <v>0</v>
      </c>
      <c r="I23" s="160">
        <v>0</v>
      </c>
      <c r="J23" s="160">
        <v>0</v>
      </c>
      <c r="K23" s="160">
        <v>0</v>
      </c>
      <c r="L23" s="160">
        <v>0</v>
      </c>
      <c r="M23" s="160">
        <v>0</v>
      </c>
      <c r="N23" s="160">
        <v>0</v>
      </c>
      <c r="O23" s="160">
        <v>0</v>
      </c>
      <c r="P23" s="160">
        <v>0</v>
      </c>
      <c r="Q23" s="160">
        <v>0</v>
      </c>
      <c r="R23" s="160">
        <v>0</v>
      </c>
      <c r="S23" s="160">
        <v>0</v>
      </c>
      <c r="T23" s="160">
        <f>SUM(C23:S23)</f>
        <v>0</v>
      </c>
    </row>
    <row r="24" spans="2:22">
      <c r="B24" s="159" t="s">
        <v>495</v>
      </c>
      <c r="C24" s="160">
        <v>0</v>
      </c>
      <c r="D24" s="160">
        <v>0</v>
      </c>
      <c r="E24" s="160">
        <v>0</v>
      </c>
      <c r="F24" s="160">
        <v>0</v>
      </c>
      <c r="G24" s="160">
        <v>0</v>
      </c>
      <c r="H24" s="160">
        <v>0</v>
      </c>
      <c r="I24" s="160">
        <v>0</v>
      </c>
      <c r="J24" s="160">
        <v>0</v>
      </c>
      <c r="K24" s="160">
        <v>0</v>
      </c>
      <c r="L24" s="160">
        <v>0</v>
      </c>
      <c r="M24" s="160">
        <v>0</v>
      </c>
      <c r="N24" s="160">
        <v>0</v>
      </c>
      <c r="O24" s="160">
        <v>0</v>
      </c>
      <c r="P24" s="160">
        <v>0</v>
      </c>
      <c r="Q24" s="160">
        <v>0</v>
      </c>
      <c r="R24" s="160">
        <v>0</v>
      </c>
      <c r="S24" s="160">
        <v>0</v>
      </c>
      <c r="T24" s="160">
        <f>SUM(C24:S24)</f>
        <v>0</v>
      </c>
    </row>
    <row r="25" spans="2:22">
      <c r="B25" s="159" t="s">
        <v>591</v>
      </c>
      <c r="C25" s="160">
        <v>-290.48543100000001</v>
      </c>
      <c r="D25" s="160">
        <v>-563.30090700000005</v>
      </c>
      <c r="E25" s="160">
        <v>-196.57271700000001</v>
      </c>
      <c r="F25" s="160">
        <v>-131.567914</v>
      </c>
      <c r="G25" s="160">
        <v>-213.08363600000001</v>
      </c>
      <c r="H25" s="160">
        <v>-83.670795999999996</v>
      </c>
      <c r="I25" s="160">
        <v>-480.07731999999999</v>
      </c>
      <c r="J25" s="160">
        <v>-1.7079490000000002</v>
      </c>
      <c r="K25" s="160">
        <v>0</v>
      </c>
      <c r="L25" s="160">
        <v>0</v>
      </c>
      <c r="M25" s="160">
        <v>0</v>
      </c>
      <c r="N25" s="160">
        <v>-37.765000000000001</v>
      </c>
      <c r="O25" s="160">
        <v>0</v>
      </c>
      <c r="P25" s="160">
        <v>0</v>
      </c>
      <c r="Q25" s="160">
        <v>0</v>
      </c>
      <c r="R25" s="160">
        <v>0</v>
      </c>
      <c r="S25" s="160">
        <v>0</v>
      </c>
      <c r="T25" s="160">
        <f>SUM(C25:S25)</f>
        <v>-1998.2316700000003</v>
      </c>
    </row>
    <row r="26" spans="2:22" s="156" customFormat="1">
      <c r="B26" s="157" t="s">
        <v>593</v>
      </c>
      <c r="C26" s="158">
        <f>+C19+C20</f>
        <v>560.40785900000014</v>
      </c>
      <c r="D26" s="158">
        <f t="shared" ref="D26:T26" si="4">+D19+D20</f>
        <v>1067.4394459999999</v>
      </c>
      <c r="E26" s="158">
        <f t="shared" si="4"/>
        <v>335.05400899999995</v>
      </c>
      <c r="F26" s="158">
        <f t="shared" si="4"/>
        <v>275.91057999999987</v>
      </c>
      <c r="G26" s="158">
        <f t="shared" si="4"/>
        <v>252.33811500000002</v>
      </c>
      <c r="H26" s="158">
        <f t="shared" si="4"/>
        <v>200.13038899999992</v>
      </c>
      <c r="I26" s="158">
        <f t="shared" si="4"/>
        <v>867.83036300000003</v>
      </c>
      <c r="J26" s="158">
        <f t="shared" si="4"/>
        <v>341.28341</v>
      </c>
      <c r="K26" s="158">
        <f t="shared" si="4"/>
        <v>201.23600000000002</v>
      </c>
      <c r="L26" s="158">
        <f t="shared" si="4"/>
        <v>10.210999999999999</v>
      </c>
      <c r="M26" s="158">
        <f t="shared" si="4"/>
        <v>70.320000000000036</v>
      </c>
      <c r="N26" s="158">
        <f t="shared" si="4"/>
        <v>21.463999999999999</v>
      </c>
      <c r="O26" s="158">
        <f t="shared" si="4"/>
        <v>-0.141543</v>
      </c>
      <c r="P26" s="158">
        <f t="shared" ref="P26:R26" si="5">+P19+P20</f>
        <v>0</v>
      </c>
      <c r="Q26" s="158">
        <f t="shared" si="5"/>
        <v>0</v>
      </c>
      <c r="R26" s="158">
        <f t="shared" si="5"/>
        <v>-64.656999999999996</v>
      </c>
      <c r="S26" s="158">
        <f t="shared" si="4"/>
        <v>0</v>
      </c>
      <c r="T26" s="158">
        <f t="shared" si="4"/>
        <v>4138.8266279999998</v>
      </c>
    </row>
    <row r="27" spans="2:22" s="156" customFormat="1">
      <c r="B27" s="157" t="s">
        <v>594</v>
      </c>
      <c r="C27" s="158">
        <f>SUM(C28:C34)</f>
        <v>-244.21682899999996</v>
      </c>
      <c r="D27" s="158">
        <f t="shared" ref="D27:T27" si="6">SUM(D28:D34)</f>
        <v>-283.46006199999999</v>
      </c>
      <c r="E27" s="158">
        <f t="shared" si="6"/>
        <v>-116.28091000000001</v>
      </c>
      <c r="F27" s="158">
        <f t="shared" si="6"/>
        <v>-75.601963000000012</v>
      </c>
      <c r="G27" s="158">
        <f t="shared" si="6"/>
        <v>-240.29348999999999</v>
      </c>
      <c r="H27" s="158">
        <f t="shared" si="6"/>
        <v>-41.107147000000005</v>
      </c>
      <c r="I27" s="158">
        <f t="shared" si="6"/>
        <v>-429.46729899999997</v>
      </c>
      <c r="J27" s="158">
        <f t="shared" si="6"/>
        <v>-17.846181229999999</v>
      </c>
      <c r="K27" s="158">
        <f t="shared" si="6"/>
        <v>-91.536000000000001</v>
      </c>
      <c r="L27" s="158">
        <f t="shared" si="6"/>
        <v>-3.1819999999999999</v>
      </c>
      <c r="M27" s="158">
        <f t="shared" si="6"/>
        <v>-61.165000000000006</v>
      </c>
      <c r="N27" s="158">
        <f t="shared" si="6"/>
        <v>-25.128999999999998</v>
      </c>
      <c r="O27" s="158">
        <f t="shared" si="6"/>
        <v>-41.333919000000002</v>
      </c>
      <c r="P27" s="158">
        <f t="shared" ref="P27:R27" si="7">SUM(P28:P34)</f>
        <v>64.417999999999992</v>
      </c>
      <c r="Q27" s="158">
        <f t="shared" si="7"/>
        <v>-0.17899999999999999</v>
      </c>
      <c r="R27" s="158">
        <f t="shared" si="7"/>
        <v>64.656999999999996</v>
      </c>
      <c r="S27" s="158">
        <f t="shared" si="6"/>
        <v>-0.45700000000000002</v>
      </c>
      <c r="T27" s="158">
        <f t="shared" si="6"/>
        <v>-1542.1808002300004</v>
      </c>
    </row>
    <row r="28" spans="2:22">
      <c r="B28" s="159" t="s">
        <v>595</v>
      </c>
      <c r="C28" s="160">
        <v>-58.964220999999995</v>
      </c>
      <c r="D28" s="160">
        <v>-48.999994000000001</v>
      </c>
      <c r="E28" s="160">
        <v>-21.539103999999998</v>
      </c>
      <c r="F28" s="160">
        <v>-19.614664000000001</v>
      </c>
      <c r="G28" s="160">
        <v>-37.853355000000001</v>
      </c>
      <c r="H28" s="160">
        <v>-8.9478010000000001</v>
      </c>
      <c r="I28" s="160">
        <v>-37.816864000000002</v>
      </c>
      <c r="J28" s="160">
        <v>-8.7475060300000003</v>
      </c>
      <c r="K28" s="160">
        <v>-18.899000000000001</v>
      </c>
      <c r="L28" s="160">
        <v>-0.60499999999999998</v>
      </c>
      <c r="M28" s="160">
        <v>-35.084000000000003</v>
      </c>
      <c r="N28" s="160">
        <v>-5.2240000000000002</v>
      </c>
      <c r="O28" s="160">
        <v>-10.184004000000002</v>
      </c>
      <c r="P28" s="160">
        <v>0</v>
      </c>
      <c r="Q28" s="160">
        <v>0</v>
      </c>
      <c r="R28" s="160">
        <v>0</v>
      </c>
      <c r="S28" s="160">
        <v>0</v>
      </c>
      <c r="T28" s="160">
        <f t="shared" ref="T28:T34" si="8">SUM(C28:S28)</f>
        <v>-312.47951303000008</v>
      </c>
    </row>
    <row r="29" spans="2:22">
      <c r="B29" s="163" t="s">
        <v>596</v>
      </c>
      <c r="C29" s="160">
        <v>-5.763109</v>
      </c>
      <c r="D29" s="160">
        <v>-3.772472</v>
      </c>
      <c r="E29" s="160">
        <v>-1.976944</v>
      </c>
      <c r="F29" s="160">
        <v>-4.5400919999999996</v>
      </c>
      <c r="G29" s="160">
        <v>-5.1565799999999999</v>
      </c>
      <c r="H29" s="160">
        <v>-0.71184500000000006</v>
      </c>
      <c r="I29" s="160">
        <v>-19.039144</v>
      </c>
      <c r="J29" s="160">
        <v>-5.6883099999999999E-2</v>
      </c>
      <c r="K29" s="160">
        <v>-1.833</v>
      </c>
      <c r="L29" s="160">
        <v>-3.5000000000000003E-2</v>
      </c>
      <c r="M29" s="160">
        <v>-0.83</v>
      </c>
      <c r="N29" s="160">
        <v>-2.4769999999999999</v>
      </c>
      <c r="O29" s="160">
        <v>-6.2171999999999998E-2</v>
      </c>
      <c r="P29" s="160">
        <v>0</v>
      </c>
      <c r="Q29" s="160">
        <v>0</v>
      </c>
      <c r="R29" s="160">
        <v>0</v>
      </c>
      <c r="S29" s="160">
        <v>0</v>
      </c>
      <c r="T29" s="160">
        <f t="shared" si="8"/>
        <v>-46.25424109999998</v>
      </c>
    </row>
    <row r="30" spans="2:22">
      <c r="B30" s="159" t="s">
        <v>597</v>
      </c>
      <c r="C30" s="160">
        <v>-114.989694</v>
      </c>
      <c r="D30" s="160">
        <v>-120.082266</v>
      </c>
      <c r="E30" s="160">
        <v>-66.198767000000004</v>
      </c>
      <c r="F30" s="160">
        <v>-47.636860999999996</v>
      </c>
      <c r="G30" s="160">
        <v>-82.515935999999996</v>
      </c>
      <c r="H30" s="160">
        <v>-21.269575</v>
      </c>
      <c r="I30" s="160">
        <v>-237.69236999999998</v>
      </c>
      <c r="J30" s="160">
        <v>-9.0028876199999992</v>
      </c>
      <c r="K30" s="160">
        <v>-9.7050000000000001</v>
      </c>
      <c r="L30" s="160">
        <v>-0.191</v>
      </c>
      <c r="M30" s="160">
        <v>-0.40400000000000003</v>
      </c>
      <c r="N30" s="160">
        <v>-3.7610000000000001</v>
      </c>
      <c r="O30" s="160">
        <v>-19.503940999999998</v>
      </c>
      <c r="P30" s="160">
        <v>0</v>
      </c>
      <c r="Q30" s="160">
        <v>-7.9000000000000001E-2</v>
      </c>
      <c r="R30" s="160">
        <v>64.656999999999996</v>
      </c>
      <c r="S30" s="160">
        <v>0</v>
      </c>
      <c r="T30" s="160">
        <f t="shared" si="8"/>
        <v>-668.37529761999997</v>
      </c>
    </row>
    <row r="31" spans="2:22">
      <c r="B31" s="159" t="s">
        <v>598</v>
      </c>
      <c r="C31" s="160">
        <v>-32.112083999999996</v>
      </c>
      <c r="D31" s="160">
        <v>-61.938001999999997</v>
      </c>
      <c r="E31" s="160">
        <v>-19.417113000000001</v>
      </c>
      <c r="F31" s="160">
        <v>-9.8645130000000005</v>
      </c>
      <c r="G31" s="160">
        <v>-51.312660000000001</v>
      </c>
      <c r="H31" s="160">
        <v>-3.7503929999999999</v>
      </c>
      <c r="I31" s="160">
        <v>-69.590276000000003</v>
      </c>
      <c r="J31" s="160">
        <v>0</v>
      </c>
      <c r="K31" s="160">
        <v>0</v>
      </c>
      <c r="L31" s="160">
        <v>0</v>
      </c>
      <c r="M31" s="160">
        <v>-1.4870000000000001</v>
      </c>
      <c r="N31" s="160">
        <v>-9.2460000000000004</v>
      </c>
      <c r="O31" s="160">
        <v>0</v>
      </c>
      <c r="P31" s="160">
        <v>-21.114000000000001</v>
      </c>
      <c r="Q31" s="160">
        <v>0</v>
      </c>
      <c r="R31" s="160">
        <v>0</v>
      </c>
      <c r="S31" s="160">
        <v>0</v>
      </c>
      <c r="T31" s="160">
        <f t="shared" si="8"/>
        <v>-279.832041</v>
      </c>
    </row>
    <row r="32" spans="2:22" s="156" customFormat="1">
      <c r="B32" s="159" t="s">
        <v>59</v>
      </c>
      <c r="C32" s="160">
        <v>-7.1325539999999998</v>
      </c>
      <c r="D32" s="160">
        <v>-3.7720850000000001</v>
      </c>
      <c r="E32" s="160">
        <v>-2.34788</v>
      </c>
      <c r="F32" s="160">
        <v>-1.8110419999999998</v>
      </c>
      <c r="G32" s="160">
        <v>-12.371710999999999</v>
      </c>
      <c r="H32" s="160">
        <v>-2.0466990000000003</v>
      </c>
      <c r="I32" s="160">
        <v>-4.5785710000000002</v>
      </c>
      <c r="J32" s="160">
        <v>-3.8904480000000012E-2</v>
      </c>
      <c r="K32" s="160">
        <v>-61.098999999999997</v>
      </c>
      <c r="L32" s="160">
        <v>-2.351</v>
      </c>
      <c r="M32" s="160">
        <v>-24.045999999999999</v>
      </c>
      <c r="N32" s="160">
        <v>-4.4850000000000003</v>
      </c>
      <c r="O32" s="160">
        <v>-3.1645100000000004</v>
      </c>
      <c r="P32" s="160">
        <v>85.531999999999996</v>
      </c>
      <c r="Q32" s="160">
        <v>-0.1</v>
      </c>
      <c r="R32" s="160">
        <v>0</v>
      </c>
      <c r="S32" s="160">
        <v>-0.45700000000000002</v>
      </c>
      <c r="T32" s="160">
        <f t="shared" si="8"/>
        <v>-44.269956479999991</v>
      </c>
      <c r="U32" s="606"/>
    </row>
    <row r="33" spans="2:22">
      <c r="B33" s="164" t="s">
        <v>599</v>
      </c>
      <c r="C33" s="160">
        <v>-25.255167</v>
      </c>
      <c r="D33" s="160">
        <v>-30.254205000000002</v>
      </c>
      <c r="E33" s="160">
        <v>-4.8011020000000002</v>
      </c>
      <c r="F33" s="160">
        <v>7.8652090000000001</v>
      </c>
      <c r="G33" s="160">
        <v>-51.083247999999998</v>
      </c>
      <c r="H33" s="160">
        <v>-0.60214000000000001</v>
      </c>
      <c r="I33" s="160">
        <v>-60.750073999999998</v>
      </c>
      <c r="J33" s="160">
        <v>0</v>
      </c>
      <c r="K33" s="160">
        <v>0</v>
      </c>
      <c r="L33" s="160">
        <v>0</v>
      </c>
      <c r="M33" s="160">
        <v>0.68600000000000005</v>
      </c>
      <c r="N33" s="160">
        <v>6.4000000000000001E-2</v>
      </c>
      <c r="O33" s="160">
        <v>-8.4192919999999987</v>
      </c>
      <c r="P33" s="160">
        <v>0</v>
      </c>
      <c r="Q33" s="160">
        <v>0</v>
      </c>
      <c r="R33" s="160">
        <v>0</v>
      </c>
      <c r="S33" s="160">
        <v>0</v>
      </c>
      <c r="T33" s="160">
        <f t="shared" si="8"/>
        <v>-172.55001900000002</v>
      </c>
    </row>
    <row r="34" spans="2:22" s="156" customFormat="1">
      <c r="B34" s="164" t="s">
        <v>678</v>
      </c>
      <c r="C34" s="160">
        <v>0</v>
      </c>
      <c r="D34" s="160">
        <v>-14.641038</v>
      </c>
      <c r="E34" s="160">
        <v>0</v>
      </c>
      <c r="F34" s="160">
        <v>0</v>
      </c>
      <c r="G34" s="160">
        <v>0</v>
      </c>
      <c r="H34" s="160">
        <v>-3.7786939999999998</v>
      </c>
      <c r="I34" s="160">
        <v>0</v>
      </c>
      <c r="J34" s="160">
        <v>0</v>
      </c>
      <c r="K34" s="160">
        <v>0</v>
      </c>
      <c r="L34" s="160">
        <v>0</v>
      </c>
      <c r="M34" s="160">
        <v>0</v>
      </c>
      <c r="N34" s="160">
        <v>0</v>
      </c>
      <c r="O34" s="160">
        <v>0</v>
      </c>
      <c r="P34" s="160">
        <v>0</v>
      </c>
      <c r="Q34" s="160">
        <v>0</v>
      </c>
      <c r="R34" s="160">
        <v>0</v>
      </c>
      <c r="S34" s="160">
        <v>0</v>
      </c>
      <c r="T34" s="160">
        <f t="shared" si="8"/>
        <v>-18.419732</v>
      </c>
    </row>
    <row r="35" spans="2:22" s="156" customFormat="1">
      <c r="B35" s="161" t="s">
        <v>529</v>
      </c>
      <c r="C35" s="162">
        <f>+C26+C27</f>
        <v>316.19103000000018</v>
      </c>
      <c r="D35" s="162">
        <f t="shared" ref="D35:T35" si="9">+D26+D27</f>
        <v>783.97938399999987</v>
      </c>
      <c r="E35" s="162">
        <f t="shared" si="9"/>
        <v>218.77309899999995</v>
      </c>
      <c r="F35" s="162">
        <f t="shared" si="9"/>
        <v>200.30861699999986</v>
      </c>
      <c r="G35" s="162">
        <f t="shared" si="9"/>
        <v>12.044625000000025</v>
      </c>
      <c r="H35" s="162">
        <f t="shared" si="9"/>
        <v>159.02324199999993</v>
      </c>
      <c r="I35" s="162">
        <f t="shared" si="9"/>
        <v>438.36306400000007</v>
      </c>
      <c r="J35" s="162">
        <f t="shared" si="9"/>
        <v>323.43722876999999</v>
      </c>
      <c r="K35" s="162">
        <f t="shared" si="9"/>
        <v>109.70000000000002</v>
      </c>
      <c r="L35" s="162">
        <f t="shared" si="9"/>
        <v>7.0289999999999981</v>
      </c>
      <c r="M35" s="162">
        <f t="shared" si="9"/>
        <v>9.1550000000000296</v>
      </c>
      <c r="N35" s="162">
        <f t="shared" si="9"/>
        <v>-3.6649999999999991</v>
      </c>
      <c r="O35" s="162">
        <f t="shared" si="9"/>
        <v>-41.475462</v>
      </c>
      <c r="P35" s="162">
        <f t="shared" si="9"/>
        <v>64.417999999999992</v>
      </c>
      <c r="Q35" s="162">
        <f t="shared" si="9"/>
        <v>-0.17899999999999999</v>
      </c>
      <c r="R35" s="162">
        <f t="shared" si="9"/>
        <v>0</v>
      </c>
      <c r="S35" s="162">
        <f t="shared" si="9"/>
        <v>-0.45700000000000002</v>
      </c>
      <c r="T35" s="162">
        <f t="shared" si="9"/>
        <v>2596.6458277699994</v>
      </c>
    </row>
    <row r="36" spans="2:22">
      <c r="B36" s="165" t="s">
        <v>600</v>
      </c>
      <c r="C36" s="160">
        <v>-71.988197</v>
      </c>
      <c r="D36" s="160">
        <v>-120.647684</v>
      </c>
      <c r="E36" s="160">
        <v>-41.217720999999997</v>
      </c>
      <c r="F36" s="160">
        <v>-31.163523000000001</v>
      </c>
      <c r="G36" s="160">
        <v>-35.39432</v>
      </c>
      <c r="H36" s="160">
        <v>1.8852070000000001</v>
      </c>
      <c r="I36" s="160">
        <v>-157.19733199999999</v>
      </c>
      <c r="J36" s="160">
        <v>0</v>
      </c>
      <c r="K36" s="160">
        <v>-55.680999999999997</v>
      </c>
      <c r="L36" s="160">
        <v>-0.17499999999999999</v>
      </c>
      <c r="M36" s="160">
        <v>-2.714</v>
      </c>
      <c r="N36" s="160">
        <v>-0.625</v>
      </c>
      <c r="O36" s="160">
        <v>-2.0757999999999999E-2</v>
      </c>
      <c r="P36" s="160">
        <v>-0.32600000000000001</v>
      </c>
      <c r="Q36" s="160">
        <v>0</v>
      </c>
      <c r="R36" s="160">
        <v>0</v>
      </c>
      <c r="S36" s="160">
        <v>0.22</v>
      </c>
      <c r="T36" s="160">
        <f>SUM(C36:S36)</f>
        <v>-515.04532800000004</v>
      </c>
      <c r="U36" s="606"/>
      <c r="V36" s="606"/>
    </row>
    <row r="37" spans="2:22">
      <c r="B37" s="165" t="s">
        <v>657</v>
      </c>
      <c r="C37" s="160">
        <v>0</v>
      </c>
      <c r="D37" s="160">
        <v>0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-71.265000000000001</v>
      </c>
      <c r="K37" s="160">
        <v>-9.44</v>
      </c>
      <c r="L37" s="160">
        <v>-0.19700000000000001</v>
      </c>
      <c r="M37" s="160">
        <v>0</v>
      </c>
      <c r="N37" s="160">
        <v>-6.7359999999999998</v>
      </c>
      <c r="O37" s="160">
        <v>-9.6029970000000002</v>
      </c>
      <c r="P37" s="160">
        <v>9.44</v>
      </c>
      <c r="Q37" s="160">
        <v>-55.066000000000003</v>
      </c>
      <c r="R37" s="160">
        <v>0</v>
      </c>
      <c r="S37" s="160">
        <v>0</v>
      </c>
      <c r="T37" s="160">
        <f>SUM(C37:S37)</f>
        <v>-142.86699700000003</v>
      </c>
      <c r="V37" s="606"/>
    </row>
    <row r="38" spans="2:22">
      <c r="B38" s="165" t="s">
        <v>662</v>
      </c>
      <c r="C38" s="160">
        <v>0</v>
      </c>
      <c r="D38" s="160">
        <v>0</v>
      </c>
      <c r="E38" s="160">
        <v>0</v>
      </c>
      <c r="F38" s="160">
        <v>0</v>
      </c>
      <c r="G38" s="160">
        <v>0</v>
      </c>
      <c r="H38" s="160">
        <v>0</v>
      </c>
      <c r="I38" s="160">
        <v>0</v>
      </c>
      <c r="J38" s="160">
        <v>0</v>
      </c>
      <c r="K38" s="160">
        <v>0</v>
      </c>
      <c r="L38" s="160">
        <v>0</v>
      </c>
      <c r="M38" s="160">
        <v>-0.60499999999999998</v>
      </c>
      <c r="N38" s="160">
        <v>0</v>
      </c>
      <c r="O38" s="160">
        <v>464.19099999999997</v>
      </c>
      <c r="P38" s="160">
        <v>0</v>
      </c>
      <c r="Q38" s="160">
        <v>502.59399999999999</v>
      </c>
      <c r="R38" s="160">
        <v>-966.78499999999997</v>
      </c>
      <c r="S38" s="160">
        <v>0</v>
      </c>
      <c r="T38" s="160">
        <f>SUM(C38:S38)</f>
        <v>-0.60500000000001819</v>
      </c>
    </row>
    <row r="39" spans="2:22" s="156" customFormat="1">
      <c r="B39" s="161" t="s">
        <v>601</v>
      </c>
      <c r="C39" s="162">
        <f>SUM(C35:C38)</f>
        <v>244.20283300000017</v>
      </c>
      <c r="D39" s="162">
        <f t="shared" ref="D39:T39" si="10">SUM(D35:D38)</f>
        <v>663.33169999999984</v>
      </c>
      <c r="E39" s="162">
        <f t="shared" si="10"/>
        <v>177.55537799999996</v>
      </c>
      <c r="F39" s="162">
        <f t="shared" si="10"/>
        <v>169.14509399999986</v>
      </c>
      <c r="G39" s="162">
        <f t="shared" si="10"/>
        <v>-23.349694999999976</v>
      </c>
      <c r="H39" s="162">
        <f t="shared" si="10"/>
        <v>160.90844899999993</v>
      </c>
      <c r="I39" s="162">
        <f t="shared" si="10"/>
        <v>281.16573200000005</v>
      </c>
      <c r="J39" s="162">
        <f t="shared" si="10"/>
        <v>252.17222877</v>
      </c>
      <c r="K39" s="162">
        <f t="shared" si="10"/>
        <v>44.579000000000022</v>
      </c>
      <c r="L39" s="162">
        <f t="shared" si="10"/>
        <v>6.6569999999999983</v>
      </c>
      <c r="M39" s="162">
        <f t="shared" si="10"/>
        <v>5.8360000000000287</v>
      </c>
      <c r="N39" s="162">
        <f t="shared" si="10"/>
        <v>-11.026</v>
      </c>
      <c r="O39" s="162">
        <f t="shared" si="10"/>
        <v>413.09178299999996</v>
      </c>
      <c r="P39" s="162">
        <f t="shared" ref="P39:R39" si="11">SUM(P35:P38)</f>
        <v>73.531999999999996</v>
      </c>
      <c r="Q39" s="162">
        <f t="shared" si="11"/>
        <v>447.34899999999999</v>
      </c>
      <c r="R39" s="162">
        <f t="shared" si="11"/>
        <v>-966.78499999999997</v>
      </c>
      <c r="S39" s="162">
        <f t="shared" si="10"/>
        <v>-0.23700000000000002</v>
      </c>
      <c r="T39" s="162">
        <f t="shared" si="10"/>
        <v>1938.1285027699992</v>
      </c>
    </row>
    <row r="40" spans="2:22" s="156" customFormat="1">
      <c r="B40" s="157" t="s">
        <v>531</v>
      </c>
      <c r="C40" s="158">
        <f>+SUM(C41:C42)</f>
        <v>-58.759451999999996</v>
      </c>
      <c r="D40" s="158">
        <f t="shared" ref="D40:T40" si="12">+SUM(D41:D42)</f>
        <v>-77.973808999999989</v>
      </c>
      <c r="E40" s="158">
        <f t="shared" si="12"/>
        <v>-78.208902999999992</v>
      </c>
      <c r="F40" s="158">
        <f t="shared" si="12"/>
        <v>-38.924852000000001</v>
      </c>
      <c r="G40" s="158">
        <f t="shared" si="12"/>
        <v>-192.63368100000002</v>
      </c>
      <c r="H40" s="158">
        <f t="shared" si="12"/>
        <v>-64.666619999999995</v>
      </c>
      <c r="I40" s="158">
        <f t="shared" si="12"/>
        <v>-362.36397499999998</v>
      </c>
      <c r="J40" s="158">
        <f t="shared" si="12"/>
        <v>-79.036492570000007</v>
      </c>
      <c r="K40" s="158">
        <f t="shared" si="12"/>
        <v>-66.920999999999992</v>
      </c>
      <c r="L40" s="158">
        <f t="shared" si="12"/>
        <v>-29.813000000000002</v>
      </c>
      <c r="M40" s="158">
        <f t="shared" si="12"/>
        <v>-9.2520000000000024</v>
      </c>
      <c r="N40" s="158">
        <f t="shared" si="12"/>
        <v>-38.057000000000002</v>
      </c>
      <c r="O40" s="158">
        <f t="shared" si="12"/>
        <v>112.72380800000002</v>
      </c>
      <c r="P40" s="158">
        <f t="shared" ref="P40:R40" si="13">+SUM(P41:P42)</f>
        <v>35.341000000000001</v>
      </c>
      <c r="Q40" s="158">
        <f t="shared" si="13"/>
        <v>4.0449999999999999</v>
      </c>
      <c r="R40" s="158">
        <f t="shared" si="13"/>
        <v>0</v>
      </c>
      <c r="S40" s="158">
        <f t="shared" si="12"/>
        <v>0.35099999999999998</v>
      </c>
      <c r="T40" s="158">
        <f t="shared" si="12"/>
        <v>-944.14997656999958</v>
      </c>
    </row>
    <row r="41" spans="2:22">
      <c r="B41" s="165" t="s">
        <v>532</v>
      </c>
      <c r="C41" s="160">
        <v>112.493047</v>
      </c>
      <c r="D41" s="160">
        <v>236.12564399999999</v>
      </c>
      <c r="E41" s="160">
        <v>101.81172599999999</v>
      </c>
      <c r="F41" s="160">
        <v>84.851600000000005</v>
      </c>
      <c r="G41" s="160">
        <v>180.88369699999998</v>
      </c>
      <c r="H41" s="160">
        <v>39.157423999999999</v>
      </c>
      <c r="I41" s="160">
        <v>128.01839000000001</v>
      </c>
      <c r="J41" s="160">
        <v>44.896017529999995</v>
      </c>
      <c r="K41" s="160">
        <v>20.768999999999998</v>
      </c>
      <c r="L41" s="160">
        <v>4.0490000000000004</v>
      </c>
      <c r="M41" s="160">
        <v>16.896999999999998</v>
      </c>
      <c r="N41" s="160">
        <v>3.3780000000000001</v>
      </c>
      <c r="O41" s="160">
        <v>146.05870800000002</v>
      </c>
      <c r="P41" s="160">
        <v>0</v>
      </c>
      <c r="Q41" s="160">
        <v>4.0780000000000003</v>
      </c>
      <c r="R41" s="160">
        <v>-61.308999999999997</v>
      </c>
      <c r="S41" s="160">
        <v>0</v>
      </c>
      <c r="T41" s="160">
        <f>SUM(C41:S41)</f>
        <v>1062.1582535300001</v>
      </c>
    </row>
    <row r="42" spans="2:22">
      <c r="B42" s="165" t="s">
        <v>541</v>
      </c>
      <c r="C42" s="160">
        <v>-171.252499</v>
      </c>
      <c r="D42" s="160">
        <v>-314.09945299999998</v>
      </c>
      <c r="E42" s="160">
        <v>-180.02062899999999</v>
      </c>
      <c r="F42" s="160">
        <v>-123.77645200000001</v>
      </c>
      <c r="G42" s="160">
        <v>-373.51737800000001</v>
      </c>
      <c r="H42" s="160">
        <v>-103.824044</v>
      </c>
      <c r="I42" s="160">
        <v>-490.38236499999999</v>
      </c>
      <c r="J42" s="160">
        <v>-123.9325101</v>
      </c>
      <c r="K42" s="160">
        <v>-87.69</v>
      </c>
      <c r="L42" s="160">
        <v>-33.862000000000002</v>
      </c>
      <c r="M42" s="160">
        <v>-26.149000000000001</v>
      </c>
      <c r="N42" s="160">
        <v>-41.435000000000002</v>
      </c>
      <c r="O42" s="160">
        <v>-33.334900000000005</v>
      </c>
      <c r="P42" s="160">
        <v>35.341000000000001</v>
      </c>
      <c r="Q42" s="160">
        <v>-3.3000000000000002E-2</v>
      </c>
      <c r="R42" s="160">
        <v>61.308999999999997</v>
      </c>
      <c r="S42" s="160">
        <v>0.35099999999999998</v>
      </c>
      <c r="T42" s="160">
        <f>SUM(C42:S42)</f>
        <v>-2006.3082300999997</v>
      </c>
    </row>
    <row r="43" spans="2:22" s="156" customFormat="1">
      <c r="B43" s="157" t="s">
        <v>602</v>
      </c>
      <c r="C43" s="158">
        <f>C39+C40</f>
        <v>185.44338100000016</v>
      </c>
      <c r="D43" s="158">
        <f t="shared" ref="D43:T43" si="14">D39+D40</f>
        <v>585.35789099999988</v>
      </c>
      <c r="E43" s="158">
        <f t="shared" si="14"/>
        <v>99.34647499999997</v>
      </c>
      <c r="F43" s="158">
        <f t="shared" si="14"/>
        <v>130.22024199999987</v>
      </c>
      <c r="G43" s="158">
        <f t="shared" si="14"/>
        <v>-215.98337599999999</v>
      </c>
      <c r="H43" s="158">
        <f t="shared" si="14"/>
        <v>96.241828999999939</v>
      </c>
      <c r="I43" s="158">
        <f t="shared" si="14"/>
        <v>-81.198242999999934</v>
      </c>
      <c r="J43" s="158">
        <f t="shared" si="14"/>
        <v>173.1357362</v>
      </c>
      <c r="K43" s="158">
        <f t="shared" si="14"/>
        <v>-22.34199999999997</v>
      </c>
      <c r="L43" s="158">
        <f t="shared" si="14"/>
        <v>-23.156000000000006</v>
      </c>
      <c r="M43" s="158">
        <f t="shared" si="14"/>
        <v>-3.4159999999999737</v>
      </c>
      <c r="N43" s="158">
        <f t="shared" si="14"/>
        <v>-49.082999999999998</v>
      </c>
      <c r="O43" s="158">
        <f t="shared" si="14"/>
        <v>525.81559100000004</v>
      </c>
      <c r="P43" s="158">
        <f t="shared" si="14"/>
        <v>108.87299999999999</v>
      </c>
      <c r="Q43" s="158">
        <f t="shared" si="14"/>
        <v>451.39400000000001</v>
      </c>
      <c r="R43" s="158">
        <f t="shared" si="14"/>
        <v>-966.78499999999997</v>
      </c>
      <c r="S43" s="158">
        <f t="shared" si="14"/>
        <v>0.11399999999999996</v>
      </c>
      <c r="T43" s="158">
        <f t="shared" si="14"/>
        <v>993.97852619999958</v>
      </c>
    </row>
    <row r="44" spans="2:22">
      <c r="B44" s="159" t="s">
        <v>553</v>
      </c>
      <c r="C44" s="160">
        <v>-7.8005110000000002</v>
      </c>
      <c r="D44" s="160">
        <v>-31.656303999999999</v>
      </c>
      <c r="E44" s="160">
        <v>0.74055100000000007</v>
      </c>
      <c r="F44" s="160">
        <v>-2.951041</v>
      </c>
      <c r="G44" s="160">
        <v>0</v>
      </c>
      <c r="H44" s="160">
        <v>0</v>
      </c>
      <c r="I44" s="160">
        <v>-15.043276000000001</v>
      </c>
      <c r="J44" s="160">
        <v>-11.687999999999999</v>
      </c>
      <c r="K44" s="160">
        <v>-3.9209999999999998</v>
      </c>
      <c r="L44" s="160">
        <v>-7.5999999999999998E-2</v>
      </c>
      <c r="M44" s="160">
        <v>-1.9650000000000001</v>
      </c>
      <c r="N44" s="160">
        <v>0</v>
      </c>
      <c r="O44" s="160">
        <v>0</v>
      </c>
      <c r="P44" s="160">
        <v>0</v>
      </c>
      <c r="Q44" s="160">
        <v>-0.251</v>
      </c>
      <c r="R44" s="160">
        <v>0</v>
      </c>
      <c r="S44" s="160">
        <v>0</v>
      </c>
      <c r="T44" s="160">
        <f>SUM(C44:S44)</f>
        <v>-74.611581000000001</v>
      </c>
    </row>
    <row r="45" spans="2:22">
      <c r="B45" s="159" t="s">
        <v>554</v>
      </c>
      <c r="C45" s="160">
        <v>-27.129073000000002</v>
      </c>
      <c r="D45" s="160">
        <v>-91.060473000000002</v>
      </c>
      <c r="E45" s="160">
        <v>-0.57675300000000007</v>
      </c>
      <c r="F45" s="160">
        <v>-14.738357000000001</v>
      </c>
      <c r="G45" s="160">
        <v>0</v>
      </c>
      <c r="H45" s="160">
        <v>0</v>
      </c>
      <c r="I45" s="160">
        <v>-41.786877999999994</v>
      </c>
      <c r="J45" s="160">
        <v>-38.469000000000001</v>
      </c>
      <c r="K45" s="160">
        <v>-8.7739999999999991</v>
      </c>
      <c r="L45" s="160">
        <v>-8.3000000000000004E-2</v>
      </c>
      <c r="M45" s="160">
        <v>-5.851</v>
      </c>
      <c r="N45" s="160">
        <v>0</v>
      </c>
      <c r="O45" s="160">
        <v>0.111778</v>
      </c>
      <c r="P45" s="160">
        <v>0</v>
      </c>
      <c r="Q45" s="160">
        <v>-0.68600000000000005</v>
      </c>
      <c r="R45" s="160">
        <v>0</v>
      </c>
      <c r="S45" s="160">
        <v>0</v>
      </c>
      <c r="T45" s="160">
        <f>SUM(C45:S45)</f>
        <v>-229.04275600000003</v>
      </c>
    </row>
    <row r="46" spans="2:22">
      <c r="B46" s="159" t="s">
        <v>603</v>
      </c>
      <c r="C46" s="160">
        <v>-25.648276999999997</v>
      </c>
      <c r="D46" s="160">
        <v>-71.424945000000008</v>
      </c>
      <c r="E46" s="160">
        <v>-34.069890000000001</v>
      </c>
      <c r="F46" s="160">
        <v>-26.846648000000002</v>
      </c>
      <c r="G46" s="160">
        <v>0</v>
      </c>
      <c r="H46" s="160">
        <v>0</v>
      </c>
      <c r="I46" s="160">
        <v>44.416468999999999</v>
      </c>
      <c r="J46" s="160">
        <v>-35.015000000000001</v>
      </c>
      <c r="K46" s="160">
        <v>3.21</v>
      </c>
      <c r="L46" s="160">
        <v>1.4999999999999999E-2</v>
      </c>
      <c r="M46" s="160">
        <v>0.11799999999999999</v>
      </c>
      <c r="N46" s="160">
        <v>0</v>
      </c>
      <c r="O46" s="160">
        <v>-17.451008000000002</v>
      </c>
      <c r="P46" s="160">
        <v>0</v>
      </c>
      <c r="Q46" s="160">
        <v>0</v>
      </c>
      <c r="R46" s="160">
        <v>0</v>
      </c>
      <c r="S46" s="160">
        <v>0</v>
      </c>
      <c r="T46" s="160">
        <f>SUM(C46:S46)</f>
        <v>-162.69629899999998</v>
      </c>
    </row>
    <row r="47" spans="2:22">
      <c r="B47" s="159" t="s">
        <v>555</v>
      </c>
      <c r="C47" s="160">
        <v>25.762698</v>
      </c>
      <c r="D47" s="160">
        <v>92.638347999999993</v>
      </c>
      <c r="E47" s="160">
        <v>0.57675300000000007</v>
      </c>
      <c r="F47" s="160">
        <v>14.738357000000001</v>
      </c>
      <c r="G47" s="160">
        <v>0</v>
      </c>
      <c r="H47" s="160">
        <v>0</v>
      </c>
      <c r="I47" s="160">
        <v>0</v>
      </c>
      <c r="J47" s="160">
        <v>36.902000000000001</v>
      </c>
      <c r="K47" s="160">
        <v>0</v>
      </c>
      <c r="L47" s="160">
        <v>0</v>
      </c>
      <c r="M47" s="160">
        <v>0</v>
      </c>
      <c r="N47" s="160">
        <v>0</v>
      </c>
      <c r="O47" s="160">
        <v>0</v>
      </c>
      <c r="P47" s="160">
        <v>-3.532</v>
      </c>
      <c r="Q47" s="160">
        <v>0</v>
      </c>
      <c r="R47" s="160">
        <v>0</v>
      </c>
      <c r="S47" s="160">
        <v>0</v>
      </c>
      <c r="T47" s="160">
        <f>SUM(C47:S47)</f>
        <v>167.08615599999999</v>
      </c>
    </row>
    <row r="48" spans="2:22" s="156" customFormat="1">
      <c r="B48" s="157" t="s">
        <v>604</v>
      </c>
      <c r="C48" s="158">
        <f>+C43+SUM(C44:C47)</f>
        <v>150.62821800000017</v>
      </c>
      <c r="D48" s="158">
        <f t="shared" ref="D48:S48" si="15">+D43+SUM(D44:D47)</f>
        <v>483.85451699999987</v>
      </c>
      <c r="E48" s="158">
        <f t="shared" si="15"/>
        <v>66.017135999999965</v>
      </c>
      <c r="F48" s="158">
        <f t="shared" si="15"/>
        <v>100.42255299999988</v>
      </c>
      <c r="G48" s="158">
        <f t="shared" si="15"/>
        <v>-215.98337599999999</v>
      </c>
      <c r="H48" s="158">
        <f t="shared" si="15"/>
        <v>96.241828999999939</v>
      </c>
      <c r="I48" s="158">
        <f t="shared" si="15"/>
        <v>-93.611927999999921</v>
      </c>
      <c r="J48" s="158">
        <f t="shared" si="15"/>
        <v>124.8657362</v>
      </c>
      <c r="K48" s="158">
        <f t="shared" si="15"/>
        <v>-31.82699999999997</v>
      </c>
      <c r="L48" s="158">
        <f t="shared" si="15"/>
        <v>-23.300000000000004</v>
      </c>
      <c r="M48" s="158">
        <f t="shared" si="15"/>
        <v>-11.113999999999972</v>
      </c>
      <c r="N48" s="158">
        <f t="shared" si="15"/>
        <v>-49.082999999999998</v>
      </c>
      <c r="O48" s="158">
        <f t="shared" si="15"/>
        <v>508.47636100000005</v>
      </c>
      <c r="P48" s="158">
        <f t="shared" si="15"/>
        <v>105.34099999999999</v>
      </c>
      <c r="Q48" s="158">
        <f t="shared" si="15"/>
        <v>450.45699999999999</v>
      </c>
      <c r="R48" s="158">
        <f t="shared" si="15"/>
        <v>-966.78499999999997</v>
      </c>
      <c r="S48" s="158">
        <f t="shared" si="15"/>
        <v>0.11399999999999996</v>
      </c>
      <c r="T48" s="158">
        <f t="shared" ref="T48" si="16">+T43+SUM(T44:T47)</f>
        <v>694.71404619999953</v>
      </c>
    </row>
    <row r="49" spans="2:22" s="300" customFormat="1">
      <c r="E49" s="611"/>
      <c r="L49" s="607"/>
      <c r="T49" s="610"/>
    </row>
    <row r="50" spans="2:22">
      <c r="L50" s="606"/>
      <c r="T50" s="606"/>
    </row>
    <row r="52" spans="2:22">
      <c r="B52" s="156" t="s">
        <v>679</v>
      </c>
    </row>
    <row r="53" spans="2:22" ht="26">
      <c r="B53" s="541" t="s">
        <v>659</v>
      </c>
      <c r="C53" s="542" t="s">
        <v>55</v>
      </c>
      <c r="D53" s="542" t="s">
        <v>67</v>
      </c>
      <c r="E53" s="542" t="s">
        <v>69</v>
      </c>
      <c r="F53" s="542" t="s">
        <v>71</v>
      </c>
      <c r="G53" s="542" t="s">
        <v>73</v>
      </c>
      <c r="H53" s="542" t="s">
        <v>75</v>
      </c>
      <c r="I53" s="542" t="s">
        <v>77</v>
      </c>
      <c r="J53" s="542" t="s">
        <v>450</v>
      </c>
      <c r="K53" s="542" t="s">
        <v>668</v>
      </c>
      <c r="L53" s="542" t="s">
        <v>669</v>
      </c>
      <c r="M53" s="542" t="s">
        <v>670</v>
      </c>
      <c r="N53" s="542" t="s">
        <v>671</v>
      </c>
      <c r="O53" s="542" t="s">
        <v>672</v>
      </c>
      <c r="P53" s="542" t="s">
        <v>673</v>
      </c>
      <c r="Q53" s="542" t="s">
        <v>674</v>
      </c>
      <c r="R53" s="543" t="s">
        <v>675</v>
      </c>
      <c r="S53" s="542" t="s">
        <v>59</v>
      </c>
      <c r="T53" s="542" t="s">
        <v>676</v>
      </c>
    </row>
    <row r="54" spans="2:22" s="607" customFormat="1">
      <c r="B54" s="609" t="s">
        <v>677</v>
      </c>
      <c r="C54" s="158">
        <f>SUM(C55:C62)</f>
        <v>1747.926025</v>
      </c>
      <c r="D54" s="158">
        <f t="shared" ref="D54:T54" si="17">SUM(D55:D62)</f>
        <v>3062.3038750000001</v>
      </c>
      <c r="E54" s="158">
        <f t="shared" si="17"/>
        <v>1232.597354</v>
      </c>
      <c r="F54" s="158">
        <f t="shared" si="17"/>
        <v>1016.5838650000001</v>
      </c>
      <c r="G54" s="158">
        <f t="shared" si="17"/>
        <v>1623.2510000000002</v>
      </c>
      <c r="H54" s="158">
        <f t="shared" si="17"/>
        <v>462.84399999999999</v>
      </c>
      <c r="I54" s="158">
        <f t="shared" si="17"/>
        <v>2660.8040000000001</v>
      </c>
      <c r="J54" s="158">
        <f t="shared" si="17"/>
        <v>424.11693772355</v>
      </c>
      <c r="K54" s="158">
        <f t="shared" si="17"/>
        <v>217.352</v>
      </c>
      <c r="L54" s="158">
        <f t="shared" si="17"/>
        <v>0</v>
      </c>
      <c r="M54" s="158">
        <f t="shared" si="17"/>
        <v>149.185</v>
      </c>
      <c r="N54" s="158">
        <f t="shared" si="17"/>
        <v>46.015000000000001</v>
      </c>
      <c r="O54" s="158">
        <f t="shared" si="17"/>
        <v>0</v>
      </c>
      <c r="P54" s="158">
        <f t="shared" si="17"/>
        <v>0</v>
      </c>
      <c r="Q54" s="158">
        <f t="shared" si="17"/>
        <v>0</v>
      </c>
      <c r="R54" s="158">
        <f t="shared" si="17"/>
        <v>-102.744</v>
      </c>
      <c r="S54" s="158">
        <f t="shared" si="17"/>
        <v>0</v>
      </c>
      <c r="T54" s="158">
        <f t="shared" si="17"/>
        <v>12540.235056723546</v>
      </c>
    </row>
    <row r="55" spans="2:22">
      <c r="B55" s="159" t="s">
        <v>586</v>
      </c>
      <c r="C55" s="160">
        <v>1425.7205269999999</v>
      </c>
      <c r="D55" s="160">
        <v>2336.0888760000003</v>
      </c>
      <c r="E55" s="160">
        <v>875.83448799999996</v>
      </c>
      <c r="F55" s="160">
        <v>773.46341299999995</v>
      </c>
      <c r="G55" s="160">
        <v>1200.0450000000001</v>
      </c>
      <c r="H55" s="160">
        <v>269.03899999999999</v>
      </c>
      <c r="I55" s="160">
        <v>1944.7619999999999</v>
      </c>
      <c r="J55" s="160">
        <v>0</v>
      </c>
      <c r="K55" s="160">
        <v>0</v>
      </c>
      <c r="L55" s="160">
        <v>0</v>
      </c>
      <c r="M55" s="160">
        <v>63.533000000000001</v>
      </c>
      <c r="N55" s="160">
        <v>0</v>
      </c>
      <c r="O55" s="160">
        <v>0</v>
      </c>
      <c r="P55" s="160">
        <v>0</v>
      </c>
      <c r="Q55" s="160">
        <v>0</v>
      </c>
      <c r="R55" s="160">
        <v>0</v>
      </c>
      <c r="S55" s="160">
        <v>0</v>
      </c>
      <c r="T55" s="160">
        <f t="shared" ref="T55:T63" si="18">SUM(C55:S55)</f>
        <v>8888.4863039999982</v>
      </c>
    </row>
    <row r="56" spans="2:22">
      <c r="B56" s="159" t="s">
        <v>468</v>
      </c>
      <c r="C56" s="160">
        <v>0.34342600000000001</v>
      </c>
      <c r="D56" s="160">
        <v>3.4368980000000002</v>
      </c>
      <c r="E56" s="160">
        <v>8.4332450000000012</v>
      </c>
      <c r="F56" s="160">
        <v>4.9880900000000006</v>
      </c>
      <c r="G56" s="160">
        <v>41.232999999999997</v>
      </c>
      <c r="H56" s="160">
        <v>5.9880000000000004</v>
      </c>
      <c r="I56" s="160">
        <v>59.643999999999998</v>
      </c>
      <c r="J56" s="160">
        <v>0</v>
      </c>
      <c r="K56" s="160">
        <v>0</v>
      </c>
      <c r="L56" s="160">
        <v>0</v>
      </c>
      <c r="M56" s="160">
        <v>0</v>
      </c>
      <c r="N56" s="160">
        <v>0</v>
      </c>
      <c r="O56" s="160">
        <v>0</v>
      </c>
      <c r="P56" s="160">
        <v>0</v>
      </c>
      <c r="Q56" s="160">
        <v>0</v>
      </c>
      <c r="R56" s="160">
        <v>0</v>
      </c>
      <c r="S56" s="160">
        <v>0</v>
      </c>
      <c r="T56" s="160">
        <f t="shared" si="18"/>
        <v>124.06665899999999</v>
      </c>
    </row>
    <row r="57" spans="2:22">
      <c r="B57" s="159" t="s">
        <v>470</v>
      </c>
      <c r="C57" s="160">
        <v>232.17199400000001</v>
      </c>
      <c r="D57" s="160">
        <v>477.69660900000002</v>
      </c>
      <c r="E57" s="160">
        <v>275.010604</v>
      </c>
      <c r="F57" s="160">
        <v>168.20273900000001</v>
      </c>
      <c r="G57" s="160">
        <v>210.256</v>
      </c>
      <c r="H57" s="160">
        <v>149.511</v>
      </c>
      <c r="I57" s="160">
        <v>245.61799999999999</v>
      </c>
      <c r="J57" s="160">
        <v>7.2313720000000004</v>
      </c>
      <c r="K57" s="160">
        <v>0</v>
      </c>
      <c r="L57" s="160">
        <v>0</v>
      </c>
      <c r="M57" s="160">
        <v>0</v>
      </c>
      <c r="N57" s="160">
        <v>24.571999999999999</v>
      </c>
      <c r="O57" s="160">
        <v>0</v>
      </c>
      <c r="P57" s="160">
        <v>0</v>
      </c>
      <c r="Q57" s="160">
        <v>0</v>
      </c>
      <c r="R57" s="160">
        <v>0</v>
      </c>
      <c r="S57" s="160">
        <v>0</v>
      </c>
      <c r="T57" s="160">
        <f t="shared" si="18"/>
        <v>1790.2703179999999</v>
      </c>
    </row>
    <row r="58" spans="2:22">
      <c r="B58" s="159" t="s">
        <v>471</v>
      </c>
      <c r="C58" s="160">
        <v>0</v>
      </c>
      <c r="D58" s="160">
        <v>0</v>
      </c>
      <c r="E58" s="160">
        <v>0</v>
      </c>
      <c r="F58" s="160">
        <v>0</v>
      </c>
      <c r="G58" s="160">
        <v>0</v>
      </c>
      <c r="H58" s="160">
        <v>0</v>
      </c>
      <c r="I58" s="160">
        <v>0</v>
      </c>
      <c r="J58" s="160">
        <v>0</v>
      </c>
      <c r="K58" s="160">
        <v>0</v>
      </c>
      <c r="L58" s="160">
        <v>0</v>
      </c>
      <c r="M58" s="160">
        <v>0</v>
      </c>
      <c r="N58" s="160">
        <v>0</v>
      </c>
      <c r="O58" s="160">
        <v>0</v>
      </c>
      <c r="P58" s="160">
        <v>0</v>
      </c>
      <c r="Q58" s="160">
        <v>0</v>
      </c>
      <c r="R58" s="160">
        <v>0</v>
      </c>
      <c r="S58" s="160">
        <v>0</v>
      </c>
      <c r="T58" s="160">
        <f t="shared" si="18"/>
        <v>0</v>
      </c>
    </row>
    <row r="59" spans="2:22">
      <c r="B59" s="159" t="s">
        <v>617</v>
      </c>
      <c r="C59" s="160">
        <v>0</v>
      </c>
      <c r="D59" s="160">
        <v>0</v>
      </c>
      <c r="E59" s="160">
        <v>0</v>
      </c>
      <c r="F59" s="160">
        <v>0</v>
      </c>
      <c r="G59" s="160">
        <v>0</v>
      </c>
      <c r="H59" s="160">
        <v>0</v>
      </c>
      <c r="I59" s="160">
        <v>0</v>
      </c>
      <c r="J59" s="160">
        <v>27.885528999999998</v>
      </c>
      <c r="K59" s="160">
        <v>0</v>
      </c>
      <c r="L59" s="160">
        <v>0</v>
      </c>
      <c r="M59" s="160">
        <v>0</v>
      </c>
      <c r="N59" s="160">
        <v>0</v>
      </c>
      <c r="O59" s="160">
        <v>0</v>
      </c>
      <c r="P59" s="160">
        <v>0</v>
      </c>
      <c r="Q59" s="160">
        <v>0</v>
      </c>
      <c r="R59" s="160">
        <v>0</v>
      </c>
      <c r="S59" s="160">
        <v>0</v>
      </c>
      <c r="T59" s="160">
        <f t="shared" si="18"/>
        <v>27.885528999999998</v>
      </c>
    </row>
    <row r="60" spans="2:22">
      <c r="B60" s="159" t="s">
        <v>469</v>
      </c>
      <c r="C60" s="160">
        <v>0</v>
      </c>
      <c r="D60" s="160">
        <v>0</v>
      </c>
      <c r="E60" s="160">
        <v>0</v>
      </c>
      <c r="F60" s="160">
        <v>0</v>
      </c>
      <c r="G60" s="160">
        <v>0</v>
      </c>
      <c r="H60" s="160">
        <v>0</v>
      </c>
      <c r="I60" s="160">
        <v>0</v>
      </c>
      <c r="J60" s="160">
        <v>0</v>
      </c>
      <c r="K60" s="160">
        <v>214.56399999999999</v>
      </c>
      <c r="L60" s="160">
        <v>0</v>
      </c>
      <c r="M60" s="160">
        <v>0</v>
      </c>
      <c r="N60" s="160">
        <v>0</v>
      </c>
      <c r="O60" s="160">
        <v>0</v>
      </c>
      <c r="P60" s="160">
        <v>0</v>
      </c>
      <c r="Q60" s="160">
        <v>0</v>
      </c>
      <c r="R60" s="160">
        <v>0</v>
      </c>
      <c r="S60" s="160">
        <v>0</v>
      </c>
      <c r="T60" s="160">
        <f t="shared" si="18"/>
        <v>214.56399999999999</v>
      </c>
    </row>
    <row r="61" spans="2:22">
      <c r="B61" s="159" t="s">
        <v>473</v>
      </c>
      <c r="C61" s="160">
        <v>0</v>
      </c>
      <c r="D61" s="160">
        <v>0</v>
      </c>
      <c r="E61" s="160">
        <v>0</v>
      </c>
      <c r="F61" s="160">
        <v>0</v>
      </c>
      <c r="G61" s="160">
        <v>0</v>
      </c>
      <c r="H61" s="160">
        <v>0</v>
      </c>
      <c r="I61" s="160">
        <v>0</v>
      </c>
      <c r="J61" s="160">
        <v>0</v>
      </c>
      <c r="K61" s="160">
        <v>0</v>
      </c>
      <c r="L61" s="160">
        <v>0</v>
      </c>
      <c r="M61" s="160">
        <v>0</v>
      </c>
      <c r="N61" s="160">
        <v>20.634</v>
      </c>
      <c r="O61" s="160">
        <v>0</v>
      </c>
      <c r="P61" s="160">
        <v>0</v>
      </c>
      <c r="Q61" s="160">
        <v>0</v>
      </c>
      <c r="R61" s="160">
        <v>0</v>
      </c>
      <c r="S61" s="160">
        <v>0</v>
      </c>
      <c r="T61" s="160">
        <f t="shared" si="18"/>
        <v>20.634</v>
      </c>
    </row>
    <row r="62" spans="2:22">
      <c r="B62" s="159" t="s">
        <v>474</v>
      </c>
      <c r="C62" s="160">
        <v>89.690078</v>
      </c>
      <c r="D62" s="160">
        <v>245.081492</v>
      </c>
      <c r="E62" s="160">
        <v>73.319017000000002</v>
      </c>
      <c r="F62" s="160">
        <v>69.929623000000007</v>
      </c>
      <c r="G62" s="160">
        <v>171.71700000000001</v>
      </c>
      <c r="H62" s="160">
        <v>38.305999999999997</v>
      </c>
      <c r="I62" s="160">
        <v>410.78</v>
      </c>
      <c r="J62" s="160">
        <v>389.00003672355001</v>
      </c>
      <c r="K62" s="160">
        <v>2.7879999999999998</v>
      </c>
      <c r="L62" s="160">
        <v>0</v>
      </c>
      <c r="M62" s="160">
        <v>85.652000000000001</v>
      </c>
      <c r="N62" s="160">
        <v>0.80900000000000005</v>
      </c>
      <c r="O62" s="160">
        <v>0</v>
      </c>
      <c r="P62" s="160">
        <v>0</v>
      </c>
      <c r="Q62" s="160">
        <v>0</v>
      </c>
      <c r="R62" s="160">
        <v>-102.744</v>
      </c>
      <c r="S62" s="160">
        <v>0</v>
      </c>
      <c r="T62" s="160">
        <f t="shared" si="18"/>
        <v>1474.3282467235501</v>
      </c>
    </row>
    <row r="63" spans="2:22" s="156" customFormat="1">
      <c r="B63" s="161" t="s">
        <v>587</v>
      </c>
      <c r="C63" s="162">
        <v>-438.69324200000005</v>
      </c>
      <c r="D63" s="162">
        <v>-652.37451899999996</v>
      </c>
      <c r="E63" s="162">
        <v>-326.23475100000002</v>
      </c>
      <c r="F63" s="162">
        <v>-301.26575400000002</v>
      </c>
      <c r="G63" s="162">
        <v>-503.09100000000001</v>
      </c>
      <c r="H63" s="162">
        <v>-87.248999999999995</v>
      </c>
      <c r="I63" s="162">
        <v>-980.46</v>
      </c>
      <c r="J63" s="162">
        <v>-25.969718723549995</v>
      </c>
      <c r="K63" s="162">
        <v>-7.7220000000000004</v>
      </c>
      <c r="L63" s="162">
        <v>0</v>
      </c>
      <c r="M63" s="162">
        <v>-13.71</v>
      </c>
      <c r="N63" s="162">
        <v>-1.9830000000000001</v>
      </c>
      <c r="O63" s="162">
        <v>-0.14385300000000001</v>
      </c>
      <c r="P63" s="162">
        <v>0</v>
      </c>
      <c r="Q63" s="162">
        <v>0</v>
      </c>
      <c r="R63" s="162">
        <v>0</v>
      </c>
      <c r="S63" s="162">
        <v>0</v>
      </c>
      <c r="T63" s="162">
        <f t="shared" si="18"/>
        <v>-3338.8968377235506</v>
      </c>
      <c r="U63" s="607"/>
      <c r="V63" s="162"/>
    </row>
    <row r="64" spans="2:22" s="156" customFormat="1">
      <c r="B64" s="157" t="s">
        <v>491</v>
      </c>
      <c r="C64" s="158">
        <f>+C54+C63</f>
        <v>1309.2327829999999</v>
      </c>
      <c r="D64" s="158">
        <f t="shared" ref="D64:T64" si="19">+D54+D63</f>
        <v>2409.9293560000001</v>
      </c>
      <c r="E64" s="158">
        <f t="shared" si="19"/>
        <v>906.36260300000004</v>
      </c>
      <c r="F64" s="158">
        <f t="shared" si="19"/>
        <v>715.31811100000004</v>
      </c>
      <c r="G64" s="158">
        <f t="shared" si="19"/>
        <v>1120.1600000000003</v>
      </c>
      <c r="H64" s="158">
        <f t="shared" si="19"/>
        <v>375.59500000000003</v>
      </c>
      <c r="I64" s="158">
        <f t="shared" si="19"/>
        <v>1680.3440000000001</v>
      </c>
      <c r="J64" s="158">
        <f t="shared" si="19"/>
        <v>398.14721900000001</v>
      </c>
      <c r="K64" s="158">
        <f t="shared" si="19"/>
        <v>209.63</v>
      </c>
      <c r="L64" s="158">
        <f t="shared" si="19"/>
        <v>0</v>
      </c>
      <c r="M64" s="158">
        <f t="shared" si="19"/>
        <v>135.47499999999999</v>
      </c>
      <c r="N64" s="158">
        <f t="shared" si="19"/>
        <v>44.032000000000004</v>
      </c>
      <c r="O64" s="158">
        <f t="shared" si="19"/>
        <v>-0.14385300000000001</v>
      </c>
      <c r="P64" s="158">
        <f t="shared" si="19"/>
        <v>0</v>
      </c>
      <c r="Q64" s="158">
        <f t="shared" si="19"/>
        <v>0</v>
      </c>
      <c r="R64" s="158">
        <f t="shared" si="19"/>
        <v>-102.744</v>
      </c>
      <c r="S64" s="158">
        <f t="shared" si="19"/>
        <v>0</v>
      </c>
      <c r="T64" s="158">
        <f t="shared" si="19"/>
        <v>9201.3382189999957</v>
      </c>
    </row>
    <row r="65" spans="2:21" s="156" customFormat="1">
      <c r="B65" s="161" t="s">
        <v>588</v>
      </c>
      <c r="C65" s="162">
        <f t="shared" ref="C65:S65" si="20">+SUM(C66:C70)</f>
        <v>-794.68514399999992</v>
      </c>
      <c r="D65" s="162">
        <f t="shared" si="20"/>
        <v>-1350.1436570000001</v>
      </c>
      <c r="E65" s="162">
        <f t="shared" si="20"/>
        <v>-596.06618899999989</v>
      </c>
      <c r="F65" s="162">
        <f t="shared" si="20"/>
        <v>-498.49292399999996</v>
      </c>
      <c r="G65" s="162">
        <f t="shared" si="20"/>
        <v>-872.42</v>
      </c>
      <c r="H65" s="162">
        <f t="shared" si="20"/>
        <v>-279.12799999999999</v>
      </c>
      <c r="I65" s="162">
        <f t="shared" si="20"/>
        <v>-1222.665</v>
      </c>
      <c r="J65" s="162">
        <f t="shared" si="20"/>
        <v>-15.539097999999999</v>
      </c>
      <c r="K65" s="162">
        <f t="shared" si="20"/>
        <v>-8.625</v>
      </c>
      <c r="L65" s="162">
        <f t="shared" si="20"/>
        <v>0</v>
      </c>
      <c r="M65" s="162">
        <f t="shared" si="20"/>
        <v>-45.848999999999997</v>
      </c>
      <c r="N65" s="162">
        <f t="shared" si="20"/>
        <v>-24.571999999999999</v>
      </c>
      <c r="O65" s="162">
        <f t="shared" si="20"/>
        <v>0</v>
      </c>
      <c r="P65" s="162">
        <f t="shared" si="20"/>
        <v>0</v>
      </c>
      <c r="Q65" s="162">
        <f t="shared" si="20"/>
        <v>0</v>
      </c>
      <c r="R65" s="162">
        <f t="shared" si="20"/>
        <v>0</v>
      </c>
      <c r="S65" s="162">
        <f t="shared" si="20"/>
        <v>0</v>
      </c>
      <c r="T65" s="162">
        <f t="shared" ref="T65" si="21">+SUM(T66:T70)</f>
        <v>-5708.1860120000001</v>
      </c>
      <c r="U65" s="608"/>
    </row>
    <row r="66" spans="2:21">
      <c r="B66" s="159" t="s">
        <v>589</v>
      </c>
      <c r="C66" s="160">
        <v>-555.86692799999992</v>
      </c>
      <c r="D66" s="160">
        <v>-862.35533799999996</v>
      </c>
      <c r="E66" s="160">
        <v>-327.64865399999996</v>
      </c>
      <c r="F66" s="160">
        <v>-327.86927299999996</v>
      </c>
      <c r="G66" s="160">
        <v>-603.38199999999995</v>
      </c>
      <c r="H66" s="160">
        <v>-116.94499999999999</v>
      </c>
      <c r="I66" s="160">
        <v>-767.21400000000006</v>
      </c>
      <c r="J66" s="160">
        <v>0</v>
      </c>
      <c r="K66" s="160">
        <v>-8.625</v>
      </c>
      <c r="L66" s="160">
        <v>0</v>
      </c>
      <c r="M66" s="160">
        <v>-45.848999999999997</v>
      </c>
      <c r="N66" s="160">
        <v>0</v>
      </c>
      <c r="O66" s="160">
        <v>0</v>
      </c>
      <c r="P66" s="160">
        <v>0</v>
      </c>
      <c r="Q66" s="160">
        <v>0</v>
      </c>
      <c r="R66" s="160">
        <v>0</v>
      </c>
      <c r="S66" s="160">
        <v>0</v>
      </c>
      <c r="T66" s="160">
        <f>SUM(C66:S66)</f>
        <v>-3615.755193</v>
      </c>
    </row>
    <row r="67" spans="2:21">
      <c r="B67" s="159" t="s">
        <v>590</v>
      </c>
      <c r="C67" s="160">
        <v>-6.6462219999999999</v>
      </c>
      <c r="D67" s="160">
        <v>-10.091709999999999</v>
      </c>
      <c r="E67" s="160">
        <v>6.5930690000000007</v>
      </c>
      <c r="F67" s="160">
        <v>-2.420912</v>
      </c>
      <c r="G67" s="160">
        <v>-58.781999999999996</v>
      </c>
      <c r="H67" s="160">
        <v>-12.672000000000001</v>
      </c>
      <c r="I67" s="160">
        <v>-209.833</v>
      </c>
      <c r="J67" s="160">
        <v>0</v>
      </c>
      <c r="K67" s="160">
        <v>0</v>
      </c>
      <c r="L67" s="160">
        <v>0</v>
      </c>
      <c r="M67" s="160">
        <v>0</v>
      </c>
      <c r="N67" s="160">
        <v>0</v>
      </c>
      <c r="O67" s="160">
        <v>0</v>
      </c>
      <c r="P67" s="160">
        <v>0</v>
      </c>
      <c r="Q67" s="160">
        <v>0</v>
      </c>
      <c r="R67" s="160">
        <v>0</v>
      </c>
      <c r="S67" s="160">
        <v>0</v>
      </c>
      <c r="T67" s="160">
        <f>SUM(C67:S67)</f>
        <v>-293.85277500000001</v>
      </c>
    </row>
    <row r="68" spans="2:21">
      <c r="B68" s="159" t="s">
        <v>497</v>
      </c>
      <c r="C68" s="160">
        <v>0</v>
      </c>
      <c r="D68" s="160">
        <v>0</v>
      </c>
      <c r="E68" s="160">
        <v>0</v>
      </c>
      <c r="F68" s="160">
        <v>0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0">
        <v>0</v>
      </c>
      <c r="M68" s="160">
        <v>0</v>
      </c>
      <c r="N68" s="160">
        <v>0</v>
      </c>
      <c r="O68" s="160">
        <v>0</v>
      </c>
      <c r="P68" s="160">
        <v>0</v>
      </c>
      <c r="Q68" s="160">
        <v>0</v>
      </c>
      <c r="R68" s="160">
        <v>0</v>
      </c>
      <c r="S68" s="160">
        <v>0</v>
      </c>
      <c r="T68" s="160">
        <f>SUM(C68:S68)</f>
        <v>0</v>
      </c>
    </row>
    <row r="69" spans="2:21">
      <c r="B69" s="159" t="s">
        <v>495</v>
      </c>
      <c r="C69" s="160">
        <v>0</v>
      </c>
      <c r="D69" s="160">
        <v>0</v>
      </c>
      <c r="E69" s="160">
        <v>0</v>
      </c>
      <c r="F69" s="160">
        <v>0</v>
      </c>
      <c r="G69" s="160">
        <v>0</v>
      </c>
      <c r="H69" s="160">
        <v>0</v>
      </c>
      <c r="I69" s="160">
        <v>0</v>
      </c>
      <c r="J69" s="160">
        <v>0</v>
      </c>
      <c r="K69" s="160">
        <v>0</v>
      </c>
      <c r="L69" s="160">
        <v>0</v>
      </c>
      <c r="M69" s="160">
        <v>0</v>
      </c>
      <c r="N69" s="160">
        <v>0</v>
      </c>
      <c r="O69" s="160">
        <v>0</v>
      </c>
      <c r="P69" s="160">
        <v>0</v>
      </c>
      <c r="Q69" s="160">
        <v>0</v>
      </c>
      <c r="R69" s="160">
        <v>0</v>
      </c>
      <c r="S69" s="160">
        <v>0</v>
      </c>
      <c r="T69" s="160">
        <f>SUM(C69:S69)</f>
        <v>0</v>
      </c>
    </row>
    <row r="70" spans="2:21">
      <c r="B70" s="159" t="s">
        <v>591</v>
      </c>
      <c r="C70" s="160">
        <v>-232.17199400000001</v>
      </c>
      <c r="D70" s="160">
        <v>-477.69660900000002</v>
      </c>
      <c r="E70" s="160">
        <v>-275.010604</v>
      </c>
      <c r="F70" s="160">
        <v>-168.20273900000001</v>
      </c>
      <c r="G70" s="160">
        <v>-210.256</v>
      </c>
      <c r="H70" s="160">
        <v>-149.511</v>
      </c>
      <c r="I70" s="160">
        <v>-245.61799999999999</v>
      </c>
      <c r="J70" s="160">
        <v>-15.539097999999999</v>
      </c>
      <c r="K70" s="160">
        <v>0</v>
      </c>
      <c r="L70" s="160">
        <v>0</v>
      </c>
      <c r="M70" s="160">
        <v>0</v>
      </c>
      <c r="N70" s="160">
        <v>-24.571999999999999</v>
      </c>
      <c r="O70" s="160">
        <v>0</v>
      </c>
      <c r="P70" s="160">
        <v>0</v>
      </c>
      <c r="Q70" s="160">
        <v>0</v>
      </c>
      <c r="R70" s="160">
        <v>0</v>
      </c>
      <c r="S70" s="160">
        <v>0</v>
      </c>
      <c r="T70" s="160">
        <f>SUM(C70:S70)</f>
        <v>-1798.5780439999999</v>
      </c>
    </row>
    <row r="71" spans="2:21" s="156" customFormat="1">
      <c r="B71" s="157" t="s">
        <v>593</v>
      </c>
      <c r="C71" s="158">
        <f>+C64+C65</f>
        <v>514.547639</v>
      </c>
      <c r="D71" s="158">
        <f t="shared" ref="D71:T71" si="22">+D64+D65</f>
        <v>1059.785699</v>
      </c>
      <c r="E71" s="158">
        <f t="shared" si="22"/>
        <v>310.29641400000014</v>
      </c>
      <c r="F71" s="158">
        <f t="shared" si="22"/>
        <v>216.82518700000008</v>
      </c>
      <c r="G71" s="158">
        <f t="shared" si="22"/>
        <v>247.74000000000035</v>
      </c>
      <c r="H71" s="158">
        <f t="shared" si="22"/>
        <v>96.467000000000041</v>
      </c>
      <c r="I71" s="158">
        <f t="shared" si="22"/>
        <v>457.67900000000009</v>
      </c>
      <c r="J71" s="158">
        <f t="shared" si="22"/>
        <v>382.60812099999998</v>
      </c>
      <c r="K71" s="158">
        <f t="shared" si="22"/>
        <v>201.005</v>
      </c>
      <c r="L71" s="158">
        <f t="shared" si="22"/>
        <v>0</v>
      </c>
      <c r="M71" s="158">
        <f t="shared" si="22"/>
        <v>89.626000000000005</v>
      </c>
      <c r="N71" s="158">
        <f t="shared" si="22"/>
        <v>19.460000000000004</v>
      </c>
      <c r="O71" s="158">
        <f t="shared" si="22"/>
        <v>-0.14385300000000001</v>
      </c>
      <c r="P71" s="158">
        <f t="shared" si="22"/>
        <v>0</v>
      </c>
      <c r="Q71" s="158">
        <f t="shared" si="22"/>
        <v>0</v>
      </c>
      <c r="R71" s="158">
        <f t="shared" si="22"/>
        <v>-102.744</v>
      </c>
      <c r="S71" s="158">
        <f t="shared" si="22"/>
        <v>0</v>
      </c>
      <c r="T71" s="158">
        <f t="shared" si="22"/>
        <v>3493.1522069999955</v>
      </c>
    </row>
    <row r="72" spans="2:21" s="156" customFormat="1">
      <c r="B72" s="157" t="s">
        <v>594</v>
      </c>
      <c r="C72" s="158">
        <f>SUM(C73:C79)</f>
        <v>-214.175005</v>
      </c>
      <c r="D72" s="158">
        <f t="shared" ref="D72:T72" si="23">SUM(D73:D79)</f>
        <v>-215.87852699999999</v>
      </c>
      <c r="E72" s="158">
        <f t="shared" si="23"/>
        <v>-99.336775999999986</v>
      </c>
      <c r="F72" s="158">
        <f t="shared" si="23"/>
        <v>-64.120824999999996</v>
      </c>
      <c r="G72" s="158">
        <f t="shared" si="23"/>
        <v>-192.92400000000001</v>
      </c>
      <c r="H72" s="158">
        <f t="shared" si="23"/>
        <v>-47.378999999999998</v>
      </c>
      <c r="I72" s="158">
        <f t="shared" si="23"/>
        <v>-482.017</v>
      </c>
      <c r="J72" s="158">
        <f t="shared" si="23"/>
        <v>-20.81218995</v>
      </c>
      <c r="K72" s="158">
        <f t="shared" si="23"/>
        <v>-75.882999999999996</v>
      </c>
      <c r="L72" s="158">
        <f t="shared" si="23"/>
        <v>0</v>
      </c>
      <c r="M72" s="158">
        <f t="shared" si="23"/>
        <v>-47.592000000000006</v>
      </c>
      <c r="N72" s="158">
        <f t="shared" si="23"/>
        <v>-28.347000000000001</v>
      </c>
      <c r="O72" s="158">
        <f t="shared" si="23"/>
        <v>-16.763016</v>
      </c>
      <c r="P72" s="158">
        <f t="shared" si="23"/>
        <v>279.67700000000002</v>
      </c>
      <c r="Q72" s="158">
        <f t="shared" si="23"/>
        <v>-0.44499999999999995</v>
      </c>
      <c r="R72" s="158">
        <f t="shared" si="23"/>
        <v>102.744</v>
      </c>
      <c r="S72" s="158">
        <f t="shared" si="23"/>
        <v>0</v>
      </c>
      <c r="T72" s="158">
        <f t="shared" si="23"/>
        <v>-1123.2523389499997</v>
      </c>
    </row>
    <row r="73" spans="2:21">
      <c r="B73" s="159" t="s">
        <v>595</v>
      </c>
      <c r="C73" s="160">
        <v>-48.117404999999998</v>
      </c>
      <c r="D73" s="160">
        <v>-45.057971999999999</v>
      </c>
      <c r="E73" s="160">
        <v>-26.004611000000001</v>
      </c>
      <c r="F73" s="160">
        <v>-20.737586999999998</v>
      </c>
      <c r="G73" s="160">
        <v>-64.022000000000006</v>
      </c>
      <c r="H73" s="160">
        <v>-9.5310000000000006</v>
      </c>
      <c r="I73" s="160">
        <v>-56.77</v>
      </c>
      <c r="J73" s="160">
        <v>-9.8719472100000001</v>
      </c>
      <c r="K73" s="160">
        <v>-12.635999999999999</v>
      </c>
      <c r="L73" s="160">
        <v>0</v>
      </c>
      <c r="M73" s="160">
        <v>-28.815000000000001</v>
      </c>
      <c r="N73" s="160">
        <v>-7.0670000000000002</v>
      </c>
      <c r="O73" s="160">
        <v>-8.0575670000000006</v>
      </c>
      <c r="P73" s="160">
        <v>0</v>
      </c>
      <c r="Q73" s="160">
        <v>0</v>
      </c>
      <c r="R73" s="160">
        <v>0</v>
      </c>
      <c r="S73" s="160">
        <v>0</v>
      </c>
      <c r="T73" s="160">
        <f t="shared" ref="T73:T79" si="24">SUM(C73:S73)</f>
        <v>-336.68808920999999</v>
      </c>
    </row>
    <row r="74" spans="2:21">
      <c r="B74" s="163" t="s">
        <v>596</v>
      </c>
      <c r="C74" s="160">
        <v>-4.8761260000000002</v>
      </c>
      <c r="D74" s="160">
        <v>-2.9741430000000002</v>
      </c>
      <c r="E74" s="160">
        <v>-3.3127209999999998</v>
      </c>
      <c r="F74" s="160">
        <v>-1.69478</v>
      </c>
      <c r="G74" s="160">
        <v>1.2</v>
      </c>
      <c r="H74" s="160">
        <v>0.57699999999999996</v>
      </c>
      <c r="I74" s="160">
        <v>8.4459999999999997</v>
      </c>
      <c r="J74" s="160">
        <v>-0.37221373000000002</v>
      </c>
      <c r="K74" s="160">
        <v>-4.8570000000000002</v>
      </c>
      <c r="L74" s="160">
        <v>0</v>
      </c>
      <c r="M74" s="160">
        <v>-8.0619999999999994</v>
      </c>
      <c r="N74" s="160">
        <v>-3.823</v>
      </c>
      <c r="O74" s="160">
        <v>-7.7404000000000001E-2</v>
      </c>
      <c r="P74" s="160">
        <v>0</v>
      </c>
      <c r="Q74" s="160">
        <v>2E-3</v>
      </c>
      <c r="R74" s="160">
        <v>0</v>
      </c>
      <c r="S74" s="160">
        <v>0</v>
      </c>
      <c r="T74" s="160">
        <f t="shared" si="24"/>
        <v>-19.824387730000002</v>
      </c>
    </row>
    <row r="75" spans="2:21">
      <c r="B75" s="159" t="s">
        <v>597</v>
      </c>
      <c r="C75" s="160">
        <v>-119.54356900000001</v>
      </c>
      <c r="D75" s="160">
        <v>-77.720933000000002</v>
      </c>
      <c r="E75" s="160">
        <v>-46.893664999999999</v>
      </c>
      <c r="F75" s="160">
        <v>-38.245025999999996</v>
      </c>
      <c r="G75" s="160">
        <v>-85.875</v>
      </c>
      <c r="H75" s="160">
        <v>-22.797000000000001</v>
      </c>
      <c r="I75" s="160">
        <v>-179.44399999999999</v>
      </c>
      <c r="J75" s="160">
        <v>-9.9269858599999985</v>
      </c>
      <c r="K75" s="160">
        <v>4.8369999999999997</v>
      </c>
      <c r="L75" s="160">
        <v>0</v>
      </c>
      <c r="M75" s="160">
        <v>-0.442</v>
      </c>
      <c r="N75" s="160">
        <v>-3.3130000000000002</v>
      </c>
      <c r="O75" s="160">
        <v>-8.4235969999999991</v>
      </c>
      <c r="P75" s="160">
        <v>0</v>
      </c>
      <c r="Q75" s="160">
        <v>-0.28999999999999998</v>
      </c>
      <c r="R75" s="160">
        <v>102.744</v>
      </c>
      <c r="S75" s="160">
        <v>0</v>
      </c>
      <c r="T75" s="160">
        <f t="shared" si="24"/>
        <v>-485.33377585999983</v>
      </c>
    </row>
    <row r="76" spans="2:21">
      <c r="B76" s="159" t="s">
        <v>598</v>
      </c>
      <c r="C76" s="160">
        <v>-28.067384999999998</v>
      </c>
      <c r="D76" s="160">
        <v>-46.541463999999998</v>
      </c>
      <c r="E76" s="160">
        <v>-20.04796</v>
      </c>
      <c r="F76" s="160">
        <v>-5.9631639999999999</v>
      </c>
      <c r="G76" s="160">
        <v>-46.796999999999997</v>
      </c>
      <c r="H76" s="160">
        <v>8.6140000000000008</v>
      </c>
      <c r="I76" s="160">
        <v>-210.34299999999999</v>
      </c>
      <c r="J76" s="160">
        <v>0</v>
      </c>
      <c r="K76" s="160">
        <v>0.14799999999999999</v>
      </c>
      <c r="L76" s="160">
        <v>0</v>
      </c>
      <c r="M76" s="160">
        <v>0.11600000000000001</v>
      </c>
      <c r="N76" s="160">
        <v>-9.7449999999999992</v>
      </c>
      <c r="O76" s="160">
        <v>0</v>
      </c>
      <c r="P76" s="160">
        <v>279.67700000000002</v>
      </c>
      <c r="Q76" s="160">
        <v>0</v>
      </c>
      <c r="R76" s="160">
        <v>0</v>
      </c>
      <c r="S76" s="160">
        <v>0</v>
      </c>
      <c r="T76" s="160">
        <f t="shared" si="24"/>
        <v>-78.949972999999943</v>
      </c>
    </row>
    <row r="77" spans="2:21" s="156" customFormat="1">
      <c r="B77" s="159" t="s">
        <v>59</v>
      </c>
      <c r="C77" s="160">
        <v>-4.0571339999999996</v>
      </c>
      <c r="D77" s="160">
        <v>-2.3033670000000002</v>
      </c>
      <c r="E77" s="160">
        <v>9.495889</v>
      </c>
      <c r="F77" s="160">
        <v>-0.34764200000000001</v>
      </c>
      <c r="G77" s="160">
        <v>2.278</v>
      </c>
      <c r="H77" s="160">
        <v>0.13600000000000001</v>
      </c>
      <c r="I77" s="160">
        <v>14.507999999999999</v>
      </c>
      <c r="J77" s="160">
        <v>-0.64104315000000001</v>
      </c>
      <c r="K77" s="160">
        <v>-63.375</v>
      </c>
      <c r="L77" s="160">
        <v>0</v>
      </c>
      <c r="M77" s="160">
        <v>-10.11</v>
      </c>
      <c r="N77" s="160">
        <v>-4.399</v>
      </c>
      <c r="O77" s="160">
        <v>-0.20444800000000002</v>
      </c>
      <c r="P77" s="160">
        <v>0</v>
      </c>
      <c r="Q77" s="160">
        <v>-0.157</v>
      </c>
      <c r="R77" s="160">
        <v>0</v>
      </c>
      <c r="S77" s="160">
        <v>0</v>
      </c>
      <c r="T77" s="160">
        <f t="shared" si="24"/>
        <v>-59.176745150000002</v>
      </c>
      <c r="U77" s="606"/>
    </row>
    <row r="78" spans="2:21">
      <c r="B78" s="164" t="s">
        <v>599</v>
      </c>
      <c r="C78" s="160">
        <v>-9.5133860000000006</v>
      </c>
      <c r="D78" s="160">
        <v>-33.585663999999994</v>
      </c>
      <c r="E78" s="160">
        <v>-12.573708</v>
      </c>
      <c r="F78" s="160">
        <v>2.8673739999999999</v>
      </c>
      <c r="G78" s="160">
        <v>0.29199999999999998</v>
      </c>
      <c r="H78" s="160">
        <v>-21.382999999999999</v>
      </c>
      <c r="I78" s="160">
        <v>-58.414000000000001</v>
      </c>
      <c r="J78" s="160">
        <v>0</v>
      </c>
      <c r="K78" s="160">
        <v>0</v>
      </c>
      <c r="L78" s="160">
        <v>0</v>
      </c>
      <c r="M78" s="160">
        <v>-0.27900000000000003</v>
      </c>
      <c r="N78" s="160">
        <v>0</v>
      </c>
      <c r="O78" s="160">
        <v>0</v>
      </c>
      <c r="P78" s="160">
        <v>0</v>
      </c>
      <c r="Q78" s="160">
        <v>0</v>
      </c>
      <c r="R78" s="160">
        <v>0</v>
      </c>
      <c r="S78" s="160">
        <v>0</v>
      </c>
      <c r="T78" s="160">
        <f t="shared" si="24"/>
        <v>-132.589384</v>
      </c>
    </row>
    <row r="79" spans="2:21" s="156" customFormat="1">
      <c r="B79" s="164" t="s">
        <v>678</v>
      </c>
      <c r="C79" s="160">
        <v>0</v>
      </c>
      <c r="D79" s="160">
        <v>-7.6949840000000007</v>
      </c>
      <c r="E79" s="160">
        <v>0</v>
      </c>
      <c r="F79" s="160">
        <v>0</v>
      </c>
      <c r="G79" s="160">
        <v>0</v>
      </c>
      <c r="H79" s="160">
        <v>-2.9950000000000001</v>
      </c>
      <c r="I79" s="160">
        <v>0</v>
      </c>
      <c r="J79" s="160">
        <v>0</v>
      </c>
      <c r="K79" s="160">
        <v>0</v>
      </c>
      <c r="L79" s="160">
        <v>0</v>
      </c>
      <c r="M79" s="160">
        <v>0</v>
      </c>
      <c r="N79" s="160">
        <v>0</v>
      </c>
      <c r="O79" s="160">
        <v>0</v>
      </c>
      <c r="P79" s="160">
        <v>0</v>
      </c>
      <c r="Q79" s="160">
        <v>0</v>
      </c>
      <c r="R79" s="160">
        <v>0</v>
      </c>
      <c r="S79" s="160">
        <v>0</v>
      </c>
      <c r="T79" s="160">
        <f t="shared" si="24"/>
        <v>-10.689984000000001</v>
      </c>
    </row>
    <row r="80" spans="2:21" s="156" customFormat="1">
      <c r="B80" s="161" t="s">
        <v>529</v>
      </c>
      <c r="C80" s="162">
        <f>+C71+C72</f>
        <v>300.37263400000001</v>
      </c>
      <c r="D80" s="162">
        <f t="shared" ref="D80:T80" si="25">+D71+D72</f>
        <v>843.90717200000006</v>
      </c>
      <c r="E80" s="162">
        <f t="shared" si="25"/>
        <v>210.95963800000015</v>
      </c>
      <c r="F80" s="162">
        <f t="shared" si="25"/>
        <v>152.70436200000009</v>
      </c>
      <c r="G80" s="162">
        <f t="shared" si="25"/>
        <v>54.816000000000344</v>
      </c>
      <c r="H80" s="162">
        <f t="shared" si="25"/>
        <v>49.088000000000044</v>
      </c>
      <c r="I80" s="162">
        <f t="shared" si="25"/>
        <v>-24.337999999999909</v>
      </c>
      <c r="J80" s="162">
        <f t="shared" si="25"/>
        <v>361.79593104999998</v>
      </c>
      <c r="K80" s="162">
        <f t="shared" si="25"/>
        <v>125.122</v>
      </c>
      <c r="L80" s="162">
        <f t="shared" si="25"/>
        <v>0</v>
      </c>
      <c r="M80" s="162">
        <f t="shared" si="25"/>
        <v>42.033999999999999</v>
      </c>
      <c r="N80" s="162">
        <f t="shared" si="25"/>
        <v>-8.8869999999999969</v>
      </c>
      <c r="O80" s="162">
        <f t="shared" si="25"/>
        <v>-16.906869</v>
      </c>
      <c r="P80" s="162">
        <f t="shared" si="25"/>
        <v>279.67700000000002</v>
      </c>
      <c r="Q80" s="162">
        <f t="shared" si="25"/>
        <v>-0.44499999999999995</v>
      </c>
      <c r="R80" s="162">
        <f t="shared" si="25"/>
        <v>0</v>
      </c>
      <c r="S80" s="162">
        <f t="shared" si="25"/>
        <v>0</v>
      </c>
      <c r="T80" s="162">
        <f t="shared" si="25"/>
        <v>2369.8998680499958</v>
      </c>
    </row>
    <row r="81" spans="2:22">
      <c r="B81" s="165" t="s">
        <v>600</v>
      </c>
      <c r="C81" s="160">
        <v>-57.594729000000001</v>
      </c>
      <c r="D81" s="160">
        <v>-104.683425</v>
      </c>
      <c r="E81" s="160">
        <v>-36.271525000000004</v>
      </c>
      <c r="F81" s="160">
        <v>-21.899222000000002</v>
      </c>
      <c r="G81" s="160">
        <v>-37.003</v>
      </c>
      <c r="H81" s="160">
        <v>-10.534000000000001</v>
      </c>
      <c r="I81" s="160">
        <v>-95.965000000000003</v>
      </c>
      <c r="J81" s="160">
        <v>-63.267995869999993</v>
      </c>
      <c r="K81" s="160">
        <v>-65.988</v>
      </c>
      <c r="L81" s="160">
        <v>0</v>
      </c>
      <c r="M81" s="160">
        <v>-1.841</v>
      </c>
      <c r="N81" s="160">
        <v>-0.16700000000000001</v>
      </c>
      <c r="O81" s="160">
        <v>-1.7987E-2</v>
      </c>
      <c r="P81" s="160">
        <v>-0.32600000000000001</v>
      </c>
      <c r="Q81" s="160">
        <v>0</v>
      </c>
      <c r="R81" s="160">
        <v>0</v>
      </c>
      <c r="S81" s="160">
        <v>0</v>
      </c>
      <c r="T81" s="160">
        <f>SUM(C81:S81)</f>
        <v>-495.55888387000005</v>
      </c>
      <c r="U81" s="606"/>
      <c r="V81" s="606"/>
    </row>
    <row r="82" spans="2:22">
      <c r="B82" s="165" t="s">
        <v>657</v>
      </c>
      <c r="C82" s="160">
        <v>0</v>
      </c>
      <c r="D82" s="160">
        <v>0</v>
      </c>
      <c r="E82" s="160">
        <v>0</v>
      </c>
      <c r="F82" s="160">
        <v>0</v>
      </c>
      <c r="G82" s="160">
        <v>0</v>
      </c>
      <c r="H82" s="160">
        <v>0</v>
      </c>
      <c r="I82" s="160">
        <v>0</v>
      </c>
      <c r="J82" s="160">
        <v>0</v>
      </c>
      <c r="K82" s="160">
        <v>-9.44</v>
      </c>
      <c r="L82" s="160">
        <v>0</v>
      </c>
      <c r="M82" s="160">
        <v>0</v>
      </c>
      <c r="N82" s="160">
        <v>-6.7359999999999998</v>
      </c>
      <c r="O82" s="160">
        <v>-10.762300999999999</v>
      </c>
      <c r="P82" s="160">
        <v>9.44</v>
      </c>
      <c r="Q82" s="160">
        <v>-55.066000000000003</v>
      </c>
      <c r="R82" s="160">
        <v>0</v>
      </c>
      <c r="S82" s="160">
        <v>0</v>
      </c>
      <c r="T82" s="160">
        <f>SUM(C82:S82)</f>
        <v>-72.564301</v>
      </c>
      <c r="V82" s="606"/>
    </row>
    <row r="83" spans="2:22">
      <c r="B83" s="165" t="s">
        <v>662</v>
      </c>
      <c r="C83" s="160">
        <v>0</v>
      </c>
      <c r="D83" s="160">
        <v>0</v>
      </c>
      <c r="E83" s="160">
        <v>0</v>
      </c>
      <c r="F83" s="160">
        <v>0</v>
      </c>
      <c r="G83" s="160">
        <v>0</v>
      </c>
      <c r="H83" s="160">
        <v>0</v>
      </c>
      <c r="I83" s="160">
        <v>0</v>
      </c>
      <c r="J83" s="160">
        <v>0</v>
      </c>
      <c r="K83" s="160">
        <v>0</v>
      </c>
      <c r="L83" s="160">
        <v>0</v>
      </c>
      <c r="M83" s="160">
        <v>0</v>
      </c>
      <c r="N83" s="160">
        <v>0</v>
      </c>
      <c r="O83" s="160">
        <v>645.81799999999998</v>
      </c>
      <c r="P83" s="160">
        <v>0</v>
      </c>
      <c r="Q83" s="160">
        <v>618.53399999999999</v>
      </c>
      <c r="R83" s="160">
        <v>-1264.3520000000001</v>
      </c>
      <c r="S83" s="160">
        <v>9.0999999999999998E-2</v>
      </c>
      <c r="T83" s="160">
        <f>SUM(C83:S83)</f>
        <v>9.0999999999772624E-2</v>
      </c>
    </row>
    <row r="84" spans="2:22" s="156" customFormat="1">
      <c r="B84" s="161" t="s">
        <v>601</v>
      </c>
      <c r="C84" s="162">
        <f>SUM(C80:C83)</f>
        <v>242.777905</v>
      </c>
      <c r="D84" s="162">
        <f t="shared" ref="D84:T84" si="26">SUM(D80:D83)</f>
        <v>739.223747</v>
      </c>
      <c r="E84" s="162">
        <f t="shared" si="26"/>
        <v>174.68811300000016</v>
      </c>
      <c r="F84" s="162">
        <f t="shared" si="26"/>
        <v>130.80514000000008</v>
      </c>
      <c r="G84" s="162">
        <f t="shared" si="26"/>
        <v>17.813000000000343</v>
      </c>
      <c r="H84" s="162">
        <f t="shared" si="26"/>
        <v>38.554000000000045</v>
      </c>
      <c r="I84" s="162">
        <f t="shared" si="26"/>
        <v>-120.30299999999991</v>
      </c>
      <c r="J84" s="162">
        <f t="shared" si="26"/>
        <v>298.52793517999999</v>
      </c>
      <c r="K84" s="162">
        <f t="shared" si="26"/>
        <v>49.694000000000003</v>
      </c>
      <c r="L84" s="162">
        <f t="shared" si="26"/>
        <v>0</v>
      </c>
      <c r="M84" s="162">
        <f t="shared" si="26"/>
        <v>40.192999999999998</v>
      </c>
      <c r="N84" s="162">
        <f t="shared" si="26"/>
        <v>-15.789999999999996</v>
      </c>
      <c r="O84" s="162">
        <f t="shared" si="26"/>
        <v>618.13084300000003</v>
      </c>
      <c r="P84" s="162">
        <f t="shared" si="26"/>
        <v>288.791</v>
      </c>
      <c r="Q84" s="162">
        <f t="shared" si="26"/>
        <v>563.02300000000002</v>
      </c>
      <c r="R84" s="162">
        <f t="shared" si="26"/>
        <v>-1264.3520000000001</v>
      </c>
      <c r="S84" s="162">
        <f t="shared" si="26"/>
        <v>9.0999999999999998E-2</v>
      </c>
      <c r="T84" s="162">
        <f t="shared" si="26"/>
        <v>1801.8676831799955</v>
      </c>
    </row>
    <row r="85" spans="2:22" s="156" customFormat="1">
      <c r="B85" s="157" t="s">
        <v>531</v>
      </c>
      <c r="C85" s="158">
        <f>+SUM(C86:C87)</f>
        <v>-45.159549000000013</v>
      </c>
      <c r="D85" s="158">
        <f t="shared" ref="D85:T85" si="27">+SUM(D86:D87)</f>
        <v>-109.763125</v>
      </c>
      <c r="E85" s="158">
        <f t="shared" si="27"/>
        <v>-87.607925999999992</v>
      </c>
      <c r="F85" s="158">
        <f t="shared" si="27"/>
        <v>-37.203229</v>
      </c>
      <c r="G85" s="158">
        <f t="shared" si="27"/>
        <v>-177.79700000000003</v>
      </c>
      <c r="H85" s="158">
        <f t="shared" si="27"/>
        <v>-45.019000000000005</v>
      </c>
      <c r="I85" s="158">
        <f t="shared" si="27"/>
        <v>-506.71299999999997</v>
      </c>
      <c r="J85" s="158">
        <f t="shared" si="27"/>
        <v>-133.62121078999996</v>
      </c>
      <c r="K85" s="158">
        <f t="shared" si="27"/>
        <v>-86.187000000000012</v>
      </c>
      <c r="L85" s="158">
        <f t="shared" si="27"/>
        <v>0</v>
      </c>
      <c r="M85" s="158">
        <f t="shared" si="27"/>
        <v>-0.37599999999999945</v>
      </c>
      <c r="N85" s="158">
        <f t="shared" si="27"/>
        <v>-41.154000000000003</v>
      </c>
      <c r="O85" s="158">
        <f t="shared" si="27"/>
        <v>-118.14359999999999</v>
      </c>
      <c r="P85" s="158">
        <f t="shared" si="27"/>
        <v>290.49700000000001</v>
      </c>
      <c r="Q85" s="158">
        <f t="shared" si="27"/>
        <v>0.41800000000000004</v>
      </c>
      <c r="R85" s="158">
        <f t="shared" si="27"/>
        <v>0</v>
      </c>
      <c r="S85" s="158">
        <f t="shared" si="27"/>
        <v>8.0000000000000002E-3</v>
      </c>
      <c r="T85" s="158">
        <f t="shared" si="27"/>
        <v>-1097.8216397899996</v>
      </c>
    </row>
    <row r="86" spans="2:22">
      <c r="B86" s="165" t="s">
        <v>532</v>
      </c>
      <c r="C86" s="160">
        <v>104.05935799999999</v>
      </c>
      <c r="D86" s="160">
        <v>285.56455599999998</v>
      </c>
      <c r="E86" s="160">
        <v>128.46118100000001</v>
      </c>
      <c r="F86" s="160">
        <v>46.234896999999997</v>
      </c>
      <c r="G86" s="160">
        <v>103.313</v>
      </c>
      <c r="H86" s="160">
        <v>53.906999999999996</v>
      </c>
      <c r="I86" s="160">
        <v>113.31100000000001</v>
      </c>
      <c r="J86" s="160">
        <v>46.584324540000004</v>
      </c>
      <c r="K86" s="160">
        <v>26.558</v>
      </c>
      <c r="L86" s="160">
        <v>0</v>
      </c>
      <c r="M86" s="160">
        <v>13.461</v>
      </c>
      <c r="N86" s="160">
        <v>0.67100000000000004</v>
      </c>
      <c r="O86" s="160">
        <v>94.923213000000004</v>
      </c>
      <c r="P86" s="160">
        <v>0</v>
      </c>
      <c r="Q86" s="160">
        <v>0.76200000000000001</v>
      </c>
      <c r="R86" s="160">
        <v>-36.612000000000002</v>
      </c>
      <c r="S86" s="160">
        <v>8.0000000000000002E-3</v>
      </c>
      <c r="T86" s="160">
        <f>SUM(C86:S86)</f>
        <v>981.20652954000013</v>
      </c>
    </row>
    <row r="87" spans="2:22">
      <c r="B87" s="165" t="s">
        <v>541</v>
      </c>
      <c r="C87" s="160">
        <v>-149.218907</v>
      </c>
      <c r="D87" s="160">
        <v>-395.32768099999998</v>
      </c>
      <c r="E87" s="160">
        <v>-216.069107</v>
      </c>
      <c r="F87" s="160">
        <v>-83.438125999999997</v>
      </c>
      <c r="G87" s="160">
        <v>-281.11</v>
      </c>
      <c r="H87" s="160">
        <v>-98.926000000000002</v>
      </c>
      <c r="I87" s="160">
        <v>-620.024</v>
      </c>
      <c r="J87" s="160">
        <v>-180.20553532999998</v>
      </c>
      <c r="K87" s="160">
        <v>-112.745</v>
      </c>
      <c r="L87" s="160">
        <v>0</v>
      </c>
      <c r="M87" s="160">
        <v>-13.837</v>
      </c>
      <c r="N87" s="160">
        <v>-41.825000000000003</v>
      </c>
      <c r="O87" s="160">
        <v>-213.066813</v>
      </c>
      <c r="P87" s="160">
        <v>290.49700000000001</v>
      </c>
      <c r="Q87" s="160">
        <v>-0.34399999999999997</v>
      </c>
      <c r="R87" s="160">
        <v>36.612000000000002</v>
      </c>
      <c r="S87" s="160">
        <v>0</v>
      </c>
      <c r="T87" s="160">
        <f>SUM(C87:S87)</f>
        <v>-2079.0281693299999</v>
      </c>
    </row>
    <row r="88" spans="2:22" s="156" customFormat="1">
      <c r="B88" s="157" t="s">
        <v>602</v>
      </c>
      <c r="C88" s="158">
        <f>C84+C85</f>
        <v>197.61835600000001</v>
      </c>
      <c r="D88" s="158">
        <f t="shared" ref="D88:T88" si="28">D84+D85</f>
        <v>629.46062200000006</v>
      </c>
      <c r="E88" s="158">
        <f t="shared" si="28"/>
        <v>87.080187000000166</v>
      </c>
      <c r="F88" s="158">
        <f t="shared" si="28"/>
        <v>93.601911000000086</v>
      </c>
      <c r="G88" s="158">
        <f t="shared" si="28"/>
        <v>-159.9839999999997</v>
      </c>
      <c r="H88" s="158">
        <f t="shared" si="28"/>
        <v>-6.4649999999999608</v>
      </c>
      <c r="I88" s="158">
        <f t="shared" si="28"/>
        <v>-627.01599999999985</v>
      </c>
      <c r="J88" s="158">
        <f t="shared" si="28"/>
        <v>164.90672439000002</v>
      </c>
      <c r="K88" s="158">
        <f t="shared" si="28"/>
        <v>-36.493000000000009</v>
      </c>
      <c r="L88" s="158">
        <f t="shared" si="28"/>
        <v>0</v>
      </c>
      <c r="M88" s="158">
        <f t="shared" si="28"/>
        <v>39.817</v>
      </c>
      <c r="N88" s="158">
        <f t="shared" si="28"/>
        <v>-56.944000000000003</v>
      </c>
      <c r="O88" s="158">
        <f t="shared" si="28"/>
        <v>499.98724300000003</v>
      </c>
      <c r="P88" s="158">
        <f t="shared" si="28"/>
        <v>579.28800000000001</v>
      </c>
      <c r="Q88" s="158">
        <f t="shared" si="28"/>
        <v>563.44100000000003</v>
      </c>
      <c r="R88" s="158">
        <f t="shared" si="28"/>
        <v>-1264.3520000000001</v>
      </c>
      <c r="S88" s="158">
        <f t="shared" si="28"/>
        <v>9.9000000000000005E-2</v>
      </c>
      <c r="T88" s="158">
        <f t="shared" si="28"/>
        <v>704.04604338999593</v>
      </c>
    </row>
    <row r="89" spans="2:22">
      <c r="B89" s="159" t="s">
        <v>553</v>
      </c>
      <c r="C89" s="160">
        <v>-20.419643000000001</v>
      </c>
      <c r="D89" s="160">
        <v>-60.622835000000002</v>
      </c>
      <c r="E89" s="160">
        <v>-6.6399629999999998</v>
      </c>
      <c r="F89" s="160">
        <v>-6.1352790000000006</v>
      </c>
      <c r="G89" s="160">
        <v>0.14477699999999999</v>
      </c>
      <c r="H89" s="160">
        <v>-1.123</v>
      </c>
      <c r="I89" s="160">
        <v>5.1390000000000002</v>
      </c>
      <c r="J89" s="160">
        <v>-48.847120000000004</v>
      </c>
      <c r="K89" s="160">
        <v>-4.7869999999999999</v>
      </c>
      <c r="L89" s="160">
        <v>0</v>
      </c>
      <c r="M89" s="160">
        <v>-2.12</v>
      </c>
      <c r="N89" s="160">
        <v>0</v>
      </c>
      <c r="O89" s="160">
        <v>0</v>
      </c>
      <c r="P89" s="160">
        <v>0</v>
      </c>
      <c r="Q89" s="160">
        <v>3.7999999999999999E-2</v>
      </c>
      <c r="R89" s="160">
        <v>0</v>
      </c>
      <c r="S89" s="160">
        <v>0</v>
      </c>
      <c r="T89" s="160">
        <f>SUM(C89:S89)</f>
        <v>-145.373063</v>
      </c>
    </row>
    <row r="90" spans="2:22">
      <c r="B90" s="159" t="s">
        <v>554</v>
      </c>
      <c r="C90" s="160">
        <v>-62.844315000000002</v>
      </c>
      <c r="D90" s="160">
        <v>-171.994947</v>
      </c>
      <c r="E90" s="160">
        <v>-18.636204000000003</v>
      </c>
      <c r="F90" s="160">
        <v>-17.038141</v>
      </c>
      <c r="G90" s="160">
        <v>0</v>
      </c>
      <c r="H90" s="160">
        <v>-3.169</v>
      </c>
      <c r="I90" s="160">
        <v>14.241</v>
      </c>
      <c r="J90" s="160">
        <v>36.049605999999997</v>
      </c>
      <c r="K90" s="160">
        <v>-10.920999999999999</v>
      </c>
      <c r="L90" s="160">
        <v>0</v>
      </c>
      <c r="M90" s="160">
        <v>-5.37</v>
      </c>
      <c r="N90" s="160">
        <v>0</v>
      </c>
      <c r="O90" s="160">
        <v>0</v>
      </c>
      <c r="P90" s="160">
        <v>0</v>
      </c>
      <c r="Q90" s="160">
        <v>0.108</v>
      </c>
      <c r="R90" s="160">
        <v>0</v>
      </c>
      <c r="S90" s="160">
        <v>-2E-3</v>
      </c>
      <c r="T90" s="160">
        <f>SUM(C90:S90)</f>
        <v>-239.577001</v>
      </c>
    </row>
    <row r="91" spans="2:22">
      <c r="B91" s="159" t="s">
        <v>603</v>
      </c>
      <c r="C91" s="160">
        <v>14.687329</v>
      </c>
      <c r="D91" s="160">
        <v>19.211182000000001</v>
      </c>
      <c r="E91" s="160">
        <v>-4.9528980000000002</v>
      </c>
      <c r="F91" s="160">
        <v>-8.7937000000000012</v>
      </c>
      <c r="G91" s="160">
        <v>0.39226499999999997</v>
      </c>
      <c r="H91" s="160">
        <v>0</v>
      </c>
      <c r="I91" s="160">
        <v>184.96199999999999</v>
      </c>
      <c r="J91" s="160">
        <v>-34.166875999999995</v>
      </c>
      <c r="K91" s="160">
        <v>6.5289999999999999</v>
      </c>
      <c r="L91" s="160">
        <v>0</v>
      </c>
      <c r="M91" s="160">
        <v>-9.8249999999999993</v>
      </c>
      <c r="N91" s="160">
        <v>0</v>
      </c>
      <c r="O91" s="160">
        <v>17.713787</v>
      </c>
      <c r="P91" s="160">
        <v>-6.9960000000000004</v>
      </c>
      <c r="Q91" s="160">
        <v>0</v>
      </c>
      <c r="R91" s="160">
        <v>0</v>
      </c>
      <c r="S91" s="160">
        <v>0</v>
      </c>
      <c r="T91" s="160">
        <f>SUM(C91:S91)</f>
        <v>178.76108899999997</v>
      </c>
    </row>
    <row r="92" spans="2:22">
      <c r="B92" s="159" t="s">
        <v>555</v>
      </c>
      <c r="C92" s="160">
        <v>40.270589000000001</v>
      </c>
      <c r="D92" s="160">
        <v>103.20221000000001</v>
      </c>
      <c r="E92" s="160">
        <v>16.704865000000002</v>
      </c>
      <c r="F92" s="160">
        <v>15.874459</v>
      </c>
      <c r="G92" s="160">
        <v>0</v>
      </c>
      <c r="H92" s="160">
        <v>0</v>
      </c>
      <c r="I92" s="160">
        <v>0</v>
      </c>
      <c r="J92" s="160">
        <v>-3.1650559999999999</v>
      </c>
      <c r="K92" s="160">
        <v>-3.3050000000000002</v>
      </c>
      <c r="L92" s="160">
        <v>0</v>
      </c>
      <c r="M92" s="160">
        <v>0</v>
      </c>
      <c r="N92" s="160">
        <v>0</v>
      </c>
      <c r="O92" s="160">
        <v>0</v>
      </c>
      <c r="P92" s="160">
        <v>3.3050000000000002</v>
      </c>
      <c r="Q92" s="160">
        <v>0</v>
      </c>
      <c r="R92" s="160">
        <v>0</v>
      </c>
      <c r="S92" s="160">
        <v>0</v>
      </c>
      <c r="T92" s="160">
        <f>SUM(C92:S92)</f>
        <v>172.88706700000003</v>
      </c>
    </row>
    <row r="93" spans="2:22" s="156" customFormat="1">
      <c r="B93" s="157" t="s">
        <v>604</v>
      </c>
      <c r="C93" s="158">
        <f>+C88+SUM(C89:C92)</f>
        <v>169.31231600000001</v>
      </c>
      <c r="D93" s="158">
        <f t="shared" ref="D93:S93" si="29">+D88+SUM(D89:D92)</f>
        <v>519.25623200000007</v>
      </c>
      <c r="E93" s="158">
        <f t="shared" si="29"/>
        <v>73.555987000000158</v>
      </c>
      <c r="F93" s="158">
        <f t="shared" si="29"/>
        <v>77.509250000000094</v>
      </c>
      <c r="G93" s="158">
        <f t="shared" si="29"/>
        <v>-159.44695799999968</v>
      </c>
      <c r="H93" s="158">
        <f t="shared" si="29"/>
        <v>-10.756999999999961</v>
      </c>
      <c r="I93" s="158">
        <f t="shared" si="29"/>
        <v>-422.67399999999986</v>
      </c>
      <c r="J93" s="158">
        <f t="shared" si="29"/>
        <v>114.77727839000002</v>
      </c>
      <c r="K93" s="158">
        <f t="shared" si="29"/>
        <v>-48.977000000000004</v>
      </c>
      <c r="L93" s="158">
        <f t="shared" si="29"/>
        <v>0</v>
      </c>
      <c r="M93" s="158">
        <f t="shared" si="29"/>
        <v>22.502000000000002</v>
      </c>
      <c r="N93" s="158">
        <f t="shared" si="29"/>
        <v>-56.944000000000003</v>
      </c>
      <c r="O93" s="158">
        <f t="shared" si="29"/>
        <v>517.70103000000006</v>
      </c>
      <c r="P93" s="158">
        <f t="shared" si="29"/>
        <v>575.59699999999998</v>
      </c>
      <c r="Q93" s="158">
        <f t="shared" si="29"/>
        <v>563.58699999999999</v>
      </c>
      <c r="R93" s="158">
        <f t="shared" si="29"/>
        <v>-1264.3520000000001</v>
      </c>
      <c r="S93" s="158">
        <f t="shared" si="29"/>
        <v>9.7000000000000003E-2</v>
      </c>
      <c r="T93" s="158">
        <f t="shared" ref="T93" si="30">+T88+SUM(T89:T92)</f>
        <v>670.7441353899959</v>
      </c>
    </row>
  </sheetData>
  <pageMargins left="0.511811024" right="0.511811024" top="0.78740157499999996" bottom="0.78740157499999996" header="0.31496062000000002" footer="0.31496062000000002"/>
  <ignoredErrors>
    <ignoredError sqref="T19 T35 T40 T48 T43 C40:N40 C35:O35 C19:N19 S40 S35 S19" formula="1"/>
    <ignoredError sqref="S9 C9:N9" formulaRange="1"/>
  </ignoredErrors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9" tint="0.79998168889431442"/>
  </sheetPr>
  <dimension ref="B2:X58"/>
  <sheetViews>
    <sheetView showGridLines="0" topLeftCell="B1" zoomScaleNormal="100" workbookViewId="0">
      <pane xSplit="1" ySplit="5" topLeftCell="C6" activePane="bottomRight" state="frozen"/>
      <selection pane="topRight" activeCell="AN17" sqref="AN17"/>
      <selection pane="bottomLeft" activeCell="AN17" sqref="AN17"/>
      <selection pane="bottomRight" activeCell="P8" sqref="P8"/>
    </sheetView>
  </sheetViews>
  <sheetFormatPr defaultColWidth="7.1796875" defaultRowHeight="11.15" customHeight="1" outlineLevelCol="1"/>
  <cols>
    <col min="1" max="1" width="7.1796875" style="37"/>
    <col min="2" max="2" width="37" style="61" customWidth="1"/>
    <col min="3" max="9" width="0" style="585" hidden="1" customWidth="1" outlineLevel="1"/>
    <col min="10" max="14" width="0" style="61" hidden="1" customWidth="1" outlineLevel="1"/>
    <col min="15" max="15" width="7.1796875" style="61" collapsed="1"/>
    <col min="16" max="18" width="7.1796875" style="61"/>
    <col min="19" max="19" width="7.1796875" style="61" customWidth="1"/>
    <col min="20" max="24" width="7.1796875" style="61"/>
    <col min="25" max="16384" width="7.1796875" style="37"/>
  </cols>
  <sheetData>
    <row r="2" spans="2:24" ht="11.15" customHeight="1"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</row>
    <row r="3" spans="2:24" ht="11.15" customHeight="1"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  <c r="S3" s="581"/>
      <c r="T3" s="581"/>
      <c r="U3" s="581"/>
      <c r="V3" s="581"/>
      <c r="W3" s="581"/>
      <c r="X3" s="581"/>
    </row>
    <row r="4" spans="2:24" ht="11.15" customHeight="1">
      <c r="C4" s="581"/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  <c r="O4" s="581"/>
      <c r="P4" s="581"/>
      <c r="Q4" s="581"/>
      <c r="R4" s="581"/>
      <c r="S4" s="581"/>
      <c r="T4" s="581"/>
      <c r="U4" s="581"/>
      <c r="V4" s="581"/>
      <c r="W4" s="581"/>
      <c r="X4" s="581"/>
    </row>
    <row r="5" spans="2:24" ht="11.15" customHeight="1">
      <c r="B5" s="128"/>
      <c r="C5" s="545" t="s">
        <v>33</v>
      </c>
      <c r="D5" s="545" t="s">
        <v>34</v>
      </c>
      <c r="E5" s="545" t="s">
        <v>35</v>
      </c>
      <c r="F5" s="545" t="s">
        <v>36</v>
      </c>
      <c r="G5" s="545" t="s">
        <v>37</v>
      </c>
      <c r="H5" s="545" t="s">
        <v>38</v>
      </c>
      <c r="I5" s="545" t="s">
        <v>39</v>
      </c>
      <c r="J5" s="545" t="s">
        <v>40</v>
      </c>
      <c r="K5" s="545" t="s">
        <v>41</v>
      </c>
      <c r="L5" s="545" t="s">
        <v>42</v>
      </c>
      <c r="M5" s="545" t="s">
        <v>43</v>
      </c>
      <c r="N5" s="545" t="s">
        <v>44</v>
      </c>
      <c r="O5" s="545" t="s">
        <v>45</v>
      </c>
      <c r="P5" s="545" t="s">
        <v>46</v>
      </c>
      <c r="Q5" s="545" t="s">
        <v>47</v>
      </c>
      <c r="R5" s="545" t="s">
        <v>48</v>
      </c>
      <c r="S5" s="545" t="s">
        <v>49</v>
      </c>
      <c r="T5" s="545" t="s">
        <v>50</v>
      </c>
      <c r="U5" s="545" t="s">
        <v>51</v>
      </c>
      <c r="V5" s="545" t="s">
        <v>52</v>
      </c>
      <c r="W5" s="545" t="s">
        <v>53</v>
      </c>
      <c r="X5" s="545" t="s">
        <v>54</v>
      </c>
    </row>
    <row r="6" spans="2:24" ht="11.15" customHeight="1">
      <c r="B6" s="582" t="s">
        <v>55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583"/>
      <c r="P6" s="583"/>
      <c r="Q6" s="583"/>
      <c r="R6" s="583"/>
      <c r="S6" s="583"/>
      <c r="T6" s="583"/>
      <c r="U6" s="583"/>
      <c r="V6" s="583"/>
      <c r="W6" s="583"/>
      <c r="X6" s="583"/>
    </row>
    <row r="7" spans="2:24" ht="11.15" customHeight="1">
      <c r="B7" s="45" t="s">
        <v>680</v>
      </c>
      <c r="C7" s="138">
        <v>115</v>
      </c>
      <c r="D7" s="138">
        <v>114</v>
      </c>
      <c r="E7" s="138">
        <v>125</v>
      </c>
      <c r="F7" s="138">
        <v>123</v>
      </c>
      <c r="G7" s="138">
        <v>117</v>
      </c>
      <c r="H7" s="138">
        <v>118</v>
      </c>
      <c r="I7" s="138">
        <v>119</v>
      </c>
      <c r="J7" s="138">
        <v>128</v>
      </c>
      <c r="K7" s="138">
        <v>122</v>
      </c>
      <c r="L7" s="138">
        <v>121</v>
      </c>
      <c r="M7" s="138">
        <v>119</v>
      </c>
      <c r="N7" s="138">
        <v>152.08821210000002</v>
      </c>
      <c r="O7" s="138">
        <v>134.68118720000004</v>
      </c>
      <c r="P7" s="138">
        <v>152.93286319000001</v>
      </c>
      <c r="Q7" s="138">
        <v>134.90533648999997</v>
      </c>
      <c r="R7" s="138">
        <v>147.20778170000003</v>
      </c>
      <c r="S7" s="138">
        <v>151.75990287000002</v>
      </c>
      <c r="T7" s="138">
        <v>169.23448573999997</v>
      </c>
      <c r="U7" s="138">
        <v>164.60691398</v>
      </c>
      <c r="V7" s="138">
        <v>172.45370916069999</v>
      </c>
      <c r="W7" s="138">
        <v>175.13742489000003</v>
      </c>
      <c r="X7" s="138">
        <v>184.37657832000002</v>
      </c>
    </row>
    <row r="8" spans="2:24" ht="11.15" customHeight="1">
      <c r="B8" s="45" t="s">
        <v>681</v>
      </c>
      <c r="C8" s="138">
        <v>200</v>
      </c>
      <c r="D8" s="138">
        <v>248</v>
      </c>
      <c r="E8" s="138">
        <v>232</v>
      </c>
      <c r="F8" s="138">
        <v>285</v>
      </c>
      <c r="G8" s="138">
        <v>228</v>
      </c>
      <c r="H8" s="138">
        <v>204</v>
      </c>
      <c r="I8" s="138">
        <v>281</v>
      </c>
      <c r="J8" s="138">
        <v>397</v>
      </c>
      <c r="K8" s="138">
        <v>334</v>
      </c>
      <c r="L8" s="138">
        <v>302</v>
      </c>
      <c r="M8" s="138">
        <v>356</v>
      </c>
      <c r="N8" s="138">
        <v>334.18978444055642</v>
      </c>
      <c r="O8" s="138">
        <v>270.75587900000005</v>
      </c>
      <c r="P8" s="138">
        <v>236.32612950000001</v>
      </c>
      <c r="Q8" s="142">
        <v>309</v>
      </c>
      <c r="R8" s="138">
        <v>506.14419854486249</v>
      </c>
      <c r="S8" s="138">
        <v>285.70003076</v>
      </c>
      <c r="T8" s="138">
        <v>306.75671946000006</v>
      </c>
      <c r="U8" s="138">
        <v>368.06375334070782</v>
      </c>
      <c r="V8" s="138">
        <v>358.57030846931735</v>
      </c>
      <c r="W8" s="138">
        <v>284.14682081000024</v>
      </c>
      <c r="X8" s="138">
        <v>317.53877846</v>
      </c>
    </row>
    <row r="9" spans="2:24" ht="11.15" customHeight="1">
      <c r="B9" s="45" t="s">
        <v>682</v>
      </c>
      <c r="C9" s="138">
        <v>-8</v>
      </c>
      <c r="D9" s="138">
        <v>-21</v>
      </c>
      <c r="E9" s="138">
        <v>1</v>
      </c>
      <c r="F9" s="138">
        <v>3</v>
      </c>
      <c r="G9" s="138">
        <v>-16</v>
      </c>
      <c r="H9" s="138">
        <v>4</v>
      </c>
      <c r="I9" s="138">
        <v>-10</v>
      </c>
      <c r="J9" s="138">
        <v>-20</v>
      </c>
      <c r="K9" s="138">
        <v>-22</v>
      </c>
      <c r="L9" s="138">
        <v>-11</v>
      </c>
      <c r="M9" s="138">
        <v>-20</v>
      </c>
      <c r="N9" s="138">
        <v>-23.8985804</v>
      </c>
      <c r="O9" s="138">
        <v>-16.501282710000005</v>
      </c>
      <c r="P9" s="138">
        <v>-26.683753270000025</v>
      </c>
      <c r="Q9" s="138">
        <v>9.2984909500000299</v>
      </c>
      <c r="R9" s="138">
        <v>7.7192684199999793</v>
      </c>
      <c r="S9" s="138">
        <v>-41.294240439999989</v>
      </c>
      <c r="T9" s="138">
        <v>-45.159548740000012</v>
      </c>
      <c r="U9" s="138">
        <v>-18.755156129999996</v>
      </c>
      <c r="V9" s="138">
        <v>-40.889614569999964</v>
      </c>
      <c r="W9" s="138">
        <v>-62.018052469999994</v>
      </c>
      <c r="X9" s="138">
        <v>-50.306138050000015</v>
      </c>
    </row>
    <row r="10" spans="2:24" ht="11.15" customHeight="1">
      <c r="B10" s="45" t="s">
        <v>683</v>
      </c>
      <c r="C10" s="138">
        <v>76</v>
      </c>
      <c r="D10" s="138">
        <v>92</v>
      </c>
      <c r="E10" s="138">
        <v>103</v>
      </c>
      <c r="F10" s="138">
        <v>130</v>
      </c>
      <c r="G10" s="138">
        <v>79</v>
      </c>
      <c r="H10" s="138">
        <v>82</v>
      </c>
      <c r="I10" s="138">
        <v>108</v>
      </c>
      <c r="J10" s="138">
        <v>146</v>
      </c>
      <c r="K10" s="138">
        <v>123</v>
      </c>
      <c r="L10" s="138">
        <v>117</v>
      </c>
      <c r="M10" s="138">
        <v>131</v>
      </c>
      <c r="N10" s="138">
        <v>129</v>
      </c>
      <c r="O10" s="138">
        <v>125.48382014000001</v>
      </c>
      <c r="P10" s="138">
        <v>215.45420168999999</v>
      </c>
      <c r="Q10" s="138">
        <v>193.75796285831001</v>
      </c>
      <c r="R10" s="138">
        <v>373.88941369664923</v>
      </c>
      <c r="S10" s="138">
        <v>148.82682799029484</v>
      </c>
      <c r="T10" s="138">
        <v>177.19344072447998</v>
      </c>
      <c r="U10" s="138">
        <v>243.48749530674846</v>
      </c>
      <c r="V10" s="138">
        <v>273.48402844974953</v>
      </c>
      <c r="W10" s="138">
        <v>117.77640316710026</v>
      </c>
      <c r="X10" s="138">
        <v>141.29513294097106</v>
      </c>
    </row>
    <row r="11" spans="2:24" ht="11.15" customHeight="1">
      <c r="B11" s="187"/>
      <c r="C11" s="584"/>
      <c r="D11" s="584"/>
      <c r="E11" s="584"/>
      <c r="F11" s="584"/>
      <c r="G11" s="584"/>
      <c r="H11" s="584"/>
      <c r="I11" s="584"/>
      <c r="J11" s="584"/>
      <c r="K11" s="584"/>
      <c r="L11" s="584"/>
      <c r="M11" s="584"/>
      <c r="N11" s="584"/>
      <c r="O11" s="584"/>
      <c r="P11" s="584"/>
      <c r="Q11" s="584"/>
      <c r="R11" s="584"/>
      <c r="S11" s="584"/>
      <c r="T11" s="584"/>
      <c r="U11" s="584"/>
      <c r="V11" s="584"/>
      <c r="W11" s="584"/>
      <c r="X11" s="584"/>
    </row>
    <row r="12" spans="2:24" ht="11.15" customHeight="1">
      <c r="B12" s="582" t="s">
        <v>67</v>
      </c>
      <c r="C12" s="583"/>
      <c r="D12" s="583"/>
      <c r="E12" s="583"/>
      <c r="F12" s="583"/>
      <c r="G12" s="583"/>
      <c r="H12" s="583"/>
      <c r="I12" s="583"/>
      <c r="J12" s="583"/>
      <c r="K12" s="583"/>
      <c r="L12" s="583"/>
      <c r="M12" s="583"/>
      <c r="N12" s="583"/>
      <c r="O12" s="583"/>
      <c r="P12" s="583"/>
      <c r="Q12" s="583"/>
      <c r="R12" s="583"/>
      <c r="S12" s="583"/>
      <c r="T12" s="583"/>
      <c r="U12" s="583"/>
      <c r="V12" s="583"/>
      <c r="W12" s="583"/>
      <c r="X12" s="583"/>
    </row>
    <row r="13" spans="2:24" ht="11.15" customHeight="1">
      <c r="B13" s="45" t="s">
        <v>680</v>
      </c>
      <c r="C13" s="138">
        <v>122</v>
      </c>
      <c r="D13" s="138">
        <v>119</v>
      </c>
      <c r="E13" s="138">
        <v>130</v>
      </c>
      <c r="F13" s="138">
        <v>137</v>
      </c>
      <c r="G13" s="138">
        <v>118</v>
      </c>
      <c r="H13" s="138">
        <v>119</v>
      </c>
      <c r="I13" s="138">
        <v>126</v>
      </c>
      <c r="J13" s="138">
        <v>134</v>
      </c>
      <c r="K13" s="138">
        <v>145</v>
      </c>
      <c r="L13" s="138">
        <v>153</v>
      </c>
      <c r="M13" s="138">
        <v>155</v>
      </c>
      <c r="N13" s="138">
        <v>179.98808645</v>
      </c>
      <c r="O13" s="138">
        <v>155.88792090000004</v>
      </c>
      <c r="P13" s="138">
        <v>179.26961717999998</v>
      </c>
      <c r="Q13" s="138">
        <v>175.91454458000004</v>
      </c>
      <c r="R13" s="138">
        <v>194.20963617999999</v>
      </c>
      <c r="S13" s="138">
        <v>176.16056269000001</v>
      </c>
      <c r="T13" s="138">
        <v>170.68025748660017</v>
      </c>
      <c r="U13" s="138">
        <v>169.17747648000002</v>
      </c>
      <c r="V13" s="138">
        <v>191.28088822000001</v>
      </c>
      <c r="W13" s="138">
        <v>171.19410956000002</v>
      </c>
      <c r="X13" s="138">
        <v>176.62681658999992</v>
      </c>
    </row>
    <row r="14" spans="2:24" ht="11.15" customHeight="1">
      <c r="B14" s="45" t="s">
        <v>681</v>
      </c>
      <c r="C14" s="138">
        <v>199</v>
      </c>
      <c r="D14" s="138">
        <v>267</v>
      </c>
      <c r="E14" s="138">
        <v>293</v>
      </c>
      <c r="F14" s="138">
        <v>322</v>
      </c>
      <c r="G14" s="138">
        <v>311</v>
      </c>
      <c r="H14" s="138">
        <v>119</v>
      </c>
      <c r="I14" s="138">
        <v>370</v>
      </c>
      <c r="J14" s="138">
        <v>462</v>
      </c>
      <c r="K14" s="138">
        <v>402</v>
      </c>
      <c r="L14" s="138">
        <v>415</v>
      </c>
      <c r="M14" s="138">
        <v>663</v>
      </c>
      <c r="N14" s="138">
        <v>655.35464995188488</v>
      </c>
      <c r="O14" s="138">
        <v>598.04399999999998</v>
      </c>
      <c r="P14" s="138">
        <v>608.72054637000008</v>
      </c>
      <c r="Q14" s="142">
        <v>700</v>
      </c>
      <c r="R14" s="138">
        <v>874.40853732398546</v>
      </c>
      <c r="S14" s="138">
        <v>676.37121115000014</v>
      </c>
      <c r="T14" s="138">
        <v>752.01214857339983</v>
      </c>
      <c r="U14" s="142">
        <v>806.60546074726676</v>
      </c>
      <c r="V14" s="142">
        <v>740.9537984479357</v>
      </c>
      <c r="W14" s="142">
        <v>650.15672313999926</v>
      </c>
      <c r="X14" s="142">
        <v>705.6472100699998</v>
      </c>
    </row>
    <row r="15" spans="2:24" ht="11.15" customHeight="1">
      <c r="B15" s="45" t="s">
        <v>682</v>
      </c>
      <c r="C15" s="138">
        <v>-80</v>
      </c>
      <c r="D15" s="138">
        <v>-48</v>
      </c>
      <c r="E15" s="138">
        <v>-41</v>
      </c>
      <c r="F15" s="138">
        <v>-51</v>
      </c>
      <c r="G15" s="138">
        <v>-56</v>
      </c>
      <c r="H15" s="138">
        <v>-27</v>
      </c>
      <c r="I15" s="138">
        <v>-66</v>
      </c>
      <c r="J15" s="138">
        <v>-55</v>
      </c>
      <c r="K15" s="138">
        <v>-104</v>
      </c>
      <c r="L15" s="138">
        <v>-46</v>
      </c>
      <c r="M15" s="138">
        <v>-54</v>
      </c>
      <c r="N15" s="138">
        <v>-84.706230421791616</v>
      </c>
      <c r="O15" s="138">
        <v>-90.043243049999973</v>
      </c>
      <c r="P15" s="138">
        <v>-107.55135353</v>
      </c>
      <c r="Q15" s="138">
        <v>6.5849397599999691</v>
      </c>
      <c r="R15" s="138">
        <v>6.566128790000036</v>
      </c>
      <c r="S15" s="138">
        <v>-103.29426476</v>
      </c>
      <c r="T15" s="138">
        <v>-109.76312460999998</v>
      </c>
      <c r="U15" s="138">
        <v>-64.985119810000029</v>
      </c>
      <c r="V15" s="138">
        <v>-77.691156130000053</v>
      </c>
      <c r="W15" s="138">
        <v>-97.115513499999992</v>
      </c>
      <c r="X15" s="138">
        <v>-61.053054408334987</v>
      </c>
    </row>
    <row r="16" spans="2:24" ht="11.15" customHeight="1">
      <c r="B16" s="45" t="s">
        <v>683</v>
      </c>
      <c r="C16" s="138">
        <v>42</v>
      </c>
      <c r="D16" s="138">
        <v>113</v>
      </c>
      <c r="E16" s="138">
        <v>122</v>
      </c>
      <c r="F16" s="138">
        <v>109</v>
      </c>
      <c r="G16" s="138">
        <v>76</v>
      </c>
      <c r="H16" s="138">
        <v>83</v>
      </c>
      <c r="I16" s="138">
        <v>115</v>
      </c>
      <c r="J16" s="138">
        <v>203</v>
      </c>
      <c r="K16" s="138">
        <v>140</v>
      </c>
      <c r="L16" s="138">
        <v>193</v>
      </c>
      <c r="M16" s="138">
        <v>361</v>
      </c>
      <c r="N16" s="138">
        <v>286</v>
      </c>
      <c r="O16" s="138">
        <v>314.80200000000002</v>
      </c>
      <c r="P16" s="138">
        <v>387.91066871999999</v>
      </c>
      <c r="Q16" s="138">
        <v>399.44632396536883</v>
      </c>
      <c r="R16" s="138">
        <v>565.57914804237032</v>
      </c>
      <c r="S16" s="138">
        <v>430.56379161339953</v>
      </c>
      <c r="T16" s="138">
        <v>484.64729756200057</v>
      </c>
      <c r="U16" s="138">
        <v>676.16059881333763</v>
      </c>
      <c r="V16" s="138">
        <v>582.07894694199297</v>
      </c>
      <c r="W16" s="138">
        <v>363.48707493239931</v>
      </c>
      <c r="X16" s="138">
        <v>424.84769478374409</v>
      </c>
    </row>
    <row r="17" spans="2:24" ht="11.15" customHeight="1">
      <c r="B17" s="187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</row>
    <row r="18" spans="2:24" ht="11.15" customHeight="1">
      <c r="B18" s="582" t="s">
        <v>69</v>
      </c>
      <c r="C18" s="583"/>
      <c r="D18" s="583"/>
      <c r="E18" s="583"/>
      <c r="F18" s="583"/>
      <c r="G18" s="583"/>
      <c r="H18" s="583"/>
      <c r="I18" s="583"/>
      <c r="J18" s="583"/>
      <c r="K18" s="583"/>
      <c r="L18" s="583"/>
      <c r="M18" s="583"/>
      <c r="N18" s="583"/>
      <c r="O18" s="583"/>
      <c r="P18" s="583"/>
      <c r="Q18" s="583"/>
      <c r="R18" s="583"/>
      <c r="S18" s="583"/>
      <c r="T18" s="583"/>
      <c r="U18" s="583"/>
      <c r="V18" s="583"/>
      <c r="W18" s="583"/>
      <c r="X18" s="583"/>
    </row>
    <row r="19" spans="2:24" ht="11.15" customHeight="1">
      <c r="B19" s="45" t="s">
        <v>680</v>
      </c>
      <c r="C19" s="138">
        <v>66</v>
      </c>
      <c r="D19" s="138">
        <v>69</v>
      </c>
      <c r="E19" s="138">
        <v>81</v>
      </c>
      <c r="F19" s="138">
        <v>69</v>
      </c>
      <c r="G19" s="138">
        <v>62</v>
      </c>
      <c r="H19" s="138">
        <v>58</v>
      </c>
      <c r="I19" s="138">
        <v>58</v>
      </c>
      <c r="J19" s="138">
        <v>64</v>
      </c>
      <c r="K19" s="138">
        <v>70</v>
      </c>
      <c r="L19" s="138">
        <v>71</v>
      </c>
      <c r="M19" s="138">
        <v>72</v>
      </c>
      <c r="N19" s="138">
        <v>85.83938516000002</v>
      </c>
      <c r="O19" s="138">
        <v>82.871397289999976</v>
      </c>
      <c r="P19" s="138">
        <v>86.884994589999991</v>
      </c>
      <c r="Q19" s="138">
        <v>81.759679459999987</v>
      </c>
      <c r="R19" s="138">
        <v>85.03792963506524</v>
      </c>
      <c r="S19" s="138">
        <v>85.372841379999983</v>
      </c>
      <c r="T19" s="138">
        <v>93.774107389999955</v>
      </c>
      <c r="U19" s="138">
        <v>86.66526236</v>
      </c>
      <c r="V19" s="138">
        <v>98.259295150937348</v>
      </c>
      <c r="W19" s="138">
        <v>90.815713360000032</v>
      </c>
      <c r="X19" s="138">
        <v>92.062694280000017</v>
      </c>
    </row>
    <row r="20" spans="2:24" ht="11.15" customHeight="1">
      <c r="B20" s="45" t="s">
        <v>681</v>
      </c>
      <c r="C20" s="138">
        <v>34</v>
      </c>
      <c r="D20" s="138">
        <v>30</v>
      </c>
      <c r="E20" s="138">
        <v>74</v>
      </c>
      <c r="F20" s="138">
        <v>68</v>
      </c>
      <c r="G20" s="138">
        <v>54</v>
      </c>
      <c r="H20" s="138">
        <v>41</v>
      </c>
      <c r="I20" s="138">
        <v>80</v>
      </c>
      <c r="J20" s="138">
        <v>185</v>
      </c>
      <c r="K20" s="138">
        <v>131</v>
      </c>
      <c r="L20" s="138">
        <v>156</v>
      </c>
      <c r="M20" s="138">
        <v>160</v>
      </c>
      <c r="N20" s="138">
        <v>273.08236808556228</v>
      </c>
      <c r="O20" s="138">
        <v>131.53500000000003</v>
      </c>
      <c r="P20" s="138">
        <v>164.10570949000001</v>
      </c>
      <c r="Q20" s="142">
        <v>153</v>
      </c>
      <c r="R20" s="138">
        <v>172.20845783493473</v>
      </c>
      <c r="S20" s="138">
        <v>158.55304339</v>
      </c>
      <c r="T20" s="138">
        <v>195.57480963</v>
      </c>
      <c r="U20" s="138">
        <v>185.46361720000016</v>
      </c>
      <c r="V20" s="138">
        <v>229.22258414541895</v>
      </c>
      <c r="W20" s="138">
        <v>216.37149739000023</v>
      </c>
      <c r="X20" s="138">
        <v>221.41696704000012</v>
      </c>
    </row>
    <row r="21" spans="2:24" ht="11.15" customHeight="1">
      <c r="B21" s="45" t="s">
        <v>682</v>
      </c>
      <c r="C21" s="138">
        <v>-35</v>
      </c>
      <c r="D21" s="138">
        <v>-20</v>
      </c>
      <c r="E21" s="138">
        <v>11</v>
      </c>
      <c r="F21" s="138">
        <v>16</v>
      </c>
      <c r="G21" s="138">
        <v>-23</v>
      </c>
      <c r="H21" s="138">
        <v>-27</v>
      </c>
      <c r="I21" s="138">
        <v>-17</v>
      </c>
      <c r="J21" s="138">
        <v>-15</v>
      </c>
      <c r="K21" s="138">
        <v>-17</v>
      </c>
      <c r="L21" s="138">
        <v>-16</v>
      </c>
      <c r="M21" s="138">
        <v>118</v>
      </c>
      <c r="N21" s="138">
        <v>-48.235317680000009</v>
      </c>
      <c r="O21" s="138">
        <v>-43.752990459999999</v>
      </c>
      <c r="P21" s="138">
        <v>-55.654582539999957</v>
      </c>
      <c r="Q21" s="138">
        <v>-32.234174360000011</v>
      </c>
      <c r="R21" s="138">
        <v>-39.619110610000014</v>
      </c>
      <c r="S21" s="138">
        <v>-94.133378600000015</v>
      </c>
      <c r="T21" s="138">
        <v>-87.607925379999998</v>
      </c>
      <c r="U21" s="138">
        <v>-71.793520510000008</v>
      </c>
      <c r="V21" s="138">
        <v>-101.88735151000002</v>
      </c>
      <c r="W21" s="138">
        <v>-90.055518600000013</v>
      </c>
      <c r="X21" s="138">
        <v>-75.721279640000006</v>
      </c>
    </row>
    <row r="22" spans="2:24" ht="11.15" customHeight="1">
      <c r="B22" s="45" t="s">
        <v>683</v>
      </c>
      <c r="C22" s="138">
        <v>-19</v>
      </c>
      <c r="D22" s="138">
        <v>-20</v>
      </c>
      <c r="E22" s="138">
        <v>50</v>
      </c>
      <c r="F22" s="138">
        <v>13</v>
      </c>
      <c r="G22" s="138">
        <v>7</v>
      </c>
      <c r="H22" s="138">
        <v>-11</v>
      </c>
      <c r="I22" s="138">
        <v>40</v>
      </c>
      <c r="J22" s="138">
        <v>213</v>
      </c>
      <c r="K22" s="138">
        <v>65</v>
      </c>
      <c r="L22" s="138">
        <v>108</v>
      </c>
      <c r="M22" s="138">
        <v>162</v>
      </c>
      <c r="N22" s="138">
        <v>135</v>
      </c>
      <c r="O22" s="138">
        <v>62.727517166200009</v>
      </c>
      <c r="P22" s="138">
        <v>36.535580143999987</v>
      </c>
      <c r="Q22" s="138">
        <v>71.775000000000006</v>
      </c>
      <c r="R22" s="138">
        <v>86.255684823220491</v>
      </c>
      <c r="S22" s="138">
        <v>23.792413637400049</v>
      </c>
      <c r="T22" s="138">
        <v>43.10017400000001</v>
      </c>
      <c r="U22" s="138">
        <v>58.941731500000152</v>
      </c>
      <c r="V22" s="138">
        <v>87.779446795976554</v>
      </c>
      <c r="W22" s="138">
        <v>64.659642817400183</v>
      </c>
      <c r="X22" s="138">
        <v>66.488753095865476</v>
      </c>
    </row>
    <row r="23" spans="2:24" ht="11.15" customHeight="1">
      <c r="B23" s="187"/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</row>
    <row r="24" spans="2:24" ht="11.15" customHeight="1">
      <c r="B24" s="582" t="s">
        <v>71</v>
      </c>
      <c r="C24" s="583"/>
      <c r="D24" s="583"/>
      <c r="E24" s="583"/>
      <c r="F24" s="583"/>
      <c r="G24" s="583"/>
      <c r="H24" s="583"/>
      <c r="I24" s="583"/>
      <c r="J24" s="583"/>
      <c r="K24" s="583"/>
      <c r="L24" s="583"/>
      <c r="M24" s="583"/>
      <c r="N24" s="583"/>
      <c r="O24" s="583"/>
      <c r="P24" s="583"/>
      <c r="Q24" s="583"/>
      <c r="R24" s="583"/>
      <c r="S24" s="583"/>
      <c r="T24" s="583"/>
      <c r="U24" s="583"/>
      <c r="V24" s="583"/>
      <c r="W24" s="583"/>
      <c r="X24" s="583"/>
    </row>
    <row r="25" spans="2:24" ht="11.15" customHeight="1">
      <c r="B25" s="45" t="s">
        <v>680</v>
      </c>
      <c r="C25" s="138">
        <v>0</v>
      </c>
      <c r="D25" s="138">
        <v>76</v>
      </c>
      <c r="E25" s="138">
        <v>62</v>
      </c>
      <c r="F25" s="138">
        <v>50</v>
      </c>
      <c r="G25" s="138">
        <v>53</v>
      </c>
      <c r="H25" s="138">
        <v>48</v>
      </c>
      <c r="I25" s="138">
        <v>54</v>
      </c>
      <c r="J25" s="138">
        <v>61</v>
      </c>
      <c r="K25" s="138">
        <v>57</v>
      </c>
      <c r="L25" s="138">
        <v>57</v>
      </c>
      <c r="M25" s="138">
        <v>57</v>
      </c>
      <c r="N25" s="138">
        <v>74.676378380000003</v>
      </c>
      <c r="O25" s="138">
        <v>64.336769320000002</v>
      </c>
      <c r="P25" s="138">
        <v>62.478592800000015</v>
      </c>
      <c r="Q25" s="138">
        <v>64.164567949999977</v>
      </c>
      <c r="R25" s="138">
        <v>77.727170690000037</v>
      </c>
      <c r="S25" s="138">
        <v>68.822960409999979</v>
      </c>
      <c r="T25" s="138">
        <v>65.181820320000014</v>
      </c>
      <c r="U25" s="138">
        <v>69.257868919999979</v>
      </c>
      <c r="V25" s="138">
        <v>75.734457309999996</v>
      </c>
      <c r="W25" s="138">
        <v>71.00978376999997</v>
      </c>
      <c r="X25" s="138">
        <v>66.778769220000015</v>
      </c>
    </row>
    <row r="26" spans="2:24" ht="11.15" customHeight="1">
      <c r="B26" s="45" t="s">
        <v>681</v>
      </c>
      <c r="C26" s="138">
        <v>0</v>
      </c>
      <c r="D26" s="138">
        <v>59</v>
      </c>
      <c r="E26" s="138">
        <v>52</v>
      </c>
      <c r="F26" s="138">
        <v>88</v>
      </c>
      <c r="G26" s="138">
        <v>55</v>
      </c>
      <c r="H26" s="138">
        <v>56</v>
      </c>
      <c r="I26" s="138">
        <v>84</v>
      </c>
      <c r="J26" s="138">
        <v>144</v>
      </c>
      <c r="K26" s="138">
        <v>108</v>
      </c>
      <c r="L26" s="138">
        <v>97</v>
      </c>
      <c r="M26" s="138">
        <v>122</v>
      </c>
      <c r="N26" s="138">
        <v>149.39206409999997</v>
      </c>
      <c r="O26" s="138">
        <v>109.55399999999999</v>
      </c>
      <c r="P26" s="138">
        <v>139.27718044</v>
      </c>
      <c r="Q26" s="138">
        <v>117.62299999999999</v>
      </c>
      <c r="R26" s="138">
        <v>181.20045200000001</v>
      </c>
      <c r="S26" s="138">
        <v>162.15512439999998</v>
      </c>
      <c r="T26" s="138">
        <v>169.82942357000002</v>
      </c>
      <c r="U26" s="138">
        <v>166.27925786000009</v>
      </c>
      <c r="V26" s="138">
        <v>185.53931441268108</v>
      </c>
      <c r="W26" s="138">
        <v>205.07512623999986</v>
      </c>
      <c r="X26" s="138">
        <v>203.4283368799999</v>
      </c>
    </row>
    <row r="27" spans="2:24" ht="11.15" customHeight="1">
      <c r="B27" s="45" t="s">
        <v>682</v>
      </c>
      <c r="C27" s="138">
        <v>0</v>
      </c>
      <c r="D27" s="138">
        <v>-4</v>
      </c>
      <c r="E27" s="138">
        <v>-12</v>
      </c>
      <c r="F27" s="138">
        <v>-28</v>
      </c>
      <c r="G27" s="138">
        <v>-18</v>
      </c>
      <c r="H27" s="138">
        <v>-9</v>
      </c>
      <c r="I27" s="138">
        <v>-2</v>
      </c>
      <c r="J27" s="138">
        <v>21</v>
      </c>
      <c r="K27" s="138">
        <v>-14</v>
      </c>
      <c r="L27" s="138">
        <v>16</v>
      </c>
      <c r="M27" s="138">
        <v>18</v>
      </c>
      <c r="N27" s="138">
        <v>13.762366140000001</v>
      </c>
      <c r="O27" s="138">
        <v>2.1482528299999979</v>
      </c>
      <c r="P27" s="138">
        <v>5.6714242000000077</v>
      </c>
      <c r="Q27" s="138">
        <v>5.2616585499999884</v>
      </c>
      <c r="R27" s="138">
        <v>-18.924251760000001</v>
      </c>
      <c r="S27" s="138">
        <v>-45.066733170000013</v>
      </c>
      <c r="T27" s="138">
        <v>-37.203229549999996</v>
      </c>
      <c r="U27" s="138">
        <v>-30.756495170000001</v>
      </c>
      <c r="V27" s="138">
        <v>-46.033414309999984</v>
      </c>
      <c r="W27" s="138">
        <v>-48.693110200000007</v>
      </c>
      <c r="X27" s="138">
        <v>-35.255552520000016</v>
      </c>
    </row>
    <row r="28" spans="2:24" ht="11.15" customHeight="1">
      <c r="B28" s="45" t="s">
        <v>683</v>
      </c>
      <c r="C28" s="138">
        <v>0</v>
      </c>
      <c r="D28" s="138">
        <v>7</v>
      </c>
      <c r="E28" s="138">
        <v>20</v>
      </c>
      <c r="F28" s="138">
        <v>233</v>
      </c>
      <c r="G28" s="138">
        <v>14</v>
      </c>
      <c r="H28" s="138">
        <v>32</v>
      </c>
      <c r="I28" s="138">
        <v>75</v>
      </c>
      <c r="J28" s="138">
        <v>148</v>
      </c>
      <c r="K28" s="138">
        <v>67</v>
      </c>
      <c r="L28" s="138">
        <v>86</v>
      </c>
      <c r="M28" s="138">
        <v>118</v>
      </c>
      <c r="N28" s="138">
        <v>115</v>
      </c>
      <c r="O28" s="138">
        <v>73.570999999999998</v>
      </c>
      <c r="P28" s="138">
        <v>97.248999999999995</v>
      </c>
      <c r="Q28" s="138">
        <v>75.787999999999997</v>
      </c>
      <c r="R28" s="138">
        <v>139.443161508</v>
      </c>
      <c r="S28" s="138">
        <v>81.54834419912018</v>
      </c>
      <c r="T28" s="138">
        <v>94.385892489919996</v>
      </c>
      <c r="U28" s="138">
        <v>84.830465000000075</v>
      </c>
      <c r="V28" s="138">
        <v>105.47737666236954</v>
      </c>
      <c r="W28" s="138">
        <v>103.30567553839985</v>
      </c>
      <c r="X28" s="138">
        <v>110.51373336154519</v>
      </c>
    </row>
    <row r="29" spans="2:24" ht="11.15" customHeight="1">
      <c r="B29" s="51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</row>
    <row r="30" spans="2:24" ht="11.15" customHeight="1">
      <c r="B30" s="582" t="s">
        <v>73</v>
      </c>
      <c r="C30" s="583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  <c r="S30" s="583"/>
      <c r="T30" s="583"/>
      <c r="U30" s="583"/>
      <c r="V30" s="583"/>
      <c r="W30" s="583"/>
      <c r="X30" s="583"/>
    </row>
    <row r="31" spans="2:24" ht="11.15" customHeight="1">
      <c r="B31" s="45" t="s">
        <v>680</v>
      </c>
      <c r="C31" s="138">
        <v>0</v>
      </c>
      <c r="D31" s="138">
        <v>0</v>
      </c>
      <c r="E31" s="138">
        <v>0</v>
      </c>
      <c r="F31" s="138">
        <v>0</v>
      </c>
      <c r="G31" s="138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158</v>
      </c>
      <c r="N31" s="138">
        <v>154.14938911373054</v>
      </c>
      <c r="O31" s="138">
        <v>123.75847544000001</v>
      </c>
      <c r="P31" s="138">
        <v>158.06888241000001</v>
      </c>
      <c r="Q31" s="138">
        <v>136.53592540000005</v>
      </c>
      <c r="R31" s="138">
        <v>146.52961728000002</v>
      </c>
      <c r="S31" s="138">
        <v>135.14212488999996</v>
      </c>
      <c r="T31" s="138">
        <v>146.41705758999998</v>
      </c>
      <c r="U31" s="138">
        <v>145.26245301000003</v>
      </c>
      <c r="V31" s="138">
        <v>155.59791840406729</v>
      </c>
      <c r="W31" s="138">
        <v>136.30973587999995</v>
      </c>
      <c r="X31" s="138">
        <v>137.89758209000001</v>
      </c>
    </row>
    <row r="32" spans="2:24" ht="11.15" customHeight="1">
      <c r="B32" s="45" t="s">
        <v>681</v>
      </c>
      <c r="C32" s="138">
        <v>0</v>
      </c>
      <c r="D32" s="138">
        <v>0</v>
      </c>
      <c r="E32" s="138">
        <v>0</v>
      </c>
      <c r="F32" s="138">
        <v>0</v>
      </c>
      <c r="G32" s="138">
        <v>0</v>
      </c>
      <c r="H32" s="138">
        <v>0</v>
      </c>
      <c r="I32" s="138">
        <v>0</v>
      </c>
      <c r="J32" s="138">
        <v>0</v>
      </c>
      <c r="K32" s="138">
        <v>0</v>
      </c>
      <c r="L32" s="138">
        <v>0</v>
      </c>
      <c r="M32" s="138">
        <v>-104</v>
      </c>
      <c r="N32" s="138">
        <v>57.106857461347332</v>
      </c>
      <c r="O32" s="138">
        <v>170.89200000000002</v>
      </c>
      <c r="P32" s="138">
        <v>-69.580731049999997</v>
      </c>
      <c r="Q32" s="142">
        <v>77</v>
      </c>
      <c r="R32" s="138">
        <v>114.65863787456186</v>
      </c>
      <c r="S32" s="138">
        <v>221.94840378410734</v>
      </c>
      <c r="T32" s="138">
        <v>59.150440889999985</v>
      </c>
      <c r="U32" s="138">
        <v>110.07382515000008</v>
      </c>
      <c r="V32" s="138">
        <v>131.91028250813332</v>
      </c>
      <c r="W32" s="138">
        <v>212.39888191000014</v>
      </c>
      <c r="X32" s="138">
        <v>59.150955129999971</v>
      </c>
    </row>
    <row r="33" spans="2:24" ht="11.15" customHeight="1">
      <c r="B33" s="45" t="s">
        <v>682</v>
      </c>
      <c r="C33" s="138">
        <v>0</v>
      </c>
      <c r="D33" s="138">
        <v>0</v>
      </c>
      <c r="E33" s="138">
        <v>0</v>
      </c>
      <c r="F33" s="138">
        <v>0</v>
      </c>
      <c r="G33" s="138">
        <v>0</v>
      </c>
      <c r="H33" s="138">
        <v>0</v>
      </c>
      <c r="I33" s="138">
        <v>0</v>
      </c>
      <c r="J33" s="138">
        <v>0</v>
      </c>
      <c r="K33" s="138">
        <v>0</v>
      </c>
      <c r="L33" s="138">
        <v>0</v>
      </c>
      <c r="M33" s="138">
        <v>-174</v>
      </c>
      <c r="N33" s="138">
        <v>-41.019105089999925</v>
      </c>
      <c r="O33" s="138">
        <v>-93.067466000000024</v>
      </c>
      <c r="P33" s="138">
        <v>-59.957709250000022</v>
      </c>
      <c r="Q33" s="138">
        <v>-68.132193590000043</v>
      </c>
      <c r="R33" s="138">
        <v>-146.43924496469594</v>
      </c>
      <c r="S33" s="138">
        <v>-182.06474529000002</v>
      </c>
      <c r="T33" s="138">
        <v>-177.79738279999998</v>
      </c>
      <c r="U33" s="138">
        <v>-175.17937571000004</v>
      </c>
      <c r="V33" s="138">
        <v>-197.00550413000002</v>
      </c>
      <c r="W33" s="138">
        <v>-243.58105866</v>
      </c>
      <c r="X33" s="138">
        <v>-192.63368112999996</v>
      </c>
    </row>
    <row r="34" spans="2:24" ht="11.15" customHeight="1">
      <c r="B34" s="45" t="s">
        <v>683</v>
      </c>
      <c r="C34" s="138">
        <v>0</v>
      </c>
      <c r="D34" s="138">
        <v>0</v>
      </c>
      <c r="E34" s="138">
        <v>0</v>
      </c>
      <c r="F34" s="138">
        <v>0</v>
      </c>
      <c r="G34" s="138">
        <v>0</v>
      </c>
      <c r="H34" s="138">
        <v>0</v>
      </c>
      <c r="I34" s="138">
        <v>0</v>
      </c>
      <c r="J34" s="138">
        <v>0</v>
      </c>
      <c r="K34" s="138">
        <v>0</v>
      </c>
      <c r="L34" s="138">
        <v>0</v>
      </c>
      <c r="M34" s="138">
        <v>-304</v>
      </c>
      <c r="N34" s="138">
        <v>-24</v>
      </c>
      <c r="O34" s="138">
        <v>37.02044094</v>
      </c>
      <c r="P34" s="138">
        <v>-101.035</v>
      </c>
      <c r="Q34" s="138">
        <v>-29.343401862795545</v>
      </c>
      <c r="R34" s="138">
        <v>-81.167227600134083</v>
      </c>
      <c r="S34" s="138">
        <v>14.472759139195471</v>
      </c>
      <c r="T34" s="138">
        <v>-159.44800000000001</v>
      </c>
      <c r="U34" s="138">
        <v>-98.287772769999904</v>
      </c>
      <c r="V34" s="138">
        <v>-151.81711096863205</v>
      </c>
      <c r="W34" s="138">
        <v>-12.696729510399887</v>
      </c>
      <c r="X34" s="138">
        <v>-218.60814179420007</v>
      </c>
    </row>
    <row r="35" spans="2:24" ht="11.15" customHeight="1">
      <c r="B35" s="51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</row>
    <row r="36" spans="2:24" ht="11.15" customHeight="1">
      <c r="B36" s="582" t="s">
        <v>75</v>
      </c>
      <c r="C36" s="583"/>
      <c r="D36" s="583"/>
      <c r="E36" s="583"/>
      <c r="F36" s="583"/>
      <c r="G36" s="583"/>
      <c r="H36" s="583"/>
      <c r="I36" s="583"/>
      <c r="J36" s="583"/>
      <c r="K36" s="583"/>
      <c r="L36" s="583"/>
      <c r="M36" s="583"/>
      <c r="N36" s="583"/>
      <c r="O36" s="583"/>
      <c r="P36" s="583"/>
      <c r="Q36" s="583"/>
      <c r="R36" s="583"/>
      <c r="S36" s="583"/>
      <c r="T36" s="583"/>
      <c r="U36" s="583"/>
      <c r="V36" s="583"/>
      <c r="W36" s="583"/>
      <c r="X36" s="583"/>
    </row>
    <row r="37" spans="2:24" ht="11.15" customHeight="1">
      <c r="B37" s="45" t="s">
        <v>680</v>
      </c>
      <c r="C37" s="138">
        <v>0</v>
      </c>
      <c r="D37" s="138">
        <v>0</v>
      </c>
      <c r="E37" s="138">
        <v>0</v>
      </c>
      <c r="F37" s="138">
        <v>0</v>
      </c>
      <c r="G37" s="138">
        <v>0</v>
      </c>
      <c r="H37" s="138">
        <v>0</v>
      </c>
      <c r="I37" s="138">
        <v>0</v>
      </c>
      <c r="J37" s="138">
        <v>0</v>
      </c>
      <c r="K37" s="138">
        <v>0</v>
      </c>
      <c r="L37" s="138">
        <v>0</v>
      </c>
      <c r="M37" s="138">
        <v>0</v>
      </c>
      <c r="N37" s="138">
        <v>32.660326940000012</v>
      </c>
      <c r="O37" s="138">
        <v>28.171214580000015</v>
      </c>
      <c r="P37" s="138">
        <v>25.196733999999992</v>
      </c>
      <c r="Q37" s="138">
        <v>38.874070239999973</v>
      </c>
      <c r="R37" s="138">
        <v>31.661954000000016</v>
      </c>
      <c r="S37" s="138">
        <v>36.953767389999996</v>
      </c>
      <c r="T37" s="138">
        <v>31.615554899999999</v>
      </c>
      <c r="U37" s="138">
        <v>32.433372029999994</v>
      </c>
      <c r="V37" s="138">
        <v>35.875060439999984</v>
      </c>
      <c r="W37" s="138">
        <v>35.543944789999998</v>
      </c>
      <c r="X37" s="138">
        <v>32.97591997</v>
      </c>
    </row>
    <row r="38" spans="2:24" ht="11.15" customHeight="1">
      <c r="B38" s="45" t="s">
        <v>681</v>
      </c>
      <c r="C38" s="138">
        <v>0</v>
      </c>
      <c r="D38" s="138">
        <v>0</v>
      </c>
      <c r="E38" s="138">
        <v>0</v>
      </c>
      <c r="F38" s="138">
        <v>0</v>
      </c>
      <c r="G38" s="138">
        <v>0</v>
      </c>
      <c r="H38" s="138">
        <v>0</v>
      </c>
      <c r="I38" s="138">
        <v>0</v>
      </c>
      <c r="J38" s="138">
        <v>0</v>
      </c>
      <c r="K38" s="138">
        <v>0</v>
      </c>
      <c r="L38" s="138">
        <v>0</v>
      </c>
      <c r="M38" s="138">
        <v>0</v>
      </c>
      <c r="N38" s="138">
        <v>-49.082000000000001</v>
      </c>
      <c r="O38" s="138">
        <v>23.293941999999994</v>
      </c>
      <c r="P38" s="138">
        <v>51.82937849999999</v>
      </c>
      <c r="Q38" s="142">
        <v>35</v>
      </c>
      <c r="R38" s="138">
        <v>66.737385671938583</v>
      </c>
      <c r="S38" s="138">
        <v>39.036002250000003</v>
      </c>
      <c r="T38" s="138">
        <v>69.936743230000005</v>
      </c>
      <c r="U38" s="138">
        <v>78.294027050000011</v>
      </c>
      <c r="V38" s="138">
        <v>59.383340268626412</v>
      </c>
      <c r="W38" s="138">
        <v>63.663792547913793</v>
      </c>
      <c r="X38" s="138">
        <v>61.894668061834999</v>
      </c>
    </row>
    <row r="39" spans="2:24" ht="11.15" customHeight="1">
      <c r="B39" s="45" t="s">
        <v>682</v>
      </c>
      <c r="C39" s="138">
        <v>0</v>
      </c>
      <c r="D39" s="138">
        <v>0</v>
      </c>
      <c r="E39" s="138">
        <v>0</v>
      </c>
      <c r="F39" s="138">
        <v>0</v>
      </c>
      <c r="G39" s="138">
        <v>0</v>
      </c>
      <c r="H39" s="138">
        <v>0</v>
      </c>
      <c r="I39" s="138">
        <v>0</v>
      </c>
      <c r="J39" s="138">
        <v>0</v>
      </c>
      <c r="K39" s="138">
        <v>0</v>
      </c>
      <c r="L39" s="138">
        <v>0</v>
      </c>
      <c r="M39" s="138">
        <v>0</v>
      </c>
      <c r="N39" s="138">
        <v>0.8378345299999943</v>
      </c>
      <c r="O39" s="138">
        <v>-25.657153120000061</v>
      </c>
      <c r="P39" s="138">
        <v>6.6185012899999744</v>
      </c>
      <c r="Q39" s="138">
        <v>-39.74286977999995</v>
      </c>
      <c r="R39" s="138">
        <v>-45.229018329999995</v>
      </c>
      <c r="S39" s="138">
        <v>-44.38509882000001</v>
      </c>
      <c r="T39" s="138">
        <v>-45.019457699999982</v>
      </c>
      <c r="U39" s="138">
        <v>-65.834861389999986</v>
      </c>
      <c r="V39" s="138">
        <v>-63.851213280000024</v>
      </c>
      <c r="W39" s="138">
        <v>-66.8118695</v>
      </c>
      <c r="X39" s="138">
        <v>-66.42684629999998</v>
      </c>
    </row>
    <row r="40" spans="2:24" ht="11.15" customHeight="1">
      <c r="B40" s="45" t="s">
        <v>683</v>
      </c>
      <c r="C40" s="138">
        <v>0</v>
      </c>
      <c r="D40" s="138">
        <v>0</v>
      </c>
      <c r="E40" s="138">
        <v>0</v>
      </c>
      <c r="F40" s="138">
        <v>0</v>
      </c>
      <c r="G40" s="138">
        <v>0</v>
      </c>
      <c r="H40" s="138">
        <v>0</v>
      </c>
      <c r="I40" s="138">
        <v>0</v>
      </c>
      <c r="J40" s="138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-4.8897790000000327</v>
      </c>
      <c r="P40" s="138">
        <v>43.645498359999998</v>
      </c>
      <c r="Q40" s="138">
        <v>-8.8476149345499948</v>
      </c>
      <c r="R40" s="138">
        <v>2.6008757530794657</v>
      </c>
      <c r="S40" s="138">
        <v>-11.9869456165</v>
      </c>
      <c r="T40" s="138">
        <v>-10.757</v>
      </c>
      <c r="U40" s="138">
        <v>7.334491000000015</v>
      </c>
      <c r="V40" s="138">
        <v>-30.231957776173584</v>
      </c>
      <c r="W40" s="138">
        <v>-14.287238438376892</v>
      </c>
      <c r="X40" s="138">
        <v>-9.2346283465649801</v>
      </c>
    </row>
    <row r="41" spans="2:24" ht="11.15" customHeight="1">
      <c r="B41" s="187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</row>
    <row r="42" spans="2:24" ht="11.15" customHeight="1">
      <c r="B42" s="582" t="s">
        <v>77</v>
      </c>
      <c r="C42" s="583"/>
      <c r="D42" s="583"/>
      <c r="E42" s="583"/>
      <c r="F42" s="583"/>
      <c r="G42" s="583"/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583"/>
      <c r="S42" s="583"/>
      <c r="T42" s="583"/>
      <c r="U42" s="583"/>
      <c r="V42" s="583"/>
      <c r="W42" s="583"/>
      <c r="X42" s="583"/>
    </row>
    <row r="43" spans="2:24" ht="11.15" customHeight="1">
      <c r="B43" s="45" t="s">
        <v>680</v>
      </c>
      <c r="C43" s="138">
        <v>0</v>
      </c>
      <c r="D43" s="138">
        <v>0</v>
      </c>
      <c r="E43" s="138">
        <v>0</v>
      </c>
      <c r="F43" s="138">
        <v>0</v>
      </c>
      <c r="G43" s="138">
        <v>0</v>
      </c>
      <c r="H43" s="138">
        <v>0</v>
      </c>
      <c r="I43" s="138">
        <v>0</v>
      </c>
      <c r="J43" s="138">
        <v>0</v>
      </c>
      <c r="K43" s="138">
        <v>0</v>
      </c>
      <c r="L43" s="138">
        <v>0</v>
      </c>
      <c r="M43" s="138">
        <v>0</v>
      </c>
      <c r="N43" s="138">
        <v>0</v>
      </c>
      <c r="O43" s="138">
        <v>0</v>
      </c>
      <c r="P43" s="138">
        <v>0</v>
      </c>
      <c r="Q43" s="138">
        <v>0</v>
      </c>
      <c r="R43" s="138">
        <v>0</v>
      </c>
      <c r="S43" s="138">
        <v>340.6752975855876</v>
      </c>
      <c r="T43" s="138">
        <v>288.09135498000029</v>
      </c>
      <c r="U43" s="138">
        <v>286.74285362000012</v>
      </c>
      <c r="V43" s="138">
        <v>255.37047407999992</v>
      </c>
      <c r="W43" s="138">
        <v>344.00064206999997</v>
      </c>
      <c r="X43" s="138">
        <v>284.06617211999998</v>
      </c>
    </row>
    <row r="44" spans="2:24" ht="11.15" customHeight="1">
      <c r="B44" s="45" t="s">
        <v>681</v>
      </c>
      <c r="C44" s="138">
        <v>0</v>
      </c>
      <c r="D44" s="138">
        <v>0</v>
      </c>
      <c r="E44" s="138">
        <v>0</v>
      </c>
      <c r="F44" s="138">
        <v>0</v>
      </c>
      <c r="G44" s="138">
        <v>0</v>
      </c>
      <c r="H44" s="138">
        <v>0</v>
      </c>
      <c r="I44" s="138">
        <v>0</v>
      </c>
      <c r="J44" s="138">
        <v>0</v>
      </c>
      <c r="K44" s="138">
        <v>0</v>
      </c>
      <c r="L44" s="138">
        <v>0</v>
      </c>
      <c r="M44" s="138">
        <v>0</v>
      </c>
      <c r="N44" s="138">
        <v>0</v>
      </c>
      <c r="O44" s="138">
        <v>0</v>
      </c>
      <c r="P44" s="138">
        <v>0</v>
      </c>
      <c r="Q44" s="138">
        <v>0</v>
      </c>
      <c r="R44" s="138">
        <v>0</v>
      </c>
      <c r="S44" s="138">
        <v>290.67784483441233</v>
      </c>
      <c r="T44" s="138">
        <v>212.90303214767928</v>
      </c>
      <c r="U44" s="138">
        <v>316.4933306528751</v>
      </c>
      <c r="V44" s="138">
        <v>569.1136714714288</v>
      </c>
      <c r="W44" s="138">
        <v>475.49994876029513</v>
      </c>
      <c r="X44" s="138">
        <v>497.93727424999963</v>
      </c>
    </row>
    <row r="45" spans="2:24" ht="11.15" customHeight="1">
      <c r="B45" s="45" t="s">
        <v>682</v>
      </c>
      <c r="C45" s="138">
        <v>0</v>
      </c>
      <c r="D45" s="138">
        <v>0</v>
      </c>
      <c r="E45" s="138">
        <v>0</v>
      </c>
      <c r="F45" s="138">
        <v>0</v>
      </c>
      <c r="G45" s="138">
        <v>0</v>
      </c>
      <c r="H45" s="138">
        <v>0</v>
      </c>
      <c r="I45" s="138">
        <v>0</v>
      </c>
      <c r="J45" s="138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0</v>
      </c>
      <c r="P45" s="138">
        <v>0</v>
      </c>
      <c r="Q45" s="138">
        <v>0</v>
      </c>
      <c r="R45" s="138">
        <v>0</v>
      </c>
      <c r="S45" s="138">
        <v>-368.33623520000003</v>
      </c>
      <c r="T45" s="138">
        <v>-223.34931656999998</v>
      </c>
      <c r="U45" s="138">
        <v>-327.86506484000006</v>
      </c>
      <c r="V45" s="138">
        <v>-400.53320555999994</v>
      </c>
      <c r="W45" s="138">
        <v>-370.25292923999996</v>
      </c>
      <c r="X45" s="138">
        <v>-357.33797364000014</v>
      </c>
    </row>
    <row r="46" spans="2:24" ht="11.15" customHeight="1">
      <c r="B46" s="45" t="s">
        <v>683</v>
      </c>
      <c r="C46" s="138">
        <v>0</v>
      </c>
      <c r="D46" s="138">
        <v>0</v>
      </c>
      <c r="E46" s="138">
        <v>0</v>
      </c>
      <c r="F46" s="138">
        <v>0</v>
      </c>
      <c r="G46" s="138">
        <v>0</v>
      </c>
      <c r="H46" s="138">
        <v>0</v>
      </c>
      <c r="I46" s="138">
        <v>0</v>
      </c>
      <c r="J46" s="138">
        <v>0</v>
      </c>
      <c r="K46" s="138">
        <v>0</v>
      </c>
      <c r="L46" s="138">
        <v>0</v>
      </c>
      <c r="M46" s="138">
        <v>0</v>
      </c>
      <c r="N46" s="138">
        <v>0</v>
      </c>
      <c r="O46" s="138">
        <v>0</v>
      </c>
      <c r="P46" s="138">
        <v>0</v>
      </c>
      <c r="Q46" s="138">
        <v>0</v>
      </c>
      <c r="R46" s="138">
        <v>0</v>
      </c>
      <c r="S46" s="138">
        <v>-138.52584649198465</v>
      </c>
      <c r="T46" s="138">
        <v>-103.58675377408537</v>
      </c>
      <c r="U46" s="138">
        <v>-134.06714460712496</v>
      </c>
      <c r="V46" s="138">
        <v>182.88719418294295</v>
      </c>
      <c r="W46" s="138">
        <v>-40.704172272205113</v>
      </c>
      <c r="X46" s="138">
        <v>-84.24133249500035</v>
      </c>
    </row>
    <row r="47" spans="2:24" ht="11.15" customHeight="1">
      <c r="B47" s="187"/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</row>
    <row r="48" spans="2:24" ht="11.15" customHeight="1">
      <c r="B48" s="582" t="s">
        <v>684</v>
      </c>
      <c r="C48" s="583"/>
      <c r="D48" s="583"/>
      <c r="E48" s="583"/>
      <c r="F48" s="583"/>
      <c r="G48" s="583"/>
      <c r="H48" s="583"/>
      <c r="I48" s="583"/>
      <c r="J48" s="583"/>
      <c r="K48" s="583"/>
      <c r="L48" s="583"/>
      <c r="M48" s="583"/>
      <c r="N48" s="583"/>
      <c r="O48" s="583"/>
      <c r="P48" s="583"/>
      <c r="Q48" s="583"/>
      <c r="R48" s="583"/>
      <c r="S48" s="583"/>
      <c r="T48" s="583"/>
      <c r="U48" s="583"/>
      <c r="V48" s="583"/>
      <c r="W48" s="583"/>
      <c r="X48" s="583"/>
    </row>
    <row r="49" spans="2:24" ht="11.15" customHeight="1">
      <c r="B49" s="45" t="s">
        <v>680</v>
      </c>
      <c r="C49" s="138">
        <f t="shared" ref="C49:R52" si="0">SUM(C7,C13,C19,C25,C31,C37)</f>
        <v>303</v>
      </c>
      <c r="D49" s="138">
        <f t="shared" si="0"/>
        <v>378</v>
      </c>
      <c r="E49" s="138">
        <f t="shared" si="0"/>
        <v>398</v>
      </c>
      <c r="F49" s="138">
        <f t="shared" si="0"/>
        <v>379</v>
      </c>
      <c r="G49" s="138">
        <f t="shared" si="0"/>
        <v>350</v>
      </c>
      <c r="H49" s="138">
        <f t="shared" si="0"/>
        <v>343</v>
      </c>
      <c r="I49" s="138">
        <f t="shared" si="0"/>
        <v>357</v>
      </c>
      <c r="J49" s="138">
        <f t="shared" si="0"/>
        <v>387</v>
      </c>
      <c r="K49" s="138">
        <f t="shared" si="0"/>
        <v>394</v>
      </c>
      <c r="L49" s="138">
        <f t="shared" si="0"/>
        <v>402</v>
      </c>
      <c r="M49" s="138">
        <f t="shared" si="0"/>
        <v>561</v>
      </c>
      <c r="N49" s="138">
        <f t="shared" si="0"/>
        <v>679.40177814373055</v>
      </c>
      <c r="O49" s="138">
        <f t="shared" si="0"/>
        <v>589.7069647300001</v>
      </c>
      <c r="P49" s="138">
        <f t="shared" si="0"/>
        <v>664.83168417000002</v>
      </c>
      <c r="Q49" s="138">
        <f t="shared" si="0"/>
        <v>632.15412411999989</v>
      </c>
      <c r="R49" s="138">
        <f t="shared" si="0"/>
        <v>682.37408948506538</v>
      </c>
      <c r="S49" s="138">
        <f t="shared" ref="S49:X49" si="1">SUM(S7,S13,S19,S25,S31,S37,S43)</f>
        <v>994.88745721558746</v>
      </c>
      <c r="T49" s="138">
        <f t="shared" si="1"/>
        <v>964.99463840660042</v>
      </c>
      <c r="U49" s="138">
        <f t="shared" si="1"/>
        <v>954.14620040000011</v>
      </c>
      <c r="V49" s="138">
        <f t="shared" si="1"/>
        <v>984.57180276570455</v>
      </c>
      <c r="W49" s="138">
        <f t="shared" si="1"/>
        <v>1024.01135432</v>
      </c>
      <c r="X49" s="138">
        <f t="shared" si="1"/>
        <v>974.7845325899998</v>
      </c>
    </row>
    <row r="50" spans="2:24" ht="11.15" customHeight="1">
      <c r="B50" s="45" t="s">
        <v>681</v>
      </c>
      <c r="C50" s="138">
        <f t="shared" si="0"/>
        <v>433</v>
      </c>
      <c r="D50" s="138">
        <f t="shared" si="0"/>
        <v>604</v>
      </c>
      <c r="E50" s="138">
        <f t="shared" si="0"/>
        <v>651</v>
      </c>
      <c r="F50" s="138">
        <f t="shared" si="0"/>
        <v>763</v>
      </c>
      <c r="G50" s="138">
        <f t="shared" si="0"/>
        <v>648</v>
      </c>
      <c r="H50" s="138">
        <f t="shared" si="0"/>
        <v>420</v>
      </c>
      <c r="I50" s="138">
        <f t="shared" si="0"/>
        <v>815</v>
      </c>
      <c r="J50" s="138">
        <f t="shared" si="0"/>
        <v>1188</v>
      </c>
      <c r="K50" s="138">
        <f t="shared" si="0"/>
        <v>975</v>
      </c>
      <c r="L50" s="138">
        <f t="shared" si="0"/>
        <v>970</v>
      </c>
      <c r="M50" s="138">
        <f t="shared" si="0"/>
        <v>1197</v>
      </c>
      <c r="N50" s="138">
        <f t="shared" si="0"/>
        <v>1420.0437240393508</v>
      </c>
      <c r="O50" s="138">
        <f t="shared" si="0"/>
        <v>1304.0748210000002</v>
      </c>
      <c r="P50" s="138">
        <f t="shared" si="0"/>
        <v>1130.6782132500002</v>
      </c>
      <c r="Q50" s="142">
        <f t="shared" si="0"/>
        <v>1391.623</v>
      </c>
      <c r="R50" s="138">
        <f t="shared" si="0"/>
        <v>1915.3576692502834</v>
      </c>
      <c r="S50" s="138">
        <f t="shared" ref="S50:U52" si="2">SUM(S8,S14,S20,S26,S32,S38,S44)</f>
        <v>1834.4416605685196</v>
      </c>
      <c r="T50" s="138">
        <f t="shared" si="2"/>
        <v>1766.1633175010793</v>
      </c>
      <c r="U50" s="142">
        <f t="shared" si="2"/>
        <v>2031.2732720008501</v>
      </c>
      <c r="V50" s="142">
        <f t="shared" ref="V50:W52" si="3">SUM(V8,V14,V20,V26,V32,V38,V44)</f>
        <v>2274.6932997235417</v>
      </c>
      <c r="W50" s="142">
        <f t="shared" si="3"/>
        <v>2107.3127907982089</v>
      </c>
      <c r="X50" s="142">
        <f t="shared" ref="X50" si="4">SUM(X8,X14,X20,X26,X32,X38,X44)</f>
        <v>2067.0141898918346</v>
      </c>
    </row>
    <row r="51" spans="2:24" ht="11.15" customHeight="1">
      <c r="B51" s="45" t="s">
        <v>682</v>
      </c>
      <c r="C51" s="138">
        <f t="shared" si="0"/>
        <v>-123</v>
      </c>
      <c r="D51" s="138">
        <f t="shared" si="0"/>
        <v>-93</v>
      </c>
      <c r="E51" s="138">
        <f t="shared" si="0"/>
        <v>-41</v>
      </c>
      <c r="F51" s="138">
        <f t="shared" si="0"/>
        <v>-60</v>
      </c>
      <c r="G51" s="138">
        <f t="shared" si="0"/>
        <v>-113</v>
      </c>
      <c r="H51" s="138">
        <f t="shared" si="0"/>
        <v>-59</v>
      </c>
      <c r="I51" s="138">
        <f t="shared" si="0"/>
        <v>-95</v>
      </c>
      <c r="J51" s="138">
        <f t="shared" si="0"/>
        <v>-69</v>
      </c>
      <c r="K51" s="138">
        <f t="shared" si="0"/>
        <v>-157</v>
      </c>
      <c r="L51" s="138">
        <f t="shared" si="0"/>
        <v>-57</v>
      </c>
      <c r="M51" s="138">
        <f t="shared" si="0"/>
        <v>-112</v>
      </c>
      <c r="N51" s="138">
        <f t="shared" si="0"/>
        <v>-183.25903292179157</v>
      </c>
      <c r="O51" s="138">
        <f t="shared" si="0"/>
        <v>-266.87388251000004</v>
      </c>
      <c r="P51" s="138">
        <f t="shared" si="0"/>
        <v>-237.55747310000001</v>
      </c>
      <c r="Q51" s="138">
        <f t="shared" si="0"/>
        <v>-118.96414847000001</v>
      </c>
      <c r="R51" s="138">
        <f t="shared" si="0"/>
        <v>-235.92622845469594</v>
      </c>
      <c r="S51" s="138">
        <f>SUM(S9,S15,S21,S27,S33,S39,S45)</f>
        <v>-878.57469628000013</v>
      </c>
      <c r="T51" s="138">
        <f>SUM(T9,T15,T21,T27,T33,T39,T45)</f>
        <v>-725.89998534999995</v>
      </c>
      <c r="U51" s="138">
        <f>SUM(U9,U15,U21,U27,U33,U39,U45)</f>
        <v>-755.16959356000018</v>
      </c>
      <c r="V51" s="138">
        <f t="shared" si="3"/>
        <v>-927.89145948999999</v>
      </c>
      <c r="W51" s="138">
        <f t="shared" si="3"/>
        <v>-978.52805216999991</v>
      </c>
      <c r="X51" s="138">
        <f t="shared" ref="X51" si="5">SUM(X9,X15,X21,X27,X33,X39,X45)</f>
        <v>-838.734525688335</v>
      </c>
    </row>
    <row r="52" spans="2:24" ht="11.15" customHeight="1">
      <c r="B52" s="45" t="s">
        <v>683</v>
      </c>
      <c r="C52" s="138">
        <f t="shared" si="0"/>
        <v>99</v>
      </c>
      <c r="D52" s="138">
        <f t="shared" si="0"/>
        <v>192</v>
      </c>
      <c r="E52" s="138">
        <f t="shared" si="0"/>
        <v>295</v>
      </c>
      <c r="F52" s="138">
        <f t="shared" si="0"/>
        <v>485</v>
      </c>
      <c r="G52" s="138">
        <f t="shared" si="0"/>
        <v>176</v>
      </c>
      <c r="H52" s="138">
        <f t="shared" si="0"/>
        <v>186</v>
      </c>
      <c r="I52" s="138">
        <f t="shared" si="0"/>
        <v>338</v>
      </c>
      <c r="J52" s="138">
        <f t="shared" si="0"/>
        <v>710</v>
      </c>
      <c r="K52" s="138">
        <f t="shared" si="0"/>
        <v>395</v>
      </c>
      <c r="L52" s="138">
        <f t="shared" si="0"/>
        <v>504</v>
      </c>
      <c r="M52" s="138">
        <f t="shared" si="0"/>
        <v>468</v>
      </c>
      <c r="N52" s="138">
        <f t="shared" si="0"/>
        <v>641</v>
      </c>
      <c r="O52" s="138">
        <f t="shared" si="0"/>
        <v>608.71499924620002</v>
      </c>
      <c r="P52" s="138">
        <f t="shared" si="0"/>
        <v>679.75994891400001</v>
      </c>
      <c r="Q52" s="138">
        <f t="shared" si="0"/>
        <v>702.5762700263333</v>
      </c>
      <c r="R52" s="138">
        <f t="shared" si="0"/>
        <v>1086.6010562231854</v>
      </c>
      <c r="S52" s="138">
        <f t="shared" si="2"/>
        <v>548.6913444709254</v>
      </c>
      <c r="T52" s="138">
        <f t="shared" si="2"/>
        <v>525.53505100231541</v>
      </c>
      <c r="U52" s="138">
        <f t="shared" si="2"/>
        <v>838.39986424296137</v>
      </c>
      <c r="V52" s="138">
        <f t="shared" si="3"/>
        <v>1049.6579242882258</v>
      </c>
      <c r="W52" s="138">
        <f t="shared" si="3"/>
        <v>581.54065623431768</v>
      </c>
      <c r="X52" s="138">
        <f t="shared" ref="X52" si="6">SUM(X10,X16,X22,X28,X34,X40,X46)</f>
        <v>431.06121154636054</v>
      </c>
    </row>
    <row r="54" spans="2:24" ht="11.15" customHeight="1">
      <c r="B54" s="582" t="s">
        <v>685</v>
      </c>
      <c r="C54" s="583"/>
      <c r="D54" s="583"/>
      <c r="E54" s="583"/>
      <c r="F54" s="583"/>
      <c r="G54" s="583"/>
      <c r="H54" s="583"/>
      <c r="I54" s="583"/>
      <c r="J54" s="583"/>
      <c r="K54" s="583"/>
      <c r="L54" s="583"/>
      <c r="M54" s="583"/>
      <c r="N54" s="583"/>
      <c r="O54" s="583"/>
      <c r="P54" s="583"/>
      <c r="Q54" s="583"/>
      <c r="R54" s="583"/>
      <c r="S54" s="583"/>
      <c r="T54" s="583"/>
      <c r="U54" s="583"/>
      <c r="V54" s="583"/>
      <c r="W54" s="583"/>
      <c r="X54" s="583"/>
    </row>
    <row r="55" spans="2:24" ht="11.15" customHeight="1">
      <c r="B55" s="45" t="s">
        <v>686</v>
      </c>
      <c r="C55" s="138"/>
      <c r="D55" s="138"/>
      <c r="E55" s="138"/>
      <c r="F55" s="138"/>
      <c r="G55" s="138"/>
      <c r="H55" s="138"/>
      <c r="I55" s="138"/>
      <c r="J55" s="138">
        <v>423.281887432975</v>
      </c>
      <c r="K55" s="138">
        <v>436.35238162000002</v>
      </c>
      <c r="L55" s="138">
        <v>434.75121757329913</v>
      </c>
      <c r="M55" s="138">
        <v>508.63528183727806</v>
      </c>
      <c r="N55" s="138">
        <v>707.50388625373057</v>
      </c>
      <c r="O55" s="138">
        <v>646.58117900000002</v>
      </c>
      <c r="P55" s="138">
        <v>773.90200000000004</v>
      </c>
      <c r="Q55" s="138">
        <v>733.73871460999999</v>
      </c>
      <c r="R55" s="138">
        <v>851.50005517506531</v>
      </c>
      <c r="S55" s="138">
        <v>1149.4965275455879</v>
      </c>
      <c r="T55" s="138">
        <v>1043.0442237466004</v>
      </c>
      <c r="U55" s="138">
        <v>1087.07505997</v>
      </c>
      <c r="V55" s="138">
        <v>1172.2686714457045</v>
      </c>
      <c r="W55" s="138">
        <v>1179.3575287399997</v>
      </c>
      <c r="X55" s="138">
        <v>1044.46896872</v>
      </c>
    </row>
    <row r="56" spans="2:24" ht="11.15" customHeight="1">
      <c r="B56" s="45" t="s">
        <v>687</v>
      </c>
      <c r="C56" s="138"/>
      <c r="D56" s="138"/>
      <c r="E56" s="138"/>
      <c r="F56" s="138"/>
      <c r="G56" s="138"/>
      <c r="H56" s="138"/>
      <c r="I56" s="138"/>
      <c r="J56" s="138">
        <v>1677.1891431594565</v>
      </c>
      <c r="K56" s="138">
        <v>1081.372808347613</v>
      </c>
      <c r="L56" s="138">
        <v>1222.6478025925321</v>
      </c>
      <c r="M56" s="138">
        <v>1442.1308522805377</v>
      </c>
      <c r="N56" s="138">
        <v>1716.2973680324926</v>
      </c>
      <c r="O56" s="138">
        <v>1685.2178210000004</v>
      </c>
      <c r="P56" s="138">
        <v>1521.6762950100001</v>
      </c>
      <c r="Q56" s="138">
        <v>1900.8091278373438</v>
      </c>
      <c r="R56" s="138">
        <v>2197.3942508566829</v>
      </c>
      <c r="S56" s="138">
        <v>2267.0302763685195</v>
      </c>
      <c r="T56" s="138">
        <v>2185.3214766375299</v>
      </c>
      <c r="U56" s="138">
        <v>2521.9054314208506</v>
      </c>
      <c r="V56" s="138">
        <v>2757.2745072035418</v>
      </c>
      <c r="W56" s="138">
        <v>2522.7115327582092</v>
      </c>
      <c r="X56" s="138">
        <v>2427.7914286918349</v>
      </c>
    </row>
    <row r="57" spans="2:24" ht="11.15" customHeight="1">
      <c r="B57" s="45" t="s">
        <v>660</v>
      </c>
      <c r="C57" s="138"/>
      <c r="D57" s="138"/>
      <c r="E57" s="138"/>
      <c r="F57" s="138"/>
      <c r="G57" s="138"/>
      <c r="H57" s="138"/>
      <c r="I57" s="138"/>
      <c r="J57" s="138">
        <v>-117.55884285999997</v>
      </c>
      <c r="K57" s="138">
        <v>-225.63514533000006</v>
      </c>
      <c r="L57" s="138">
        <v>-310.12696189000013</v>
      </c>
      <c r="M57" s="138">
        <v>-398.45142779999992</v>
      </c>
      <c r="N57" s="138">
        <v>-424.66055568179172</v>
      </c>
      <c r="O57" s="138">
        <v>-494.2616155302502</v>
      </c>
      <c r="P57" s="138">
        <v>-727.23343012999976</v>
      </c>
      <c r="Q57" s="138">
        <v>-372.84625067000007</v>
      </c>
      <c r="R57" s="138">
        <v>-458.47032929469572</v>
      </c>
      <c r="S57" s="138">
        <v>-1240.55145718122</v>
      </c>
      <c r="T57" s="138">
        <v>-1045.72345761</v>
      </c>
      <c r="U57" s="138">
        <v>-941.69880489000059</v>
      </c>
      <c r="V57" s="138">
        <v>-1087.7283749800001</v>
      </c>
      <c r="W57" s="138">
        <v>-1338.1982282200001</v>
      </c>
      <c r="X57" s="138">
        <v>-985.06154850833548</v>
      </c>
    </row>
    <row r="58" spans="2:24" ht="11.15" customHeight="1">
      <c r="B58" s="45" t="s">
        <v>683</v>
      </c>
      <c r="C58" s="138"/>
      <c r="D58" s="138"/>
      <c r="E58" s="138"/>
      <c r="F58" s="138"/>
      <c r="G58" s="138"/>
      <c r="H58" s="138"/>
      <c r="I58" s="138"/>
      <c r="J58" s="138">
        <v>927.54700126344608</v>
      </c>
      <c r="K58" s="138">
        <v>400.81451118858672</v>
      </c>
      <c r="L58" s="138">
        <v>445.55458216827896</v>
      </c>
      <c r="M58" s="138">
        <v>494.43017519208911</v>
      </c>
      <c r="N58" s="138">
        <v>573.48176655182363</v>
      </c>
      <c r="O58" s="138">
        <v>505.39427947927572</v>
      </c>
      <c r="P58" s="138">
        <v>151.92005600971939</v>
      </c>
      <c r="Q58" s="138">
        <v>677.53714560816695</v>
      </c>
      <c r="R58" s="138">
        <v>877.87360715150498</v>
      </c>
      <c r="S58" s="138">
        <v>272.5255334309258</v>
      </c>
      <c r="T58" s="138">
        <v>261.89301052051599</v>
      </c>
      <c r="U58" s="138">
        <v>850.63140458296198</v>
      </c>
      <c r="V58" s="138">
        <v>1058.7021513490256</v>
      </c>
      <c r="W58" s="138">
        <v>384.03981116951832</v>
      </c>
      <c r="X58" s="138">
        <v>305.84051056476085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002060"/>
  </sheetPr>
  <dimension ref="B4:AA8"/>
  <sheetViews>
    <sheetView showGridLines="0" zoomScale="85" zoomScaleNormal="85" workbookViewId="0"/>
  </sheetViews>
  <sheetFormatPr defaultRowHeight="14.5"/>
  <cols>
    <col min="2" max="2" width="1.453125" customWidth="1"/>
    <col min="8" max="8" width="2" customWidth="1"/>
    <col min="13" max="13" width="2" customWidth="1"/>
    <col min="18" max="18" width="2" customWidth="1"/>
    <col min="23" max="23" width="2" customWidth="1"/>
  </cols>
  <sheetData>
    <row r="4" spans="2:27" s="1" customFormat="1" ht="32.5" customHeight="1">
      <c r="B4" s="2" t="s">
        <v>688</v>
      </c>
    </row>
    <row r="8" spans="2:27" ht="30" customHeight="1">
      <c r="D8" s="35" t="s">
        <v>5</v>
      </c>
      <c r="E8" s="36"/>
      <c r="F8" s="36"/>
      <c r="G8" s="36"/>
      <c r="I8" s="35" t="s">
        <v>450</v>
      </c>
      <c r="J8" s="36"/>
      <c r="K8" s="36"/>
      <c r="L8" s="36"/>
      <c r="N8" s="35" t="s">
        <v>6</v>
      </c>
      <c r="O8" s="36"/>
      <c r="P8" s="36"/>
      <c r="Q8" s="36"/>
      <c r="S8" s="35" t="s">
        <v>7</v>
      </c>
      <c r="T8" s="36"/>
      <c r="U8" s="36"/>
      <c r="V8" s="36"/>
      <c r="X8" s="35" t="s">
        <v>451</v>
      </c>
      <c r="Y8" s="36"/>
      <c r="Z8" s="36"/>
      <c r="AA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9" tint="0.79998168889431442"/>
  </sheetPr>
  <dimension ref="A4:T88"/>
  <sheetViews>
    <sheetView showGridLines="0" zoomScaleNormal="100" workbookViewId="0">
      <pane xSplit="1" ySplit="7" topLeftCell="B8" activePane="bottomRight" state="frozen"/>
      <selection pane="topRight" activeCell="T19" sqref="T19"/>
      <selection pane="bottomLeft" activeCell="T19" sqref="T19"/>
      <selection pane="bottomRight" activeCell="T8" sqref="T8"/>
    </sheetView>
  </sheetViews>
  <sheetFormatPr defaultColWidth="9.1796875" defaultRowHeight="14.5" outlineLevelCol="1"/>
  <cols>
    <col min="1" max="1" width="47.54296875" style="37" bestFit="1" customWidth="1"/>
    <col min="2" max="2" width="0.7265625" style="37" customWidth="1"/>
    <col min="3" max="4" width="10.54296875" style="37" hidden="1" customWidth="1" outlineLevel="1"/>
    <col min="5" max="9" width="11.26953125" style="37" hidden="1" customWidth="1" outlineLevel="1"/>
    <col min="10" max="10" width="0.1796875" style="37" hidden="1" customWidth="1" outlineLevel="1"/>
    <col min="11" max="11" width="11.26953125" style="37" bestFit="1" customWidth="1" collapsed="1"/>
    <col min="12" max="20" width="11.26953125" style="37" bestFit="1" customWidth="1"/>
    <col min="21" max="16384" width="9.1796875" style="37"/>
  </cols>
  <sheetData>
    <row r="4" spans="1:20">
      <c r="C4" s="111"/>
      <c r="D4" s="111"/>
      <c r="E4" s="111"/>
      <c r="F4" s="111"/>
      <c r="G4" s="111"/>
      <c r="H4" s="111"/>
      <c r="J4"/>
      <c r="K4"/>
      <c r="L4"/>
      <c r="M4"/>
      <c r="N4"/>
      <c r="O4"/>
      <c r="P4"/>
      <c r="Q4"/>
      <c r="R4"/>
      <c r="S4"/>
      <c r="T4"/>
    </row>
    <row r="5" spans="1:20">
      <c r="C5" s="111"/>
      <c r="D5" s="111"/>
      <c r="E5" s="111"/>
      <c r="F5" s="111"/>
      <c r="G5" s="111"/>
      <c r="H5" s="111"/>
      <c r="J5"/>
      <c r="K5"/>
      <c r="L5"/>
      <c r="M5"/>
      <c r="N5"/>
      <c r="O5"/>
      <c r="P5"/>
      <c r="Q5"/>
      <c r="R5"/>
      <c r="S5"/>
      <c r="T5"/>
    </row>
    <row r="6" spans="1:20">
      <c r="A6" s="41" t="s">
        <v>55</v>
      </c>
      <c r="B6" s="166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</row>
    <row r="7" spans="1:20" ht="15" thickBot="1">
      <c r="A7" s="5" t="s">
        <v>689</v>
      </c>
      <c r="B7" s="168"/>
      <c r="C7" s="528" t="s">
        <v>37</v>
      </c>
      <c r="D7" s="528" t="s">
        <v>38</v>
      </c>
      <c r="E7" s="528" t="s">
        <v>39</v>
      </c>
      <c r="F7" s="528" t="s">
        <v>40</v>
      </c>
      <c r="G7" s="528" t="s">
        <v>41</v>
      </c>
      <c r="H7" s="528" t="s">
        <v>42</v>
      </c>
      <c r="I7" s="528" t="s">
        <v>43</v>
      </c>
      <c r="J7" s="528" t="s">
        <v>44</v>
      </c>
      <c r="K7" s="528" t="s">
        <v>45</v>
      </c>
      <c r="L7" s="528" t="s">
        <v>46</v>
      </c>
      <c r="M7" s="528" t="s">
        <v>47</v>
      </c>
      <c r="N7" s="528" t="s">
        <v>48</v>
      </c>
      <c r="O7" s="528" t="s">
        <v>49</v>
      </c>
      <c r="P7" s="528" t="s">
        <v>50</v>
      </c>
      <c r="Q7" s="528" t="s">
        <v>51</v>
      </c>
      <c r="R7" s="528" t="s">
        <v>52</v>
      </c>
      <c r="S7" s="528" t="s">
        <v>53</v>
      </c>
      <c r="T7" s="528" t="s">
        <v>54</v>
      </c>
    </row>
    <row r="8" spans="1:20" ht="15" thickBot="1">
      <c r="A8" s="169" t="s">
        <v>690</v>
      </c>
      <c r="B8" s="359"/>
      <c r="C8" s="171">
        <v>2693800</v>
      </c>
      <c r="D8" s="171">
        <f t="shared" ref="D8:P8" si="0">SUM(D9:D23)</f>
        <v>2762309</v>
      </c>
      <c r="E8" s="171">
        <f t="shared" si="0"/>
        <v>3377922</v>
      </c>
      <c r="F8" s="171">
        <f t="shared" si="0"/>
        <v>3277130</v>
      </c>
      <c r="G8" s="171">
        <f t="shared" si="0"/>
        <v>2760175</v>
      </c>
      <c r="H8" s="171">
        <f t="shared" si="0"/>
        <v>2812800</v>
      </c>
      <c r="I8" s="171">
        <f t="shared" si="0"/>
        <v>2939768</v>
      </c>
      <c r="J8" s="171">
        <f t="shared" si="0"/>
        <v>2701698</v>
      </c>
      <c r="K8" s="171">
        <f t="shared" si="0"/>
        <v>2452995</v>
      </c>
      <c r="L8" s="171">
        <f t="shared" si="0"/>
        <v>2707220</v>
      </c>
      <c r="M8" s="171">
        <f t="shared" si="0"/>
        <v>2412783</v>
      </c>
      <c r="N8" s="171">
        <f t="shared" si="0"/>
        <v>2636138</v>
      </c>
      <c r="O8" s="171">
        <f t="shared" si="0"/>
        <v>2361064</v>
      </c>
      <c r="P8" s="171">
        <f t="shared" si="0"/>
        <v>2607427</v>
      </c>
      <c r="Q8" s="171">
        <f>SUM(Q9:Q23)</f>
        <v>2608153</v>
      </c>
      <c r="R8" s="171">
        <f>SUM(R9:R23)</f>
        <v>2567345</v>
      </c>
      <c r="S8" s="171">
        <f>SUM(S9:S23)</f>
        <v>2285850</v>
      </c>
      <c r="T8" s="171">
        <f>SUM(T9:T23)</f>
        <v>2817586</v>
      </c>
    </row>
    <row r="9" spans="1:20">
      <c r="A9" s="173" t="s">
        <v>691</v>
      </c>
      <c r="B9" s="173"/>
      <c r="C9" s="189">
        <v>645437</v>
      </c>
      <c r="D9" s="189">
        <v>153949</v>
      </c>
      <c r="E9" s="189">
        <v>595193</v>
      </c>
      <c r="F9" s="189">
        <v>295458</v>
      </c>
      <c r="G9" s="189">
        <v>259150</v>
      </c>
      <c r="H9" s="189">
        <v>542267</v>
      </c>
      <c r="I9" s="189">
        <v>399659</v>
      </c>
      <c r="J9" s="189">
        <v>79999</v>
      </c>
      <c r="K9" s="189">
        <v>94214</v>
      </c>
      <c r="L9" s="189">
        <v>202717</v>
      </c>
      <c r="M9" s="189">
        <v>160112</v>
      </c>
      <c r="N9" s="189">
        <v>103361</v>
      </c>
      <c r="O9" s="189">
        <v>20127</v>
      </c>
      <c r="P9" s="189">
        <v>28789</v>
      </c>
      <c r="Q9" s="189">
        <v>351297</v>
      </c>
      <c r="R9" s="189">
        <v>320582</v>
      </c>
      <c r="S9" s="189">
        <v>90873</v>
      </c>
      <c r="T9" s="189">
        <v>422748</v>
      </c>
    </row>
    <row r="10" spans="1:20">
      <c r="A10" s="173" t="s">
        <v>692</v>
      </c>
      <c r="B10" s="173"/>
      <c r="C10" s="189">
        <v>659321</v>
      </c>
      <c r="D10" s="189">
        <v>1139417</v>
      </c>
      <c r="E10" s="189">
        <v>1227114</v>
      </c>
      <c r="F10" s="189">
        <v>1328205</v>
      </c>
      <c r="G10" s="189">
        <v>922455</v>
      </c>
      <c r="H10" s="189">
        <v>646832</v>
      </c>
      <c r="I10" s="189">
        <v>638239</v>
      </c>
      <c r="J10" s="189">
        <v>671705</v>
      </c>
      <c r="K10" s="189">
        <v>726744</v>
      </c>
      <c r="L10" s="189">
        <v>1062360</v>
      </c>
      <c r="M10" s="189">
        <v>616633</v>
      </c>
      <c r="N10" s="189">
        <v>948101</v>
      </c>
      <c r="O10" s="189">
        <v>853449</v>
      </c>
      <c r="P10" s="189">
        <v>977551</v>
      </c>
      <c r="Q10" s="189">
        <v>515753</v>
      </c>
      <c r="R10" s="189">
        <v>647502</v>
      </c>
      <c r="S10" s="189">
        <v>611536</v>
      </c>
      <c r="T10" s="189">
        <v>715355</v>
      </c>
    </row>
    <row r="11" spans="1:20">
      <c r="A11" s="173" t="s">
        <v>693</v>
      </c>
      <c r="B11" s="173"/>
      <c r="C11" s="189">
        <v>1344164</v>
      </c>
      <c r="D11" s="189">
        <v>900745</v>
      </c>
      <c r="E11" s="189">
        <v>941191</v>
      </c>
      <c r="F11" s="189">
        <v>1007636</v>
      </c>
      <c r="G11" s="189">
        <v>942434</v>
      </c>
      <c r="H11" s="189">
        <f>939998</f>
        <v>939998</v>
      </c>
      <c r="I11" s="189">
        <v>1040855</v>
      </c>
      <c r="J11" s="189">
        <v>1098871</v>
      </c>
      <c r="K11" s="189">
        <v>1045762</v>
      </c>
      <c r="L11" s="189">
        <v>986014</v>
      </c>
      <c r="M11" s="189">
        <v>1049252</v>
      </c>
      <c r="N11" s="189">
        <v>1063888</v>
      </c>
      <c r="O11" s="189">
        <v>1062080</v>
      </c>
      <c r="P11" s="189">
        <v>1124059.0000000002</v>
      </c>
      <c r="Q11" s="189">
        <v>1250130</v>
      </c>
      <c r="R11" s="189">
        <v>1161741</v>
      </c>
      <c r="S11" s="189">
        <v>1154513</v>
      </c>
      <c r="T11" s="189">
        <v>1177030</v>
      </c>
    </row>
    <row r="12" spans="1:20">
      <c r="A12" s="173" t="s">
        <v>694</v>
      </c>
      <c r="B12" s="173"/>
      <c r="C12" s="189">
        <v>37141</v>
      </c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>
        <v>0</v>
      </c>
      <c r="Q12" s="189"/>
      <c r="R12" s="189"/>
      <c r="S12" s="189"/>
      <c r="T12" s="189"/>
    </row>
    <row r="13" spans="1:20">
      <c r="A13" s="173" t="s">
        <v>695</v>
      </c>
      <c r="B13" s="173"/>
      <c r="C13" s="189">
        <v>734</v>
      </c>
      <c r="D13" s="189">
        <v>878</v>
      </c>
      <c r="E13" s="189">
        <v>1337</v>
      </c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89">
        <v>0</v>
      </c>
      <c r="Q13" s="189"/>
      <c r="R13" s="189"/>
      <c r="S13" s="189"/>
      <c r="T13" s="189"/>
    </row>
    <row r="14" spans="1:20">
      <c r="A14" s="173" t="s">
        <v>696</v>
      </c>
      <c r="B14" s="173"/>
      <c r="C14" s="189">
        <v>91988</v>
      </c>
      <c r="D14" s="189">
        <v>96996</v>
      </c>
      <c r="E14" s="189">
        <v>108145</v>
      </c>
      <c r="F14" s="189">
        <v>107339</v>
      </c>
      <c r="G14" s="189">
        <v>103989</v>
      </c>
      <c r="H14" s="189">
        <v>118302</v>
      </c>
      <c r="I14" s="189">
        <v>108669</v>
      </c>
      <c r="J14" s="189">
        <v>143282</v>
      </c>
      <c r="K14" s="189">
        <v>97671</v>
      </c>
      <c r="L14" s="189">
        <v>99325</v>
      </c>
      <c r="M14" s="189">
        <v>110467</v>
      </c>
      <c r="N14" s="189">
        <v>150824</v>
      </c>
      <c r="O14" s="189">
        <v>118320</v>
      </c>
      <c r="P14" s="189">
        <v>123977</v>
      </c>
      <c r="Q14" s="189">
        <v>112037</v>
      </c>
      <c r="R14" s="189">
        <v>97987</v>
      </c>
      <c r="S14" s="189">
        <v>106711</v>
      </c>
      <c r="T14" s="189">
        <v>110101</v>
      </c>
    </row>
    <row r="15" spans="1:20">
      <c r="A15" s="173" t="s">
        <v>697</v>
      </c>
      <c r="B15" s="173"/>
      <c r="C15" s="189">
        <f>D15*1000</f>
        <v>0</v>
      </c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>
        <v>0</v>
      </c>
      <c r="Q15" s="189"/>
      <c r="R15" s="189"/>
      <c r="S15" s="189"/>
      <c r="T15" s="189"/>
    </row>
    <row r="16" spans="1:20">
      <c r="A16" s="173" t="s">
        <v>698</v>
      </c>
      <c r="B16" s="173"/>
      <c r="C16" s="189">
        <f>D16*1000</f>
        <v>0</v>
      </c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>
        <v>0</v>
      </c>
      <c r="O16" s="189"/>
      <c r="P16" s="189">
        <v>0</v>
      </c>
      <c r="Q16" s="189"/>
      <c r="R16" s="189"/>
      <c r="S16" s="189"/>
      <c r="T16" s="189"/>
    </row>
    <row r="17" spans="1:20">
      <c r="A17" s="173" t="s">
        <v>699</v>
      </c>
      <c r="B17" s="173"/>
      <c r="C17" s="189">
        <v>2943</v>
      </c>
      <c r="D17" s="189">
        <v>2934</v>
      </c>
      <c r="E17" s="189">
        <v>5013</v>
      </c>
      <c r="F17" s="189">
        <v>3503</v>
      </c>
      <c r="G17" s="189">
        <v>3517</v>
      </c>
      <c r="H17" s="189">
        <v>3517</v>
      </c>
      <c r="I17" s="189">
        <v>3515</v>
      </c>
      <c r="J17" s="189">
        <v>3530</v>
      </c>
      <c r="K17" s="189">
        <v>3487</v>
      </c>
      <c r="L17" s="189">
        <v>4410</v>
      </c>
      <c r="M17" s="189">
        <v>5495</v>
      </c>
      <c r="N17" s="189">
        <v>4511</v>
      </c>
      <c r="O17" s="189">
        <v>4511</v>
      </c>
      <c r="P17" s="189">
        <v>4530</v>
      </c>
      <c r="Q17" s="189">
        <v>4253</v>
      </c>
      <c r="R17" s="189">
        <v>4253</v>
      </c>
      <c r="S17" s="189">
        <v>4253</v>
      </c>
      <c r="T17" s="189">
        <v>4253</v>
      </c>
    </row>
    <row r="18" spans="1:20">
      <c r="A18" s="173" t="s">
        <v>700</v>
      </c>
      <c r="B18" s="173"/>
      <c r="C18" s="189">
        <f>D18*1000</f>
        <v>0</v>
      </c>
      <c r="D18" s="189"/>
      <c r="E18" s="189"/>
      <c r="F18" s="189"/>
      <c r="G18" s="189"/>
      <c r="H18" s="189"/>
      <c r="I18" s="189">
        <v>116826</v>
      </c>
      <c r="J18" s="189">
        <v>135965</v>
      </c>
      <c r="K18" s="189">
        <v>29003</v>
      </c>
      <c r="L18" s="189">
        <v>9400</v>
      </c>
      <c r="M18" s="189">
        <v>151519</v>
      </c>
      <c r="N18" s="189"/>
      <c r="O18" s="189"/>
      <c r="P18" s="189">
        <v>0</v>
      </c>
      <c r="Q18" s="189"/>
      <c r="R18" s="189"/>
      <c r="S18" s="189"/>
      <c r="T18" s="189"/>
    </row>
    <row r="19" spans="1:20">
      <c r="A19" s="173" t="s">
        <v>701</v>
      </c>
      <c r="B19" s="173"/>
      <c r="C19" s="189">
        <f>D19*1000</f>
        <v>0</v>
      </c>
      <c r="D19" s="189"/>
      <c r="E19" s="189"/>
      <c r="F19" s="189"/>
      <c r="G19" s="189">
        <v>3</v>
      </c>
      <c r="H19" s="189"/>
      <c r="I19" s="189"/>
      <c r="J19" s="189"/>
      <c r="K19" s="189"/>
      <c r="L19" s="189"/>
      <c r="M19" s="189"/>
      <c r="N19" s="189"/>
      <c r="O19" s="189"/>
      <c r="P19" s="189">
        <v>0</v>
      </c>
      <c r="Q19" s="189"/>
      <c r="R19" s="189"/>
      <c r="S19" s="189"/>
      <c r="T19" s="189">
        <v>46166</v>
      </c>
    </row>
    <row r="20" spans="1:20">
      <c r="A20" s="173" t="s">
        <v>702</v>
      </c>
      <c r="B20" s="173"/>
      <c r="C20" s="189">
        <v>11311</v>
      </c>
      <c r="D20" s="189">
        <v>14329</v>
      </c>
      <c r="E20" s="189">
        <v>15626</v>
      </c>
      <c r="F20" s="189">
        <v>10484</v>
      </c>
      <c r="G20" s="189">
        <v>17763</v>
      </c>
      <c r="H20" s="189">
        <v>24337</v>
      </c>
      <c r="I20" s="189">
        <v>28380</v>
      </c>
      <c r="J20" s="189">
        <v>34483</v>
      </c>
      <c r="K20" s="189">
        <v>36672</v>
      </c>
      <c r="L20" s="189">
        <v>40184</v>
      </c>
      <c r="M20" s="189">
        <v>45114</v>
      </c>
      <c r="N20" s="189">
        <v>40492</v>
      </c>
      <c r="O20" s="189">
        <v>33656</v>
      </c>
      <c r="P20" s="189">
        <v>34764</v>
      </c>
      <c r="Q20" s="189">
        <v>39931</v>
      </c>
      <c r="R20" s="189">
        <v>11310</v>
      </c>
      <c r="S20" s="189">
        <v>12542</v>
      </c>
      <c r="T20" s="189">
        <v>12821</v>
      </c>
    </row>
    <row r="21" spans="1:20">
      <c r="A21" s="173" t="s">
        <v>703</v>
      </c>
      <c r="B21" s="173"/>
      <c r="C21" s="189">
        <v>307555</v>
      </c>
      <c r="D21" s="189">
        <v>325522</v>
      </c>
      <c r="E21" s="189">
        <v>343280</v>
      </c>
      <c r="F21" s="189">
        <v>361904</v>
      </c>
      <c r="G21" s="189">
        <v>339423</v>
      </c>
      <c r="H21" s="189">
        <v>340500</v>
      </c>
      <c r="I21" s="189">
        <v>329034</v>
      </c>
      <c r="J21" s="189">
        <v>223330</v>
      </c>
      <c r="K21" s="189">
        <v>161806</v>
      </c>
      <c r="L21" s="189">
        <v>85840</v>
      </c>
      <c r="M21" s="189">
        <v>45575</v>
      </c>
      <c r="N21" s="189">
        <v>96576</v>
      </c>
      <c r="O21" s="189">
        <v>76263</v>
      </c>
      <c r="P21" s="189">
        <v>74551</v>
      </c>
      <c r="Q21" s="189">
        <v>66857</v>
      </c>
      <c r="R21" s="189">
        <v>66794</v>
      </c>
      <c r="S21" s="189">
        <v>70270</v>
      </c>
      <c r="T21" s="189">
        <v>71868</v>
      </c>
    </row>
    <row r="22" spans="1:20">
      <c r="A22" s="173" t="s">
        <v>704</v>
      </c>
      <c r="B22" s="173"/>
      <c r="C22" s="189">
        <v>48543</v>
      </c>
      <c r="D22" s="189">
        <v>50914</v>
      </c>
      <c r="E22" s="189">
        <v>52117</v>
      </c>
      <c r="F22" s="189">
        <v>53464</v>
      </c>
      <c r="G22" s="189">
        <v>55065</v>
      </c>
      <c r="H22" s="189">
        <v>57227</v>
      </c>
      <c r="I22" s="189">
        <v>61151</v>
      </c>
      <c r="J22" s="189">
        <v>64924</v>
      </c>
      <c r="K22" s="189">
        <v>66366</v>
      </c>
      <c r="L22" s="189">
        <v>74282</v>
      </c>
      <c r="M22" s="189">
        <v>82061</v>
      </c>
      <c r="N22" s="189">
        <v>67354</v>
      </c>
      <c r="O22" s="189">
        <v>69692</v>
      </c>
      <c r="P22" s="189">
        <v>99207</v>
      </c>
      <c r="Q22" s="189">
        <v>140103</v>
      </c>
      <c r="R22" s="189">
        <v>90549</v>
      </c>
      <c r="S22" s="189">
        <v>94376</v>
      </c>
      <c r="T22" s="189">
        <v>108866</v>
      </c>
    </row>
    <row r="23" spans="1:20" ht="15" thickBot="1">
      <c r="A23" s="176" t="s">
        <v>705</v>
      </c>
      <c r="B23" s="173"/>
      <c r="C23" s="189">
        <v>53092</v>
      </c>
      <c r="D23" s="189">
        <v>76625</v>
      </c>
      <c r="E23" s="189">
        <v>88906</v>
      </c>
      <c r="F23" s="189">
        <v>109137</v>
      </c>
      <c r="G23" s="189">
        <v>116376</v>
      </c>
      <c r="H23" s="189">
        <v>139820</v>
      </c>
      <c r="I23" s="189">
        <v>213440</v>
      </c>
      <c r="J23" s="189">
        <v>245609</v>
      </c>
      <c r="K23" s="189">
        <v>191270</v>
      </c>
      <c r="L23" s="189">
        <v>142688</v>
      </c>
      <c r="M23" s="189">
        <v>146555</v>
      </c>
      <c r="N23" s="189">
        <v>161031</v>
      </c>
      <c r="O23" s="189">
        <v>122966</v>
      </c>
      <c r="P23" s="189">
        <v>139999</v>
      </c>
      <c r="Q23" s="189">
        <v>127792</v>
      </c>
      <c r="R23" s="189">
        <v>166627</v>
      </c>
      <c r="S23" s="189">
        <v>140776</v>
      </c>
      <c r="T23" s="189">
        <v>148378</v>
      </c>
    </row>
    <row r="24" spans="1:20" ht="15" thickBot="1">
      <c r="A24" s="177" t="s">
        <v>706</v>
      </c>
      <c r="B24" s="359"/>
      <c r="C24" s="178">
        <f t="shared" ref="C24:L24" si="1">SUM(C25:C41)</f>
        <v>4516905</v>
      </c>
      <c r="D24" s="178">
        <f t="shared" si="1"/>
        <v>4489000</v>
      </c>
      <c r="E24" s="178">
        <f t="shared" si="1"/>
        <v>4439686</v>
      </c>
      <c r="F24" s="178">
        <f t="shared" si="1"/>
        <v>4617166</v>
      </c>
      <c r="G24" s="178">
        <f t="shared" si="1"/>
        <v>4608331</v>
      </c>
      <c r="H24" s="178">
        <f t="shared" si="1"/>
        <v>4573693</v>
      </c>
      <c r="I24" s="178">
        <f t="shared" si="1"/>
        <v>4695883</v>
      </c>
      <c r="J24" s="178">
        <f t="shared" si="1"/>
        <v>5117625</v>
      </c>
      <c r="K24" s="178">
        <f t="shared" si="1"/>
        <v>5202949</v>
      </c>
      <c r="L24" s="178">
        <f t="shared" si="1"/>
        <v>5369792</v>
      </c>
      <c r="M24" s="178">
        <f t="shared" ref="M24:T24" si="2">SUM(M25:M41)</f>
        <v>5510953</v>
      </c>
      <c r="N24" s="178">
        <f t="shared" si="2"/>
        <v>5776721</v>
      </c>
      <c r="O24" s="178">
        <f t="shared" si="2"/>
        <v>5953552</v>
      </c>
      <c r="P24" s="178">
        <f t="shared" si="2"/>
        <v>6114967</v>
      </c>
      <c r="Q24" s="178">
        <f t="shared" si="2"/>
        <v>6412625</v>
      </c>
      <c r="R24" s="178">
        <f t="shared" si="2"/>
        <v>6783068</v>
      </c>
      <c r="S24" s="178">
        <f t="shared" si="2"/>
        <v>7025969</v>
      </c>
      <c r="T24" s="178">
        <f t="shared" si="2"/>
        <v>7292106</v>
      </c>
    </row>
    <row r="25" spans="1:20">
      <c r="A25" s="173" t="s">
        <v>692</v>
      </c>
      <c r="B25" s="359"/>
      <c r="C25" s="189">
        <v>57186</v>
      </c>
      <c r="D25" s="189">
        <v>57508</v>
      </c>
      <c r="E25" s="189">
        <v>57651</v>
      </c>
      <c r="F25" s="189">
        <v>57854</v>
      </c>
      <c r="G25" s="189">
        <v>58010</v>
      </c>
      <c r="H25" s="189">
        <v>51205</v>
      </c>
      <c r="I25" s="189">
        <v>51755</v>
      </c>
      <c r="J25" s="189">
        <v>52184</v>
      </c>
      <c r="K25" s="189">
        <v>53275</v>
      </c>
      <c r="L25" s="189">
        <v>31467</v>
      </c>
      <c r="M25" s="189">
        <v>314</v>
      </c>
      <c r="N25" s="189">
        <v>1036</v>
      </c>
      <c r="O25" s="189">
        <v>1053</v>
      </c>
      <c r="P25" s="189">
        <v>1089</v>
      </c>
      <c r="Q25" s="189">
        <v>1122</v>
      </c>
      <c r="R25" s="189">
        <v>1143</v>
      </c>
      <c r="S25" s="189">
        <v>1172</v>
      </c>
      <c r="T25" s="189">
        <v>1192</v>
      </c>
    </row>
    <row r="26" spans="1:20">
      <c r="A26" s="173" t="s">
        <v>693</v>
      </c>
      <c r="B26" s="173"/>
      <c r="C26" s="189">
        <v>108206</v>
      </c>
      <c r="D26" s="189">
        <v>92289</v>
      </c>
      <c r="E26" s="189">
        <v>93721</v>
      </c>
      <c r="F26" s="189">
        <v>48889</v>
      </c>
      <c r="G26" s="189">
        <v>49683</v>
      </c>
      <c r="H26" s="189">
        <v>107843</v>
      </c>
      <c r="I26" s="189">
        <v>103866</v>
      </c>
      <c r="J26" s="189">
        <v>97717</v>
      </c>
      <c r="K26" s="189">
        <v>79090</v>
      </c>
      <c r="L26" s="189">
        <v>80311</v>
      </c>
      <c r="M26" s="189">
        <v>71619</v>
      </c>
      <c r="N26" s="189">
        <v>74793</v>
      </c>
      <c r="O26" s="189">
        <v>66906</v>
      </c>
      <c r="P26" s="189">
        <v>62379</v>
      </c>
      <c r="Q26" s="189">
        <v>65881</v>
      </c>
      <c r="R26" s="189">
        <v>62030</v>
      </c>
      <c r="S26" s="189">
        <v>60431</v>
      </c>
      <c r="T26" s="189">
        <v>60848</v>
      </c>
    </row>
    <row r="27" spans="1:20">
      <c r="A27" s="173" t="s">
        <v>700</v>
      </c>
      <c r="B27" s="173"/>
      <c r="C27" s="189">
        <v>5172</v>
      </c>
      <c r="D27" s="189"/>
      <c r="E27" s="189"/>
      <c r="F27" s="189"/>
      <c r="G27" s="189">
        <v>28011</v>
      </c>
      <c r="H27" s="189">
        <v>21636</v>
      </c>
      <c r="I27" s="189">
        <v>54950</v>
      </c>
      <c r="J27" s="189">
        <v>105514</v>
      </c>
      <c r="K27" s="189">
        <v>63058</v>
      </c>
      <c r="L27" s="189">
        <v>6546</v>
      </c>
      <c r="M27" s="189">
        <v>0</v>
      </c>
      <c r="N27" s="189">
        <v>0</v>
      </c>
      <c r="O27" s="189"/>
      <c r="P27" s="189">
        <v>0</v>
      </c>
      <c r="Q27" s="189"/>
      <c r="R27" s="189"/>
      <c r="S27" s="189"/>
      <c r="T27" s="189"/>
    </row>
    <row r="28" spans="1:20">
      <c r="A28" s="173" t="s">
        <v>698</v>
      </c>
      <c r="B28" s="173"/>
      <c r="C28" s="189">
        <f>D28*1000</f>
        <v>0</v>
      </c>
      <c r="D28" s="189"/>
      <c r="E28" s="189"/>
      <c r="F28" s="189">
        <v>108587</v>
      </c>
      <c r="G28" s="189"/>
      <c r="H28" s="189"/>
      <c r="I28" s="189"/>
      <c r="J28" s="189"/>
      <c r="K28" s="189"/>
      <c r="L28" s="189"/>
      <c r="M28" s="189"/>
      <c r="N28" s="189"/>
      <c r="O28" s="189"/>
      <c r="P28" s="189">
        <v>0</v>
      </c>
      <c r="Q28" s="189"/>
      <c r="R28" s="189"/>
      <c r="S28" s="189"/>
      <c r="T28" s="189"/>
    </row>
    <row r="29" spans="1:20">
      <c r="A29" s="173" t="s">
        <v>696</v>
      </c>
      <c r="B29" s="173"/>
      <c r="C29" s="189">
        <v>2086</v>
      </c>
      <c r="D29" s="189">
        <v>2086</v>
      </c>
      <c r="E29" s="189">
        <v>2086</v>
      </c>
      <c r="F29" s="189">
        <v>104290</v>
      </c>
      <c r="G29" s="189">
        <v>25077</v>
      </c>
      <c r="H29" s="189">
        <v>25077</v>
      </c>
      <c r="I29" s="189">
        <v>25077</v>
      </c>
      <c r="J29" s="189">
        <v>7070</v>
      </c>
      <c r="K29" s="189">
        <v>7070</v>
      </c>
      <c r="L29" s="189">
        <v>7070</v>
      </c>
      <c r="M29" s="189">
        <v>7070</v>
      </c>
      <c r="N29" s="189">
        <v>5012</v>
      </c>
      <c r="O29" s="189">
        <v>5012</v>
      </c>
      <c r="P29" s="189">
        <v>5012</v>
      </c>
      <c r="Q29" s="189">
        <v>5012</v>
      </c>
      <c r="R29" s="189">
        <v>11569</v>
      </c>
      <c r="S29" s="189">
        <v>11569</v>
      </c>
      <c r="T29" s="189">
        <v>11569</v>
      </c>
    </row>
    <row r="30" spans="1:20">
      <c r="A30" s="173" t="s">
        <v>699</v>
      </c>
      <c r="B30" s="173"/>
      <c r="C30" s="189">
        <v>96554</v>
      </c>
      <c r="D30" s="189">
        <v>97361</v>
      </c>
      <c r="E30" s="189">
        <v>98765</v>
      </c>
      <c r="F30" s="189">
        <v>25077</v>
      </c>
      <c r="G30" s="189">
        <v>107062</v>
      </c>
      <c r="H30" s="201">
        <v>108797</v>
      </c>
      <c r="I30" s="201">
        <v>112043</v>
      </c>
      <c r="J30" s="189">
        <v>115051</v>
      </c>
      <c r="K30" s="201">
        <v>118715</v>
      </c>
      <c r="L30" s="201">
        <v>119789</v>
      </c>
      <c r="M30" s="189">
        <v>121530</v>
      </c>
      <c r="N30" s="189">
        <v>125641</v>
      </c>
      <c r="O30" s="189">
        <v>127679</v>
      </c>
      <c r="P30" s="189">
        <v>130570</v>
      </c>
      <c r="Q30" s="189">
        <v>134757</v>
      </c>
      <c r="R30" s="189">
        <v>137660</v>
      </c>
      <c r="S30" s="189">
        <v>164120</v>
      </c>
      <c r="T30" s="189">
        <v>171841</v>
      </c>
    </row>
    <row r="31" spans="1:20">
      <c r="A31" s="173" t="s">
        <v>707</v>
      </c>
      <c r="B31" s="173"/>
      <c r="C31" s="189"/>
      <c r="D31" s="189"/>
      <c r="E31" s="189"/>
      <c r="F31" s="189"/>
      <c r="G31" s="189"/>
      <c r="H31" s="201"/>
      <c r="I31" s="201"/>
      <c r="J31" s="189">
        <v>3012</v>
      </c>
      <c r="K31" s="201">
        <v>3012</v>
      </c>
      <c r="L31" s="201">
        <v>3012</v>
      </c>
      <c r="M31" s="189">
        <v>3012</v>
      </c>
      <c r="N31" s="189">
        <v>3670</v>
      </c>
      <c r="O31" s="189">
        <v>3618</v>
      </c>
      <c r="P31" s="189">
        <v>3565</v>
      </c>
      <c r="Q31" s="189">
        <v>3512</v>
      </c>
      <c r="R31" s="189">
        <v>4229</v>
      </c>
      <c r="S31" s="189">
        <v>4366</v>
      </c>
      <c r="T31" s="189">
        <v>4503</v>
      </c>
    </row>
    <row r="32" spans="1:20">
      <c r="A32" s="173" t="s">
        <v>701</v>
      </c>
      <c r="B32" s="173"/>
      <c r="C32" s="189">
        <f>D32*1000</f>
        <v>0</v>
      </c>
      <c r="D32" s="189"/>
      <c r="E32" s="189"/>
      <c r="F32" s="189"/>
      <c r="G32" s="189">
        <v>2021</v>
      </c>
      <c r="H32" s="189"/>
      <c r="I32" s="189"/>
      <c r="J32" s="189"/>
      <c r="K32" s="189"/>
      <c r="L32" s="189"/>
      <c r="M32" s="189"/>
      <c r="N32" s="189"/>
      <c r="O32" s="189"/>
      <c r="P32" s="189">
        <v>0</v>
      </c>
      <c r="Q32" s="189"/>
      <c r="R32" s="189"/>
      <c r="S32" s="189">
        <v>1518</v>
      </c>
      <c r="T32" s="189">
        <v>0</v>
      </c>
    </row>
    <row r="33" spans="1:20">
      <c r="A33" s="173" t="s">
        <v>703</v>
      </c>
      <c r="B33" s="173"/>
      <c r="C33" s="189">
        <v>534590</v>
      </c>
      <c r="D33" s="189">
        <v>494525</v>
      </c>
      <c r="E33" s="189">
        <v>387100</v>
      </c>
      <c r="F33" s="189">
        <v>282872</v>
      </c>
      <c r="G33" s="189">
        <v>218467</v>
      </c>
      <c r="H33" s="189">
        <v>144960</v>
      </c>
      <c r="I33" s="189">
        <v>59057</v>
      </c>
      <c r="J33" s="189">
        <v>60470</v>
      </c>
      <c r="K33" s="189">
        <v>61200</v>
      </c>
      <c r="L33" s="189">
        <v>80264</v>
      </c>
      <c r="M33" s="189">
        <v>92130</v>
      </c>
      <c r="N33" s="189">
        <v>86229</v>
      </c>
      <c r="O33" s="189">
        <v>94611</v>
      </c>
      <c r="P33" s="189">
        <v>100042</v>
      </c>
      <c r="Q33" s="189">
        <v>116046</v>
      </c>
      <c r="R33" s="189">
        <v>106531</v>
      </c>
      <c r="S33" s="189">
        <v>111593</v>
      </c>
      <c r="T33" s="189">
        <v>126773</v>
      </c>
    </row>
    <row r="34" spans="1:20">
      <c r="A34" s="173" t="s">
        <v>704</v>
      </c>
      <c r="B34" s="173"/>
      <c r="C34" s="189">
        <f>D34*1000</f>
        <v>0</v>
      </c>
      <c r="D34" s="189"/>
      <c r="E34" s="189"/>
      <c r="F34" s="189"/>
      <c r="G34" s="189"/>
      <c r="H34" s="189"/>
      <c r="I34" s="189"/>
      <c r="J34" s="189">
        <v>32510</v>
      </c>
      <c r="K34" s="189">
        <v>32510</v>
      </c>
      <c r="L34" s="189">
        <v>32510</v>
      </c>
      <c r="M34" s="189">
        <v>32510</v>
      </c>
      <c r="N34" s="189">
        <v>32510</v>
      </c>
      <c r="O34" s="189">
        <v>32510</v>
      </c>
      <c r="P34" s="189">
        <v>32509.999999999996</v>
      </c>
      <c r="Q34" s="189">
        <v>32510</v>
      </c>
      <c r="R34" s="189">
        <v>103866</v>
      </c>
      <c r="S34" s="189">
        <v>105721</v>
      </c>
      <c r="T34" s="189">
        <v>107191</v>
      </c>
    </row>
    <row r="35" spans="1:20">
      <c r="A35" s="173" t="s">
        <v>705</v>
      </c>
      <c r="B35" s="173"/>
      <c r="C35" s="189">
        <v>26902</v>
      </c>
      <c r="D35" s="189">
        <v>22773</v>
      </c>
      <c r="E35" s="189">
        <v>22742</v>
      </c>
      <c r="F35" s="189">
        <v>23545</v>
      </c>
      <c r="G35" s="189">
        <v>23555</v>
      </c>
      <c r="H35" s="189">
        <v>23544</v>
      </c>
      <c r="I35" s="189">
        <v>23528</v>
      </c>
      <c r="J35" s="189">
        <v>22536</v>
      </c>
      <c r="K35" s="189">
        <v>21622</v>
      </c>
      <c r="L35" s="189">
        <v>21955</v>
      </c>
      <c r="M35" s="189">
        <v>21943</v>
      </c>
      <c r="N35" s="189">
        <v>22065</v>
      </c>
      <c r="O35" s="189">
        <v>21959</v>
      </c>
      <c r="P35" s="189">
        <v>21924</v>
      </c>
      <c r="Q35" s="189">
        <v>21922</v>
      </c>
      <c r="R35" s="189">
        <v>21190</v>
      </c>
      <c r="S35" s="189">
        <v>21161</v>
      </c>
      <c r="T35" s="189">
        <v>24862</v>
      </c>
    </row>
    <row r="36" spans="1:20">
      <c r="A36" s="173" t="s">
        <v>708</v>
      </c>
      <c r="B36" s="173"/>
      <c r="C36" s="360">
        <v>1693285</v>
      </c>
      <c r="D36" s="360">
        <v>1704452</v>
      </c>
      <c r="E36" s="360">
        <v>1796713</v>
      </c>
      <c r="F36" s="360">
        <v>1960726</v>
      </c>
      <c r="G36" s="360">
        <v>2320895</v>
      </c>
      <c r="H36" s="360">
        <v>2304544</v>
      </c>
      <c r="I36" s="360">
        <v>2415968</v>
      </c>
      <c r="J36" s="189">
        <v>2762771</v>
      </c>
      <c r="K36" s="360">
        <v>2915709</v>
      </c>
      <c r="L36" s="360">
        <v>3040513</v>
      </c>
      <c r="M36" s="360">
        <v>3068809</v>
      </c>
      <c r="N36" s="360">
        <v>3332039</v>
      </c>
      <c r="O36" s="360">
        <v>3437045</v>
      </c>
      <c r="P36" s="189">
        <v>3551720</v>
      </c>
      <c r="Q36" s="189">
        <v>3687611</v>
      </c>
      <c r="R36" s="189">
        <v>4020878</v>
      </c>
      <c r="S36" s="189">
        <v>4179444</v>
      </c>
      <c r="T36" s="189">
        <v>4361637</v>
      </c>
    </row>
    <row r="37" spans="1:20">
      <c r="A37" s="173" t="s">
        <v>709</v>
      </c>
      <c r="B37" s="173"/>
      <c r="C37" s="189">
        <f>D37*1000</f>
        <v>0</v>
      </c>
      <c r="D37" s="189"/>
      <c r="E37" s="189"/>
      <c r="F37" s="189"/>
      <c r="G37" s="189"/>
      <c r="H37" s="189"/>
      <c r="I37" s="189"/>
      <c r="J37" s="189">
        <v>623</v>
      </c>
      <c r="K37" s="189">
        <v>4038</v>
      </c>
      <c r="L37" s="189">
        <v>4396</v>
      </c>
      <c r="M37" s="189">
        <v>4848</v>
      </c>
      <c r="N37" s="189">
        <v>4839</v>
      </c>
      <c r="O37" s="189">
        <v>4831</v>
      </c>
      <c r="P37" s="189">
        <v>4822</v>
      </c>
      <c r="Q37" s="189">
        <v>4813</v>
      </c>
      <c r="R37" s="189">
        <v>4700</v>
      </c>
      <c r="S37" s="189">
        <v>4670</v>
      </c>
      <c r="T37" s="189">
        <v>4670</v>
      </c>
    </row>
    <row r="38" spans="1:20">
      <c r="A38" s="173" t="s">
        <v>710</v>
      </c>
      <c r="B38" s="173"/>
      <c r="C38" s="189">
        <f>D38*1000</f>
        <v>0</v>
      </c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>
        <v>0</v>
      </c>
      <c r="Q38" s="189"/>
      <c r="R38" s="189"/>
      <c r="S38" s="189"/>
      <c r="T38" s="189"/>
    </row>
    <row r="39" spans="1:20">
      <c r="A39" s="173" t="s">
        <v>711</v>
      </c>
      <c r="B39" s="173"/>
      <c r="C39" s="189">
        <v>1500947</v>
      </c>
      <c r="D39" s="189">
        <v>1472959</v>
      </c>
      <c r="E39" s="189">
        <v>1477410</v>
      </c>
      <c r="F39" s="189">
        <v>1527700</v>
      </c>
      <c r="G39" s="189">
        <v>1559666</v>
      </c>
      <c r="H39" s="189">
        <v>1568552</v>
      </c>
      <c r="I39" s="189">
        <v>1534450</v>
      </c>
      <c r="J39" s="189">
        <v>1520602</v>
      </c>
      <c r="K39" s="189">
        <v>1529669</v>
      </c>
      <c r="L39" s="189">
        <v>1521712</v>
      </c>
      <c r="M39" s="189">
        <v>1495676</v>
      </c>
      <c r="N39" s="189">
        <v>1482194</v>
      </c>
      <c r="O39" s="189">
        <v>1511927</v>
      </c>
      <c r="P39" s="189">
        <v>1504355</v>
      </c>
      <c r="Q39" s="189">
        <v>1487225</v>
      </c>
      <c r="R39" s="189">
        <v>1568871</v>
      </c>
      <c r="S39" s="189">
        <v>1541088</v>
      </c>
      <c r="T39" s="189">
        <v>1529209</v>
      </c>
    </row>
    <row r="40" spans="1:20">
      <c r="A40" s="173" t="s">
        <v>712</v>
      </c>
      <c r="B40" s="173"/>
      <c r="C40" s="189">
        <v>488893</v>
      </c>
      <c r="D40" s="189">
        <v>542735</v>
      </c>
      <c r="E40" s="189">
        <v>501711</v>
      </c>
      <c r="F40" s="189">
        <v>476246</v>
      </c>
      <c r="G40" s="189">
        <v>213975</v>
      </c>
      <c r="H40" s="189">
        <v>216950</v>
      </c>
      <c r="I40" s="189">
        <v>314284</v>
      </c>
      <c r="J40" s="189">
        <v>336004</v>
      </c>
      <c r="K40" s="189">
        <v>312662</v>
      </c>
      <c r="L40" s="189">
        <v>419361</v>
      </c>
      <c r="M40" s="189">
        <v>590716</v>
      </c>
      <c r="N40" s="189">
        <v>605601</v>
      </c>
      <c r="O40" s="189">
        <v>645503</v>
      </c>
      <c r="P40" s="189">
        <v>696276</v>
      </c>
      <c r="Q40" s="189">
        <v>851717</v>
      </c>
      <c r="R40" s="189">
        <v>740007</v>
      </c>
      <c r="S40" s="189">
        <v>818813</v>
      </c>
      <c r="T40" s="189">
        <v>887415</v>
      </c>
    </row>
    <row r="41" spans="1:20" ht="15" thickBot="1">
      <c r="A41" s="173" t="s">
        <v>713</v>
      </c>
      <c r="B41" s="173"/>
      <c r="C41" s="189">
        <v>3084</v>
      </c>
      <c r="D41" s="189">
        <v>2312</v>
      </c>
      <c r="E41" s="189">
        <v>1787</v>
      </c>
      <c r="F41" s="189">
        <v>1380</v>
      </c>
      <c r="G41" s="189">
        <v>1909</v>
      </c>
      <c r="H41" s="189">
        <v>585</v>
      </c>
      <c r="I41" s="189">
        <v>905</v>
      </c>
      <c r="J41" s="189">
        <v>1561</v>
      </c>
      <c r="K41" s="189">
        <v>1319</v>
      </c>
      <c r="L41" s="189">
        <v>886</v>
      </c>
      <c r="M41" s="189">
        <v>776</v>
      </c>
      <c r="N41" s="189">
        <v>1092</v>
      </c>
      <c r="O41" s="189">
        <v>898</v>
      </c>
      <c r="P41" s="189">
        <v>703</v>
      </c>
      <c r="Q41" s="189">
        <v>497</v>
      </c>
      <c r="R41" s="189">
        <v>394</v>
      </c>
      <c r="S41" s="189">
        <v>303</v>
      </c>
      <c r="T41" s="189">
        <v>396</v>
      </c>
    </row>
    <row r="42" spans="1:20" ht="15" thickBot="1">
      <c r="A42" s="177" t="s">
        <v>714</v>
      </c>
      <c r="B42" s="359"/>
      <c r="C42" s="178">
        <f t="shared" ref="C42:L42" si="3">C8+C24</f>
        <v>7210705</v>
      </c>
      <c r="D42" s="178">
        <f t="shared" si="3"/>
        <v>7251309</v>
      </c>
      <c r="E42" s="178">
        <f t="shared" si="3"/>
        <v>7817608</v>
      </c>
      <c r="F42" s="178">
        <f t="shared" si="3"/>
        <v>7894296</v>
      </c>
      <c r="G42" s="178">
        <f t="shared" si="3"/>
        <v>7368506</v>
      </c>
      <c r="H42" s="178">
        <f t="shared" si="3"/>
        <v>7386493</v>
      </c>
      <c r="I42" s="178">
        <f t="shared" si="3"/>
        <v>7635651</v>
      </c>
      <c r="J42" s="178">
        <f t="shared" si="3"/>
        <v>7819323</v>
      </c>
      <c r="K42" s="178">
        <f t="shared" si="3"/>
        <v>7655944</v>
      </c>
      <c r="L42" s="178">
        <f t="shared" si="3"/>
        <v>8077012</v>
      </c>
      <c r="M42" s="178">
        <f t="shared" ref="M42:T42" si="4">M8+M24</f>
        <v>7923736</v>
      </c>
      <c r="N42" s="178">
        <f t="shared" si="4"/>
        <v>8412859</v>
      </c>
      <c r="O42" s="178">
        <f t="shared" si="4"/>
        <v>8314616</v>
      </c>
      <c r="P42" s="178">
        <f t="shared" si="4"/>
        <v>8722394</v>
      </c>
      <c r="Q42" s="178">
        <f t="shared" si="4"/>
        <v>9020778</v>
      </c>
      <c r="R42" s="178">
        <f t="shared" si="4"/>
        <v>9350413</v>
      </c>
      <c r="S42" s="178">
        <f t="shared" si="4"/>
        <v>9311819</v>
      </c>
      <c r="T42" s="178">
        <f t="shared" si="4"/>
        <v>10109692</v>
      </c>
    </row>
    <row r="43" spans="1:20">
      <c r="A43" s="173"/>
      <c r="B43" s="173"/>
    </row>
    <row r="44" spans="1:20" ht="15" thickBot="1">
      <c r="A44" s="5" t="s">
        <v>715</v>
      </c>
      <c r="B44" s="168"/>
      <c r="C44" s="528" t="str">
        <f t="shared" ref="C44:M44" si="5">C7</f>
        <v>1T20</v>
      </c>
      <c r="D44" s="528" t="str">
        <f t="shared" si="5"/>
        <v>2T20</v>
      </c>
      <c r="E44" s="528" t="str">
        <f t="shared" si="5"/>
        <v>3T20</v>
      </c>
      <c r="F44" s="528" t="str">
        <f t="shared" si="5"/>
        <v>4T20</v>
      </c>
      <c r="G44" s="528" t="str">
        <f t="shared" si="5"/>
        <v>1T21</v>
      </c>
      <c r="H44" s="528" t="str">
        <f t="shared" si="5"/>
        <v>2T21</v>
      </c>
      <c r="I44" s="528" t="str">
        <f t="shared" si="5"/>
        <v>3T21</v>
      </c>
      <c r="J44" s="528" t="str">
        <f t="shared" si="5"/>
        <v>4T21</v>
      </c>
      <c r="K44" s="528" t="str">
        <f t="shared" si="5"/>
        <v>1T22</v>
      </c>
      <c r="L44" s="528" t="str">
        <f t="shared" si="5"/>
        <v>2T22</v>
      </c>
      <c r="M44" s="528" t="str">
        <f t="shared" si="5"/>
        <v>3T22</v>
      </c>
      <c r="N44" s="528" t="str">
        <f>N7</f>
        <v>4T22</v>
      </c>
      <c r="O44" s="528" t="str">
        <f>O7</f>
        <v>1T23</v>
      </c>
      <c r="P44" s="528" t="s">
        <v>50</v>
      </c>
      <c r="Q44" s="528" t="str">
        <f>Q7</f>
        <v>3T23</v>
      </c>
      <c r="R44" s="528" t="s">
        <v>52</v>
      </c>
      <c r="S44" s="528" t="s">
        <v>53</v>
      </c>
      <c r="T44" s="528" t="s">
        <v>54</v>
      </c>
    </row>
    <row r="45" spans="1:20" ht="15" thickBot="1">
      <c r="A45" s="169" t="s">
        <v>690</v>
      </c>
      <c r="B45" s="359"/>
      <c r="C45" s="171">
        <f>SUM(C46:C62)</f>
        <v>1606180</v>
      </c>
      <c r="D45" s="171">
        <f>SUM(D46:D62)</f>
        <v>1781724</v>
      </c>
      <c r="E45" s="171">
        <f>SUM(E46:E62)</f>
        <v>1992275</v>
      </c>
      <c r="F45" s="171">
        <f>SUM(F46:F62)</f>
        <v>2232872</v>
      </c>
      <c r="G45" s="171">
        <f t="shared" ref="G45:P45" si="6">SUM(G46:G62)</f>
        <v>1251597</v>
      </c>
      <c r="H45" s="171">
        <f t="shared" si="6"/>
        <v>1236488</v>
      </c>
      <c r="I45" s="171">
        <f t="shared" si="6"/>
        <v>2030531</v>
      </c>
      <c r="J45" s="171">
        <f t="shared" si="6"/>
        <v>2079877</v>
      </c>
      <c r="K45" s="171">
        <f t="shared" si="6"/>
        <v>1772913</v>
      </c>
      <c r="L45" s="171">
        <f t="shared" si="6"/>
        <v>1561691</v>
      </c>
      <c r="M45" s="171">
        <f t="shared" si="6"/>
        <v>1756074</v>
      </c>
      <c r="N45" s="171">
        <f t="shared" si="6"/>
        <v>1885048</v>
      </c>
      <c r="O45" s="171">
        <f t="shared" si="6"/>
        <v>1874893</v>
      </c>
      <c r="P45" s="171">
        <f t="shared" si="6"/>
        <v>1995544</v>
      </c>
      <c r="Q45" s="171">
        <f>SUM(Q46:Q62)</f>
        <v>2268438</v>
      </c>
      <c r="R45" s="171">
        <f>SUM(R46:R62)</f>
        <v>1789774</v>
      </c>
      <c r="S45" s="171">
        <f>SUM(S46:S62)</f>
        <v>1795463</v>
      </c>
      <c r="T45" s="171">
        <f>SUM(T46:T62)</f>
        <v>2659369</v>
      </c>
    </row>
    <row r="46" spans="1:20">
      <c r="A46" s="182" t="s">
        <v>716</v>
      </c>
      <c r="B46" s="182"/>
      <c r="C46" s="189">
        <v>350514</v>
      </c>
      <c r="D46" s="189">
        <v>331778</v>
      </c>
      <c r="E46" s="189">
        <v>368468</v>
      </c>
      <c r="F46" s="189">
        <v>578534</v>
      </c>
      <c r="G46" s="189">
        <v>411738</v>
      </c>
      <c r="H46" s="189">
        <v>390308</v>
      </c>
      <c r="I46" s="189">
        <v>632123</v>
      </c>
      <c r="J46" s="189">
        <v>610836</v>
      </c>
      <c r="K46" s="189">
        <v>418238</v>
      </c>
      <c r="L46" s="189">
        <v>515332</v>
      </c>
      <c r="M46" s="189">
        <v>516907</v>
      </c>
      <c r="N46" s="189">
        <v>509919</v>
      </c>
      <c r="O46" s="189">
        <v>441076</v>
      </c>
      <c r="P46" s="189">
        <v>493764</v>
      </c>
      <c r="Q46" s="189">
        <v>535625</v>
      </c>
      <c r="R46" s="189">
        <v>609375</v>
      </c>
      <c r="S46" s="189">
        <v>521910</v>
      </c>
      <c r="T46" s="189">
        <v>560997</v>
      </c>
    </row>
    <row r="47" spans="1:20">
      <c r="A47" s="182" t="s">
        <v>717</v>
      </c>
      <c r="B47" s="182"/>
      <c r="C47" s="189">
        <v>15333</v>
      </c>
      <c r="D47" s="189">
        <v>18601</v>
      </c>
      <c r="E47" s="189">
        <v>21306</v>
      </c>
      <c r="F47" s="189">
        <v>16347</v>
      </c>
      <c r="G47" s="189">
        <v>17115</v>
      </c>
      <c r="H47" s="189">
        <v>19907</v>
      </c>
      <c r="I47" s="189">
        <v>21396</v>
      </c>
      <c r="J47" s="189">
        <v>19136</v>
      </c>
      <c r="K47" s="189">
        <v>20846</v>
      </c>
      <c r="L47" s="189">
        <v>24285</v>
      </c>
      <c r="M47" s="189">
        <v>27637</v>
      </c>
      <c r="N47" s="189">
        <v>22719</v>
      </c>
      <c r="O47" s="189">
        <v>30708</v>
      </c>
      <c r="P47" s="189">
        <v>29860</v>
      </c>
      <c r="Q47" s="189">
        <v>31360</v>
      </c>
      <c r="R47" s="189">
        <v>26166</v>
      </c>
      <c r="S47" s="189">
        <v>35588</v>
      </c>
      <c r="T47" s="189">
        <v>33604</v>
      </c>
    </row>
    <row r="48" spans="1:20">
      <c r="A48" s="173" t="s">
        <v>718</v>
      </c>
      <c r="B48" s="173"/>
      <c r="C48" s="189">
        <v>774326</v>
      </c>
      <c r="D48" s="189">
        <v>773685</v>
      </c>
      <c r="E48" s="189">
        <v>785996</v>
      </c>
      <c r="F48" s="189">
        <v>776546</v>
      </c>
      <c r="G48" s="189">
        <v>91899</v>
      </c>
      <c r="H48" s="189">
        <v>100348</v>
      </c>
      <c r="I48" s="189">
        <v>106725</v>
      </c>
      <c r="J48" s="189">
        <v>112167</v>
      </c>
      <c r="K48" s="189">
        <v>112827</v>
      </c>
      <c r="L48" s="189">
        <v>117426</v>
      </c>
      <c r="M48" s="189">
        <v>113354</v>
      </c>
      <c r="N48" s="189">
        <v>109680</v>
      </c>
      <c r="O48" s="189">
        <v>288601</v>
      </c>
      <c r="P48" s="189">
        <v>298360</v>
      </c>
      <c r="Q48" s="189">
        <v>334507</v>
      </c>
      <c r="R48" s="189">
        <v>357899</v>
      </c>
      <c r="S48" s="189">
        <v>373779</v>
      </c>
      <c r="T48" s="189">
        <v>829537</v>
      </c>
    </row>
    <row r="49" spans="1:20">
      <c r="A49" s="173" t="s">
        <v>719</v>
      </c>
      <c r="B49" s="173"/>
      <c r="C49" s="189">
        <v>102332</v>
      </c>
      <c r="D49" s="189">
        <v>14611</v>
      </c>
      <c r="E49" s="189">
        <v>14781</v>
      </c>
      <c r="F49" s="189">
        <v>184784</v>
      </c>
      <c r="G49" s="189">
        <v>191233</v>
      </c>
      <c r="H49" s="189">
        <v>203782</v>
      </c>
      <c r="I49" s="189">
        <v>709962</v>
      </c>
      <c r="J49" s="189">
        <v>511204</v>
      </c>
      <c r="K49" s="189">
        <v>504958</v>
      </c>
      <c r="L49" s="189">
        <v>525655</v>
      </c>
      <c r="M49" s="189">
        <v>20617</v>
      </c>
      <c r="N49" s="189">
        <v>161969</v>
      </c>
      <c r="O49" s="189">
        <v>179126</v>
      </c>
      <c r="P49" s="189">
        <v>172804</v>
      </c>
      <c r="Q49" s="189">
        <v>186912</v>
      </c>
      <c r="R49" s="189">
        <v>4628</v>
      </c>
      <c r="S49" s="189">
        <v>17189</v>
      </c>
      <c r="T49" s="189">
        <v>8761</v>
      </c>
    </row>
    <row r="50" spans="1:20">
      <c r="A50" s="173" t="s">
        <v>720</v>
      </c>
      <c r="B50" s="173"/>
      <c r="C50" s="189">
        <v>10685</v>
      </c>
      <c r="D50" s="189">
        <v>64361</v>
      </c>
      <c r="E50" s="189">
        <v>182292</v>
      </c>
      <c r="F50" s="189">
        <v>253490</v>
      </c>
      <c r="G50" s="189">
        <v>123769</v>
      </c>
      <c r="H50" s="189">
        <v>132775</v>
      </c>
      <c r="I50" s="189"/>
      <c r="J50" s="189"/>
      <c r="K50" s="189"/>
      <c r="L50" s="189"/>
      <c r="M50" s="189"/>
      <c r="N50" s="189">
        <v>25005</v>
      </c>
      <c r="O50" s="189">
        <v>117048</v>
      </c>
      <c r="P50" s="189">
        <v>263655</v>
      </c>
      <c r="Q50" s="189">
        <v>159604</v>
      </c>
      <c r="R50" s="189">
        <v>193941</v>
      </c>
      <c r="S50" s="189">
        <v>260660</v>
      </c>
      <c r="T50" s="189">
        <v>357195</v>
      </c>
    </row>
    <row r="51" spans="1:20">
      <c r="A51" s="173" t="s">
        <v>721</v>
      </c>
      <c r="B51" s="173"/>
      <c r="C51" s="189">
        <v>83757</v>
      </c>
      <c r="D51" s="189">
        <v>108742</v>
      </c>
      <c r="E51" s="189">
        <v>122633</v>
      </c>
      <c r="F51" s="189">
        <v>109053</v>
      </c>
      <c r="G51" s="189">
        <v>89308</v>
      </c>
      <c r="H51" s="189">
        <v>95519</v>
      </c>
      <c r="I51" s="189">
        <v>142003</v>
      </c>
      <c r="J51" s="189">
        <v>123121</v>
      </c>
      <c r="K51" s="189">
        <v>112290</v>
      </c>
      <c r="L51" s="189">
        <v>106645</v>
      </c>
      <c r="M51" s="189">
        <v>109827</v>
      </c>
      <c r="N51" s="189">
        <v>106221</v>
      </c>
      <c r="O51" s="189">
        <v>100856</v>
      </c>
      <c r="P51" s="189">
        <v>113884</v>
      </c>
      <c r="Q51" s="189">
        <v>131475</v>
      </c>
      <c r="R51" s="189">
        <v>132076</v>
      </c>
      <c r="S51" s="189">
        <v>131382</v>
      </c>
      <c r="T51" s="189">
        <v>150456</v>
      </c>
    </row>
    <row r="52" spans="1:20">
      <c r="A52" s="173" t="s">
        <v>722</v>
      </c>
      <c r="B52" s="173"/>
      <c r="C52" s="189">
        <v>23250</v>
      </c>
      <c r="D52" s="189">
        <v>29557</v>
      </c>
      <c r="E52" s="189">
        <v>35249</v>
      </c>
      <c r="F52" s="189">
        <v>66144</v>
      </c>
      <c r="G52" s="189">
        <v>55021</v>
      </c>
      <c r="H52" s="189">
        <v>92590</v>
      </c>
      <c r="I52" s="189">
        <v>82049</v>
      </c>
      <c r="J52" s="189">
        <v>86017</v>
      </c>
      <c r="K52" s="189">
        <v>88704</v>
      </c>
      <c r="L52" s="189">
        <v>41936</v>
      </c>
      <c r="M52" s="189">
        <v>51795</v>
      </c>
      <c r="N52" s="189">
        <v>75693</v>
      </c>
      <c r="O52" s="189">
        <v>7081</v>
      </c>
      <c r="P52" s="189">
        <v>50651</v>
      </c>
      <c r="Q52" s="189">
        <v>81494</v>
      </c>
      <c r="R52" s="189">
        <v>1212</v>
      </c>
      <c r="S52" s="189">
        <v>7865</v>
      </c>
      <c r="T52" s="189">
        <v>15636</v>
      </c>
    </row>
    <row r="53" spans="1:20">
      <c r="A53" s="173" t="s">
        <v>723</v>
      </c>
      <c r="B53" s="173"/>
      <c r="C53" s="189">
        <v>28493</v>
      </c>
      <c r="D53" s="189">
        <v>1090</v>
      </c>
      <c r="E53" s="189">
        <v>1091</v>
      </c>
      <c r="F53" s="189">
        <v>73635</v>
      </c>
      <c r="G53" s="189">
        <v>73635</v>
      </c>
      <c r="H53" s="189">
        <v>1234</v>
      </c>
      <c r="I53" s="189">
        <v>1310</v>
      </c>
      <c r="J53" s="189">
        <v>191072</v>
      </c>
      <c r="K53" s="189">
        <v>191072</v>
      </c>
      <c r="L53" s="189">
        <v>1430</v>
      </c>
      <c r="M53" s="189">
        <v>1430</v>
      </c>
      <c r="N53" s="189">
        <v>116055</v>
      </c>
      <c r="O53" s="189">
        <v>116054</v>
      </c>
      <c r="P53" s="189">
        <v>116054</v>
      </c>
      <c r="Q53" s="189">
        <v>459925</v>
      </c>
      <c r="R53" s="189">
        <v>142884</v>
      </c>
      <c r="S53" s="189">
        <v>142884</v>
      </c>
      <c r="T53" s="189">
        <f>+[2]Passivo!$D$24</f>
        <v>392297</v>
      </c>
    </row>
    <row r="54" spans="1:20">
      <c r="A54" s="173" t="s">
        <v>724</v>
      </c>
      <c r="B54" s="173"/>
      <c r="C54" s="189">
        <f>D54*1000</f>
        <v>0</v>
      </c>
      <c r="D54" s="189"/>
      <c r="E54" s="189"/>
      <c r="F54" s="189"/>
      <c r="G54" s="189"/>
      <c r="H54" s="189"/>
      <c r="I54" s="189"/>
      <c r="J54" s="189">
        <v>85698</v>
      </c>
      <c r="K54" s="189">
        <v>89740</v>
      </c>
      <c r="L54" s="189">
        <v>73479</v>
      </c>
      <c r="M54" s="189">
        <v>70732</v>
      </c>
      <c r="N54" s="189">
        <v>93975</v>
      </c>
      <c r="O54" s="189">
        <v>94961</v>
      </c>
      <c r="P54" s="189">
        <v>93502</v>
      </c>
      <c r="Q54" s="189">
        <v>90870</v>
      </c>
      <c r="R54" s="189">
        <v>97254</v>
      </c>
      <c r="S54" s="189">
        <v>95326</v>
      </c>
      <c r="T54" s="189">
        <v>95610</v>
      </c>
    </row>
    <row r="55" spans="1:20">
      <c r="A55" s="173" t="s">
        <v>725</v>
      </c>
      <c r="B55" s="173"/>
      <c r="C55" s="189">
        <v>12891</v>
      </c>
      <c r="D55" s="189">
        <v>13743</v>
      </c>
      <c r="E55" s="189">
        <v>18429</v>
      </c>
      <c r="F55" s="189">
        <v>17288</v>
      </c>
      <c r="G55" s="189">
        <v>18059</v>
      </c>
      <c r="H55" s="189">
        <v>20211</v>
      </c>
      <c r="I55" s="189">
        <v>11198</v>
      </c>
      <c r="J55" s="189">
        <v>13394</v>
      </c>
      <c r="K55" s="189">
        <v>8336</v>
      </c>
      <c r="L55" s="189">
        <v>11098</v>
      </c>
      <c r="M55" s="189">
        <v>13535</v>
      </c>
      <c r="N55" s="189">
        <v>16837</v>
      </c>
      <c r="O55" s="189">
        <v>16346</v>
      </c>
      <c r="P55" s="189">
        <v>22179</v>
      </c>
      <c r="Q55" s="189">
        <v>16888</v>
      </c>
      <c r="R55" s="189">
        <v>17559</v>
      </c>
      <c r="S55" s="189">
        <v>26165</v>
      </c>
      <c r="T55" s="189">
        <v>44589</v>
      </c>
    </row>
    <row r="56" spans="1:20">
      <c r="A56" s="173" t="s">
        <v>726</v>
      </c>
      <c r="B56" s="173"/>
      <c r="C56" s="189">
        <v>57133</v>
      </c>
      <c r="D56" s="189">
        <v>56186</v>
      </c>
      <c r="E56" s="189">
        <v>53834</v>
      </c>
      <c r="F56" s="189">
        <v>55695</v>
      </c>
      <c r="G56" s="189">
        <v>66370</v>
      </c>
      <c r="H56" s="189">
        <v>59195</v>
      </c>
      <c r="I56" s="189">
        <v>51237</v>
      </c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</row>
    <row r="57" spans="1:20">
      <c r="A57" s="173" t="s">
        <v>727</v>
      </c>
      <c r="B57" s="173"/>
      <c r="C57" s="189">
        <v>36388</v>
      </c>
      <c r="D57" s="189">
        <v>22785</v>
      </c>
      <c r="E57" s="189">
        <v>23915</v>
      </c>
      <c r="F57" s="189">
        <v>32267</v>
      </c>
      <c r="G57" s="189">
        <v>39484</v>
      </c>
      <c r="H57" s="189">
        <v>21874</v>
      </c>
      <c r="I57" s="189">
        <v>30008</v>
      </c>
      <c r="J57" s="189">
        <v>37799</v>
      </c>
      <c r="K57" s="189">
        <v>35548</v>
      </c>
      <c r="L57" s="189">
        <v>18748</v>
      </c>
      <c r="M57" s="189">
        <v>27793</v>
      </c>
      <c r="N57" s="189">
        <v>37628</v>
      </c>
      <c r="O57" s="189">
        <v>14975</v>
      </c>
      <c r="P57" s="189">
        <v>19350</v>
      </c>
      <c r="Q57" s="189">
        <v>30946</v>
      </c>
      <c r="R57" s="189">
        <v>42410</v>
      </c>
      <c r="S57" s="189">
        <v>15445</v>
      </c>
      <c r="T57" s="189">
        <v>18020</v>
      </c>
    </row>
    <row r="58" spans="1:20">
      <c r="A58" s="173" t="s">
        <v>701</v>
      </c>
      <c r="B58" s="173"/>
      <c r="C58" s="189">
        <f>D58*1000</f>
        <v>0</v>
      </c>
      <c r="D58" s="189"/>
      <c r="E58" s="189"/>
      <c r="F58" s="189"/>
      <c r="G58" s="189"/>
      <c r="H58" s="189">
        <v>214</v>
      </c>
      <c r="I58" s="189">
        <v>16</v>
      </c>
      <c r="J58" s="189">
        <v>45</v>
      </c>
      <c r="K58" s="189">
        <v>100</v>
      </c>
      <c r="L58" s="189">
        <v>271</v>
      </c>
      <c r="M58" s="189">
        <v>66</v>
      </c>
      <c r="N58" s="189">
        <v>283</v>
      </c>
      <c r="O58" s="189">
        <v>24317</v>
      </c>
      <c r="P58" s="189">
        <v>38113</v>
      </c>
      <c r="Q58" s="189">
        <v>22675</v>
      </c>
      <c r="R58" s="189">
        <v>30503</v>
      </c>
      <c r="S58" s="189">
        <v>22637</v>
      </c>
      <c r="T58" s="189">
        <v>0</v>
      </c>
    </row>
    <row r="59" spans="1:20">
      <c r="A59" s="173" t="s">
        <v>728</v>
      </c>
      <c r="B59" s="173"/>
      <c r="C59" s="189">
        <v>26747</v>
      </c>
      <c r="D59" s="189">
        <v>19809</v>
      </c>
      <c r="E59" s="189">
        <v>9969</v>
      </c>
      <c r="F59" s="189">
        <v>22974</v>
      </c>
      <c r="G59" s="189">
        <v>22946</v>
      </c>
      <c r="H59" s="189">
        <v>22791</v>
      </c>
      <c r="I59" s="189">
        <v>23462</v>
      </c>
      <c r="J59" s="189">
        <v>30910</v>
      </c>
      <c r="K59" s="189">
        <v>22406</v>
      </c>
      <c r="L59" s="189">
        <v>22018</v>
      </c>
      <c r="M59" s="189">
        <v>21084</v>
      </c>
      <c r="N59" s="189">
        <v>18758</v>
      </c>
      <c r="O59" s="189">
        <v>18637</v>
      </c>
      <c r="P59" s="189">
        <v>18360</v>
      </c>
      <c r="Q59" s="189">
        <v>17813</v>
      </c>
      <c r="R59" s="189">
        <v>27789</v>
      </c>
      <c r="S59" s="189">
        <v>28234</v>
      </c>
      <c r="T59" s="189">
        <v>19611</v>
      </c>
    </row>
    <row r="60" spans="1:20">
      <c r="A60" s="173" t="s">
        <v>729</v>
      </c>
      <c r="B60" s="173"/>
      <c r="C60" s="189">
        <v>56233</v>
      </c>
      <c r="D60" s="189">
        <v>292821</v>
      </c>
      <c r="E60" s="189">
        <v>310684</v>
      </c>
      <c r="F60" s="189"/>
      <c r="G60" s="189"/>
      <c r="H60" s="189"/>
      <c r="I60" s="189">
        <v>115527</v>
      </c>
      <c r="J60" s="189">
        <v>81925</v>
      </c>
      <c r="K60" s="189">
        <v>52074</v>
      </c>
      <c r="L60" s="189">
        <v>20761</v>
      </c>
      <c r="M60" s="189">
        <v>686222</v>
      </c>
      <c r="N60" s="189">
        <v>488834</v>
      </c>
      <c r="O60" s="189">
        <v>307388</v>
      </c>
      <c r="P60" s="189">
        <v>113101</v>
      </c>
      <c r="Q60" s="189">
        <v>0</v>
      </c>
      <c r="R60" s="189" t="s">
        <v>371</v>
      </c>
      <c r="S60" s="189"/>
      <c r="T60" s="189"/>
    </row>
    <row r="61" spans="1:20">
      <c r="A61" s="173" t="s">
        <v>730</v>
      </c>
      <c r="B61" s="173"/>
      <c r="C61" s="189">
        <v>26430</v>
      </c>
      <c r="D61" s="189">
        <v>32893</v>
      </c>
      <c r="E61" s="189">
        <v>42867</v>
      </c>
      <c r="F61" s="189">
        <v>45173</v>
      </c>
      <c r="G61" s="189">
        <v>49509</v>
      </c>
      <c r="H61" s="189">
        <v>75442</v>
      </c>
      <c r="I61" s="189">
        <v>103025</v>
      </c>
      <c r="J61" s="189">
        <v>175717</v>
      </c>
      <c r="K61" s="189">
        <v>115022</v>
      </c>
      <c r="L61" s="189">
        <v>82013</v>
      </c>
      <c r="M61" s="189">
        <v>94524</v>
      </c>
      <c r="N61" s="189">
        <v>100816</v>
      </c>
      <c r="O61" s="189">
        <v>117156</v>
      </c>
      <c r="P61" s="189">
        <v>151448</v>
      </c>
      <c r="Q61" s="189">
        <v>168005</v>
      </c>
      <c r="R61" s="189">
        <v>105780</v>
      </c>
      <c r="S61" s="189">
        <v>116151</v>
      </c>
      <c r="T61" s="189">
        <v>132787</v>
      </c>
    </row>
    <row r="62" spans="1:20" ht="15" thickBot="1">
      <c r="A62" s="173" t="s">
        <v>731</v>
      </c>
      <c r="B62" s="173"/>
      <c r="C62" s="189">
        <v>1668</v>
      </c>
      <c r="D62" s="189">
        <v>1062</v>
      </c>
      <c r="E62" s="189">
        <v>761</v>
      </c>
      <c r="F62" s="189">
        <v>942</v>
      </c>
      <c r="G62" s="189">
        <v>1511</v>
      </c>
      <c r="H62" s="189">
        <v>298</v>
      </c>
      <c r="I62" s="189">
        <v>490</v>
      </c>
      <c r="J62" s="189">
        <v>836</v>
      </c>
      <c r="K62" s="189">
        <v>752</v>
      </c>
      <c r="L62" s="189">
        <v>594</v>
      </c>
      <c r="M62" s="189">
        <v>551</v>
      </c>
      <c r="N62" s="189">
        <v>656</v>
      </c>
      <c r="O62" s="189">
        <v>563</v>
      </c>
      <c r="P62" s="189">
        <v>459</v>
      </c>
      <c r="Q62" s="189">
        <v>339</v>
      </c>
      <c r="R62" s="189">
        <v>298</v>
      </c>
      <c r="S62" s="189">
        <v>248</v>
      </c>
      <c r="T62" s="189">
        <v>269</v>
      </c>
    </row>
    <row r="63" spans="1:20" ht="15" thickBot="1">
      <c r="A63" s="177" t="s">
        <v>706</v>
      </c>
      <c r="B63" s="359"/>
      <c r="C63" s="178">
        <f t="shared" ref="C63:L63" si="7">SUM(C64:C77)</f>
        <v>2671306</v>
      </c>
      <c r="D63" s="178">
        <f t="shared" si="7"/>
        <v>2432635</v>
      </c>
      <c r="E63" s="178">
        <f t="shared" si="7"/>
        <v>2595328</v>
      </c>
      <c r="F63" s="178">
        <f t="shared" si="7"/>
        <v>2664181</v>
      </c>
      <c r="G63" s="178">
        <f t="shared" si="7"/>
        <v>2945167</v>
      </c>
      <c r="H63" s="178">
        <f t="shared" si="7"/>
        <v>2908429</v>
      </c>
      <c r="I63" s="178">
        <f t="shared" si="7"/>
        <v>2485236</v>
      </c>
      <c r="J63" s="178">
        <f t="shared" si="7"/>
        <v>2675600</v>
      </c>
      <c r="K63" s="178">
        <f t="shared" si="7"/>
        <v>2692444</v>
      </c>
      <c r="L63" s="178">
        <f t="shared" si="7"/>
        <v>3442521</v>
      </c>
      <c r="M63" s="178">
        <f t="shared" ref="M63:T63" si="8">SUM(M64:M77)</f>
        <v>3005694</v>
      </c>
      <c r="N63" s="178">
        <f t="shared" si="8"/>
        <v>3077560</v>
      </c>
      <c r="O63" s="178">
        <f t="shared" si="8"/>
        <v>2827872</v>
      </c>
      <c r="P63" s="178">
        <f t="shared" si="8"/>
        <v>2942896</v>
      </c>
      <c r="Q63" s="178">
        <f t="shared" si="8"/>
        <v>3094710</v>
      </c>
      <c r="R63" s="178">
        <f t="shared" si="8"/>
        <v>3804173</v>
      </c>
      <c r="S63" s="178">
        <f t="shared" si="8"/>
        <v>3600524</v>
      </c>
      <c r="T63" s="178">
        <f t="shared" si="8"/>
        <v>3628361</v>
      </c>
    </row>
    <row r="64" spans="1:20">
      <c r="A64" s="173" t="s">
        <v>707</v>
      </c>
      <c r="B64" s="359"/>
      <c r="C64" s="199"/>
      <c r="D64" s="199"/>
      <c r="E64" s="199"/>
      <c r="F64" s="199"/>
      <c r="G64" s="199"/>
      <c r="H64" s="199"/>
      <c r="I64" s="199"/>
      <c r="J64" s="199">
        <v>5763</v>
      </c>
      <c r="K64" s="199">
        <v>5763</v>
      </c>
      <c r="L64" s="199">
        <v>5763</v>
      </c>
      <c r="M64" s="199">
        <v>5763</v>
      </c>
      <c r="N64" s="199"/>
      <c r="O64" s="199">
        <v>9010</v>
      </c>
      <c r="P64" s="199">
        <v>9112</v>
      </c>
      <c r="Q64" s="200">
        <v>9215</v>
      </c>
      <c r="R64" s="200">
        <v>13030</v>
      </c>
      <c r="S64" s="200">
        <v>13269</v>
      </c>
      <c r="T64" s="200">
        <v>13508</v>
      </c>
    </row>
    <row r="65" spans="1:20">
      <c r="A65" s="173" t="s">
        <v>716</v>
      </c>
      <c r="B65" s="359"/>
      <c r="C65" s="199">
        <v>6740</v>
      </c>
      <c r="D65" s="199">
        <v>6731</v>
      </c>
      <c r="E65" s="199">
        <v>6731</v>
      </c>
      <c r="F65" s="199">
        <v>6695</v>
      </c>
      <c r="G65" s="199">
        <v>19736</v>
      </c>
      <c r="H65" s="199">
        <v>19280</v>
      </c>
      <c r="I65" s="199">
        <v>18746</v>
      </c>
      <c r="J65" s="199">
        <v>10849</v>
      </c>
      <c r="K65" s="199">
        <v>10693</v>
      </c>
      <c r="L65" s="199">
        <v>10537</v>
      </c>
      <c r="M65" s="199">
        <v>10381</v>
      </c>
      <c r="N65" s="199">
        <v>10223</v>
      </c>
      <c r="O65" s="199">
        <v>10067</v>
      </c>
      <c r="P65" s="199">
        <v>21398</v>
      </c>
      <c r="Q65" s="200">
        <v>20823</v>
      </c>
      <c r="R65" s="200">
        <v>20774</v>
      </c>
      <c r="S65" s="200">
        <v>24861</v>
      </c>
      <c r="T65" s="200">
        <v>15256</v>
      </c>
    </row>
    <row r="66" spans="1:20">
      <c r="A66" s="173" t="s">
        <v>718</v>
      </c>
      <c r="B66" s="173"/>
      <c r="C66" s="189">
        <v>781662</v>
      </c>
      <c r="D66" s="189">
        <v>734263</v>
      </c>
      <c r="E66" s="189">
        <v>874164</v>
      </c>
      <c r="F66" s="189">
        <v>856508</v>
      </c>
      <c r="G66" s="189">
        <v>1117347</v>
      </c>
      <c r="H66" s="189">
        <v>1050158</v>
      </c>
      <c r="I66" s="189">
        <v>1243496</v>
      </c>
      <c r="J66" s="199">
        <v>1398815</v>
      </c>
      <c r="K66" s="189">
        <v>1340566</v>
      </c>
      <c r="L66" s="189">
        <v>1601209</v>
      </c>
      <c r="M66" s="199">
        <v>1588471</v>
      </c>
      <c r="N66" s="199">
        <v>1879903</v>
      </c>
      <c r="O66" s="199">
        <v>1697120</v>
      </c>
      <c r="P66" s="199">
        <v>1856252</v>
      </c>
      <c r="Q66" s="200">
        <v>1848510</v>
      </c>
      <c r="R66" s="200">
        <v>2194867</v>
      </c>
      <c r="S66" s="200">
        <v>2025636</v>
      </c>
      <c r="T66" s="200">
        <v>1596765</v>
      </c>
    </row>
    <row r="67" spans="1:20">
      <c r="A67" s="173" t="s">
        <v>719</v>
      </c>
      <c r="B67" s="173"/>
      <c r="C67" s="189">
        <v>800272</v>
      </c>
      <c r="D67" s="189">
        <v>797842</v>
      </c>
      <c r="E67" s="189">
        <v>801834</v>
      </c>
      <c r="F67" s="189">
        <v>630704</v>
      </c>
      <c r="G67" s="189">
        <v>634436</v>
      </c>
      <c r="H67" s="189">
        <v>637637</v>
      </c>
      <c r="I67" s="189"/>
      <c r="J67" s="199">
        <v>146729</v>
      </c>
      <c r="K67" s="189">
        <v>150541</v>
      </c>
      <c r="L67" s="189">
        <v>454746</v>
      </c>
      <c r="M67" s="199">
        <v>453901</v>
      </c>
      <c r="N67" s="199">
        <v>298957</v>
      </c>
      <c r="O67" s="199">
        <v>299016</v>
      </c>
      <c r="P67" s="199">
        <v>299075</v>
      </c>
      <c r="Q67" s="200">
        <v>299134</v>
      </c>
      <c r="R67" s="200">
        <v>590896</v>
      </c>
      <c r="S67" s="200">
        <v>598251</v>
      </c>
      <c r="T67" s="200">
        <v>1099575</v>
      </c>
    </row>
    <row r="68" spans="1:20">
      <c r="A68" s="173" t="s">
        <v>721</v>
      </c>
      <c r="B68" s="173"/>
      <c r="C68" s="189">
        <v>3183</v>
      </c>
      <c r="D68" s="189">
        <v>3200</v>
      </c>
      <c r="E68" s="189">
        <v>3220</v>
      </c>
      <c r="F68" s="189">
        <v>3268</v>
      </c>
      <c r="G68" s="189">
        <v>3312</v>
      </c>
      <c r="H68" s="189">
        <v>3601</v>
      </c>
      <c r="I68" s="189">
        <v>3656</v>
      </c>
      <c r="J68" s="199">
        <v>3712</v>
      </c>
      <c r="K68" s="189">
        <v>3762</v>
      </c>
      <c r="L68" s="189">
        <v>3806</v>
      </c>
      <c r="M68" s="199">
        <v>3869</v>
      </c>
      <c r="N68" s="199">
        <v>3912</v>
      </c>
      <c r="O68" s="199">
        <v>3968</v>
      </c>
      <c r="P68" s="199">
        <v>4025.0000000000005</v>
      </c>
      <c r="Q68" s="200">
        <v>4087</v>
      </c>
      <c r="R68" s="200">
        <v>4147</v>
      </c>
      <c r="S68" s="200">
        <v>4197</v>
      </c>
      <c r="T68" s="200">
        <v>6240</v>
      </c>
    </row>
    <row r="69" spans="1:20">
      <c r="A69" s="173" t="s">
        <v>732</v>
      </c>
      <c r="B69" s="173"/>
      <c r="C69" s="189">
        <v>373787</v>
      </c>
      <c r="D69" s="189">
        <v>366165</v>
      </c>
      <c r="E69" s="189">
        <v>366902</v>
      </c>
      <c r="F69" s="189">
        <v>376374</v>
      </c>
      <c r="G69" s="189">
        <v>397254</v>
      </c>
      <c r="H69" s="189">
        <v>372802</v>
      </c>
      <c r="I69" s="189">
        <v>399106</v>
      </c>
      <c r="J69" s="199">
        <v>476104</v>
      </c>
      <c r="K69" s="189">
        <v>480363</v>
      </c>
      <c r="L69" s="189">
        <v>480538</v>
      </c>
      <c r="M69" s="199">
        <v>486153</v>
      </c>
      <c r="N69" s="199">
        <v>516165</v>
      </c>
      <c r="O69" s="199">
        <v>529547</v>
      </c>
      <c r="P69" s="199">
        <v>515424</v>
      </c>
      <c r="Q69" s="200">
        <v>516529</v>
      </c>
      <c r="R69" s="200">
        <v>563065</v>
      </c>
      <c r="S69" s="200">
        <v>595521</v>
      </c>
      <c r="T69" s="200">
        <v>623201</v>
      </c>
    </row>
    <row r="70" spans="1:20">
      <c r="A70" s="173" t="s">
        <v>724</v>
      </c>
      <c r="B70" s="173"/>
      <c r="C70" s="189"/>
      <c r="D70" s="189"/>
      <c r="E70" s="189"/>
      <c r="F70" s="189"/>
      <c r="G70" s="189"/>
      <c r="H70" s="189"/>
      <c r="I70" s="189"/>
      <c r="J70" s="199">
        <v>17248</v>
      </c>
      <c r="K70" s="189">
        <v>13523</v>
      </c>
      <c r="L70" s="189">
        <v>24421</v>
      </c>
      <c r="M70" s="199">
        <v>28521</v>
      </c>
      <c r="N70" s="199">
        <v>10890</v>
      </c>
      <c r="O70" s="199">
        <v>14448</v>
      </c>
      <c r="P70" s="199">
        <v>18113</v>
      </c>
      <c r="Q70" s="200">
        <v>28175</v>
      </c>
      <c r="R70" s="200">
        <v>22058</v>
      </c>
      <c r="S70" s="200">
        <v>26612</v>
      </c>
      <c r="T70" s="200">
        <v>31507</v>
      </c>
    </row>
    <row r="71" spans="1:20">
      <c r="A71" s="173" t="s">
        <v>728</v>
      </c>
      <c r="B71" s="173"/>
      <c r="C71" s="189">
        <v>94733</v>
      </c>
      <c r="D71" s="189">
        <v>101336</v>
      </c>
      <c r="E71" s="189">
        <v>110619</v>
      </c>
      <c r="F71" s="189">
        <v>100600</v>
      </c>
      <c r="G71" s="189">
        <v>103733</v>
      </c>
      <c r="H71" s="189">
        <v>104530</v>
      </c>
      <c r="I71" s="189">
        <v>107131</v>
      </c>
      <c r="J71" s="199">
        <v>98499</v>
      </c>
      <c r="K71" s="189">
        <v>108334</v>
      </c>
      <c r="L71" s="189">
        <v>107777</v>
      </c>
      <c r="M71" s="199">
        <v>107075</v>
      </c>
      <c r="N71" s="199">
        <v>104159</v>
      </c>
      <c r="O71" s="199">
        <v>105498</v>
      </c>
      <c r="P71" s="199">
        <v>105246</v>
      </c>
      <c r="Q71" s="200">
        <v>104899</v>
      </c>
      <c r="R71" s="200">
        <v>117019</v>
      </c>
      <c r="S71" s="200">
        <v>131405</v>
      </c>
      <c r="T71" s="200">
        <v>140864</v>
      </c>
    </row>
    <row r="72" spans="1:20">
      <c r="A72" s="173" t="s">
        <v>700</v>
      </c>
      <c r="B72" s="173"/>
      <c r="C72" s="189"/>
      <c r="D72" s="189">
        <v>41129</v>
      </c>
      <c r="E72" s="189">
        <v>60294</v>
      </c>
      <c r="F72" s="189"/>
      <c r="G72" s="189"/>
      <c r="H72" s="189"/>
      <c r="I72" s="189"/>
      <c r="J72" s="199">
        <v>0</v>
      </c>
      <c r="K72" s="189"/>
      <c r="L72" s="189"/>
      <c r="M72" s="199">
        <v>271114</v>
      </c>
      <c r="N72" s="199">
        <v>176841</v>
      </c>
      <c r="O72" s="199">
        <v>115724</v>
      </c>
      <c r="P72" s="199">
        <v>52652</v>
      </c>
      <c r="Q72" s="200">
        <v>212162</v>
      </c>
      <c r="R72" s="200">
        <v>196978</v>
      </c>
      <c r="S72" s="200">
        <v>142557</v>
      </c>
      <c r="T72" s="200">
        <v>64895</v>
      </c>
    </row>
    <row r="73" spans="1:20">
      <c r="A73" s="173" t="s">
        <v>701</v>
      </c>
      <c r="B73" s="173"/>
      <c r="C73" s="189"/>
      <c r="D73" s="189"/>
      <c r="E73" s="189"/>
      <c r="F73" s="189"/>
      <c r="G73" s="189"/>
      <c r="H73" s="189"/>
      <c r="I73" s="189"/>
      <c r="J73" s="199">
        <v>8166</v>
      </c>
      <c r="K73" s="189">
        <v>65789</v>
      </c>
      <c r="L73" s="189">
        <v>51550</v>
      </c>
      <c r="M73" s="199">
        <v>38294</v>
      </c>
      <c r="N73" s="199">
        <v>51779</v>
      </c>
      <c r="O73" s="199">
        <v>24243</v>
      </c>
      <c r="P73" s="199">
        <v>37716</v>
      </c>
      <c r="Q73" s="200">
        <v>22603</v>
      </c>
      <c r="R73" s="200">
        <v>37505</v>
      </c>
      <c r="S73" s="200">
        <v>0</v>
      </c>
      <c r="T73" s="200"/>
    </row>
    <row r="74" spans="1:20">
      <c r="A74" s="173" t="s">
        <v>726</v>
      </c>
      <c r="B74" s="173"/>
      <c r="C74" s="189">
        <v>41271</v>
      </c>
      <c r="D74" s="189">
        <v>45475</v>
      </c>
      <c r="E74" s="189">
        <v>50764</v>
      </c>
      <c r="F74" s="189">
        <v>56784</v>
      </c>
      <c r="G74" s="189">
        <v>48164</v>
      </c>
      <c r="H74" s="189"/>
      <c r="I74" s="189"/>
      <c r="J74" s="199"/>
      <c r="K74" s="189"/>
      <c r="L74" s="189"/>
      <c r="M74" s="199"/>
      <c r="N74" s="199"/>
      <c r="O74" s="199"/>
      <c r="P74" s="199">
        <v>0</v>
      </c>
      <c r="Q74" s="200"/>
      <c r="R74" s="200"/>
      <c r="S74" s="200"/>
      <c r="T74" s="200"/>
    </row>
    <row r="75" spans="1:20">
      <c r="A75" s="173" t="s">
        <v>729</v>
      </c>
      <c r="B75" s="173"/>
      <c r="C75" s="189">
        <v>555015</v>
      </c>
      <c r="D75" s="189">
        <v>322112</v>
      </c>
      <c r="E75" s="189">
        <v>306650</v>
      </c>
      <c r="F75" s="189">
        <v>619293</v>
      </c>
      <c r="G75" s="189">
        <v>620923</v>
      </c>
      <c r="H75" s="189">
        <v>623140</v>
      </c>
      <c r="I75" s="189">
        <v>497899</v>
      </c>
      <c r="J75" s="199">
        <v>501158</v>
      </c>
      <c r="K75" s="189">
        <v>504182</v>
      </c>
      <c r="L75" s="189">
        <v>691692</v>
      </c>
      <c r="M75" s="199">
        <v>0</v>
      </c>
      <c r="N75" s="199">
        <v>0</v>
      </c>
      <c r="O75" s="199"/>
      <c r="P75" s="199">
        <v>0</v>
      </c>
      <c r="Q75" s="200"/>
      <c r="R75" s="200"/>
      <c r="S75" s="200"/>
      <c r="T75" s="200"/>
    </row>
    <row r="76" spans="1:20">
      <c r="A76" s="173" t="s">
        <v>731</v>
      </c>
      <c r="B76" s="173"/>
      <c r="C76" s="189">
        <v>650</v>
      </c>
      <c r="D76" s="189">
        <v>549</v>
      </c>
      <c r="E76" s="189">
        <v>475</v>
      </c>
      <c r="F76" s="189">
        <v>434</v>
      </c>
      <c r="G76" s="189">
        <v>239</v>
      </c>
      <c r="H76" s="189">
        <v>716</v>
      </c>
      <c r="I76" s="189">
        <v>472</v>
      </c>
      <c r="J76" s="199">
        <v>789</v>
      </c>
      <c r="K76" s="189">
        <v>631</v>
      </c>
      <c r="L76" s="189">
        <v>328</v>
      </c>
      <c r="M76" s="199">
        <v>257</v>
      </c>
      <c r="N76" s="199">
        <v>470</v>
      </c>
      <c r="O76" s="199">
        <v>367</v>
      </c>
      <c r="P76" s="199">
        <v>273</v>
      </c>
      <c r="Q76" s="200">
        <v>164</v>
      </c>
      <c r="R76" s="200">
        <v>104</v>
      </c>
      <c r="S76" s="200">
        <v>63</v>
      </c>
      <c r="T76" s="200">
        <v>142</v>
      </c>
    </row>
    <row r="77" spans="1:20" ht="15" thickBot="1">
      <c r="A77" s="173" t="s">
        <v>730</v>
      </c>
      <c r="B77" s="173"/>
      <c r="C77" s="189">
        <v>13993</v>
      </c>
      <c r="D77" s="189">
        <v>13833</v>
      </c>
      <c r="E77" s="189">
        <v>13675</v>
      </c>
      <c r="F77" s="189">
        <v>13521</v>
      </c>
      <c r="G77" s="189">
        <v>23</v>
      </c>
      <c r="H77" s="201">
        <v>96565</v>
      </c>
      <c r="I77" s="201">
        <v>214730</v>
      </c>
      <c r="J77" s="199">
        <v>7768</v>
      </c>
      <c r="K77" s="201">
        <v>8297</v>
      </c>
      <c r="L77" s="201">
        <v>10154</v>
      </c>
      <c r="M77" s="199">
        <v>11895</v>
      </c>
      <c r="N77" s="199">
        <v>24261</v>
      </c>
      <c r="O77" s="199">
        <v>18864</v>
      </c>
      <c r="P77" s="199">
        <v>23610</v>
      </c>
      <c r="Q77" s="200">
        <v>28409</v>
      </c>
      <c r="R77" s="200">
        <v>43730</v>
      </c>
      <c r="S77" s="200">
        <v>38152</v>
      </c>
      <c r="T77" s="200">
        <v>36408</v>
      </c>
    </row>
    <row r="78" spans="1:20" ht="15" thickBot="1">
      <c r="A78" s="186" t="s">
        <v>733</v>
      </c>
      <c r="B78" s="359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</row>
    <row r="79" spans="1:20" ht="15" thickBot="1">
      <c r="A79" s="177" t="s">
        <v>734</v>
      </c>
      <c r="B79" s="359"/>
      <c r="C79" s="178">
        <f t="shared" ref="C79:T79" si="9">SUM(C80:C85)</f>
        <v>2933219</v>
      </c>
      <c r="D79" s="178">
        <f t="shared" si="9"/>
        <v>3036950</v>
      </c>
      <c r="E79" s="178">
        <f t="shared" si="9"/>
        <v>3230005</v>
      </c>
      <c r="F79" s="178">
        <f t="shared" si="9"/>
        <v>2997243</v>
      </c>
      <c r="G79" s="178">
        <f t="shared" si="9"/>
        <v>3171742</v>
      </c>
      <c r="H79" s="178">
        <f t="shared" si="9"/>
        <v>3241576</v>
      </c>
      <c r="I79" s="178">
        <f t="shared" si="9"/>
        <v>3119884</v>
      </c>
      <c r="J79" s="178">
        <f t="shared" si="9"/>
        <v>3063846</v>
      </c>
      <c r="K79" s="178">
        <f t="shared" si="9"/>
        <v>3190587</v>
      </c>
      <c r="L79" s="178">
        <f t="shared" si="9"/>
        <v>3072800</v>
      </c>
      <c r="M79" s="178">
        <f t="shared" si="9"/>
        <v>3161968</v>
      </c>
      <c r="N79" s="178">
        <f t="shared" si="9"/>
        <v>3450251</v>
      </c>
      <c r="O79" s="178">
        <f t="shared" si="9"/>
        <v>3611851</v>
      </c>
      <c r="P79" s="178">
        <f t="shared" si="9"/>
        <v>3783954</v>
      </c>
      <c r="Q79" s="178">
        <f t="shared" si="9"/>
        <v>3657630</v>
      </c>
      <c r="R79" s="178">
        <f t="shared" si="9"/>
        <v>3756466</v>
      </c>
      <c r="S79" s="178">
        <f t="shared" si="9"/>
        <v>3915832</v>
      </c>
      <c r="T79" s="178">
        <f t="shared" si="9"/>
        <v>3821962</v>
      </c>
    </row>
    <row r="80" spans="1:20">
      <c r="A80" s="173" t="s">
        <v>735</v>
      </c>
      <c r="B80" s="173"/>
      <c r="C80" s="189">
        <v>1312534</v>
      </c>
      <c r="D80" s="189">
        <v>1321534</v>
      </c>
      <c r="E80" s="189">
        <v>1321534</v>
      </c>
      <c r="F80" s="189">
        <v>1479713</v>
      </c>
      <c r="G80" s="189">
        <v>1479713</v>
      </c>
      <c r="H80" s="189">
        <v>1651592</v>
      </c>
      <c r="I80" s="189">
        <v>1651592</v>
      </c>
      <c r="J80" s="189">
        <v>1651592</v>
      </c>
      <c r="K80" s="189">
        <v>1651592</v>
      </c>
      <c r="L80" s="189">
        <v>1651592</v>
      </c>
      <c r="M80" s="189">
        <v>1651592</v>
      </c>
      <c r="N80" s="189">
        <v>1651592</v>
      </c>
      <c r="O80" s="189">
        <v>1651592</v>
      </c>
      <c r="P80" s="189">
        <v>1651592</v>
      </c>
      <c r="Q80" s="189">
        <v>1651592</v>
      </c>
      <c r="R80" s="189">
        <v>1651592</v>
      </c>
      <c r="S80" s="189">
        <v>1651592</v>
      </c>
      <c r="T80" s="189">
        <v>1863606</v>
      </c>
    </row>
    <row r="81" spans="1:20">
      <c r="A81" s="173" t="s">
        <v>736</v>
      </c>
      <c r="B81" s="173"/>
      <c r="C81" s="189">
        <f>D81*1000</f>
        <v>0</v>
      </c>
      <c r="D81" s="189"/>
      <c r="E81" s="189"/>
      <c r="F81" s="189">
        <v>27160</v>
      </c>
      <c r="G81" s="189">
        <v>31927</v>
      </c>
      <c r="H81" s="189">
        <v>32923</v>
      </c>
      <c r="I81" s="189">
        <v>36060</v>
      </c>
      <c r="J81" s="189">
        <v>39099</v>
      </c>
      <c r="K81" s="189">
        <v>41072</v>
      </c>
      <c r="L81" s="189">
        <v>43450</v>
      </c>
      <c r="M81" s="189">
        <v>45930</v>
      </c>
      <c r="N81" s="189">
        <v>48268</v>
      </c>
      <c r="O81" s="189">
        <v>49770</v>
      </c>
      <c r="P81" s="189">
        <v>51465</v>
      </c>
      <c r="Q81" s="189">
        <v>53676</v>
      </c>
      <c r="R81" s="189">
        <v>48568</v>
      </c>
      <c r="S81" s="189">
        <v>49527</v>
      </c>
      <c r="T81" s="189">
        <v>50496</v>
      </c>
    </row>
    <row r="82" spans="1:20">
      <c r="A82" s="173" t="s">
        <v>737</v>
      </c>
      <c r="B82" s="173"/>
      <c r="C82" s="189">
        <v>1481059</v>
      </c>
      <c r="D82" s="189">
        <v>1446315</v>
      </c>
      <c r="E82" s="189">
        <v>1446315</v>
      </c>
      <c r="F82" s="189">
        <v>1489080</v>
      </c>
      <c r="G82" s="189">
        <v>1489080</v>
      </c>
      <c r="H82" s="189">
        <v>1174569</v>
      </c>
      <c r="I82" s="189">
        <v>1135657</v>
      </c>
      <c r="J82" s="189">
        <v>1384827</v>
      </c>
      <c r="K82" s="189">
        <v>1384827</v>
      </c>
      <c r="L82" s="189">
        <v>1241250</v>
      </c>
      <c r="M82" s="189">
        <v>1241250</v>
      </c>
      <c r="N82" s="189">
        <v>1774771</v>
      </c>
      <c r="O82" s="189">
        <v>1774772</v>
      </c>
      <c r="P82" s="189">
        <v>1807714</v>
      </c>
      <c r="Q82" s="189">
        <v>1463842</v>
      </c>
      <c r="R82" s="189">
        <v>2066946</v>
      </c>
      <c r="S82" s="189">
        <v>2066946</v>
      </c>
      <c r="T82" s="189">
        <f>+[2]Passivo!$D$81</f>
        <v>1605520</v>
      </c>
    </row>
    <row r="83" spans="1:20">
      <c r="A83" s="173" t="s">
        <v>738</v>
      </c>
      <c r="B83" s="173"/>
      <c r="C83" s="189">
        <v>651</v>
      </c>
      <c r="D83" s="189">
        <v>651</v>
      </c>
      <c r="E83" s="189">
        <v>651</v>
      </c>
      <c r="F83" s="189">
        <v>1290</v>
      </c>
      <c r="G83" s="189">
        <v>-22623</v>
      </c>
      <c r="H83" s="189">
        <v>-7919</v>
      </c>
      <c r="I83" s="189">
        <v>-309030</v>
      </c>
      <c r="J83" s="189">
        <v>-11672</v>
      </c>
      <c r="K83" s="189">
        <v>-20002</v>
      </c>
      <c r="L83" s="189">
        <v>-26679</v>
      </c>
      <c r="M83" s="189">
        <v>-32939</v>
      </c>
      <c r="N83" s="189">
        <v>-24380</v>
      </c>
      <c r="O83" s="189">
        <v>-25950</v>
      </c>
      <c r="P83" s="189">
        <v>-24855</v>
      </c>
      <c r="Q83" s="189">
        <v>-12152</v>
      </c>
      <c r="R83" s="189">
        <v>-10640</v>
      </c>
      <c r="S83" s="189">
        <v>-7461</v>
      </c>
      <c r="T83" s="189">
        <v>-3519</v>
      </c>
    </row>
    <row r="84" spans="1:20">
      <c r="A84" s="173" t="s">
        <v>739</v>
      </c>
      <c r="B84" s="173"/>
      <c r="C84" s="189">
        <v>138975</v>
      </c>
      <c r="D84" s="189">
        <v>268450</v>
      </c>
      <c r="E84" s="189">
        <v>461505</v>
      </c>
      <c r="F84" s="189"/>
      <c r="G84" s="189">
        <v>193645</v>
      </c>
      <c r="H84" s="189">
        <v>390411</v>
      </c>
      <c r="I84" s="189">
        <v>605605</v>
      </c>
      <c r="J84" s="189">
        <v>0</v>
      </c>
      <c r="K84" s="189">
        <v>133098</v>
      </c>
      <c r="L84" s="189">
        <v>163187</v>
      </c>
      <c r="M84" s="189">
        <v>256135</v>
      </c>
      <c r="N84" s="189">
        <v>0</v>
      </c>
      <c r="O84" s="189">
        <v>161667</v>
      </c>
      <c r="P84" s="189">
        <v>298038</v>
      </c>
      <c r="Q84" s="189">
        <v>0</v>
      </c>
      <c r="R84" s="189"/>
      <c r="S84" s="189"/>
      <c r="T84" s="189"/>
    </row>
    <row r="85" spans="1:20" ht="15" thickBot="1">
      <c r="A85" s="173" t="s">
        <v>604</v>
      </c>
      <c r="B85" s="173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>
        <v>500672</v>
      </c>
      <c r="R85" s="189">
        <v>0</v>
      </c>
      <c r="S85" s="189">
        <v>155228</v>
      </c>
      <c r="T85" s="189">
        <v>305859</v>
      </c>
    </row>
    <row r="86" spans="1:20" ht="15" thickBot="1">
      <c r="A86" s="177" t="s">
        <v>740</v>
      </c>
      <c r="B86" s="359"/>
      <c r="C86" s="178">
        <f t="shared" ref="C86:P86" si="10">C79+C63+C45</f>
        <v>7210705</v>
      </c>
      <c r="D86" s="178">
        <f>D79+D63+D45</f>
        <v>7251309</v>
      </c>
      <c r="E86" s="178">
        <f t="shared" si="10"/>
        <v>7817608</v>
      </c>
      <c r="F86" s="178">
        <f t="shared" si="10"/>
        <v>7894296</v>
      </c>
      <c r="G86" s="178">
        <f t="shared" si="10"/>
        <v>7368506</v>
      </c>
      <c r="H86" s="178">
        <f t="shared" si="10"/>
        <v>7386493</v>
      </c>
      <c r="I86" s="178">
        <f t="shared" si="10"/>
        <v>7635651</v>
      </c>
      <c r="J86" s="178">
        <f t="shared" si="10"/>
        <v>7819323</v>
      </c>
      <c r="K86" s="178">
        <f t="shared" si="10"/>
        <v>7655944</v>
      </c>
      <c r="L86" s="178">
        <f t="shared" si="10"/>
        <v>8077012</v>
      </c>
      <c r="M86" s="178">
        <f t="shared" si="10"/>
        <v>7923736</v>
      </c>
      <c r="N86" s="178">
        <f t="shared" si="10"/>
        <v>8412859</v>
      </c>
      <c r="O86" s="178">
        <f t="shared" si="10"/>
        <v>8314616</v>
      </c>
      <c r="P86" s="178">
        <f t="shared" si="10"/>
        <v>8722394</v>
      </c>
      <c r="Q86" s="178">
        <f>Q79+Q63+Q45</f>
        <v>9020778</v>
      </c>
      <c r="R86" s="178">
        <f>R79+R63+R45</f>
        <v>9350413</v>
      </c>
      <c r="S86" s="178">
        <f>S79+S63+S45</f>
        <v>9311819</v>
      </c>
      <c r="T86" s="178">
        <f>T79+T63+T45</f>
        <v>10109692</v>
      </c>
    </row>
    <row r="87" spans="1:20" s="187" customFormat="1" ht="12">
      <c r="C87" s="188">
        <f t="shared" ref="C87:N87" si="11">C86-C42</f>
        <v>0</v>
      </c>
      <c r="D87" s="188">
        <f t="shared" si="11"/>
        <v>0</v>
      </c>
      <c r="E87" s="188">
        <f t="shared" si="11"/>
        <v>0</v>
      </c>
      <c r="F87" s="188">
        <f t="shared" si="11"/>
        <v>0</v>
      </c>
      <c r="G87" s="188">
        <f t="shared" si="11"/>
        <v>0</v>
      </c>
      <c r="H87" s="188">
        <f t="shared" si="11"/>
        <v>0</v>
      </c>
      <c r="I87" s="188">
        <f t="shared" si="11"/>
        <v>0</v>
      </c>
      <c r="J87" s="188">
        <f t="shared" si="11"/>
        <v>0</v>
      </c>
      <c r="K87" s="188">
        <f t="shared" si="11"/>
        <v>0</v>
      </c>
      <c r="L87" s="188">
        <f t="shared" si="11"/>
        <v>0</v>
      </c>
      <c r="M87" s="188">
        <f t="shared" si="11"/>
        <v>0</v>
      </c>
      <c r="N87" s="188">
        <f t="shared" si="11"/>
        <v>0</v>
      </c>
      <c r="O87" s="188">
        <f t="shared" ref="O87:T87" si="12">O86-O42</f>
        <v>0</v>
      </c>
      <c r="P87" s="188">
        <f t="shared" si="12"/>
        <v>0</v>
      </c>
      <c r="Q87" s="188">
        <f t="shared" si="12"/>
        <v>0</v>
      </c>
      <c r="R87" s="188">
        <f t="shared" si="12"/>
        <v>0</v>
      </c>
      <c r="S87" s="188">
        <f t="shared" si="12"/>
        <v>0</v>
      </c>
      <c r="T87" s="188">
        <f t="shared" si="12"/>
        <v>0</v>
      </c>
    </row>
    <row r="88" spans="1:20"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</row>
  </sheetData>
  <pageMargins left="0.511811024" right="0.511811024" top="0.78740157499999996" bottom="0.78740157499999996" header="0.31496062000000002" footer="0.31496062000000002"/>
  <ignoredErrors>
    <ignoredError sqref="N44:R44" unlockedFormula="1"/>
  </ignoredErrors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9" tint="0.79998168889431442"/>
  </sheetPr>
  <dimension ref="A4:V99"/>
  <sheetViews>
    <sheetView showGridLines="0" zoomScale="90" zoomScaleNormal="90" workbookViewId="0">
      <pane xSplit="1" ySplit="7" topLeftCell="B8" activePane="bottomRight" state="frozen"/>
      <selection pane="topRight" activeCell="T7" sqref="T7"/>
      <selection pane="bottomLeft" activeCell="T7" sqref="T7"/>
      <selection pane="bottomRight" activeCell="T7" sqref="T7"/>
    </sheetView>
  </sheetViews>
  <sheetFormatPr defaultColWidth="9.1796875" defaultRowHeight="14.5" outlineLevelCol="1"/>
  <cols>
    <col min="1" max="1" width="47.54296875" style="37" bestFit="1" customWidth="1"/>
    <col min="2" max="2" width="0.54296875" style="37" customWidth="1"/>
    <col min="3" max="5" width="10.26953125" style="37" hidden="1" customWidth="1" outlineLevel="1"/>
    <col min="6" max="10" width="9.54296875" style="190" hidden="1" customWidth="1" outlineLevel="1"/>
    <col min="11" max="11" width="9.54296875" style="190" bestFit="1" customWidth="1" collapsed="1"/>
    <col min="12" max="16" width="9.54296875" style="190" bestFit="1" customWidth="1"/>
    <col min="17" max="19" width="9.54296875" style="363" bestFit="1" customWidth="1"/>
    <col min="20" max="20" width="10.453125" style="363" bestFit="1" customWidth="1"/>
    <col min="21" max="16384" width="9.1796875" style="37"/>
  </cols>
  <sheetData>
    <row r="4" spans="1:20">
      <c r="J4" s="361"/>
      <c r="K4" s="361"/>
      <c r="L4" s="361"/>
      <c r="M4" s="361"/>
      <c r="N4" s="361"/>
      <c r="O4" s="361"/>
      <c r="P4" s="361"/>
      <c r="Q4" s="362"/>
      <c r="R4" s="362"/>
      <c r="S4" s="362"/>
      <c r="T4" s="362"/>
    </row>
    <row r="5" spans="1:20">
      <c r="J5" s="361"/>
      <c r="K5" s="361"/>
      <c r="L5" s="361"/>
      <c r="M5" s="361"/>
      <c r="N5" s="361"/>
      <c r="O5" s="361"/>
      <c r="P5" s="361"/>
      <c r="Q5" s="362"/>
      <c r="R5" s="362"/>
      <c r="S5" s="362"/>
      <c r="T5" s="362"/>
    </row>
    <row r="6" spans="1:20">
      <c r="A6" s="41" t="s">
        <v>67</v>
      </c>
      <c r="B6" s="166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</row>
    <row r="7" spans="1:20" ht="15" thickBot="1">
      <c r="A7" s="5" t="s">
        <v>689</v>
      </c>
      <c r="B7" s="168"/>
      <c r="C7" s="564" t="s">
        <v>37</v>
      </c>
      <c r="D7" s="564" t="s">
        <v>38</v>
      </c>
      <c r="E7" s="564" t="s">
        <v>39</v>
      </c>
      <c r="F7" s="564" t="s">
        <v>40</v>
      </c>
      <c r="G7" s="564" t="s">
        <v>41</v>
      </c>
      <c r="H7" s="564" t="s">
        <v>42</v>
      </c>
      <c r="I7" s="564" t="s">
        <v>43</v>
      </c>
      <c r="J7" s="564" t="s">
        <v>44</v>
      </c>
      <c r="K7" s="564" t="s">
        <v>45</v>
      </c>
      <c r="L7" s="564" t="s">
        <v>46</v>
      </c>
      <c r="M7" s="564" t="s">
        <v>47</v>
      </c>
      <c r="N7" s="564" t="s">
        <v>48</v>
      </c>
      <c r="O7" s="564" t="s">
        <v>49</v>
      </c>
      <c r="P7" s="564" t="s">
        <v>50</v>
      </c>
      <c r="Q7" s="564" t="s">
        <v>51</v>
      </c>
      <c r="R7" s="564" t="s">
        <v>52</v>
      </c>
      <c r="S7" s="564" t="s">
        <v>53</v>
      </c>
      <c r="T7" s="564" t="s">
        <v>54</v>
      </c>
    </row>
    <row r="8" spans="1:20" ht="15" thickBot="1">
      <c r="A8" s="169" t="s">
        <v>690</v>
      </c>
      <c r="B8" s="359"/>
      <c r="C8" s="171">
        <f t="shared" ref="C8:M8" si="0">SUM(C9:C25)</f>
        <v>3701660</v>
      </c>
      <c r="D8" s="171">
        <f t="shared" si="0"/>
        <v>4272061</v>
      </c>
      <c r="E8" s="171">
        <f t="shared" si="0"/>
        <v>5079156</v>
      </c>
      <c r="F8" s="171">
        <f t="shared" si="0"/>
        <v>4970063</v>
      </c>
      <c r="G8" s="171">
        <f t="shared" si="0"/>
        <v>5461221</v>
      </c>
      <c r="H8" s="171">
        <f t="shared" si="0"/>
        <v>5593227</v>
      </c>
      <c r="I8" s="171">
        <f t="shared" si="0"/>
        <v>5716612</v>
      </c>
      <c r="J8" s="171">
        <f t="shared" si="0"/>
        <v>4748546</v>
      </c>
      <c r="K8" s="171">
        <f t="shared" si="0"/>
        <v>4572617</v>
      </c>
      <c r="L8" s="171">
        <f t="shared" si="0"/>
        <v>5021149</v>
      </c>
      <c r="M8" s="171">
        <f t="shared" si="0"/>
        <v>4691950</v>
      </c>
      <c r="N8" s="171">
        <f t="shared" ref="N8:P8" si="1">SUM(N9:N25)</f>
        <v>4422557</v>
      </c>
      <c r="O8" s="171">
        <f t="shared" si="1"/>
        <v>4165290</v>
      </c>
      <c r="P8" s="171">
        <f t="shared" si="1"/>
        <v>4374043</v>
      </c>
      <c r="Q8" s="171">
        <f>SUM(Q9:Q25)</f>
        <v>4882121</v>
      </c>
      <c r="R8" s="171">
        <f>SUM(R9:R25)</f>
        <v>4303949</v>
      </c>
      <c r="S8" s="171">
        <f>SUM(S9:S25)</f>
        <v>4296154</v>
      </c>
      <c r="T8" s="171">
        <f>SUM(T9:T25)</f>
        <v>5177070</v>
      </c>
    </row>
    <row r="9" spans="1:20">
      <c r="A9" s="173" t="s">
        <v>691</v>
      </c>
      <c r="B9" s="173"/>
      <c r="C9" s="190">
        <v>1188056</v>
      </c>
      <c r="D9" s="190">
        <v>221678</v>
      </c>
      <c r="E9" s="190">
        <v>1313686</v>
      </c>
      <c r="F9" s="190">
        <v>957597</v>
      </c>
      <c r="G9" s="190">
        <v>1325232</v>
      </c>
      <c r="H9" s="190">
        <v>1243540</v>
      </c>
      <c r="I9" s="190">
        <v>698414</v>
      </c>
      <c r="J9" s="190">
        <v>173988</v>
      </c>
      <c r="K9" s="190">
        <v>407157</v>
      </c>
      <c r="L9" s="190">
        <v>1053115</v>
      </c>
      <c r="M9" s="190">
        <v>403593</v>
      </c>
      <c r="N9" s="190">
        <v>220828</v>
      </c>
      <c r="O9" s="190">
        <v>187249</v>
      </c>
      <c r="P9" s="190">
        <v>161147</v>
      </c>
      <c r="Q9" s="363">
        <v>762358</v>
      </c>
      <c r="R9" s="363">
        <v>478744</v>
      </c>
      <c r="S9" s="363">
        <v>468413</v>
      </c>
      <c r="T9" s="363">
        <v>187004</v>
      </c>
    </row>
    <row r="10" spans="1:20">
      <c r="A10" s="364" t="s">
        <v>741</v>
      </c>
      <c r="B10" s="173"/>
      <c r="C10" s="190">
        <v>497854</v>
      </c>
      <c r="D10" s="190">
        <v>1675909</v>
      </c>
      <c r="E10" s="190">
        <v>1279720</v>
      </c>
      <c r="F10" s="190">
        <v>1496268</v>
      </c>
      <c r="G10" s="190">
        <v>1540390</v>
      </c>
      <c r="H10" s="190">
        <v>1620922</v>
      </c>
      <c r="I10" s="190">
        <v>1903019</v>
      </c>
      <c r="J10" s="190">
        <v>1380238</v>
      </c>
      <c r="K10" s="190">
        <v>1316628</v>
      </c>
      <c r="L10" s="190">
        <v>1258888</v>
      </c>
      <c r="M10" s="190">
        <v>1530600</v>
      </c>
      <c r="N10" s="190">
        <v>1461164</v>
      </c>
      <c r="O10" s="190">
        <v>1287213</v>
      </c>
      <c r="P10" s="190">
        <v>1211582</v>
      </c>
      <c r="Q10" s="363">
        <v>852897</v>
      </c>
      <c r="R10" s="363">
        <v>812488</v>
      </c>
      <c r="S10" s="363">
        <v>774445</v>
      </c>
      <c r="T10" s="363">
        <v>1786053</v>
      </c>
    </row>
    <row r="11" spans="1:20">
      <c r="A11" s="173" t="s">
        <v>693</v>
      </c>
      <c r="B11" s="173"/>
      <c r="C11" s="190">
        <v>2316357</v>
      </c>
      <c r="D11" s="190">
        <v>2799636</v>
      </c>
      <c r="E11" s="190">
        <v>2870248</v>
      </c>
      <c r="F11" s="190">
        <v>2819633</v>
      </c>
      <c r="G11" s="190">
        <v>2796158</v>
      </c>
      <c r="H11" s="190">
        <v>2888731</v>
      </c>
      <c r="I11" s="190">
        <v>3129276</v>
      </c>
      <c r="J11" s="190">
        <v>1696392</v>
      </c>
      <c r="K11" s="190">
        <v>1666325</v>
      </c>
      <c r="L11" s="190">
        <v>1621328</v>
      </c>
      <c r="M11" s="190">
        <v>1762105</v>
      </c>
      <c r="N11" s="190">
        <v>1784284</v>
      </c>
      <c r="O11" s="190">
        <v>1756553</v>
      </c>
      <c r="P11" s="190">
        <v>1886549</v>
      </c>
      <c r="Q11" s="363">
        <v>2138386</v>
      </c>
      <c r="R11" s="363">
        <v>2103484</v>
      </c>
      <c r="S11" s="363">
        <v>2086588</v>
      </c>
      <c r="T11" s="363">
        <v>2134154</v>
      </c>
    </row>
    <row r="12" spans="1:20">
      <c r="A12" s="173" t="s">
        <v>694</v>
      </c>
      <c r="B12" s="173"/>
      <c r="C12" s="190">
        <v>32762</v>
      </c>
      <c r="D12" s="190">
        <v>49326</v>
      </c>
      <c r="E12" s="190">
        <v>40702</v>
      </c>
      <c r="F12" s="190">
        <v>43821</v>
      </c>
      <c r="G12" s="190">
        <v>44484</v>
      </c>
      <c r="H12" s="190">
        <v>45969</v>
      </c>
      <c r="I12" s="190">
        <v>49835</v>
      </c>
      <c r="P12" s="190">
        <v>0</v>
      </c>
    </row>
    <row r="13" spans="1:20">
      <c r="A13" s="173" t="s">
        <v>742</v>
      </c>
      <c r="B13" s="173"/>
      <c r="C13" s="190">
        <v>-1166087</v>
      </c>
      <c r="D13" s="190">
        <v>-1278064</v>
      </c>
      <c r="E13" s="190">
        <v>-1302925</v>
      </c>
      <c r="F13" s="190">
        <v>-1350336</v>
      </c>
      <c r="G13" s="190">
        <v>-1387253</v>
      </c>
      <c r="H13" s="190">
        <v>-1429457</v>
      </c>
      <c r="I13" s="190">
        <v>-1472345</v>
      </c>
      <c r="P13" s="190">
        <v>0</v>
      </c>
    </row>
    <row r="14" spans="1:20">
      <c r="A14" s="173" t="s">
        <v>695</v>
      </c>
      <c r="B14" s="173"/>
      <c r="C14" s="190">
        <v>1594</v>
      </c>
      <c r="D14" s="190">
        <v>1796</v>
      </c>
      <c r="E14" s="190"/>
      <c r="P14" s="190">
        <v>0</v>
      </c>
    </row>
    <row r="15" spans="1:20">
      <c r="A15" s="173" t="s">
        <v>698</v>
      </c>
      <c r="B15" s="173"/>
      <c r="C15" s="190">
        <v>46949</v>
      </c>
      <c r="D15" s="190">
        <v>20403</v>
      </c>
      <c r="E15" s="190">
        <v>39208</v>
      </c>
      <c r="F15" s="190">
        <v>29855</v>
      </c>
      <c r="G15" s="190">
        <v>26777</v>
      </c>
      <c r="H15" s="190">
        <v>41873</v>
      </c>
      <c r="I15" s="190">
        <v>61541</v>
      </c>
      <c r="J15" s="190">
        <v>63197</v>
      </c>
      <c r="K15" s="190">
        <v>51714</v>
      </c>
      <c r="L15" s="190">
        <v>67519</v>
      </c>
      <c r="M15" s="190">
        <v>75992</v>
      </c>
      <c r="N15" s="190">
        <v>72882</v>
      </c>
      <c r="O15" s="190">
        <v>55130</v>
      </c>
      <c r="P15" s="190">
        <v>48338</v>
      </c>
      <c r="Q15" s="363">
        <v>59502</v>
      </c>
      <c r="R15" s="363">
        <v>54402</v>
      </c>
      <c r="S15" s="363">
        <v>50304</v>
      </c>
      <c r="T15" s="363">
        <v>47856</v>
      </c>
    </row>
    <row r="16" spans="1:20">
      <c r="A16" s="173" t="s">
        <v>696</v>
      </c>
      <c r="B16" s="173"/>
      <c r="C16" s="190">
        <v>157221</v>
      </c>
      <c r="D16" s="190">
        <v>180392</v>
      </c>
      <c r="E16" s="190">
        <v>174332</v>
      </c>
      <c r="F16" s="190">
        <v>217578</v>
      </c>
      <c r="G16" s="190">
        <v>205587</v>
      </c>
      <c r="H16" s="190">
        <v>202148</v>
      </c>
      <c r="I16" s="190">
        <v>183161</v>
      </c>
      <c r="J16" s="190">
        <v>220938</v>
      </c>
      <c r="K16" s="190">
        <v>185976</v>
      </c>
      <c r="L16" s="190">
        <v>198508</v>
      </c>
      <c r="M16" s="190">
        <v>219484</v>
      </c>
      <c r="N16" s="190">
        <v>170107</v>
      </c>
      <c r="O16" s="190">
        <v>162089</v>
      </c>
      <c r="P16" s="190">
        <v>184136</v>
      </c>
      <c r="Q16" s="363">
        <v>146466</v>
      </c>
      <c r="R16" s="363">
        <v>161798</v>
      </c>
      <c r="S16" s="363">
        <v>159170</v>
      </c>
      <c r="T16" s="363">
        <v>172304</v>
      </c>
    </row>
    <row r="17" spans="1:20">
      <c r="A17" s="173" t="s">
        <v>743</v>
      </c>
      <c r="B17" s="173"/>
      <c r="C17" s="190"/>
      <c r="D17" s="190"/>
      <c r="E17" s="190"/>
      <c r="I17" s="190">
        <v>197039</v>
      </c>
      <c r="P17" s="190">
        <v>0</v>
      </c>
    </row>
    <row r="18" spans="1:20">
      <c r="A18" s="173" t="s">
        <v>744</v>
      </c>
      <c r="B18" s="173"/>
      <c r="C18" s="190">
        <v>44635</v>
      </c>
      <c r="D18" s="190">
        <v>7953</v>
      </c>
      <c r="E18" s="190">
        <v>49743</v>
      </c>
      <c r="G18" s="190">
        <v>28759</v>
      </c>
      <c r="J18" s="190">
        <v>65682</v>
      </c>
      <c r="K18" s="190">
        <v>15638</v>
      </c>
      <c r="L18" s="190">
        <v>43634</v>
      </c>
      <c r="M18" s="190">
        <v>0</v>
      </c>
      <c r="O18" s="190">
        <v>5423</v>
      </c>
      <c r="P18" s="190">
        <v>145507</v>
      </c>
      <c r="Q18" s="363">
        <v>123684</v>
      </c>
      <c r="R18" s="363">
        <v>20234</v>
      </c>
      <c r="S18" s="363">
        <v>0</v>
      </c>
    </row>
    <row r="19" spans="1:20">
      <c r="A19" s="173" t="s">
        <v>701</v>
      </c>
      <c r="B19" s="173"/>
      <c r="C19" s="190">
        <v>2161</v>
      </c>
      <c r="D19" s="190">
        <v>4474</v>
      </c>
      <c r="E19" s="190">
        <v>828</v>
      </c>
      <c r="F19" s="190">
        <v>100448</v>
      </c>
      <c r="G19" s="190">
        <v>183850</v>
      </c>
      <c r="H19" s="190">
        <v>141346</v>
      </c>
      <c r="I19" s="190">
        <v>52653</v>
      </c>
      <c r="J19" s="190">
        <v>164999</v>
      </c>
      <c r="K19" s="190">
        <v>58075</v>
      </c>
      <c r="L19" s="190">
        <v>119133</v>
      </c>
      <c r="M19" s="190">
        <v>93401</v>
      </c>
      <c r="N19" s="190">
        <v>88965</v>
      </c>
      <c r="O19" s="190">
        <v>73400</v>
      </c>
      <c r="P19" s="190">
        <v>0</v>
      </c>
      <c r="T19" s="363">
        <v>46</v>
      </c>
    </row>
    <row r="20" spans="1:20">
      <c r="A20" s="173" t="s">
        <v>702</v>
      </c>
      <c r="B20" s="173"/>
      <c r="C20" s="190">
        <v>10868</v>
      </c>
      <c r="D20" s="190">
        <v>11113</v>
      </c>
      <c r="E20" s="190">
        <v>18235</v>
      </c>
      <c r="F20" s="190">
        <v>17008</v>
      </c>
      <c r="G20" s="190">
        <v>21212</v>
      </c>
      <c r="H20" s="190">
        <v>36916</v>
      </c>
      <c r="J20" s="190">
        <v>94819</v>
      </c>
      <c r="K20" s="190">
        <v>97915</v>
      </c>
      <c r="L20" s="190">
        <v>92381</v>
      </c>
      <c r="M20" s="190">
        <v>77394</v>
      </c>
      <c r="N20" s="190">
        <v>71019</v>
      </c>
      <c r="O20" s="190">
        <v>71851</v>
      </c>
      <c r="P20" s="190">
        <v>43635</v>
      </c>
      <c r="Q20" s="363">
        <v>39608</v>
      </c>
      <c r="R20" s="363">
        <v>12097</v>
      </c>
      <c r="S20" s="363">
        <v>9596</v>
      </c>
      <c r="T20" s="363">
        <v>9300</v>
      </c>
    </row>
    <row r="21" spans="1:20">
      <c r="A21" s="173" t="s">
        <v>703</v>
      </c>
      <c r="B21" s="173"/>
      <c r="C21" s="190">
        <v>394898</v>
      </c>
      <c r="D21" s="190">
        <v>398644</v>
      </c>
      <c r="E21" s="190">
        <v>398375</v>
      </c>
      <c r="F21" s="190">
        <v>419732</v>
      </c>
      <c r="G21" s="190">
        <v>444519</v>
      </c>
      <c r="H21" s="190">
        <v>459353</v>
      </c>
      <c r="I21" s="190">
        <v>483310</v>
      </c>
      <c r="J21" s="190">
        <v>386999</v>
      </c>
      <c r="K21" s="190">
        <v>289887</v>
      </c>
      <c r="L21" s="190">
        <v>85629</v>
      </c>
      <c r="M21" s="190">
        <v>79196</v>
      </c>
      <c r="N21" s="190">
        <v>93502</v>
      </c>
      <c r="O21" s="190">
        <v>93638</v>
      </c>
      <c r="P21" s="190">
        <v>111205</v>
      </c>
      <c r="Q21" s="363">
        <v>126159</v>
      </c>
      <c r="R21" s="363">
        <v>114263</v>
      </c>
      <c r="S21" s="363">
        <v>114394</v>
      </c>
      <c r="T21" s="363">
        <v>114284</v>
      </c>
    </row>
    <row r="22" spans="1:20">
      <c r="A22" s="173" t="s">
        <v>704</v>
      </c>
      <c r="B22" s="173"/>
      <c r="C22" s="190">
        <v>60654</v>
      </c>
      <c r="D22" s="190">
        <v>66488</v>
      </c>
      <c r="E22" s="190">
        <v>57511</v>
      </c>
      <c r="F22" s="190">
        <v>75424</v>
      </c>
      <c r="G22" s="190">
        <v>79011</v>
      </c>
      <c r="H22" s="190">
        <v>87159</v>
      </c>
      <c r="I22" s="190">
        <v>99030</v>
      </c>
      <c r="J22" s="190">
        <v>100457</v>
      </c>
      <c r="K22" s="190">
        <v>116366</v>
      </c>
      <c r="L22" s="190">
        <v>131814</v>
      </c>
      <c r="M22" s="190">
        <v>123622</v>
      </c>
      <c r="N22" s="190">
        <v>131778</v>
      </c>
      <c r="O22" s="190">
        <v>152736</v>
      </c>
      <c r="P22" s="190">
        <v>227561</v>
      </c>
      <c r="Q22" s="363">
        <v>304088</v>
      </c>
      <c r="R22" s="363">
        <v>178231</v>
      </c>
      <c r="S22" s="363">
        <v>236806</v>
      </c>
      <c r="T22" s="363">
        <v>297796</v>
      </c>
    </row>
    <row r="23" spans="1:20">
      <c r="A23" s="173" t="s">
        <v>745</v>
      </c>
      <c r="B23" s="173"/>
      <c r="C23" s="190"/>
      <c r="D23" s="190"/>
      <c r="E23" s="190"/>
      <c r="J23" s="190">
        <v>125237</v>
      </c>
      <c r="K23" s="190">
        <v>138855</v>
      </c>
      <c r="L23" s="190">
        <v>110781</v>
      </c>
      <c r="M23" s="190">
        <v>46278</v>
      </c>
      <c r="P23" s="190">
        <v>0</v>
      </c>
    </row>
    <row r="24" spans="1:20">
      <c r="A24" s="173" t="s">
        <v>746</v>
      </c>
      <c r="B24" s="173"/>
      <c r="C24" s="190">
        <v>113738</v>
      </c>
      <c r="D24" s="190">
        <v>112313</v>
      </c>
      <c r="E24" s="190">
        <v>139493</v>
      </c>
      <c r="F24" s="190">
        <v>143035</v>
      </c>
      <c r="G24" s="190">
        <v>152495</v>
      </c>
      <c r="H24" s="190">
        <v>254727</v>
      </c>
      <c r="I24" s="190">
        <v>331679</v>
      </c>
      <c r="J24" s="190">
        <v>275600</v>
      </c>
      <c r="K24" s="190">
        <v>228081</v>
      </c>
      <c r="L24" s="190">
        <v>238419</v>
      </c>
      <c r="M24" s="190">
        <v>280285</v>
      </c>
      <c r="N24" s="190">
        <v>328028</v>
      </c>
      <c r="O24" s="190">
        <v>320008</v>
      </c>
      <c r="P24" s="190">
        <v>354383</v>
      </c>
      <c r="Q24" s="363">
        <v>328973</v>
      </c>
      <c r="R24" s="363">
        <v>368208</v>
      </c>
      <c r="S24" s="363">
        <v>396438</v>
      </c>
      <c r="T24" s="363">
        <v>428273</v>
      </c>
    </row>
    <row r="25" spans="1:20" ht="15" thickBot="1">
      <c r="A25" s="176" t="s">
        <v>747</v>
      </c>
      <c r="B25" s="173"/>
      <c r="C25" s="190"/>
      <c r="D25" s="190"/>
      <c r="E25" s="190"/>
    </row>
    <row r="26" spans="1:20" ht="15" thickBot="1">
      <c r="A26" s="177" t="s">
        <v>706</v>
      </c>
      <c r="B26" s="359"/>
      <c r="C26" s="178">
        <v>7530449</v>
      </c>
      <c r="D26" s="178">
        <f t="shared" ref="D26:P26" si="2">D27+D42</f>
        <v>7211783</v>
      </c>
      <c r="E26" s="178">
        <f t="shared" si="2"/>
        <v>7411782</v>
      </c>
      <c r="F26" s="178">
        <f t="shared" si="2"/>
        <v>7271204</v>
      </c>
      <c r="G26" s="178">
        <f t="shared" si="2"/>
        <v>7148242</v>
      </c>
      <c r="H26" s="178">
        <f t="shared" si="2"/>
        <v>6881710</v>
      </c>
      <c r="I26" s="178">
        <f t="shared" si="2"/>
        <v>7077729</v>
      </c>
      <c r="J26" s="178">
        <f t="shared" si="2"/>
        <v>7372198</v>
      </c>
      <c r="K26" s="178">
        <f t="shared" si="2"/>
        <v>7489015</v>
      </c>
      <c r="L26" s="178">
        <f t="shared" si="2"/>
        <v>7758701</v>
      </c>
      <c r="M26" s="178">
        <f t="shared" si="2"/>
        <v>8016455</v>
      </c>
      <c r="N26" s="178">
        <f t="shared" si="2"/>
        <v>8367982</v>
      </c>
      <c r="O26" s="178">
        <f t="shared" si="2"/>
        <v>8735757</v>
      </c>
      <c r="P26" s="178">
        <f t="shared" si="2"/>
        <v>8787225</v>
      </c>
      <c r="Q26" s="178">
        <f>Q27+Q42</f>
        <v>9457870</v>
      </c>
      <c r="R26" s="178">
        <f>R27+R42</f>
        <v>9969370</v>
      </c>
      <c r="S26" s="178">
        <f>S27+S42</f>
        <v>10319481</v>
      </c>
      <c r="T26" s="178">
        <f>T27+T42</f>
        <v>10146068</v>
      </c>
    </row>
    <row r="27" spans="1:20" ht="15" thickBot="1">
      <c r="A27" s="177" t="s">
        <v>748</v>
      </c>
      <c r="B27" s="359"/>
      <c r="C27" s="178">
        <f t="shared" ref="C27:Q27" si="3">SUM(C28:C41)</f>
        <v>5292366</v>
      </c>
      <c r="D27" s="178">
        <f t="shared" si="3"/>
        <v>4914599</v>
      </c>
      <c r="E27" s="178">
        <f t="shared" si="3"/>
        <v>5105994</v>
      </c>
      <c r="F27" s="178">
        <f t="shared" si="3"/>
        <v>5126903</v>
      </c>
      <c r="G27" s="178">
        <f t="shared" si="3"/>
        <v>5032503</v>
      </c>
      <c r="H27" s="178">
        <f t="shared" si="3"/>
        <v>4751174</v>
      </c>
      <c r="I27" s="178">
        <f t="shared" si="3"/>
        <v>4817739</v>
      </c>
      <c r="J27" s="178">
        <f t="shared" si="3"/>
        <v>5059753</v>
      </c>
      <c r="K27" s="178">
        <f t="shared" si="3"/>
        <v>5057754</v>
      </c>
      <c r="L27" s="178">
        <f t="shared" si="3"/>
        <v>5392405</v>
      </c>
      <c r="M27" s="178">
        <f t="shared" si="3"/>
        <v>5330248</v>
      </c>
      <c r="N27" s="178">
        <f t="shared" si="3"/>
        <v>5942173</v>
      </c>
      <c r="O27" s="178">
        <f t="shared" si="3"/>
        <v>6494510</v>
      </c>
      <c r="P27" s="178">
        <f t="shared" si="3"/>
        <v>6592142</v>
      </c>
      <c r="Q27" s="178">
        <f t="shared" si="3"/>
        <v>6992259</v>
      </c>
      <c r="R27" s="178">
        <f t="shared" ref="R27:S27" si="4">SUM(R28:R41)</f>
        <v>7361771</v>
      </c>
      <c r="S27" s="178">
        <f t="shared" si="4"/>
        <v>7678715</v>
      </c>
      <c r="T27" s="178">
        <f t="shared" ref="T27" si="5">SUM(T28:T41)</f>
        <v>8354221</v>
      </c>
    </row>
    <row r="28" spans="1:20">
      <c r="A28" s="364" t="s">
        <v>741</v>
      </c>
      <c r="B28" s="359"/>
      <c r="C28" s="190">
        <v>24464</v>
      </c>
      <c r="D28" s="190">
        <v>24309</v>
      </c>
      <c r="E28" s="190">
        <v>24380</v>
      </c>
      <c r="F28" s="190">
        <v>24471</v>
      </c>
      <c r="G28" s="190">
        <v>24559</v>
      </c>
      <c r="H28" s="190">
        <v>24713</v>
      </c>
      <c r="I28" s="190">
        <v>24956</v>
      </c>
      <c r="J28" s="190">
        <v>25411</v>
      </c>
      <c r="K28" s="190">
        <v>25656</v>
      </c>
      <c r="L28" s="190">
        <v>26236</v>
      </c>
      <c r="M28" s="190">
        <v>13645</v>
      </c>
      <c r="N28" s="190">
        <v>13981</v>
      </c>
      <c r="O28" s="190">
        <v>14392</v>
      </c>
      <c r="P28" s="190">
        <v>17876</v>
      </c>
      <c r="Q28" s="363">
        <v>18352</v>
      </c>
      <c r="R28" s="363">
        <v>18761</v>
      </c>
      <c r="S28" s="363">
        <v>19259</v>
      </c>
      <c r="T28" s="363">
        <v>19666</v>
      </c>
    </row>
    <row r="29" spans="1:20">
      <c r="A29" s="173" t="s">
        <v>693</v>
      </c>
      <c r="B29" s="173"/>
      <c r="C29" s="190">
        <v>798550</v>
      </c>
      <c r="D29" s="190">
        <v>382740</v>
      </c>
      <c r="E29" s="190">
        <v>374314</v>
      </c>
      <c r="F29" s="190">
        <v>348444</v>
      </c>
      <c r="G29" s="190">
        <v>343883</v>
      </c>
      <c r="H29" s="190">
        <v>336946</v>
      </c>
      <c r="I29" s="190">
        <v>334679</v>
      </c>
      <c r="J29" s="190">
        <v>322647</v>
      </c>
      <c r="K29" s="190">
        <v>314533</v>
      </c>
      <c r="L29" s="190">
        <v>310075</v>
      </c>
      <c r="M29" s="190">
        <v>307054</v>
      </c>
      <c r="N29" s="190">
        <v>246765</v>
      </c>
      <c r="O29" s="190">
        <v>262960</v>
      </c>
      <c r="P29" s="190">
        <v>242668</v>
      </c>
      <c r="Q29" s="363">
        <v>235193</v>
      </c>
      <c r="R29" s="363">
        <v>224615</v>
      </c>
      <c r="S29" s="363">
        <v>224175</v>
      </c>
      <c r="T29" s="363">
        <v>216490</v>
      </c>
    </row>
    <row r="30" spans="1:20">
      <c r="A30" s="173" t="s">
        <v>749</v>
      </c>
      <c r="B30" s="173"/>
      <c r="C30" s="190">
        <v>85120</v>
      </c>
      <c r="D30" s="190">
        <v>85120</v>
      </c>
      <c r="E30" s="190">
        <v>85120</v>
      </c>
      <c r="G30" s="190">
        <v>121825</v>
      </c>
      <c r="I30" s="190">
        <v>67971</v>
      </c>
      <c r="J30" s="190">
        <v>85120</v>
      </c>
      <c r="K30" s="190">
        <v>74350</v>
      </c>
      <c r="L30" s="190">
        <v>69351</v>
      </c>
      <c r="M30" s="190">
        <v>85120</v>
      </c>
      <c r="O30" s="190">
        <v>20444</v>
      </c>
      <c r="P30" s="190">
        <v>20444</v>
      </c>
      <c r="Q30" s="363">
        <v>20444</v>
      </c>
      <c r="R30" s="363">
        <v>20444</v>
      </c>
      <c r="S30" s="363">
        <v>20444</v>
      </c>
      <c r="T30" s="363">
        <v>402238</v>
      </c>
    </row>
    <row r="31" spans="1:20">
      <c r="A31" s="173" t="s">
        <v>744</v>
      </c>
      <c r="B31" s="173"/>
      <c r="C31" s="190"/>
      <c r="D31" s="190"/>
      <c r="E31" s="190"/>
      <c r="J31" s="190">
        <v>91184</v>
      </c>
      <c r="K31" s="190">
        <v>1372</v>
      </c>
      <c r="M31" s="190">
        <v>71706</v>
      </c>
      <c r="N31" s="190">
        <v>61921</v>
      </c>
      <c r="O31" s="190">
        <v>23276</v>
      </c>
      <c r="P31" s="190">
        <v>0</v>
      </c>
      <c r="T31" s="363">
        <v>3273</v>
      </c>
    </row>
    <row r="32" spans="1:20">
      <c r="A32" s="173" t="s">
        <v>698</v>
      </c>
      <c r="B32" s="173"/>
      <c r="C32" s="190"/>
      <c r="D32" s="190"/>
      <c r="E32" s="190"/>
      <c r="F32" s="190">
        <v>85120</v>
      </c>
      <c r="H32" s="190">
        <v>91688</v>
      </c>
      <c r="N32" s="190">
        <v>85120</v>
      </c>
      <c r="P32" s="190">
        <v>0</v>
      </c>
    </row>
    <row r="33" spans="1:20">
      <c r="A33" s="364" t="s">
        <v>696</v>
      </c>
      <c r="B33" s="173"/>
      <c r="C33" s="190">
        <v>4505</v>
      </c>
      <c r="D33" s="190">
        <v>4505</v>
      </c>
      <c r="E33" s="190">
        <v>4505</v>
      </c>
      <c r="F33" s="190">
        <v>572</v>
      </c>
      <c r="G33" s="190">
        <v>572</v>
      </c>
      <c r="H33" s="190">
        <v>572</v>
      </c>
      <c r="I33" s="190">
        <v>572</v>
      </c>
      <c r="J33" s="190">
        <v>5713</v>
      </c>
      <c r="K33" s="190">
        <v>5713</v>
      </c>
      <c r="L33" s="190">
        <v>5713</v>
      </c>
      <c r="M33" s="190">
        <v>6422</v>
      </c>
      <c r="N33" s="190">
        <v>13958</v>
      </c>
      <c r="O33" s="190">
        <v>13958</v>
      </c>
      <c r="P33" s="190">
        <v>13958</v>
      </c>
      <c r="Q33" s="363">
        <v>13958</v>
      </c>
      <c r="R33" s="363">
        <v>13958</v>
      </c>
      <c r="S33" s="363">
        <v>13958</v>
      </c>
      <c r="T33" s="363">
        <v>13958</v>
      </c>
    </row>
    <row r="34" spans="1:20">
      <c r="A34" s="173" t="s">
        <v>699</v>
      </c>
      <c r="B34" s="173"/>
      <c r="C34" s="190">
        <v>96180</v>
      </c>
      <c r="D34" s="190">
        <v>63766</v>
      </c>
      <c r="E34" s="190">
        <v>64514</v>
      </c>
      <c r="F34" s="190">
        <v>71208</v>
      </c>
      <c r="G34" s="190">
        <v>76435</v>
      </c>
      <c r="H34" s="190">
        <v>79041</v>
      </c>
      <c r="I34" s="190">
        <v>84241</v>
      </c>
      <c r="J34" s="190">
        <v>85797</v>
      </c>
      <c r="K34" s="190">
        <v>90808</v>
      </c>
      <c r="L34" s="190">
        <v>92757</v>
      </c>
      <c r="M34" s="190">
        <v>98439</v>
      </c>
      <c r="N34" s="190">
        <v>100972</v>
      </c>
      <c r="O34" s="190">
        <v>104944</v>
      </c>
      <c r="P34" s="190">
        <v>105424</v>
      </c>
      <c r="Q34" s="363">
        <v>109575</v>
      </c>
      <c r="R34" s="363">
        <v>115228</v>
      </c>
      <c r="S34" s="363">
        <v>142315</v>
      </c>
      <c r="T34" s="363">
        <v>147277</v>
      </c>
    </row>
    <row r="35" spans="1:20">
      <c r="A35" s="173" t="s">
        <v>703</v>
      </c>
      <c r="B35" s="173"/>
      <c r="C35" s="190">
        <v>681914</v>
      </c>
      <c r="D35" s="190">
        <v>687397</v>
      </c>
      <c r="E35" s="190">
        <v>600978</v>
      </c>
      <c r="F35" s="190">
        <v>444640</v>
      </c>
      <c r="G35" s="190">
        <v>349094</v>
      </c>
      <c r="H35" s="190">
        <v>264087</v>
      </c>
      <c r="I35" s="190">
        <v>163862</v>
      </c>
      <c r="J35" s="190">
        <v>88003</v>
      </c>
      <c r="K35" s="190">
        <v>98524</v>
      </c>
      <c r="L35" s="190">
        <v>112685</v>
      </c>
      <c r="M35" s="190">
        <v>150524</v>
      </c>
      <c r="N35" s="190">
        <v>164547</v>
      </c>
      <c r="O35" s="190">
        <v>186613</v>
      </c>
      <c r="P35" s="190">
        <v>213001</v>
      </c>
      <c r="Q35" s="363">
        <v>236561</v>
      </c>
      <c r="R35" s="363">
        <v>262112</v>
      </c>
      <c r="S35" s="363">
        <v>277535</v>
      </c>
      <c r="T35" s="363">
        <v>293906</v>
      </c>
    </row>
    <row r="36" spans="1:20">
      <c r="A36" s="173" t="s">
        <v>704</v>
      </c>
      <c r="B36" s="173"/>
      <c r="C36" s="190">
        <v>49229</v>
      </c>
      <c r="D36" s="190">
        <v>49229</v>
      </c>
      <c r="E36" s="190">
        <v>49520</v>
      </c>
      <c r="F36" s="190">
        <v>49520</v>
      </c>
      <c r="G36" s="190">
        <v>49520</v>
      </c>
      <c r="H36" s="190">
        <v>49520</v>
      </c>
      <c r="I36" s="190">
        <v>49690</v>
      </c>
      <c r="J36" s="190">
        <v>49690</v>
      </c>
      <c r="K36" s="190">
        <v>49690</v>
      </c>
      <c r="L36" s="190">
        <v>49690</v>
      </c>
      <c r="M36" s="190">
        <v>49690</v>
      </c>
      <c r="N36" s="190">
        <v>49690</v>
      </c>
      <c r="O36" s="190">
        <v>49690</v>
      </c>
      <c r="P36" s="190">
        <v>49690</v>
      </c>
      <c r="Q36" s="363">
        <v>49690</v>
      </c>
      <c r="R36" s="363">
        <v>123530</v>
      </c>
      <c r="S36" s="363">
        <v>125076</v>
      </c>
      <c r="T36" s="363">
        <v>126568</v>
      </c>
    </row>
    <row r="37" spans="1:20">
      <c r="A37" s="173" t="s">
        <v>750</v>
      </c>
      <c r="B37" s="173"/>
      <c r="C37" s="190"/>
      <c r="D37" s="190"/>
      <c r="E37" s="190"/>
      <c r="L37" s="364"/>
      <c r="P37" s="190">
        <v>0</v>
      </c>
    </row>
    <row r="38" spans="1:20">
      <c r="A38" s="173" t="s">
        <v>701</v>
      </c>
      <c r="B38" s="173"/>
      <c r="C38" s="190">
        <v>310138</v>
      </c>
      <c r="D38" s="190">
        <v>367547</v>
      </c>
      <c r="E38" s="190">
        <v>413338</v>
      </c>
      <c r="F38" s="190">
        <v>213533</v>
      </c>
      <c r="G38" s="190">
        <v>235758</v>
      </c>
      <c r="H38" s="190">
        <v>100872</v>
      </c>
      <c r="I38" s="190">
        <v>97534</v>
      </c>
      <c r="J38" s="190">
        <v>107017</v>
      </c>
      <c r="K38" s="190">
        <v>53406</v>
      </c>
      <c r="M38" s="190">
        <v>0</v>
      </c>
      <c r="T38" s="363">
        <v>9526</v>
      </c>
    </row>
    <row r="39" spans="1:20">
      <c r="A39" s="364" t="s">
        <v>751</v>
      </c>
      <c r="B39" s="173"/>
      <c r="C39" s="190">
        <v>5873</v>
      </c>
      <c r="D39" s="190">
        <v>5873</v>
      </c>
      <c r="E39" s="190"/>
      <c r="F39" s="190">
        <v>5873</v>
      </c>
      <c r="G39" s="190">
        <v>5840</v>
      </c>
      <c r="H39" s="190">
        <v>5840</v>
      </c>
      <c r="I39" s="190">
        <v>5840</v>
      </c>
      <c r="J39" s="190">
        <v>7187</v>
      </c>
      <c r="K39" s="190">
        <v>7187</v>
      </c>
      <c r="L39" s="190">
        <v>7187</v>
      </c>
      <c r="M39" s="190">
        <v>7187</v>
      </c>
      <c r="N39" s="190">
        <v>7911</v>
      </c>
      <c r="O39" s="190">
        <v>7911</v>
      </c>
      <c r="P39" s="190">
        <v>7911</v>
      </c>
      <c r="Q39" s="363">
        <v>8672</v>
      </c>
      <c r="R39" s="363">
        <v>8265</v>
      </c>
      <c r="S39" s="363">
        <v>8488</v>
      </c>
      <c r="T39" s="363">
        <v>8712</v>
      </c>
    </row>
    <row r="40" spans="1:20">
      <c r="A40" s="173" t="s">
        <v>705</v>
      </c>
      <c r="B40" s="173"/>
      <c r="C40" s="190">
        <v>25932</v>
      </c>
      <c r="D40" s="190">
        <v>18932</v>
      </c>
      <c r="E40" s="190">
        <v>174805</v>
      </c>
      <c r="F40" s="190">
        <v>270151</v>
      </c>
      <c r="G40" s="190">
        <v>165082</v>
      </c>
      <c r="H40" s="190">
        <v>61346</v>
      </c>
      <c r="I40" s="190">
        <v>933</v>
      </c>
      <c r="J40" s="190">
        <v>2105</v>
      </c>
      <c r="K40" s="190">
        <v>2005</v>
      </c>
      <c r="L40" s="190">
        <v>1901</v>
      </c>
      <c r="M40" s="190">
        <v>1730</v>
      </c>
      <c r="N40" s="190">
        <v>1915</v>
      </c>
      <c r="O40" s="190">
        <v>1739</v>
      </c>
      <c r="P40" s="190">
        <v>2529</v>
      </c>
      <c r="Q40" s="363">
        <v>2520</v>
      </c>
      <c r="R40" s="363">
        <v>2204</v>
      </c>
      <c r="S40" s="363">
        <v>2205</v>
      </c>
      <c r="T40" s="363">
        <v>1865</v>
      </c>
    </row>
    <row r="41" spans="1:20" ht="15" thickBot="1">
      <c r="A41" s="173" t="s">
        <v>708</v>
      </c>
      <c r="B41" s="173"/>
      <c r="C41" s="190">
        <v>3210461</v>
      </c>
      <c r="D41" s="190">
        <v>3225181</v>
      </c>
      <c r="E41" s="190">
        <v>3314520</v>
      </c>
      <c r="F41" s="190">
        <v>3613371</v>
      </c>
      <c r="G41" s="190">
        <v>3659935</v>
      </c>
      <c r="H41" s="190">
        <v>3736549</v>
      </c>
      <c r="I41" s="190">
        <v>3987461</v>
      </c>
      <c r="J41" s="190">
        <v>4189879</v>
      </c>
      <c r="K41" s="190">
        <v>4334510</v>
      </c>
      <c r="L41" s="190">
        <v>4716810</v>
      </c>
      <c r="M41" s="190">
        <v>4538731</v>
      </c>
      <c r="N41" s="190">
        <v>5195393</v>
      </c>
      <c r="O41" s="190">
        <v>5808583</v>
      </c>
      <c r="P41" s="190">
        <v>5918641</v>
      </c>
      <c r="Q41" s="363">
        <v>6297294</v>
      </c>
      <c r="R41" s="363">
        <v>6572654</v>
      </c>
      <c r="S41" s="363">
        <v>6845260</v>
      </c>
      <c r="T41" s="363">
        <v>7110742</v>
      </c>
    </row>
    <row r="42" spans="1:20" ht="15" thickBot="1">
      <c r="A42" s="177" t="s">
        <v>752</v>
      </c>
      <c r="B42" s="359"/>
      <c r="C42" s="178">
        <f t="shared" ref="C42:P42" si="6">SUM(C43:C46)</f>
        <v>2238083</v>
      </c>
      <c r="D42" s="178">
        <f t="shared" si="6"/>
        <v>2297184</v>
      </c>
      <c r="E42" s="178">
        <f t="shared" si="6"/>
        <v>2305788</v>
      </c>
      <c r="F42" s="178">
        <f t="shared" si="6"/>
        <v>2144301</v>
      </c>
      <c r="G42" s="178">
        <f t="shared" si="6"/>
        <v>2115739</v>
      </c>
      <c r="H42" s="178">
        <f t="shared" si="6"/>
        <v>2130536</v>
      </c>
      <c r="I42" s="178">
        <f t="shared" si="6"/>
        <v>2259990</v>
      </c>
      <c r="J42" s="178">
        <f t="shared" si="6"/>
        <v>2312445</v>
      </c>
      <c r="K42" s="178">
        <f t="shared" si="6"/>
        <v>2431261</v>
      </c>
      <c r="L42" s="178">
        <f t="shared" si="6"/>
        <v>2366296</v>
      </c>
      <c r="M42" s="178">
        <f t="shared" si="6"/>
        <v>2686207</v>
      </c>
      <c r="N42" s="178">
        <f t="shared" si="6"/>
        <v>2425809</v>
      </c>
      <c r="O42" s="178">
        <f t="shared" si="6"/>
        <v>2241247</v>
      </c>
      <c r="P42" s="178">
        <f t="shared" si="6"/>
        <v>2195083</v>
      </c>
      <c r="Q42" s="178">
        <f>SUM(Q43:Q46)</f>
        <v>2465611</v>
      </c>
      <c r="R42" s="178">
        <f>SUM(R43:R46)</f>
        <v>2607599</v>
      </c>
      <c r="S42" s="178">
        <f>SUM(S43:S46)</f>
        <v>2640766</v>
      </c>
      <c r="T42" s="178">
        <f>SUM(T43:T46)</f>
        <v>1791847</v>
      </c>
    </row>
    <row r="43" spans="1:20">
      <c r="A43" s="173" t="s">
        <v>709</v>
      </c>
      <c r="B43" s="173"/>
      <c r="C43" s="190">
        <v>14328</v>
      </c>
      <c r="D43" s="190">
        <v>11853</v>
      </c>
      <c r="E43" s="190">
        <v>13739</v>
      </c>
      <c r="F43" s="190">
        <v>13938</v>
      </c>
      <c r="G43" s="190">
        <v>33164</v>
      </c>
      <c r="H43" s="190">
        <v>32776</v>
      </c>
      <c r="I43" s="190">
        <v>32461</v>
      </c>
      <c r="J43" s="190">
        <v>32239</v>
      </c>
      <c r="K43" s="190">
        <v>12123</v>
      </c>
      <c r="L43" s="190">
        <v>11877</v>
      </c>
      <c r="M43" s="190">
        <v>11443</v>
      </c>
      <c r="N43" s="190">
        <v>11009</v>
      </c>
      <c r="O43" s="190">
        <v>10575</v>
      </c>
      <c r="P43" s="190">
        <v>9943</v>
      </c>
      <c r="Q43" s="363">
        <v>9475</v>
      </c>
      <c r="R43" s="363">
        <v>9358</v>
      </c>
      <c r="S43" s="363">
        <v>8763</v>
      </c>
      <c r="T43" s="363">
        <v>8336</v>
      </c>
    </row>
    <row r="44" spans="1:20">
      <c r="A44" s="173" t="s">
        <v>712</v>
      </c>
      <c r="B44" s="173"/>
      <c r="C44" s="190">
        <v>148147</v>
      </c>
      <c r="D44" s="190">
        <v>287624</v>
      </c>
      <c r="E44" s="190">
        <v>300054</v>
      </c>
      <c r="F44" s="190">
        <v>134781</v>
      </c>
      <c r="G44" s="190">
        <v>1880928</v>
      </c>
      <c r="H44" s="190">
        <v>1824298</v>
      </c>
      <c r="I44" s="190">
        <v>1737462</v>
      </c>
      <c r="J44" s="190">
        <v>668193</v>
      </c>
      <c r="K44" s="190">
        <v>719545</v>
      </c>
      <c r="L44" s="190">
        <v>776754</v>
      </c>
      <c r="M44" s="190">
        <v>1660976</v>
      </c>
      <c r="N44" s="190">
        <v>849215</v>
      </c>
      <c r="O44" s="190">
        <v>364034</v>
      </c>
      <c r="P44" s="190">
        <v>406268</v>
      </c>
      <c r="Q44" s="363">
        <v>753899</v>
      </c>
      <c r="R44" s="363">
        <v>927346</v>
      </c>
      <c r="S44" s="363">
        <v>1081348</v>
      </c>
      <c r="T44" s="363">
        <v>227781</v>
      </c>
    </row>
    <row r="45" spans="1:20">
      <c r="A45" s="173" t="s">
        <v>711</v>
      </c>
      <c r="B45" s="173"/>
      <c r="C45" s="190">
        <v>2054923</v>
      </c>
      <c r="D45" s="190">
        <v>1975088</v>
      </c>
      <c r="E45" s="190">
        <v>1971769</v>
      </c>
      <c r="F45" s="190">
        <v>1973425</v>
      </c>
      <c r="G45" s="190">
        <v>182242</v>
      </c>
      <c r="H45" s="190">
        <v>256809</v>
      </c>
      <c r="I45" s="190">
        <v>473784</v>
      </c>
      <c r="J45" s="190">
        <v>1595322</v>
      </c>
      <c r="K45" s="190">
        <v>1683643</v>
      </c>
      <c r="L45" s="190">
        <v>1562425</v>
      </c>
      <c r="M45" s="190">
        <v>999141</v>
      </c>
      <c r="N45" s="190">
        <v>1551245</v>
      </c>
      <c r="O45" s="190">
        <v>1853063</v>
      </c>
      <c r="P45" s="190">
        <v>1766051</v>
      </c>
      <c r="Q45" s="363">
        <v>1690155</v>
      </c>
      <c r="R45" s="363">
        <v>1651853</v>
      </c>
      <c r="S45" s="363">
        <v>1532771</v>
      </c>
      <c r="T45" s="363">
        <v>1539047</v>
      </c>
    </row>
    <row r="46" spans="1:20" ht="15" thickBot="1">
      <c r="A46" s="185" t="s">
        <v>753</v>
      </c>
      <c r="B46" s="173"/>
      <c r="C46" s="190">
        <v>20685</v>
      </c>
      <c r="D46" s="190">
        <v>22619</v>
      </c>
      <c r="E46" s="190">
        <v>20226</v>
      </c>
      <c r="F46" s="190">
        <v>22157</v>
      </c>
      <c r="G46" s="190">
        <v>19405</v>
      </c>
      <c r="H46" s="190">
        <v>16653</v>
      </c>
      <c r="I46" s="190">
        <v>16283</v>
      </c>
      <c r="J46" s="190">
        <v>16691</v>
      </c>
      <c r="K46" s="190">
        <v>15950</v>
      </c>
      <c r="L46" s="190">
        <v>15240</v>
      </c>
      <c r="M46" s="190">
        <v>14647</v>
      </c>
      <c r="N46" s="190">
        <v>14340</v>
      </c>
      <c r="O46" s="190">
        <v>13575</v>
      </c>
      <c r="P46" s="190">
        <v>12821</v>
      </c>
      <c r="Q46" s="363">
        <v>12082</v>
      </c>
      <c r="R46" s="363">
        <v>19042</v>
      </c>
      <c r="S46" s="363">
        <v>17884</v>
      </c>
      <c r="T46" s="363">
        <v>16683</v>
      </c>
    </row>
    <row r="47" spans="1:20" ht="15" thickBot="1">
      <c r="A47" s="177" t="s">
        <v>714</v>
      </c>
      <c r="B47" s="359"/>
      <c r="C47" s="178">
        <f t="shared" ref="C47:P47" si="7">C26+C8</f>
        <v>11232109</v>
      </c>
      <c r="D47" s="178">
        <f t="shared" si="7"/>
        <v>11483844</v>
      </c>
      <c r="E47" s="178">
        <f t="shared" si="7"/>
        <v>12490938</v>
      </c>
      <c r="F47" s="178">
        <f t="shared" si="7"/>
        <v>12241267</v>
      </c>
      <c r="G47" s="178">
        <f t="shared" si="7"/>
        <v>12609463</v>
      </c>
      <c r="H47" s="178">
        <f t="shared" si="7"/>
        <v>12474937</v>
      </c>
      <c r="I47" s="178">
        <f t="shared" si="7"/>
        <v>12794341</v>
      </c>
      <c r="J47" s="178">
        <f t="shared" si="7"/>
        <v>12120744</v>
      </c>
      <c r="K47" s="178">
        <f t="shared" si="7"/>
        <v>12061632</v>
      </c>
      <c r="L47" s="178">
        <f t="shared" si="7"/>
        <v>12779850</v>
      </c>
      <c r="M47" s="178">
        <f t="shared" si="7"/>
        <v>12708405</v>
      </c>
      <c r="N47" s="178">
        <f t="shared" si="7"/>
        <v>12790539</v>
      </c>
      <c r="O47" s="178">
        <f t="shared" si="7"/>
        <v>12901047</v>
      </c>
      <c r="P47" s="178">
        <f t="shared" si="7"/>
        <v>13161268</v>
      </c>
      <c r="Q47" s="178">
        <f>Q26+Q8</f>
        <v>14339991</v>
      </c>
      <c r="R47" s="178">
        <f>R26+R8</f>
        <v>14273319</v>
      </c>
      <c r="S47" s="178">
        <f>S26+S8</f>
        <v>14615635</v>
      </c>
      <c r="T47" s="178">
        <f>T26+T8</f>
        <v>15323138</v>
      </c>
    </row>
    <row r="48" spans="1:20">
      <c r="A48" s="173"/>
      <c r="B48" s="173"/>
      <c r="C48" s="279"/>
      <c r="D48" s="279"/>
      <c r="E48" s="279"/>
    </row>
    <row r="49" spans="1:22" ht="15" thickBot="1">
      <c r="A49" s="5" t="s">
        <v>754</v>
      </c>
      <c r="B49" s="168"/>
      <c r="C49" s="564" t="str">
        <f>C7</f>
        <v>1T20</v>
      </c>
      <c r="D49" s="528" t="s">
        <v>38</v>
      </c>
      <c r="E49" s="564" t="s">
        <v>39</v>
      </c>
      <c r="F49" s="564" t="s">
        <v>40</v>
      </c>
      <c r="G49" s="564" t="s">
        <v>41</v>
      </c>
      <c r="H49" s="564" t="s">
        <v>42</v>
      </c>
      <c r="I49" s="564" t="s">
        <v>43</v>
      </c>
      <c r="J49" s="564" t="s">
        <v>44</v>
      </c>
      <c r="K49" s="564" t="s">
        <v>45</v>
      </c>
      <c r="L49" s="564" t="s">
        <v>46</v>
      </c>
      <c r="M49" s="564" t="s">
        <v>47</v>
      </c>
      <c r="N49" s="564" t="str">
        <f>N7</f>
        <v>4T22</v>
      </c>
      <c r="O49" s="564" t="str">
        <f>O7</f>
        <v>1T23</v>
      </c>
      <c r="P49" s="564" t="str">
        <f>P7</f>
        <v>2T23</v>
      </c>
      <c r="Q49" s="564" t="str">
        <f>Q7</f>
        <v>3T23</v>
      </c>
      <c r="R49" s="564" t="s">
        <v>52</v>
      </c>
      <c r="S49" s="564" t="s">
        <v>53</v>
      </c>
      <c r="T49" s="564" t="s">
        <v>54</v>
      </c>
    </row>
    <row r="50" spans="1:22" ht="15" thickBot="1">
      <c r="A50" s="169" t="s">
        <v>690</v>
      </c>
      <c r="B50" s="359"/>
      <c r="C50" s="171">
        <f t="shared" ref="C50:T50" si="8">SUM(C51:C70)</f>
        <v>1529193</v>
      </c>
      <c r="D50" s="171">
        <f t="shared" si="8"/>
        <v>1637747</v>
      </c>
      <c r="E50" s="171">
        <f t="shared" si="8"/>
        <v>2032517</v>
      </c>
      <c r="F50" s="171">
        <f t="shared" si="8"/>
        <v>2535530</v>
      </c>
      <c r="G50" s="171">
        <f t="shared" si="8"/>
        <v>2654028</v>
      </c>
      <c r="H50" s="171">
        <f t="shared" si="8"/>
        <v>2735668</v>
      </c>
      <c r="I50" s="171">
        <f t="shared" si="8"/>
        <v>3669213</v>
      </c>
      <c r="J50" s="171">
        <f t="shared" si="8"/>
        <v>3287767</v>
      </c>
      <c r="K50" s="171">
        <f t="shared" si="8"/>
        <v>2680053</v>
      </c>
      <c r="L50" s="171">
        <f t="shared" si="8"/>
        <v>2898246</v>
      </c>
      <c r="M50" s="171">
        <f t="shared" si="8"/>
        <v>3008198</v>
      </c>
      <c r="N50" s="171">
        <f t="shared" si="8"/>
        <v>3259203</v>
      </c>
      <c r="O50" s="171">
        <f t="shared" si="8"/>
        <v>3038337</v>
      </c>
      <c r="P50" s="171">
        <f t="shared" si="8"/>
        <v>2824565</v>
      </c>
      <c r="Q50" s="171">
        <f t="shared" si="8"/>
        <v>3324553</v>
      </c>
      <c r="R50" s="171">
        <f t="shared" si="8"/>
        <v>2925100</v>
      </c>
      <c r="S50" s="171">
        <f t="shared" si="8"/>
        <v>2856050</v>
      </c>
      <c r="T50" s="171">
        <f t="shared" si="8"/>
        <v>4367814</v>
      </c>
      <c r="V50" s="111"/>
    </row>
    <row r="51" spans="1:22">
      <c r="A51" s="182" t="s">
        <v>751</v>
      </c>
      <c r="B51" s="182"/>
      <c r="C51" s="190"/>
      <c r="D51" s="190"/>
      <c r="E51" s="190"/>
      <c r="L51" s="190">
        <v>756</v>
      </c>
      <c r="M51" s="190">
        <v>756</v>
      </c>
      <c r="N51" s="190">
        <v>862</v>
      </c>
      <c r="O51" s="190">
        <v>862</v>
      </c>
      <c r="P51" s="190">
        <v>1306</v>
      </c>
      <c r="Q51" s="363">
        <v>1319</v>
      </c>
      <c r="R51" s="363">
        <v>1336</v>
      </c>
      <c r="S51" s="363">
        <v>1373</v>
      </c>
      <c r="T51" s="363">
        <v>1493</v>
      </c>
    </row>
    <row r="52" spans="1:22">
      <c r="A52" s="182" t="s">
        <v>716</v>
      </c>
      <c r="B52" s="182"/>
      <c r="C52" s="190">
        <v>524989</v>
      </c>
      <c r="D52" s="190">
        <v>513779</v>
      </c>
      <c r="E52" s="190">
        <v>593980</v>
      </c>
      <c r="F52" s="190">
        <v>750901</v>
      </c>
      <c r="G52" s="190">
        <v>650369</v>
      </c>
      <c r="H52" s="190">
        <v>708538</v>
      </c>
      <c r="I52" s="190">
        <v>958745</v>
      </c>
      <c r="J52" s="190">
        <v>1090256</v>
      </c>
      <c r="K52" s="190">
        <v>780193</v>
      </c>
      <c r="L52" s="190">
        <v>868670</v>
      </c>
      <c r="M52" s="190">
        <v>930702</v>
      </c>
      <c r="N52" s="190">
        <v>999203</v>
      </c>
      <c r="O52" s="190">
        <v>893611</v>
      </c>
      <c r="P52" s="190">
        <v>906470</v>
      </c>
      <c r="Q52" s="363">
        <v>1093094</v>
      </c>
      <c r="R52" s="363">
        <v>1218385</v>
      </c>
      <c r="S52" s="363">
        <v>969012</v>
      </c>
      <c r="T52" s="363">
        <v>1063030</v>
      </c>
    </row>
    <row r="53" spans="1:22">
      <c r="A53" s="182" t="s">
        <v>717</v>
      </c>
      <c r="B53" s="182"/>
      <c r="C53" s="190">
        <v>15142</v>
      </c>
      <c r="D53" s="190">
        <v>22128</v>
      </c>
      <c r="E53" s="190">
        <v>21823</v>
      </c>
      <c r="F53" s="190">
        <v>15794</v>
      </c>
      <c r="G53" s="190">
        <v>18158</v>
      </c>
      <c r="H53" s="190">
        <v>19535</v>
      </c>
      <c r="I53" s="190">
        <v>21853</v>
      </c>
      <c r="J53" s="190">
        <v>21735</v>
      </c>
      <c r="K53" s="190">
        <v>22375</v>
      </c>
      <c r="L53" s="190">
        <v>20349</v>
      </c>
      <c r="M53" s="190">
        <v>22514</v>
      </c>
      <c r="N53" s="190">
        <v>19162</v>
      </c>
      <c r="O53" s="190">
        <v>23077</v>
      </c>
      <c r="P53" s="190">
        <v>22207</v>
      </c>
      <c r="Q53" s="363">
        <v>23525</v>
      </c>
      <c r="R53" s="363">
        <v>20297</v>
      </c>
      <c r="S53" s="363">
        <v>25831</v>
      </c>
      <c r="T53" s="363">
        <v>23784</v>
      </c>
    </row>
    <row r="54" spans="1:22">
      <c r="A54" s="173" t="s">
        <v>755</v>
      </c>
      <c r="B54" s="173"/>
      <c r="C54" s="190">
        <v>52257</v>
      </c>
      <c r="D54" s="190">
        <v>199441</v>
      </c>
      <c r="E54" s="190">
        <v>419032</v>
      </c>
      <c r="F54" s="190">
        <v>779981</v>
      </c>
      <c r="G54" s="190">
        <v>991010</v>
      </c>
      <c r="H54" s="190">
        <v>1031968</v>
      </c>
      <c r="I54" s="190">
        <v>1100331</v>
      </c>
      <c r="J54" s="190">
        <v>767272</v>
      </c>
      <c r="K54" s="190">
        <v>554876</v>
      </c>
      <c r="L54" s="190">
        <v>709851</v>
      </c>
      <c r="M54" s="190">
        <v>573263</v>
      </c>
      <c r="N54" s="190">
        <v>569787</v>
      </c>
      <c r="O54" s="190">
        <v>604165</v>
      </c>
      <c r="P54" s="190">
        <v>281258</v>
      </c>
      <c r="Q54" s="363">
        <v>318975</v>
      </c>
      <c r="R54" s="363">
        <v>327982</v>
      </c>
      <c r="S54" s="363">
        <v>346948</v>
      </c>
      <c r="T54" s="363">
        <v>337180</v>
      </c>
    </row>
    <row r="55" spans="1:22">
      <c r="A55" s="173" t="s">
        <v>719</v>
      </c>
      <c r="B55" s="173"/>
      <c r="C55" s="190">
        <v>28065</v>
      </c>
      <c r="D55" s="190">
        <v>18387</v>
      </c>
      <c r="E55" s="190">
        <v>34644</v>
      </c>
      <c r="F55" s="190">
        <v>240462</v>
      </c>
      <c r="G55" s="190">
        <v>286509</v>
      </c>
      <c r="H55" s="190">
        <v>295738</v>
      </c>
      <c r="I55" s="190">
        <v>323650</v>
      </c>
      <c r="J55" s="190">
        <v>52871</v>
      </c>
      <c r="K55" s="190">
        <v>81387</v>
      </c>
      <c r="L55" s="190">
        <v>522501</v>
      </c>
      <c r="M55" s="190">
        <v>106849</v>
      </c>
      <c r="N55" s="190">
        <v>199033</v>
      </c>
      <c r="O55" s="190">
        <v>253266</v>
      </c>
      <c r="P55" s="190">
        <v>209457</v>
      </c>
      <c r="Q55" s="363">
        <v>262183</v>
      </c>
      <c r="R55" s="363">
        <v>59398</v>
      </c>
      <c r="S55" s="363">
        <v>60275</v>
      </c>
      <c r="T55" s="363">
        <v>17851</v>
      </c>
    </row>
    <row r="56" spans="1:22">
      <c r="A56" s="173" t="s">
        <v>720</v>
      </c>
      <c r="B56" s="173"/>
      <c r="C56" s="190"/>
      <c r="D56" s="190"/>
      <c r="E56" s="190"/>
      <c r="F56" s="190">
        <v>80984</v>
      </c>
      <c r="H56" s="190">
        <v>8542</v>
      </c>
      <c r="I56" s="190">
        <v>50</v>
      </c>
      <c r="M56" s="190">
        <v>37850</v>
      </c>
      <c r="N56" s="190">
        <v>169408</v>
      </c>
      <c r="P56" s="190">
        <v>0</v>
      </c>
      <c r="S56" s="363">
        <v>98821</v>
      </c>
      <c r="T56" s="363">
        <v>255842</v>
      </c>
    </row>
    <row r="57" spans="1:22">
      <c r="A57" s="173" t="s">
        <v>721</v>
      </c>
      <c r="B57" s="173"/>
      <c r="C57" s="190">
        <v>198756</v>
      </c>
      <c r="D57" s="190">
        <v>229647</v>
      </c>
      <c r="E57" s="190">
        <v>233934</v>
      </c>
      <c r="F57" s="190">
        <v>152601</v>
      </c>
      <c r="G57" s="190">
        <v>149987</v>
      </c>
      <c r="H57" s="190">
        <v>136539</v>
      </c>
      <c r="I57" s="190">
        <v>201066</v>
      </c>
      <c r="J57" s="190">
        <v>206427</v>
      </c>
      <c r="K57" s="190">
        <v>191892</v>
      </c>
      <c r="L57" s="190">
        <v>182353</v>
      </c>
      <c r="M57" s="190">
        <v>175168</v>
      </c>
      <c r="N57" s="190">
        <v>189798</v>
      </c>
      <c r="O57" s="190">
        <v>174667</v>
      </c>
      <c r="P57" s="190">
        <v>191444</v>
      </c>
      <c r="Q57" s="363">
        <v>233246</v>
      </c>
      <c r="R57" s="363">
        <v>222362</v>
      </c>
      <c r="S57" s="363">
        <v>229648</v>
      </c>
      <c r="T57" s="363">
        <v>250668</v>
      </c>
    </row>
    <row r="58" spans="1:22">
      <c r="A58" s="173" t="s">
        <v>756</v>
      </c>
      <c r="B58" s="173"/>
      <c r="C58" s="190">
        <v>1257</v>
      </c>
      <c r="D58" s="190">
        <v>7834</v>
      </c>
      <c r="E58" s="190">
        <v>21020</v>
      </c>
      <c r="F58" s="190">
        <v>36183</v>
      </c>
      <c r="G58" s="190">
        <v>5809</v>
      </c>
      <c r="H58" s="190">
        <v>68077</v>
      </c>
      <c r="I58" s="190">
        <v>66554</v>
      </c>
      <c r="J58" s="190">
        <v>43531</v>
      </c>
      <c r="K58" s="190">
        <v>134663</v>
      </c>
      <c r="L58" s="190">
        <v>76178</v>
      </c>
      <c r="M58" s="190">
        <v>148839</v>
      </c>
      <c r="N58" s="190">
        <v>69396</v>
      </c>
      <c r="O58" s="190">
        <v>111433</v>
      </c>
      <c r="P58" s="190">
        <v>232788</v>
      </c>
      <c r="Q58" s="363">
        <v>308297</v>
      </c>
      <c r="R58" s="363">
        <v>2650</v>
      </c>
      <c r="S58" s="363">
        <v>64132</v>
      </c>
      <c r="T58" s="363">
        <v>90802</v>
      </c>
    </row>
    <row r="59" spans="1:22">
      <c r="A59" s="173" t="s">
        <v>723</v>
      </c>
      <c r="B59" s="173"/>
      <c r="C59" s="190">
        <v>22120</v>
      </c>
      <c r="D59" s="190">
        <v>328</v>
      </c>
      <c r="E59" s="190">
        <v>249</v>
      </c>
      <c r="F59" s="190">
        <v>66559</v>
      </c>
      <c r="G59" s="190">
        <v>66559</v>
      </c>
      <c r="H59" s="190">
        <v>459</v>
      </c>
      <c r="I59" s="190">
        <v>582</v>
      </c>
      <c r="J59" s="190">
        <v>204071</v>
      </c>
      <c r="K59" s="190">
        <v>204071</v>
      </c>
      <c r="L59" s="190">
        <v>808</v>
      </c>
      <c r="M59" s="190">
        <v>808</v>
      </c>
      <c r="N59" s="190">
        <v>277586</v>
      </c>
      <c r="O59" s="190">
        <v>277586</v>
      </c>
      <c r="P59" s="190">
        <v>277457</v>
      </c>
      <c r="Q59" s="363">
        <v>327081</v>
      </c>
      <c r="R59" s="363">
        <v>419562</v>
      </c>
      <c r="S59" s="363">
        <v>419562</v>
      </c>
      <c r="T59" s="363">
        <f>+[2]Passivo!$G$24</f>
        <v>1679760</v>
      </c>
    </row>
    <row r="60" spans="1:22">
      <c r="A60" s="173" t="s">
        <v>724</v>
      </c>
      <c r="B60" s="173"/>
      <c r="C60" s="190"/>
      <c r="D60" s="190"/>
      <c r="E60" s="190"/>
      <c r="I60" s="190">
        <v>109771</v>
      </c>
      <c r="J60" s="190">
        <v>99922</v>
      </c>
      <c r="K60" s="190">
        <v>103356</v>
      </c>
      <c r="L60" s="190">
        <v>91894</v>
      </c>
      <c r="M60" s="190">
        <v>91837</v>
      </c>
      <c r="N60" s="190">
        <v>99897</v>
      </c>
      <c r="O60" s="190">
        <v>107812</v>
      </c>
      <c r="P60" s="190">
        <v>112385</v>
      </c>
      <c r="Q60" s="363">
        <v>112578</v>
      </c>
      <c r="R60" s="363">
        <v>128473</v>
      </c>
      <c r="S60" s="363">
        <v>119381</v>
      </c>
      <c r="T60" s="363">
        <v>116644</v>
      </c>
    </row>
    <row r="61" spans="1:22">
      <c r="A61" s="173" t="s">
        <v>725</v>
      </c>
      <c r="B61" s="173"/>
      <c r="C61" s="190">
        <v>19589</v>
      </c>
      <c r="D61" s="190">
        <v>22457</v>
      </c>
      <c r="E61" s="190">
        <v>32918</v>
      </c>
      <c r="F61" s="190">
        <v>28820</v>
      </c>
      <c r="G61" s="190">
        <v>27094</v>
      </c>
      <c r="H61" s="190">
        <v>28488</v>
      </c>
      <c r="I61" s="190">
        <v>22745</v>
      </c>
      <c r="J61" s="190">
        <v>24313</v>
      </c>
      <c r="K61" s="190">
        <v>23165</v>
      </c>
      <c r="L61" s="190">
        <v>25341</v>
      </c>
      <c r="M61" s="190">
        <v>31548</v>
      </c>
      <c r="N61" s="190">
        <v>37156</v>
      </c>
      <c r="O61" s="190">
        <v>33247</v>
      </c>
      <c r="P61" s="190">
        <v>31490</v>
      </c>
      <c r="Q61" s="363">
        <v>39007</v>
      </c>
      <c r="R61" s="363">
        <v>49666</v>
      </c>
      <c r="S61" s="363">
        <v>44048</v>
      </c>
      <c r="T61" s="363">
        <v>50886</v>
      </c>
    </row>
    <row r="62" spans="1:22">
      <c r="A62" s="173" t="s">
        <v>757</v>
      </c>
      <c r="B62" s="173"/>
      <c r="C62" s="190">
        <v>115802</v>
      </c>
      <c r="D62" s="190">
        <v>120345</v>
      </c>
      <c r="E62" s="190">
        <v>101041</v>
      </c>
      <c r="F62" s="190">
        <v>123194</v>
      </c>
      <c r="G62" s="190">
        <v>181196</v>
      </c>
      <c r="H62" s="190">
        <v>155438</v>
      </c>
      <c r="P62" s="190">
        <v>0</v>
      </c>
    </row>
    <row r="63" spans="1:22">
      <c r="A63" s="173" t="s">
        <v>758</v>
      </c>
      <c r="B63" s="173"/>
      <c r="C63" s="190">
        <v>43721</v>
      </c>
      <c r="D63" s="190">
        <v>31525</v>
      </c>
      <c r="E63" s="190">
        <v>32854</v>
      </c>
      <c r="F63" s="190">
        <v>37924</v>
      </c>
      <c r="G63" s="190">
        <v>43645</v>
      </c>
      <c r="H63" s="190">
        <v>30799</v>
      </c>
      <c r="I63" s="190">
        <v>37178</v>
      </c>
      <c r="J63" s="190">
        <v>43100</v>
      </c>
      <c r="K63" s="190">
        <v>49231</v>
      </c>
      <c r="L63" s="190">
        <v>30193</v>
      </c>
      <c r="M63" s="190">
        <v>36661</v>
      </c>
      <c r="N63" s="190">
        <v>43151</v>
      </c>
      <c r="O63" s="190">
        <v>25743</v>
      </c>
      <c r="P63" s="190">
        <v>23813</v>
      </c>
      <c r="Q63" s="363">
        <v>30595</v>
      </c>
      <c r="R63" s="363">
        <v>37384</v>
      </c>
      <c r="S63" s="363">
        <v>20320</v>
      </c>
      <c r="T63" s="363">
        <v>18666</v>
      </c>
    </row>
    <row r="64" spans="1:22">
      <c r="A64" s="173" t="s">
        <v>759</v>
      </c>
      <c r="B64" s="173"/>
      <c r="C64" s="190"/>
      <c r="D64" s="190"/>
      <c r="E64" s="190"/>
    </row>
    <row r="65" spans="1:20">
      <c r="A65" s="173" t="s">
        <v>701</v>
      </c>
      <c r="B65" s="173"/>
      <c r="C65" s="190"/>
      <c r="D65" s="190"/>
      <c r="E65" s="190"/>
      <c r="P65" s="190">
        <v>883</v>
      </c>
      <c r="Q65" s="363">
        <v>2699</v>
      </c>
      <c r="R65" s="363">
        <v>650</v>
      </c>
      <c r="S65" s="363">
        <v>2316</v>
      </c>
      <c r="T65" s="363">
        <v>0</v>
      </c>
    </row>
    <row r="66" spans="1:20">
      <c r="A66" s="173" t="s">
        <v>760</v>
      </c>
      <c r="B66" s="173"/>
      <c r="C66" s="190">
        <v>8142</v>
      </c>
      <c r="D66" s="190">
        <v>19078</v>
      </c>
      <c r="E66" s="190">
        <v>88037</v>
      </c>
      <c r="F66" s="190">
        <v>30652</v>
      </c>
      <c r="G66" s="190">
        <v>27585</v>
      </c>
      <c r="H66" s="190">
        <v>46194</v>
      </c>
      <c r="I66" s="190">
        <v>42792</v>
      </c>
      <c r="J66" s="190">
        <v>43686</v>
      </c>
      <c r="K66" s="190">
        <v>39745</v>
      </c>
      <c r="L66" s="190">
        <v>52023</v>
      </c>
      <c r="M66" s="190">
        <v>230098</v>
      </c>
      <c r="N66" s="190">
        <v>52923</v>
      </c>
      <c r="O66" s="190">
        <v>38379</v>
      </c>
      <c r="P66" s="190">
        <v>49756</v>
      </c>
      <c r="Q66" s="363">
        <v>67214</v>
      </c>
      <c r="R66" s="363">
        <v>74869</v>
      </c>
      <c r="S66" s="363">
        <v>86999</v>
      </c>
      <c r="T66" s="363">
        <v>94807</v>
      </c>
    </row>
    <row r="67" spans="1:20">
      <c r="A67" s="173" t="s">
        <v>761</v>
      </c>
      <c r="B67" s="173"/>
      <c r="C67" s="190">
        <v>3642</v>
      </c>
      <c r="D67" s="190">
        <v>4306</v>
      </c>
      <c r="E67" s="190">
        <v>5070</v>
      </c>
      <c r="F67" s="190">
        <v>5533</v>
      </c>
      <c r="G67" s="190">
        <v>6213</v>
      </c>
      <c r="H67" s="190">
        <v>6542</v>
      </c>
      <c r="I67" s="190">
        <v>6574</v>
      </c>
      <c r="J67" s="190">
        <v>21485</v>
      </c>
      <c r="K67" s="190">
        <v>22258</v>
      </c>
      <c r="L67" s="190">
        <v>23333</v>
      </c>
      <c r="M67" s="190">
        <v>8709</v>
      </c>
      <c r="N67" s="190">
        <v>8297</v>
      </c>
      <c r="O67" s="190">
        <v>8996</v>
      </c>
      <c r="P67" s="190">
        <v>8780</v>
      </c>
      <c r="Q67" s="363">
        <v>8413</v>
      </c>
      <c r="R67" s="363">
        <v>9305</v>
      </c>
      <c r="S67" s="363">
        <v>10320</v>
      </c>
      <c r="T67" s="363">
        <v>10114</v>
      </c>
    </row>
    <row r="68" spans="1:20">
      <c r="A68" s="173" t="s">
        <v>729</v>
      </c>
      <c r="B68" s="173"/>
      <c r="C68" s="190">
        <v>324596</v>
      </c>
      <c r="D68" s="190">
        <v>325523</v>
      </c>
      <c r="E68" s="190">
        <v>326263</v>
      </c>
      <c r="I68" s="190">
        <v>525558</v>
      </c>
      <c r="J68" s="190">
        <v>369478</v>
      </c>
      <c r="K68" s="190">
        <v>226432</v>
      </c>
      <c r="L68" s="190">
        <v>70438</v>
      </c>
      <c r="M68" s="190">
        <v>332501</v>
      </c>
      <c r="N68" s="190">
        <v>233218</v>
      </c>
      <c r="O68" s="190">
        <v>144570</v>
      </c>
      <c r="P68" s="190">
        <v>39128</v>
      </c>
      <c r="Q68" s="363">
        <v>9654</v>
      </c>
      <c r="R68" s="363">
        <v>9654</v>
      </c>
      <c r="S68" s="363">
        <v>9654</v>
      </c>
      <c r="T68" s="363">
        <v>9654</v>
      </c>
    </row>
    <row r="69" spans="1:20">
      <c r="A69" s="173" t="s">
        <v>731</v>
      </c>
      <c r="B69" s="173"/>
      <c r="C69" s="190">
        <v>3669</v>
      </c>
      <c r="D69" s="190">
        <v>5208</v>
      </c>
      <c r="E69" s="190">
        <v>5092</v>
      </c>
      <c r="F69" s="190">
        <v>7132</v>
      </c>
      <c r="G69" s="190">
        <v>6460</v>
      </c>
      <c r="H69" s="190">
        <v>5710</v>
      </c>
      <c r="I69" s="190">
        <v>2283</v>
      </c>
      <c r="J69" s="190">
        <v>2505</v>
      </c>
      <c r="K69" s="190">
        <v>2491</v>
      </c>
      <c r="L69" s="190">
        <v>2513</v>
      </c>
      <c r="M69" s="190">
        <v>2601</v>
      </c>
      <c r="N69" s="190">
        <v>2872</v>
      </c>
      <c r="O69" s="190">
        <v>2897</v>
      </c>
      <c r="P69" s="190">
        <v>2930</v>
      </c>
      <c r="Q69" s="363">
        <v>2965</v>
      </c>
      <c r="R69" s="363">
        <v>4816</v>
      </c>
      <c r="S69" s="363">
        <v>4855</v>
      </c>
      <c r="T69" s="363">
        <v>4795</v>
      </c>
    </row>
    <row r="70" spans="1:20" ht="15" thickBot="1">
      <c r="A70" s="173" t="s">
        <v>730</v>
      </c>
      <c r="B70" s="173"/>
      <c r="C70" s="190">
        <v>167446</v>
      </c>
      <c r="D70" s="190">
        <v>117761</v>
      </c>
      <c r="E70" s="190">
        <v>116560</v>
      </c>
      <c r="F70" s="190">
        <v>178810</v>
      </c>
      <c r="G70" s="190">
        <v>193434</v>
      </c>
      <c r="H70" s="190">
        <v>193101</v>
      </c>
      <c r="I70" s="190">
        <v>249481</v>
      </c>
      <c r="J70" s="190">
        <v>297115</v>
      </c>
      <c r="K70" s="190">
        <v>243918</v>
      </c>
      <c r="L70" s="190">
        <v>221045</v>
      </c>
      <c r="M70" s="190">
        <v>277494</v>
      </c>
      <c r="N70" s="190">
        <v>287454</v>
      </c>
      <c r="O70" s="190">
        <v>338026</v>
      </c>
      <c r="P70" s="190">
        <v>433013</v>
      </c>
      <c r="Q70" s="363">
        <v>483708</v>
      </c>
      <c r="R70" s="363">
        <v>338311</v>
      </c>
      <c r="S70" s="363">
        <v>342555</v>
      </c>
      <c r="T70" s="363">
        <v>341838</v>
      </c>
    </row>
    <row r="71" spans="1:20" ht="15" thickBot="1">
      <c r="A71" s="177" t="s">
        <v>706</v>
      </c>
      <c r="B71" s="359"/>
      <c r="C71" s="178">
        <f t="shared" ref="C71:M71" si="9">SUM(C72:C86)</f>
        <v>6284814</v>
      </c>
      <c r="D71" s="178">
        <f t="shared" si="9"/>
        <v>6490029</v>
      </c>
      <c r="E71" s="178">
        <f t="shared" si="9"/>
        <v>6825895</v>
      </c>
      <c r="F71" s="178">
        <f t="shared" si="9"/>
        <v>6332559</v>
      </c>
      <c r="G71" s="178">
        <f t="shared" si="9"/>
        <v>6473338</v>
      </c>
      <c r="H71" s="178">
        <f t="shared" si="9"/>
        <v>6176390</v>
      </c>
      <c r="I71" s="178">
        <f t="shared" si="9"/>
        <v>5517933</v>
      </c>
      <c r="J71" s="178">
        <f t="shared" si="9"/>
        <v>5483062</v>
      </c>
      <c r="K71" s="178">
        <f t="shared" si="9"/>
        <v>5704638</v>
      </c>
      <c r="L71" s="178">
        <f t="shared" si="9"/>
        <v>5901565</v>
      </c>
      <c r="M71" s="178">
        <f t="shared" si="9"/>
        <v>5350218</v>
      </c>
      <c r="N71" s="178">
        <f t="shared" ref="N71:P71" si="10">SUM(N72:N86)</f>
        <v>6641262</v>
      </c>
      <c r="O71" s="178">
        <f t="shared" si="10"/>
        <v>6564415</v>
      </c>
      <c r="P71" s="178">
        <f t="shared" si="10"/>
        <v>6524043</v>
      </c>
      <c r="Q71" s="178">
        <f>SUM(Q72:Q86)</f>
        <v>6562709</v>
      </c>
      <c r="R71" s="178">
        <f>SUM(R72:R86)</f>
        <v>6701372</v>
      </c>
      <c r="S71" s="178">
        <f>SUM(S72:S86)</f>
        <v>6684450</v>
      </c>
      <c r="T71" s="178">
        <f>SUM(T72:T86)</f>
        <v>6656122</v>
      </c>
    </row>
    <row r="72" spans="1:20">
      <c r="A72" s="173" t="s">
        <v>718</v>
      </c>
      <c r="B72" s="173"/>
      <c r="C72" s="202">
        <v>2262724</v>
      </c>
      <c r="D72" s="202">
        <v>2393305</v>
      </c>
      <c r="E72" s="202">
        <v>2445339</v>
      </c>
      <c r="F72" s="190">
        <v>1976662</v>
      </c>
      <c r="G72" s="190">
        <v>2004717</v>
      </c>
      <c r="H72" s="190">
        <v>1711019</v>
      </c>
      <c r="I72" s="190">
        <v>2084316</v>
      </c>
      <c r="J72" s="190">
        <v>2100412</v>
      </c>
      <c r="K72" s="190">
        <v>2382603</v>
      </c>
      <c r="L72" s="190">
        <v>2089432</v>
      </c>
      <c r="M72" s="190">
        <v>2035911</v>
      </c>
      <c r="N72" s="190">
        <v>3430039</v>
      </c>
      <c r="O72" s="190">
        <v>3377134</v>
      </c>
      <c r="P72" s="190">
        <v>3287388</v>
      </c>
      <c r="Q72" s="363">
        <v>3252299</v>
      </c>
      <c r="R72" s="363">
        <v>3148356</v>
      </c>
      <c r="S72" s="363">
        <v>3128961</v>
      </c>
      <c r="T72" s="363">
        <v>3178693</v>
      </c>
    </row>
    <row r="73" spans="1:20">
      <c r="A73" s="173" t="s">
        <v>719</v>
      </c>
      <c r="B73" s="173"/>
      <c r="C73" s="202">
        <v>1423806</v>
      </c>
      <c r="D73" s="202">
        <v>1421021</v>
      </c>
      <c r="E73" s="202">
        <v>1426647</v>
      </c>
      <c r="F73" s="190">
        <v>1209270</v>
      </c>
      <c r="G73" s="190">
        <v>1182877</v>
      </c>
      <c r="H73" s="190">
        <v>1186497</v>
      </c>
      <c r="I73" s="190">
        <v>1192254</v>
      </c>
      <c r="J73" s="190">
        <v>1199231</v>
      </c>
      <c r="K73" s="190">
        <v>1168056</v>
      </c>
      <c r="L73" s="190">
        <v>1519373</v>
      </c>
      <c r="M73" s="190">
        <v>1518332</v>
      </c>
      <c r="N73" s="190">
        <v>1382776</v>
      </c>
      <c r="O73" s="190">
        <v>1345751</v>
      </c>
      <c r="P73" s="190">
        <v>1346006</v>
      </c>
      <c r="Q73" s="363">
        <v>1346260</v>
      </c>
      <c r="R73" s="363">
        <v>1346515</v>
      </c>
      <c r="S73" s="363">
        <v>1346770</v>
      </c>
      <c r="T73" s="363">
        <v>1347025</v>
      </c>
    </row>
    <row r="74" spans="1:20">
      <c r="A74" s="173" t="s">
        <v>721</v>
      </c>
      <c r="B74" s="173"/>
      <c r="C74" s="202">
        <v>179091</v>
      </c>
      <c r="D74" s="202">
        <v>176632</v>
      </c>
      <c r="E74" s="202">
        <v>174001</v>
      </c>
      <c r="F74" s="190">
        <v>171306</v>
      </c>
      <c r="G74" s="190">
        <v>168589</v>
      </c>
      <c r="H74" s="190">
        <v>165979</v>
      </c>
      <c r="I74" s="190">
        <v>163429</v>
      </c>
      <c r="J74" s="190">
        <v>102032</v>
      </c>
      <c r="K74" s="190">
        <v>94251</v>
      </c>
      <c r="L74" s="190">
        <v>92158</v>
      </c>
      <c r="M74" s="190">
        <v>94974</v>
      </c>
      <c r="N74" s="190">
        <v>92198</v>
      </c>
      <c r="O74" s="190">
        <v>90802</v>
      </c>
      <c r="P74" s="190">
        <v>89215</v>
      </c>
      <c r="Q74" s="363">
        <v>86978</v>
      </c>
      <c r="R74" s="363">
        <v>104898</v>
      </c>
      <c r="S74" s="363">
        <v>106503</v>
      </c>
      <c r="T74" s="363">
        <v>113278</v>
      </c>
    </row>
    <row r="75" spans="1:20">
      <c r="A75" s="173" t="s">
        <v>732</v>
      </c>
      <c r="B75" s="173"/>
      <c r="C75" s="202">
        <v>271664</v>
      </c>
      <c r="D75" s="202">
        <v>286198</v>
      </c>
      <c r="E75" s="202">
        <v>342351</v>
      </c>
      <c r="F75" s="190">
        <v>372621</v>
      </c>
      <c r="G75" s="190">
        <v>416285</v>
      </c>
      <c r="H75" s="190">
        <v>401812</v>
      </c>
      <c r="I75" s="190">
        <v>456431</v>
      </c>
      <c r="J75" s="190">
        <v>497385</v>
      </c>
      <c r="K75" s="190">
        <v>456959</v>
      </c>
      <c r="L75" s="190">
        <v>499317</v>
      </c>
      <c r="M75" s="190">
        <v>429448</v>
      </c>
      <c r="N75" s="190">
        <v>410085</v>
      </c>
      <c r="O75" s="190">
        <v>362565</v>
      </c>
      <c r="P75" s="190">
        <v>343854</v>
      </c>
      <c r="Q75" s="363">
        <v>429890</v>
      </c>
      <c r="R75" s="363">
        <v>619427</v>
      </c>
      <c r="S75" s="363">
        <v>651049</v>
      </c>
      <c r="T75" s="363">
        <v>724114</v>
      </c>
    </row>
    <row r="76" spans="1:20">
      <c r="A76" s="173" t="s">
        <v>701</v>
      </c>
      <c r="B76" s="173"/>
      <c r="C76" s="202"/>
      <c r="D76" s="202"/>
      <c r="E76" s="202"/>
      <c r="N76" s="190">
        <v>47724</v>
      </c>
      <c r="O76" s="190">
        <v>107991</v>
      </c>
      <c r="P76" s="190">
        <v>155880</v>
      </c>
      <c r="Q76" s="363">
        <v>135051</v>
      </c>
      <c r="R76" s="363">
        <v>129131</v>
      </c>
      <c r="S76" s="363">
        <v>120626</v>
      </c>
      <c r="T76" s="363">
        <v>0</v>
      </c>
    </row>
    <row r="77" spans="1:20">
      <c r="A77" s="173" t="s">
        <v>761</v>
      </c>
      <c r="B77" s="173"/>
      <c r="C77" s="202">
        <v>131427</v>
      </c>
      <c r="D77" s="202">
        <v>126218</v>
      </c>
      <c r="E77" s="202">
        <v>125016</v>
      </c>
      <c r="F77" s="190">
        <v>123479</v>
      </c>
      <c r="G77" s="190">
        <v>124552</v>
      </c>
      <c r="H77" s="190">
        <v>119955</v>
      </c>
      <c r="I77" s="190">
        <v>120023</v>
      </c>
      <c r="J77" s="190">
        <v>119838</v>
      </c>
      <c r="K77" s="190">
        <v>119999</v>
      </c>
      <c r="L77" s="190">
        <v>119089</v>
      </c>
      <c r="M77" s="190">
        <v>120679</v>
      </c>
      <c r="N77" s="190">
        <v>130178</v>
      </c>
      <c r="O77" s="190">
        <v>130202</v>
      </c>
      <c r="P77" s="190">
        <v>127029</v>
      </c>
      <c r="Q77" s="363">
        <v>126995</v>
      </c>
      <c r="R77" s="363">
        <v>124879</v>
      </c>
      <c r="S77" s="363">
        <v>125432</v>
      </c>
      <c r="T77" s="363">
        <v>124198</v>
      </c>
    </row>
    <row r="78" spans="1:20">
      <c r="A78" s="173" t="s">
        <v>720</v>
      </c>
      <c r="B78" s="173"/>
      <c r="C78" s="202">
        <v>102646</v>
      </c>
      <c r="D78" s="202">
        <v>155794</v>
      </c>
      <c r="E78" s="202">
        <v>418179</v>
      </c>
      <c r="F78" s="190">
        <v>170307</v>
      </c>
      <c r="G78" s="190">
        <v>271397</v>
      </c>
      <c r="H78" s="190">
        <v>256303</v>
      </c>
      <c r="I78" s="190">
        <v>49614</v>
      </c>
      <c r="L78" s="190">
        <v>75492</v>
      </c>
      <c r="P78" s="190">
        <v>40427</v>
      </c>
      <c r="Q78" s="363">
        <v>58883</v>
      </c>
      <c r="R78" s="363">
        <v>78871</v>
      </c>
      <c r="S78" s="363">
        <v>51878</v>
      </c>
      <c r="T78" s="363">
        <v>0</v>
      </c>
    </row>
    <row r="79" spans="1:20">
      <c r="A79" s="173" t="s">
        <v>759</v>
      </c>
      <c r="B79" s="173"/>
      <c r="C79" s="202"/>
      <c r="D79" s="202"/>
      <c r="E79" s="202"/>
      <c r="P79" s="190">
        <v>0</v>
      </c>
    </row>
    <row r="80" spans="1:20" ht="15" customHeight="1">
      <c r="A80" s="173" t="s">
        <v>757</v>
      </c>
      <c r="B80" s="173"/>
      <c r="C80" s="202">
        <v>76357</v>
      </c>
      <c r="D80" s="202">
        <v>76916</v>
      </c>
      <c r="E80" s="202">
        <v>77309</v>
      </c>
      <c r="F80" s="190">
        <v>67545</v>
      </c>
      <c r="G80" s="190">
        <v>15147</v>
      </c>
      <c r="P80" s="190">
        <v>0</v>
      </c>
    </row>
    <row r="81" spans="1:20">
      <c r="A81" s="173" t="s">
        <v>760</v>
      </c>
      <c r="B81" s="173"/>
      <c r="C81" s="202">
        <v>870065</v>
      </c>
      <c r="D81" s="202">
        <v>882137</v>
      </c>
      <c r="E81" s="202">
        <v>834627</v>
      </c>
      <c r="F81" s="190">
        <v>940279</v>
      </c>
      <c r="G81" s="190">
        <v>965449</v>
      </c>
      <c r="H81" s="190">
        <v>985703</v>
      </c>
      <c r="I81" s="190">
        <v>988436</v>
      </c>
      <c r="J81" s="190">
        <v>1008514</v>
      </c>
      <c r="K81" s="190">
        <v>1025901</v>
      </c>
      <c r="L81" s="190">
        <v>1039032</v>
      </c>
      <c r="M81" s="190">
        <v>1035850</v>
      </c>
      <c r="N81" s="190">
        <v>1027434</v>
      </c>
      <c r="O81" s="190">
        <v>1027538</v>
      </c>
      <c r="P81" s="190">
        <v>1010551</v>
      </c>
      <c r="Q81" s="363">
        <v>1000800</v>
      </c>
      <c r="R81" s="363">
        <v>1005699</v>
      </c>
      <c r="S81" s="363">
        <v>1002264</v>
      </c>
      <c r="T81" s="363">
        <v>1006326</v>
      </c>
    </row>
    <row r="82" spans="1:20">
      <c r="A82" s="173" t="s">
        <v>751</v>
      </c>
      <c r="B82" s="173"/>
      <c r="C82" s="202">
        <v>40308</v>
      </c>
      <c r="D82" s="202">
        <v>40308</v>
      </c>
      <c r="E82" s="202">
        <v>40308</v>
      </c>
      <c r="F82" s="190">
        <v>41435</v>
      </c>
      <c r="G82" s="190">
        <v>53233</v>
      </c>
      <c r="H82" s="190">
        <v>53233</v>
      </c>
      <c r="I82" s="190">
        <v>53233</v>
      </c>
      <c r="J82" s="190">
        <v>52375</v>
      </c>
      <c r="K82" s="190">
        <v>52375</v>
      </c>
      <c r="L82" s="190">
        <v>57778</v>
      </c>
      <c r="M82" s="190">
        <v>57778</v>
      </c>
      <c r="N82" s="190">
        <v>63329</v>
      </c>
      <c r="O82" s="190">
        <v>64575</v>
      </c>
      <c r="P82" s="190">
        <v>65340.999999999993</v>
      </c>
      <c r="Q82" s="363">
        <v>67077</v>
      </c>
      <c r="R82" s="363">
        <v>78566</v>
      </c>
      <c r="S82" s="363">
        <v>79926</v>
      </c>
      <c r="T82" s="363">
        <v>81099</v>
      </c>
    </row>
    <row r="83" spans="1:20">
      <c r="A83" s="173" t="s">
        <v>730</v>
      </c>
      <c r="B83" s="173"/>
      <c r="C83" s="202">
        <v>42262</v>
      </c>
      <c r="D83" s="202">
        <v>41300</v>
      </c>
      <c r="E83" s="202">
        <v>40736</v>
      </c>
      <c r="F83" s="190">
        <v>30187</v>
      </c>
      <c r="G83" s="190">
        <v>29664</v>
      </c>
      <c r="H83" s="190">
        <v>31386</v>
      </c>
      <c r="I83" s="190">
        <v>31219</v>
      </c>
      <c r="J83" s="190">
        <v>31213</v>
      </c>
      <c r="K83" s="190">
        <v>30310</v>
      </c>
      <c r="L83" s="190">
        <v>26264</v>
      </c>
      <c r="M83" s="190">
        <v>26135</v>
      </c>
      <c r="N83" s="190">
        <v>26607</v>
      </c>
      <c r="O83" s="190">
        <v>27699</v>
      </c>
      <c r="P83" s="190">
        <v>28560</v>
      </c>
      <c r="Q83" s="363">
        <v>28865</v>
      </c>
      <c r="R83" s="363">
        <v>31427</v>
      </c>
      <c r="S83" s="363">
        <v>30807</v>
      </c>
      <c r="T83" s="363">
        <v>34180</v>
      </c>
    </row>
    <row r="84" spans="1:20">
      <c r="A84" s="173" t="s">
        <v>729</v>
      </c>
      <c r="B84" s="173"/>
      <c r="C84" s="202">
        <v>610542</v>
      </c>
      <c r="D84" s="202">
        <v>615947</v>
      </c>
      <c r="E84" s="202">
        <v>619226</v>
      </c>
      <c r="F84" s="190">
        <v>948552</v>
      </c>
      <c r="G84" s="190">
        <v>951077</v>
      </c>
      <c r="H84" s="190">
        <v>953697</v>
      </c>
      <c r="I84" s="190">
        <v>337390</v>
      </c>
      <c r="J84" s="190">
        <v>343408</v>
      </c>
      <c r="K84" s="190">
        <v>348983</v>
      </c>
      <c r="L84" s="190">
        <v>351867</v>
      </c>
      <c r="M84" s="190">
        <v>0</v>
      </c>
      <c r="P84" s="190">
        <v>0</v>
      </c>
    </row>
    <row r="85" spans="1:20">
      <c r="A85" s="173" t="s">
        <v>731</v>
      </c>
      <c r="B85" s="173"/>
      <c r="C85" s="202">
        <v>15111</v>
      </c>
      <c r="D85" s="202">
        <v>16368</v>
      </c>
      <c r="E85" s="202">
        <v>15140</v>
      </c>
      <c r="F85" s="190">
        <v>14558</v>
      </c>
      <c r="G85" s="190">
        <v>13344</v>
      </c>
      <c r="H85" s="190">
        <v>12168</v>
      </c>
      <c r="I85" s="190">
        <v>15649</v>
      </c>
      <c r="J85" s="190">
        <v>15942</v>
      </c>
      <c r="K85" s="190">
        <v>15310</v>
      </c>
      <c r="L85" s="190">
        <v>14663</v>
      </c>
      <c r="M85" s="190">
        <v>14060</v>
      </c>
      <c r="N85" s="190">
        <v>13559</v>
      </c>
      <c r="O85" s="190">
        <v>12820</v>
      </c>
      <c r="P85" s="190">
        <v>12069</v>
      </c>
      <c r="Q85" s="363">
        <v>11318</v>
      </c>
      <c r="R85" s="363">
        <v>16487</v>
      </c>
      <c r="S85" s="363">
        <v>15352</v>
      </c>
      <c r="T85" s="363">
        <v>14249</v>
      </c>
    </row>
    <row r="86" spans="1:20" ht="15" thickBot="1">
      <c r="A86" s="364" t="s">
        <v>724</v>
      </c>
      <c r="B86" s="173"/>
      <c r="C86" s="202">
        <v>258811</v>
      </c>
      <c r="D86" s="202">
        <v>257885</v>
      </c>
      <c r="E86" s="202">
        <v>267016</v>
      </c>
      <c r="F86" s="190">
        <v>266358</v>
      </c>
      <c r="G86" s="190">
        <v>277007</v>
      </c>
      <c r="H86" s="190">
        <v>298638</v>
      </c>
      <c r="I86" s="190">
        <v>25939</v>
      </c>
      <c r="J86" s="190">
        <v>12712</v>
      </c>
      <c r="K86" s="190">
        <v>9891</v>
      </c>
      <c r="L86" s="190">
        <v>17100</v>
      </c>
      <c r="M86" s="190">
        <v>17051</v>
      </c>
      <c r="N86" s="190">
        <v>17333</v>
      </c>
      <c r="O86" s="190">
        <v>17338</v>
      </c>
      <c r="P86" s="190">
        <v>17723</v>
      </c>
      <c r="Q86" s="363">
        <v>18293</v>
      </c>
      <c r="R86" s="363">
        <v>17116</v>
      </c>
      <c r="S86" s="363">
        <v>24882</v>
      </c>
      <c r="T86" s="363">
        <v>32960</v>
      </c>
    </row>
    <row r="87" spans="1:20" ht="15" thickBot="1">
      <c r="A87" s="186" t="s">
        <v>733</v>
      </c>
      <c r="B87" s="359"/>
      <c r="C87" s="208"/>
      <c r="D87" s="208"/>
      <c r="E87" s="208"/>
      <c r="F87" s="208"/>
      <c r="G87" s="208"/>
      <c r="H87" s="208"/>
      <c r="I87" s="208"/>
      <c r="J87" s="208"/>
      <c r="K87" s="208"/>
      <c r="L87" s="208"/>
      <c r="M87" s="208"/>
      <c r="N87" s="208"/>
      <c r="O87" s="208"/>
      <c r="P87" s="208"/>
      <c r="Q87" s="365"/>
      <c r="R87" s="365"/>
      <c r="S87" s="365"/>
      <c r="T87" s="365"/>
    </row>
    <row r="88" spans="1:20" ht="15" thickBot="1">
      <c r="A88" s="177" t="s">
        <v>734</v>
      </c>
      <c r="B88" s="359"/>
      <c r="C88" s="178">
        <f t="shared" ref="C88:P88" si="11">SUM(C89:C94)</f>
        <v>3418102</v>
      </c>
      <c r="D88" s="178">
        <f t="shared" si="11"/>
        <v>3356068</v>
      </c>
      <c r="E88" s="178">
        <f t="shared" si="11"/>
        <v>3632526</v>
      </c>
      <c r="F88" s="178">
        <f t="shared" si="11"/>
        <v>3373178</v>
      </c>
      <c r="G88" s="178">
        <f t="shared" si="11"/>
        <v>3482097</v>
      </c>
      <c r="H88" s="178">
        <f t="shared" si="11"/>
        <v>3562879</v>
      </c>
      <c r="I88" s="178">
        <f t="shared" si="11"/>
        <v>3607195</v>
      </c>
      <c r="J88" s="178">
        <f t="shared" si="11"/>
        <v>3359915</v>
      </c>
      <c r="K88" s="178">
        <f t="shared" si="11"/>
        <v>3676942</v>
      </c>
      <c r="L88" s="178">
        <f t="shared" si="11"/>
        <v>3980039</v>
      </c>
      <c r="M88" s="178">
        <f t="shared" si="11"/>
        <v>4349989</v>
      </c>
      <c r="N88" s="178">
        <f t="shared" si="11"/>
        <v>2890074</v>
      </c>
      <c r="O88" s="178">
        <f t="shared" si="11"/>
        <v>3298295</v>
      </c>
      <c r="P88" s="178">
        <f t="shared" si="11"/>
        <v>3812660</v>
      </c>
      <c r="Q88" s="178">
        <f>SUM(Q89:Q96)</f>
        <v>4452729</v>
      </c>
      <c r="R88" s="178">
        <f>SUM(R89:R96)</f>
        <v>4646847</v>
      </c>
      <c r="S88" s="178">
        <f>SUM(S89:S96)</f>
        <v>5075135</v>
      </c>
      <c r="T88" s="178">
        <f>SUM(T89:T96)</f>
        <v>4299202</v>
      </c>
    </row>
    <row r="89" spans="1:20">
      <c r="A89" s="173" t="s">
        <v>762</v>
      </c>
      <c r="B89" s="173"/>
      <c r="C89" s="190">
        <v>1624459</v>
      </c>
      <c r="D89" s="190">
        <v>1624459</v>
      </c>
      <c r="E89" s="190">
        <v>1624459</v>
      </c>
      <c r="F89" s="190">
        <v>1624459</v>
      </c>
      <c r="G89" s="190">
        <v>1624459</v>
      </c>
      <c r="H89" s="190">
        <v>1624459</v>
      </c>
      <c r="I89" s="190">
        <v>1624459</v>
      </c>
      <c r="J89" s="190">
        <v>1624459</v>
      </c>
      <c r="K89" s="190">
        <v>1624459</v>
      </c>
      <c r="L89" s="190">
        <v>1624459</v>
      </c>
      <c r="M89" s="190">
        <v>1624459</v>
      </c>
      <c r="N89" s="190">
        <v>1624459</v>
      </c>
      <c r="O89" s="190">
        <v>1624459</v>
      </c>
      <c r="P89" s="190">
        <v>1624459</v>
      </c>
      <c r="Q89" s="363">
        <v>1624459</v>
      </c>
      <c r="R89" s="363">
        <v>1624459</v>
      </c>
      <c r="S89" s="363">
        <v>1624459</v>
      </c>
      <c r="T89" s="363">
        <v>1624459</v>
      </c>
    </row>
    <row r="90" spans="1:20">
      <c r="A90" s="173" t="s">
        <v>763</v>
      </c>
      <c r="B90" s="173"/>
      <c r="C90" s="190">
        <v>90392</v>
      </c>
      <c r="D90" s="190">
        <v>86452</v>
      </c>
      <c r="E90" s="190">
        <v>85158</v>
      </c>
      <c r="F90" s="190">
        <v>96294</v>
      </c>
      <c r="G90" s="190">
        <v>81269</v>
      </c>
      <c r="H90" s="190">
        <v>74589</v>
      </c>
      <c r="I90" s="190">
        <v>91158</v>
      </c>
      <c r="J90" s="190">
        <v>67939</v>
      </c>
      <c r="K90" s="190">
        <v>65267</v>
      </c>
      <c r="L90" s="190">
        <v>63485</v>
      </c>
      <c r="M90" s="190">
        <v>26866</v>
      </c>
      <c r="N90" s="190">
        <v>60828</v>
      </c>
      <c r="O90" s="190">
        <v>59202</v>
      </c>
      <c r="P90" s="190">
        <v>51328</v>
      </c>
      <c r="Q90" s="363">
        <v>48494</v>
      </c>
      <c r="R90" s="363">
        <v>35681</v>
      </c>
      <c r="S90" s="363">
        <v>34172</v>
      </c>
      <c r="T90" s="363">
        <v>31170</v>
      </c>
    </row>
    <row r="91" spans="1:20">
      <c r="A91" s="173" t="s">
        <v>764</v>
      </c>
      <c r="B91" s="173"/>
      <c r="C91" s="190"/>
      <c r="D91" s="190"/>
      <c r="E91" s="190"/>
      <c r="J91" s="190">
        <v>21959</v>
      </c>
      <c r="K91" s="190">
        <v>23461</v>
      </c>
      <c r="L91" s="190">
        <v>25219</v>
      </c>
      <c r="M91" s="190">
        <v>61708</v>
      </c>
      <c r="N91" s="190">
        <v>28343</v>
      </c>
      <c r="O91" s="190">
        <v>28343</v>
      </c>
      <c r="P91" s="190">
        <v>30899</v>
      </c>
      <c r="Q91" s="363">
        <v>32642</v>
      </c>
      <c r="R91" s="363">
        <v>33995</v>
      </c>
      <c r="S91" s="363">
        <v>34985</v>
      </c>
      <c r="T91" s="363">
        <v>32220</v>
      </c>
    </row>
    <row r="92" spans="1:20">
      <c r="A92" s="173" t="s">
        <v>765</v>
      </c>
      <c r="B92" s="173"/>
      <c r="C92" s="190">
        <v>1584865</v>
      </c>
      <c r="D92" s="190">
        <v>1430134</v>
      </c>
      <c r="E92" s="190">
        <v>1430134</v>
      </c>
      <c r="F92" s="190">
        <v>1640695</v>
      </c>
      <c r="G92" s="190">
        <v>1658055</v>
      </c>
      <c r="H92" s="190">
        <v>1516965</v>
      </c>
      <c r="I92" s="190">
        <v>1437072</v>
      </c>
      <c r="J92" s="190">
        <v>1649606</v>
      </c>
      <c r="K92" s="190">
        <v>1649606</v>
      </c>
      <c r="L92" s="190">
        <v>1565853</v>
      </c>
      <c r="M92" s="190">
        <v>1565853</v>
      </c>
      <c r="N92" s="190">
        <v>1189057</v>
      </c>
      <c r="O92" s="190">
        <v>1189058</v>
      </c>
      <c r="P92" s="190">
        <v>1189058</v>
      </c>
      <c r="Q92" s="363">
        <v>1139434</v>
      </c>
      <c r="R92" s="363">
        <v>2971701</v>
      </c>
      <c r="S92" s="363">
        <v>2971701</v>
      </c>
      <c r="T92" s="363">
        <f>+[2]Passivo!$G$81</f>
        <v>1711495</v>
      </c>
    </row>
    <row r="93" spans="1:20">
      <c r="A93" s="173" t="s">
        <v>738</v>
      </c>
      <c r="B93" s="173"/>
      <c r="C93" s="190">
        <v>5271</v>
      </c>
      <c r="D93" s="190">
        <v>-1216</v>
      </c>
      <c r="E93" s="190">
        <v>-5474</v>
      </c>
      <c r="F93" s="190">
        <v>-1286</v>
      </c>
      <c r="G93" s="190">
        <v>-18723</v>
      </c>
      <c r="H93" s="190">
        <v>6444</v>
      </c>
      <c r="I93" s="190">
        <v>3525</v>
      </c>
      <c r="J93" s="190">
        <v>-4048</v>
      </c>
      <c r="K93" s="190">
        <v>-3327</v>
      </c>
      <c r="L93" s="190">
        <v>-3487</v>
      </c>
      <c r="M93" s="190">
        <v>-3299</v>
      </c>
      <c r="N93" s="190">
        <v>-12613</v>
      </c>
      <c r="O93" s="190">
        <v>-25204</v>
      </c>
      <c r="P93" s="190">
        <v>-36812</v>
      </c>
      <c r="Q93" s="363">
        <v>-26517</v>
      </c>
      <c r="R93" s="363">
        <v>-18989</v>
      </c>
      <c r="S93" s="363">
        <v>-21727</v>
      </c>
      <c r="T93" s="363">
        <v>-18544</v>
      </c>
    </row>
    <row r="94" spans="1:20">
      <c r="A94" s="173" t="s">
        <v>739</v>
      </c>
      <c r="B94" s="173"/>
      <c r="C94" s="190">
        <v>113115</v>
      </c>
      <c r="D94" s="190">
        <v>216239</v>
      </c>
      <c r="E94" s="190">
        <v>498249</v>
      </c>
      <c r="F94" s="190">
        <v>13016</v>
      </c>
      <c r="G94" s="190">
        <v>137037</v>
      </c>
      <c r="H94" s="190">
        <v>340422</v>
      </c>
      <c r="I94" s="190">
        <v>450981</v>
      </c>
      <c r="K94" s="190">
        <v>317476</v>
      </c>
      <c r="L94" s="190">
        <v>704510</v>
      </c>
      <c r="M94" s="190">
        <v>1074402</v>
      </c>
      <c r="O94" s="190">
        <v>422437</v>
      </c>
      <c r="P94" s="190">
        <v>953728</v>
      </c>
      <c r="Q94" s="363">
        <v>0</v>
      </c>
      <c r="R94" s="363">
        <v>0</v>
      </c>
    </row>
    <row r="95" spans="1:20">
      <c r="A95" s="173" t="s">
        <v>766</v>
      </c>
      <c r="B95" s="173"/>
      <c r="C95" s="190"/>
      <c r="D95" s="190"/>
      <c r="E95" s="190"/>
      <c r="S95" s="363">
        <v>1509</v>
      </c>
      <c r="T95" s="363">
        <v>4511</v>
      </c>
    </row>
    <row r="96" spans="1:20" ht="15" thickBot="1">
      <c r="A96" s="173" t="s">
        <v>604</v>
      </c>
      <c r="B96" s="173"/>
      <c r="C96" s="190"/>
      <c r="D96" s="190"/>
      <c r="E96" s="190"/>
      <c r="Q96" s="363">
        <v>1634217</v>
      </c>
      <c r="R96" s="363">
        <v>0</v>
      </c>
      <c r="S96" s="363">
        <v>430036</v>
      </c>
      <c r="T96" s="363">
        <v>913891</v>
      </c>
    </row>
    <row r="97" spans="1:20" ht="15" thickBot="1">
      <c r="A97" s="177" t="s">
        <v>740</v>
      </c>
      <c r="B97" s="359"/>
      <c r="C97" s="178">
        <v>11232109</v>
      </c>
      <c r="D97" s="178">
        <f t="shared" ref="D97:P97" si="12">D50+D71+D88</f>
        <v>11483844</v>
      </c>
      <c r="E97" s="178">
        <f t="shared" si="12"/>
        <v>12490938</v>
      </c>
      <c r="F97" s="178">
        <f t="shared" si="12"/>
        <v>12241267</v>
      </c>
      <c r="G97" s="178">
        <f t="shared" si="12"/>
        <v>12609463</v>
      </c>
      <c r="H97" s="178">
        <f t="shared" si="12"/>
        <v>12474937</v>
      </c>
      <c r="I97" s="178">
        <f t="shared" si="12"/>
        <v>12794341</v>
      </c>
      <c r="J97" s="178">
        <f t="shared" si="12"/>
        <v>12130744</v>
      </c>
      <c r="K97" s="178">
        <f t="shared" si="12"/>
        <v>12061633</v>
      </c>
      <c r="L97" s="178">
        <f t="shared" si="12"/>
        <v>12779850</v>
      </c>
      <c r="M97" s="178">
        <f t="shared" si="12"/>
        <v>12708405</v>
      </c>
      <c r="N97" s="178">
        <f t="shared" si="12"/>
        <v>12790539</v>
      </c>
      <c r="O97" s="178">
        <f t="shared" si="12"/>
        <v>12901047</v>
      </c>
      <c r="P97" s="178">
        <f t="shared" si="12"/>
        <v>13161268</v>
      </c>
      <c r="Q97" s="178">
        <f>Q50+Q71+Q88</f>
        <v>14339991</v>
      </c>
      <c r="R97" s="178">
        <f>R50+R71+R88</f>
        <v>14273319</v>
      </c>
      <c r="S97" s="178">
        <f>S50+S71+S88</f>
        <v>14615635</v>
      </c>
      <c r="T97" s="178">
        <f>T50+T71+T88</f>
        <v>15323138</v>
      </c>
    </row>
    <row r="98" spans="1:20">
      <c r="C98" s="190">
        <f t="shared" ref="C98:P98" si="13">C97-C47</f>
        <v>0</v>
      </c>
      <c r="D98" s="190">
        <f t="shared" si="13"/>
        <v>0</v>
      </c>
      <c r="E98" s="190">
        <f t="shared" si="13"/>
        <v>0</v>
      </c>
      <c r="F98" s="190">
        <f t="shared" si="13"/>
        <v>0</v>
      </c>
      <c r="G98" s="190">
        <f t="shared" si="13"/>
        <v>0</v>
      </c>
      <c r="H98" s="190">
        <f t="shared" si="13"/>
        <v>0</v>
      </c>
      <c r="I98" s="190">
        <f t="shared" si="13"/>
        <v>0</v>
      </c>
      <c r="J98" s="190">
        <f t="shared" si="13"/>
        <v>10000</v>
      </c>
      <c r="K98" s="190">
        <f t="shared" si="13"/>
        <v>1</v>
      </c>
      <c r="L98" s="190">
        <f t="shared" si="13"/>
        <v>0</v>
      </c>
      <c r="M98" s="190">
        <f t="shared" si="13"/>
        <v>0</v>
      </c>
      <c r="N98" s="190">
        <f t="shared" si="13"/>
        <v>0</v>
      </c>
      <c r="O98" s="190">
        <f t="shared" si="13"/>
        <v>0</v>
      </c>
      <c r="P98" s="190">
        <f t="shared" si="13"/>
        <v>0</v>
      </c>
      <c r="Q98" s="363">
        <f>Q97-Q47</f>
        <v>0</v>
      </c>
      <c r="R98" s="363">
        <f>R97-R47</f>
        <v>0</v>
      </c>
      <c r="S98" s="363">
        <f>S97-S47</f>
        <v>0</v>
      </c>
      <c r="T98" s="363">
        <f>T97-T47</f>
        <v>0</v>
      </c>
    </row>
    <row r="99" spans="1:20">
      <c r="C99" s="111"/>
      <c r="D99" s="111"/>
      <c r="E99" s="111"/>
      <c r="K99" s="612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N49:R49" unlockedFormula="1"/>
  </ignoredError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9" tint="0.79998168889431442"/>
  </sheetPr>
  <dimension ref="A6:U90"/>
  <sheetViews>
    <sheetView showGridLines="0" zoomScale="85" zoomScaleNormal="85" workbookViewId="0">
      <pane xSplit="1" ySplit="7" topLeftCell="B8" activePane="bottomRight" state="frozen"/>
      <selection pane="topRight" activeCell="S9" sqref="S9"/>
      <selection pane="bottomLeft" activeCell="S9" sqref="S9"/>
      <selection pane="bottomRight" activeCell="T7" sqref="T7"/>
    </sheetView>
  </sheetViews>
  <sheetFormatPr defaultColWidth="9.1796875" defaultRowHeight="14.5" outlineLevelCol="1"/>
  <cols>
    <col min="1" max="1" width="47.54296875" style="37" bestFit="1" customWidth="1"/>
    <col min="2" max="2" width="0.453125" customWidth="1"/>
    <col min="3" max="5" width="9.54296875" style="37" hidden="1" customWidth="1" outlineLevel="1"/>
    <col min="6" max="10" width="9.1796875" style="189" hidden="1" customWidth="1" outlineLevel="1"/>
    <col min="11" max="11" width="9.1796875" style="189" customWidth="1" collapsed="1"/>
    <col min="12" max="20" width="9.1796875" style="189"/>
    <col min="21" max="16384" width="9.1796875" style="37"/>
  </cols>
  <sheetData>
    <row r="6" spans="1:20">
      <c r="A6" s="41" t="s">
        <v>69</v>
      </c>
      <c r="B6" s="166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</row>
    <row r="7" spans="1:20" ht="15" thickBot="1">
      <c r="A7" s="5" t="s">
        <v>689</v>
      </c>
      <c r="B7" s="168"/>
      <c r="C7" s="528" t="s">
        <v>37</v>
      </c>
      <c r="D7" s="528" t="s">
        <v>38</v>
      </c>
      <c r="E7" s="528" t="s">
        <v>39</v>
      </c>
      <c r="F7" s="528" t="s">
        <v>40</v>
      </c>
      <c r="G7" s="528" t="s">
        <v>41</v>
      </c>
      <c r="H7" s="528" t="s">
        <v>42</v>
      </c>
      <c r="I7" s="528" t="s">
        <v>43</v>
      </c>
      <c r="J7" s="528" t="s">
        <v>44</v>
      </c>
      <c r="K7" s="528" t="s">
        <v>45</v>
      </c>
      <c r="L7" s="528" t="s">
        <v>46</v>
      </c>
      <c r="M7" s="528" t="s">
        <v>47</v>
      </c>
      <c r="N7" s="528" t="s">
        <v>48</v>
      </c>
      <c r="O7" s="528" t="s">
        <v>49</v>
      </c>
      <c r="P7" s="528" t="s">
        <v>50</v>
      </c>
      <c r="Q7" s="528" t="s">
        <v>51</v>
      </c>
      <c r="R7" s="528" t="s">
        <v>52</v>
      </c>
      <c r="S7" s="528" t="s">
        <v>53</v>
      </c>
      <c r="T7" s="528" t="s">
        <v>54</v>
      </c>
    </row>
    <row r="8" spans="1:20" ht="15" thickBot="1">
      <c r="A8" s="169" t="s">
        <v>690</v>
      </c>
      <c r="B8" s="170"/>
      <c r="C8" s="171">
        <f t="shared" ref="C8:J8" si="0">SUM(C9:C23)</f>
        <v>1390911</v>
      </c>
      <c r="D8" s="171">
        <f t="shared" si="0"/>
        <v>1388036</v>
      </c>
      <c r="E8" s="171">
        <f t="shared" si="0"/>
        <v>1543219</v>
      </c>
      <c r="F8" s="171">
        <f t="shared" si="0"/>
        <v>2334535</v>
      </c>
      <c r="G8" s="171">
        <f t="shared" si="0"/>
        <v>2206500</v>
      </c>
      <c r="H8" s="171">
        <f t="shared" si="0"/>
        <v>2598976</v>
      </c>
      <c r="I8" s="171">
        <f t="shared" si="0"/>
        <v>2972687</v>
      </c>
      <c r="J8" s="171">
        <f t="shared" si="0"/>
        <v>2967430</v>
      </c>
      <c r="K8" s="171">
        <f t="shared" ref="K8:P8" si="1">SUM(K9:K23)</f>
        <v>2909996</v>
      </c>
      <c r="L8" s="171">
        <f t="shared" si="1"/>
        <v>2325495</v>
      </c>
      <c r="M8" s="171">
        <f t="shared" si="1"/>
        <v>2095089</v>
      </c>
      <c r="N8" s="171">
        <f t="shared" si="1"/>
        <v>2243684</v>
      </c>
      <c r="O8" s="171">
        <f t="shared" si="1"/>
        <v>2075002</v>
      </c>
      <c r="P8" s="171">
        <f t="shared" si="1"/>
        <v>1683706</v>
      </c>
      <c r="Q8" s="171">
        <f>SUM(Q9:Q23)</f>
        <v>1588922</v>
      </c>
      <c r="R8" s="171">
        <f>SUM(R9:R23)</f>
        <v>1939366</v>
      </c>
      <c r="S8" s="171">
        <f>SUM(S9:S23)</f>
        <v>1881987</v>
      </c>
      <c r="T8" s="171">
        <f>SUM(T9:T23)</f>
        <v>2115596</v>
      </c>
    </row>
    <row r="9" spans="1:20">
      <c r="A9" s="173" t="s">
        <v>691</v>
      </c>
      <c r="B9" s="174"/>
      <c r="C9" s="189">
        <v>471744</v>
      </c>
      <c r="D9" s="189">
        <v>17639</v>
      </c>
      <c r="E9" s="189">
        <v>477984</v>
      </c>
      <c r="F9" s="189">
        <v>369257</v>
      </c>
      <c r="G9" s="189">
        <v>434634</v>
      </c>
      <c r="H9" s="189">
        <v>978818</v>
      </c>
      <c r="I9" s="189">
        <v>949633</v>
      </c>
      <c r="J9" s="189">
        <v>554979</v>
      </c>
      <c r="K9" s="189">
        <v>437624</v>
      </c>
      <c r="L9" s="189">
        <v>480607</v>
      </c>
      <c r="M9" s="189">
        <v>342730</v>
      </c>
      <c r="N9" s="189">
        <v>423919</v>
      </c>
      <c r="O9" s="189">
        <v>17427</v>
      </c>
      <c r="P9" s="189">
        <v>106196</v>
      </c>
      <c r="Q9" s="189">
        <v>59545</v>
      </c>
      <c r="R9" s="189">
        <v>222680</v>
      </c>
      <c r="S9" s="189">
        <v>166250</v>
      </c>
      <c r="T9" s="189">
        <v>321433</v>
      </c>
    </row>
    <row r="10" spans="1:20">
      <c r="A10" s="173" t="s">
        <v>767</v>
      </c>
      <c r="B10" s="174"/>
      <c r="C10" s="189">
        <v>130393</v>
      </c>
      <c r="D10" s="189">
        <v>556945</v>
      </c>
      <c r="E10" s="189">
        <v>266907</v>
      </c>
      <c r="F10" s="189">
        <v>890968</v>
      </c>
      <c r="G10" s="189">
        <v>761128</v>
      </c>
      <c r="H10" s="189">
        <v>476065</v>
      </c>
      <c r="I10" s="189">
        <v>628720</v>
      </c>
      <c r="J10" s="189">
        <v>915012</v>
      </c>
      <c r="K10" s="189">
        <v>1111096</v>
      </c>
      <c r="L10" s="189">
        <v>638129</v>
      </c>
      <c r="M10" s="189">
        <v>486043</v>
      </c>
      <c r="N10" s="189">
        <v>477064</v>
      </c>
      <c r="O10" s="189">
        <v>738904</v>
      </c>
      <c r="P10" s="189">
        <v>287966</v>
      </c>
      <c r="Q10" s="189">
        <v>282268</v>
      </c>
      <c r="R10" s="189">
        <v>553572</v>
      </c>
      <c r="S10" s="189">
        <v>604705</v>
      </c>
      <c r="T10" s="189">
        <v>638471</v>
      </c>
    </row>
    <row r="11" spans="1:20">
      <c r="A11" s="173" t="s">
        <v>693</v>
      </c>
      <c r="B11" s="174"/>
      <c r="C11" s="189">
        <v>542695</v>
      </c>
      <c r="D11" s="189">
        <v>630876</v>
      </c>
      <c r="E11" s="189">
        <v>651008</v>
      </c>
      <c r="F11" s="189">
        <v>700594</v>
      </c>
      <c r="G11" s="189">
        <v>688176</v>
      </c>
      <c r="H11" s="189">
        <v>704111</v>
      </c>
      <c r="I11" s="189">
        <v>781451</v>
      </c>
      <c r="J11" s="189">
        <v>1312813</v>
      </c>
      <c r="K11" s="189">
        <v>1292523</v>
      </c>
      <c r="L11" s="189">
        <v>1264826</v>
      </c>
      <c r="M11" s="189">
        <v>708285</v>
      </c>
      <c r="N11" s="189">
        <v>719065</v>
      </c>
      <c r="O11" s="189">
        <v>753098</v>
      </c>
      <c r="P11" s="189">
        <v>806744.00000000012</v>
      </c>
      <c r="Q11" s="189">
        <v>832172</v>
      </c>
      <c r="R11" s="189">
        <v>802762</v>
      </c>
      <c r="S11" s="189">
        <v>777897</v>
      </c>
      <c r="T11" s="189">
        <v>773052</v>
      </c>
    </row>
    <row r="12" spans="1:20">
      <c r="A12" s="173" t="s">
        <v>694</v>
      </c>
      <c r="B12" s="174"/>
      <c r="C12" s="189">
        <v>7011</v>
      </c>
      <c r="D12" s="189">
        <v>9148</v>
      </c>
      <c r="E12" s="189">
        <v>9559</v>
      </c>
      <c r="F12" s="189">
        <v>19610</v>
      </c>
      <c r="G12" s="189">
        <v>8489</v>
      </c>
      <c r="H12" s="189">
        <v>8282</v>
      </c>
      <c r="I12" s="189">
        <v>8147</v>
      </c>
      <c r="J12" s="189">
        <v>9083</v>
      </c>
      <c r="K12" s="189">
        <v>10086</v>
      </c>
      <c r="L12" s="189">
        <v>9229</v>
      </c>
      <c r="P12" s="189">
        <v>0</v>
      </c>
    </row>
    <row r="13" spans="1:20">
      <c r="A13" s="173" t="s">
        <v>742</v>
      </c>
      <c r="B13" s="174"/>
      <c r="C13" s="189">
        <v>-105164</v>
      </c>
      <c r="D13" s="189">
        <v>-156164</v>
      </c>
      <c r="E13" s="189">
        <v>-165883</v>
      </c>
      <c r="F13" s="189">
        <v>-168085</v>
      </c>
      <c r="G13" s="189">
        <v>-185549</v>
      </c>
      <c r="H13" s="189">
        <v>-193557</v>
      </c>
      <c r="I13" s="189">
        <v>-206945</v>
      </c>
      <c r="J13" s="189">
        <v>-595481</v>
      </c>
      <c r="K13" s="189">
        <v>-607434</v>
      </c>
      <c r="L13" s="189">
        <v>-620406</v>
      </c>
      <c r="P13" s="189">
        <v>0</v>
      </c>
    </row>
    <row r="14" spans="1:20">
      <c r="A14" s="173" t="s">
        <v>695</v>
      </c>
      <c r="B14" s="174"/>
      <c r="C14" s="189"/>
      <c r="D14" s="189"/>
      <c r="E14" s="189"/>
      <c r="P14" s="189">
        <v>0</v>
      </c>
    </row>
    <row r="15" spans="1:20">
      <c r="A15" s="173" t="s">
        <v>696</v>
      </c>
      <c r="B15" s="174"/>
      <c r="C15" s="189">
        <v>73458</v>
      </c>
      <c r="D15" s="189">
        <v>77155</v>
      </c>
      <c r="E15" s="189"/>
      <c r="F15" s="189">
        <v>113699</v>
      </c>
      <c r="G15" s="189">
        <v>125932</v>
      </c>
      <c r="H15" s="189">
        <v>132889</v>
      </c>
      <c r="I15" s="189">
        <v>142361</v>
      </c>
      <c r="J15" s="189">
        <v>125246</v>
      </c>
      <c r="K15" s="189">
        <v>126959</v>
      </c>
      <c r="L15" s="189">
        <v>128996</v>
      </c>
      <c r="M15" s="189">
        <v>132401</v>
      </c>
      <c r="N15" s="189">
        <v>129143</v>
      </c>
      <c r="O15" s="189">
        <v>123684</v>
      </c>
      <c r="P15" s="189">
        <v>121665</v>
      </c>
      <c r="Q15" s="189">
        <v>129927</v>
      </c>
      <c r="R15" s="189">
        <v>123422</v>
      </c>
      <c r="S15" s="189">
        <v>120189</v>
      </c>
      <c r="T15" s="189">
        <v>121708</v>
      </c>
    </row>
    <row r="16" spans="1:20">
      <c r="A16" s="173" t="s">
        <v>698</v>
      </c>
      <c r="B16" s="174"/>
      <c r="C16" s="189"/>
      <c r="D16" s="189"/>
      <c r="E16" s="189">
        <v>86137</v>
      </c>
      <c r="L16" s="189">
        <v>0</v>
      </c>
      <c r="P16" s="189">
        <v>0</v>
      </c>
    </row>
    <row r="17" spans="1:20">
      <c r="A17" s="173" t="s">
        <v>699</v>
      </c>
      <c r="B17" s="174"/>
      <c r="C17" s="189">
        <v>314</v>
      </c>
      <c r="D17" s="189"/>
      <c r="E17" s="189"/>
      <c r="H17" s="189">
        <v>5</v>
      </c>
      <c r="L17" s="189">
        <v>0</v>
      </c>
      <c r="P17" s="189">
        <v>0</v>
      </c>
      <c r="Q17" s="189">
        <v>189</v>
      </c>
      <c r="R17" s="189">
        <v>189</v>
      </c>
      <c r="S17" s="189">
        <v>189</v>
      </c>
      <c r="T17" s="189">
        <v>202</v>
      </c>
    </row>
    <row r="18" spans="1:20">
      <c r="A18" s="173" t="s">
        <v>744</v>
      </c>
      <c r="B18" s="174"/>
      <c r="C18" s="189">
        <v>68550</v>
      </c>
      <c r="D18" s="189">
        <v>22558</v>
      </c>
      <c r="E18" s="189"/>
      <c r="I18" s="189">
        <v>82214</v>
      </c>
      <c r="J18" s="189">
        <v>15149</v>
      </c>
      <c r="L18" s="189">
        <v>8875</v>
      </c>
      <c r="M18" s="189">
        <v>38877</v>
      </c>
      <c r="N18" s="189">
        <v>106561</v>
      </c>
      <c r="O18" s="189">
        <v>78796</v>
      </c>
      <c r="P18" s="189">
        <v>45570</v>
      </c>
      <c r="Q18" s="189">
        <v>0</v>
      </c>
    </row>
    <row r="19" spans="1:20">
      <c r="A19" s="173" t="s">
        <v>701</v>
      </c>
      <c r="B19" s="174"/>
      <c r="C19" s="189">
        <v>734</v>
      </c>
      <c r="D19" s="189">
        <v>698</v>
      </c>
      <c r="E19" s="189">
        <v>386</v>
      </c>
      <c r="F19" s="189">
        <v>152</v>
      </c>
      <c r="G19" s="189">
        <v>557</v>
      </c>
      <c r="H19" s="189">
        <v>84811</v>
      </c>
      <c r="I19" s="189">
        <v>119011</v>
      </c>
      <c r="J19" s="189">
        <v>127924</v>
      </c>
      <c r="K19" s="189">
        <v>61173</v>
      </c>
      <c r="L19" s="189">
        <v>0</v>
      </c>
      <c r="P19" s="189">
        <v>0</v>
      </c>
      <c r="T19" s="189">
        <v>53572</v>
      </c>
    </row>
    <row r="20" spans="1:20">
      <c r="A20" s="173" t="s">
        <v>702</v>
      </c>
      <c r="B20" s="174"/>
      <c r="C20" s="189">
        <v>5427</v>
      </c>
      <c r="D20" s="189">
        <v>8892</v>
      </c>
      <c r="E20" s="189">
        <v>8668</v>
      </c>
      <c r="F20" s="189">
        <v>12557</v>
      </c>
      <c r="G20" s="189">
        <v>15526</v>
      </c>
      <c r="H20" s="189">
        <v>27123</v>
      </c>
      <c r="I20" s="189">
        <v>35836</v>
      </c>
      <c r="J20" s="189">
        <v>47101</v>
      </c>
      <c r="K20" s="189">
        <v>55008</v>
      </c>
      <c r="L20" s="366">
        <v>40892</v>
      </c>
      <c r="M20" s="366">
        <v>44631</v>
      </c>
      <c r="N20" s="366">
        <v>45665</v>
      </c>
      <c r="O20" s="366">
        <v>40720</v>
      </c>
      <c r="P20" s="366">
        <v>29444</v>
      </c>
      <c r="Q20" s="367">
        <v>30755</v>
      </c>
      <c r="R20" s="367">
        <v>6610</v>
      </c>
      <c r="S20" s="367">
        <v>5355</v>
      </c>
      <c r="T20" s="367">
        <v>6039</v>
      </c>
    </row>
    <row r="21" spans="1:20">
      <c r="A21" s="173" t="s">
        <v>703</v>
      </c>
      <c r="B21" s="174"/>
      <c r="C21" s="189">
        <v>156294</v>
      </c>
      <c r="D21" s="189">
        <v>174872</v>
      </c>
      <c r="E21" s="189">
        <v>168420</v>
      </c>
      <c r="F21" s="189">
        <v>237849</v>
      </c>
      <c r="G21" s="189">
        <v>196002</v>
      </c>
      <c r="H21" s="189">
        <v>210774</v>
      </c>
      <c r="I21" s="189">
        <v>247888</v>
      </c>
      <c r="J21" s="189">
        <v>222012</v>
      </c>
      <c r="K21" s="189">
        <v>196452</v>
      </c>
      <c r="L21" s="189">
        <v>143538</v>
      </c>
      <c r="M21" s="189">
        <v>103767</v>
      </c>
      <c r="N21" s="189">
        <v>113402</v>
      </c>
      <c r="O21" s="189">
        <v>92229</v>
      </c>
      <c r="P21" s="189">
        <v>71038</v>
      </c>
      <c r="Q21" s="189">
        <v>66172</v>
      </c>
      <c r="R21" s="189">
        <v>64283</v>
      </c>
      <c r="S21" s="189">
        <v>64183</v>
      </c>
      <c r="T21" s="189">
        <v>51547</v>
      </c>
    </row>
    <row r="22" spans="1:20">
      <c r="A22" s="173" t="s">
        <v>704</v>
      </c>
      <c r="B22" s="174"/>
      <c r="C22" s="189">
        <v>16968</v>
      </c>
      <c r="D22" s="189">
        <v>18524</v>
      </c>
      <c r="E22" s="189">
        <v>19404</v>
      </c>
      <c r="F22" s="189">
        <v>21100</v>
      </c>
      <c r="G22" s="189">
        <v>22747</v>
      </c>
      <c r="H22" s="189">
        <v>23758</v>
      </c>
      <c r="J22" s="189">
        <v>33941</v>
      </c>
      <c r="K22" s="189">
        <v>42632</v>
      </c>
      <c r="L22" s="189">
        <v>47856</v>
      </c>
      <c r="M22" s="189">
        <v>54542</v>
      </c>
      <c r="N22" s="189">
        <v>66332</v>
      </c>
      <c r="O22" s="189">
        <v>77226</v>
      </c>
      <c r="P22" s="189">
        <v>81104</v>
      </c>
      <c r="Q22" s="189">
        <v>70637</v>
      </c>
      <c r="R22" s="189">
        <v>35216</v>
      </c>
      <c r="S22" s="189">
        <v>45374</v>
      </c>
      <c r="T22" s="189">
        <v>54556</v>
      </c>
    </row>
    <row r="23" spans="1:20" ht="15" thickBot="1">
      <c r="A23" s="176" t="s">
        <v>705</v>
      </c>
      <c r="B23" s="174"/>
      <c r="C23" s="189">
        <v>22487</v>
      </c>
      <c r="D23" s="189">
        <v>26893</v>
      </c>
      <c r="E23" s="189">
        <v>20629</v>
      </c>
      <c r="F23" s="189">
        <v>136834</v>
      </c>
      <c r="G23" s="189">
        <v>138858</v>
      </c>
      <c r="H23" s="189">
        <v>145897</v>
      </c>
      <c r="I23" s="189">
        <v>184371</v>
      </c>
      <c r="J23" s="189">
        <v>199651</v>
      </c>
      <c r="K23" s="189">
        <v>183877</v>
      </c>
      <c r="L23" s="189">
        <v>182953</v>
      </c>
      <c r="M23" s="189">
        <v>183813</v>
      </c>
      <c r="N23" s="189">
        <v>162533</v>
      </c>
      <c r="O23" s="189">
        <v>152918</v>
      </c>
      <c r="P23" s="189">
        <v>133979</v>
      </c>
      <c r="Q23" s="189">
        <v>117257</v>
      </c>
      <c r="R23" s="189">
        <v>130632</v>
      </c>
      <c r="S23" s="189">
        <v>97845</v>
      </c>
      <c r="T23" s="189">
        <v>95016</v>
      </c>
    </row>
    <row r="24" spans="1:20" ht="15" thickBot="1">
      <c r="A24" s="177" t="s">
        <v>706</v>
      </c>
      <c r="B24" s="170"/>
      <c r="C24" s="178">
        <f t="shared" ref="C24:T24" si="2">C25+C39</f>
        <v>2433874</v>
      </c>
      <c r="D24" s="178">
        <f t="shared" si="2"/>
        <v>2495753</v>
      </c>
      <c r="E24" s="178">
        <f t="shared" si="2"/>
        <v>2521260</v>
      </c>
      <c r="F24" s="178">
        <f t="shared" si="2"/>
        <v>2875968</v>
      </c>
      <c r="G24" s="178">
        <f t="shared" si="2"/>
        <v>2718731</v>
      </c>
      <c r="H24" s="178">
        <f t="shared" si="2"/>
        <v>2551387</v>
      </c>
      <c r="I24" s="178">
        <f t="shared" si="2"/>
        <v>3083468</v>
      </c>
      <c r="J24" s="178">
        <f t="shared" si="2"/>
        <v>3288235</v>
      </c>
      <c r="K24" s="178">
        <f t="shared" si="2"/>
        <v>3327099</v>
      </c>
      <c r="L24" s="178">
        <f t="shared" si="2"/>
        <v>3250134</v>
      </c>
      <c r="M24" s="178">
        <f t="shared" si="2"/>
        <v>3360193</v>
      </c>
      <c r="N24" s="178">
        <f t="shared" si="2"/>
        <v>3433991</v>
      </c>
      <c r="O24" s="178">
        <f t="shared" si="2"/>
        <v>3552581</v>
      </c>
      <c r="P24" s="178">
        <f t="shared" si="2"/>
        <v>3766052</v>
      </c>
      <c r="Q24" s="178">
        <f t="shared" si="2"/>
        <v>3923622</v>
      </c>
      <c r="R24" s="178">
        <f t="shared" si="2"/>
        <v>3980397</v>
      </c>
      <c r="S24" s="178">
        <f t="shared" si="2"/>
        <v>4071671</v>
      </c>
      <c r="T24" s="178">
        <f t="shared" si="2"/>
        <v>4200136</v>
      </c>
    </row>
    <row r="25" spans="1:20" ht="15" thickBot="1">
      <c r="A25" s="177" t="s">
        <v>748</v>
      </c>
      <c r="B25" s="170"/>
      <c r="C25" s="178">
        <f t="shared" ref="C25:J25" si="3">SUM(C27:C38)</f>
        <v>949013</v>
      </c>
      <c r="D25" s="178">
        <f t="shared" si="3"/>
        <v>949690</v>
      </c>
      <c r="E25" s="178">
        <f t="shared" si="3"/>
        <v>978065</v>
      </c>
      <c r="F25" s="178">
        <f t="shared" si="3"/>
        <v>1122294</v>
      </c>
      <c r="G25" s="178">
        <f t="shared" si="3"/>
        <v>916971</v>
      </c>
      <c r="H25" s="178">
        <f t="shared" si="3"/>
        <v>709933</v>
      </c>
      <c r="I25" s="178">
        <f t="shared" si="3"/>
        <v>1091507</v>
      </c>
      <c r="J25" s="178">
        <f t="shared" si="3"/>
        <v>1193394</v>
      </c>
      <c r="K25" s="178">
        <f t="shared" ref="K25:T25" si="4">SUM(K26:K38)</f>
        <v>1176077</v>
      </c>
      <c r="L25" s="178">
        <f t="shared" si="4"/>
        <v>987798</v>
      </c>
      <c r="M25" s="178">
        <f t="shared" si="4"/>
        <v>908756</v>
      </c>
      <c r="N25" s="178">
        <f t="shared" si="4"/>
        <v>869039</v>
      </c>
      <c r="O25" s="178">
        <f t="shared" si="4"/>
        <v>842505</v>
      </c>
      <c r="P25" s="178">
        <f t="shared" si="4"/>
        <v>900351</v>
      </c>
      <c r="Q25" s="178">
        <f t="shared" si="4"/>
        <v>944476</v>
      </c>
      <c r="R25" s="178">
        <f t="shared" si="4"/>
        <v>931970</v>
      </c>
      <c r="S25" s="178">
        <f t="shared" si="4"/>
        <v>939899</v>
      </c>
      <c r="T25" s="178">
        <f t="shared" si="4"/>
        <v>928789</v>
      </c>
    </row>
    <row r="26" spans="1:20">
      <c r="A26" s="173" t="s">
        <v>741</v>
      </c>
      <c r="B26" s="174"/>
      <c r="C26" s="189"/>
      <c r="D26" s="189"/>
      <c r="E26" s="189"/>
      <c r="S26" s="189">
        <v>35</v>
      </c>
      <c r="T26" s="189">
        <v>70</v>
      </c>
    </row>
    <row r="27" spans="1:20">
      <c r="A27" s="173" t="s">
        <v>693</v>
      </c>
      <c r="B27" s="174"/>
      <c r="C27" s="189">
        <v>231068</v>
      </c>
      <c r="D27" s="189">
        <v>225804</v>
      </c>
      <c r="E27" s="189">
        <v>224144</v>
      </c>
      <c r="F27" s="189">
        <v>245691</v>
      </c>
      <c r="G27" s="189">
        <v>248621</v>
      </c>
      <c r="H27" s="189">
        <v>259682</v>
      </c>
      <c r="I27" s="189">
        <v>256382</v>
      </c>
      <c r="J27" s="189">
        <v>290145</v>
      </c>
      <c r="K27" s="189">
        <v>282322</v>
      </c>
      <c r="L27" s="189">
        <v>273393</v>
      </c>
      <c r="M27" s="189">
        <v>254238</v>
      </c>
      <c r="N27" s="189">
        <v>230693</v>
      </c>
      <c r="O27" s="189">
        <v>212140</v>
      </c>
      <c r="P27" s="189">
        <v>197168</v>
      </c>
      <c r="Q27" s="189">
        <v>183793</v>
      </c>
      <c r="R27" s="189">
        <v>171250</v>
      </c>
      <c r="S27" s="189">
        <v>160180</v>
      </c>
      <c r="T27" s="189">
        <v>150254</v>
      </c>
    </row>
    <row r="28" spans="1:20">
      <c r="A28" s="173" t="s">
        <v>700</v>
      </c>
      <c r="B28" s="174"/>
      <c r="C28" s="189">
        <v>197975</v>
      </c>
      <c r="D28" s="189">
        <v>189106</v>
      </c>
      <c r="E28" s="189">
        <v>222187</v>
      </c>
      <c r="F28" s="189">
        <v>203884</v>
      </c>
      <c r="G28" s="189">
        <v>8102</v>
      </c>
      <c r="I28" s="189">
        <v>13709</v>
      </c>
      <c r="J28" s="189">
        <v>202232</v>
      </c>
      <c r="K28" s="189">
        <v>199117</v>
      </c>
      <c r="L28" s="189">
        <v>45156</v>
      </c>
      <c r="M28" s="189">
        <v>9909</v>
      </c>
      <c r="P28" s="189">
        <v>0</v>
      </c>
    </row>
    <row r="29" spans="1:20">
      <c r="A29" s="173" t="s">
        <v>698</v>
      </c>
      <c r="B29" s="174"/>
      <c r="C29" s="189"/>
      <c r="D29" s="189"/>
      <c r="E29" s="189"/>
      <c r="L29" s="189">
        <v>0</v>
      </c>
      <c r="P29" s="189">
        <v>0</v>
      </c>
    </row>
    <row r="30" spans="1:20">
      <c r="A30" s="173" t="s">
        <v>749</v>
      </c>
      <c r="B30" s="174"/>
      <c r="C30" s="189"/>
      <c r="D30" s="189"/>
      <c r="E30" s="189"/>
      <c r="L30" s="189">
        <v>0</v>
      </c>
      <c r="P30" s="189">
        <v>0</v>
      </c>
    </row>
    <row r="31" spans="1:20">
      <c r="A31" s="173" t="s">
        <v>699</v>
      </c>
      <c r="B31" s="174"/>
      <c r="C31" s="189">
        <v>47652</v>
      </c>
      <c r="D31" s="189">
        <v>47224</v>
      </c>
      <c r="E31" s="189">
        <v>46283</v>
      </c>
      <c r="F31" s="189">
        <v>39830</v>
      </c>
      <c r="G31" s="189">
        <v>40212</v>
      </c>
      <c r="H31" s="189">
        <v>39652</v>
      </c>
      <c r="I31" s="189">
        <v>19284</v>
      </c>
      <c r="J31" s="189">
        <v>19419</v>
      </c>
      <c r="K31" s="189">
        <v>19631</v>
      </c>
      <c r="L31" s="189">
        <v>19712</v>
      </c>
      <c r="M31" s="189">
        <v>20082</v>
      </c>
      <c r="N31" s="189">
        <v>20832</v>
      </c>
      <c r="O31" s="189">
        <v>20732</v>
      </c>
      <c r="P31" s="189">
        <v>21227</v>
      </c>
      <c r="Q31" s="189">
        <v>21942</v>
      </c>
      <c r="R31" s="189">
        <v>21210</v>
      </c>
      <c r="S31" s="189">
        <v>31291</v>
      </c>
      <c r="T31" s="189">
        <v>32373</v>
      </c>
    </row>
    <row r="32" spans="1:20">
      <c r="A32" s="173" t="s">
        <v>696</v>
      </c>
      <c r="B32" s="174"/>
      <c r="C32" s="189"/>
      <c r="D32" s="189"/>
      <c r="E32" s="189"/>
      <c r="N32" s="189">
        <v>13372</v>
      </c>
      <c r="O32" s="189">
        <v>13372</v>
      </c>
      <c r="P32" s="189">
        <v>13372</v>
      </c>
      <c r="Q32" s="189">
        <v>13372</v>
      </c>
      <c r="R32" s="189">
        <v>24951</v>
      </c>
      <c r="S32" s="189">
        <v>24951</v>
      </c>
      <c r="T32" s="189">
        <v>24951</v>
      </c>
    </row>
    <row r="33" spans="1:21">
      <c r="A33" s="173" t="s">
        <v>701</v>
      </c>
      <c r="B33" s="174"/>
      <c r="C33" s="189">
        <v>100677</v>
      </c>
      <c r="D33" s="189">
        <v>119738</v>
      </c>
      <c r="E33" s="189">
        <v>133437</v>
      </c>
      <c r="F33" s="189">
        <v>81628</v>
      </c>
      <c r="G33" s="189">
        <v>130276</v>
      </c>
      <c r="L33" s="189">
        <v>0</v>
      </c>
      <c r="P33" s="189">
        <v>0</v>
      </c>
    </row>
    <row r="34" spans="1:21">
      <c r="A34" s="173" t="s">
        <v>703</v>
      </c>
      <c r="B34" s="174"/>
      <c r="C34" s="189">
        <v>346124</v>
      </c>
      <c r="D34" s="189">
        <v>331158</v>
      </c>
      <c r="E34" s="189">
        <v>314708</v>
      </c>
      <c r="F34" s="189">
        <v>220116</v>
      </c>
      <c r="G34" s="189">
        <v>174034</v>
      </c>
      <c r="H34" s="189">
        <v>126868</v>
      </c>
      <c r="I34" s="189">
        <v>65950</v>
      </c>
      <c r="J34" s="189">
        <v>49623</v>
      </c>
      <c r="K34" s="189">
        <v>45322</v>
      </c>
      <c r="L34" s="189">
        <v>52342</v>
      </c>
      <c r="M34" s="189">
        <v>65058</v>
      </c>
      <c r="N34" s="189">
        <v>74854</v>
      </c>
      <c r="O34" s="189">
        <v>78435</v>
      </c>
      <c r="P34" s="189">
        <v>87024</v>
      </c>
      <c r="Q34" s="189">
        <v>89561</v>
      </c>
      <c r="R34" s="189">
        <v>84546</v>
      </c>
      <c r="S34" s="189">
        <v>88751</v>
      </c>
      <c r="T34" s="189">
        <v>107677</v>
      </c>
    </row>
    <row r="35" spans="1:21">
      <c r="A35" s="173" t="s">
        <v>704</v>
      </c>
      <c r="B35" s="174"/>
      <c r="C35" s="189"/>
      <c r="D35" s="189"/>
      <c r="E35" s="189"/>
      <c r="I35" s="189">
        <v>478689</v>
      </c>
      <c r="J35" s="189">
        <v>395596</v>
      </c>
      <c r="K35" s="189">
        <v>423543</v>
      </c>
      <c r="L35" s="189">
        <v>414504</v>
      </c>
      <c r="M35" s="189">
        <v>3877</v>
      </c>
      <c r="N35" s="189">
        <v>3877</v>
      </c>
      <c r="O35" s="189">
        <v>3877</v>
      </c>
      <c r="P35" s="189">
        <v>3877</v>
      </c>
      <c r="Q35" s="189">
        <v>3877</v>
      </c>
      <c r="R35" s="189">
        <v>3877</v>
      </c>
      <c r="S35" s="189">
        <v>3877</v>
      </c>
      <c r="T35" s="189">
        <v>3877</v>
      </c>
    </row>
    <row r="36" spans="1:21">
      <c r="A36" s="173" t="s">
        <v>768</v>
      </c>
      <c r="B36" s="174"/>
      <c r="C36" s="189"/>
      <c r="D36" s="189"/>
      <c r="E36" s="189"/>
      <c r="M36" s="189">
        <v>400025</v>
      </c>
      <c r="N36" s="189">
        <v>400293</v>
      </c>
      <c r="O36" s="189">
        <v>407068</v>
      </c>
      <c r="P36" s="189">
        <v>402950</v>
      </c>
      <c r="Q36" s="189">
        <v>455553</v>
      </c>
      <c r="R36" s="189">
        <v>439007</v>
      </c>
      <c r="S36" s="189">
        <v>433260</v>
      </c>
      <c r="T36" s="189">
        <v>396052</v>
      </c>
    </row>
    <row r="37" spans="1:21">
      <c r="A37" s="173" t="s">
        <v>705</v>
      </c>
      <c r="B37" s="174"/>
      <c r="C37" s="189">
        <v>953</v>
      </c>
      <c r="D37" s="189">
        <v>950</v>
      </c>
      <c r="E37" s="189">
        <v>873</v>
      </c>
      <c r="F37" s="189">
        <v>291038</v>
      </c>
      <c r="G37" s="189">
        <v>273962</v>
      </c>
      <c r="H37" s="189">
        <v>240574</v>
      </c>
      <c r="I37" s="189">
        <v>206750</v>
      </c>
      <c r="J37" s="189">
        <v>178241</v>
      </c>
      <c r="K37" s="189">
        <v>145237</v>
      </c>
      <c r="L37" s="189">
        <v>115218</v>
      </c>
      <c r="M37" s="189">
        <v>78825</v>
      </c>
      <c r="N37" s="189">
        <v>29335</v>
      </c>
      <c r="O37" s="189">
        <v>1075</v>
      </c>
      <c r="P37" s="189">
        <v>1101</v>
      </c>
      <c r="Q37" s="189">
        <v>1108</v>
      </c>
      <c r="R37" s="189">
        <v>1134</v>
      </c>
      <c r="S37" s="189">
        <v>1128</v>
      </c>
      <c r="T37" s="189">
        <v>937</v>
      </c>
    </row>
    <row r="38" spans="1:21" ht="15" thickBot="1">
      <c r="A38" s="176" t="s">
        <v>708</v>
      </c>
      <c r="B38" s="174"/>
      <c r="C38" s="189">
        <v>24564</v>
      </c>
      <c r="D38" s="189">
        <v>35710</v>
      </c>
      <c r="E38" s="189">
        <v>36433</v>
      </c>
      <c r="F38" s="189">
        <v>40107</v>
      </c>
      <c r="G38" s="189">
        <v>41764</v>
      </c>
      <c r="H38" s="189">
        <v>43157</v>
      </c>
      <c r="I38" s="189">
        <v>50743</v>
      </c>
      <c r="J38" s="189">
        <v>58138</v>
      </c>
      <c r="K38" s="189">
        <v>60905</v>
      </c>
      <c r="L38" s="189">
        <v>67473</v>
      </c>
      <c r="M38" s="189">
        <v>76742</v>
      </c>
      <c r="N38" s="189">
        <v>95783</v>
      </c>
      <c r="O38" s="189">
        <v>105806</v>
      </c>
      <c r="P38" s="189">
        <v>173632</v>
      </c>
      <c r="Q38" s="189">
        <v>175270</v>
      </c>
      <c r="R38" s="189">
        <v>185995</v>
      </c>
      <c r="S38" s="189">
        <v>196426</v>
      </c>
      <c r="T38" s="189">
        <v>212598</v>
      </c>
    </row>
    <row r="39" spans="1:21" ht="15" thickBot="1">
      <c r="A39" s="177" t="s">
        <v>752</v>
      </c>
      <c r="B39" s="170"/>
      <c r="C39" s="178">
        <f t="shared" ref="C39:G39" si="5">SUM(C40:C45)</f>
        <v>1484861</v>
      </c>
      <c r="D39" s="178">
        <f t="shared" si="5"/>
        <v>1546063</v>
      </c>
      <c r="E39" s="178">
        <f t="shared" si="5"/>
        <v>1543195</v>
      </c>
      <c r="F39" s="178">
        <f t="shared" si="5"/>
        <v>1753674</v>
      </c>
      <c r="G39" s="178">
        <f t="shared" si="5"/>
        <v>1801760</v>
      </c>
      <c r="H39" s="178">
        <f t="shared" ref="H39:P39" si="6">SUM(H40:H45)</f>
        <v>1841454</v>
      </c>
      <c r="I39" s="178">
        <f t="shared" si="6"/>
        <v>1991961</v>
      </c>
      <c r="J39" s="178">
        <f t="shared" si="6"/>
        <v>2094841</v>
      </c>
      <c r="K39" s="178">
        <f t="shared" si="6"/>
        <v>2151022</v>
      </c>
      <c r="L39" s="178">
        <f t="shared" si="6"/>
        <v>2262336</v>
      </c>
      <c r="M39" s="178">
        <f t="shared" si="6"/>
        <v>2451437</v>
      </c>
      <c r="N39" s="178">
        <f t="shared" si="6"/>
        <v>2564952</v>
      </c>
      <c r="O39" s="178">
        <f t="shared" si="6"/>
        <v>2710076</v>
      </c>
      <c r="P39" s="178">
        <f t="shared" si="6"/>
        <v>2865701</v>
      </c>
      <c r="Q39" s="178">
        <f>SUM(Q40:Q45)</f>
        <v>2979146</v>
      </c>
      <c r="R39" s="178">
        <f>SUM(R40:R45)</f>
        <v>3048427</v>
      </c>
      <c r="S39" s="178">
        <f>SUM(S40:S45)</f>
        <v>3131772</v>
      </c>
      <c r="T39" s="178">
        <f>SUM(T40:T45)</f>
        <v>3271347</v>
      </c>
    </row>
    <row r="40" spans="1:21">
      <c r="A40" s="173" t="s">
        <v>709</v>
      </c>
      <c r="B40" s="174"/>
      <c r="C40" s="189"/>
      <c r="D40" s="189"/>
      <c r="E40" s="189"/>
      <c r="L40" s="189">
        <v>0</v>
      </c>
      <c r="M40" s="189">
        <v>123</v>
      </c>
      <c r="N40" s="189">
        <v>121</v>
      </c>
      <c r="O40" s="189">
        <v>120</v>
      </c>
      <c r="P40" s="189">
        <v>119</v>
      </c>
      <c r="Q40" s="189">
        <v>118</v>
      </c>
      <c r="R40" s="189">
        <v>118</v>
      </c>
      <c r="S40" s="189">
        <v>118</v>
      </c>
      <c r="T40" s="189">
        <v>118</v>
      </c>
    </row>
    <row r="41" spans="1:21">
      <c r="A41" s="173" t="s">
        <v>710</v>
      </c>
      <c r="B41" s="174"/>
      <c r="C41" s="189"/>
      <c r="D41" s="189"/>
      <c r="E41" s="189"/>
      <c r="L41" s="189">
        <v>0</v>
      </c>
      <c r="P41" s="189">
        <v>0</v>
      </c>
    </row>
    <row r="42" spans="1:21">
      <c r="A42" s="173" t="s">
        <v>769</v>
      </c>
      <c r="B42" s="174"/>
      <c r="C42" s="189">
        <v>264690</v>
      </c>
      <c r="D42" s="189">
        <v>171274</v>
      </c>
      <c r="E42" s="189">
        <v>184859</v>
      </c>
      <c r="F42" s="189">
        <v>376543</v>
      </c>
      <c r="G42" s="189">
        <v>417613</v>
      </c>
      <c r="H42" s="189">
        <v>414153</v>
      </c>
      <c r="I42" s="189">
        <v>449456</v>
      </c>
      <c r="J42" s="189">
        <v>480461</v>
      </c>
      <c r="K42" s="189">
        <v>512932</v>
      </c>
      <c r="L42" s="189">
        <v>596790</v>
      </c>
      <c r="M42" s="189">
        <v>720229</v>
      </c>
      <c r="N42" s="189">
        <v>670682</v>
      </c>
      <c r="O42" s="189">
        <v>817230</v>
      </c>
      <c r="P42" s="189">
        <v>275424</v>
      </c>
      <c r="Q42" s="189">
        <v>419500</v>
      </c>
      <c r="R42" s="189">
        <v>445041</v>
      </c>
      <c r="S42" s="189">
        <v>499949</v>
      </c>
      <c r="T42" s="189">
        <v>585798</v>
      </c>
    </row>
    <row r="43" spans="1:21">
      <c r="A43" s="173" t="s">
        <v>770</v>
      </c>
      <c r="B43" s="174"/>
      <c r="C43" s="189"/>
      <c r="D43" s="189"/>
      <c r="E43" s="189"/>
      <c r="L43" s="189">
        <v>0</v>
      </c>
      <c r="P43" s="189">
        <v>0</v>
      </c>
      <c r="R43" s="189">
        <v>0</v>
      </c>
      <c r="T43" s="189">
        <v>0</v>
      </c>
    </row>
    <row r="44" spans="1:21">
      <c r="A44" s="173" t="s">
        <v>713</v>
      </c>
      <c r="B44" s="174"/>
      <c r="C44" s="189">
        <v>3836</v>
      </c>
      <c r="D44" s="189">
        <v>1870</v>
      </c>
      <c r="E44" s="189">
        <v>2523</v>
      </c>
      <c r="F44" s="189">
        <v>1630</v>
      </c>
      <c r="G44" s="189">
        <v>1183</v>
      </c>
      <c r="H44" s="189">
        <v>1204</v>
      </c>
      <c r="I44" s="189">
        <v>127</v>
      </c>
      <c r="J44" s="189">
        <v>293</v>
      </c>
      <c r="K44" s="189">
        <v>240</v>
      </c>
      <c r="L44" s="189">
        <v>187</v>
      </c>
      <c r="M44" s="189">
        <v>406</v>
      </c>
      <c r="N44" s="189">
        <v>469</v>
      </c>
      <c r="O44" s="189">
        <v>312</v>
      </c>
      <c r="P44" s="189">
        <v>305</v>
      </c>
      <c r="Q44" s="189">
        <v>2457</v>
      </c>
      <c r="R44" s="189">
        <v>2504</v>
      </c>
      <c r="S44" s="189">
        <v>2332</v>
      </c>
      <c r="T44" s="189">
        <v>2177</v>
      </c>
    </row>
    <row r="45" spans="1:21" ht="15" thickBot="1">
      <c r="A45" s="173" t="s">
        <v>711</v>
      </c>
      <c r="B45" s="174"/>
      <c r="C45" s="189">
        <v>1216335</v>
      </c>
      <c r="D45" s="189">
        <v>1372919</v>
      </c>
      <c r="E45" s="189">
        <v>1355813</v>
      </c>
      <c r="F45" s="189">
        <v>1375501</v>
      </c>
      <c r="G45" s="189">
        <v>1382964</v>
      </c>
      <c r="H45" s="189">
        <v>1426097</v>
      </c>
      <c r="I45" s="189">
        <v>1542378</v>
      </c>
      <c r="J45" s="189">
        <v>1614087</v>
      </c>
      <c r="K45" s="189">
        <v>1637850</v>
      </c>
      <c r="L45" s="189">
        <v>1665359</v>
      </c>
      <c r="M45" s="189">
        <v>1730679</v>
      </c>
      <c r="N45" s="189">
        <v>1893680</v>
      </c>
      <c r="O45" s="189">
        <v>1892414</v>
      </c>
      <c r="P45" s="189">
        <v>2589853</v>
      </c>
      <c r="Q45" s="189">
        <v>2557071</v>
      </c>
      <c r="R45" s="189">
        <v>2600764</v>
      </c>
      <c r="S45" s="189">
        <v>2629373</v>
      </c>
      <c r="T45" s="189">
        <v>2683254</v>
      </c>
    </row>
    <row r="46" spans="1:21" ht="15" thickBot="1">
      <c r="A46" s="177" t="s">
        <v>714</v>
      </c>
      <c r="B46" s="170"/>
      <c r="C46" s="178">
        <f t="shared" ref="C46:T46" si="7">C8+C24</f>
        <v>3824785</v>
      </c>
      <c r="D46" s="178">
        <f t="shared" si="7"/>
        <v>3883789</v>
      </c>
      <c r="E46" s="178">
        <f t="shared" si="7"/>
        <v>4064479</v>
      </c>
      <c r="F46" s="178">
        <f t="shared" si="7"/>
        <v>5210503</v>
      </c>
      <c r="G46" s="178">
        <f t="shared" si="7"/>
        <v>4925231</v>
      </c>
      <c r="H46" s="178">
        <f t="shared" si="7"/>
        <v>5150363</v>
      </c>
      <c r="I46" s="178">
        <f t="shared" si="7"/>
        <v>6056155</v>
      </c>
      <c r="J46" s="178">
        <f t="shared" si="7"/>
        <v>6255665</v>
      </c>
      <c r="K46" s="178">
        <f t="shared" si="7"/>
        <v>6237095</v>
      </c>
      <c r="L46" s="178">
        <f t="shared" si="7"/>
        <v>5575629</v>
      </c>
      <c r="M46" s="178">
        <f t="shared" si="7"/>
        <v>5455282</v>
      </c>
      <c r="N46" s="178">
        <f t="shared" si="7"/>
        <v>5677675</v>
      </c>
      <c r="O46" s="178">
        <f t="shared" si="7"/>
        <v>5627583</v>
      </c>
      <c r="P46" s="178">
        <f t="shared" si="7"/>
        <v>5449758</v>
      </c>
      <c r="Q46" s="178">
        <f t="shared" si="7"/>
        <v>5512544</v>
      </c>
      <c r="R46" s="178">
        <f t="shared" si="7"/>
        <v>5919763</v>
      </c>
      <c r="S46" s="178">
        <f t="shared" si="7"/>
        <v>5953658</v>
      </c>
      <c r="T46" s="178">
        <f t="shared" si="7"/>
        <v>6315732</v>
      </c>
      <c r="U46" s="111"/>
    </row>
    <row r="47" spans="1:21">
      <c r="A47" s="173"/>
      <c r="B47" s="174"/>
    </row>
    <row r="48" spans="1:21" ht="15" thickBot="1">
      <c r="A48" s="5" t="s">
        <v>715</v>
      </c>
      <c r="B48" s="168"/>
      <c r="C48" s="528" t="str">
        <f t="shared" ref="C48:K48" si="8">C7</f>
        <v>1T20</v>
      </c>
      <c r="D48" s="528" t="str">
        <f t="shared" si="8"/>
        <v>2T20</v>
      </c>
      <c r="E48" s="528" t="str">
        <f t="shared" si="8"/>
        <v>3T20</v>
      </c>
      <c r="F48" s="528" t="str">
        <f t="shared" si="8"/>
        <v>4T20</v>
      </c>
      <c r="G48" s="528" t="str">
        <f t="shared" si="8"/>
        <v>1T21</v>
      </c>
      <c r="H48" s="528" t="str">
        <f t="shared" si="8"/>
        <v>2T21</v>
      </c>
      <c r="I48" s="528" t="str">
        <f t="shared" si="8"/>
        <v>3T21</v>
      </c>
      <c r="J48" s="528" t="str">
        <f t="shared" si="8"/>
        <v>4T21</v>
      </c>
      <c r="K48" s="528" t="str">
        <f t="shared" si="8"/>
        <v>1T22</v>
      </c>
      <c r="L48" s="528" t="s">
        <v>46</v>
      </c>
      <c r="M48" s="528" t="s">
        <v>47</v>
      </c>
      <c r="N48" s="528" t="str">
        <f>N7</f>
        <v>4T22</v>
      </c>
      <c r="O48" s="528" t="str">
        <f>O7</f>
        <v>1T23</v>
      </c>
      <c r="P48" s="528" t="str">
        <f>P7</f>
        <v>2T23</v>
      </c>
      <c r="Q48" s="528" t="str">
        <f>Q7</f>
        <v>3T23</v>
      </c>
      <c r="R48" s="528" t="str">
        <f>R7</f>
        <v>4T23</v>
      </c>
      <c r="S48" s="528" t="s">
        <v>53</v>
      </c>
      <c r="T48" s="528" t="s">
        <v>54</v>
      </c>
    </row>
    <row r="49" spans="1:20" ht="15" thickBot="1">
      <c r="A49" s="169" t="s">
        <v>690</v>
      </c>
      <c r="B49" s="170"/>
      <c r="C49" s="171">
        <f t="shared" ref="C49:P49" si="9">SUM(C50:C66)</f>
        <v>1123355</v>
      </c>
      <c r="D49" s="171">
        <f t="shared" si="9"/>
        <v>1320193</v>
      </c>
      <c r="E49" s="171">
        <f t="shared" si="9"/>
        <v>1527839</v>
      </c>
      <c r="F49" s="171">
        <f t="shared" si="9"/>
        <v>1831400</v>
      </c>
      <c r="G49" s="171">
        <f t="shared" si="9"/>
        <v>1527186</v>
      </c>
      <c r="H49" s="171">
        <f t="shared" si="9"/>
        <v>2059575</v>
      </c>
      <c r="I49" s="171">
        <f t="shared" si="9"/>
        <v>2254237</v>
      </c>
      <c r="J49" s="171">
        <f t="shared" si="9"/>
        <v>2288164</v>
      </c>
      <c r="K49" s="171">
        <f t="shared" si="9"/>
        <v>1981668</v>
      </c>
      <c r="L49" s="171">
        <f t="shared" si="9"/>
        <v>1443358</v>
      </c>
      <c r="M49" s="171">
        <f t="shared" si="9"/>
        <v>1360360</v>
      </c>
      <c r="N49" s="171">
        <f t="shared" si="9"/>
        <v>1800798</v>
      </c>
      <c r="O49" s="171">
        <f t="shared" si="9"/>
        <v>1720321</v>
      </c>
      <c r="P49" s="171">
        <f t="shared" si="9"/>
        <v>1469916</v>
      </c>
      <c r="Q49" s="171">
        <f>SUM(Q50:Q66)</f>
        <v>1398928</v>
      </c>
      <c r="R49" s="171">
        <f>SUM(R50:R66)</f>
        <v>1644869</v>
      </c>
      <c r="S49" s="171">
        <f>SUM(S50:S66)</f>
        <v>1908660</v>
      </c>
      <c r="T49" s="171">
        <f>SUM(T50:T66)</f>
        <v>2286232</v>
      </c>
    </row>
    <row r="50" spans="1:20">
      <c r="A50" s="182" t="s">
        <v>716</v>
      </c>
      <c r="B50" s="183"/>
      <c r="C50" s="189">
        <v>322970</v>
      </c>
      <c r="D50" s="189">
        <v>362582</v>
      </c>
      <c r="E50" s="189">
        <v>359422</v>
      </c>
      <c r="F50" s="189">
        <v>463796</v>
      </c>
      <c r="G50" s="189">
        <v>334745</v>
      </c>
      <c r="H50" s="189">
        <v>315019</v>
      </c>
      <c r="I50" s="189">
        <v>471611</v>
      </c>
      <c r="J50" s="189">
        <v>486074</v>
      </c>
      <c r="K50" s="189">
        <v>317159</v>
      </c>
      <c r="L50" s="189">
        <v>367358</v>
      </c>
      <c r="M50" s="189">
        <v>395422</v>
      </c>
      <c r="N50" s="189">
        <v>428326</v>
      </c>
      <c r="O50" s="189">
        <v>387413</v>
      </c>
      <c r="P50" s="189">
        <v>442650</v>
      </c>
      <c r="Q50" s="189">
        <v>383417</v>
      </c>
      <c r="R50" s="189">
        <v>464954</v>
      </c>
      <c r="S50" s="189">
        <v>392805</v>
      </c>
      <c r="T50" s="189">
        <v>418021</v>
      </c>
    </row>
    <row r="51" spans="1:20">
      <c r="A51" s="182" t="s">
        <v>717</v>
      </c>
      <c r="B51" s="183"/>
      <c r="C51" s="189">
        <v>11034</v>
      </c>
      <c r="D51" s="189">
        <v>12232</v>
      </c>
      <c r="E51" s="189">
        <v>13162</v>
      </c>
      <c r="F51" s="189">
        <v>9989</v>
      </c>
      <c r="G51" s="189">
        <v>8923</v>
      </c>
      <c r="H51" s="189">
        <v>9858</v>
      </c>
      <c r="I51" s="189">
        <v>11060</v>
      </c>
      <c r="J51" s="189">
        <v>8425</v>
      </c>
      <c r="K51" s="189">
        <v>8928</v>
      </c>
      <c r="L51" s="189">
        <v>11361</v>
      </c>
      <c r="M51" s="189">
        <v>11464</v>
      </c>
      <c r="N51" s="189">
        <v>9237</v>
      </c>
      <c r="O51" s="189">
        <v>10019</v>
      </c>
      <c r="P51" s="189">
        <v>10688</v>
      </c>
      <c r="Q51" s="189">
        <v>11160</v>
      </c>
      <c r="R51" s="189">
        <v>9014</v>
      </c>
      <c r="S51" s="189">
        <v>10370</v>
      </c>
      <c r="T51" s="189">
        <v>11192</v>
      </c>
    </row>
    <row r="52" spans="1:20">
      <c r="A52" s="173" t="s">
        <v>718</v>
      </c>
      <c r="B52" s="174"/>
      <c r="C52" s="189">
        <v>178708</v>
      </c>
      <c r="D52" s="189">
        <v>177692</v>
      </c>
      <c r="E52" s="189">
        <v>178704</v>
      </c>
      <c r="F52" s="189">
        <v>188964</v>
      </c>
      <c r="G52" s="189">
        <v>193223</v>
      </c>
      <c r="H52" s="189">
        <v>566456</v>
      </c>
      <c r="I52" s="189">
        <v>625911</v>
      </c>
      <c r="J52" s="189">
        <v>628570</v>
      </c>
      <c r="K52" s="189">
        <v>562834</v>
      </c>
      <c r="L52" s="189">
        <v>169888</v>
      </c>
      <c r="M52" s="189">
        <v>71397</v>
      </c>
      <c r="N52" s="189">
        <v>230814</v>
      </c>
      <c r="O52" s="189">
        <v>250478</v>
      </c>
      <c r="P52" s="189">
        <v>273556</v>
      </c>
      <c r="Q52" s="189">
        <v>311215</v>
      </c>
      <c r="R52" s="189">
        <v>575713</v>
      </c>
      <c r="S52" s="189">
        <v>929714</v>
      </c>
      <c r="T52" s="189">
        <v>1153827</v>
      </c>
    </row>
    <row r="53" spans="1:20">
      <c r="A53" s="173" t="s">
        <v>719</v>
      </c>
      <c r="B53" s="174"/>
      <c r="C53" s="189">
        <v>16538</v>
      </c>
      <c r="D53" s="189">
        <v>10768</v>
      </c>
      <c r="E53" s="189">
        <v>18029</v>
      </c>
      <c r="F53" s="189">
        <v>401934</v>
      </c>
      <c r="G53" s="189">
        <v>408716</v>
      </c>
      <c r="H53" s="189">
        <v>718470</v>
      </c>
      <c r="I53" s="189">
        <v>733318</v>
      </c>
      <c r="J53" s="189">
        <v>318328</v>
      </c>
      <c r="K53" s="189">
        <v>346376</v>
      </c>
      <c r="L53" s="189">
        <v>340991</v>
      </c>
      <c r="M53" s="189">
        <v>368055</v>
      </c>
      <c r="N53" s="189">
        <v>318097</v>
      </c>
      <c r="O53" s="189">
        <v>343810</v>
      </c>
      <c r="P53" s="189">
        <v>33214</v>
      </c>
      <c r="Q53" s="189">
        <v>48711</v>
      </c>
      <c r="R53" s="189">
        <v>3200</v>
      </c>
      <c r="S53" s="189">
        <v>15148</v>
      </c>
      <c r="T53" s="189">
        <v>27102</v>
      </c>
    </row>
    <row r="54" spans="1:20">
      <c r="A54" s="173" t="s">
        <v>720</v>
      </c>
      <c r="B54" s="174"/>
      <c r="C54" s="189"/>
      <c r="D54" s="189"/>
      <c r="E54" s="189">
        <v>310740</v>
      </c>
      <c r="F54" s="189">
        <v>234749</v>
      </c>
      <c r="G54" s="189">
        <v>118884</v>
      </c>
      <c r="H54" s="189">
        <v>72238</v>
      </c>
      <c r="K54" s="189">
        <v>37196</v>
      </c>
      <c r="L54" s="189" t="s">
        <v>371</v>
      </c>
      <c r="M54" s="37"/>
      <c r="N54" s="189">
        <v>0</v>
      </c>
      <c r="Q54" s="189">
        <v>424</v>
      </c>
      <c r="R54" s="189">
        <v>33062</v>
      </c>
      <c r="S54" s="189">
        <v>31874</v>
      </c>
      <c r="T54" s="189">
        <v>35043</v>
      </c>
    </row>
    <row r="55" spans="1:20">
      <c r="A55" s="173" t="s">
        <v>721</v>
      </c>
      <c r="B55" s="174"/>
      <c r="C55" s="189">
        <v>97620</v>
      </c>
      <c r="D55" s="189">
        <v>103296</v>
      </c>
      <c r="E55" s="189">
        <v>102853</v>
      </c>
      <c r="F55" s="189">
        <v>151512</v>
      </c>
      <c r="G55" s="189">
        <v>107649</v>
      </c>
      <c r="H55" s="189">
        <v>111203</v>
      </c>
      <c r="I55" s="189">
        <v>139586</v>
      </c>
      <c r="J55" s="189">
        <v>120572</v>
      </c>
      <c r="K55" s="189">
        <v>107601</v>
      </c>
      <c r="L55" s="189">
        <v>95813</v>
      </c>
      <c r="M55" s="189">
        <v>74156</v>
      </c>
      <c r="N55" s="189">
        <v>76526</v>
      </c>
      <c r="O55" s="189">
        <v>106098</v>
      </c>
      <c r="P55" s="189">
        <v>103320</v>
      </c>
      <c r="Q55" s="189">
        <v>104261</v>
      </c>
      <c r="R55" s="189">
        <v>113356</v>
      </c>
      <c r="S55" s="189">
        <v>96870</v>
      </c>
      <c r="T55" s="189">
        <v>104971</v>
      </c>
    </row>
    <row r="56" spans="1:20">
      <c r="A56" s="173" t="s">
        <v>771</v>
      </c>
      <c r="B56" s="174"/>
      <c r="C56" s="189">
        <v>1291</v>
      </c>
      <c r="D56" s="189">
        <v>1103</v>
      </c>
      <c r="E56" s="189">
        <v>1036</v>
      </c>
      <c r="F56" s="189">
        <v>29183</v>
      </c>
      <c r="G56" s="189">
        <v>3011</v>
      </c>
      <c r="H56" s="189">
        <v>15330</v>
      </c>
      <c r="I56" s="189">
        <v>10098</v>
      </c>
      <c r="J56" s="189">
        <v>4354</v>
      </c>
      <c r="K56" s="189">
        <v>31542</v>
      </c>
      <c r="L56" s="189">
        <v>6426</v>
      </c>
      <c r="M56" s="189">
        <v>6544</v>
      </c>
      <c r="N56" s="189">
        <v>3612</v>
      </c>
      <c r="O56" s="189">
        <v>6195</v>
      </c>
      <c r="P56" s="189">
        <v>17067</v>
      </c>
      <c r="Q56" s="189">
        <v>22605</v>
      </c>
      <c r="R56" s="189">
        <v>2871</v>
      </c>
      <c r="S56" s="189">
        <v>5667</v>
      </c>
      <c r="T56" s="189">
        <v>4814</v>
      </c>
    </row>
    <row r="57" spans="1:20">
      <c r="A57" s="173" t="s">
        <v>723</v>
      </c>
      <c r="B57" s="174"/>
      <c r="C57" s="189">
        <v>0</v>
      </c>
      <c r="D57" s="189"/>
      <c r="E57" s="189"/>
      <c r="J57" s="189">
        <v>179867</v>
      </c>
      <c r="K57" s="189">
        <v>78782</v>
      </c>
      <c r="L57" s="189">
        <v>78783</v>
      </c>
      <c r="M57" s="189">
        <v>78783</v>
      </c>
      <c r="N57" s="189">
        <v>130636</v>
      </c>
      <c r="O57" s="189">
        <v>51874</v>
      </c>
      <c r="P57" s="189">
        <v>51874</v>
      </c>
      <c r="Q57" s="189">
        <v>51879</v>
      </c>
      <c r="R57" s="189">
        <v>55531</v>
      </c>
      <c r="S57" s="189">
        <v>55509</v>
      </c>
      <c r="T57" s="189">
        <f>+[2]Passivo!$L$24</f>
        <v>173315</v>
      </c>
    </row>
    <row r="58" spans="1:20">
      <c r="A58" s="173" t="s">
        <v>724</v>
      </c>
      <c r="B58" s="174"/>
      <c r="C58" s="189"/>
      <c r="D58" s="189"/>
      <c r="E58" s="189"/>
      <c r="I58" s="189">
        <v>31504</v>
      </c>
      <c r="J58" s="189">
        <v>78823</v>
      </c>
      <c r="M58" s="189">
        <v>72285</v>
      </c>
      <c r="N58" s="189">
        <v>77299</v>
      </c>
      <c r="O58" s="189">
        <v>78283</v>
      </c>
      <c r="P58" s="189">
        <v>78509</v>
      </c>
      <c r="Q58" s="189">
        <v>76898</v>
      </c>
      <c r="R58" s="189">
        <v>77784</v>
      </c>
      <c r="S58" s="189">
        <v>76449</v>
      </c>
      <c r="T58" s="189">
        <v>73054</v>
      </c>
    </row>
    <row r="59" spans="1:20">
      <c r="A59" s="173" t="s">
        <v>725</v>
      </c>
      <c r="B59" s="174"/>
      <c r="C59" s="189">
        <v>12833</v>
      </c>
      <c r="D59" s="189">
        <v>12244</v>
      </c>
      <c r="E59" s="189">
        <v>15986</v>
      </c>
      <c r="F59" s="189">
        <v>15690</v>
      </c>
      <c r="G59" s="189">
        <v>15108</v>
      </c>
      <c r="H59" s="189">
        <v>15906</v>
      </c>
      <c r="I59" s="189">
        <v>18675</v>
      </c>
      <c r="J59" s="189">
        <v>19080</v>
      </c>
      <c r="K59" s="189">
        <v>18745</v>
      </c>
      <c r="L59" s="189">
        <v>16271</v>
      </c>
      <c r="M59" s="189">
        <v>18129</v>
      </c>
      <c r="N59" s="189">
        <v>16282</v>
      </c>
      <c r="O59" s="189">
        <v>17084</v>
      </c>
      <c r="P59" s="189">
        <v>17174</v>
      </c>
      <c r="Q59" s="189">
        <v>8587</v>
      </c>
      <c r="R59" s="189">
        <v>20096</v>
      </c>
      <c r="S59" s="189">
        <v>18250</v>
      </c>
      <c r="T59" s="189">
        <v>20795</v>
      </c>
    </row>
    <row r="60" spans="1:20">
      <c r="A60" s="173" t="s">
        <v>726</v>
      </c>
      <c r="B60" s="174"/>
      <c r="C60" s="189">
        <v>59425</v>
      </c>
      <c r="D60" s="189">
        <v>61661</v>
      </c>
      <c r="E60" s="189">
        <v>59803</v>
      </c>
      <c r="F60" s="189">
        <v>26291</v>
      </c>
      <c r="G60" s="189">
        <v>40035</v>
      </c>
      <c r="H60" s="189">
        <v>37871</v>
      </c>
      <c r="K60" s="189">
        <v>89929</v>
      </c>
      <c r="L60" s="189">
        <v>73621</v>
      </c>
      <c r="P60" s="189">
        <v>0</v>
      </c>
    </row>
    <row r="61" spans="1:20">
      <c r="A61" s="173" t="s">
        <v>727</v>
      </c>
      <c r="B61" s="174"/>
      <c r="C61" s="189">
        <v>33099</v>
      </c>
      <c r="D61" s="189">
        <v>22897</v>
      </c>
      <c r="E61" s="189">
        <v>20664</v>
      </c>
      <c r="F61" s="189">
        <v>20664</v>
      </c>
      <c r="G61" s="189">
        <v>20331</v>
      </c>
      <c r="H61" s="189">
        <v>15947</v>
      </c>
      <c r="I61" s="189">
        <v>18817</v>
      </c>
      <c r="J61" s="189">
        <v>21687</v>
      </c>
      <c r="K61" s="189">
        <v>24261</v>
      </c>
      <c r="L61" s="189">
        <v>19077</v>
      </c>
      <c r="M61" s="189">
        <v>21871</v>
      </c>
      <c r="N61" s="189">
        <v>24666</v>
      </c>
      <c r="O61" s="189">
        <v>17845</v>
      </c>
      <c r="P61" s="189">
        <v>16662</v>
      </c>
      <c r="Q61" s="189">
        <v>19486</v>
      </c>
      <c r="R61" s="189">
        <v>22385</v>
      </c>
      <c r="S61" s="189">
        <v>13800</v>
      </c>
      <c r="T61" s="189">
        <v>12722</v>
      </c>
    </row>
    <row r="62" spans="1:20">
      <c r="A62" s="173" t="s">
        <v>701</v>
      </c>
      <c r="B62" s="174"/>
      <c r="C62" s="189"/>
      <c r="D62" s="189">
        <v>0</v>
      </c>
      <c r="E62" s="189"/>
      <c r="L62" s="189">
        <v>321</v>
      </c>
      <c r="M62" s="189">
        <v>875</v>
      </c>
      <c r="N62" s="189">
        <v>25034</v>
      </c>
      <c r="O62" s="189">
        <v>37220</v>
      </c>
      <c r="P62" s="189">
        <v>37694</v>
      </c>
      <c r="Q62" s="189">
        <v>33363</v>
      </c>
      <c r="R62" s="189">
        <v>9639</v>
      </c>
      <c r="S62" s="189">
        <v>3780</v>
      </c>
      <c r="T62" s="189">
        <v>0</v>
      </c>
    </row>
    <row r="63" spans="1:20">
      <c r="A63" s="173" t="s">
        <v>772</v>
      </c>
      <c r="B63" s="174"/>
      <c r="C63" s="189">
        <v>175487</v>
      </c>
      <c r="D63" s="189">
        <v>175499</v>
      </c>
      <c r="E63" s="189">
        <v>152532</v>
      </c>
      <c r="F63" s="189">
        <v>139235</v>
      </c>
      <c r="G63" s="189">
        <v>145071</v>
      </c>
      <c r="H63" s="189">
        <v>55166</v>
      </c>
      <c r="I63" s="189">
        <v>67538</v>
      </c>
      <c r="J63" s="189">
        <v>54821</v>
      </c>
      <c r="K63" s="189">
        <v>58849</v>
      </c>
      <c r="L63" s="189">
        <v>50989</v>
      </c>
      <c r="M63" s="189">
        <v>71893</v>
      </c>
      <c r="N63" s="189">
        <v>60160</v>
      </c>
      <c r="O63" s="189">
        <v>58935</v>
      </c>
      <c r="P63" s="189">
        <v>58505</v>
      </c>
      <c r="Q63" s="189">
        <v>61309</v>
      </c>
      <c r="R63" s="189">
        <v>58654</v>
      </c>
      <c r="S63" s="189">
        <v>59063</v>
      </c>
      <c r="T63" s="189">
        <v>55305</v>
      </c>
    </row>
    <row r="64" spans="1:20">
      <c r="A64" s="173" t="s">
        <v>730</v>
      </c>
      <c r="B64" s="174"/>
      <c r="C64" s="189">
        <v>210076</v>
      </c>
      <c r="D64" s="189">
        <v>376759</v>
      </c>
      <c r="E64" s="189">
        <v>292417</v>
      </c>
      <c r="F64" s="189">
        <v>147832</v>
      </c>
      <c r="G64" s="189">
        <v>130359</v>
      </c>
      <c r="H64" s="189">
        <v>124840</v>
      </c>
      <c r="I64" s="189">
        <v>126001</v>
      </c>
      <c r="J64" s="189">
        <v>147902</v>
      </c>
      <c r="K64" s="189">
        <v>133992</v>
      </c>
      <c r="L64" s="189">
        <v>103393</v>
      </c>
      <c r="M64" s="189">
        <v>119772</v>
      </c>
      <c r="N64" s="189">
        <v>153505</v>
      </c>
      <c r="O64" s="189">
        <v>171011</v>
      </c>
      <c r="P64" s="189">
        <v>213591</v>
      </c>
      <c r="Q64" s="189">
        <v>225825</v>
      </c>
      <c r="R64" s="189">
        <v>148770</v>
      </c>
      <c r="S64" s="189">
        <v>162466</v>
      </c>
      <c r="T64" s="189">
        <v>172208</v>
      </c>
    </row>
    <row r="65" spans="1:20">
      <c r="A65" s="173" t="s">
        <v>729</v>
      </c>
      <c r="B65" s="174"/>
      <c r="C65" s="189"/>
      <c r="D65" s="189"/>
      <c r="E65" s="189"/>
      <c r="J65" s="189">
        <v>219457</v>
      </c>
      <c r="K65" s="189">
        <v>165285</v>
      </c>
      <c r="L65" s="189">
        <v>108892</v>
      </c>
      <c r="M65" s="189">
        <v>49382</v>
      </c>
      <c r="N65" s="189">
        <v>246115</v>
      </c>
      <c r="O65" s="189">
        <v>183714</v>
      </c>
      <c r="P65" s="189">
        <v>115140</v>
      </c>
      <c r="Q65" s="189">
        <v>39253</v>
      </c>
      <c r="R65" s="189">
        <v>49296</v>
      </c>
      <c r="S65" s="189">
        <v>36385</v>
      </c>
      <c r="T65" s="189">
        <v>23369</v>
      </c>
    </row>
    <row r="66" spans="1:20" ht="15" thickBot="1">
      <c r="A66" s="173" t="s">
        <v>773</v>
      </c>
      <c r="B66" s="174"/>
      <c r="C66" s="189">
        <v>4274</v>
      </c>
      <c r="D66" s="189">
        <v>3460</v>
      </c>
      <c r="E66" s="189">
        <v>2491</v>
      </c>
      <c r="F66" s="189">
        <v>1561</v>
      </c>
      <c r="G66" s="189">
        <v>1131</v>
      </c>
      <c r="H66" s="189">
        <v>1271</v>
      </c>
      <c r="I66" s="189">
        <v>118</v>
      </c>
      <c r="J66" s="189">
        <v>204</v>
      </c>
      <c r="K66" s="189">
        <v>189</v>
      </c>
      <c r="L66" s="189">
        <v>174</v>
      </c>
      <c r="M66" s="189">
        <v>332</v>
      </c>
      <c r="N66" s="189">
        <v>489</v>
      </c>
      <c r="O66" s="189">
        <v>342</v>
      </c>
      <c r="P66" s="189">
        <v>272</v>
      </c>
      <c r="Q66" s="189">
        <v>535</v>
      </c>
      <c r="R66" s="189">
        <v>544</v>
      </c>
      <c r="S66" s="189">
        <v>510</v>
      </c>
      <c r="T66" s="189">
        <v>494</v>
      </c>
    </row>
    <row r="67" spans="1:20" ht="15" thickBot="1">
      <c r="A67" s="177" t="s">
        <v>706</v>
      </c>
      <c r="B67" s="170"/>
      <c r="C67" s="178">
        <f t="shared" ref="C67:J67" si="10">SUM(C68:C79)</f>
        <v>3546716</v>
      </c>
      <c r="D67" s="178">
        <f t="shared" si="10"/>
        <v>3392333</v>
      </c>
      <c r="E67" s="178">
        <f t="shared" si="10"/>
        <v>3397442</v>
      </c>
      <c r="F67" s="178">
        <f t="shared" si="10"/>
        <v>3643100</v>
      </c>
      <c r="G67" s="178">
        <f t="shared" si="10"/>
        <v>3607702</v>
      </c>
      <c r="H67" s="178">
        <f t="shared" si="10"/>
        <v>3171368</v>
      </c>
      <c r="I67" s="178">
        <f t="shared" si="10"/>
        <v>3233689</v>
      </c>
      <c r="J67" s="178">
        <f t="shared" si="10"/>
        <v>3403321</v>
      </c>
      <c r="K67" s="178">
        <f t="shared" ref="K67:P67" si="11">SUM(K68:K79)</f>
        <v>3535381</v>
      </c>
      <c r="L67" s="178">
        <f t="shared" si="11"/>
        <v>3401782</v>
      </c>
      <c r="M67" s="178">
        <f t="shared" si="11"/>
        <v>3302408</v>
      </c>
      <c r="N67" s="178">
        <f t="shared" si="11"/>
        <v>3055777</v>
      </c>
      <c r="O67" s="178">
        <f t="shared" si="11"/>
        <v>3060900</v>
      </c>
      <c r="P67" s="178">
        <f t="shared" si="11"/>
        <v>3061119</v>
      </c>
      <c r="Q67" s="178">
        <f>SUM(Q68:Q79)</f>
        <v>3064482</v>
      </c>
      <c r="R67" s="178">
        <f>SUM(R68:R79)</f>
        <v>3179977</v>
      </c>
      <c r="S67" s="178">
        <f>SUM(S68:S79)</f>
        <v>2885853</v>
      </c>
      <c r="T67" s="178">
        <f>SUM(T68:T79)</f>
        <v>2915452</v>
      </c>
    </row>
    <row r="68" spans="1:20">
      <c r="A68" s="173" t="s">
        <v>718</v>
      </c>
      <c r="B68" s="174"/>
      <c r="C68" s="201">
        <v>1685874</v>
      </c>
      <c r="D68" s="201">
        <v>1683815</v>
      </c>
      <c r="E68" s="201">
        <v>1678718</v>
      </c>
      <c r="F68" s="189">
        <v>2178660</v>
      </c>
      <c r="G68" s="189">
        <v>2137358</v>
      </c>
      <c r="H68" s="189">
        <v>1946819</v>
      </c>
      <c r="I68" s="189">
        <v>2069685</v>
      </c>
      <c r="J68" s="189">
        <v>2198869</v>
      </c>
      <c r="K68" s="189">
        <v>2269650</v>
      </c>
      <c r="L68" s="189">
        <v>2455193</v>
      </c>
      <c r="M68" s="189">
        <v>2363933</v>
      </c>
      <c r="N68" s="189">
        <v>2347963</v>
      </c>
      <c r="O68" s="189">
        <v>2354300</v>
      </c>
      <c r="P68" s="189">
        <v>2342149</v>
      </c>
      <c r="Q68" s="189">
        <v>2347213</v>
      </c>
      <c r="R68" s="189">
        <v>2466669</v>
      </c>
      <c r="S68" s="189">
        <v>2159409</v>
      </c>
      <c r="T68" s="189">
        <v>2249215</v>
      </c>
    </row>
    <row r="69" spans="1:20">
      <c r="A69" s="173" t="s">
        <v>719</v>
      </c>
      <c r="B69" s="174"/>
      <c r="C69" s="201">
        <v>1019490</v>
      </c>
      <c r="D69" s="201">
        <v>1019549</v>
      </c>
      <c r="E69" s="201">
        <v>1019608</v>
      </c>
      <c r="F69" s="189">
        <v>619668</v>
      </c>
      <c r="G69" s="189">
        <v>619726</v>
      </c>
      <c r="H69" s="189">
        <v>309785</v>
      </c>
      <c r="I69" s="189">
        <v>309845</v>
      </c>
      <c r="J69" s="189">
        <v>709904</v>
      </c>
      <c r="K69" s="189">
        <v>709962</v>
      </c>
      <c r="L69" s="189">
        <v>400000</v>
      </c>
      <c r="M69" s="189">
        <v>400000</v>
      </c>
      <c r="N69" s="189">
        <v>400000</v>
      </c>
      <c r="O69" s="189">
        <v>400000</v>
      </c>
      <c r="P69" s="189">
        <v>400000</v>
      </c>
      <c r="Q69" s="189">
        <v>400000</v>
      </c>
      <c r="R69" s="189">
        <v>400000</v>
      </c>
      <c r="S69" s="189">
        <v>400000</v>
      </c>
      <c r="T69" s="189">
        <v>400000</v>
      </c>
    </row>
    <row r="70" spans="1:20">
      <c r="A70" s="173" t="s">
        <v>721</v>
      </c>
      <c r="B70" s="174"/>
      <c r="C70" s="201">
        <v>37103</v>
      </c>
      <c r="D70" s="201">
        <v>32465</v>
      </c>
      <c r="E70" s="201">
        <v>27192</v>
      </c>
      <c r="F70" s="189">
        <v>22277</v>
      </c>
      <c r="G70" s="189">
        <v>17122</v>
      </c>
      <c r="H70" s="189">
        <v>12246</v>
      </c>
      <c r="I70" s="189">
        <v>6151</v>
      </c>
      <c r="J70" s="189">
        <v>2718</v>
      </c>
      <c r="K70" s="189">
        <v>369</v>
      </c>
      <c r="L70" s="189">
        <v>357</v>
      </c>
      <c r="M70" s="189">
        <v>345</v>
      </c>
      <c r="N70" s="189">
        <v>333</v>
      </c>
      <c r="O70" s="189">
        <v>321</v>
      </c>
      <c r="P70" s="189">
        <v>310</v>
      </c>
      <c r="Q70" s="189">
        <v>51</v>
      </c>
      <c r="R70" s="189">
        <v>39</v>
      </c>
      <c r="S70" s="189">
        <v>28</v>
      </c>
      <c r="T70" s="189">
        <v>688</v>
      </c>
    </row>
    <row r="71" spans="1:20">
      <c r="A71" s="173" t="s">
        <v>750</v>
      </c>
      <c r="B71" s="174"/>
      <c r="C71" s="201"/>
      <c r="D71" s="201"/>
      <c r="E71" s="201"/>
      <c r="F71" s="189">
        <v>2396</v>
      </c>
      <c r="G71" s="189">
        <v>22273</v>
      </c>
      <c r="H71" s="189">
        <v>9197</v>
      </c>
      <c r="L71" s="189">
        <v>0</v>
      </c>
      <c r="P71" s="189">
        <v>0</v>
      </c>
    </row>
    <row r="72" spans="1:20">
      <c r="A72" s="173" t="s">
        <v>772</v>
      </c>
      <c r="B72" s="174"/>
      <c r="C72" s="201">
        <v>211196</v>
      </c>
      <c r="D72" s="201">
        <v>215353</v>
      </c>
      <c r="E72" s="201">
        <v>218649</v>
      </c>
      <c r="F72" s="189">
        <v>218963</v>
      </c>
      <c r="G72" s="189">
        <v>216290</v>
      </c>
      <c r="H72" s="189">
        <v>222281</v>
      </c>
      <c r="I72" s="189">
        <v>206850</v>
      </c>
      <c r="J72" s="189">
        <v>166480</v>
      </c>
      <c r="K72" s="189">
        <v>138401</v>
      </c>
      <c r="L72" s="189">
        <v>134750</v>
      </c>
      <c r="M72" s="189">
        <v>110734</v>
      </c>
      <c r="N72" s="189">
        <v>114649</v>
      </c>
      <c r="O72" s="189">
        <v>118168</v>
      </c>
      <c r="P72" s="189">
        <v>107544</v>
      </c>
      <c r="Q72" s="189">
        <v>97520</v>
      </c>
      <c r="R72" s="189">
        <v>98397</v>
      </c>
      <c r="S72" s="189">
        <v>110121</v>
      </c>
      <c r="T72" s="189">
        <v>112098</v>
      </c>
    </row>
    <row r="73" spans="1:20">
      <c r="A73" s="173" t="s">
        <v>774</v>
      </c>
      <c r="B73" s="174"/>
      <c r="C73" s="201"/>
      <c r="D73" s="201"/>
      <c r="E73" s="201"/>
      <c r="H73" s="189">
        <v>5529</v>
      </c>
      <c r="K73" s="189">
        <v>123525</v>
      </c>
      <c r="N73" s="189">
        <v>56348</v>
      </c>
      <c r="O73" s="189">
        <v>29366</v>
      </c>
      <c r="P73" s="189">
        <v>33620</v>
      </c>
      <c r="Q73" s="189">
        <v>47112</v>
      </c>
      <c r="R73" s="189">
        <v>46643</v>
      </c>
      <c r="S73" s="189">
        <v>54932</v>
      </c>
      <c r="T73" s="189">
        <v>61091</v>
      </c>
    </row>
    <row r="74" spans="1:20">
      <c r="A74" s="173" t="s">
        <v>729</v>
      </c>
      <c r="B74" s="174"/>
      <c r="C74" s="201">
        <v>448116</v>
      </c>
      <c r="D74" s="201">
        <v>296287</v>
      </c>
      <c r="E74" s="201">
        <v>308304</v>
      </c>
      <c r="F74" s="189">
        <v>454311</v>
      </c>
      <c r="G74" s="189">
        <v>455426</v>
      </c>
      <c r="H74" s="189">
        <v>456947</v>
      </c>
      <c r="I74" s="189">
        <v>459119</v>
      </c>
      <c r="J74" s="189">
        <v>222132</v>
      </c>
      <c r="K74" s="189">
        <v>225272</v>
      </c>
      <c r="L74" s="189">
        <v>246208</v>
      </c>
      <c r="M74" s="189">
        <v>248478</v>
      </c>
      <c r="P74" s="189">
        <v>0</v>
      </c>
    </row>
    <row r="75" spans="1:20">
      <c r="A75" s="173" t="s">
        <v>775</v>
      </c>
      <c r="B75" s="174"/>
      <c r="C75" s="201">
        <v>5649</v>
      </c>
      <c r="D75" s="201">
        <v>5649</v>
      </c>
      <c r="E75" s="201">
        <v>5649</v>
      </c>
      <c r="F75" s="189">
        <v>3922</v>
      </c>
      <c r="G75" s="189">
        <v>3922</v>
      </c>
      <c r="H75" s="189">
        <v>3922</v>
      </c>
      <c r="I75" s="189">
        <v>3922</v>
      </c>
      <c r="J75" s="189">
        <v>2629</v>
      </c>
      <c r="K75" s="189">
        <v>2629</v>
      </c>
      <c r="L75" s="189">
        <v>2629</v>
      </c>
      <c r="M75" s="189">
        <v>2629</v>
      </c>
      <c r="N75" s="189">
        <v>4093</v>
      </c>
      <c r="O75" s="189">
        <v>4155</v>
      </c>
      <c r="P75" s="189">
        <v>4217</v>
      </c>
      <c r="Q75" s="189">
        <v>4279</v>
      </c>
      <c r="R75" s="189">
        <v>4093</v>
      </c>
      <c r="S75" s="189">
        <v>4165</v>
      </c>
      <c r="T75" s="189">
        <v>4237</v>
      </c>
    </row>
    <row r="76" spans="1:20">
      <c r="A76" s="173" t="s">
        <v>776</v>
      </c>
      <c r="B76" s="174"/>
      <c r="C76" s="201">
        <v>49070</v>
      </c>
      <c r="D76" s="201">
        <v>49432</v>
      </c>
      <c r="E76" s="201">
        <v>49675</v>
      </c>
      <c r="F76" s="189">
        <v>88019</v>
      </c>
      <c r="G76" s="189">
        <v>80831</v>
      </c>
      <c r="H76" s="189">
        <v>81004</v>
      </c>
      <c r="I76" s="189">
        <v>87604</v>
      </c>
      <c r="J76" s="189">
        <v>24035</v>
      </c>
      <c r="K76" s="189">
        <v>13216</v>
      </c>
      <c r="L76" s="189">
        <v>29205</v>
      </c>
      <c r="M76" s="189">
        <v>32843</v>
      </c>
      <c r="N76" s="189">
        <v>30276</v>
      </c>
      <c r="O76" s="189">
        <v>32777</v>
      </c>
      <c r="P76" s="189">
        <v>35315</v>
      </c>
      <c r="Q76" s="189">
        <v>38238</v>
      </c>
      <c r="R76" s="189">
        <v>36151</v>
      </c>
      <c r="S76" s="189">
        <v>39168</v>
      </c>
      <c r="T76" s="189">
        <v>42300</v>
      </c>
    </row>
    <row r="77" spans="1:20">
      <c r="A77" s="173" t="s">
        <v>701</v>
      </c>
      <c r="B77" s="174"/>
      <c r="C77" s="201"/>
      <c r="D77" s="201"/>
      <c r="E77" s="201"/>
      <c r="L77" s="189">
        <v>83197</v>
      </c>
      <c r="M77" s="189">
        <v>95139</v>
      </c>
      <c r="N77" s="189">
        <v>55912</v>
      </c>
      <c r="O77" s="189">
        <v>77544</v>
      </c>
      <c r="P77" s="189">
        <v>94304</v>
      </c>
      <c r="Q77" s="189">
        <v>85027</v>
      </c>
      <c r="R77" s="189">
        <v>83245</v>
      </c>
      <c r="S77" s="189">
        <v>74728</v>
      </c>
      <c r="T77" s="189">
        <v>6333</v>
      </c>
    </row>
    <row r="78" spans="1:20">
      <c r="A78" s="173" t="s">
        <v>730</v>
      </c>
      <c r="B78" s="174"/>
      <c r="C78" s="201">
        <v>89806</v>
      </c>
      <c r="D78" s="201">
        <v>89722</v>
      </c>
      <c r="E78" s="201">
        <v>89615</v>
      </c>
      <c r="F78" s="189">
        <v>54814</v>
      </c>
      <c r="G78" s="189">
        <v>54702</v>
      </c>
      <c r="H78" s="189">
        <v>123608</v>
      </c>
      <c r="I78" s="189">
        <v>90501</v>
      </c>
      <c r="J78" s="189">
        <v>76462</v>
      </c>
      <c r="K78" s="189">
        <v>52301</v>
      </c>
      <c r="L78" s="189">
        <v>50224</v>
      </c>
      <c r="M78" s="189">
        <v>48223</v>
      </c>
      <c r="N78" s="189">
        <v>46172</v>
      </c>
      <c r="O78" s="189">
        <v>44261</v>
      </c>
      <c r="P78" s="189">
        <v>43606</v>
      </c>
      <c r="Q78" s="189">
        <v>43101</v>
      </c>
      <c r="R78" s="189">
        <v>42737</v>
      </c>
      <c r="S78" s="189">
        <v>41412</v>
      </c>
      <c r="T78" s="189">
        <v>37716</v>
      </c>
    </row>
    <row r="79" spans="1:20" ht="15" thickBot="1">
      <c r="A79" s="173" t="s">
        <v>773</v>
      </c>
      <c r="B79" s="174"/>
      <c r="C79" s="201">
        <v>412</v>
      </c>
      <c r="D79" s="201">
        <v>61</v>
      </c>
      <c r="E79" s="201">
        <v>32</v>
      </c>
      <c r="F79" s="189">
        <v>70</v>
      </c>
      <c r="G79" s="189">
        <v>52</v>
      </c>
      <c r="H79" s="189">
        <v>30</v>
      </c>
      <c r="I79" s="189">
        <v>12</v>
      </c>
      <c r="J79" s="189">
        <v>92</v>
      </c>
      <c r="K79" s="189">
        <v>56</v>
      </c>
      <c r="L79" s="189">
        <v>19</v>
      </c>
      <c r="M79" s="189">
        <v>84</v>
      </c>
      <c r="N79" s="189">
        <v>31</v>
      </c>
      <c r="O79" s="189">
        <v>8</v>
      </c>
      <c r="P79" s="189">
        <v>54</v>
      </c>
      <c r="Q79" s="189">
        <v>1941</v>
      </c>
      <c r="R79" s="189">
        <v>2003</v>
      </c>
      <c r="S79" s="189">
        <v>1890</v>
      </c>
      <c r="T79" s="189">
        <v>1774</v>
      </c>
    </row>
    <row r="80" spans="1:20" ht="15" thickBot="1">
      <c r="A80" s="186" t="s">
        <v>733</v>
      </c>
      <c r="B80" s="170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</row>
    <row r="81" spans="1:20" ht="15" thickBot="1">
      <c r="A81" s="177" t="s">
        <v>734</v>
      </c>
      <c r="B81" s="170"/>
      <c r="C81" s="178">
        <f t="shared" ref="C81:F81" si="12">SUM(C82:C88)</f>
        <v>-845286</v>
      </c>
      <c r="D81" s="178">
        <f t="shared" si="12"/>
        <v>-828737</v>
      </c>
      <c r="E81" s="178">
        <f t="shared" si="12"/>
        <v>-860802</v>
      </c>
      <c r="F81" s="178">
        <f t="shared" si="12"/>
        <v>-263997</v>
      </c>
      <c r="G81" s="178">
        <f>SUM(G82:G88)</f>
        <v>-209657</v>
      </c>
      <c r="H81" s="178">
        <f>SUM(H82:H88)</f>
        <v>-80580</v>
      </c>
      <c r="I81" s="178">
        <f>SUM(I82:I88)</f>
        <v>568229</v>
      </c>
      <c r="J81" s="178">
        <f>SUM(J82:J88)</f>
        <v>564180</v>
      </c>
      <c r="K81" s="178">
        <f t="shared" ref="K81:P81" si="13">SUM(K82:K88)</f>
        <v>720046</v>
      </c>
      <c r="L81" s="178">
        <f t="shared" si="13"/>
        <v>730489</v>
      </c>
      <c r="M81" s="178">
        <f t="shared" si="13"/>
        <v>792514</v>
      </c>
      <c r="N81" s="178">
        <f t="shared" si="13"/>
        <v>821100</v>
      </c>
      <c r="O81" s="178">
        <f t="shared" si="13"/>
        <v>846362</v>
      </c>
      <c r="P81" s="178">
        <f t="shared" si="13"/>
        <v>918723</v>
      </c>
      <c r="Q81" s="178">
        <f>SUM(Q82:Q88)</f>
        <v>1049134</v>
      </c>
      <c r="R81" s="178">
        <f>SUM(R82:R88)</f>
        <v>1094917</v>
      </c>
      <c r="S81" s="178">
        <f>SUM(S82:S88)</f>
        <v>1159145</v>
      </c>
      <c r="T81" s="178">
        <f>SUM(T82:T88)</f>
        <v>1114048</v>
      </c>
    </row>
    <row r="82" spans="1:20">
      <c r="A82" s="173" t="s">
        <v>735</v>
      </c>
      <c r="B82" s="174"/>
      <c r="C82" s="189">
        <v>1994416</v>
      </c>
      <c r="D82" s="189">
        <v>1994416</v>
      </c>
      <c r="E82" s="189">
        <v>1994416</v>
      </c>
      <c r="F82" s="189">
        <v>1000</v>
      </c>
      <c r="G82" s="189">
        <v>1000</v>
      </c>
      <c r="H82" s="189">
        <v>1000</v>
      </c>
      <c r="I82" s="189">
        <v>1000</v>
      </c>
      <c r="J82" s="189">
        <v>1000</v>
      </c>
      <c r="K82" s="189">
        <v>1000</v>
      </c>
      <c r="L82" s="189">
        <v>287479</v>
      </c>
      <c r="M82" s="189">
        <v>287479</v>
      </c>
      <c r="N82" s="189">
        <v>375981</v>
      </c>
      <c r="O82" s="189">
        <v>375981</v>
      </c>
      <c r="P82" s="189">
        <v>471701</v>
      </c>
      <c r="Q82" s="189">
        <v>471701</v>
      </c>
      <c r="R82" s="189">
        <v>471701</v>
      </c>
      <c r="S82" s="189">
        <v>471701</v>
      </c>
      <c r="T82" s="189">
        <v>543432</v>
      </c>
    </row>
    <row r="83" spans="1:20">
      <c r="A83" s="173" t="s">
        <v>764</v>
      </c>
      <c r="B83" s="174"/>
      <c r="C83" s="189"/>
      <c r="D83" s="189"/>
      <c r="E83" s="189"/>
      <c r="F83" s="189">
        <v>5549</v>
      </c>
      <c r="G83" s="189">
        <v>6286</v>
      </c>
      <c r="H83" s="189">
        <v>7033</v>
      </c>
      <c r="I83" s="189">
        <v>8028</v>
      </c>
      <c r="J83" s="189">
        <v>9114</v>
      </c>
      <c r="K83" s="189">
        <v>9897</v>
      </c>
      <c r="L83" s="189">
        <v>10718</v>
      </c>
      <c r="M83" s="189">
        <v>11461</v>
      </c>
      <c r="N83" s="189">
        <v>12105</v>
      </c>
      <c r="O83" s="189">
        <v>12541</v>
      </c>
      <c r="P83" s="189">
        <v>12968</v>
      </c>
      <c r="Q83" s="189">
        <v>14023</v>
      </c>
      <c r="R83" s="189">
        <v>14716</v>
      </c>
      <c r="S83" s="189">
        <v>15234</v>
      </c>
      <c r="T83" s="189">
        <v>15832</v>
      </c>
    </row>
    <row r="84" spans="1:20">
      <c r="A84" s="173" t="s">
        <v>737</v>
      </c>
      <c r="B84" s="174"/>
      <c r="C84" s="189"/>
      <c r="D84" s="189"/>
      <c r="E84" s="189"/>
      <c r="J84" s="189">
        <v>762010</v>
      </c>
      <c r="K84" s="189">
        <v>863094</v>
      </c>
      <c r="L84" s="189">
        <v>576615</v>
      </c>
      <c r="M84" s="189">
        <v>576615</v>
      </c>
      <c r="N84" s="189">
        <v>661518</v>
      </c>
      <c r="O84" s="189">
        <v>661518</v>
      </c>
      <c r="P84" s="189">
        <v>565798</v>
      </c>
      <c r="Q84" s="189">
        <v>565793</v>
      </c>
      <c r="R84" s="189">
        <v>745584</v>
      </c>
      <c r="S84" s="189">
        <v>745584</v>
      </c>
      <c r="T84" s="189">
        <f>+[2]Passivo!$L$81</f>
        <v>556046</v>
      </c>
    </row>
    <row r="85" spans="1:20">
      <c r="A85" s="173" t="s">
        <v>777</v>
      </c>
      <c r="B85" s="174"/>
      <c r="C85" s="189"/>
      <c r="D85" s="189"/>
      <c r="E85" s="189"/>
      <c r="P85" s="189">
        <v>0</v>
      </c>
    </row>
    <row r="86" spans="1:20">
      <c r="A86" s="173" t="s">
        <v>778</v>
      </c>
      <c r="B86" s="174"/>
      <c r="C86" s="189">
        <v>-185240</v>
      </c>
      <c r="D86" s="189">
        <v>-188643</v>
      </c>
      <c r="E86" s="189">
        <v>-191172</v>
      </c>
      <c r="F86" s="189">
        <v>-203357</v>
      </c>
      <c r="G86" s="189">
        <v>-217944</v>
      </c>
      <c r="H86" s="189">
        <v>-202173</v>
      </c>
      <c r="I86" s="189">
        <v>-205827</v>
      </c>
      <c r="L86" s="189">
        <v>-231603</v>
      </c>
      <c r="M86" s="366">
        <v>-242097</v>
      </c>
      <c r="N86" s="366">
        <v>-228504</v>
      </c>
      <c r="O86" s="366">
        <v>-232650</v>
      </c>
      <c r="P86" s="366">
        <v>-234272</v>
      </c>
      <c r="Q86" s="367">
        <v>-166797</v>
      </c>
      <c r="R86" s="367">
        <v>-137084</v>
      </c>
      <c r="S86" s="367">
        <v>-138192</v>
      </c>
      <c r="T86" s="367">
        <v>-132099</v>
      </c>
    </row>
    <row r="87" spans="1:20">
      <c r="A87" s="173" t="s">
        <v>739</v>
      </c>
      <c r="B87" s="174"/>
      <c r="C87" s="189">
        <v>-2680004</v>
      </c>
      <c r="D87" s="189">
        <v>-2680005</v>
      </c>
      <c r="E87" s="189">
        <v>-2680004</v>
      </c>
      <c r="F87" s="189">
        <v>-686589</v>
      </c>
      <c r="G87" s="189">
        <v>-67188</v>
      </c>
      <c r="H87" s="189">
        <v>-67188</v>
      </c>
      <c r="I87" s="189">
        <v>-67189</v>
      </c>
      <c r="J87" s="189">
        <v>-207944</v>
      </c>
      <c r="K87" s="189">
        <v>-221465</v>
      </c>
      <c r="L87" s="189">
        <v>0</v>
      </c>
      <c r="M87" s="189">
        <v>159056</v>
      </c>
      <c r="P87" s="189">
        <v>0</v>
      </c>
      <c r="R87" s="189">
        <v>0</v>
      </c>
    </row>
    <row r="88" spans="1:20" ht="15" thickBot="1">
      <c r="A88" s="173" t="s">
        <v>779</v>
      </c>
      <c r="B88" s="174"/>
      <c r="C88" s="189">
        <v>25542</v>
      </c>
      <c r="D88" s="189">
        <v>45495</v>
      </c>
      <c r="E88" s="189">
        <v>15958</v>
      </c>
      <c r="F88" s="189">
        <v>619400</v>
      </c>
      <c r="G88" s="189">
        <v>68189</v>
      </c>
      <c r="H88" s="189">
        <v>180748</v>
      </c>
      <c r="I88" s="189">
        <v>832217</v>
      </c>
      <c r="K88" s="189">
        <v>67520</v>
      </c>
      <c r="L88" s="189">
        <v>87280</v>
      </c>
      <c r="O88" s="189">
        <v>28972</v>
      </c>
      <c r="P88" s="189">
        <v>102528</v>
      </c>
      <c r="Q88" s="189">
        <v>164414</v>
      </c>
      <c r="R88" s="189">
        <v>0</v>
      </c>
      <c r="S88" s="189">
        <v>64818</v>
      </c>
      <c r="T88" s="189">
        <v>130837</v>
      </c>
    </row>
    <row r="89" spans="1:20" ht="15" thickBot="1">
      <c r="A89" s="177" t="s">
        <v>740</v>
      </c>
      <c r="B89" s="170"/>
      <c r="C89" s="178">
        <f t="shared" ref="C89:P89" si="14">C81+C67+C49</f>
        <v>3824785</v>
      </c>
      <c r="D89" s="178">
        <f t="shared" si="14"/>
        <v>3883789</v>
      </c>
      <c r="E89" s="178">
        <f t="shared" si="14"/>
        <v>4064479</v>
      </c>
      <c r="F89" s="178">
        <f t="shared" si="14"/>
        <v>5210503</v>
      </c>
      <c r="G89" s="178">
        <f t="shared" si="14"/>
        <v>4925231</v>
      </c>
      <c r="H89" s="178">
        <f t="shared" si="14"/>
        <v>5150363</v>
      </c>
      <c r="I89" s="178">
        <f t="shared" si="14"/>
        <v>6056155</v>
      </c>
      <c r="J89" s="178">
        <f t="shared" si="14"/>
        <v>6255665</v>
      </c>
      <c r="K89" s="178">
        <f t="shared" si="14"/>
        <v>6237095</v>
      </c>
      <c r="L89" s="178">
        <f t="shared" si="14"/>
        <v>5575629</v>
      </c>
      <c r="M89" s="178">
        <f t="shared" si="14"/>
        <v>5455282</v>
      </c>
      <c r="N89" s="178">
        <f t="shared" si="14"/>
        <v>5677675</v>
      </c>
      <c r="O89" s="178">
        <f t="shared" si="14"/>
        <v>5627583</v>
      </c>
      <c r="P89" s="178">
        <f t="shared" si="14"/>
        <v>5449758</v>
      </c>
      <c r="Q89" s="178">
        <f>Q81+Q67+Q49</f>
        <v>5512544</v>
      </c>
      <c r="R89" s="178">
        <f>R81+R67+R49</f>
        <v>5919763</v>
      </c>
      <c r="S89" s="178">
        <f>S81+S67+S49</f>
        <v>5953658</v>
      </c>
      <c r="T89" s="178">
        <f>T81+T67+T49</f>
        <v>6315732</v>
      </c>
    </row>
    <row r="90" spans="1:20">
      <c r="C90" s="189">
        <f t="shared" ref="C90:M90" si="15">+C89-C46</f>
        <v>0</v>
      </c>
      <c r="D90" s="189">
        <f t="shared" si="15"/>
        <v>0</v>
      </c>
      <c r="E90" s="189">
        <f t="shared" si="15"/>
        <v>0</v>
      </c>
      <c r="F90" s="189">
        <f t="shared" si="15"/>
        <v>0</v>
      </c>
      <c r="G90" s="189">
        <f t="shared" si="15"/>
        <v>0</v>
      </c>
      <c r="H90" s="189">
        <f t="shared" si="15"/>
        <v>0</v>
      </c>
      <c r="I90" s="189">
        <f t="shared" si="15"/>
        <v>0</v>
      </c>
      <c r="J90" s="189">
        <f t="shared" si="15"/>
        <v>0</v>
      </c>
      <c r="K90" s="189">
        <f t="shared" si="15"/>
        <v>0</v>
      </c>
      <c r="L90" s="189">
        <f t="shared" si="15"/>
        <v>0</v>
      </c>
      <c r="M90" s="189">
        <f t="shared" si="15"/>
        <v>0</v>
      </c>
      <c r="N90" s="189">
        <f t="shared" ref="N90:S90" si="16">+N89-N46</f>
        <v>0</v>
      </c>
      <c r="O90" s="189">
        <f t="shared" si="16"/>
        <v>0</v>
      </c>
      <c r="P90" s="189">
        <f t="shared" si="16"/>
        <v>0</v>
      </c>
      <c r="Q90" s="189">
        <f t="shared" si="16"/>
        <v>0</v>
      </c>
      <c r="R90" s="189">
        <f t="shared" si="16"/>
        <v>0</v>
      </c>
      <c r="S90" s="189">
        <f t="shared" si="16"/>
        <v>0</v>
      </c>
      <c r="T90" s="189">
        <f t="shared" ref="T90" si="17">+T89-T46</f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K48:R48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79998168889431442"/>
  </sheetPr>
  <dimension ref="B6:AV50"/>
  <sheetViews>
    <sheetView showGridLines="0" zoomScale="85" zoomScaleNormal="85" workbookViewId="0">
      <pane xSplit="2" ySplit="6" topLeftCell="AA7" activePane="bottomRight" state="frozen"/>
      <selection pane="topRight" activeCell="G18" sqref="G18"/>
      <selection pane="bottomLeft" activeCell="G18" sqref="G18"/>
      <selection pane="bottomRight" activeCell="AV9" sqref="AV9"/>
    </sheetView>
  </sheetViews>
  <sheetFormatPr defaultColWidth="9.1796875" defaultRowHeight="14.5" outlineLevelCol="1"/>
  <cols>
    <col min="1" max="1" width="9.1796875" style="37"/>
    <col min="2" max="2" width="32.1796875" style="37" customWidth="1"/>
    <col min="3" max="26" width="9.1796875" style="37" hidden="1" customWidth="1" outlineLevel="1"/>
    <col min="27" max="27" width="9.1796875" style="37" collapsed="1"/>
    <col min="28" max="40" width="9.1796875" style="37"/>
    <col min="41" max="41" width="9.1796875" style="37" customWidth="1"/>
    <col min="42" max="16384" width="9.1796875" style="37"/>
  </cols>
  <sheetData>
    <row r="6" spans="2:48">
      <c r="B6" s="533" t="s">
        <v>108</v>
      </c>
      <c r="C6" s="129" t="s">
        <v>9</v>
      </c>
      <c r="D6" s="129" t="s">
        <v>10</v>
      </c>
      <c r="E6" s="129" t="s">
        <v>11</v>
      </c>
      <c r="F6" s="129" t="s">
        <v>12</v>
      </c>
      <c r="G6" s="129" t="s">
        <v>13</v>
      </c>
      <c r="H6" s="129" t="s">
        <v>14</v>
      </c>
      <c r="I6" s="129" t="s">
        <v>15</v>
      </c>
      <c r="J6" s="129" t="s">
        <v>16</v>
      </c>
      <c r="K6" s="129" t="s">
        <v>17</v>
      </c>
      <c r="L6" s="129" t="s">
        <v>18</v>
      </c>
      <c r="M6" s="129" t="s">
        <v>19</v>
      </c>
      <c r="N6" s="129" t="s">
        <v>20</v>
      </c>
      <c r="O6" s="129" t="s">
        <v>21</v>
      </c>
      <c r="P6" s="129" t="s">
        <v>22</v>
      </c>
      <c r="Q6" s="129" t="s">
        <v>23</v>
      </c>
      <c r="R6" s="129" t="s">
        <v>24</v>
      </c>
      <c r="S6" s="129" t="s">
        <v>25</v>
      </c>
      <c r="T6" s="129" t="s">
        <v>26</v>
      </c>
      <c r="U6" s="129" t="s">
        <v>27</v>
      </c>
      <c r="V6" s="129" t="s">
        <v>28</v>
      </c>
      <c r="W6" s="129" t="s">
        <v>29</v>
      </c>
      <c r="X6" s="129" t="s">
        <v>30</v>
      </c>
      <c r="Y6" s="129" t="s">
        <v>31</v>
      </c>
      <c r="Z6" s="129" t="s">
        <v>32</v>
      </c>
      <c r="AA6" s="129" t="s">
        <v>33</v>
      </c>
      <c r="AB6" s="129" t="s">
        <v>34</v>
      </c>
      <c r="AC6" s="129" t="s">
        <v>35</v>
      </c>
      <c r="AD6" s="129" t="s">
        <v>36</v>
      </c>
      <c r="AE6" s="129" t="s">
        <v>37</v>
      </c>
      <c r="AF6" s="129" t="s">
        <v>38</v>
      </c>
      <c r="AG6" s="129" t="s">
        <v>39</v>
      </c>
      <c r="AH6" s="129" t="s">
        <v>40</v>
      </c>
      <c r="AI6" s="129" t="s">
        <v>41</v>
      </c>
      <c r="AJ6" s="129" t="s">
        <v>42</v>
      </c>
      <c r="AK6" s="129" t="s">
        <v>43</v>
      </c>
      <c r="AL6" s="129" t="s">
        <v>44</v>
      </c>
      <c r="AM6" s="129" t="s">
        <v>45</v>
      </c>
      <c r="AN6" s="129" t="s">
        <v>46</v>
      </c>
      <c r="AO6" s="129" t="s">
        <v>47</v>
      </c>
      <c r="AP6" s="129" t="s">
        <v>48</v>
      </c>
      <c r="AQ6" s="129" t="s">
        <v>49</v>
      </c>
      <c r="AR6" s="129" t="s">
        <v>50</v>
      </c>
      <c r="AS6" s="129" t="s">
        <v>51</v>
      </c>
      <c r="AT6" s="129" t="s">
        <v>52</v>
      </c>
      <c r="AU6" s="129" t="s">
        <v>53</v>
      </c>
      <c r="AV6" s="129" t="s">
        <v>54</v>
      </c>
    </row>
    <row r="7" spans="2:48">
      <c r="B7" s="37" t="s">
        <v>109</v>
      </c>
      <c r="C7" s="257">
        <v>0.20399999999999999</v>
      </c>
      <c r="D7" s="257">
        <v>0.21099999999999999</v>
      </c>
      <c r="E7" s="257">
        <v>0.20300000000000001</v>
      </c>
      <c r="F7" s="257">
        <v>0.192</v>
      </c>
      <c r="G7" s="257">
        <v>0.184</v>
      </c>
      <c r="H7" s="257">
        <v>0.17800000000000002</v>
      </c>
      <c r="I7" s="257">
        <v>0.17300000000000001</v>
      </c>
      <c r="J7" s="257">
        <v>0.17499999999999999</v>
      </c>
      <c r="K7" s="257">
        <v>0.17499999999999999</v>
      </c>
      <c r="L7" s="257">
        <v>0.17499999999999999</v>
      </c>
      <c r="M7" s="257">
        <v>0.17599999999999999</v>
      </c>
      <c r="N7" s="257">
        <v>0.176199838248808</v>
      </c>
      <c r="O7" s="257">
        <v>0.17909437086152299</v>
      </c>
      <c r="P7" s="257">
        <v>0.17649999999999999</v>
      </c>
      <c r="Q7" s="257">
        <v>0.17879999999999999</v>
      </c>
      <c r="R7" s="257">
        <v>0.18</v>
      </c>
      <c r="S7" s="257">
        <v>0.182</v>
      </c>
      <c r="T7" s="257">
        <v>0.18566853180816301</v>
      </c>
      <c r="U7" s="257">
        <v>0.18262627354739236</v>
      </c>
      <c r="V7" s="257">
        <v>0.17169999999999999</v>
      </c>
      <c r="W7" s="257">
        <v>0.16824362535968129</v>
      </c>
      <c r="X7" s="257">
        <v>0.16205050385974984</v>
      </c>
      <c r="Y7" s="257">
        <v>0.16393569989413093</v>
      </c>
      <c r="Z7" s="257">
        <v>0.17179012499843882</v>
      </c>
      <c r="AA7" s="257">
        <v>0.17291314590934259</v>
      </c>
      <c r="AB7" s="257">
        <v>0.17713369649527966</v>
      </c>
      <c r="AC7" s="257">
        <v>0.17840109874919027</v>
      </c>
      <c r="AD7" s="257">
        <v>0.17979999999999999</v>
      </c>
      <c r="AE7" s="257">
        <v>0.17979999999999999</v>
      </c>
      <c r="AF7" s="258">
        <v>0.18168769806578233</v>
      </c>
      <c r="AG7" s="258">
        <v>0.18297100873058453</v>
      </c>
      <c r="AH7" s="258">
        <v>0.18517686272279757</v>
      </c>
      <c r="AI7" s="258">
        <v>0.18607808429425879</v>
      </c>
      <c r="AJ7" s="258">
        <v>0.19204933947059077</v>
      </c>
      <c r="AK7" s="258">
        <v>0.19061168960495567</v>
      </c>
      <c r="AL7" s="258">
        <v>0.18559690778059945</v>
      </c>
      <c r="AM7" s="258">
        <v>0.18396044277580881</v>
      </c>
      <c r="AN7" s="258">
        <v>0.17750347496152219</v>
      </c>
      <c r="AO7" s="258">
        <v>0.17521342967885201</v>
      </c>
      <c r="AP7" s="258">
        <v>0.17599853133764087</v>
      </c>
      <c r="AQ7" s="258">
        <v>0.17505656609810605</v>
      </c>
      <c r="AR7" s="258">
        <v>0.17492486304942734</v>
      </c>
      <c r="AS7" s="258">
        <v>0.1773518553195087</v>
      </c>
      <c r="AT7" s="258">
        <v>0.17905343603870516</v>
      </c>
      <c r="AU7" s="258">
        <v>0.18161869053220414</v>
      </c>
      <c r="AV7" s="258">
        <v>0.17854108133998203</v>
      </c>
    </row>
    <row r="8" spans="2:48">
      <c r="B8" s="37" t="s">
        <v>110</v>
      </c>
      <c r="C8" s="257">
        <v>0.221</v>
      </c>
      <c r="D8" s="257">
        <v>0.221</v>
      </c>
      <c r="E8" s="257">
        <v>0.19600000000000001</v>
      </c>
      <c r="F8" s="257">
        <v>0.19600000000000001</v>
      </c>
      <c r="G8" s="257">
        <v>0.19600000000000001</v>
      </c>
      <c r="H8" s="257">
        <v>0.19600000000000001</v>
      </c>
      <c r="I8" s="257">
        <v>0.192</v>
      </c>
      <c r="J8" s="257">
        <v>0.19400000000000001</v>
      </c>
      <c r="K8" s="257">
        <v>0.19400000000000001</v>
      </c>
      <c r="L8" s="257">
        <v>0.19400000000000001</v>
      </c>
      <c r="M8" s="257">
        <v>0.193</v>
      </c>
      <c r="N8" s="257">
        <v>0.193</v>
      </c>
      <c r="O8" s="257">
        <v>0.193</v>
      </c>
      <c r="P8" s="257">
        <v>0.193</v>
      </c>
      <c r="Q8" s="257">
        <v>0.19700000000000001</v>
      </c>
      <c r="R8" s="257">
        <v>0.19700000000000001</v>
      </c>
      <c r="S8" s="257">
        <v>0.19700000000000001</v>
      </c>
      <c r="T8" s="257">
        <v>0.19700000000000001</v>
      </c>
      <c r="U8" s="257">
        <v>0.18609999999999999</v>
      </c>
      <c r="V8" s="257">
        <v>0.18609999999999999</v>
      </c>
      <c r="W8" s="257">
        <v>0.18609999999999999</v>
      </c>
      <c r="X8" s="257">
        <v>0.18609999999999999</v>
      </c>
      <c r="Y8" s="257">
        <v>0.18327149017897226</v>
      </c>
      <c r="Z8" s="257">
        <v>0.18327149017897226</v>
      </c>
      <c r="AA8" s="257">
        <v>0.18327149017897226</v>
      </c>
      <c r="AB8" s="257">
        <v>0.18327149017897226</v>
      </c>
      <c r="AC8" s="257">
        <v>0.18</v>
      </c>
      <c r="AD8" s="257">
        <v>0.18</v>
      </c>
      <c r="AE8" s="257">
        <v>0.18</v>
      </c>
      <c r="AF8" s="257">
        <v>0.18</v>
      </c>
      <c r="AG8" s="257">
        <v>0.17672663134438332</v>
      </c>
      <c r="AH8" s="259">
        <v>0.17672663134438332</v>
      </c>
      <c r="AI8" s="257">
        <v>0.17672663134438332</v>
      </c>
      <c r="AJ8" s="257">
        <v>0.17672663134438332</v>
      </c>
      <c r="AK8" s="257">
        <v>0.17672663134438332</v>
      </c>
      <c r="AL8" s="257">
        <v>0.16873440963319131</v>
      </c>
      <c r="AM8" s="257">
        <v>0.16873440963319131</v>
      </c>
      <c r="AN8" s="257">
        <v>0.16873440963319131</v>
      </c>
      <c r="AO8" s="257">
        <v>0.16873440963319131</v>
      </c>
      <c r="AP8" s="257">
        <v>0.16865795815283147</v>
      </c>
      <c r="AQ8" s="257">
        <v>0.16865795815283147</v>
      </c>
      <c r="AR8" s="257">
        <v>0.16865795815283147</v>
      </c>
      <c r="AS8" s="257">
        <v>0.17254580292624228</v>
      </c>
      <c r="AT8" s="257">
        <v>0.17254580292624228</v>
      </c>
      <c r="AU8" s="257">
        <v>0.17254580292624228</v>
      </c>
      <c r="AV8" s="257">
        <v>0.17254580292624228</v>
      </c>
    </row>
    <row r="9" spans="2:48">
      <c r="B9" s="37" t="s">
        <v>111</v>
      </c>
      <c r="C9" s="257">
        <v>0.13400000000000001</v>
      </c>
      <c r="D9" s="257">
        <v>0.14400000000000002</v>
      </c>
      <c r="E9" s="257">
        <v>0.1717700063748393</v>
      </c>
      <c r="F9" s="257">
        <v>0.151</v>
      </c>
      <c r="G9" s="257">
        <v>0.13699999999999998</v>
      </c>
      <c r="H9" s="257">
        <v>0.127</v>
      </c>
      <c r="I9" s="257">
        <v>0.11900000000000001</v>
      </c>
      <c r="J9" s="257">
        <v>0.12</v>
      </c>
      <c r="K9" s="257">
        <v>0.121</v>
      </c>
      <c r="L9" s="257">
        <v>0.123</v>
      </c>
      <c r="M9" s="257">
        <v>0.12479999999999999</v>
      </c>
      <c r="N9" s="257">
        <v>0.12447999999999999</v>
      </c>
      <c r="O9" s="257">
        <v>0.126</v>
      </c>
      <c r="P9" s="257">
        <v>0.12139999999999999</v>
      </c>
      <c r="Q9" s="257">
        <v>0.124</v>
      </c>
      <c r="R9" s="257">
        <v>0.126</v>
      </c>
      <c r="S9" s="257">
        <v>0.129</v>
      </c>
      <c r="T9" s="257">
        <v>0.13589999999999999</v>
      </c>
      <c r="U9" s="257">
        <v>9.6964563192851558E-2</v>
      </c>
      <c r="V9" s="257">
        <v>7.8895291742047791E-2</v>
      </c>
      <c r="W9" s="257">
        <v>7.3008851798598118E-2</v>
      </c>
      <c r="X9" s="257">
        <v>6.3077347410219586E-2</v>
      </c>
      <c r="Y9" s="257">
        <v>6.6130938726216476E-2</v>
      </c>
      <c r="Z9" s="257">
        <v>7.8921601126283325E-2</v>
      </c>
      <c r="AA9" s="257">
        <v>8.0904583212362269E-2</v>
      </c>
      <c r="AB9" s="257">
        <v>8.807883414882979E-2</v>
      </c>
      <c r="AC9" s="257">
        <v>9.0454246915269626E-2</v>
      </c>
      <c r="AD9" s="257">
        <v>9.3270604794756393E-2</v>
      </c>
      <c r="AE9" s="257">
        <v>9.4323917598623588E-2</v>
      </c>
      <c r="AF9" s="258">
        <v>9.6377583997914573E-2</v>
      </c>
      <c r="AG9" s="258">
        <v>9.8536125212530884E-2</v>
      </c>
      <c r="AH9" s="258">
        <v>0.10200357077375576</v>
      </c>
      <c r="AI9" s="258">
        <v>0.1036660668341369</v>
      </c>
      <c r="AJ9" s="258">
        <v>0.11471081951278143</v>
      </c>
      <c r="AK9" s="258">
        <v>0.13235862892714054</v>
      </c>
      <c r="AL9" s="258">
        <v>0.12343732255701434</v>
      </c>
      <c r="AM9" s="258">
        <v>0.12064913827033218</v>
      </c>
      <c r="AN9" s="258">
        <v>0.10934786193060655</v>
      </c>
      <c r="AO9" s="258">
        <v>0.10559168894264709</v>
      </c>
      <c r="AP9" s="258">
        <v>0.10695880964962552</v>
      </c>
      <c r="AQ9" s="258">
        <v>0.1054180738615413</v>
      </c>
      <c r="AR9" s="258">
        <v>0.10499501867384084</v>
      </c>
      <c r="AS9" s="258">
        <v>0.10889751032307839</v>
      </c>
      <c r="AT9" s="258">
        <v>0.11158597187299998</v>
      </c>
      <c r="AU9" s="258">
        <v>0.11560289756054763</v>
      </c>
      <c r="AV9" s="258">
        <v>0.10970054718443183</v>
      </c>
    </row>
    <row r="10" spans="2:48">
      <c r="B10" s="37" t="s">
        <v>112</v>
      </c>
      <c r="C10" s="257">
        <v>0.16220000000000001</v>
      </c>
      <c r="D10" s="257">
        <v>0.16220000000000001</v>
      </c>
      <c r="E10" s="257">
        <v>0.1593</v>
      </c>
      <c r="F10" s="257">
        <v>0.1593</v>
      </c>
      <c r="G10" s="257">
        <v>0.1593</v>
      </c>
      <c r="H10" s="257">
        <v>0.1593</v>
      </c>
      <c r="I10" s="257">
        <v>0.15640000000000001</v>
      </c>
      <c r="J10" s="257">
        <v>0.15640000000000001</v>
      </c>
      <c r="K10" s="257">
        <v>0.15640000000000001</v>
      </c>
      <c r="L10" s="257">
        <v>0.15640000000000001</v>
      </c>
      <c r="M10" s="257">
        <v>0.1535</v>
      </c>
      <c r="N10" s="257">
        <v>0.1535</v>
      </c>
      <c r="O10" s="257">
        <v>0.1535</v>
      </c>
      <c r="P10" s="257">
        <v>0.1535</v>
      </c>
      <c r="Q10" s="257">
        <v>0.1507</v>
      </c>
      <c r="R10" s="257">
        <v>0.1507</v>
      </c>
      <c r="S10" s="257">
        <v>0.1507</v>
      </c>
      <c r="T10" s="257">
        <v>0.1507</v>
      </c>
      <c r="U10" s="257">
        <v>0.1031</v>
      </c>
      <c r="V10" s="257">
        <v>0.1031</v>
      </c>
      <c r="W10" s="257">
        <v>0.1031</v>
      </c>
      <c r="X10" s="257">
        <v>0.1031</v>
      </c>
      <c r="Y10" s="257">
        <v>9.8299999999999998E-2</v>
      </c>
      <c r="Z10" s="257">
        <v>9.8299999999999998E-2</v>
      </c>
      <c r="AA10" s="257">
        <v>9.8299999999999998E-2</v>
      </c>
      <c r="AB10" s="257">
        <v>9.8299999999999998E-2</v>
      </c>
      <c r="AC10" s="257">
        <v>9.3399999999999997E-2</v>
      </c>
      <c r="AD10" s="257">
        <v>9.3399999999999997E-2</v>
      </c>
      <c r="AE10" s="257">
        <v>9.3399999999999997E-2</v>
      </c>
      <c r="AF10" s="257">
        <v>9.3399999999999997E-2</v>
      </c>
      <c r="AG10" s="257">
        <v>8.8599999999999998E-2</v>
      </c>
      <c r="AH10" s="259">
        <v>8.8599999999999998E-2</v>
      </c>
      <c r="AI10" s="257">
        <v>8.8599999999999998E-2</v>
      </c>
      <c r="AJ10" s="257">
        <v>8.8599999999999998E-2</v>
      </c>
      <c r="AK10" s="257">
        <v>8.8599999999999998E-2</v>
      </c>
      <c r="AL10" s="257">
        <v>8.8599999999999998E-2</v>
      </c>
      <c r="AM10" s="257">
        <v>9.5100000000000004E-2</v>
      </c>
      <c r="AN10" s="257">
        <v>9.5100000000000004E-2</v>
      </c>
      <c r="AO10" s="257">
        <v>9.5100000000000004E-2</v>
      </c>
      <c r="AP10" s="257">
        <v>9.5113000000000003E-2</v>
      </c>
      <c r="AQ10" s="257">
        <v>9.5113000000000003E-2</v>
      </c>
      <c r="AR10" s="257">
        <v>9.5113000000000003E-2</v>
      </c>
      <c r="AS10" s="257">
        <v>9.5113000000000003E-2</v>
      </c>
      <c r="AT10" s="257">
        <v>9.5113000000000003E-2</v>
      </c>
      <c r="AU10" s="257">
        <v>9.5113000000000003E-2</v>
      </c>
      <c r="AV10" s="257">
        <v>9.5113000000000003E-2</v>
      </c>
    </row>
    <row r="12" spans="2:48">
      <c r="B12" s="533" t="s">
        <v>113</v>
      </c>
      <c r="C12" s="129" t="s">
        <v>9</v>
      </c>
      <c r="D12" s="129" t="s">
        <v>10</v>
      </c>
      <c r="E12" s="129" t="s">
        <v>11</v>
      </c>
      <c r="F12" s="129" t="s">
        <v>12</v>
      </c>
      <c r="G12" s="129" t="s">
        <v>13</v>
      </c>
      <c r="H12" s="129" t="s">
        <v>14</v>
      </c>
      <c r="I12" s="129" t="s">
        <v>15</v>
      </c>
      <c r="J12" s="129" t="s">
        <v>16</v>
      </c>
      <c r="K12" s="129" t="s">
        <v>17</v>
      </c>
      <c r="L12" s="129" t="s">
        <v>18</v>
      </c>
      <c r="M12" s="129" t="s">
        <v>19</v>
      </c>
      <c r="N12" s="129" t="s">
        <v>20</v>
      </c>
      <c r="O12" s="129" t="s">
        <v>21</v>
      </c>
      <c r="P12" s="129" t="s">
        <v>22</v>
      </c>
      <c r="Q12" s="129" t="s">
        <v>23</v>
      </c>
      <c r="R12" s="129" t="s">
        <v>24</v>
      </c>
      <c r="S12" s="129" t="s">
        <v>25</v>
      </c>
      <c r="T12" s="129" t="s">
        <v>26</v>
      </c>
      <c r="U12" s="129" t="s">
        <v>27</v>
      </c>
      <c r="V12" s="129" t="s">
        <v>28</v>
      </c>
      <c r="W12" s="129" t="s">
        <v>29</v>
      </c>
      <c r="X12" s="129" t="s">
        <v>30</v>
      </c>
      <c r="Y12" s="129" t="s">
        <v>31</v>
      </c>
      <c r="Z12" s="129" t="s">
        <v>32</v>
      </c>
      <c r="AA12" s="129" t="str">
        <f t="shared" ref="AA12:AO12" si="0">AA6</f>
        <v>1T19</v>
      </c>
      <c r="AB12" s="129" t="str">
        <f t="shared" si="0"/>
        <v>2T19</v>
      </c>
      <c r="AC12" s="129" t="str">
        <f t="shared" si="0"/>
        <v>3T19</v>
      </c>
      <c r="AD12" s="129" t="str">
        <f t="shared" si="0"/>
        <v>4T19</v>
      </c>
      <c r="AE12" s="129" t="str">
        <f t="shared" si="0"/>
        <v>1T20</v>
      </c>
      <c r="AF12" s="129" t="str">
        <f t="shared" si="0"/>
        <v>2T20</v>
      </c>
      <c r="AG12" s="129" t="str">
        <f t="shared" si="0"/>
        <v>3T20</v>
      </c>
      <c r="AH12" s="129" t="str">
        <f t="shared" si="0"/>
        <v>4T20</v>
      </c>
      <c r="AI12" s="129" t="str">
        <f t="shared" si="0"/>
        <v>1T21</v>
      </c>
      <c r="AJ12" s="129" t="str">
        <f t="shared" si="0"/>
        <v>2T21</v>
      </c>
      <c r="AK12" s="129" t="str">
        <f t="shared" si="0"/>
        <v>3T21</v>
      </c>
      <c r="AL12" s="129" t="str">
        <f t="shared" si="0"/>
        <v>4T21</v>
      </c>
      <c r="AM12" s="129" t="str">
        <f t="shared" si="0"/>
        <v>1T22</v>
      </c>
      <c r="AN12" s="129" t="str">
        <f t="shared" si="0"/>
        <v>2T22</v>
      </c>
      <c r="AO12" s="129" t="str">
        <f t="shared" si="0"/>
        <v>3T22</v>
      </c>
      <c r="AP12" s="129" t="str">
        <f t="shared" ref="AP12:AU12" si="1">AP6</f>
        <v>4T22</v>
      </c>
      <c r="AQ12" s="129" t="str">
        <f t="shared" si="1"/>
        <v>1T23</v>
      </c>
      <c r="AR12" s="129" t="str">
        <f t="shared" si="1"/>
        <v>2T23</v>
      </c>
      <c r="AS12" s="129" t="str">
        <f t="shared" si="1"/>
        <v>3T23</v>
      </c>
      <c r="AT12" s="129" t="str">
        <f t="shared" si="1"/>
        <v>4T23</v>
      </c>
      <c r="AU12" s="129" t="str">
        <f t="shared" si="1"/>
        <v>1T24</v>
      </c>
      <c r="AV12" s="129" t="str">
        <f t="shared" ref="AV12" si="2">AV6</f>
        <v>2T24</v>
      </c>
    </row>
    <row r="13" spans="2:48">
      <c r="B13" s="37" t="s">
        <v>109</v>
      </c>
      <c r="C13" s="257">
        <v>0.35899999999999999</v>
      </c>
      <c r="D13" s="257">
        <v>0.36399999999999999</v>
      </c>
      <c r="E13" s="257">
        <v>0.36499999999999999</v>
      </c>
      <c r="F13" s="257">
        <v>0.35499999999999998</v>
      </c>
      <c r="G13" s="257">
        <v>0.34229999999999999</v>
      </c>
      <c r="H13" s="257">
        <v>0.33</v>
      </c>
      <c r="I13" s="257">
        <v>0.31739999999999996</v>
      </c>
      <c r="J13" s="257">
        <v>0.31230000000000002</v>
      </c>
      <c r="K13" s="257">
        <v>0.30819999999999997</v>
      </c>
      <c r="L13" s="257">
        <v>0.31790000000000002</v>
      </c>
      <c r="M13" s="257">
        <v>0.313</v>
      </c>
      <c r="N13" s="257">
        <v>0.29199999999999998</v>
      </c>
      <c r="O13" s="257">
        <v>0.29899999999999999</v>
      </c>
      <c r="P13" s="257">
        <v>0.28599999999999998</v>
      </c>
      <c r="Q13" s="257">
        <v>0.27740833395485837</v>
      </c>
      <c r="R13" s="257">
        <v>0.28299999999999997</v>
      </c>
      <c r="S13" s="257">
        <v>0.27500000000000002</v>
      </c>
      <c r="T13" s="257">
        <v>0.26848285526087551</v>
      </c>
      <c r="U13" s="257">
        <v>0.2747</v>
      </c>
      <c r="V13" s="257">
        <v>0.27498462406192092</v>
      </c>
      <c r="W13" s="257">
        <v>0.27247976178614941</v>
      </c>
      <c r="X13" s="257">
        <v>0.27179999999999999</v>
      </c>
      <c r="Y13" s="257">
        <v>0.27464948770005304</v>
      </c>
      <c r="Z13" s="257">
        <v>0.28328254029990624</v>
      </c>
      <c r="AA13" s="257">
        <v>0.29175970669242846</v>
      </c>
      <c r="AB13" s="257">
        <v>0.30076450070818872</v>
      </c>
      <c r="AC13" s="257">
        <v>0.30268722922097668</v>
      </c>
      <c r="AD13" s="257">
        <v>0.30070000000000002</v>
      </c>
      <c r="AE13" s="257">
        <v>0.29539914843159332</v>
      </c>
      <c r="AF13" s="258">
        <v>0.29844823505088053</v>
      </c>
      <c r="AG13" s="258">
        <v>0.29873302822854936</v>
      </c>
      <c r="AH13" s="258">
        <v>0.30760986850439564</v>
      </c>
      <c r="AI13" s="258">
        <v>0.30740335941120434</v>
      </c>
      <c r="AJ13" s="258">
        <v>0.30134556585218542</v>
      </c>
      <c r="AK13" s="258">
        <v>0.29821148130602593</v>
      </c>
      <c r="AL13" s="258">
        <v>0.28988648787978799</v>
      </c>
      <c r="AM13" s="258">
        <v>0.28537363443686103</v>
      </c>
      <c r="AN13" s="258">
        <v>0.27924078115361051</v>
      </c>
      <c r="AO13" s="258">
        <v>0.27714206858934387</v>
      </c>
      <c r="AP13" s="258">
        <v>0.27502009038693154</v>
      </c>
      <c r="AQ13" s="258">
        <v>0.27289805826383517</v>
      </c>
      <c r="AR13" s="258">
        <v>0.27564501710991074</v>
      </c>
      <c r="AS13" s="258">
        <v>0.27565012709042713</v>
      </c>
      <c r="AT13" s="258">
        <v>0.27163340654044987</v>
      </c>
      <c r="AU13" s="258">
        <v>0.27211546076232207</v>
      </c>
      <c r="AV13" s="258">
        <v>0.27392749502380997</v>
      </c>
    </row>
    <row r="14" spans="2:48">
      <c r="B14" s="37" t="s">
        <v>110</v>
      </c>
      <c r="C14" s="257">
        <v>0.29799999999999999</v>
      </c>
      <c r="D14" s="257">
        <v>0.29799999999999999</v>
      </c>
      <c r="E14" s="257">
        <v>0.28499999999999998</v>
      </c>
      <c r="F14" s="257">
        <v>0.28499999999999998</v>
      </c>
      <c r="G14" s="257">
        <v>0.28499999999999998</v>
      </c>
      <c r="H14" s="257">
        <v>0.28499999999999998</v>
      </c>
      <c r="I14" s="257">
        <v>0.27100000000000002</v>
      </c>
      <c r="J14" s="257">
        <v>0.27100000000000002</v>
      </c>
      <c r="K14" s="257">
        <v>0.27100000000000002</v>
      </c>
      <c r="L14" s="257">
        <v>0.27100000000000002</v>
      </c>
      <c r="M14" s="257">
        <v>0.26</v>
      </c>
      <c r="N14" s="257">
        <v>0.26</v>
      </c>
      <c r="O14" s="257">
        <v>0.26</v>
      </c>
      <c r="P14" s="257">
        <v>0.26</v>
      </c>
      <c r="Q14" s="257">
        <v>0.26800000000000002</v>
      </c>
      <c r="R14" s="257">
        <v>0.26800000000000002</v>
      </c>
      <c r="S14" s="257">
        <v>0.26800000000000002</v>
      </c>
      <c r="T14" s="257">
        <v>0.26800000000000002</v>
      </c>
      <c r="U14" s="257">
        <v>0.26860000000000001</v>
      </c>
      <c r="V14" s="257">
        <v>0.26860000000000001</v>
      </c>
      <c r="W14" s="257">
        <v>0.26860000000000001</v>
      </c>
      <c r="X14" s="257">
        <v>0.26860000000000001</v>
      </c>
      <c r="Y14" s="257">
        <v>0.26836495921154813</v>
      </c>
      <c r="Z14" s="257">
        <v>0.26836495921154813</v>
      </c>
      <c r="AA14" s="257">
        <v>0.26836495921154813</v>
      </c>
      <c r="AB14" s="257">
        <v>0.26836495921154813</v>
      </c>
      <c r="AC14" s="257">
        <v>0.27479999999999999</v>
      </c>
      <c r="AD14" s="257">
        <v>0.27479999999999999</v>
      </c>
      <c r="AE14" s="257">
        <v>0.27479999999999999</v>
      </c>
      <c r="AF14" s="257">
        <v>0.27479999999999999</v>
      </c>
      <c r="AG14" s="257">
        <v>0.27595900380149785</v>
      </c>
      <c r="AH14" s="259">
        <v>0.27595900380149785</v>
      </c>
      <c r="AI14" s="257">
        <v>0.27595900380149785</v>
      </c>
      <c r="AJ14" s="257">
        <v>0.27595900380149785</v>
      </c>
      <c r="AK14" s="257">
        <v>0.27595900380149785</v>
      </c>
      <c r="AL14" s="257">
        <v>0.2728880804436844</v>
      </c>
      <c r="AM14" s="257">
        <v>0.2728880804436844</v>
      </c>
      <c r="AN14" s="257">
        <v>0.2728880804436844</v>
      </c>
      <c r="AO14" s="257">
        <v>0.2728880804436844</v>
      </c>
      <c r="AP14" s="257">
        <v>0.27009571838486929</v>
      </c>
      <c r="AQ14" s="257">
        <v>0.27009571838486929</v>
      </c>
      <c r="AR14" s="257">
        <v>0.27009571838486929</v>
      </c>
      <c r="AS14" s="257">
        <v>0.28240744381582511</v>
      </c>
      <c r="AT14" s="257">
        <v>0.28240744381582511</v>
      </c>
      <c r="AU14" s="257">
        <v>0.28240744381582511</v>
      </c>
      <c r="AV14" s="257">
        <v>0.28240744381582511</v>
      </c>
    </row>
    <row r="15" spans="2:48">
      <c r="B15" s="37" t="s">
        <v>111</v>
      </c>
      <c r="C15" s="257">
        <v>0.61099999999999999</v>
      </c>
      <c r="D15" s="257">
        <v>0.628</v>
      </c>
      <c r="E15" s="257">
        <v>0.63180000000000003</v>
      </c>
      <c r="F15" s="257">
        <v>0.59499999999999997</v>
      </c>
      <c r="G15" s="257">
        <v>0.54659999999999997</v>
      </c>
      <c r="H15" s="257">
        <v>0.50159999999999993</v>
      </c>
      <c r="I15" s="257">
        <v>0.45659999999999995</v>
      </c>
      <c r="J15" s="257">
        <v>0.43719999999999998</v>
      </c>
      <c r="K15" s="257">
        <v>0.4244</v>
      </c>
      <c r="L15" s="257">
        <v>0.45240000000000002</v>
      </c>
      <c r="M15" s="257">
        <v>0.442</v>
      </c>
      <c r="N15" s="257">
        <v>0.38600000000000001</v>
      </c>
      <c r="O15" s="257">
        <v>0.41200000000000003</v>
      </c>
      <c r="P15" s="257">
        <v>0.38500000000000001</v>
      </c>
      <c r="Q15" s="257">
        <v>0.362061612128598</v>
      </c>
      <c r="R15" s="257">
        <v>0.37769999999999998</v>
      </c>
      <c r="S15" s="257">
        <v>0.35699999999999998</v>
      </c>
      <c r="T15" s="257">
        <v>0.33961892297739954</v>
      </c>
      <c r="U15" s="257">
        <v>0.35670000000000002</v>
      </c>
      <c r="V15" s="257">
        <v>0.35738618006315037</v>
      </c>
      <c r="W15" s="257">
        <v>0.35096542621079702</v>
      </c>
      <c r="X15" s="257">
        <v>0.34910000000000002</v>
      </c>
      <c r="Y15" s="257">
        <v>0.35783788546236373</v>
      </c>
      <c r="Z15" s="257">
        <v>0.38392683755609003</v>
      </c>
      <c r="AA15" s="257">
        <v>0.40903256472089217</v>
      </c>
      <c r="AB15" s="257">
        <v>0.43718656821452112</v>
      </c>
      <c r="AC15" s="257">
        <v>0.40978253647210638</v>
      </c>
      <c r="AD15" s="257">
        <v>0.4022003276311964</v>
      </c>
      <c r="AE15" s="257">
        <v>0.38570735170145692</v>
      </c>
      <c r="AF15" s="258">
        <v>0.38924982343854164</v>
      </c>
      <c r="AG15" s="258">
        <v>0.39119293024327861</v>
      </c>
      <c r="AH15" s="258">
        <v>0.4152481588264153</v>
      </c>
      <c r="AI15" s="258">
        <v>0.41320376856704605</v>
      </c>
      <c r="AJ15" s="258">
        <v>0.39869572031993111</v>
      </c>
      <c r="AK15" s="258">
        <v>0.38805744988467866</v>
      </c>
      <c r="AL15" s="258">
        <v>0.36567636070062398</v>
      </c>
      <c r="AM15" s="258">
        <v>0.3548789850342251</v>
      </c>
      <c r="AN15" s="258">
        <v>0.33999218820319432</v>
      </c>
      <c r="AO15" s="258">
        <v>0.33413962610353648</v>
      </c>
      <c r="AP15" s="258">
        <v>0.32772237022536799</v>
      </c>
      <c r="AQ15" s="258">
        <v>0.32134998398581949</v>
      </c>
      <c r="AR15" s="258">
        <v>0.32700780837132087</v>
      </c>
      <c r="AS15" s="258">
        <v>0.32152644364816119</v>
      </c>
      <c r="AT15" s="258">
        <v>0.30922577950181707</v>
      </c>
      <c r="AU15" s="258">
        <v>0.30929684275649133</v>
      </c>
      <c r="AV15" s="258">
        <v>0.31124997893602074</v>
      </c>
    </row>
    <row r="16" spans="2:48">
      <c r="B16" s="37" t="s">
        <v>112</v>
      </c>
      <c r="C16" s="257">
        <v>0.378</v>
      </c>
      <c r="D16" s="257">
        <v>0.378</v>
      </c>
      <c r="E16" s="257">
        <v>0.378</v>
      </c>
      <c r="F16" s="257">
        <v>0.378</v>
      </c>
      <c r="G16" s="257">
        <v>0.378</v>
      </c>
      <c r="H16" s="257">
        <v>0.378</v>
      </c>
      <c r="I16" s="257">
        <v>0.378</v>
      </c>
      <c r="J16" s="257">
        <v>0.378</v>
      </c>
      <c r="K16" s="257">
        <v>0.378</v>
      </c>
      <c r="L16" s="257">
        <v>0.378</v>
      </c>
      <c r="M16" s="257">
        <v>0.34</v>
      </c>
      <c r="N16" s="257">
        <v>0.34</v>
      </c>
      <c r="O16" s="257">
        <v>0.34</v>
      </c>
      <c r="P16" s="257">
        <v>0.34</v>
      </c>
      <c r="Q16" s="257">
        <v>0.34</v>
      </c>
      <c r="R16" s="257">
        <v>0.34</v>
      </c>
      <c r="S16" s="257">
        <v>0.34</v>
      </c>
      <c r="T16" s="257">
        <v>0.34</v>
      </c>
      <c r="U16" s="257">
        <v>0.34</v>
      </c>
      <c r="V16" s="257">
        <v>0.34</v>
      </c>
      <c r="W16" s="257">
        <v>0.34</v>
      </c>
      <c r="X16" s="257">
        <v>0.34</v>
      </c>
      <c r="Y16" s="257">
        <v>0.34</v>
      </c>
      <c r="Z16" s="257">
        <v>0.34</v>
      </c>
      <c r="AA16" s="257">
        <v>0.34</v>
      </c>
      <c r="AB16" s="257">
        <v>0.34</v>
      </c>
      <c r="AC16" s="257">
        <v>0.33500000000000002</v>
      </c>
      <c r="AD16" s="257">
        <v>0.33500000000000002</v>
      </c>
      <c r="AE16" s="257">
        <v>0.33500000000000002</v>
      </c>
      <c r="AF16" s="257">
        <v>0.33500000000000002</v>
      </c>
      <c r="AG16" s="257">
        <v>0.33</v>
      </c>
      <c r="AH16" s="259">
        <v>0.33</v>
      </c>
      <c r="AI16" s="257">
        <v>0.33</v>
      </c>
      <c r="AJ16" s="257">
        <v>0.33</v>
      </c>
      <c r="AK16" s="257">
        <v>0.33</v>
      </c>
      <c r="AL16" s="257">
        <v>0.33</v>
      </c>
      <c r="AM16" s="257">
        <v>0.32500000000000001</v>
      </c>
      <c r="AN16" s="257">
        <v>0.32500000000000001</v>
      </c>
      <c r="AO16" s="257">
        <v>0.32500000000000001</v>
      </c>
      <c r="AP16" s="257">
        <v>0.32</v>
      </c>
      <c r="AQ16" s="257">
        <v>0.32</v>
      </c>
      <c r="AR16" s="257">
        <v>0.32</v>
      </c>
      <c r="AS16" s="257">
        <v>0.33734199999999998</v>
      </c>
      <c r="AT16" s="257">
        <v>0.33734199999999998</v>
      </c>
      <c r="AU16" s="257">
        <v>0.33734199999999998</v>
      </c>
      <c r="AV16" s="257">
        <v>0.33734199999999998</v>
      </c>
    </row>
    <row r="17" spans="2:48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</row>
    <row r="18" spans="2:48">
      <c r="B18" s="533" t="s">
        <v>114</v>
      </c>
      <c r="C18" s="129" t="s">
        <v>9</v>
      </c>
      <c r="D18" s="129" t="s">
        <v>10</v>
      </c>
      <c r="E18" s="129" t="s">
        <v>11</v>
      </c>
      <c r="F18" s="129" t="s">
        <v>12</v>
      </c>
      <c r="G18" s="129" t="s">
        <v>13</v>
      </c>
      <c r="H18" s="129" t="s">
        <v>14</v>
      </c>
      <c r="I18" s="129" t="s">
        <v>15</v>
      </c>
      <c r="J18" s="129" t="s">
        <v>16</v>
      </c>
      <c r="K18" s="129" t="s">
        <v>17</v>
      </c>
      <c r="L18" s="129" t="s">
        <v>18</v>
      </c>
      <c r="M18" s="129" t="s">
        <v>19</v>
      </c>
      <c r="N18" s="129" t="s">
        <v>20</v>
      </c>
      <c r="O18" s="129" t="s">
        <v>21</v>
      </c>
      <c r="P18" s="129" t="s">
        <v>22</v>
      </c>
      <c r="Q18" s="129" t="s">
        <v>23</v>
      </c>
      <c r="R18" s="129" t="s">
        <v>24</v>
      </c>
      <c r="S18" s="129" t="s">
        <v>25</v>
      </c>
      <c r="T18" s="129" t="s">
        <v>26</v>
      </c>
      <c r="U18" s="129" t="s">
        <v>27</v>
      </c>
      <c r="V18" s="129" t="s">
        <v>28</v>
      </c>
      <c r="W18" s="129" t="s">
        <v>29</v>
      </c>
      <c r="X18" s="129" t="s">
        <v>30</v>
      </c>
      <c r="Y18" s="129" t="s">
        <v>31</v>
      </c>
      <c r="Z18" s="129" t="s">
        <v>32</v>
      </c>
      <c r="AA18" s="129" t="str">
        <f t="shared" ref="AA18:AO18" si="3">AA12</f>
        <v>1T19</v>
      </c>
      <c r="AB18" s="129" t="str">
        <f t="shared" si="3"/>
        <v>2T19</v>
      </c>
      <c r="AC18" s="129" t="str">
        <f t="shared" si="3"/>
        <v>3T19</v>
      </c>
      <c r="AD18" s="129" t="str">
        <f t="shared" si="3"/>
        <v>4T19</v>
      </c>
      <c r="AE18" s="129" t="str">
        <f t="shared" si="3"/>
        <v>1T20</v>
      </c>
      <c r="AF18" s="129" t="str">
        <f t="shared" si="3"/>
        <v>2T20</v>
      </c>
      <c r="AG18" s="129" t="str">
        <f t="shared" si="3"/>
        <v>3T20</v>
      </c>
      <c r="AH18" s="129" t="str">
        <f t="shared" si="3"/>
        <v>4T20</v>
      </c>
      <c r="AI18" s="129" t="str">
        <f t="shared" si="3"/>
        <v>1T21</v>
      </c>
      <c r="AJ18" s="129" t="str">
        <f t="shared" si="3"/>
        <v>2T21</v>
      </c>
      <c r="AK18" s="129" t="str">
        <f t="shared" si="3"/>
        <v>3T21</v>
      </c>
      <c r="AL18" s="129" t="str">
        <f t="shared" si="3"/>
        <v>4T21</v>
      </c>
      <c r="AM18" s="129" t="str">
        <f t="shared" si="3"/>
        <v>1T22</v>
      </c>
      <c r="AN18" s="129" t="str">
        <f t="shared" si="3"/>
        <v>2T22</v>
      </c>
      <c r="AO18" s="129" t="str">
        <f t="shared" si="3"/>
        <v>3T22</v>
      </c>
      <c r="AP18" s="129" t="str">
        <f t="shared" ref="AP18:AU18" si="4">AP12</f>
        <v>4T22</v>
      </c>
      <c r="AQ18" s="129" t="str">
        <f t="shared" si="4"/>
        <v>1T23</v>
      </c>
      <c r="AR18" s="129" t="str">
        <f t="shared" si="4"/>
        <v>2T23</v>
      </c>
      <c r="AS18" s="129" t="str">
        <f t="shared" si="4"/>
        <v>3T23</v>
      </c>
      <c r="AT18" s="129" t="str">
        <f t="shared" si="4"/>
        <v>4T23</v>
      </c>
      <c r="AU18" s="129" t="str">
        <f t="shared" si="4"/>
        <v>1T24</v>
      </c>
      <c r="AV18" s="129" t="str">
        <f t="shared" ref="AV18" si="5">AV12</f>
        <v>2T24</v>
      </c>
    </row>
    <row r="19" spans="2:48">
      <c r="B19" s="37" t="s">
        <v>109</v>
      </c>
      <c r="C19" s="257"/>
      <c r="D19" s="257"/>
      <c r="E19" s="257">
        <v>0.30141007230531625</v>
      </c>
      <c r="F19" s="257">
        <v>0.29949758185187503</v>
      </c>
      <c r="G19" s="257">
        <v>0.28960293952991201</v>
      </c>
      <c r="H19" s="257">
        <v>0.29182094924008273</v>
      </c>
      <c r="I19" s="257">
        <v>0.2896071265568757</v>
      </c>
      <c r="J19" s="257">
        <v>0.29297258221127598</v>
      </c>
      <c r="K19" s="257">
        <v>0.29609154938967863</v>
      </c>
      <c r="L19" s="257">
        <v>0.2945710211449748</v>
      </c>
      <c r="M19" s="257">
        <v>0.29961878852996893</v>
      </c>
      <c r="N19" s="257">
        <v>0.30483985584789891</v>
      </c>
      <c r="O19" s="257">
        <v>0.30929247612883248</v>
      </c>
      <c r="P19" s="257">
        <v>0.31239668236310164</v>
      </c>
      <c r="Q19" s="257">
        <v>0.31076671194462818</v>
      </c>
      <c r="R19" s="257">
        <v>0.30672511503235733</v>
      </c>
      <c r="S19" s="257">
        <v>0.29964618364199114</v>
      </c>
      <c r="T19" s="257">
        <v>0.29303535952935117</v>
      </c>
      <c r="U19" s="257">
        <v>0.28846690741001885</v>
      </c>
      <c r="V19" s="257">
        <v>0.28030713388356315</v>
      </c>
      <c r="W19" s="257">
        <v>0.2736683101408976</v>
      </c>
      <c r="X19" s="257">
        <v>0.26889417345754468</v>
      </c>
      <c r="Y19" s="257">
        <v>0.26406811468501867</v>
      </c>
      <c r="Z19" s="257">
        <v>0.28069007450577588</v>
      </c>
      <c r="AA19" s="257">
        <v>0.28170191454485716</v>
      </c>
      <c r="AB19" s="257">
        <v>0.27776649521931346</v>
      </c>
      <c r="AC19" s="257">
        <v>0.27484187119753822</v>
      </c>
      <c r="AD19" s="257">
        <v>0.24299999999999999</v>
      </c>
      <c r="AE19" s="257">
        <v>0.23256545235711668</v>
      </c>
      <c r="AF19" s="258">
        <v>0.22922413424990606</v>
      </c>
      <c r="AG19" s="258">
        <v>0.22514454512024679</v>
      </c>
      <c r="AH19" s="258">
        <v>0.21549019482196458</v>
      </c>
      <c r="AI19" s="258">
        <v>0.21313403874320311</v>
      </c>
      <c r="AJ19" s="258">
        <v>0.20609160491894551</v>
      </c>
      <c r="AK19" s="258">
        <v>0.19667770311760169</v>
      </c>
      <c r="AL19" s="258">
        <v>0.19693734444602462</v>
      </c>
      <c r="AM19" s="258">
        <v>0.19380809634378604</v>
      </c>
      <c r="AN19" s="258">
        <v>0.18930587565017043</v>
      </c>
      <c r="AO19" s="258">
        <v>0.18477400066131688</v>
      </c>
      <c r="AP19" s="258">
        <v>0.18177181227493033</v>
      </c>
      <c r="AQ19" s="258">
        <v>0.18185813573096332</v>
      </c>
      <c r="AR19" s="258">
        <v>0.18183104402854067</v>
      </c>
      <c r="AS19" s="258">
        <v>0.18049072329469829</v>
      </c>
      <c r="AT19" s="258">
        <v>0.18197447340868145</v>
      </c>
      <c r="AU19" s="258">
        <v>0.18108196532889664</v>
      </c>
      <c r="AV19" s="258">
        <v>0.17761358841330277</v>
      </c>
    </row>
    <row r="20" spans="2:48">
      <c r="B20" s="37" t="s">
        <v>110</v>
      </c>
      <c r="C20" s="257"/>
      <c r="D20" s="257"/>
      <c r="E20" s="257">
        <v>0.2213</v>
      </c>
      <c r="F20" s="257">
        <v>0.2213</v>
      </c>
      <c r="G20" s="257">
        <v>0.2213</v>
      </c>
      <c r="H20" s="257">
        <v>0.2213</v>
      </c>
      <c r="I20" s="257">
        <v>0.21529999999999999</v>
      </c>
      <c r="J20" s="257">
        <v>0.21529999999999999</v>
      </c>
      <c r="K20" s="257">
        <v>0.21529999999999999</v>
      </c>
      <c r="L20" s="257">
        <v>0.21529999999999999</v>
      </c>
      <c r="M20" s="257">
        <v>0.21010000000000001</v>
      </c>
      <c r="N20" s="257">
        <v>0.21010000000000001</v>
      </c>
      <c r="O20" s="257">
        <v>0.21010000000000001</v>
      </c>
      <c r="P20" s="257">
        <v>0.21010000000000001</v>
      </c>
      <c r="Q20" s="257">
        <v>0.2019</v>
      </c>
      <c r="R20" s="257">
        <v>0.2019</v>
      </c>
      <c r="S20" s="257">
        <v>0.2019</v>
      </c>
      <c r="T20" s="257">
        <v>0.2019</v>
      </c>
      <c r="U20" s="257">
        <v>0.25981223788808383</v>
      </c>
      <c r="V20" s="257">
        <v>0.25981223788808383</v>
      </c>
      <c r="W20" s="257">
        <v>0.25981223788808383</v>
      </c>
      <c r="X20" s="257">
        <v>0.25981223788808383</v>
      </c>
      <c r="Y20" s="257">
        <v>0.25981223788808383</v>
      </c>
      <c r="Z20" s="257">
        <v>0.20288126851930299</v>
      </c>
      <c r="AA20" s="257">
        <v>0.20288126851930299</v>
      </c>
      <c r="AB20" s="257">
        <v>0.20288126851930299</v>
      </c>
      <c r="AC20" s="257">
        <v>0.20288126851930299</v>
      </c>
      <c r="AD20" s="257">
        <v>0.20288126851930299</v>
      </c>
      <c r="AE20" s="257">
        <v>0.20288126851930299</v>
      </c>
      <c r="AF20" s="257">
        <v>0.20288126851930299</v>
      </c>
      <c r="AG20" s="257">
        <v>0.20288126851930299</v>
      </c>
      <c r="AH20" s="259">
        <v>0.20485603270165514</v>
      </c>
      <c r="AI20" s="257">
        <v>0.20485603270165514</v>
      </c>
      <c r="AJ20" s="257">
        <v>0.20485603270165501</v>
      </c>
      <c r="AK20" s="257">
        <v>0.20485603270165514</v>
      </c>
      <c r="AL20" s="257">
        <v>0.20421353004874881</v>
      </c>
      <c r="AM20" s="257">
        <v>0.20421353004874881</v>
      </c>
      <c r="AN20" s="257">
        <v>0.20421353004874881</v>
      </c>
      <c r="AO20" s="257">
        <v>0.20421353004874881</v>
      </c>
      <c r="AP20" s="257">
        <v>0.2034914622664506</v>
      </c>
      <c r="AQ20" s="257">
        <v>0.2034914622664506</v>
      </c>
      <c r="AR20" s="257">
        <v>0.2034914622664506</v>
      </c>
      <c r="AS20" s="257">
        <v>0.2034914622664506</v>
      </c>
      <c r="AT20" s="257">
        <v>0.19598378853520299</v>
      </c>
      <c r="AU20" s="257">
        <v>0.19598378853520299</v>
      </c>
      <c r="AV20" s="257">
        <v>0.19598378853520299</v>
      </c>
    </row>
    <row r="21" spans="2:48">
      <c r="B21" s="37" t="s">
        <v>111</v>
      </c>
      <c r="C21" s="257"/>
      <c r="D21" s="257"/>
      <c r="E21" s="257">
        <v>0.36222984019600052</v>
      </c>
      <c r="F21" s="257">
        <v>0.35587286403632534</v>
      </c>
      <c r="G21" s="257">
        <v>0.3312273407908024</v>
      </c>
      <c r="H21" s="257">
        <v>0.33644764559293949</v>
      </c>
      <c r="I21" s="257">
        <v>0.33233217911324825</v>
      </c>
      <c r="J21" s="257">
        <v>0.34166104802148706</v>
      </c>
      <c r="K21" s="257">
        <v>0.34945774346871417</v>
      </c>
      <c r="L21" s="257">
        <v>0.3452573331718265</v>
      </c>
      <c r="M21" s="257">
        <v>0.35614685255363576</v>
      </c>
      <c r="N21" s="257">
        <v>0.36865351548488096</v>
      </c>
      <c r="O21" s="257">
        <v>0.38023244231472936</v>
      </c>
      <c r="P21" s="257">
        <v>0.38760313319825312</v>
      </c>
      <c r="Q21" s="257">
        <v>0.38214862850597858</v>
      </c>
      <c r="R21" s="257">
        <v>0.37038021476451594</v>
      </c>
      <c r="S21" s="257">
        <v>0.350994788660003</v>
      </c>
      <c r="T21" s="257">
        <v>0.33344571498695841</v>
      </c>
      <c r="U21" s="257">
        <v>0.32163292347238576</v>
      </c>
      <c r="V21" s="257">
        <v>0.30179421042624655</v>
      </c>
      <c r="W21" s="257">
        <v>0.28604813280676855</v>
      </c>
      <c r="X21" s="257">
        <v>0.2758255824619591</v>
      </c>
      <c r="Y21" s="257">
        <v>0.26514482384042448</v>
      </c>
      <c r="Z21" s="257">
        <v>0.30575711362897223</v>
      </c>
      <c r="AA21" s="257">
        <v>0.307937780859737</v>
      </c>
      <c r="AB21" s="257">
        <v>0.29813752328027887</v>
      </c>
      <c r="AC21" s="257">
        <v>0.29164794502299618</v>
      </c>
      <c r="AD21" s="257">
        <v>0.21779999999999999</v>
      </c>
      <c r="AE21" s="257">
        <v>0.19547693190668683</v>
      </c>
      <c r="AF21" s="258">
        <v>0.1865433542143746</v>
      </c>
      <c r="AG21" s="258">
        <v>0.1772711078043466</v>
      </c>
      <c r="AH21" s="258">
        <v>0.15786214256812206</v>
      </c>
      <c r="AI21" s="258">
        <v>0.15321182950483353</v>
      </c>
      <c r="AJ21" s="258">
        <v>0.14115483488669595</v>
      </c>
      <c r="AK21" s="258">
        <v>0.12417220814704709</v>
      </c>
      <c r="AL21" s="258">
        <v>0.12525654869529193</v>
      </c>
      <c r="AM21" s="258">
        <v>0.11993877109796591</v>
      </c>
      <c r="AN21" s="258">
        <v>0.11200635047447172</v>
      </c>
      <c r="AO21" s="258">
        <v>0.10398306697273095</v>
      </c>
      <c r="AP21" s="258">
        <v>9.8543297796486601E-2</v>
      </c>
      <c r="AQ21" s="258">
        <v>9.8611056086851473E-2</v>
      </c>
      <c r="AR21" s="258">
        <v>9.8345697497714629E-2</v>
      </c>
      <c r="AS21" s="258">
        <v>9.5581019010923585E-2</v>
      </c>
      <c r="AT21" s="258">
        <v>9.7933847456764839E-2</v>
      </c>
      <c r="AU21" s="258">
        <v>0.11244075849275344</v>
      </c>
      <c r="AV21" s="258">
        <v>0.1063578668177721</v>
      </c>
    </row>
    <row r="22" spans="2:48">
      <c r="B22" s="37" t="s">
        <v>112</v>
      </c>
      <c r="C22" s="257"/>
      <c r="D22" s="257"/>
      <c r="E22" s="257">
        <v>0.18129999999999999</v>
      </c>
      <c r="F22" s="257">
        <v>0.18129999999999999</v>
      </c>
      <c r="G22" s="257">
        <v>0.18129999999999999</v>
      </c>
      <c r="H22" s="257">
        <v>0.18129999999999999</v>
      </c>
      <c r="I22" s="257">
        <v>0.1673</v>
      </c>
      <c r="J22" s="257">
        <v>0.1673</v>
      </c>
      <c r="K22" s="257">
        <v>0.1673</v>
      </c>
      <c r="L22" s="257">
        <v>0.1673</v>
      </c>
      <c r="M22" s="257">
        <v>0.15329999999999999</v>
      </c>
      <c r="N22" s="257">
        <v>0.15329999999999999</v>
      </c>
      <c r="O22" s="257">
        <v>0.15329999999999999</v>
      </c>
      <c r="P22" s="257">
        <v>0.15329999999999999</v>
      </c>
      <c r="Q22" s="257">
        <v>0.13930000000000001</v>
      </c>
      <c r="R22" s="257">
        <v>0.13930000000000001</v>
      </c>
      <c r="S22" s="257">
        <v>0.13930000000000001</v>
      </c>
      <c r="T22" s="257">
        <v>0.13930000000000001</v>
      </c>
      <c r="U22" s="257">
        <v>0.25409999999999999</v>
      </c>
      <c r="V22" s="257">
        <v>0.25409999999999999</v>
      </c>
      <c r="W22" s="257">
        <v>0.25409999999999999</v>
      </c>
      <c r="X22" s="257">
        <v>0.25409999999999999</v>
      </c>
      <c r="Y22" s="257">
        <v>0.25409999999999999</v>
      </c>
      <c r="Z22" s="257">
        <v>0.13930000000000001</v>
      </c>
      <c r="AA22" s="257">
        <v>0.13930000000000001</v>
      </c>
      <c r="AB22" s="257">
        <v>0.13930000000000001</v>
      </c>
      <c r="AC22" s="257">
        <v>0.13930000000000001</v>
      </c>
      <c r="AD22" s="257">
        <v>0.13930000000000001</v>
      </c>
      <c r="AE22" s="257">
        <v>0.13930000000000001</v>
      </c>
      <c r="AF22" s="257">
        <v>0.13930000000000001</v>
      </c>
      <c r="AG22" s="257">
        <v>0.13930000000000001</v>
      </c>
      <c r="AH22" s="259">
        <v>0.13930000000000001</v>
      </c>
      <c r="AI22" s="257">
        <v>0.13930000000000001</v>
      </c>
      <c r="AJ22" s="257">
        <v>0.13930000000000001</v>
      </c>
      <c r="AK22" s="257">
        <v>0.13930000000000001</v>
      </c>
      <c r="AL22" s="257">
        <v>0.13930000000000001</v>
      </c>
      <c r="AM22" s="257">
        <v>0.13930000000000001</v>
      </c>
      <c r="AN22" s="257">
        <v>0.13930000000000001</v>
      </c>
      <c r="AO22" s="257">
        <v>0.13930000000000001</v>
      </c>
      <c r="AP22" s="257">
        <v>0.13930000000000001</v>
      </c>
      <c r="AQ22" s="257">
        <v>0.13930000000000001</v>
      </c>
      <c r="AR22" s="257">
        <v>0.13930000000000001</v>
      </c>
      <c r="AS22" s="257">
        <v>0.13930000000000001</v>
      </c>
      <c r="AT22" s="257">
        <v>0.12709999999999999</v>
      </c>
      <c r="AU22" s="257">
        <v>0.12709999999999999</v>
      </c>
      <c r="AV22" s="257">
        <v>0.12710973781793578</v>
      </c>
    </row>
    <row r="24" spans="2:48">
      <c r="B24" s="533" t="s">
        <v>115</v>
      </c>
      <c r="C24" s="129" t="s">
        <v>9</v>
      </c>
      <c r="D24" s="129" t="s">
        <v>10</v>
      </c>
      <c r="E24" s="129" t="s">
        <v>11</v>
      </c>
      <c r="F24" s="129" t="s">
        <v>12</v>
      </c>
      <c r="G24" s="129" t="s">
        <v>13</v>
      </c>
      <c r="H24" s="129" t="s">
        <v>14</v>
      </c>
      <c r="I24" s="129" t="s">
        <v>15</v>
      </c>
      <c r="J24" s="129" t="s">
        <v>16</v>
      </c>
      <c r="K24" s="129" t="s">
        <v>17</v>
      </c>
      <c r="L24" s="129" t="s">
        <v>18</v>
      </c>
      <c r="M24" s="129" t="s">
        <v>19</v>
      </c>
      <c r="N24" s="129" t="s">
        <v>20</v>
      </c>
      <c r="O24" s="129" t="s">
        <v>21</v>
      </c>
      <c r="P24" s="129" t="s">
        <v>22</v>
      </c>
      <c r="Q24" s="129" t="s">
        <v>23</v>
      </c>
      <c r="R24" s="129" t="s">
        <v>24</v>
      </c>
      <c r="S24" s="129" t="s">
        <v>25</v>
      </c>
      <c r="T24" s="129" t="s">
        <v>26</v>
      </c>
      <c r="U24" s="129" t="s">
        <v>27</v>
      </c>
      <c r="V24" s="129" t="s">
        <v>28</v>
      </c>
      <c r="W24" s="129" t="s">
        <v>29</v>
      </c>
      <c r="X24" s="129" t="s">
        <v>30</v>
      </c>
      <c r="Y24" s="129" t="s">
        <v>31</v>
      </c>
      <c r="Z24" s="129" t="s">
        <v>32</v>
      </c>
      <c r="AA24" s="129" t="str">
        <f t="shared" ref="AA24:AO24" si="6">AA18</f>
        <v>1T19</v>
      </c>
      <c r="AB24" s="129" t="str">
        <f t="shared" si="6"/>
        <v>2T19</v>
      </c>
      <c r="AC24" s="129" t="str">
        <f t="shared" si="6"/>
        <v>3T19</v>
      </c>
      <c r="AD24" s="129" t="str">
        <f t="shared" si="6"/>
        <v>4T19</v>
      </c>
      <c r="AE24" s="129" t="str">
        <f t="shared" si="6"/>
        <v>1T20</v>
      </c>
      <c r="AF24" s="129" t="str">
        <f t="shared" si="6"/>
        <v>2T20</v>
      </c>
      <c r="AG24" s="129" t="str">
        <f t="shared" si="6"/>
        <v>3T20</v>
      </c>
      <c r="AH24" s="129" t="str">
        <f t="shared" si="6"/>
        <v>4T20</v>
      </c>
      <c r="AI24" s="129" t="str">
        <f t="shared" si="6"/>
        <v>1T21</v>
      </c>
      <c r="AJ24" s="129" t="str">
        <f t="shared" si="6"/>
        <v>2T21</v>
      </c>
      <c r="AK24" s="129" t="str">
        <f t="shared" si="6"/>
        <v>3T21</v>
      </c>
      <c r="AL24" s="129" t="str">
        <f t="shared" si="6"/>
        <v>4T21</v>
      </c>
      <c r="AM24" s="129" t="str">
        <f t="shared" si="6"/>
        <v>1T22</v>
      </c>
      <c r="AN24" s="129" t="str">
        <f t="shared" si="6"/>
        <v>2T22</v>
      </c>
      <c r="AO24" s="129" t="str">
        <f t="shared" si="6"/>
        <v>3T22</v>
      </c>
      <c r="AP24" s="129" t="str">
        <f t="shared" ref="AP24:AU24" si="7">AP18</f>
        <v>4T22</v>
      </c>
      <c r="AQ24" s="129" t="str">
        <f t="shared" si="7"/>
        <v>1T23</v>
      </c>
      <c r="AR24" s="129" t="str">
        <f t="shared" si="7"/>
        <v>2T23</v>
      </c>
      <c r="AS24" s="129" t="str">
        <f t="shared" si="7"/>
        <v>3T23</v>
      </c>
      <c r="AT24" s="129" t="str">
        <f t="shared" si="7"/>
        <v>4T23</v>
      </c>
      <c r="AU24" s="129" t="str">
        <f t="shared" si="7"/>
        <v>1T24</v>
      </c>
      <c r="AV24" s="129" t="str">
        <f t="shared" ref="AV24" si="8">AV18</f>
        <v>2T24</v>
      </c>
    </row>
    <row r="25" spans="2:48">
      <c r="B25" s="37" t="s">
        <v>109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>
        <v>0.23014268551924277</v>
      </c>
      <c r="X25" s="257">
        <v>0.23890404936264131</v>
      </c>
      <c r="Y25" s="257">
        <v>0.2373466098374799</v>
      </c>
      <c r="Z25" s="257">
        <v>0.239021564980889</v>
      </c>
      <c r="AA25" s="257">
        <v>0.24500393941676157</v>
      </c>
      <c r="AB25" s="257">
        <v>0.30693163811751312</v>
      </c>
      <c r="AC25" s="257">
        <v>0.3098664645463306</v>
      </c>
      <c r="AD25" s="257">
        <v>0.30209999999999998</v>
      </c>
      <c r="AE25" s="257">
        <v>0.29779601594002059</v>
      </c>
      <c r="AF25" s="258">
        <v>0.24021571791976315</v>
      </c>
      <c r="AG25" s="258">
        <v>0.23758871733555367</v>
      </c>
      <c r="AH25" s="258">
        <v>0.2358830790055868</v>
      </c>
      <c r="AI25" s="258">
        <v>0.23103655178375798</v>
      </c>
      <c r="AJ25" s="258">
        <v>0.22503811046633138</v>
      </c>
      <c r="AK25" s="258">
        <v>0.2224545244126156</v>
      </c>
      <c r="AL25" s="258">
        <v>0.22253362560295464</v>
      </c>
      <c r="AM25" s="258">
        <v>0.21973697987147145</v>
      </c>
      <c r="AN25" s="258">
        <v>0.21712836684038728</v>
      </c>
      <c r="AO25" s="258">
        <v>0.20681894015329527</v>
      </c>
      <c r="AP25" s="258">
        <v>0.20045066144389501</v>
      </c>
      <c r="AQ25" s="258">
        <v>0.19198287061911901</v>
      </c>
      <c r="AR25" s="258">
        <v>0.18309753991261701</v>
      </c>
      <c r="AS25" s="258">
        <v>0.18624141570651731</v>
      </c>
      <c r="AT25" s="258">
        <v>0.1847667616409614</v>
      </c>
      <c r="AU25" s="258">
        <v>0.18640237668960469</v>
      </c>
      <c r="AV25" s="258">
        <v>0.18168817228714607</v>
      </c>
    </row>
    <row r="26" spans="2:48">
      <c r="B26" s="37" t="s">
        <v>110</v>
      </c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>
        <v>0.22879762612814314</v>
      </c>
      <c r="X26" s="257">
        <v>0.22879762612814314</v>
      </c>
      <c r="Y26" s="257">
        <v>0.23119999999999999</v>
      </c>
      <c r="Z26" s="257">
        <v>0.23119999999999999</v>
      </c>
      <c r="AA26" s="257">
        <v>0.23119999999999999</v>
      </c>
      <c r="AB26" s="257">
        <v>0.20803092413260313</v>
      </c>
      <c r="AC26" s="257">
        <v>0.20803092413260313</v>
      </c>
      <c r="AD26" s="257">
        <v>0.20803092413260313</v>
      </c>
      <c r="AE26" s="257">
        <v>0.20803092413260313</v>
      </c>
      <c r="AF26" s="257">
        <v>0.20803092413260313</v>
      </c>
      <c r="AG26" s="257">
        <v>0.20793517770619671</v>
      </c>
      <c r="AH26" s="259">
        <v>0.20793517770619671</v>
      </c>
      <c r="AI26" s="257">
        <v>0.20793517770619671</v>
      </c>
      <c r="AJ26" s="257">
        <v>0.20793517770619671</v>
      </c>
      <c r="AK26" s="257">
        <v>0.20793517770619671</v>
      </c>
      <c r="AL26" s="257">
        <v>0.20978821101463971</v>
      </c>
      <c r="AM26" s="257">
        <v>0.20978821101463971</v>
      </c>
      <c r="AN26" s="257">
        <v>0.20899999999999999</v>
      </c>
      <c r="AO26" s="257">
        <v>0.20910720621126058</v>
      </c>
      <c r="AP26" s="257">
        <v>0.21049999999999999</v>
      </c>
      <c r="AQ26" s="257">
        <v>0.21049999999999999</v>
      </c>
      <c r="AR26" s="257">
        <v>0.21049999999999999</v>
      </c>
      <c r="AS26" s="257">
        <v>0.21282947839319807</v>
      </c>
      <c r="AT26" s="257">
        <v>0.21282947839319807</v>
      </c>
      <c r="AU26" s="257">
        <v>0.21282947839319807</v>
      </c>
      <c r="AV26" s="257">
        <v>0.17766102804848535</v>
      </c>
    </row>
    <row r="27" spans="2:48">
      <c r="B27" s="37" t="s">
        <v>111</v>
      </c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>
        <v>0.2654743151742231</v>
      </c>
      <c r="X27" s="257">
        <v>0.28888651252247011</v>
      </c>
      <c r="Y27" s="257">
        <v>0.29010607263450727</v>
      </c>
      <c r="Z27" s="257">
        <v>0.29707136355665453</v>
      </c>
      <c r="AA27" s="257">
        <v>0.31278489929233805</v>
      </c>
      <c r="AB27" s="257">
        <v>0.51611976292249429</v>
      </c>
      <c r="AC27" s="257">
        <v>0.52626836787395448</v>
      </c>
      <c r="AD27" s="257">
        <v>0.49880000000000002</v>
      </c>
      <c r="AE27" s="257">
        <v>0.48519774646050379</v>
      </c>
      <c r="AF27" s="258">
        <v>0.29606881353602432</v>
      </c>
      <c r="AG27" s="258">
        <v>0.28920285882609059</v>
      </c>
      <c r="AH27" s="258">
        <v>0.28235279016604176</v>
      </c>
      <c r="AI27" s="258">
        <v>0.26989041170202666</v>
      </c>
      <c r="AJ27" s="258">
        <v>0.25600257123989317</v>
      </c>
      <c r="AK27" s="258">
        <v>0.24887388103237681</v>
      </c>
      <c r="AL27" s="258">
        <v>0.24912648911861243</v>
      </c>
      <c r="AM27" s="258">
        <v>0.24085629800696248</v>
      </c>
      <c r="AN27" s="258">
        <v>0.23494081034876238</v>
      </c>
      <c r="AO27" s="258">
        <v>0.21022972988988226</v>
      </c>
      <c r="AP27" s="258">
        <v>0.19469015910808904</v>
      </c>
      <c r="AQ27" s="258">
        <v>0.17516993581605925</v>
      </c>
      <c r="AR27" s="258">
        <v>0.15495700592232278</v>
      </c>
      <c r="AS27" s="258">
        <v>0.16211699917882164</v>
      </c>
      <c r="AT27" s="258">
        <v>0.15898874749018335</v>
      </c>
      <c r="AU27" s="258">
        <v>0.16221469532010052</v>
      </c>
      <c r="AV27" s="258">
        <v>0.17486858179107365</v>
      </c>
    </row>
    <row r="28" spans="2:48">
      <c r="B28" s="37" t="s">
        <v>112</v>
      </c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>
        <v>0.27200000000000002</v>
      </c>
      <c r="X28" s="257">
        <v>0.27200000000000002</v>
      </c>
      <c r="Y28" s="257">
        <v>0.27200000000000002</v>
      </c>
      <c r="Z28" s="257">
        <v>0.27200000000000002</v>
      </c>
      <c r="AA28" s="257">
        <v>0.27200000000000002</v>
      </c>
      <c r="AB28" s="257">
        <v>0.2195</v>
      </c>
      <c r="AC28" s="257">
        <v>0.2195</v>
      </c>
      <c r="AD28" s="257">
        <v>0.2195</v>
      </c>
      <c r="AE28" s="257">
        <v>0.2195</v>
      </c>
      <c r="AF28" s="257">
        <v>0.2195</v>
      </c>
      <c r="AG28" s="257">
        <v>0.2195</v>
      </c>
      <c r="AH28" s="259">
        <v>0.2195</v>
      </c>
      <c r="AI28" s="257">
        <v>0.2195</v>
      </c>
      <c r="AJ28" s="257">
        <v>0.2195</v>
      </c>
      <c r="AK28" s="257">
        <v>0.2195</v>
      </c>
      <c r="AL28" s="257">
        <v>0.2195</v>
      </c>
      <c r="AM28" s="257">
        <v>0.2195</v>
      </c>
      <c r="AN28" s="257">
        <v>0.2195</v>
      </c>
      <c r="AO28" s="257">
        <v>0.2195</v>
      </c>
      <c r="AP28" s="257">
        <v>0.2195</v>
      </c>
      <c r="AQ28" s="257">
        <v>0.2195</v>
      </c>
      <c r="AR28" s="257">
        <v>0.2195</v>
      </c>
      <c r="AS28" s="257">
        <v>0.2195</v>
      </c>
      <c r="AT28" s="257">
        <v>0.2195</v>
      </c>
      <c r="AU28" s="257">
        <v>0.2195</v>
      </c>
      <c r="AV28" s="257">
        <v>0.15862844224816589</v>
      </c>
    </row>
    <row r="30" spans="2:48">
      <c r="B30" s="533" t="s">
        <v>116</v>
      </c>
      <c r="C30" s="129" t="s">
        <v>9</v>
      </c>
      <c r="D30" s="129" t="s">
        <v>10</v>
      </c>
      <c r="E30" s="129" t="s">
        <v>11</v>
      </c>
      <c r="F30" s="129" t="s">
        <v>12</v>
      </c>
      <c r="G30" s="129" t="s">
        <v>13</v>
      </c>
      <c r="H30" s="129" t="s">
        <v>14</v>
      </c>
      <c r="I30" s="129" t="s">
        <v>15</v>
      </c>
      <c r="J30" s="129" t="s">
        <v>16</v>
      </c>
      <c r="K30" s="129" t="s">
        <v>17</v>
      </c>
      <c r="L30" s="129" t="s">
        <v>18</v>
      </c>
      <c r="M30" s="129" t="s">
        <v>19</v>
      </c>
      <c r="N30" s="129" t="s">
        <v>20</v>
      </c>
      <c r="O30" s="129" t="s">
        <v>21</v>
      </c>
      <c r="P30" s="129" t="s">
        <v>22</v>
      </c>
      <c r="Q30" s="129" t="s">
        <v>23</v>
      </c>
      <c r="R30" s="129" t="s">
        <v>24</v>
      </c>
      <c r="S30" s="129" t="s">
        <v>25</v>
      </c>
      <c r="T30" s="129" t="s">
        <v>26</v>
      </c>
      <c r="U30" s="129" t="s">
        <v>27</v>
      </c>
      <c r="V30" s="129" t="s">
        <v>28</v>
      </c>
      <c r="W30" s="129" t="s">
        <v>29</v>
      </c>
      <c r="X30" s="129" t="s">
        <v>30</v>
      </c>
      <c r="Y30" s="129" t="s">
        <v>31</v>
      </c>
      <c r="Z30" s="129" t="s">
        <v>32</v>
      </c>
      <c r="AA30" s="129" t="str">
        <f t="shared" ref="AA30:AO30" si="9">AA24</f>
        <v>1T19</v>
      </c>
      <c r="AB30" s="129" t="str">
        <f t="shared" si="9"/>
        <v>2T19</v>
      </c>
      <c r="AC30" s="129" t="str">
        <f t="shared" si="9"/>
        <v>3T19</v>
      </c>
      <c r="AD30" s="129" t="str">
        <f t="shared" si="9"/>
        <v>4T19</v>
      </c>
      <c r="AE30" s="129" t="str">
        <f t="shared" si="9"/>
        <v>1T20</v>
      </c>
      <c r="AF30" s="129" t="str">
        <f t="shared" si="9"/>
        <v>2T20</v>
      </c>
      <c r="AG30" s="129" t="str">
        <f t="shared" si="9"/>
        <v>3T20</v>
      </c>
      <c r="AH30" s="129" t="str">
        <f t="shared" si="9"/>
        <v>4T20</v>
      </c>
      <c r="AI30" s="129" t="str">
        <f t="shared" si="9"/>
        <v>1T21</v>
      </c>
      <c r="AJ30" s="129" t="str">
        <f t="shared" si="9"/>
        <v>2T21</v>
      </c>
      <c r="AK30" s="129" t="str">
        <f t="shared" si="9"/>
        <v>3T21</v>
      </c>
      <c r="AL30" s="129" t="str">
        <f t="shared" si="9"/>
        <v>4T21</v>
      </c>
      <c r="AM30" s="129" t="str">
        <f t="shared" si="9"/>
        <v>1T22</v>
      </c>
      <c r="AN30" s="129" t="str">
        <f t="shared" si="9"/>
        <v>2T22</v>
      </c>
      <c r="AO30" s="129" t="str">
        <f t="shared" si="9"/>
        <v>3T22</v>
      </c>
      <c r="AP30" s="129" t="str">
        <f t="shared" ref="AP30:AU30" si="10">AP24</f>
        <v>4T22</v>
      </c>
      <c r="AQ30" s="129" t="str">
        <f t="shared" si="10"/>
        <v>1T23</v>
      </c>
      <c r="AR30" s="129" t="str">
        <f t="shared" si="10"/>
        <v>2T23</v>
      </c>
      <c r="AS30" s="129" t="str">
        <f t="shared" si="10"/>
        <v>3T23</v>
      </c>
      <c r="AT30" s="129" t="str">
        <f t="shared" si="10"/>
        <v>4T23</v>
      </c>
      <c r="AU30" s="129" t="str">
        <f t="shared" si="10"/>
        <v>1T24</v>
      </c>
      <c r="AV30" s="129" t="str">
        <f t="shared" ref="AV30" si="11">AV24</f>
        <v>2T24</v>
      </c>
    </row>
    <row r="31" spans="2:48">
      <c r="B31" s="37" t="s">
        <v>109</v>
      </c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8"/>
      <c r="AG31" s="258"/>
      <c r="AH31" s="258">
        <v>0.1826976218266908</v>
      </c>
      <c r="AI31" s="258">
        <v>0.1854495904319633</v>
      </c>
      <c r="AJ31" s="258">
        <v>0.18387929460049746</v>
      </c>
      <c r="AK31" s="258">
        <v>0.19171001123547027</v>
      </c>
      <c r="AL31" s="258">
        <v>0.18615400565560747</v>
      </c>
      <c r="AM31" s="258">
        <v>0.18069692900858147</v>
      </c>
      <c r="AN31" s="258">
        <v>0.18452679550385975</v>
      </c>
      <c r="AO31" s="258">
        <v>0.1696711966377682</v>
      </c>
      <c r="AP31" s="258">
        <v>0.15897120562464717</v>
      </c>
      <c r="AQ31" s="258">
        <v>0.1567322205492816</v>
      </c>
      <c r="AR31" s="258">
        <v>0.13967377635858003</v>
      </c>
      <c r="AS31" s="258">
        <v>0.13379557671031084</v>
      </c>
      <c r="AT31" s="258">
        <v>0.12831799696181478</v>
      </c>
      <c r="AU31" s="258">
        <v>0.1244485714835154</v>
      </c>
      <c r="AV31" s="258">
        <v>0.13374448560460039</v>
      </c>
    </row>
    <row r="32" spans="2:48">
      <c r="B32" s="37" t="s">
        <v>110</v>
      </c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9">
        <v>9.9400000000000002E-2</v>
      </c>
      <c r="AI32" s="257">
        <v>9.9400000000000002E-2</v>
      </c>
      <c r="AJ32" s="257">
        <v>9.9400000000000002E-2</v>
      </c>
      <c r="AK32" s="257">
        <v>9.9400000000000002E-2</v>
      </c>
      <c r="AL32" s="257">
        <v>0.11077899086572175</v>
      </c>
      <c r="AM32" s="257">
        <v>0.11077899086572175</v>
      </c>
      <c r="AN32" s="257">
        <v>0.11077899086572175</v>
      </c>
      <c r="AO32" s="257">
        <v>0.11019476206587468</v>
      </c>
      <c r="AP32" s="257">
        <v>0.11021060778668797</v>
      </c>
      <c r="AQ32" s="257">
        <v>0.11021060778668797</v>
      </c>
      <c r="AR32" s="257">
        <v>0.11021060778668797</v>
      </c>
      <c r="AS32" s="257">
        <v>0.11021060778668797</v>
      </c>
      <c r="AT32" s="257">
        <v>0.11269999999999999</v>
      </c>
      <c r="AU32" s="257">
        <v>0.11269999999999999</v>
      </c>
      <c r="AV32" s="257">
        <v>0.11266670844216434</v>
      </c>
    </row>
    <row r="33" spans="2:48">
      <c r="B33" s="37" t="s">
        <v>111</v>
      </c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8"/>
      <c r="AG33" s="258"/>
      <c r="AH33" s="258">
        <v>0.24085126684510341</v>
      </c>
      <c r="AI33" s="258">
        <v>0.24654502244648471</v>
      </c>
      <c r="AJ33" s="258">
        <v>0.24399999999999999</v>
      </c>
      <c r="AK33" s="258">
        <v>0.27170257028324729</v>
      </c>
      <c r="AL33" s="258">
        <v>0.24708463639142639</v>
      </c>
      <c r="AM33" s="258">
        <v>0.23426003668350748</v>
      </c>
      <c r="AN33" s="258">
        <v>0.24468424578190245</v>
      </c>
      <c r="AO33" s="258">
        <v>0.20435771334940092</v>
      </c>
      <c r="AP33" s="258">
        <v>0.17938772953736451</v>
      </c>
      <c r="AQ33" s="258">
        <v>0.17301921922646588</v>
      </c>
      <c r="AR33" s="258">
        <v>0.13652270006511497</v>
      </c>
      <c r="AS33" s="258">
        <v>0.12432294031853258</v>
      </c>
      <c r="AT33" s="258">
        <v>0.11322579617036907</v>
      </c>
      <c r="AU33" s="258">
        <v>0.10561354632028941</v>
      </c>
      <c r="AV33" s="258">
        <v>0.12417897544424672</v>
      </c>
    </row>
    <row r="34" spans="2:48">
      <c r="B34" s="37" t="s">
        <v>112</v>
      </c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9">
        <v>7.0400000000000004E-2</v>
      </c>
      <c r="AI34" s="257">
        <v>7.0400000000000004E-2</v>
      </c>
      <c r="AJ34" s="257">
        <v>7.0400000000000004E-2</v>
      </c>
      <c r="AK34" s="257">
        <v>7.0400000000000004E-2</v>
      </c>
      <c r="AL34" s="257">
        <v>7.0400000000000004E-2</v>
      </c>
      <c r="AM34" s="257">
        <v>8.0349000000000004E-2</v>
      </c>
      <c r="AN34" s="257">
        <v>8.0349000000000004E-2</v>
      </c>
      <c r="AO34" s="257">
        <v>8.0349000000000004E-2</v>
      </c>
      <c r="AP34" s="257">
        <v>8.0349000000000004E-2</v>
      </c>
      <c r="AQ34" s="257">
        <v>8.0349000000000004E-2</v>
      </c>
      <c r="AR34" s="257">
        <v>8.0349000000000004E-2</v>
      </c>
      <c r="AS34" s="257">
        <v>8.0349000000000004E-2</v>
      </c>
      <c r="AT34" s="257">
        <v>8.0349000000000004E-2</v>
      </c>
      <c r="AU34" s="257">
        <v>8.0349000000000004E-2</v>
      </c>
      <c r="AV34" s="257">
        <v>8.0349000000000004E-2</v>
      </c>
    </row>
    <row r="36" spans="2:48">
      <c r="B36" s="533" t="s">
        <v>117</v>
      </c>
      <c r="C36" s="129" t="s">
        <v>9</v>
      </c>
      <c r="D36" s="129" t="s">
        <v>10</v>
      </c>
      <c r="E36" s="129" t="s">
        <v>11</v>
      </c>
      <c r="F36" s="129" t="s">
        <v>12</v>
      </c>
      <c r="G36" s="129" t="s">
        <v>13</v>
      </c>
      <c r="H36" s="129" t="s">
        <v>14</v>
      </c>
      <c r="I36" s="129" t="s">
        <v>15</v>
      </c>
      <c r="J36" s="129" t="s">
        <v>16</v>
      </c>
      <c r="K36" s="129" t="s">
        <v>17</v>
      </c>
      <c r="L36" s="129" t="s">
        <v>18</v>
      </c>
      <c r="M36" s="129" t="s">
        <v>19</v>
      </c>
      <c r="N36" s="129" t="s">
        <v>20</v>
      </c>
      <c r="O36" s="129" t="s">
        <v>21</v>
      </c>
      <c r="P36" s="129" t="s">
        <v>22</v>
      </c>
      <c r="Q36" s="129" t="s">
        <v>23</v>
      </c>
      <c r="R36" s="129" t="s">
        <v>24</v>
      </c>
      <c r="S36" s="129" t="s">
        <v>25</v>
      </c>
      <c r="T36" s="129" t="s">
        <v>26</v>
      </c>
      <c r="U36" s="129" t="s">
        <v>27</v>
      </c>
      <c r="V36" s="129" t="s">
        <v>28</v>
      </c>
      <c r="W36" s="129" t="s">
        <v>29</v>
      </c>
      <c r="X36" s="129" t="s">
        <v>30</v>
      </c>
      <c r="Y36" s="129" t="s">
        <v>31</v>
      </c>
      <c r="Z36" s="129" t="s">
        <v>32</v>
      </c>
      <c r="AA36" s="129" t="str">
        <f t="shared" ref="AA36:AO36" si="12">AA30</f>
        <v>1T19</v>
      </c>
      <c r="AB36" s="129" t="str">
        <f t="shared" si="12"/>
        <v>2T19</v>
      </c>
      <c r="AC36" s="129" t="str">
        <f t="shared" si="12"/>
        <v>3T19</v>
      </c>
      <c r="AD36" s="129" t="str">
        <f t="shared" si="12"/>
        <v>4T19</v>
      </c>
      <c r="AE36" s="129" t="str">
        <f t="shared" si="12"/>
        <v>1T20</v>
      </c>
      <c r="AF36" s="129" t="str">
        <f t="shared" si="12"/>
        <v>2T20</v>
      </c>
      <c r="AG36" s="129" t="str">
        <f t="shared" si="12"/>
        <v>3T20</v>
      </c>
      <c r="AH36" s="129" t="str">
        <f t="shared" si="12"/>
        <v>4T20</v>
      </c>
      <c r="AI36" s="129" t="str">
        <f t="shared" si="12"/>
        <v>1T21</v>
      </c>
      <c r="AJ36" s="129" t="str">
        <f t="shared" si="12"/>
        <v>2T21</v>
      </c>
      <c r="AK36" s="129" t="str">
        <f t="shared" si="12"/>
        <v>3T21</v>
      </c>
      <c r="AL36" s="129" t="str">
        <f t="shared" si="12"/>
        <v>4T21</v>
      </c>
      <c r="AM36" s="129" t="str">
        <f t="shared" si="12"/>
        <v>1T22</v>
      </c>
      <c r="AN36" s="129" t="str">
        <f t="shared" si="12"/>
        <v>2T22</v>
      </c>
      <c r="AO36" s="129" t="str">
        <f t="shared" si="12"/>
        <v>3T22</v>
      </c>
      <c r="AP36" s="129" t="str">
        <f t="shared" ref="AP36:AU36" si="13">AP30</f>
        <v>4T22</v>
      </c>
      <c r="AQ36" s="129" t="str">
        <f t="shared" si="13"/>
        <v>1T23</v>
      </c>
      <c r="AR36" s="129" t="str">
        <f t="shared" si="13"/>
        <v>2T23</v>
      </c>
      <c r="AS36" s="129" t="str">
        <f t="shared" si="13"/>
        <v>3T23</v>
      </c>
      <c r="AT36" s="129" t="str">
        <f t="shared" si="13"/>
        <v>4T23</v>
      </c>
      <c r="AU36" s="129" t="str">
        <f t="shared" si="13"/>
        <v>1T24</v>
      </c>
      <c r="AV36" s="129" t="str">
        <f t="shared" ref="AV36" si="14">AV30</f>
        <v>2T24</v>
      </c>
    </row>
    <row r="37" spans="2:48">
      <c r="B37" s="37" t="s">
        <v>109</v>
      </c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8"/>
      <c r="AG37" s="258"/>
      <c r="AH37" s="258">
        <v>0.49450187917494492</v>
      </c>
      <c r="AI37" s="258">
        <v>0.49001205323559038</v>
      </c>
      <c r="AJ37" s="258">
        <v>0.48229849092505594</v>
      </c>
      <c r="AK37" s="258">
        <v>0.46088898692222047</v>
      </c>
      <c r="AL37" s="258">
        <v>0.45654664179538618</v>
      </c>
      <c r="AM37" s="258">
        <v>0.47288049190873949</v>
      </c>
      <c r="AN37" s="258">
        <v>0.47995637337634089</v>
      </c>
      <c r="AO37" s="258">
        <v>0.48393058509914788</v>
      </c>
      <c r="AP37" s="258">
        <v>0.4595884718171066</v>
      </c>
      <c r="AQ37" s="258">
        <v>0.44539090507764145</v>
      </c>
      <c r="AR37" s="258">
        <v>0.43680151404665313</v>
      </c>
      <c r="AS37" s="258">
        <v>0.41514734338737702</v>
      </c>
      <c r="AT37" s="258">
        <v>0.41396726459893762</v>
      </c>
      <c r="AU37" s="258">
        <v>0.39246112988090331</v>
      </c>
      <c r="AV37" s="258">
        <v>0.37273749529006328</v>
      </c>
    </row>
    <row r="38" spans="2:48">
      <c r="B38" s="37" t="s">
        <v>110</v>
      </c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  <c r="AC38" s="257"/>
      <c r="AD38" s="257"/>
      <c r="AE38" s="257"/>
      <c r="AF38" s="257"/>
      <c r="AG38" s="257"/>
      <c r="AH38" s="259">
        <v>0.35097088949945721</v>
      </c>
      <c r="AI38" s="257">
        <v>0.35097088949945721</v>
      </c>
      <c r="AJ38" s="257">
        <v>0.35097088949945721</v>
      </c>
      <c r="AK38" s="257">
        <v>0.35097088949945721</v>
      </c>
      <c r="AL38" s="257">
        <v>0.35097088949945721</v>
      </c>
      <c r="AM38" s="257">
        <v>0.35097088949945721</v>
      </c>
      <c r="AN38" s="257">
        <v>0.35097088949945721</v>
      </c>
      <c r="AO38" s="257">
        <v>0.35097088949945721</v>
      </c>
      <c r="AP38" s="257">
        <v>0.33452154881707558</v>
      </c>
      <c r="AQ38" s="257">
        <v>0.33452154881707558</v>
      </c>
      <c r="AR38" s="257">
        <v>0.33452154881707558</v>
      </c>
      <c r="AS38" s="257">
        <v>0.33452154881707558</v>
      </c>
      <c r="AT38" s="257">
        <v>0.33452154881707558</v>
      </c>
      <c r="AU38" s="257">
        <v>0.3357488414219354</v>
      </c>
      <c r="AV38" s="257">
        <v>0.3357488414219354</v>
      </c>
    </row>
    <row r="39" spans="2:48">
      <c r="B39" s="37" t="s">
        <v>111</v>
      </c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8"/>
      <c r="AG39" s="258"/>
      <c r="AH39" s="258">
        <v>1.0351711360561044</v>
      </c>
      <c r="AI39" s="258">
        <v>1.0057518255399225</v>
      </c>
      <c r="AJ39" s="258">
        <v>0.97197302498629612</v>
      </c>
      <c r="AK39" s="258">
        <v>0.87265336340473676</v>
      </c>
      <c r="AL39" s="258">
        <v>0.85510012954222903</v>
      </c>
      <c r="AM39" s="258">
        <v>0.93362408603990921</v>
      </c>
      <c r="AN39" s="258">
        <v>0.9889887803028341</v>
      </c>
      <c r="AO39" s="258">
        <v>1.0089699169933939</v>
      </c>
      <c r="AP39" s="258">
        <v>0.88480953086955394</v>
      </c>
      <c r="AQ39" s="258">
        <v>0.81368528864360323</v>
      </c>
      <c r="AR39" s="258">
        <v>0.75942887884842858</v>
      </c>
      <c r="AS39" s="258">
        <v>0.66946303350478598</v>
      </c>
      <c r="AT39" s="258">
        <v>0.65726762743028022</v>
      </c>
      <c r="AU39" s="258">
        <v>0.58120268158251642</v>
      </c>
      <c r="AV39" s="258">
        <v>0.52177593686833945</v>
      </c>
    </row>
    <row r="40" spans="2:48">
      <c r="B40" s="37" t="s">
        <v>112</v>
      </c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9">
        <v>0.49490000000000001</v>
      </c>
      <c r="AI40" s="257">
        <v>0.49490000000000001</v>
      </c>
      <c r="AJ40" s="257">
        <v>0.49490000000000001</v>
      </c>
      <c r="AK40" s="257">
        <v>0.49490000000000001</v>
      </c>
      <c r="AL40" s="257">
        <v>0.49490000000000001</v>
      </c>
      <c r="AM40" s="257">
        <v>0.49490000000000001</v>
      </c>
      <c r="AN40" s="257">
        <v>0.49490000000000001</v>
      </c>
      <c r="AO40" s="257">
        <v>0.49490000000000001</v>
      </c>
      <c r="AP40" s="257">
        <v>0.46389999999999998</v>
      </c>
      <c r="AQ40" s="257">
        <v>0.46389999999999998</v>
      </c>
      <c r="AR40" s="257">
        <v>0.46389999999999998</v>
      </c>
      <c r="AS40" s="257">
        <v>0.46389999999999998</v>
      </c>
      <c r="AT40" s="257">
        <v>0.46389999999999998</v>
      </c>
      <c r="AU40" s="257">
        <v>0.43290000000000001</v>
      </c>
      <c r="AV40" s="257">
        <v>0.43290000000000001</v>
      </c>
    </row>
    <row r="41" spans="2:48">
      <c r="AH41" s="260"/>
      <c r="AI41" s="260"/>
      <c r="AJ41" s="260"/>
      <c r="AK41" s="260"/>
      <c r="AL41" s="260"/>
    </row>
    <row r="42" spans="2:48">
      <c r="B42" s="533" t="s">
        <v>118</v>
      </c>
      <c r="C42" s="129" t="s">
        <v>9</v>
      </c>
      <c r="D42" s="129" t="s">
        <v>10</v>
      </c>
      <c r="E42" s="129" t="s">
        <v>11</v>
      </c>
      <c r="F42" s="129" t="s">
        <v>12</v>
      </c>
      <c r="G42" s="129" t="s">
        <v>13</v>
      </c>
      <c r="H42" s="129" t="s">
        <v>14</v>
      </c>
      <c r="I42" s="129" t="s">
        <v>15</v>
      </c>
      <c r="J42" s="129" t="s">
        <v>16</v>
      </c>
      <c r="K42" s="129" t="s">
        <v>17</v>
      </c>
      <c r="L42" s="129" t="s">
        <v>18</v>
      </c>
      <c r="M42" s="129" t="s">
        <v>19</v>
      </c>
      <c r="N42" s="129" t="s">
        <v>20</v>
      </c>
      <c r="O42" s="129" t="s">
        <v>21</v>
      </c>
      <c r="P42" s="129" t="s">
        <v>22</v>
      </c>
      <c r="Q42" s="129" t="s">
        <v>23</v>
      </c>
      <c r="R42" s="129" t="s">
        <v>24</v>
      </c>
      <c r="S42" s="129" t="s">
        <v>25</v>
      </c>
      <c r="T42" s="129" t="s">
        <v>26</v>
      </c>
      <c r="U42" s="129" t="s">
        <v>27</v>
      </c>
      <c r="V42" s="129" t="s">
        <v>28</v>
      </c>
      <c r="W42" s="129" t="s">
        <v>29</v>
      </c>
      <c r="X42" s="129" t="s">
        <v>30</v>
      </c>
      <c r="Y42" s="129" t="s">
        <v>31</v>
      </c>
      <c r="Z42" s="129" t="s">
        <v>32</v>
      </c>
      <c r="AA42" s="129" t="str">
        <f t="shared" ref="AA42:AO42" si="15">AA36</f>
        <v>1T19</v>
      </c>
      <c r="AB42" s="129" t="str">
        <f t="shared" si="15"/>
        <v>2T19</v>
      </c>
      <c r="AC42" s="129" t="str">
        <f t="shared" si="15"/>
        <v>3T19</v>
      </c>
      <c r="AD42" s="129" t="str">
        <f t="shared" si="15"/>
        <v>4T19</v>
      </c>
      <c r="AE42" s="129" t="str">
        <f t="shared" si="15"/>
        <v>1T20</v>
      </c>
      <c r="AF42" s="129" t="str">
        <f t="shared" si="15"/>
        <v>2T20</v>
      </c>
      <c r="AG42" s="129" t="str">
        <f t="shared" si="15"/>
        <v>3T20</v>
      </c>
      <c r="AH42" s="129" t="str">
        <f t="shared" si="15"/>
        <v>4T20</v>
      </c>
      <c r="AI42" s="129" t="str">
        <f t="shared" si="15"/>
        <v>1T21</v>
      </c>
      <c r="AJ42" s="129" t="str">
        <f t="shared" si="15"/>
        <v>2T21</v>
      </c>
      <c r="AK42" s="129" t="str">
        <f t="shared" si="15"/>
        <v>3T21</v>
      </c>
      <c r="AL42" s="129" t="str">
        <f t="shared" si="15"/>
        <v>4T21</v>
      </c>
      <c r="AM42" s="129" t="str">
        <f t="shared" si="15"/>
        <v>1T22</v>
      </c>
      <c r="AN42" s="129" t="str">
        <f t="shared" si="15"/>
        <v>2T22</v>
      </c>
      <c r="AO42" s="129" t="str">
        <f t="shared" si="15"/>
        <v>3T22</v>
      </c>
      <c r="AP42" s="129" t="str">
        <f t="shared" ref="AP42:AU42" si="16">AP36</f>
        <v>4T22</v>
      </c>
      <c r="AQ42" s="129" t="str">
        <f t="shared" si="16"/>
        <v>1T23</v>
      </c>
      <c r="AR42" s="129" t="str">
        <f t="shared" si="16"/>
        <v>2T23</v>
      </c>
      <c r="AS42" s="129" t="str">
        <f t="shared" si="16"/>
        <v>3T23</v>
      </c>
      <c r="AT42" s="129" t="str">
        <f t="shared" si="16"/>
        <v>4T23</v>
      </c>
      <c r="AU42" s="129" t="str">
        <f t="shared" si="16"/>
        <v>1T24</v>
      </c>
      <c r="AV42" s="129" t="str">
        <f t="shared" ref="AV42" si="17">AV36</f>
        <v>2T24</v>
      </c>
    </row>
    <row r="43" spans="2:48">
      <c r="B43" s="37" t="s">
        <v>109</v>
      </c>
      <c r="AL43" s="261">
        <v>0.14151525685897259</v>
      </c>
      <c r="AM43" s="261">
        <v>0.12201453490503344</v>
      </c>
      <c r="AN43" s="261">
        <v>0.12292060419354101</v>
      </c>
      <c r="AO43" s="261">
        <v>0.11843975997717215</v>
      </c>
      <c r="AP43" s="258">
        <v>0.12105387637693921</v>
      </c>
      <c r="AQ43" s="258">
        <v>0.12205155776253696</v>
      </c>
      <c r="AR43" s="258">
        <v>0.1184810663439293</v>
      </c>
      <c r="AS43" s="258">
        <v>0.12299172749924281</v>
      </c>
      <c r="AT43" s="258">
        <v>0.12366334566929738</v>
      </c>
      <c r="AU43" s="258">
        <v>0.11672573747430959</v>
      </c>
      <c r="AV43" s="258">
        <v>0.11547615037973868</v>
      </c>
    </row>
    <row r="44" spans="2:48">
      <c r="B44" s="37" t="s">
        <v>110</v>
      </c>
      <c r="AH44" s="260"/>
      <c r="AI44" s="260"/>
      <c r="AJ44" s="260"/>
      <c r="AK44" s="260"/>
      <c r="AL44" s="260"/>
      <c r="AP44" s="257">
        <v>0.11741409801256514</v>
      </c>
      <c r="AQ44" s="257">
        <v>0.11741409801256514</v>
      </c>
      <c r="AR44" s="257">
        <v>0.11741409801256514</v>
      </c>
      <c r="AS44" s="257">
        <v>0.11741409801256514</v>
      </c>
      <c r="AT44" s="257">
        <v>0.12292107944922606</v>
      </c>
      <c r="AU44" s="257">
        <v>0.12292107944922606</v>
      </c>
      <c r="AV44" s="257">
        <v>0.12292107944922606</v>
      </c>
    </row>
    <row r="45" spans="2:48">
      <c r="B45" s="37" t="s">
        <v>111</v>
      </c>
      <c r="AH45" s="260"/>
      <c r="AI45" s="260"/>
      <c r="AJ45" s="260"/>
      <c r="AK45" s="260"/>
      <c r="AL45" s="261">
        <v>9.2766263968743115E-2</v>
      </c>
      <c r="AM45" s="261">
        <v>5.2889208037597196E-2</v>
      </c>
      <c r="AN45" s="261">
        <v>5.4921029700901042E-2</v>
      </c>
      <c r="AO45" s="261">
        <v>4.5981692656401452E-2</v>
      </c>
      <c r="AP45" s="258">
        <v>5.1209099839584431E-2</v>
      </c>
      <c r="AQ45" s="258">
        <v>5.3173009449074722E-2</v>
      </c>
      <c r="AR45" s="258">
        <v>4.5808913495679449E-2</v>
      </c>
      <c r="AS45" s="258">
        <v>5.4559748177171657E-2</v>
      </c>
      <c r="AT45" s="258">
        <v>5.5189495751780948E-2</v>
      </c>
      <c r="AU45" s="258">
        <v>4.1518233920027167E-2</v>
      </c>
      <c r="AV45" s="258">
        <v>3.9016712634058454E-2</v>
      </c>
    </row>
    <row r="46" spans="2:48">
      <c r="B46" s="37" t="s">
        <v>112</v>
      </c>
      <c r="AH46" s="260"/>
      <c r="AI46" s="260"/>
      <c r="AJ46" s="260"/>
      <c r="AK46" s="260"/>
      <c r="AL46" s="260"/>
      <c r="AP46" s="257">
        <v>4.3999999999999997E-2</v>
      </c>
      <c r="AQ46" s="257">
        <v>4.3999999999999997E-2</v>
      </c>
      <c r="AR46" s="257">
        <v>4.3999999999999997E-2</v>
      </c>
      <c r="AS46" s="257">
        <v>4.3999999999999997E-2</v>
      </c>
      <c r="AT46" s="257">
        <v>4.4594080221691083E-2</v>
      </c>
      <c r="AU46" s="257">
        <v>4.4594080221691083E-2</v>
      </c>
      <c r="AV46" s="257">
        <v>4.4594080221691083E-2</v>
      </c>
    </row>
    <row r="48" spans="2:48">
      <c r="B48" s="760" t="s">
        <v>119</v>
      </c>
      <c r="C48" s="760"/>
      <c r="D48" s="760"/>
      <c r="E48" s="760"/>
      <c r="F48" s="760"/>
      <c r="G48" s="760"/>
      <c r="H48" s="760"/>
      <c r="I48" s="760"/>
      <c r="J48" s="760"/>
      <c r="K48" s="760"/>
      <c r="L48" s="760"/>
      <c r="M48" s="760"/>
      <c r="N48" s="760"/>
      <c r="O48" s="760"/>
      <c r="P48" s="760"/>
      <c r="Q48" s="760"/>
      <c r="R48" s="760"/>
      <c r="S48" s="760"/>
      <c r="T48" s="760"/>
      <c r="U48" s="760"/>
      <c r="V48" s="760"/>
      <c r="W48" s="760"/>
      <c r="X48" s="760"/>
      <c r="Y48" s="760"/>
      <c r="Z48" s="760"/>
      <c r="AA48" s="760"/>
      <c r="AB48" s="760"/>
      <c r="AC48" s="760"/>
      <c r="AD48" s="760"/>
      <c r="AE48" s="760"/>
      <c r="AF48" s="760"/>
      <c r="AG48" s="760"/>
      <c r="AH48" s="760"/>
      <c r="AI48" s="760"/>
      <c r="AJ48" s="760"/>
      <c r="AK48" s="760"/>
      <c r="AL48" s="760"/>
      <c r="AM48" s="760"/>
      <c r="AN48" s="760"/>
      <c r="AO48" s="760"/>
      <c r="AP48" s="760"/>
    </row>
    <row r="49" spans="2:42">
      <c r="B49" s="760"/>
      <c r="C49" s="760"/>
      <c r="D49" s="760"/>
      <c r="E49" s="760"/>
      <c r="F49" s="760"/>
      <c r="G49" s="760"/>
      <c r="H49" s="760"/>
      <c r="I49" s="760"/>
      <c r="J49" s="760"/>
      <c r="K49" s="760"/>
      <c r="L49" s="760"/>
      <c r="M49" s="760"/>
      <c r="N49" s="760"/>
      <c r="O49" s="760"/>
      <c r="P49" s="760"/>
      <c r="Q49" s="760"/>
      <c r="R49" s="760"/>
      <c r="S49" s="760"/>
      <c r="T49" s="760"/>
      <c r="U49" s="760"/>
      <c r="V49" s="760"/>
      <c r="W49" s="760"/>
      <c r="X49" s="760"/>
      <c r="Y49" s="760"/>
      <c r="Z49" s="760"/>
      <c r="AA49" s="760"/>
      <c r="AB49" s="760"/>
      <c r="AC49" s="760"/>
      <c r="AD49" s="760"/>
      <c r="AE49" s="760"/>
      <c r="AF49" s="760"/>
      <c r="AG49" s="760"/>
      <c r="AH49" s="760"/>
      <c r="AI49" s="760"/>
      <c r="AJ49" s="760"/>
      <c r="AK49" s="760"/>
      <c r="AL49" s="760"/>
      <c r="AM49" s="760"/>
      <c r="AN49" s="760"/>
      <c r="AO49" s="760"/>
      <c r="AP49" s="760"/>
    </row>
    <row r="50" spans="2:42">
      <c r="B50" s="760"/>
      <c r="C50" s="760"/>
      <c r="D50" s="760"/>
      <c r="E50" s="760"/>
      <c r="F50" s="760"/>
      <c r="G50" s="760"/>
      <c r="H50" s="760"/>
      <c r="I50" s="760"/>
      <c r="J50" s="760"/>
      <c r="K50" s="760"/>
      <c r="L50" s="760"/>
      <c r="M50" s="760"/>
      <c r="N50" s="760"/>
      <c r="O50" s="760"/>
      <c r="P50" s="760"/>
      <c r="Q50" s="760"/>
      <c r="R50" s="760"/>
      <c r="S50" s="760"/>
      <c r="T50" s="760"/>
      <c r="U50" s="760"/>
      <c r="V50" s="760"/>
      <c r="W50" s="760"/>
      <c r="X50" s="760"/>
      <c r="Y50" s="760"/>
      <c r="Z50" s="760"/>
      <c r="AA50" s="760"/>
      <c r="AB50" s="760"/>
      <c r="AC50" s="760"/>
      <c r="AD50" s="760"/>
      <c r="AE50" s="760"/>
      <c r="AF50" s="760"/>
      <c r="AG50" s="760"/>
      <c r="AH50" s="760"/>
      <c r="AI50" s="760"/>
      <c r="AJ50" s="760"/>
      <c r="AK50" s="760"/>
      <c r="AL50" s="760"/>
      <c r="AM50" s="760"/>
      <c r="AN50" s="760"/>
      <c r="AO50" s="760"/>
      <c r="AP50" s="760"/>
    </row>
  </sheetData>
  <mergeCells count="1">
    <mergeCell ref="B48:AP5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9" tint="0.79998168889431442"/>
  </sheetPr>
  <dimension ref="A6:AC91"/>
  <sheetViews>
    <sheetView showGridLines="0" zoomScale="80" zoomScaleNormal="80" workbookViewId="0">
      <pane xSplit="1" ySplit="7" topLeftCell="B8" activePane="bottomRight" state="frozen"/>
      <selection pane="topRight" activeCell="S9" sqref="S9"/>
      <selection pane="bottomLeft" activeCell="S9" sqref="S9"/>
      <selection pane="bottomRight" activeCell="AB7" sqref="AB7"/>
    </sheetView>
  </sheetViews>
  <sheetFormatPr defaultColWidth="9.1796875" defaultRowHeight="14.5"/>
  <cols>
    <col min="1" max="1" width="47.54296875" style="37" bestFit="1" customWidth="1"/>
    <col min="2" max="2" width="0.54296875" customWidth="1"/>
    <col min="3" max="18" width="9.54296875" style="37" hidden="1" customWidth="1"/>
    <col min="19" max="28" width="9.54296875" style="37" bestFit="1" customWidth="1"/>
    <col min="29" max="16384" width="9.1796875" style="37"/>
  </cols>
  <sheetData>
    <row r="6" spans="1:29">
      <c r="A6" s="41" t="s">
        <v>71</v>
      </c>
      <c r="B6" s="133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</row>
    <row r="7" spans="1:29" ht="15" thickBot="1">
      <c r="A7" s="5" t="s">
        <v>689</v>
      </c>
      <c r="B7" s="168"/>
      <c r="C7" s="528" t="s">
        <v>29</v>
      </c>
      <c r="D7" s="528" t="s">
        <v>30</v>
      </c>
      <c r="E7" s="528" t="s">
        <v>31</v>
      </c>
      <c r="F7" s="528" t="s">
        <v>32</v>
      </c>
      <c r="G7" s="528" t="s">
        <v>33</v>
      </c>
      <c r="H7" s="528" t="s">
        <v>34</v>
      </c>
      <c r="I7" s="528" t="s">
        <v>35</v>
      </c>
      <c r="J7" s="528" t="s">
        <v>36</v>
      </c>
      <c r="K7" s="528" t="s">
        <v>37</v>
      </c>
      <c r="L7" s="528" t="s">
        <v>38</v>
      </c>
      <c r="M7" s="528" t="s">
        <v>39</v>
      </c>
      <c r="N7" s="528" t="s">
        <v>40</v>
      </c>
      <c r="O7" s="528" t="s">
        <v>41</v>
      </c>
      <c r="P7" s="528" t="s">
        <v>42</v>
      </c>
      <c r="Q7" s="528" t="s">
        <v>43</v>
      </c>
      <c r="R7" s="528" t="s">
        <v>44</v>
      </c>
      <c r="S7" s="528" t="s">
        <v>45</v>
      </c>
      <c r="T7" s="528" t="s">
        <v>46</v>
      </c>
      <c r="U7" s="528" t="s">
        <v>47</v>
      </c>
      <c r="V7" s="528" t="s">
        <v>48</v>
      </c>
      <c r="W7" s="528" t="s">
        <v>49</v>
      </c>
      <c r="X7" s="528" t="s">
        <v>50</v>
      </c>
      <c r="Y7" s="528" t="s">
        <v>51</v>
      </c>
      <c r="Z7" s="528" t="s">
        <v>52</v>
      </c>
      <c r="AA7" s="528" t="s">
        <v>53</v>
      </c>
      <c r="AB7" s="528" t="s">
        <v>54</v>
      </c>
    </row>
    <row r="8" spans="1:29" ht="15" thickBot="1">
      <c r="A8" s="169" t="s">
        <v>690</v>
      </c>
      <c r="B8" s="170"/>
      <c r="C8" s="171">
        <f t="shared" ref="C8:U8" si="0">SUM(C9:C22)</f>
        <v>994890</v>
      </c>
      <c r="D8" s="171">
        <f t="shared" si="0"/>
        <v>935236</v>
      </c>
      <c r="E8" s="171">
        <f t="shared" si="0"/>
        <v>956724</v>
      </c>
      <c r="F8" s="171">
        <f t="shared" si="0"/>
        <v>868543.51057999989</v>
      </c>
      <c r="G8" s="171">
        <f t="shared" si="0"/>
        <v>1333660.0024600001</v>
      </c>
      <c r="H8" s="171">
        <f t="shared" si="0"/>
        <v>950116.63011000014</v>
      </c>
      <c r="I8" s="171">
        <f t="shared" si="0"/>
        <v>814328</v>
      </c>
      <c r="J8" s="171">
        <f t="shared" si="0"/>
        <v>988625</v>
      </c>
      <c r="K8" s="171">
        <f t="shared" si="0"/>
        <v>1228325</v>
      </c>
      <c r="L8" s="171">
        <f t="shared" si="0"/>
        <v>1377776</v>
      </c>
      <c r="M8" s="171">
        <f t="shared" si="0"/>
        <v>1592233</v>
      </c>
      <c r="N8" s="171">
        <f t="shared" si="0"/>
        <v>1837604</v>
      </c>
      <c r="O8" s="171">
        <f t="shared" si="0"/>
        <v>1804586</v>
      </c>
      <c r="P8" s="171">
        <f t="shared" si="0"/>
        <v>1616970</v>
      </c>
      <c r="Q8" s="171">
        <f t="shared" si="0"/>
        <v>1720637</v>
      </c>
      <c r="R8" s="171">
        <f t="shared" si="0"/>
        <v>1895532</v>
      </c>
      <c r="S8" s="171">
        <f t="shared" si="0"/>
        <v>1841971</v>
      </c>
      <c r="T8" s="171">
        <f t="shared" si="0"/>
        <v>1776557</v>
      </c>
      <c r="U8" s="171">
        <f t="shared" si="0"/>
        <v>1770976</v>
      </c>
      <c r="V8" s="171">
        <f t="shared" ref="V8:X8" si="1">SUM(V9:V22)</f>
        <v>1494297</v>
      </c>
      <c r="W8" s="171">
        <f t="shared" si="1"/>
        <v>1406471</v>
      </c>
      <c r="X8" s="171">
        <f t="shared" si="1"/>
        <v>1335864</v>
      </c>
      <c r="Y8" s="171">
        <f>SUM(Y9:Y22)</f>
        <v>1278258</v>
      </c>
      <c r="Z8" s="171">
        <f>SUM(Z9:Z22)</f>
        <v>1345207</v>
      </c>
      <c r="AA8" s="171">
        <f>SUM(AA9:AA22)</f>
        <v>1388597</v>
      </c>
      <c r="AB8" s="171">
        <f>SUM(AB9:AB22)</f>
        <v>1511811</v>
      </c>
      <c r="AC8" s="111"/>
    </row>
    <row r="9" spans="1:29">
      <c r="A9" s="173" t="s">
        <v>691</v>
      </c>
      <c r="B9" s="174"/>
      <c r="C9" s="189">
        <v>31247</v>
      </c>
      <c r="D9" s="189">
        <v>43665</v>
      </c>
      <c r="E9" s="189">
        <v>51158</v>
      </c>
      <c r="F9" s="189">
        <v>44998.798120000007</v>
      </c>
      <c r="G9" s="189">
        <v>617944.4855200001</v>
      </c>
      <c r="H9" s="189">
        <v>389050.28346000001</v>
      </c>
      <c r="I9" s="189">
        <v>307960</v>
      </c>
      <c r="J9" s="189">
        <v>173571</v>
      </c>
      <c r="K9" s="189">
        <v>366757</v>
      </c>
      <c r="L9" s="189">
        <v>30344</v>
      </c>
      <c r="M9" s="189">
        <v>724380</v>
      </c>
      <c r="N9" s="189">
        <v>370430</v>
      </c>
      <c r="O9" s="189">
        <v>384529</v>
      </c>
      <c r="P9" s="189">
        <v>448602</v>
      </c>
      <c r="Q9" s="189">
        <v>378027</v>
      </c>
      <c r="R9" s="189">
        <v>412499</v>
      </c>
      <c r="S9" s="189">
        <v>349409</v>
      </c>
      <c r="T9" s="189">
        <v>481703</v>
      </c>
      <c r="U9" s="189">
        <v>380462</v>
      </c>
      <c r="V9" s="189">
        <v>142363</v>
      </c>
      <c r="W9" s="189">
        <v>142814</v>
      </c>
      <c r="X9" s="189">
        <v>37089</v>
      </c>
      <c r="Y9" s="189">
        <v>46623</v>
      </c>
      <c r="Z9" s="189">
        <v>29019</v>
      </c>
      <c r="AA9" s="189">
        <v>22407</v>
      </c>
      <c r="AB9" s="189">
        <v>33325</v>
      </c>
    </row>
    <row r="10" spans="1:29">
      <c r="A10" s="173" t="s">
        <v>767</v>
      </c>
      <c r="B10" s="174"/>
      <c r="C10" s="189">
        <v>68220</v>
      </c>
      <c r="D10" s="189">
        <v>10923</v>
      </c>
      <c r="E10" s="189">
        <v>5889</v>
      </c>
      <c r="F10" s="189">
        <v>994.94240000000002</v>
      </c>
      <c r="G10" s="189">
        <v>1373.9643100000001</v>
      </c>
      <c r="H10" s="189">
        <v>0</v>
      </c>
      <c r="I10" s="189">
        <v>0</v>
      </c>
      <c r="J10" s="189">
        <v>179380</v>
      </c>
      <c r="K10" s="189">
        <v>190982</v>
      </c>
      <c r="L10" s="189">
        <v>539028</v>
      </c>
      <c r="M10" s="189">
        <v>260586</v>
      </c>
      <c r="N10" s="189">
        <v>678982</v>
      </c>
      <c r="O10" s="189">
        <v>599926</v>
      </c>
      <c r="P10" s="189">
        <v>463970</v>
      </c>
      <c r="Q10" s="189">
        <v>447104</v>
      </c>
      <c r="R10" s="189">
        <v>332892</v>
      </c>
      <c r="S10" s="189">
        <v>405439</v>
      </c>
      <c r="T10" s="189">
        <v>415133</v>
      </c>
      <c r="U10" s="189">
        <v>414448</v>
      </c>
      <c r="V10" s="189">
        <v>296278</v>
      </c>
      <c r="W10" s="189">
        <v>220445</v>
      </c>
      <c r="X10" s="189">
        <v>230914</v>
      </c>
      <c r="Y10" s="189">
        <v>143247</v>
      </c>
      <c r="Z10" s="189">
        <v>212463</v>
      </c>
      <c r="AA10" s="189">
        <v>291271</v>
      </c>
      <c r="AB10" s="189">
        <v>369788</v>
      </c>
    </row>
    <row r="11" spans="1:29">
      <c r="A11" s="173" t="s">
        <v>693</v>
      </c>
      <c r="B11" s="174"/>
      <c r="C11" s="189">
        <v>593468</v>
      </c>
      <c r="D11" s="189">
        <v>582526</v>
      </c>
      <c r="E11" s="189">
        <v>603879</v>
      </c>
      <c r="F11" s="189">
        <v>645019</v>
      </c>
      <c r="G11" s="189">
        <v>648730</v>
      </c>
      <c r="H11" s="189">
        <v>586527.86357000005</v>
      </c>
      <c r="I11" s="189">
        <v>525951</v>
      </c>
      <c r="J11" s="189">
        <v>545175</v>
      </c>
      <c r="K11" s="189">
        <v>521578</v>
      </c>
      <c r="L11" s="189">
        <v>481688</v>
      </c>
      <c r="M11" s="189">
        <v>469740</v>
      </c>
      <c r="N11" s="189">
        <v>550383</v>
      </c>
      <c r="O11" s="189">
        <v>558622</v>
      </c>
      <c r="P11" s="189">
        <v>570498</v>
      </c>
      <c r="Q11" s="189">
        <v>656679</v>
      </c>
      <c r="R11" s="189">
        <v>1260010</v>
      </c>
      <c r="S11" s="189">
        <v>1272511</v>
      </c>
      <c r="T11" s="189">
        <v>1240903</v>
      </c>
      <c r="U11" s="189">
        <v>672696</v>
      </c>
      <c r="V11" s="189">
        <v>709106</v>
      </c>
      <c r="W11" s="189">
        <v>731303</v>
      </c>
      <c r="X11" s="189">
        <v>753646</v>
      </c>
      <c r="Y11" s="189">
        <v>782508</v>
      </c>
      <c r="Z11" s="189">
        <v>791488</v>
      </c>
      <c r="AA11" s="189">
        <v>824804</v>
      </c>
      <c r="AB11" s="189">
        <v>762568</v>
      </c>
    </row>
    <row r="12" spans="1:29">
      <c r="A12" s="173" t="s">
        <v>780</v>
      </c>
      <c r="B12" s="174"/>
      <c r="C12" s="189">
        <v>12464</v>
      </c>
      <c r="D12" s="189">
        <v>14154</v>
      </c>
      <c r="E12" s="189">
        <v>17117</v>
      </c>
      <c r="F12" s="189">
        <v>10479</v>
      </c>
      <c r="G12" s="189">
        <v>10862</v>
      </c>
      <c r="H12" s="189">
        <v>0</v>
      </c>
      <c r="I12" s="189">
        <v>15734</v>
      </c>
      <c r="J12" s="189">
        <v>9706</v>
      </c>
      <c r="K12" s="189">
        <v>10162</v>
      </c>
      <c r="L12" s="189">
        <v>15009</v>
      </c>
      <c r="M12" s="189">
        <v>13015</v>
      </c>
      <c r="N12" s="189">
        <v>6031</v>
      </c>
      <c r="O12" s="189">
        <v>6607</v>
      </c>
      <c r="P12" s="189">
        <v>5906</v>
      </c>
      <c r="Q12" s="189">
        <v>5553</v>
      </c>
      <c r="R12" s="189">
        <v>7092</v>
      </c>
      <c r="S12" s="189">
        <v>9164</v>
      </c>
      <c r="T12" s="189">
        <v>9075</v>
      </c>
      <c r="U12" s="189"/>
      <c r="V12" s="189"/>
      <c r="W12" s="189"/>
      <c r="X12" s="189"/>
      <c r="Y12" s="189"/>
      <c r="Z12" s="189"/>
      <c r="AA12" s="189"/>
      <c r="AB12" s="189"/>
    </row>
    <row r="13" spans="1:29">
      <c r="A13" s="173" t="s">
        <v>742</v>
      </c>
      <c r="B13" s="174"/>
      <c r="C13" s="189">
        <v>-154227</v>
      </c>
      <c r="D13" s="189">
        <v>-170533</v>
      </c>
      <c r="E13" s="189">
        <v>-179133</v>
      </c>
      <c r="F13" s="189">
        <v>-201076</v>
      </c>
      <c r="G13" s="189">
        <v>-244768</v>
      </c>
      <c r="H13" s="189">
        <v>-217542.64851</v>
      </c>
      <c r="I13" s="189">
        <v>-207037</v>
      </c>
      <c r="J13" s="189">
        <v>-129680</v>
      </c>
      <c r="K13" s="189">
        <v>-196530</v>
      </c>
      <c r="L13" s="189">
        <v>-197174</v>
      </c>
      <c r="M13" s="189">
        <v>-192946</v>
      </c>
      <c r="N13" s="189">
        <v>-173013</v>
      </c>
      <c r="O13" s="189">
        <v>-178426</v>
      </c>
      <c r="P13" s="189">
        <v>-182744</v>
      </c>
      <c r="Q13" s="189">
        <v>-205070</v>
      </c>
      <c r="R13" s="189">
        <v>-635912</v>
      </c>
      <c r="S13" s="189">
        <v>-651369</v>
      </c>
      <c r="T13" s="189">
        <v>-654779</v>
      </c>
      <c r="U13" s="189"/>
      <c r="V13" s="189"/>
      <c r="W13" s="189"/>
      <c r="X13" s="189"/>
      <c r="Y13" s="189"/>
      <c r="Z13" s="189"/>
      <c r="AA13" s="189"/>
      <c r="AB13" s="189"/>
    </row>
    <row r="14" spans="1:29">
      <c r="A14" s="173" t="s">
        <v>695</v>
      </c>
      <c r="B14" s="174"/>
      <c r="C14" s="189">
        <v>0</v>
      </c>
      <c r="D14" s="189">
        <v>0</v>
      </c>
      <c r="E14" s="189">
        <v>0</v>
      </c>
      <c r="F14" s="189">
        <v>0</v>
      </c>
      <c r="G14" s="189">
        <v>0</v>
      </c>
      <c r="H14" s="189">
        <v>2926</v>
      </c>
      <c r="I14" s="189">
        <v>11131</v>
      </c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</row>
    <row r="15" spans="1:29">
      <c r="A15" s="173" t="s">
        <v>781</v>
      </c>
      <c r="B15" s="174"/>
      <c r="C15" s="189">
        <v>4968</v>
      </c>
      <c r="D15" s="189">
        <v>5724</v>
      </c>
      <c r="E15" s="189">
        <v>8097</v>
      </c>
      <c r="F15" s="189">
        <v>9653.5540199999996</v>
      </c>
      <c r="G15" s="189">
        <v>6638.0515300000006</v>
      </c>
      <c r="H15" s="189">
        <v>7368.3587200000002</v>
      </c>
      <c r="I15" s="189">
        <v>13206</v>
      </c>
      <c r="J15" s="189">
        <v>41464</v>
      </c>
      <c r="K15" s="189">
        <v>44063</v>
      </c>
      <c r="L15" s="189">
        <v>50290</v>
      </c>
      <c r="M15" s="189">
        <v>54766</v>
      </c>
      <c r="N15" s="189">
        <v>73244</v>
      </c>
      <c r="O15" s="189">
        <v>72951</v>
      </c>
      <c r="P15" s="189">
        <v>76458</v>
      </c>
      <c r="Q15" s="189">
        <v>79670</v>
      </c>
      <c r="R15" s="189">
        <v>75638</v>
      </c>
      <c r="S15" s="189">
        <v>79050</v>
      </c>
      <c r="T15" s="189">
        <v>77483</v>
      </c>
      <c r="U15" s="189">
        <v>79004</v>
      </c>
      <c r="V15" s="189">
        <v>84089</v>
      </c>
      <c r="W15" s="189">
        <v>78916</v>
      </c>
      <c r="X15" s="189">
        <v>80308</v>
      </c>
      <c r="Y15" s="189">
        <v>71334</v>
      </c>
      <c r="Z15" s="189">
        <v>60279</v>
      </c>
      <c r="AA15" s="189">
        <v>63431</v>
      </c>
      <c r="AB15" s="189">
        <v>78409</v>
      </c>
    </row>
    <row r="16" spans="1:29">
      <c r="A16" s="173" t="s">
        <v>699</v>
      </c>
      <c r="B16" s="174"/>
      <c r="C16" s="189">
        <v>0</v>
      </c>
      <c r="D16" s="189">
        <v>0</v>
      </c>
      <c r="E16" s="189">
        <v>0</v>
      </c>
      <c r="F16" s="189">
        <v>0</v>
      </c>
      <c r="G16" s="189">
        <v>0</v>
      </c>
      <c r="H16" s="189">
        <v>0</v>
      </c>
      <c r="I16" s="189"/>
      <c r="J16" s="189"/>
      <c r="K16" s="189"/>
      <c r="L16" s="189"/>
      <c r="M16" s="189">
        <v>92</v>
      </c>
      <c r="N16" s="189"/>
      <c r="O16" s="189">
        <v>170</v>
      </c>
      <c r="P16" s="189">
        <v>427</v>
      </c>
      <c r="Q16" s="189">
        <v>264</v>
      </c>
      <c r="R16" s="189">
        <v>194</v>
      </c>
      <c r="S16" s="189">
        <v>194</v>
      </c>
      <c r="T16" s="189">
        <v>174</v>
      </c>
      <c r="U16" s="189">
        <v>852</v>
      </c>
      <c r="V16" s="189">
        <v>161</v>
      </c>
      <c r="W16" s="189">
        <v>161</v>
      </c>
      <c r="X16" s="189">
        <v>81</v>
      </c>
      <c r="Y16" s="189">
        <v>487</v>
      </c>
      <c r="Z16" s="189">
        <v>494</v>
      </c>
      <c r="AA16" s="189">
        <v>494</v>
      </c>
      <c r="AB16" s="189">
        <v>484</v>
      </c>
    </row>
    <row r="17" spans="1:28">
      <c r="A17" s="173" t="s">
        <v>701</v>
      </c>
      <c r="B17" s="174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>
        <v>32596</v>
      </c>
    </row>
    <row r="18" spans="1:28">
      <c r="A18" s="173" t="s">
        <v>744</v>
      </c>
      <c r="B18" s="174"/>
      <c r="C18" s="189">
        <v>378915</v>
      </c>
      <c r="D18" s="189">
        <v>382787</v>
      </c>
      <c r="E18" s="189">
        <v>378288</v>
      </c>
      <c r="F18" s="189">
        <v>267227.41431999998</v>
      </c>
      <c r="G18" s="189">
        <v>223352.43790000002</v>
      </c>
      <c r="H18" s="189">
        <v>30977.07852999997</v>
      </c>
      <c r="I18" s="189">
        <v>12418</v>
      </c>
      <c r="J18" s="189"/>
      <c r="K18" s="189"/>
      <c r="L18" s="189">
        <v>110973</v>
      </c>
      <c r="M18" s="189"/>
      <c r="N18" s="189"/>
      <c r="O18" s="189">
        <v>159667</v>
      </c>
      <c r="P18" s="189">
        <v>56862</v>
      </c>
      <c r="Q18" s="189">
        <v>220522</v>
      </c>
      <c r="R18" s="189">
        <v>297749</v>
      </c>
      <c r="S18" s="189">
        <v>274194</v>
      </c>
      <c r="T18" s="189">
        <v>75119</v>
      </c>
      <c r="U18" s="189">
        <v>74074</v>
      </c>
      <c r="V18" s="189">
        <v>89608</v>
      </c>
      <c r="W18" s="189">
        <v>93291</v>
      </c>
      <c r="X18" s="189">
        <v>78219</v>
      </c>
      <c r="Y18" s="189">
        <v>83687</v>
      </c>
      <c r="Z18" s="189">
        <v>62204</v>
      </c>
      <c r="AA18" s="189">
        <v>0</v>
      </c>
      <c r="AB18" s="189"/>
    </row>
    <row r="19" spans="1:28">
      <c r="A19" s="173" t="s">
        <v>702</v>
      </c>
      <c r="B19" s="174"/>
      <c r="C19" s="189">
        <v>8995</v>
      </c>
      <c r="D19" s="189">
        <v>8504</v>
      </c>
      <c r="E19" s="189">
        <v>7275</v>
      </c>
      <c r="F19" s="189">
        <v>7642.1324699999996</v>
      </c>
      <c r="G19" s="189">
        <v>8294.0632000000005</v>
      </c>
      <c r="H19" s="189">
        <v>8320.7174400000004</v>
      </c>
      <c r="I19" s="189">
        <v>2916</v>
      </c>
      <c r="J19" s="189">
        <v>5295</v>
      </c>
      <c r="K19" s="189">
        <v>8228</v>
      </c>
      <c r="L19" s="189">
        <v>8203</v>
      </c>
      <c r="M19" s="189">
        <v>8486</v>
      </c>
      <c r="N19" s="189">
        <v>6596</v>
      </c>
      <c r="O19" s="189">
        <v>6632</v>
      </c>
      <c r="P19" s="189">
        <v>6979</v>
      </c>
      <c r="Q19" s="189">
        <v>9774</v>
      </c>
      <c r="R19" s="189">
        <v>11326</v>
      </c>
      <c r="S19" s="189">
        <v>17346</v>
      </c>
      <c r="T19" s="189">
        <v>21292</v>
      </c>
      <c r="U19" s="189">
        <v>26676</v>
      </c>
      <c r="V19" s="189">
        <v>24648</v>
      </c>
      <c r="W19" s="189">
        <v>15835</v>
      </c>
      <c r="X19" s="189">
        <v>10802</v>
      </c>
      <c r="Y19" s="189">
        <v>10281</v>
      </c>
      <c r="Z19" s="189">
        <v>7629</v>
      </c>
      <c r="AA19" s="189">
        <v>7669</v>
      </c>
      <c r="AB19" s="189">
        <v>9461</v>
      </c>
    </row>
    <row r="20" spans="1:28">
      <c r="A20" s="173" t="s">
        <v>703</v>
      </c>
      <c r="B20" s="174"/>
      <c r="C20" s="189">
        <v>12698</v>
      </c>
      <c r="D20" s="189">
        <v>14243</v>
      </c>
      <c r="E20" s="189">
        <v>15058</v>
      </c>
      <c r="F20" s="189">
        <v>26762.080150000002</v>
      </c>
      <c r="G20" s="189">
        <v>16632</v>
      </c>
      <c r="H20" s="189">
        <v>20634.757799999999</v>
      </c>
      <c r="I20" s="189">
        <v>20329</v>
      </c>
      <c r="J20" s="189">
        <v>65525</v>
      </c>
      <c r="K20" s="189">
        <v>204101</v>
      </c>
      <c r="L20" s="189">
        <v>257151</v>
      </c>
      <c r="M20" s="189">
        <v>170964</v>
      </c>
      <c r="N20" s="189">
        <v>210429</v>
      </c>
      <c r="O20" s="189">
        <v>88272</v>
      </c>
      <c r="P20" s="189">
        <v>45270</v>
      </c>
      <c r="Q20" s="189">
        <v>26096</v>
      </c>
      <c r="R20" s="189">
        <v>28404</v>
      </c>
      <c r="S20" s="189">
        <v>30274</v>
      </c>
      <c r="T20" s="189">
        <v>33686</v>
      </c>
      <c r="U20" s="189">
        <v>35100</v>
      </c>
      <c r="V20" s="189">
        <v>39479</v>
      </c>
      <c r="W20" s="189">
        <v>41924</v>
      </c>
      <c r="X20" s="189">
        <v>57390</v>
      </c>
      <c r="Y20" s="189">
        <v>61197</v>
      </c>
      <c r="Z20" s="189">
        <v>63986</v>
      </c>
      <c r="AA20" s="189">
        <v>65195</v>
      </c>
      <c r="AB20" s="189">
        <v>67363</v>
      </c>
    </row>
    <row r="21" spans="1:28">
      <c r="A21" s="173" t="s">
        <v>704</v>
      </c>
      <c r="B21" s="174"/>
      <c r="C21" s="189">
        <v>0</v>
      </c>
      <c r="D21" s="189">
        <v>0</v>
      </c>
      <c r="E21" s="189">
        <v>0</v>
      </c>
      <c r="F21" s="189">
        <v>2212.5891000000001</v>
      </c>
      <c r="G21" s="189">
        <v>0</v>
      </c>
      <c r="H21" s="189">
        <v>4361.5759100000005</v>
      </c>
      <c r="I21" s="189">
        <v>6273</v>
      </c>
      <c r="J21" s="189">
        <v>7513</v>
      </c>
      <c r="K21" s="189">
        <v>3228</v>
      </c>
      <c r="L21" s="189">
        <v>4840</v>
      </c>
      <c r="M21" s="189">
        <v>4827</v>
      </c>
      <c r="N21" s="189">
        <v>6512</v>
      </c>
      <c r="O21" s="189">
        <v>7784</v>
      </c>
      <c r="P21" s="189">
        <v>8805</v>
      </c>
      <c r="Q21" s="189">
        <v>8783</v>
      </c>
      <c r="R21" s="189">
        <v>11973</v>
      </c>
      <c r="S21" s="189">
        <v>10582</v>
      </c>
      <c r="T21" s="189">
        <v>26419</v>
      </c>
      <c r="U21" s="189">
        <v>37705</v>
      </c>
      <c r="V21" s="189">
        <v>50494</v>
      </c>
      <c r="W21" s="189">
        <v>26195</v>
      </c>
      <c r="X21" s="189">
        <v>38390</v>
      </c>
      <c r="Y21" s="189">
        <v>29763</v>
      </c>
      <c r="Z21" s="189">
        <v>39860</v>
      </c>
      <c r="AA21" s="189">
        <v>20452</v>
      </c>
      <c r="AB21" s="189">
        <v>31444</v>
      </c>
    </row>
    <row r="22" spans="1:28" ht="15" thickBot="1">
      <c r="A22" s="176" t="s">
        <v>705</v>
      </c>
      <c r="B22" s="174"/>
      <c r="C22" s="189">
        <v>38142</v>
      </c>
      <c r="D22" s="189">
        <v>43243</v>
      </c>
      <c r="E22" s="189">
        <v>49096</v>
      </c>
      <c r="F22" s="189">
        <v>54630</v>
      </c>
      <c r="G22" s="189">
        <v>44601</v>
      </c>
      <c r="H22" s="189">
        <v>117492.64319000002</v>
      </c>
      <c r="I22" s="189">
        <v>105447</v>
      </c>
      <c r="J22" s="189">
        <v>90676</v>
      </c>
      <c r="K22" s="189">
        <v>75756</v>
      </c>
      <c r="L22" s="189">
        <v>77424</v>
      </c>
      <c r="M22" s="189">
        <v>78323</v>
      </c>
      <c r="N22" s="189">
        <v>108010</v>
      </c>
      <c r="O22" s="189">
        <v>97852</v>
      </c>
      <c r="P22" s="189">
        <v>115937</v>
      </c>
      <c r="Q22" s="189">
        <v>93235</v>
      </c>
      <c r="R22" s="189">
        <v>93667</v>
      </c>
      <c r="S22" s="189">
        <v>45177</v>
      </c>
      <c r="T22" s="189">
        <v>50349</v>
      </c>
      <c r="U22" s="189">
        <v>49959</v>
      </c>
      <c r="V22" s="189">
        <v>58071</v>
      </c>
      <c r="W22" s="189">
        <v>55587</v>
      </c>
      <c r="X22" s="189">
        <v>49025</v>
      </c>
      <c r="Y22" s="189">
        <v>49131</v>
      </c>
      <c r="Z22" s="189">
        <v>77785</v>
      </c>
      <c r="AA22" s="189">
        <v>92874</v>
      </c>
      <c r="AB22" s="189">
        <v>126373</v>
      </c>
    </row>
    <row r="23" spans="1:28" ht="15" thickBot="1">
      <c r="A23" s="177" t="s">
        <v>706</v>
      </c>
      <c r="B23" s="170"/>
      <c r="C23" s="178">
        <f t="shared" ref="C23:Y23" si="2">C24+C36</f>
        <v>1350788</v>
      </c>
      <c r="D23" s="178">
        <f t="shared" si="2"/>
        <v>1970438</v>
      </c>
      <c r="E23" s="178">
        <f t="shared" si="2"/>
        <v>1997468</v>
      </c>
      <c r="F23" s="178">
        <f t="shared" si="2"/>
        <v>2138813</v>
      </c>
      <c r="G23" s="178">
        <f t="shared" si="2"/>
        <v>2573233</v>
      </c>
      <c r="H23" s="178">
        <f t="shared" si="2"/>
        <v>2585050</v>
      </c>
      <c r="I23" s="178">
        <f t="shared" si="2"/>
        <v>2926360</v>
      </c>
      <c r="J23" s="178">
        <f t="shared" si="2"/>
        <v>2422169</v>
      </c>
      <c r="K23" s="178">
        <f t="shared" si="2"/>
        <v>2438970</v>
      </c>
      <c r="L23" s="178">
        <f t="shared" si="2"/>
        <v>2300427</v>
      </c>
      <c r="M23" s="178">
        <f t="shared" si="2"/>
        <v>2486481</v>
      </c>
      <c r="N23" s="178">
        <f t="shared" si="2"/>
        <v>2470911</v>
      </c>
      <c r="O23" s="178">
        <f t="shared" si="2"/>
        <v>1626656</v>
      </c>
      <c r="P23" s="178">
        <f t="shared" si="2"/>
        <v>1681259</v>
      </c>
      <c r="Q23" s="178">
        <f t="shared" si="2"/>
        <v>2360588</v>
      </c>
      <c r="R23" s="178">
        <f t="shared" si="2"/>
        <v>2393553</v>
      </c>
      <c r="S23" s="178">
        <f t="shared" si="2"/>
        <v>2382548</v>
      </c>
      <c r="T23" s="178">
        <f t="shared" si="2"/>
        <v>2430430</v>
      </c>
      <c r="U23" s="178">
        <f t="shared" si="2"/>
        <v>2439033</v>
      </c>
      <c r="V23" s="178">
        <f t="shared" si="2"/>
        <v>2547213</v>
      </c>
      <c r="W23" s="178">
        <f t="shared" si="2"/>
        <v>2651403</v>
      </c>
      <c r="X23" s="178">
        <f t="shared" si="2"/>
        <v>2795119</v>
      </c>
      <c r="Y23" s="178">
        <f t="shared" si="2"/>
        <v>2985432</v>
      </c>
      <c r="Z23" s="178">
        <f t="shared" ref="Z23:AA23" si="3">Z24+Z36</f>
        <v>3131957</v>
      </c>
      <c r="AA23" s="178">
        <f t="shared" si="3"/>
        <v>3177791</v>
      </c>
      <c r="AB23" s="178">
        <f t="shared" ref="AB23" si="4">AB24+AB36</f>
        <v>3255581</v>
      </c>
    </row>
    <row r="24" spans="1:28" ht="15" thickBot="1">
      <c r="A24" s="177" t="s">
        <v>748</v>
      </c>
      <c r="B24" s="170"/>
      <c r="C24" s="178">
        <f t="shared" ref="C24:X24" si="5">SUM(C25:C35)</f>
        <v>1307374</v>
      </c>
      <c r="D24" s="178">
        <f t="shared" si="5"/>
        <v>1921235</v>
      </c>
      <c r="E24" s="178">
        <f t="shared" si="5"/>
        <v>1957000</v>
      </c>
      <c r="F24" s="178">
        <f t="shared" si="5"/>
        <v>2096181</v>
      </c>
      <c r="G24" s="178">
        <f t="shared" si="5"/>
        <v>1581635</v>
      </c>
      <c r="H24" s="178">
        <f t="shared" si="5"/>
        <v>1588461</v>
      </c>
      <c r="I24" s="178">
        <f t="shared" si="5"/>
        <v>1869580</v>
      </c>
      <c r="J24" s="178">
        <f t="shared" si="5"/>
        <v>1332656</v>
      </c>
      <c r="K24" s="178">
        <f t="shared" si="5"/>
        <v>1329348</v>
      </c>
      <c r="L24" s="178">
        <f t="shared" si="5"/>
        <v>1176465</v>
      </c>
      <c r="M24" s="178">
        <f t="shared" si="5"/>
        <v>1361204</v>
      </c>
      <c r="N24" s="178">
        <f t="shared" si="5"/>
        <v>1293368</v>
      </c>
      <c r="O24" s="178">
        <f t="shared" si="5"/>
        <v>419031</v>
      </c>
      <c r="P24" s="178">
        <f t="shared" si="5"/>
        <v>435579</v>
      </c>
      <c r="Q24" s="178">
        <f t="shared" si="5"/>
        <v>1057468</v>
      </c>
      <c r="R24" s="178">
        <f t="shared" si="5"/>
        <v>1025102</v>
      </c>
      <c r="S24" s="178">
        <f t="shared" si="5"/>
        <v>976398</v>
      </c>
      <c r="T24" s="178">
        <f t="shared" si="5"/>
        <v>953066</v>
      </c>
      <c r="U24" s="178">
        <f t="shared" si="5"/>
        <v>878011</v>
      </c>
      <c r="V24" s="178">
        <f t="shared" si="5"/>
        <v>888421</v>
      </c>
      <c r="W24" s="178">
        <f t="shared" si="5"/>
        <v>891341</v>
      </c>
      <c r="X24" s="178">
        <f t="shared" si="5"/>
        <v>899187</v>
      </c>
      <c r="Y24" s="178">
        <f>SUM(Y25:Y35)</f>
        <v>972125</v>
      </c>
      <c r="Z24" s="178">
        <f>SUM(Z25:Z35)</f>
        <v>1038544</v>
      </c>
      <c r="AA24" s="178">
        <f>SUM(AA25:AA35)</f>
        <v>1008203</v>
      </c>
      <c r="AB24" s="178">
        <f>SUM(AB25:AB35)</f>
        <v>1002694</v>
      </c>
    </row>
    <row r="25" spans="1:28">
      <c r="A25" s="173" t="s">
        <v>693</v>
      </c>
      <c r="B25" s="174"/>
      <c r="C25" s="189">
        <v>285106</v>
      </c>
      <c r="D25" s="189">
        <v>280837</v>
      </c>
      <c r="E25" s="189">
        <v>274239</v>
      </c>
      <c r="F25" s="189">
        <v>269560</v>
      </c>
      <c r="G25" s="189">
        <v>267495</v>
      </c>
      <c r="H25" s="189">
        <v>257852</v>
      </c>
      <c r="I25" s="189">
        <v>260074</v>
      </c>
      <c r="J25" s="189">
        <v>216756</v>
      </c>
      <c r="K25" s="189">
        <v>325523</v>
      </c>
      <c r="L25" s="189">
        <v>281514</v>
      </c>
      <c r="M25" s="189">
        <v>280200</v>
      </c>
      <c r="N25" s="189">
        <v>280096</v>
      </c>
      <c r="O25" s="189">
        <v>277997</v>
      </c>
      <c r="P25" s="189">
        <v>272449</v>
      </c>
      <c r="Q25" s="189">
        <v>271009</v>
      </c>
      <c r="R25" s="189">
        <v>272796</v>
      </c>
      <c r="S25" s="189">
        <v>267069</v>
      </c>
      <c r="T25" s="189">
        <v>263588</v>
      </c>
      <c r="U25" s="189">
        <v>194595</v>
      </c>
      <c r="V25" s="189">
        <v>185489</v>
      </c>
      <c r="W25" s="189">
        <v>183835</v>
      </c>
      <c r="X25" s="189">
        <v>180425</v>
      </c>
      <c r="Y25" s="189">
        <v>176370</v>
      </c>
      <c r="Z25" s="189">
        <v>166002</v>
      </c>
      <c r="AA25" s="189">
        <v>160322</v>
      </c>
      <c r="AB25" s="189">
        <v>155357</v>
      </c>
    </row>
    <row r="26" spans="1:28">
      <c r="A26" s="173" t="s">
        <v>744</v>
      </c>
      <c r="B26" s="174"/>
      <c r="C26" s="189">
        <v>0</v>
      </c>
      <c r="D26" s="189">
        <v>606654</v>
      </c>
      <c r="E26" s="189">
        <v>617653</v>
      </c>
      <c r="F26" s="189">
        <v>709417</v>
      </c>
      <c r="G26" s="189">
        <v>1172468</v>
      </c>
      <c r="H26" s="189">
        <v>1151740</v>
      </c>
      <c r="I26" s="189">
        <v>1162045</v>
      </c>
      <c r="J26" s="189">
        <v>682702</v>
      </c>
      <c r="K26" s="189">
        <v>736909</v>
      </c>
      <c r="L26" s="189">
        <v>646191</v>
      </c>
      <c r="M26" s="189">
        <v>794778</v>
      </c>
      <c r="N26" s="189">
        <v>873313</v>
      </c>
      <c r="O26" s="189"/>
      <c r="P26" s="189"/>
      <c r="Q26" s="189">
        <v>21480</v>
      </c>
      <c r="R26" s="189">
        <v>32906</v>
      </c>
      <c r="S26" s="189">
        <v>8423</v>
      </c>
      <c r="T26" s="189"/>
      <c r="U26" s="189"/>
      <c r="V26" s="189"/>
      <c r="W26" s="189"/>
      <c r="X26" s="189">
        <v>4467</v>
      </c>
      <c r="Y26" s="189">
        <v>37837</v>
      </c>
      <c r="Z26" s="189">
        <v>16277</v>
      </c>
      <c r="AA26" s="189">
        <v>0</v>
      </c>
      <c r="AB26" s="189"/>
    </row>
    <row r="27" spans="1:28">
      <c r="A27" s="173" t="s">
        <v>696</v>
      </c>
      <c r="B27" s="174"/>
      <c r="C27" s="189">
        <v>0</v>
      </c>
      <c r="D27" s="189">
        <v>0</v>
      </c>
      <c r="E27" s="189">
        <v>0</v>
      </c>
      <c r="F27" s="189"/>
      <c r="G27" s="189">
        <v>0</v>
      </c>
      <c r="H27" s="189"/>
      <c r="I27" s="189"/>
      <c r="J27" s="189"/>
      <c r="K27" s="189"/>
      <c r="L27" s="189"/>
      <c r="M27" s="189"/>
      <c r="N27" s="189">
        <v>136</v>
      </c>
      <c r="O27" s="189">
        <v>37</v>
      </c>
      <c r="P27" s="189">
        <v>37</v>
      </c>
      <c r="Q27" s="189"/>
      <c r="R27" s="189">
        <v>896</v>
      </c>
      <c r="S27" s="189">
        <v>896</v>
      </c>
      <c r="T27" s="189">
        <v>896</v>
      </c>
      <c r="U27" s="189"/>
      <c r="V27" s="189">
        <v>342</v>
      </c>
      <c r="W27" s="189">
        <v>342</v>
      </c>
      <c r="X27" s="189">
        <v>342</v>
      </c>
      <c r="Y27" s="189">
        <v>0</v>
      </c>
      <c r="Z27" s="189">
        <v>5650</v>
      </c>
      <c r="AA27" s="189">
        <v>5650</v>
      </c>
      <c r="AB27" s="189"/>
    </row>
    <row r="28" spans="1:28">
      <c r="A28" s="173" t="s">
        <v>699</v>
      </c>
      <c r="B28" s="174"/>
      <c r="C28" s="189">
        <v>81742</v>
      </c>
      <c r="D28" s="189">
        <v>84793</v>
      </c>
      <c r="E28" s="189">
        <v>90060</v>
      </c>
      <c r="F28" s="189">
        <v>93248</v>
      </c>
      <c r="G28" s="189">
        <v>93200</v>
      </c>
      <c r="H28" s="189">
        <v>98054</v>
      </c>
      <c r="I28" s="189">
        <v>98177</v>
      </c>
      <c r="J28" s="189">
        <v>42427</v>
      </c>
      <c r="K28" s="189">
        <v>41604</v>
      </c>
      <c r="L28" s="189">
        <v>40376</v>
      </c>
      <c r="M28" s="189">
        <v>40896</v>
      </c>
      <c r="N28" s="189">
        <v>34490</v>
      </c>
      <c r="O28" s="189">
        <v>33952</v>
      </c>
      <c r="P28" s="189">
        <v>34382</v>
      </c>
      <c r="Q28" s="189">
        <v>30602</v>
      </c>
      <c r="R28" s="189">
        <v>24582</v>
      </c>
      <c r="S28" s="189">
        <v>24323</v>
      </c>
      <c r="T28" s="189">
        <v>24572</v>
      </c>
      <c r="U28" s="189">
        <v>25194</v>
      </c>
      <c r="V28" s="189">
        <v>28320</v>
      </c>
      <c r="W28" s="189">
        <v>28860</v>
      </c>
      <c r="X28" s="189">
        <v>29727</v>
      </c>
      <c r="Y28" s="189">
        <v>30320</v>
      </c>
      <c r="Z28" s="189">
        <v>30429</v>
      </c>
      <c r="AA28" s="189">
        <v>37291</v>
      </c>
      <c r="AB28" s="189">
        <v>38740</v>
      </c>
    </row>
    <row r="29" spans="1:28">
      <c r="A29" s="173" t="s">
        <v>703</v>
      </c>
      <c r="B29" s="174"/>
      <c r="C29" s="189">
        <v>3931</v>
      </c>
      <c r="D29" s="189">
        <v>3963</v>
      </c>
      <c r="E29" s="189">
        <v>3831</v>
      </c>
      <c r="F29" s="189">
        <v>3407</v>
      </c>
      <c r="G29" s="189">
        <v>0</v>
      </c>
      <c r="H29" s="189">
        <v>29819</v>
      </c>
      <c r="I29" s="189">
        <v>297878</v>
      </c>
      <c r="J29" s="189">
        <v>305043</v>
      </c>
      <c r="K29" s="189">
        <v>172564</v>
      </c>
      <c r="L29" s="189">
        <v>121720</v>
      </c>
      <c r="M29" s="189">
        <v>158057</v>
      </c>
      <c r="N29" s="189">
        <v>36249</v>
      </c>
      <c r="O29" s="189">
        <v>35819</v>
      </c>
      <c r="P29" s="189">
        <v>36687</v>
      </c>
      <c r="Q29" s="189">
        <v>40302</v>
      </c>
      <c r="R29" s="189">
        <v>42607</v>
      </c>
      <c r="S29" s="189">
        <v>38298</v>
      </c>
      <c r="T29" s="189">
        <v>33711</v>
      </c>
      <c r="U29" s="189">
        <v>42447</v>
      </c>
      <c r="V29" s="189"/>
      <c r="W29" s="189"/>
      <c r="X29" s="189">
        <v>56795</v>
      </c>
      <c r="Y29" s="189">
        <v>60947</v>
      </c>
      <c r="Z29" s="189">
        <v>65276</v>
      </c>
      <c r="AA29" s="189">
        <v>67563</v>
      </c>
      <c r="AB29" s="189">
        <v>68697</v>
      </c>
    </row>
    <row r="30" spans="1:28">
      <c r="A30" s="173" t="s">
        <v>704</v>
      </c>
      <c r="B30" s="174"/>
      <c r="C30" s="189">
        <v>0</v>
      </c>
      <c r="D30" s="189">
        <v>0</v>
      </c>
      <c r="E30" s="189">
        <v>0</v>
      </c>
      <c r="F30" s="189"/>
      <c r="G30" s="189">
        <v>0</v>
      </c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89"/>
      <c r="T30" s="189"/>
      <c r="U30" s="189"/>
      <c r="V30" s="189">
        <v>44721</v>
      </c>
      <c r="W30" s="189">
        <v>47940</v>
      </c>
      <c r="X30" s="189">
        <v>0</v>
      </c>
      <c r="Y30" s="189">
        <v>0</v>
      </c>
      <c r="Z30" s="189">
        <v>16345</v>
      </c>
      <c r="AA30" s="189">
        <v>16634</v>
      </c>
      <c r="AB30" s="189">
        <v>16884</v>
      </c>
    </row>
    <row r="31" spans="1:28">
      <c r="A31" s="173" t="s">
        <v>750</v>
      </c>
      <c r="B31" s="174"/>
      <c r="C31" s="189">
        <v>0</v>
      </c>
      <c r="D31" s="189">
        <v>0</v>
      </c>
      <c r="E31" s="189">
        <v>0</v>
      </c>
      <c r="F31" s="189"/>
      <c r="G31" s="189">
        <v>0</v>
      </c>
      <c r="H31" s="189"/>
      <c r="I31" s="189"/>
      <c r="J31" s="189"/>
      <c r="K31" s="189"/>
      <c r="L31" s="189"/>
      <c r="M31" s="189"/>
      <c r="N31" s="189"/>
      <c r="O31" s="189"/>
      <c r="P31" s="189"/>
      <c r="Q31" s="189">
        <v>602113</v>
      </c>
      <c r="R31" s="189">
        <v>544022</v>
      </c>
      <c r="S31" s="189">
        <v>528494</v>
      </c>
      <c r="T31" s="189">
        <v>509228</v>
      </c>
      <c r="U31" s="189">
        <v>501458</v>
      </c>
      <c r="V31" s="189">
        <v>501983</v>
      </c>
      <c r="W31" s="189">
        <v>493827</v>
      </c>
      <c r="X31" s="189">
        <v>482623</v>
      </c>
      <c r="Y31" s="189">
        <v>499748</v>
      </c>
      <c r="Z31" s="189">
        <v>513645</v>
      </c>
      <c r="AA31" s="189">
        <v>504751</v>
      </c>
      <c r="AB31" s="189">
        <v>477999</v>
      </c>
    </row>
    <row r="32" spans="1:28">
      <c r="A32" s="173" t="s">
        <v>701</v>
      </c>
      <c r="B32" s="174"/>
      <c r="C32" s="189">
        <v>0</v>
      </c>
      <c r="D32" s="189">
        <v>0</v>
      </c>
      <c r="E32" s="189">
        <v>0</v>
      </c>
      <c r="F32" s="189"/>
      <c r="G32" s="189">
        <v>0</v>
      </c>
      <c r="H32" s="189"/>
      <c r="I32" s="189"/>
      <c r="J32" s="189"/>
      <c r="K32" s="189"/>
      <c r="L32" s="189"/>
      <c r="M32" s="189"/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>
        <v>0</v>
      </c>
      <c r="Y32" s="189"/>
      <c r="Z32" s="189"/>
      <c r="AA32" s="189"/>
      <c r="AB32" s="189">
        <v>25740</v>
      </c>
    </row>
    <row r="33" spans="1:29">
      <c r="A33" s="173" t="s">
        <v>742</v>
      </c>
      <c r="B33" s="174"/>
      <c r="C33" s="189"/>
      <c r="D33" s="189"/>
      <c r="E33" s="189"/>
      <c r="F33" s="189"/>
      <c r="G33" s="189"/>
      <c r="H33" s="189"/>
      <c r="I33" s="189"/>
      <c r="J33" s="189"/>
      <c r="K33" s="189">
        <v>-33713</v>
      </c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>
        <v>0</v>
      </c>
      <c r="Y33" s="189"/>
      <c r="Z33" s="189"/>
      <c r="AA33" s="189"/>
      <c r="AB33" s="189"/>
    </row>
    <row r="34" spans="1:29">
      <c r="A34" s="173" t="s">
        <v>705</v>
      </c>
      <c r="B34" s="174"/>
      <c r="C34" s="189">
        <v>8738</v>
      </c>
      <c r="D34" s="189">
        <v>4480</v>
      </c>
      <c r="E34" s="189">
        <v>4481</v>
      </c>
      <c r="F34" s="189">
        <v>11386</v>
      </c>
      <c r="G34" s="189">
        <v>11384</v>
      </c>
      <c r="H34" s="189">
        <v>15640</v>
      </c>
      <c r="I34" s="189">
        <v>15961</v>
      </c>
      <c r="J34" s="189">
        <v>16192</v>
      </c>
      <c r="K34" s="189">
        <v>16192</v>
      </c>
      <c r="L34" s="189">
        <v>16192</v>
      </c>
      <c r="M34" s="189">
        <v>16192</v>
      </c>
      <c r="N34" s="189">
        <v>17366</v>
      </c>
      <c r="O34" s="189">
        <v>17366</v>
      </c>
      <c r="P34" s="189">
        <v>37016</v>
      </c>
      <c r="Q34" s="189">
        <v>34048</v>
      </c>
      <c r="R34" s="189">
        <v>32627</v>
      </c>
      <c r="S34" s="189">
        <v>31792</v>
      </c>
      <c r="T34" s="189">
        <v>33804</v>
      </c>
      <c r="U34" s="189">
        <v>23800</v>
      </c>
      <c r="V34" s="189">
        <v>21799</v>
      </c>
      <c r="W34" s="189">
        <v>21480</v>
      </c>
      <c r="X34" s="189">
        <v>22073</v>
      </c>
      <c r="Y34" s="189">
        <v>22675</v>
      </c>
      <c r="Z34" s="189">
        <v>18073</v>
      </c>
      <c r="AA34" s="189">
        <v>18491</v>
      </c>
      <c r="AB34" s="189">
        <v>18958</v>
      </c>
    </row>
    <row r="35" spans="1:29" ht="15" thickBot="1">
      <c r="A35" s="176" t="s">
        <v>708</v>
      </c>
      <c r="B35" s="174"/>
      <c r="C35" s="189">
        <v>927857</v>
      </c>
      <c r="D35" s="189">
        <v>940508</v>
      </c>
      <c r="E35" s="189">
        <v>966736</v>
      </c>
      <c r="F35" s="189">
        <v>1009163</v>
      </c>
      <c r="G35" s="189">
        <v>37088</v>
      </c>
      <c r="H35" s="189">
        <v>35356</v>
      </c>
      <c r="I35" s="189">
        <v>35445</v>
      </c>
      <c r="J35" s="189">
        <v>69536</v>
      </c>
      <c r="K35" s="189">
        <v>70269</v>
      </c>
      <c r="L35" s="189">
        <v>70472</v>
      </c>
      <c r="M35" s="189">
        <v>71081</v>
      </c>
      <c r="N35" s="189">
        <v>51718</v>
      </c>
      <c r="O35" s="189">
        <v>53860</v>
      </c>
      <c r="P35" s="189">
        <v>55008</v>
      </c>
      <c r="Q35" s="189">
        <v>57914</v>
      </c>
      <c r="R35" s="189">
        <v>74666</v>
      </c>
      <c r="S35" s="189">
        <v>77103</v>
      </c>
      <c r="T35" s="189">
        <v>87267</v>
      </c>
      <c r="U35" s="189">
        <v>90517</v>
      </c>
      <c r="V35" s="189">
        <v>105767</v>
      </c>
      <c r="W35" s="189">
        <v>115057</v>
      </c>
      <c r="X35" s="189">
        <v>122735</v>
      </c>
      <c r="Y35" s="189">
        <v>144228</v>
      </c>
      <c r="Z35" s="189">
        <v>206847</v>
      </c>
      <c r="AA35" s="189">
        <v>197501</v>
      </c>
      <c r="AB35" s="189">
        <v>200319</v>
      </c>
    </row>
    <row r="36" spans="1:29" ht="15" thickBot="1">
      <c r="A36" s="177" t="s">
        <v>752</v>
      </c>
      <c r="B36" s="170"/>
      <c r="C36" s="178">
        <f t="shared" ref="C36:P36" si="6">SUM(C37:C41)</f>
        <v>43414</v>
      </c>
      <c r="D36" s="178">
        <f t="shared" si="6"/>
        <v>49203</v>
      </c>
      <c r="E36" s="178">
        <f t="shared" si="6"/>
        <v>40468</v>
      </c>
      <c r="F36" s="178">
        <f t="shared" si="6"/>
        <v>42632</v>
      </c>
      <c r="G36" s="178">
        <f t="shared" si="6"/>
        <v>991598</v>
      </c>
      <c r="H36" s="178">
        <f t="shared" si="6"/>
        <v>996589</v>
      </c>
      <c r="I36" s="178">
        <f t="shared" si="6"/>
        <v>1056780</v>
      </c>
      <c r="J36" s="178">
        <f t="shared" si="6"/>
        <v>1089513</v>
      </c>
      <c r="K36" s="178">
        <f t="shared" si="6"/>
        <v>1109622</v>
      </c>
      <c r="L36" s="178">
        <f t="shared" si="6"/>
        <v>1123962</v>
      </c>
      <c r="M36" s="178">
        <f t="shared" si="6"/>
        <v>1125277</v>
      </c>
      <c r="N36" s="178">
        <f t="shared" si="6"/>
        <v>1177543</v>
      </c>
      <c r="O36" s="178">
        <f t="shared" si="6"/>
        <v>1207625</v>
      </c>
      <c r="P36" s="178">
        <f t="shared" si="6"/>
        <v>1245680</v>
      </c>
      <c r="Q36" s="178">
        <f t="shared" ref="Q36:X36" si="7">SUM(Q37:Q41)</f>
        <v>1303120</v>
      </c>
      <c r="R36" s="178">
        <f t="shared" si="7"/>
        <v>1368451</v>
      </c>
      <c r="S36" s="178">
        <f t="shared" si="7"/>
        <v>1406150</v>
      </c>
      <c r="T36" s="178">
        <f t="shared" si="7"/>
        <v>1477364</v>
      </c>
      <c r="U36" s="178">
        <f t="shared" si="7"/>
        <v>1561022</v>
      </c>
      <c r="V36" s="178">
        <f t="shared" si="7"/>
        <v>1658792</v>
      </c>
      <c r="W36" s="178">
        <f t="shared" si="7"/>
        <v>1760062</v>
      </c>
      <c r="X36" s="178">
        <f t="shared" si="7"/>
        <v>1895932</v>
      </c>
      <c r="Y36" s="178">
        <f>SUM(Y37:Y41)</f>
        <v>2013307</v>
      </c>
      <c r="Z36" s="178">
        <f>SUM(Z37:Z41)</f>
        <v>2093413</v>
      </c>
      <c r="AA36" s="178">
        <f>SUM(AA37:AA41)</f>
        <v>2169588</v>
      </c>
      <c r="AB36" s="178">
        <f>SUM(AB37:AB41)</f>
        <v>2252887</v>
      </c>
    </row>
    <row r="37" spans="1:29">
      <c r="A37" s="173" t="s">
        <v>709</v>
      </c>
      <c r="B37" s="174"/>
      <c r="C37" s="189">
        <v>168</v>
      </c>
      <c r="D37" s="189">
        <v>168</v>
      </c>
      <c r="E37" s="189">
        <v>168</v>
      </c>
      <c r="F37" s="189">
        <v>168</v>
      </c>
      <c r="G37" s="189">
        <v>168</v>
      </c>
      <c r="H37" s="189">
        <v>169</v>
      </c>
      <c r="I37" s="189">
        <v>169</v>
      </c>
      <c r="J37" s="189">
        <v>169</v>
      </c>
      <c r="K37" s="189">
        <v>169</v>
      </c>
      <c r="L37" s="189">
        <v>169</v>
      </c>
      <c r="M37" s="189">
        <v>169</v>
      </c>
      <c r="N37" s="189">
        <v>169</v>
      </c>
      <c r="O37" s="189">
        <v>169</v>
      </c>
      <c r="P37" s="189">
        <v>7086</v>
      </c>
      <c r="Q37" s="189">
        <v>7017</v>
      </c>
      <c r="R37" s="189">
        <v>6947</v>
      </c>
      <c r="S37" s="189">
        <v>6878</v>
      </c>
      <c r="T37" s="189">
        <v>6809</v>
      </c>
      <c r="U37" s="189">
        <v>6739</v>
      </c>
      <c r="V37" s="189">
        <v>6670</v>
      </c>
      <c r="W37" s="189">
        <v>6600</v>
      </c>
      <c r="X37" s="189">
        <v>6531</v>
      </c>
      <c r="Y37" s="189">
        <v>6462</v>
      </c>
      <c r="Z37" s="189">
        <v>6598</v>
      </c>
      <c r="AA37" s="189">
        <v>6323</v>
      </c>
      <c r="AB37" s="189">
        <v>6253</v>
      </c>
    </row>
    <row r="38" spans="1:29">
      <c r="A38" s="173" t="s">
        <v>782</v>
      </c>
      <c r="B38" s="174"/>
      <c r="C38" s="189">
        <v>0</v>
      </c>
      <c r="D38" s="189">
        <v>0</v>
      </c>
      <c r="E38" s="189">
        <v>0</v>
      </c>
      <c r="F38" s="189"/>
      <c r="G38" s="189">
        <v>191490</v>
      </c>
      <c r="H38" s="189">
        <v>208781</v>
      </c>
      <c r="I38" s="189">
        <v>281490</v>
      </c>
      <c r="J38" s="189">
        <v>46149</v>
      </c>
      <c r="K38" s="189">
        <v>64653</v>
      </c>
      <c r="L38" s="189">
        <v>94395</v>
      </c>
      <c r="M38" s="189">
        <v>75984</v>
      </c>
      <c r="N38" s="189">
        <v>101353</v>
      </c>
      <c r="O38" s="189">
        <v>136423</v>
      </c>
      <c r="P38" s="189">
        <v>158790</v>
      </c>
      <c r="Q38" s="189">
        <v>198761</v>
      </c>
      <c r="R38" s="189">
        <v>185860</v>
      </c>
      <c r="S38" s="189">
        <v>207008</v>
      </c>
      <c r="T38" s="189">
        <v>216662</v>
      </c>
      <c r="U38" s="189">
        <v>275035</v>
      </c>
      <c r="V38" s="189">
        <v>200977</v>
      </c>
      <c r="W38" s="189">
        <v>378282</v>
      </c>
      <c r="X38" s="189">
        <v>443454</v>
      </c>
      <c r="Y38" s="189">
        <v>441532</v>
      </c>
      <c r="Z38" s="189">
        <v>159934</v>
      </c>
      <c r="AA38" s="189">
        <v>216343</v>
      </c>
      <c r="AB38" s="189">
        <v>265603</v>
      </c>
    </row>
    <row r="39" spans="1:29">
      <c r="A39" s="173" t="s">
        <v>770</v>
      </c>
      <c r="B39" s="174"/>
      <c r="C39" s="189">
        <v>29553</v>
      </c>
      <c r="D39" s="189">
        <v>27883</v>
      </c>
      <c r="E39" s="189">
        <v>29603</v>
      </c>
      <c r="F39" s="189">
        <v>31254</v>
      </c>
      <c r="G39" s="189">
        <v>0</v>
      </c>
      <c r="H39" s="189"/>
      <c r="I39" s="189"/>
      <c r="J39" s="189"/>
      <c r="K39" s="189"/>
      <c r="L39" s="189"/>
      <c r="M39" s="189"/>
      <c r="N39" s="189"/>
      <c r="O39" s="189"/>
      <c r="X39" s="189">
        <v>0</v>
      </c>
      <c r="Y39" s="189"/>
      <c r="Z39" s="189"/>
      <c r="AA39" s="189"/>
      <c r="AB39" s="189"/>
    </row>
    <row r="40" spans="1:29">
      <c r="A40" s="173" t="s">
        <v>713</v>
      </c>
      <c r="B40" s="174"/>
      <c r="C40" s="189"/>
      <c r="D40" s="189"/>
      <c r="E40" s="189"/>
      <c r="F40" s="189"/>
      <c r="G40" s="189"/>
      <c r="H40" s="189"/>
      <c r="I40" s="189"/>
      <c r="J40" s="189"/>
      <c r="K40" s="189">
        <v>3711</v>
      </c>
      <c r="L40" s="189">
        <v>2776</v>
      </c>
      <c r="M40" s="189">
        <v>3527</v>
      </c>
      <c r="N40" s="189">
        <v>3363</v>
      </c>
      <c r="O40" s="189">
        <v>3646</v>
      </c>
      <c r="P40" s="189">
        <v>3556</v>
      </c>
      <c r="Q40" s="189">
        <v>879</v>
      </c>
      <c r="R40" s="189">
        <v>1118</v>
      </c>
      <c r="S40" s="189">
        <v>1035</v>
      </c>
      <c r="T40" s="189">
        <v>967</v>
      </c>
      <c r="U40" s="189">
        <v>881</v>
      </c>
      <c r="V40" s="189">
        <v>926</v>
      </c>
      <c r="W40" s="189">
        <v>836</v>
      </c>
      <c r="X40" s="189">
        <v>646</v>
      </c>
      <c r="Y40" s="189">
        <v>491</v>
      </c>
      <c r="Z40" s="189">
        <v>821</v>
      </c>
      <c r="AA40" s="189">
        <v>745</v>
      </c>
      <c r="AB40" s="189">
        <v>649</v>
      </c>
    </row>
    <row r="41" spans="1:29" ht="15" thickBot="1">
      <c r="A41" s="173" t="s">
        <v>711</v>
      </c>
      <c r="B41" s="174"/>
      <c r="C41" s="189">
        <v>13693</v>
      </c>
      <c r="D41" s="189">
        <v>21152</v>
      </c>
      <c r="E41" s="189">
        <v>10697</v>
      </c>
      <c r="F41" s="189">
        <v>11210</v>
      </c>
      <c r="G41" s="189">
        <v>799940</v>
      </c>
      <c r="H41" s="189">
        <v>787639</v>
      </c>
      <c r="I41" s="189">
        <v>775121</v>
      </c>
      <c r="J41" s="189">
        <v>1043195</v>
      </c>
      <c r="K41" s="189">
        <v>1041089</v>
      </c>
      <c r="L41" s="189">
        <v>1026622</v>
      </c>
      <c r="M41" s="189">
        <v>1045597</v>
      </c>
      <c r="N41" s="189">
        <v>1072658</v>
      </c>
      <c r="O41" s="189">
        <v>1067387</v>
      </c>
      <c r="P41" s="189">
        <v>1076248</v>
      </c>
      <c r="Q41" s="189">
        <v>1096463</v>
      </c>
      <c r="R41" s="189">
        <v>1174526</v>
      </c>
      <c r="S41" s="189">
        <v>1191229</v>
      </c>
      <c r="T41" s="189">
        <v>1252926</v>
      </c>
      <c r="U41" s="189">
        <v>1278367</v>
      </c>
      <c r="V41" s="189">
        <v>1450219</v>
      </c>
      <c r="W41" s="189">
        <v>1374344</v>
      </c>
      <c r="X41" s="189">
        <v>1445301</v>
      </c>
      <c r="Y41" s="189">
        <v>1564822</v>
      </c>
      <c r="Z41" s="189">
        <v>1926060</v>
      </c>
      <c r="AA41" s="189">
        <v>1946177</v>
      </c>
      <c r="AB41" s="189">
        <v>1980382</v>
      </c>
    </row>
    <row r="42" spans="1:29" ht="15" thickBot="1">
      <c r="A42" s="177" t="s">
        <v>714</v>
      </c>
      <c r="B42" s="170"/>
      <c r="C42" s="178">
        <f t="shared" ref="C42:X42" si="8">C8+C23</f>
        <v>2345678</v>
      </c>
      <c r="D42" s="178">
        <f t="shared" si="8"/>
        <v>2905674</v>
      </c>
      <c r="E42" s="178">
        <f t="shared" si="8"/>
        <v>2954192</v>
      </c>
      <c r="F42" s="178">
        <f t="shared" si="8"/>
        <v>3007356.51058</v>
      </c>
      <c r="G42" s="178">
        <f t="shared" si="8"/>
        <v>3906893.0024600001</v>
      </c>
      <c r="H42" s="178">
        <f t="shared" si="8"/>
        <v>3535166.6301100003</v>
      </c>
      <c r="I42" s="178">
        <f t="shared" si="8"/>
        <v>3740688</v>
      </c>
      <c r="J42" s="178">
        <f t="shared" si="8"/>
        <v>3410794</v>
      </c>
      <c r="K42" s="178">
        <f t="shared" si="8"/>
        <v>3667295</v>
      </c>
      <c r="L42" s="178">
        <f t="shared" si="8"/>
        <v>3678203</v>
      </c>
      <c r="M42" s="178">
        <f t="shared" si="8"/>
        <v>4078714</v>
      </c>
      <c r="N42" s="178">
        <f t="shared" si="8"/>
        <v>4308515</v>
      </c>
      <c r="O42" s="178">
        <f t="shared" si="8"/>
        <v>3431242</v>
      </c>
      <c r="P42" s="178">
        <f t="shared" si="8"/>
        <v>3298229</v>
      </c>
      <c r="Q42" s="178">
        <f t="shared" si="8"/>
        <v>4081225</v>
      </c>
      <c r="R42" s="178">
        <f t="shared" si="8"/>
        <v>4289085</v>
      </c>
      <c r="S42" s="178">
        <f t="shared" si="8"/>
        <v>4224519</v>
      </c>
      <c r="T42" s="178">
        <f t="shared" si="8"/>
        <v>4206987</v>
      </c>
      <c r="U42" s="178">
        <f t="shared" si="8"/>
        <v>4210009</v>
      </c>
      <c r="V42" s="178">
        <f t="shared" si="8"/>
        <v>4041510</v>
      </c>
      <c r="W42" s="178">
        <f t="shared" si="8"/>
        <v>4057874</v>
      </c>
      <c r="X42" s="178">
        <f t="shared" si="8"/>
        <v>4130983</v>
      </c>
      <c r="Y42" s="178">
        <f>Y8+Y23</f>
        <v>4263690</v>
      </c>
      <c r="Z42" s="178">
        <f>Z8+Z23</f>
        <v>4477164</v>
      </c>
      <c r="AA42" s="178">
        <f>AA8+AA23</f>
        <v>4566388</v>
      </c>
      <c r="AB42" s="178">
        <f>AB8+AB23</f>
        <v>4767392</v>
      </c>
      <c r="AC42" s="111"/>
    </row>
    <row r="43" spans="1:29">
      <c r="A43" s="173"/>
      <c r="B43" s="174"/>
    </row>
    <row r="44" spans="1:29" ht="15" thickBot="1">
      <c r="A44" s="5" t="s">
        <v>715</v>
      </c>
      <c r="B44" s="168"/>
      <c r="C44" s="528" t="str">
        <f>C7</f>
        <v>1T18</v>
      </c>
      <c r="D44" s="528" t="str">
        <f>D7</f>
        <v>2T18</v>
      </c>
      <c r="E44" s="528" t="s">
        <v>31</v>
      </c>
      <c r="F44" s="528" t="s">
        <v>32</v>
      </c>
      <c r="G44" s="528" t="s">
        <v>33</v>
      </c>
      <c r="H44" s="528" t="s">
        <v>34</v>
      </c>
      <c r="I44" s="528" t="s">
        <v>35</v>
      </c>
      <c r="J44" s="528" t="s">
        <v>36</v>
      </c>
      <c r="K44" s="528" t="str">
        <f t="shared" ref="K44:P44" si="9">K7</f>
        <v>1T20</v>
      </c>
      <c r="L44" s="528" t="str">
        <f t="shared" si="9"/>
        <v>2T20</v>
      </c>
      <c r="M44" s="528" t="str">
        <f t="shared" si="9"/>
        <v>3T20</v>
      </c>
      <c r="N44" s="528" t="str">
        <f t="shared" si="9"/>
        <v>4T20</v>
      </c>
      <c r="O44" s="528" t="str">
        <f t="shared" si="9"/>
        <v>1T21</v>
      </c>
      <c r="P44" s="528" t="str">
        <f t="shared" si="9"/>
        <v>2T21</v>
      </c>
      <c r="Q44" s="528" t="s">
        <v>43</v>
      </c>
      <c r="R44" s="528" t="s">
        <v>44</v>
      </c>
      <c r="S44" s="528" t="s">
        <v>45</v>
      </c>
      <c r="T44" s="528" t="s">
        <v>46</v>
      </c>
      <c r="U44" s="528" t="s">
        <v>47</v>
      </c>
      <c r="V44" s="528" t="str">
        <f>V7</f>
        <v>4T22</v>
      </c>
      <c r="W44" s="528" t="str">
        <f>W7</f>
        <v>1T23</v>
      </c>
      <c r="X44" s="528" t="s">
        <v>50</v>
      </c>
      <c r="Y44" s="528" t="s">
        <v>51</v>
      </c>
      <c r="Z44" s="528" t="s">
        <v>52</v>
      </c>
      <c r="AA44" s="528" t="s">
        <v>53</v>
      </c>
      <c r="AB44" s="528"/>
    </row>
    <row r="45" spans="1:29" ht="15" thickBot="1">
      <c r="A45" s="169" t="s">
        <v>690</v>
      </c>
      <c r="B45" s="170"/>
      <c r="C45" s="171">
        <f t="shared" ref="C45:X45" si="10">SUM(C46:C63)</f>
        <v>1112868</v>
      </c>
      <c r="D45" s="171">
        <f t="shared" si="10"/>
        <v>1175495</v>
      </c>
      <c r="E45" s="171">
        <f t="shared" si="10"/>
        <v>1436221</v>
      </c>
      <c r="F45" s="171">
        <f t="shared" si="10"/>
        <v>1303390</v>
      </c>
      <c r="G45" s="171">
        <f t="shared" si="10"/>
        <v>952837</v>
      </c>
      <c r="H45" s="171">
        <f t="shared" si="10"/>
        <v>507791</v>
      </c>
      <c r="I45" s="171">
        <f t="shared" si="10"/>
        <v>414933</v>
      </c>
      <c r="J45" s="171">
        <f t="shared" si="10"/>
        <v>606078</v>
      </c>
      <c r="K45" s="171">
        <f t="shared" si="10"/>
        <v>794458</v>
      </c>
      <c r="L45" s="171">
        <f t="shared" si="10"/>
        <v>942565</v>
      </c>
      <c r="M45" s="171">
        <f t="shared" si="10"/>
        <v>1100990</v>
      </c>
      <c r="N45" s="171">
        <f t="shared" si="10"/>
        <v>1300545</v>
      </c>
      <c r="O45" s="171">
        <f t="shared" si="10"/>
        <v>931871</v>
      </c>
      <c r="P45" s="171">
        <f t="shared" si="10"/>
        <v>920712</v>
      </c>
      <c r="Q45" s="171">
        <f t="shared" si="10"/>
        <v>1068262</v>
      </c>
      <c r="R45" s="171">
        <f t="shared" si="10"/>
        <v>1339006</v>
      </c>
      <c r="S45" s="171">
        <f t="shared" si="10"/>
        <v>1090742</v>
      </c>
      <c r="T45" s="171">
        <f t="shared" si="10"/>
        <v>1031968</v>
      </c>
      <c r="U45" s="171">
        <f t="shared" si="10"/>
        <v>1023774</v>
      </c>
      <c r="V45" s="171">
        <f t="shared" si="10"/>
        <v>853522</v>
      </c>
      <c r="W45" s="171">
        <f t="shared" si="10"/>
        <v>827457</v>
      </c>
      <c r="X45" s="171">
        <f t="shared" si="10"/>
        <v>890356</v>
      </c>
      <c r="Y45" s="171">
        <f>SUM(Y46:Y63)</f>
        <v>822072</v>
      </c>
      <c r="Z45" s="171">
        <f>SUM(Z46:Z63)</f>
        <v>837206</v>
      </c>
      <c r="AA45" s="171">
        <f>SUM(AA46:AA63)</f>
        <v>787387</v>
      </c>
      <c r="AB45" s="171">
        <f>SUM(AB46:AB63)</f>
        <v>1244521</v>
      </c>
    </row>
    <row r="46" spans="1:29">
      <c r="A46" s="182" t="s">
        <v>716</v>
      </c>
      <c r="B46" s="183"/>
      <c r="C46" s="189">
        <v>160186</v>
      </c>
      <c r="D46" s="189">
        <v>195084</v>
      </c>
      <c r="E46" s="189">
        <v>333356</v>
      </c>
      <c r="F46" s="189">
        <v>369364</v>
      </c>
      <c r="G46" s="189">
        <v>176979</v>
      </c>
      <c r="H46" s="189">
        <v>139365</v>
      </c>
      <c r="I46" s="189">
        <v>166946</v>
      </c>
      <c r="J46" s="189">
        <v>231544</v>
      </c>
      <c r="K46" s="189">
        <v>185751</v>
      </c>
      <c r="L46" s="189">
        <v>184506</v>
      </c>
      <c r="M46" s="189">
        <v>183941</v>
      </c>
      <c r="N46" s="189">
        <v>273979</v>
      </c>
      <c r="O46" s="189">
        <v>225629</v>
      </c>
      <c r="P46" s="189">
        <v>209677</v>
      </c>
      <c r="Q46" s="189">
        <v>253495</v>
      </c>
      <c r="R46" s="189">
        <v>352751</v>
      </c>
      <c r="S46" s="189">
        <v>240302</v>
      </c>
      <c r="T46" s="189">
        <v>253335</v>
      </c>
      <c r="U46" s="189">
        <v>235069</v>
      </c>
      <c r="V46" s="189">
        <v>301057</v>
      </c>
      <c r="W46" s="189">
        <v>262638</v>
      </c>
      <c r="X46" s="189">
        <v>298500</v>
      </c>
      <c r="Y46" s="189">
        <v>299149</v>
      </c>
      <c r="Z46" s="189">
        <v>324798</v>
      </c>
      <c r="AA46" s="189">
        <v>282864</v>
      </c>
      <c r="AB46" s="189">
        <v>294427</v>
      </c>
    </row>
    <row r="47" spans="1:29">
      <c r="A47" s="182" t="s">
        <v>717</v>
      </c>
      <c r="B47" s="183"/>
      <c r="C47" s="189">
        <v>18945</v>
      </c>
      <c r="D47" s="189">
        <v>21752</v>
      </c>
      <c r="E47" s="189">
        <v>21650</v>
      </c>
      <c r="F47" s="189">
        <v>16948</v>
      </c>
      <c r="G47" s="189">
        <v>15506</v>
      </c>
      <c r="H47" s="189">
        <v>10493</v>
      </c>
      <c r="I47" s="189">
        <v>11481</v>
      </c>
      <c r="J47" s="189">
        <v>8970</v>
      </c>
      <c r="K47" s="189">
        <v>8986</v>
      </c>
      <c r="L47" s="189">
        <v>10099</v>
      </c>
      <c r="M47" s="189">
        <v>11292</v>
      </c>
      <c r="N47" s="189">
        <v>9207</v>
      </c>
      <c r="O47" s="189">
        <v>8078</v>
      </c>
      <c r="P47" s="189">
        <v>8506</v>
      </c>
      <c r="Q47" s="189">
        <v>9145</v>
      </c>
      <c r="R47" s="189">
        <v>8227</v>
      </c>
      <c r="S47" s="189">
        <v>8781</v>
      </c>
      <c r="T47" s="189">
        <v>9603</v>
      </c>
      <c r="U47" s="189">
        <v>10210</v>
      </c>
      <c r="V47" s="189">
        <v>8426</v>
      </c>
      <c r="W47" s="189">
        <v>9521</v>
      </c>
      <c r="X47" s="189">
        <v>9989</v>
      </c>
      <c r="Y47" s="189">
        <v>11126</v>
      </c>
      <c r="Z47" s="189">
        <v>9111</v>
      </c>
      <c r="AA47" s="189">
        <v>11024</v>
      </c>
      <c r="AB47" s="189">
        <v>11294</v>
      </c>
    </row>
    <row r="48" spans="1:29">
      <c r="A48" s="173" t="s">
        <v>718</v>
      </c>
      <c r="B48" s="174"/>
      <c r="C48" s="189">
        <v>348914</v>
      </c>
      <c r="D48" s="189">
        <v>465664</v>
      </c>
      <c r="E48" s="189">
        <v>402922</v>
      </c>
      <c r="F48" s="189">
        <v>225519</v>
      </c>
      <c r="G48" s="189">
        <v>194419</v>
      </c>
      <c r="H48" s="189">
        <v>154032</v>
      </c>
      <c r="I48" s="189">
        <v>108551</v>
      </c>
      <c r="J48" s="189">
        <v>73156</v>
      </c>
      <c r="K48" s="189">
        <v>155286</v>
      </c>
      <c r="L48" s="189">
        <v>242061</v>
      </c>
      <c r="M48" s="189">
        <v>323531</v>
      </c>
      <c r="N48" s="189">
        <v>418296</v>
      </c>
      <c r="O48" s="189">
        <v>386654</v>
      </c>
      <c r="P48" s="189">
        <v>397153</v>
      </c>
      <c r="Q48" s="189">
        <v>397124</v>
      </c>
      <c r="R48" s="189">
        <v>399136</v>
      </c>
      <c r="S48" s="189">
        <v>390103</v>
      </c>
      <c r="T48" s="189">
        <v>395432</v>
      </c>
      <c r="U48" s="189">
        <v>374521</v>
      </c>
      <c r="V48" s="189">
        <v>189655</v>
      </c>
      <c r="W48" s="189">
        <v>198064</v>
      </c>
      <c r="X48" s="189">
        <v>181431</v>
      </c>
      <c r="Y48" s="189">
        <v>45475</v>
      </c>
      <c r="Z48" s="189">
        <v>59603</v>
      </c>
      <c r="AA48" s="189">
        <v>68825</v>
      </c>
      <c r="AB48" s="189">
        <v>346337</v>
      </c>
    </row>
    <row r="49" spans="1:28">
      <c r="A49" s="173" t="s">
        <v>719</v>
      </c>
      <c r="B49" s="174"/>
      <c r="C49" s="189">
        <v>0</v>
      </c>
      <c r="D49" s="189">
        <v>0</v>
      </c>
      <c r="E49" s="189">
        <v>0</v>
      </c>
      <c r="F49" s="189"/>
      <c r="G49" s="189">
        <v>0</v>
      </c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>
        <v>5726</v>
      </c>
      <c r="W49" s="189">
        <v>14894</v>
      </c>
      <c r="X49" s="189">
        <v>6911</v>
      </c>
      <c r="Y49" s="189">
        <v>16097</v>
      </c>
      <c r="Z49" s="189">
        <v>6383</v>
      </c>
      <c r="AA49" s="189">
        <v>14271</v>
      </c>
      <c r="AB49" s="189">
        <v>5910</v>
      </c>
    </row>
    <row r="50" spans="1:28">
      <c r="A50" s="173" t="s">
        <v>720</v>
      </c>
      <c r="B50" s="174"/>
      <c r="C50" s="189">
        <v>143399</v>
      </c>
      <c r="D50" s="189">
        <v>92553</v>
      </c>
      <c r="E50" s="189">
        <v>266912</v>
      </c>
      <c r="F50" s="189">
        <v>271973</v>
      </c>
      <c r="G50" s="189">
        <v>264509</v>
      </c>
      <c r="H50" s="189"/>
      <c r="I50" s="189"/>
      <c r="J50" s="189">
        <v>10077</v>
      </c>
      <c r="K50" s="189">
        <v>32687</v>
      </c>
      <c r="L50" s="189"/>
      <c r="M50" s="189">
        <v>215126</v>
      </c>
      <c r="N50" s="189">
        <v>184479</v>
      </c>
      <c r="O50" s="189"/>
      <c r="P50" s="189"/>
      <c r="Q50" s="189"/>
      <c r="R50" s="189"/>
      <c r="S50" s="189"/>
      <c r="T50" s="189"/>
      <c r="U50" s="189"/>
      <c r="V50" s="189"/>
      <c r="W50" s="189"/>
      <c r="X50" s="189">
        <v>0</v>
      </c>
      <c r="Y50" s="189"/>
      <c r="Z50" s="189"/>
      <c r="AA50" s="189">
        <v>10736</v>
      </c>
      <c r="AB50" s="189">
        <v>19751</v>
      </c>
    </row>
    <row r="51" spans="1:28">
      <c r="A51" s="173" t="s">
        <v>721</v>
      </c>
      <c r="B51" s="174"/>
      <c r="C51" s="189">
        <v>90974</v>
      </c>
      <c r="D51" s="189">
        <v>89402</v>
      </c>
      <c r="E51" s="189">
        <v>84678</v>
      </c>
      <c r="F51" s="189">
        <v>90976</v>
      </c>
      <c r="G51" s="189">
        <v>82299</v>
      </c>
      <c r="H51" s="189">
        <v>53818</v>
      </c>
      <c r="I51" s="189">
        <v>54945</v>
      </c>
      <c r="J51" s="189">
        <v>73443</v>
      </c>
      <c r="K51" s="189">
        <v>61491</v>
      </c>
      <c r="L51" s="189">
        <v>75658</v>
      </c>
      <c r="M51" s="189">
        <v>68694</v>
      </c>
      <c r="N51" s="189">
        <v>152922</v>
      </c>
      <c r="O51" s="189">
        <v>69038</v>
      </c>
      <c r="P51" s="189">
        <v>27361</v>
      </c>
      <c r="Q51" s="189">
        <v>78455</v>
      </c>
      <c r="R51" s="189">
        <v>80861</v>
      </c>
      <c r="S51" s="189">
        <v>77521</v>
      </c>
      <c r="T51" s="189">
        <v>65864</v>
      </c>
      <c r="U51" s="189">
        <v>53973</v>
      </c>
      <c r="V51" s="189">
        <v>60437</v>
      </c>
      <c r="W51" s="189">
        <v>61427</v>
      </c>
      <c r="X51" s="189">
        <v>63088</v>
      </c>
      <c r="Y51" s="189">
        <v>67568</v>
      </c>
      <c r="Z51" s="189">
        <v>75558</v>
      </c>
      <c r="AA51" s="189">
        <v>80792</v>
      </c>
      <c r="AB51" s="189">
        <v>66921</v>
      </c>
    </row>
    <row r="52" spans="1:28">
      <c r="A52" s="173" t="s">
        <v>771</v>
      </c>
      <c r="B52" s="174"/>
      <c r="C52" s="189">
        <v>0</v>
      </c>
      <c r="D52" s="189">
        <v>0</v>
      </c>
      <c r="E52" s="189">
        <v>0</v>
      </c>
      <c r="F52" s="189">
        <v>9218</v>
      </c>
      <c r="G52" s="189">
        <v>0</v>
      </c>
      <c r="H52" s="189"/>
      <c r="I52" s="189">
        <v>2149</v>
      </c>
      <c r="J52" s="189">
        <v>29395</v>
      </c>
      <c r="K52" s="189">
        <v>25050</v>
      </c>
      <c r="L52" s="189">
        <v>55223</v>
      </c>
      <c r="M52" s="189">
        <v>8793</v>
      </c>
      <c r="N52" s="189">
        <v>8797</v>
      </c>
      <c r="O52" s="189">
        <v>6528</v>
      </c>
      <c r="P52" s="189">
        <v>14948</v>
      </c>
      <c r="Q52" s="189">
        <v>7775</v>
      </c>
      <c r="R52" s="189">
        <v>6668</v>
      </c>
      <c r="S52" s="189">
        <v>4898</v>
      </c>
      <c r="T52" s="189">
        <v>13106</v>
      </c>
      <c r="U52" s="189">
        <v>18442</v>
      </c>
      <c r="V52" s="189">
        <v>27287</v>
      </c>
      <c r="W52" s="189">
        <v>5397</v>
      </c>
      <c r="X52" s="189">
        <v>16860</v>
      </c>
      <c r="Y52" s="189">
        <v>23648</v>
      </c>
      <c r="Z52" s="366">
        <v>29133</v>
      </c>
      <c r="AA52" s="189">
        <v>4633</v>
      </c>
      <c r="AB52" s="189">
        <v>7375</v>
      </c>
    </row>
    <row r="53" spans="1:28">
      <c r="A53" s="173" t="s">
        <v>1285</v>
      </c>
      <c r="B53" s="174"/>
      <c r="C53" s="189">
        <v>0</v>
      </c>
      <c r="D53" s="189">
        <v>0</v>
      </c>
      <c r="E53" s="189">
        <v>0</v>
      </c>
      <c r="F53" s="189"/>
      <c r="G53" s="189">
        <v>0</v>
      </c>
      <c r="H53" s="189"/>
      <c r="I53" s="189"/>
      <c r="J53" s="189"/>
      <c r="K53" s="189"/>
      <c r="L53" s="189"/>
      <c r="M53" s="189"/>
      <c r="N53" s="189">
        <v>56946</v>
      </c>
      <c r="O53" s="189">
        <v>56946</v>
      </c>
      <c r="P53" s="189">
        <v>64110</v>
      </c>
      <c r="Q53" s="189">
        <v>64110</v>
      </c>
      <c r="R53" s="189">
        <v>259306</v>
      </c>
      <c r="S53" s="189">
        <v>179536</v>
      </c>
      <c r="T53" s="189">
        <v>179529</v>
      </c>
      <c r="U53" s="189">
        <v>179529</v>
      </c>
      <c r="V53" s="189">
        <v>69481</v>
      </c>
      <c r="W53" s="189">
        <v>69348</v>
      </c>
      <c r="X53" s="189">
        <v>69348</v>
      </c>
      <c r="Y53" s="189">
        <v>118048</v>
      </c>
      <c r="Z53" s="366">
        <v>122136</v>
      </c>
      <c r="AA53" s="189">
        <v>105328</v>
      </c>
      <c r="AB53" s="189">
        <f>+[2]Passivo!$Z$24</f>
        <v>278908</v>
      </c>
    </row>
    <row r="54" spans="1:28">
      <c r="A54" s="173" t="s">
        <v>784</v>
      </c>
      <c r="B54" s="174"/>
      <c r="C54" s="189">
        <v>25469</v>
      </c>
      <c r="D54" s="189">
        <v>29451</v>
      </c>
      <c r="E54" s="189">
        <v>46778</v>
      </c>
      <c r="F54" s="189">
        <v>64694</v>
      </c>
      <c r="G54" s="189">
        <v>3876</v>
      </c>
      <c r="H54" s="189">
        <v>9928</v>
      </c>
      <c r="I54" s="189"/>
      <c r="J54" s="189">
        <v>21887</v>
      </c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>
        <v>0</v>
      </c>
      <c r="Y54" s="189"/>
      <c r="Z54" s="189"/>
      <c r="AA54" s="189"/>
      <c r="AB54" s="189"/>
    </row>
    <row r="55" spans="1:28">
      <c r="A55" s="173" t="s">
        <v>725</v>
      </c>
      <c r="B55" s="174"/>
      <c r="C55" s="189">
        <v>45513</v>
      </c>
      <c r="D55" s="189">
        <v>47522</v>
      </c>
      <c r="E55" s="189">
        <v>48927</v>
      </c>
      <c r="F55" s="189">
        <v>53010</v>
      </c>
      <c r="G55" s="189">
        <v>52804</v>
      </c>
      <c r="H55" s="189">
        <v>48265</v>
      </c>
      <c r="I55" s="189">
        <v>20245</v>
      </c>
      <c r="J55" s="189"/>
      <c r="K55" s="189">
        <v>19914</v>
      </c>
      <c r="L55" s="189">
        <v>18566</v>
      </c>
      <c r="M55" s="189">
        <v>19826</v>
      </c>
      <c r="N55" s="189">
        <v>22069</v>
      </c>
      <c r="O55" s="189">
        <v>24578</v>
      </c>
      <c r="P55" s="189">
        <v>23608</v>
      </c>
      <c r="Q55" s="189">
        <v>25926</v>
      </c>
      <c r="R55" s="189">
        <v>33102</v>
      </c>
      <c r="S55" s="189">
        <v>36759</v>
      </c>
      <c r="T55" s="189">
        <v>24532</v>
      </c>
      <c r="U55" s="189">
        <v>22702</v>
      </c>
      <c r="V55" s="189">
        <v>22742</v>
      </c>
      <c r="W55" s="189">
        <v>21952</v>
      </c>
      <c r="X55" s="189">
        <v>16634</v>
      </c>
      <c r="Y55" s="189">
        <v>11943</v>
      </c>
      <c r="Z55" s="189">
        <v>12633</v>
      </c>
      <c r="AA55" s="189">
        <v>10027</v>
      </c>
      <c r="AB55" s="189">
        <v>7786</v>
      </c>
    </row>
    <row r="56" spans="1:28">
      <c r="A56" s="173" t="s">
        <v>724</v>
      </c>
      <c r="B56" s="174"/>
      <c r="C56" s="189">
        <v>0</v>
      </c>
      <c r="D56" s="189">
        <v>0</v>
      </c>
      <c r="E56" s="189">
        <v>0</v>
      </c>
      <c r="F56" s="189">
        <v>12841</v>
      </c>
      <c r="G56" s="189">
        <v>0</v>
      </c>
      <c r="H56" s="189">
        <v>11622</v>
      </c>
      <c r="I56" s="189">
        <v>13524</v>
      </c>
      <c r="J56" s="189">
        <v>45279</v>
      </c>
      <c r="K56" s="189">
        <v>48290</v>
      </c>
      <c r="L56" s="189">
        <v>50248</v>
      </c>
      <c r="M56" s="189">
        <v>50480</v>
      </c>
      <c r="N56" s="189">
        <v>73276</v>
      </c>
      <c r="O56" s="189">
        <v>77251</v>
      </c>
      <c r="P56" s="189">
        <v>111734</v>
      </c>
      <c r="Q56" s="189">
        <v>68172</v>
      </c>
      <c r="R56" s="189">
        <v>61767</v>
      </c>
      <c r="S56" s="189">
        <v>62537</v>
      </c>
      <c r="T56" s="189">
        <v>51404</v>
      </c>
      <c r="U56" s="189">
        <v>47583</v>
      </c>
      <c r="V56" s="189">
        <v>63922</v>
      </c>
      <c r="W56" s="189">
        <v>64900</v>
      </c>
      <c r="X56" s="189">
        <v>64649</v>
      </c>
      <c r="Y56" s="189">
        <v>50490</v>
      </c>
      <c r="Z56" s="189">
        <v>53049</v>
      </c>
      <c r="AA56" s="189">
        <v>51485</v>
      </c>
      <c r="AB56" s="189">
        <v>52321</v>
      </c>
    </row>
    <row r="57" spans="1:28">
      <c r="A57" s="173" t="s">
        <v>727</v>
      </c>
      <c r="B57" s="174"/>
      <c r="C57" s="189">
        <v>0</v>
      </c>
      <c r="D57" s="189">
        <v>0</v>
      </c>
      <c r="E57" s="189">
        <v>0</v>
      </c>
      <c r="F57" s="189"/>
      <c r="G57" s="189">
        <v>0</v>
      </c>
      <c r="H57" s="189"/>
      <c r="I57" s="189">
        <v>5371</v>
      </c>
      <c r="J57" s="189">
        <v>10741</v>
      </c>
      <c r="K57" s="189">
        <v>12945</v>
      </c>
      <c r="L57" s="189">
        <v>6590</v>
      </c>
      <c r="M57" s="189">
        <v>7159</v>
      </c>
      <c r="N57" s="189">
        <v>9363</v>
      </c>
      <c r="O57" s="189">
        <v>11392</v>
      </c>
      <c r="P57" s="189">
        <v>5462</v>
      </c>
      <c r="Q57" s="189">
        <v>7490</v>
      </c>
      <c r="R57" s="189">
        <v>9918</v>
      </c>
      <c r="S57" s="189">
        <v>12154</v>
      </c>
      <c r="T57" s="189">
        <v>8155</v>
      </c>
      <c r="U57" s="189">
        <v>9731</v>
      </c>
      <c r="V57" s="189">
        <v>12019</v>
      </c>
      <c r="W57" s="189">
        <v>6287</v>
      </c>
      <c r="X57" s="189">
        <v>5522</v>
      </c>
      <c r="Y57" s="189">
        <v>7874</v>
      </c>
      <c r="Z57" s="189">
        <v>10225</v>
      </c>
      <c r="AA57" s="189">
        <v>3483</v>
      </c>
      <c r="AB57" s="189">
        <v>3786</v>
      </c>
    </row>
    <row r="58" spans="1:28">
      <c r="A58" s="173" t="s">
        <v>759</v>
      </c>
      <c r="B58" s="174"/>
      <c r="C58" s="189">
        <v>0</v>
      </c>
      <c r="D58" s="189">
        <v>0</v>
      </c>
      <c r="E58" s="189">
        <v>0</v>
      </c>
      <c r="F58" s="189"/>
      <c r="G58" s="189">
        <v>0</v>
      </c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>
        <v>0</v>
      </c>
      <c r="Y58" s="189"/>
      <c r="Z58" s="189"/>
      <c r="AA58" s="189"/>
      <c r="AB58" s="189"/>
    </row>
    <row r="59" spans="1:28">
      <c r="A59" s="173" t="s">
        <v>701</v>
      </c>
      <c r="B59" s="174"/>
      <c r="C59" s="189">
        <v>0</v>
      </c>
      <c r="D59" s="189">
        <v>0</v>
      </c>
      <c r="E59" s="189">
        <v>0</v>
      </c>
      <c r="F59" s="189"/>
      <c r="G59" s="189">
        <v>0</v>
      </c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>
        <v>69</v>
      </c>
      <c r="W59" s="189">
        <v>203</v>
      </c>
      <c r="X59" s="189">
        <v>0</v>
      </c>
      <c r="Y59" s="189">
        <v>213</v>
      </c>
      <c r="Z59" s="189">
        <v>449</v>
      </c>
      <c r="AA59" s="189">
        <v>350</v>
      </c>
      <c r="AB59" s="189">
        <v>0</v>
      </c>
    </row>
    <row r="60" spans="1:28">
      <c r="A60" s="173" t="s">
        <v>729</v>
      </c>
      <c r="B60" s="174"/>
      <c r="C60" s="189"/>
      <c r="D60" s="189"/>
      <c r="E60" s="189"/>
      <c r="F60" s="189"/>
      <c r="G60" s="189"/>
      <c r="H60" s="189"/>
      <c r="I60" s="189"/>
      <c r="J60" s="189">
        <v>19024</v>
      </c>
      <c r="K60" s="189">
        <v>157168</v>
      </c>
      <c r="L60" s="189">
        <v>209520</v>
      </c>
      <c r="M60" s="189">
        <v>122281</v>
      </c>
      <c r="N60" s="189"/>
      <c r="O60" s="189"/>
      <c r="P60" s="189"/>
      <c r="Q60" s="189">
        <v>87842</v>
      </c>
      <c r="R60" s="189">
        <v>48788</v>
      </c>
      <c r="S60" s="189">
        <v>9732</v>
      </c>
      <c r="T60" s="189"/>
      <c r="U60" s="189"/>
      <c r="V60" s="189"/>
      <c r="W60" s="189"/>
      <c r="X60" s="189">
        <v>310</v>
      </c>
      <c r="Y60" s="189">
        <v>42</v>
      </c>
      <c r="Z60" s="189">
        <v>25</v>
      </c>
      <c r="AA60" s="189">
        <v>8</v>
      </c>
      <c r="AB60" s="189">
        <v>0</v>
      </c>
    </row>
    <row r="61" spans="1:28">
      <c r="A61" s="173" t="s">
        <v>785</v>
      </c>
      <c r="B61" s="174"/>
      <c r="C61" s="189">
        <v>252000</v>
      </c>
      <c r="D61" s="189">
        <v>208000</v>
      </c>
      <c r="E61" s="189">
        <v>208000</v>
      </c>
      <c r="F61" s="189">
        <v>168000</v>
      </c>
      <c r="G61" s="189">
        <v>146651</v>
      </c>
      <c r="H61" s="189">
        <v>72000</v>
      </c>
      <c r="I61" s="189">
        <v>471</v>
      </c>
      <c r="J61" s="189">
        <v>50370</v>
      </c>
      <c r="K61" s="189">
        <v>46574</v>
      </c>
      <c r="L61" s="189">
        <v>43034</v>
      </c>
      <c r="M61" s="189">
        <v>41731</v>
      </c>
      <c r="N61" s="189">
        <v>48069</v>
      </c>
      <c r="O61" s="189">
        <v>45909</v>
      </c>
      <c r="P61" s="189">
        <v>36163</v>
      </c>
      <c r="Q61" s="189">
        <v>28171</v>
      </c>
      <c r="R61" s="189">
        <v>19067</v>
      </c>
      <c r="S61" s="189">
        <v>17130</v>
      </c>
      <c r="T61" s="189">
        <v>11496</v>
      </c>
      <c r="U61" s="189">
        <v>10312</v>
      </c>
      <c r="V61" s="189">
        <v>10596</v>
      </c>
      <c r="W61" s="189">
        <v>11646</v>
      </c>
      <c r="X61" s="189">
        <v>10903</v>
      </c>
      <c r="Y61" s="189">
        <v>10613</v>
      </c>
      <c r="Z61" s="189">
        <v>11566</v>
      </c>
      <c r="AA61" s="189">
        <v>12636</v>
      </c>
      <c r="AB61" s="189">
        <v>11875</v>
      </c>
    </row>
    <row r="62" spans="1:28">
      <c r="A62" s="173" t="s">
        <v>731</v>
      </c>
      <c r="B62" s="174"/>
      <c r="C62" s="189"/>
      <c r="D62" s="189"/>
      <c r="E62" s="189"/>
      <c r="F62" s="189"/>
      <c r="G62" s="189"/>
      <c r="H62" s="189"/>
      <c r="I62" s="189"/>
      <c r="J62" s="189">
        <v>292</v>
      </c>
      <c r="K62" s="189">
        <v>1921</v>
      </c>
      <c r="L62" s="189">
        <v>1855</v>
      </c>
      <c r="M62" s="189">
        <v>1152</v>
      </c>
      <c r="N62" s="189">
        <v>1364</v>
      </c>
      <c r="O62" s="189">
        <v>1239</v>
      </c>
      <c r="P62" s="189">
        <v>1074</v>
      </c>
      <c r="Q62" s="189">
        <v>248</v>
      </c>
      <c r="R62" s="189">
        <v>327</v>
      </c>
      <c r="S62" s="189">
        <v>328</v>
      </c>
      <c r="T62" s="189">
        <v>326</v>
      </c>
      <c r="U62" s="189">
        <v>325</v>
      </c>
      <c r="V62" s="189">
        <v>362</v>
      </c>
      <c r="W62" s="189">
        <v>349</v>
      </c>
      <c r="X62" s="189">
        <v>290</v>
      </c>
      <c r="Y62" s="189">
        <v>249</v>
      </c>
      <c r="Z62" s="189">
        <v>312</v>
      </c>
      <c r="AA62" s="189">
        <v>315</v>
      </c>
      <c r="AB62" s="189">
        <v>315</v>
      </c>
    </row>
    <row r="63" spans="1:28" ht="15" thickBot="1">
      <c r="A63" s="173" t="s">
        <v>730</v>
      </c>
      <c r="B63" s="174"/>
      <c r="C63" s="189">
        <v>27468</v>
      </c>
      <c r="D63" s="189">
        <v>26067</v>
      </c>
      <c r="E63" s="189">
        <v>22998</v>
      </c>
      <c r="F63" s="189">
        <v>20847</v>
      </c>
      <c r="G63" s="189">
        <v>15794</v>
      </c>
      <c r="H63" s="189">
        <v>8268</v>
      </c>
      <c r="I63" s="189">
        <v>31250</v>
      </c>
      <c r="J63" s="189">
        <v>31900</v>
      </c>
      <c r="K63" s="189">
        <v>38395</v>
      </c>
      <c r="L63" s="189">
        <v>45205</v>
      </c>
      <c r="M63" s="189">
        <v>46984</v>
      </c>
      <c r="N63" s="189">
        <v>41778</v>
      </c>
      <c r="O63" s="189">
        <v>18629</v>
      </c>
      <c r="P63" s="189">
        <v>20916</v>
      </c>
      <c r="Q63" s="189">
        <v>40309</v>
      </c>
      <c r="R63" s="189">
        <v>59088</v>
      </c>
      <c r="S63" s="189">
        <v>50961</v>
      </c>
      <c r="T63" s="189">
        <v>19186</v>
      </c>
      <c r="U63" s="189">
        <v>61377</v>
      </c>
      <c r="V63" s="189">
        <v>81743</v>
      </c>
      <c r="W63" s="189">
        <v>100831</v>
      </c>
      <c r="X63" s="189">
        <v>145921</v>
      </c>
      <c r="Y63" s="189">
        <v>159537</v>
      </c>
      <c r="Z63" s="189">
        <v>122225</v>
      </c>
      <c r="AA63" s="189">
        <v>130610</v>
      </c>
      <c r="AB63" s="189">
        <v>137515</v>
      </c>
    </row>
    <row r="64" spans="1:28" ht="15" thickBot="1">
      <c r="A64" s="177" t="s">
        <v>706</v>
      </c>
      <c r="B64" s="170"/>
      <c r="C64" s="178">
        <f>SUM(C65:C80)</f>
        <v>2339702</v>
      </c>
      <c r="D64" s="178">
        <f>SUM(D65:D80)</f>
        <v>2576569.4275000002</v>
      </c>
      <c r="E64" s="178">
        <f>SUM(E65:E80)</f>
        <v>2551708</v>
      </c>
      <c r="F64" s="178">
        <f>SUM(F65:F80)</f>
        <v>2734786</v>
      </c>
      <c r="G64" s="178">
        <f>SUM(G65:G80)</f>
        <v>3356930</v>
      </c>
      <c r="H64" s="178">
        <f t="shared" ref="H64:W64" si="11">SUM(H65:H80)</f>
        <v>3415517</v>
      </c>
      <c r="I64" s="178">
        <f t="shared" si="11"/>
        <v>3674351</v>
      </c>
      <c r="J64" s="178">
        <f t="shared" si="11"/>
        <v>3096184</v>
      </c>
      <c r="K64" s="178">
        <f t="shared" si="11"/>
        <v>3131848</v>
      </c>
      <c r="L64" s="178">
        <f t="shared" si="11"/>
        <v>2955870</v>
      </c>
      <c r="M64" s="178">
        <f t="shared" si="11"/>
        <v>3054438</v>
      </c>
      <c r="N64" s="178">
        <f t="shared" si="11"/>
        <v>2877446</v>
      </c>
      <c r="O64" s="178">
        <f t="shared" si="11"/>
        <v>2302374</v>
      </c>
      <c r="P64" s="178">
        <f t="shared" si="11"/>
        <v>2016028</v>
      </c>
      <c r="Q64" s="178">
        <f t="shared" si="11"/>
        <v>1914352</v>
      </c>
      <c r="R64" s="178">
        <f t="shared" si="11"/>
        <v>1894458</v>
      </c>
      <c r="S64" s="178">
        <f t="shared" si="11"/>
        <v>1924429</v>
      </c>
      <c r="T64" s="178">
        <f t="shared" si="11"/>
        <v>1867939</v>
      </c>
      <c r="U64" s="178">
        <f t="shared" si="11"/>
        <v>1802880</v>
      </c>
      <c r="V64" s="178">
        <f t="shared" si="11"/>
        <v>2041883</v>
      </c>
      <c r="W64" s="178">
        <f t="shared" si="11"/>
        <v>2001411</v>
      </c>
      <c r="X64" s="178">
        <f>SUM(X65:X80)</f>
        <v>1936368</v>
      </c>
      <c r="Y64" s="178">
        <f>SUM(Y65:Y80)</f>
        <v>2039899</v>
      </c>
      <c r="Z64" s="178">
        <f>SUM(Z65:Z80)</f>
        <v>2269316</v>
      </c>
      <c r="AA64" s="178">
        <f>SUM(AA65:AA80)</f>
        <v>2290191</v>
      </c>
      <c r="AB64" s="178">
        <f>SUM(AB65:AB80)</f>
        <v>2107271</v>
      </c>
    </row>
    <row r="65" spans="1:28">
      <c r="A65" s="173" t="s">
        <v>718</v>
      </c>
      <c r="B65" s="174"/>
      <c r="C65" s="201">
        <v>1709233</v>
      </c>
      <c r="D65" s="201">
        <v>1695136</v>
      </c>
      <c r="E65" s="201">
        <v>1779181</v>
      </c>
      <c r="F65" s="201">
        <v>2248995</v>
      </c>
      <c r="G65" s="201">
        <v>2690214</v>
      </c>
      <c r="H65" s="201">
        <v>2682148</v>
      </c>
      <c r="I65" s="201">
        <v>2673499</v>
      </c>
      <c r="J65" s="201">
        <v>2123362</v>
      </c>
      <c r="K65" s="201">
        <v>2301026</v>
      </c>
      <c r="L65" s="201">
        <v>2221980</v>
      </c>
      <c r="M65" s="201">
        <v>2231012</v>
      </c>
      <c r="N65" s="201">
        <v>2195769</v>
      </c>
      <c r="O65" s="201">
        <v>1569188</v>
      </c>
      <c r="P65" s="201">
        <v>1469917</v>
      </c>
      <c r="Q65" s="201">
        <v>1381800</v>
      </c>
      <c r="R65" s="201">
        <v>1410923</v>
      </c>
      <c r="S65" s="201">
        <v>1441060</v>
      </c>
      <c r="T65" s="201">
        <v>1365108</v>
      </c>
      <c r="U65" s="201">
        <v>1300797</v>
      </c>
      <c r="V65" s="201">
        <v>1274829</v>
      </c>
      <c r="W65" s="201">
        <v>1225957</v>
      </c>
      <c r="X65" s="201">
        <v>1151887</v>
      </c>
      <c r="Y65" s="201">
        <v>1264016</v>
      </c>
      <c r="Z65" s="201">
        <v>1480827</v>
      </c>
      <c r="AA65" s="201">
        <v>1500951</v>
      </c>
      <c r="AB65" s="201">
        <v>1297084</v>
      </c>
    </row>
    <row r="66" spans="1:28">
      <c r="A66" s="173" t="s">
        <v>719</v>
      </c>
      <c r="B66" s="174"/>
      <c r="C66" s="201">
        <v>0</v>
      </c>
      <c r="D66" s="201">
        <v>0</v>
      </c>
      <c r="E66" s="201">
        <v>0</v>
      </c>
      <c r="F66" s="201"/>
      <c r="G66" s="201">
        <v>0</v>
      </c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>
        <v>297444</v>
      </c>
      <c r="W66" s="201">
        <v>299806</v>
      </c>
      <c r="X66" s="201">
        <v>301137</v>
      </c>
      <c r="Y66" s="201">
        <v>301500</v>
      </c>
      <c r="Z66" s="201">
        <v>302419</v>
      </c>
      <c r="AA66" s="201">
        <v>304680</v>
      </c>
      <c r="AB66" s="201">
        <v>305661</v>
      </c>
    </row>
    <row r="67" spans="1:28">
      <c r="A67" s="173" t="s">
        <v>721</v>
      </c>
      <c r="B67" s="174"/>
      <c r="C67" s="201">
        <v>31586</v>
      </c>
      <c r="D67" s="201">
        <v>158322</v>
      </c>
      <c r="E67" s="201">
        <v>194662</v>
      </c>
      <c r="F67" s="201">
        <v>23797</v>
      </c>
      <c r="G67" s="201">
        <v>180221</v>
      </c>
      <c r="H67" s="201">
        <v>179863</v>
      </c>
      <c r="I67" s="201">
        <v>275515.00000000006</v>
      </c>
      <c r="J67" s="201">
        <v>9209</v>
      </c>
      <c r="K67" s="201">
        <v>8876</v>
      </c>
      <c r="L67" s="201">
        <v>7749</v>
      </c>
      <c r="M67" s="201">
        <v>29160</v>
      </c>
      <c r="N67" s="201">
        <v>37514</v>
      </c>
      <c r="O67" s="201">
        <v>34404</v>
      </c>
      <c r="P67" s="201">
        <v>31339</v>
      </c>
      <c r="Q67" s="201">
        <v>28239</v>
      </c>
      <c r="R67" s="201">
        <v>25201</v>
      </c>
      <c r="S67" s="201">
        <v>22514</v>
      </c>
      <c r="T67" s="201">
        <v>20560</v>
      </c>
      <c r="U67" s="201">
        <v>18577</v>
      </c>
      <c r="V67" s="201">
        <v>16494</v>
      </c>
      <c r="W67" s="201">
        <v>14314</v>
      </c>
      <c r="X67" s="201">
        <v>12048</v>
      </c>
      <c r="Y67" s="201">
        <v>9694</v>
      </c>
      <c r="Z67" s="201">
        <v>4668</v>
      </c>
      <c r="AA67" s="201">
        <v>2815</v>
      </c>
      <c r="AB67" s="201">
        <v>1459</v>
      </c>
    </row>
    <row r="68" spans="1:28">
      <c r="A68" s="173" t="s">
        <v>786</v>
      </c>
      <c r="B68" s="174"/>
      <c r="C68" s="201"/>
      <c r="D68" s="201"/>
      <c r="E68" s="201"/>
      <c r="F68" s="201"/>
      <c r="G68" s="201"/>
      <c r="H68" s="201"/>
      <c r="I68" s="201"/>
      <c r="J68" s="201"/>
      <c r="K68" s="201">
        <v>159487</v>
      </c>
      <c r="L68" s="201">
        <v>159487</v>
      </c>
      <c r="M68" s="201">
        <v>159487</v>
      </c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>
        <v>0</v>
      </c>
      <c r="Y68" s="201"/>
      <c r="Z68" s="201"/>
      <c r="AA68" s="201"/>
      <c r="AB68" s="201"/>
    </row>
    <row r="69" spans="1:28">
      <c r="A69" s="173" t="s">
        <v>750</v>
      </c>
      <c r="B69" s="174"/>
      <c r="C69" s="201">
        <v>97872</v>
      </c>
      <c r="D69" s="201">
        <v>249469</v>
      </c>
      <c r="E69" s="201">
        <v>144986</v>
      </c>
      <c r="F69" s="201">
        <v>228645</v>
      </c>
      <c r="G69" s="201">
        <v>242495</v>
      </c>
      <c r="H69" s="201">
        <v>277377</v>
      </c>
      <c r="I69" s="201">
        <v>280912</v>
      </c>
      <c r="J69" s="201">
        <f>34839+159487</f>
        <v>194326</v>
      </c>
      <c r="K69" s="201">
        <v>34839</v>
      </c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>
        <v>0</v>
      </c>
      <c r="Y69" s="201"/>
      <c r="Z69" s="201"/>
      <c r="AA69" s="201"/>
      <c r="AB69" s="201"/>
    </row>
    <row r="70" spans="1:28">
      <c r="A70" s="173" t="s">
        <v>701</v>
      </c>
      <c r="B70" s="174"/>
      <c r="C70" s="201">
        <v>0</v>
      </c>
      <c r="D70" s="201">
        <v>0</v>
      </c>
      <c r="E70" s="201">
        <v>0</v>
      </c>
      <c r="F70" s="201"/>
      <c r="G70" s="201">
        <v>0</v>
      </c>
      <c r="H70" s="201"/>
      <c r="I70" s="201">
        <v>168076</v>
      </c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>
        <v>6251</v>
      </c>
      <c r="W70" s="201">
        <v>15012</v>
      </c>
      <c r="X70" s="201">
        <v>26535</v>
      </c>
      <c r="Y70" s="201">
        <v>21020</v>
      </c>
      <c r="Z70" s="201">
        <v>32556</v>
      </c>
      <c r="AA70" s="201">
        <v>21996</v>
      </c>
      <c r="AB70" s="201">
        <v>0</v>
      </c>
    </row>
    <row r="71" spans="1:28">
      <c r="A71" s="173" t="s">
        <v>785</v>
      </c>
      <c r="B71" s="174"/>
      <c r="C71" s="201">
        <v>195503</v>
      </c>
      <c r="D71" s="201">
        <v>156489</v>
      </c>
      <c r="E71" s="201">
        <v>111203</v>
      </c>
      <c r="F71" s="201">
        <v>117839</v>
      </c>
      <c r="G71" s="201">
        <v>125896</v>
      </c>
      <c r="H71" s="201">
        <v>129474</v>
      </c>
      <c r="I71" s="201">
        <v>127175</v>
      </c>
      <c r="J71" s="201">
        <v>223934</v>
      </c>
      <c r="K71" s="201">
        <v>218988</v>
      </c>
      <c r="L71" s="201">
        <v>212060</v>
      </c>
      <c r="M71" s="201">
        <v>196655</v>
      </c>
      <c r="N71" s="201">
        <v>176995</v>
      </c>
      <c r="O71" s="201">
        <v>172811</v>
      </c>
      <c r="P71" s="201">
        <v>174705</v>
      </c>
      <c r="Q71" s="201">
        <v>172109</v>
      </c>
      <c r="R71" s="201">
        <v>149473</v>
      </c>
      <c r="S71" s="201">
        <v>153227</v>
      </c>
      <c r="T71" s="201">
        <v>157422</v>
      </c>
      <c r="U71" s="201">
        <v>152920</v>
      </c>
      <c r="V71" s="201">
        <v>154676</v>
      </c>
      <c r="W71" s="201">
        <v>156650</v>
      </c>
      <c r="X71" s="201">
        <v>158704</v>
      </c>
      <c r="Y71" s="201">
        <v>156887</v>
      </c>
      <c r="Z71" s="201">
        <v>154071</v>
      </c>
      <c r="AA71" s="201">
        <v>165617</v>
      </c>
      <c r="AB71" s="201">
        <v>162539</v>
      </c>
    </row>
    <row r="72" spans="1:28">
      <c r="A72" s="173" t="s">
        <v>720</v>
      </c>
      <c r="B72" s="174"/>
      <c r="C72" s="201">
        <v>0</v>
      </c>
      <c r="D72" s="201">
        <v>0</v>
      </c>
      <c r="E72" s="201">
        <v>0</v>
      </c>
      <c r="F72" s="201"/>
      <c r="G72" s="201">
        <v>0</v>
      </c>
      <c r="H72" s="201"/>
      <c r="I72" s="201"/>
      <c r="J72" s="201"/>
      <c r="K72" s="201"/>
      <c r="L72" s="201"/>
      <c r="M72" s="201"/>
      <c r="N72" s="201"/>
      <c r="O72" s="201">
        <v>58481</v>
      </c>
      <c r="P72" s="201">
        <v>15700</v>
      </c>
      <c r="Q72" s="201"/>
      <c r="R72" s="201"/>
      <c r="S72" s="201"/>
      <c r="T72" s="201">
        <v>12452</v>
      </c>
      <c r="U72" s="201">
        <v>18385</v>
      </c>
      <c r="V72" s="201">
        <v>3910</v>
      </c>
      <c r="W72" s="201">
        <v>452</v>
      </c>
      <c r="X72" s="201">
        <v>0</v>
      </c>
      <c r="Y72" s="201"/>
      <c r="Z72" s="201"/>
      <c r="AA72" s="201">
        <v>1506</v>
      </c>
      <c r="AB72" s="201">
        <v>47555</v>
      </c>
    </row>
    <row r="73" spans="1:28">
      <c r="A73" s="173" t="s">
        <v>759</v>
      </c>
      <c r="B73" s="174"/>
      <c r="C73" s="201">
        <v>0</v>
      </c>
      <c r="D73" s="201">
        <v>0</v>
      </c>
      <c r="E73" s="201">
        <v>0</v>
      </c>
      <c r="F73" s="201"/>
      <c r="G73" s="201">
        <v>0</v>
      </c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>
        <v>0</v>
      </c>
      <c r="Y73" s="201"/>
      <c r="Z73" s="201"/>
      <c r="AA73" s="201"/>
      <c r="AB73" s="201"/>
    </row>
    <row r="74" spans="1:28">
      <c r="A74" s="173" t="s">
        <v>725</v>
      </c>
      <c r="B74" s="174"/>
      <c r="C74" s="201">
        <v>0</v>
      </c>
      <c r="D74" s="201">
        <v>0</v>
      </c>
      <c r="E74" s="201">
        <v>0</v>
      </c>
      <c r="F74" s="201"/>
      <c r="G74" s="201">
        <v>0</v>
      </c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>
        <v>0</v>
      </c>
      <c r="Y74" s="201"/>
      <c r="Z74" s="201"/>
      <c r="AA74" s="201"/>
      <c r="AB74" s="201"/>
    </row>
    <row r="75" spans="1:28">
      <c r="A75" s="173" t="s">
        <v>724</v>
      </c>
      <c r="B75" s="174"/>
      <c r="C75" s="201">
        <v>32828</v>
      </c>
      <c r="D75" s="201">
        <v>41287</v>
      </c>
      <c r="E75" s="201">
        <v>42429</v>
      </c>
      <c r="F75" s="201">
        <v>45552</v>
      </c>
      <c r="G75" s="201">
        <v>47772</v>
      </c>
      <c r="H75" s="201">
        <v>50985</v>
      </c>
      <c r="I75" s="201">
        <v>52479</v>
      </c>
      <c r="J75" s="201">
        <v>25833</v>
      </c>
      <c r="K75" s="201">
        <v>26114</v>
      </c>
      <c r="L75" s="201">
        <v>26325</v>
      </c>
      <c r="M75" s="201">
        <v>26460</v>
      </c>
      <c r="N75" s="201">
        <v>7997</v>
      </c>
      <c r="O75" s="201">
        <v>7395</v>
      </c>
      <c r="P75" s="201">
        <v>7459</v>
      </c>
      <c r="Q75" s="201"/>
      <c r="R75" s="201">
        <v>7560</v>
      </c>
      <c r="S75" s="201">
        <v>9004</v>
      </c>
      <c r="T75" s="201">
        <v>16232</v>
      </c>
      <c r="U75" s="201"/>
      <c r="V75" s="201">
        <v>5149</v>
      </c>
      <c r="W75" s="201">
        <v>7224</v>
      </c>
      <c r="X75" s="201">
        <v>7214</v>
      </c>
      <c r="Y75" s="201">
        <v>8585</v>
      </c>
      <c r="Z75" s="201">
        <v>7765</v>
      </c>
      <c r="AA75" s="201">
        <v>10348</v>
      </c>
      <c r="AB75" s="201">
        <v>12825</v>
      </c>
    </row>
    <row r="76" spans="1:28">
      <c r="A76" s="173" t="s">
        <v>729</v>
      </c>
      <c r="B76" s="174"/>
      <c r="C76" s="201"/>
      <c r="D76" s="201"/>
      <c r="E76" s="201"/>
      <c r="F76" s="201"/>
      <c r="G76" s="201"/>
      <c r="H76" s="201"/>
      <c r="I76" s="201"/>
      <c r="J76" s="201">
        <v>271210</v>
      </c>
      <c r="K76" s="201">
        <v>137949</v>
      </c>
      <c r="L76" s="201">
        <v>87598</v>
      </c>
      <c r="M76" s="201">
        <v>176067</v>
      </c>
      <c r="N76" s="201">
        <v>299236</v>
      </c>
      <c r="O76" s="201">
        <v>299750</v>
      </c>
      <c r="P76" s="201">
        <v>153621</v>
      </c>
      <c r="Q76" s="201">
        <v>153821</v>
      </c>
      <c r="R76" s="201">
        <v>154005</v>
      </c>
      <c r="S76" s="201">
        <v>154280</v>
      </c>
      <c r="T76" s="201">
        <v>154619</v>
      </c>
      <c r="U76" s="201">
        <v>155010</v>
      </c>
      <c r="V76" s="201">
        <v>155388</v>
      </c>
      <c r="W76" s="201">
        <v>155772</v>
      </c>
      <c r="X76" s="201">
        <v>153510</v>
      </c>
      <c r="Y76" s="201">
        <v>154008</v>
      </c>
      <c r="Z76" s="201">
        <v>155147</v>
      </c>
      <c r="AA76" s="201">
        <v>155441</v>
      </c>
      <c r="AB76" s="201">
        <v>155866</v>
      </c>
    </row>
    <row r="77" spans="1:28">
      <c r="A77" s="173" t="s">
        <v>760</v>
      </c>
      <c r="B77" s="174"/>
      <c r="C77" s="201">
        <v>183004</v>
      </c>
      <c r="D77" s="201">
        <v>185873</v>
      </c>
      <c r="E77" s="201">
        <v>188825</v>
      </c>
      <c r="F77" s="201"/>
      <c r="G77" s="201">
        <v>0</v>
      </c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>
        <v>0</v>
      </c>
      <c r="Y77" s="201"/>
      <c r="Z77" s="201"/>
      <c r="AA77" s="201"/>
      <c r="AB77" s="201"/>
    </row>
    <row r="78" spans="1:28">
      <c r="A78" s="173" t="s">
        <v>775</v>
      </c>
      <c r="B78" s="174"/>
      <c r="C78" s="201">
        <v>54468</v>
      </c>
      <c r="D78" s="201">
        <v>54468.427499999998</v>
      </c>
      <c r="E78" s="201">
        <v>54468</v>
      </c>
      <c r="F78" s="201">
        <v>33733</v>
      </c>
      <c r="G78" s="201">
        <v>33733</v>
      </c>
      <c r="H78" s="201">
        <v>33733</v>
      </c>
      <c r="I78" s="201">
        <v>33733</v>
      </c>
      <c r="J78" s="201">
        <v>93605</v>
      </c>
      <c r="K78" s="201">
        <v>93605</v>
      </c>
      <c r="L78" s="201">
        <v>93605</v>
      </c>
      <c r="M78" s="201">
        <v>93605</v>
      </c>
      <c r="N78" s="201">
        <v>105241</v>
      </c>
      <c r="O78" s="201">
        <v>105241</v>
      </c>
      <c r="P78" s="201">
        <v>105241</v>
      </c>
      <c r="Q78" s="201">
        <v>105241</v>
      </c>
      <c r="R78" s="201">
        <v>94622</v>
      </c>
      <c r="S78" s="201">
        <v>94622</v>
      </c>
      <c r="T78" s="201">
        <v>94622</v>
      </c>
      <c r="U78" s="201">
        <v>94622</v>
      </c>
      <c r="V78" s="201">
        <v>86191</v>
      </c>
      <c r="W78" s="201">
        <v>87398</v>
      </c>
      <c r="X78" s="201">
        <v>88604</v>
      </c>
      <c r="Y78" s="201">
        <v>89811</v>
      </c>
      <c r="Z78" s="201">
        <v>99053</v>
      </c>
      <c r="AA78" s="201">
        <v>100069</v>
      </c>
      <c r="AB78" s="201">
        <v>101085</v>
      </c>
    </row>
    <row r="79" spans="1:28">
      <c r="A79" s="173" t="s">
        <v>730</v>
      </c>
      <c r="B79" s="174"/>
      <c r="C79" s="201">
        <v>35208</v>
      </c>
      <c r="D79" s="201">
        <v>35525</v>
      </c>
      <c r="E79" s="201">
        <v>35954</v>
      </c>
      <c r="F79" s="201">
        <v>36225</v>
      </c>
      <c r="G79" s="201">
        <v>36599</v>
      </c>
      <c r="H79" s="201">
        <v>61937</v>
      </c>
      <c r="I79" s="201">
        <v>62962</v>
      </c>
      <c r="J79" s="201">
        <v>154052</v>
      </c>
      <c r="K79" s="201">
        <v>145927</v>
      </c>
      <c r="L79" s="201">
        <v>142472</v>
      </c>
      <c r="M79" s="201">
        <v>139618</v>
      </c>
      <c r="N79" s="201">
        <v>52695</v>
      </c>
      <c r="O79" s="201">
        <v>52697</v>
      </c>
      <c r="P79" s="201">
        <v>55403</v>
      </c>
      <c r="Q79" s="201">
        <v>72444</v>
      </c>
      <c r="R79" s="201">
        <v>51805</v>
      </c>
      <c r="S79" s="201">
        <v>48934</v>
      </c>
      <c r="T79" s="201">
        <v>46207</v>
      </c>
      <c r="U79" s="201">
        <v>61940</v>
      </c>
      <c r="V79" s="201">
        <v>40917</v>
      </c>
      <c r="W79" s="201">
        <v>38271</v>
      </c>
      <c r="X79" s="201">
        <v>36322</v>
      </c>
      <c r="Y79" s="201">
        <v>34057</v>
      </c>
      <c r="Z79" s="201">
        <v>32224</v>
      </c>
      <c r="AA79" s="201">
        <v>26261</v>
      </c>
      <c r="AB79" s="201">
        <v>22790</v>
      </c>
    </row>
    <row r="80" spans="1:28" ht="15" thickBot="1">
      <c r="A80" s="173" t="s">
        <v>731</v>
      </c>
      <c r="B80" s="174"/>
      <c r="C80" s="201"/>
      <c r="D80" s="201"/>
      <c r="E80" s="201"/>
      <c r="F80" s="201"/>
      <c r="G80" s="201"/>
      <c r="H80" s="201"/>
      <c r="I80" s="201"/>
      <c r="J80" s="201">
        <v>653</v>
      </c>
      <c r="K80" s="201">
        <v>5037</v>
      </c>
      <c r="L80" s="201">
        <v>4594</v>
      </c>
      <c r="M80" s="201">
        <v>2374</v>
      </c>
      <c r="N80" s="201">
        <v>1999</v>
      </c>
      <c r="O80" s="201">
        <v>2407</v>
      </c>
      <c r="P80" s="201">
        <v>2643</v>
      </c>
      <c r="Q80" s="201">
        <v>698</v>
      </c>
      <c r="R80" s="201">
        <v>869</v>
      </c>
      <c r="S80" s="201">
        <v>788</v>
      </c>
      <c r="T80" s="201">
        <v>717</v>
      </c>
      <c r="U80" s="201">
        <v>629</v>
      </c>
      <c r="V80" s="201">
        <v>634</v>
      </c>
      <c r="W80" s="201">
        <v>555</v>
      </c>
      <c r="X80" s="201">
        <v>407</v>
      </c>
      <c r="Y80" s="201">
        <v>321</v>
      </c>
      <c r="Z80" s="201">
        <v>586</v>
      </c>
      <c r="AA80" s="201">
        <v>507</v>
      </c>
      <c r="AB80" s="201">
        <v>407</v>
      </c>
    </row>
    <row r="81" spans="1:28" ht="15" thickBot="1">
      <c r="A81" s="177" t="s">
        <v>734</v>
      </c>
      <c r="B81" s="170"/>
      <c r="C81" s="178">
        <f>SUM(C82:C89)</f>
        <v>-1106892</v>
      </c>
      <c r="D81" s="178">
        <f>SUM(D82:D89)</f>
        <v>-846390</v>
      </c>
      <c r="E81" s="178">
        <f>SUM(E82:E89)</f>
        <v>-1033737</v>
      </c>
      <c r="F81" s="178">
        <f>SUM(F82:F89)</f>
        <v>-1030819</v>
      </c>
      <c r="G81" s="178">
        <f>SUM(G82:G89)</f>
        <v>-402874</v>
      </c>
      <c r="H81" s="178">
        <f t="shared" ref="H81:X81" si="12">SUM(H82:H89)</f>
        <v>-388141</v>
      </c>
      <c r="I81" s="178">
        <f t="shared" si="12"/>
        <v>-348596</v>
      </c>
      <c r="J81" s="178">
        <f t="shared" si="12"/>
        <v>-291468</v>
      </c>
      <c r="K81" s="178">
        <f t="shared" si="12"/>
        <v>-259011</v>
      </c>
      <c r="L81" s="178">
        <f t="shared" si="12"/>
        <v>-220232</v>
      </c>
      <c r="M81" s="178">
        <f t="shared" si="12"/>
        <v>-76714</v>
      </c>
      <c r="N81" s="178">
        <f t="shared" si="12"/>
        <v>130524</v>
      </c>
      <c r="O81" s="178">
        <f t="shared" si="12"/>
        <v>196997</v>
      </c>
      <c r="P81" s="178">
        <f t="shared" si="12"/>
        <v>361489</v>
      </c>
      <c r="Q81" s="178">
        <f t="shared" si="12"/>
        <v>1098611</v>
      </c>
      <c r="R81" s="178">
        <f t="shared" si="12"/>
        <v>1055621</v>
      </c>
      <c r="S81" s="178">
        <f t="shared" si="12"/>
        <v>1209348</v>
      </c>
      <c r="T81" s="178">
        <f t="shared" si="12"/>
        <v>1307080</v>
      </c>
      <c r="U81" s="178">
        <f t="shared" si="12"/>
        <v>1383355</v>
      </c>
      <c r="V81" s="178">
        <f t="shared" si="12"/>
        <v>1146105</v>
      </c>
      <c r="W81" s="178">
        <f t="shared" si="12"/>
        <v>1229006</v>
      </c>
      <c r="X81" s="178">
        <f t="shared" si="12"/>
        <v>1304259</v>
      </c>
      <c r="Y81" s="178">
        <f>SUM(Y82:Y89)</f>
        <v>1401719</v>
      </c>
      <c r="Z81" s="178">
        <f>SUM(Z82:Z89)</f>
        <v>1370642</v>
      </c>
      <c r="AA81" s="178">
        <f>SUM(AA82:AA89)</f>
        <v>1488810</v>
      </c>
      <c r="AB81" s="178">
        <f>SUM(AB82:AB89)</f>
        <v>1415600</v>
      </c>
    </row>
    <row r="82" spans="1:28">
      <c r="A82" s="173" t="s">
        <v>735</v>
      </c>
      <c r="B82" s="174"/>
      <c r="C82" s="189">
        <v>734754</v>
      </c>
      <c r="D82" s="189">
        <v>734754</v>
      </c>
      <c r="E82" s="189">
        <v>734754</v>
      </c>
      <c r="F82" s="189">
        <v>734754</v>
      </c>
      <c r="G82" s="189">
        <v>1280574</v>
      </c>
      <c r="H82" s="189">
        <v>1284321</v>
      </c>
      <c r="I82" s="189">
        <v>1284825</v>
      </c>
      <c r="J82" s="189">
        <v>1284825</v>
      </c>
      <c r="K82" s="189">
        <v>1284825</v>
      </c>
      <c r="L82" s="189">
        <v>1284825</v>
      </c>
      <c r="M82" s="189">
        <v>1284825</v>
      </c>
      <c r="N82" s="189">
        <v>164672</v>
      </c>
      <c r="O82" s="189">
        <v>1000</v>
      </c>
      <c r="P82" s="189">
        <v>296227</v>
      </c>
      <c r="Q82" s="189">
        <v>296227</v>
      </c>
      <c r="R82" s="189">
        <v>296227</v>
      </c>
      <c r="S82" s="189">
        <v>296227</v>
      </c>
      <c r="T82" s="189">
        <v>605780</v>
      </c>
      <c r="U82" s="189">
        <v>605780</v>
      </c>
      <c r="V82" s="189">
        <v>605780</v>
      </c>
      <c r="W82" s="189">
        <v>605780</v>
      </c>
      <c r="X82" s="189">
        <v>605780</v>
      </c>
      <c r="Y82" s="189">
        <v>605780</v>
      </c>
      <c r="Z82" s="189">
        <v>605780</v>
      </c>
      <c r="AA82" s="189">
        <v>605780</v>
      </c>
      <c r="AB82" s="189">
        <v>605780</v>
      </c>
    </row>
    <row r="83" spans="1:28">
      <c r="A83" s="173" t="s">
        <v>763</v>
      </c>
      <c r="B83" s="174"/>
      <c r="C83" s="189">
        <v>0</v>
      </c>
      <c r="D83" s="189">
        <v>0</v>
      </c>
      <c r="E83" s="189">
        <v>0</v>
      </c>
      <c r="F83" s="189"/>
      <c r="G83" s="189">
        <v>0</v>
      </c>
      <c r="H83" s="189"/>
      <c r="I83" s="189"/>
      <c r="J83" s="189"/>
      <c r="K83" s="189"/>
      <c r="L83" s="189"/>
      <c r="M83" s="189"/>
      <c r="N83" s="189">
        <v>6720</v>
      </c>
      <c r="O83" s="189">
        <v>9125</v>
      </c>
      <c r="P83" s="189">
        <v>8518</v>
      </c>
      <c r="Q83" s="189">
        <v>9431</v>
      </c>
      <c r="R83" s="189"/>
      <c r="S83" s="189"/>
      <c r="T83" s="189"/>
      <c r="U83" s="189"/>
      <c r="V83" s="189"/>
      <c r="W83" s="189"/>
      <c r="X83" s="189">
        <v>0</v>
      </c>
      <c r="Y83" s="189"/>
      <c r="Z83" s="189"/>
      <c r="AA83" s="189"/>
      <c r="AB83" s="189"/>
    </row>
    <row r="84" spans="1:28">
      <c r="A84" s="173" t="s">
        <v>764</v>
      </c>
      <c r="B84" s="174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366"/>
      <c r="AA84" s="189">
        <v>13444</v>
      </c>
      <c r="AB84" s="189">
        <v>13576</v>
      </c>
    </row>
    <row r="85" spans="1:28">
      <c r="A85" s="173" t="s">
        <v>765</v>
      </c>
      <c r="B85" s="174"/>
      <c r="C85" s="189">
        <v>0</v>
      </c>
      <c r="D85" s="189">
        <v>0</v>
      </c>
      <c r="E85" s="189">
        <v>0</v>
      </c>
      <c r="F85" s="189"/>
      <c r="G85" s="189">
        <v>0</v>
      </c>
      <c r="H85" s="189">
        <v>93111</v>
      </c>
      <c r="I85" s="189"/>
      <c r="J85" s="189"/>
      <c r="K85" s="189"/>
      <c r="L85" s="189"/>
      <c r="M85" s="189"/>
      <c r="N85" s="189">
        <v>138719</v>
      </c>
      <c r="O85" s="189">
        <v>302391</v>
      </c>
      <c r="P85" s="189"/>
      <c r="Q85" s="189"/>
      <c r="R85" s="189">
        <v>925385</v>
      </c>
      <c r="S85" s="189">
        <v>1005540</v>
      </c>
      <c r="T85" s="189">
        <v>696470</v>
      </c>
      <c r="U85" s="189">
        <v>696958</v>
      </c>
      <c r="V85" s="189">
        <v>691509</v>
      </c>
      <c r="W85" s="189">
        <v>691726</v>
      </c>
      <c r="X85" s="189">
        <v>691946</v>
      </c>
      <c r="Y85" s="189">
        <v>643616</v>
      </c>
      <c r="Z85" s="366">
        <v>868783</v>
      </c>
      <c r="AA85" s="189">
        <v>872273</v>
      </c>
      <c r="AB85" s="189">
        <f>+[2]Passivo!$Z$81</f>
        <v>698693</v>
      </c>
    </row>
    <row r="86" spans="1:28">
      <c r="A86" s="173" t="s">
        <v>778</v>
      </c>
      <c r="B86" s="174"/>
      <c r="C86" s="189">
        <v>-73352</v>
      </c>
      <c r="D86" s="189">
        <v>-73352</v>
      </c>
      <c r="E86" s="189">
        <v>-73352</v>
      </c>
      <c r="F86" s="189"/>
      <c r="G86" s="189">
        <v>-40972</v>
      </c>
      <c r="H86" s="189">
        <v>-113569</v>
      </c>
      <c r="I86" s="189">
        <v>-72597</v>
      </c>
      <c r="J86" s="189">
        <v>-198515</v>
      </c>
      <c r="K86" s="189">
        <v>-198515</v>
      </c>
      <c r="L86" s="189">
        <v>-198515</v>
      </c>
      <c r="M86" s="189">
        <v>-198515</v>
      </c>
      <c r="N86" s="189">
        <v>-179587</v>
      </c>
      <c r="O86" s="189">
        <v>-179587</v>
      </c>
      <c r="P86" s="189">
        <v>-179587</v>
      </c>
      <c r="Q86" s="189">
        <v>-179587</v>
      </c>
      <c r="R86" s="189"/>
      <c r="S86" s="189"/>
      <c r="T86" s="189"/>
      <c r="U86" s="189">
        <v>-165991</v>
      </c>
      <c r="V86" s="189">
        <v>-151184</v>
      </c>
      <c r="W86" s="189">
        <v>-154194</v>
      </c>
      <c r="X86" s="189">
        <v>-156670</v>
      </c>
      <c r="Y86" s="189">
        <v>-127410</v>
      </c>
      <c r="Z86" s="189">
        <v>-103921</v>
      </c>
      <c r="AA86" s="189">
        <v>-108325</v>
      </c>
      <c r="AB86" s="189">
        <v>-108509</v>
      </c>
    </row>
    <row r="87" spans="1:28">
      <c r="A87" s="173" t="s">
        <v>739</v>
      </c>
      <c r="B87" s="174"/>
      <c r="C87" s="189">
        <v>-1768294</v>
      </c>
      <c r="D87" s="189">
        <v>-1507792</v>
      </c>
      <c r="E87" s="189">
        <v>-1695139</v>
      </c>
      <c r="F87" s="189">
        <v>-1765573</v>
      </c>
      <c r="G87" s="189">
        <v>-1642476</v>
      </c>
      <c r="H87" s="189">
        <v>-1652004</v>
      </c>
      <c r="I87" s="189">
        <v>-1652003</v>
      </c>
      <c r="J87" s="189">
        <v>-1377778</v>
      </c>
      <c r="K87" s="189">
        <v>-1377778</v>
      </c>
      <c r="L87" s="189">
        <v>-1377779</v>
      </c>
      <c r="M87" s="189">
        <v>-1377778</v>
      </c>
      <c r="N87" s="189"/>
      <c r="O87" s="189"/>
      <c r="P87" s="189"/>
      <c r="Q87" s="189"/>
      <c r="R87" s="189"/>
      <c r="S87" s="189"/>
      <c r="T87" s="189"/>
      <c r="U87" s="189">
        <v>246608</v>
      </c>
      <c r="V87" s="189"/>
      <c r="W87" s="189"/>
      <c r="X87" s="189">
        <v>0</v>
      </c>
      <c r="Y87" s="189"/>
      <c r="Z87" s="189"/>
      <c r="AA87" s="189"/>
      <c r="AB87" s="189"/>
    </row>
    <row r="88" spans="1:28">
      <c r="A88" s="173" t="s">
        <v>787</v>
      </c>
      <c r="B88" s="174"/>
      <c r="C88" s="189"/>
      <c r="D88" s="189"/>
      <c r="E88" s="189"/>
      <c r="F88" s="189"/>
      <c r="G88" s="189"/>
      <c r="H88" s="189"/>
      <c r="I88" s="189">
        <v>-40972</v>
      </c>
      <c r="J88" s="189"/>
      <c r="K88" s="189"/>
      <c r="L88" s="189"/>
      <c r="M88" s="189"/>
      <c r="N88" s="189"/>
      <c r="O88" s="189"/>
      <c r="P88" s="189"/>
      <c r="Q88" s="189"/>
      <c r="R88" s="189">
        <v>-165991</v>
      </c>
      <c r="S88" s="189">
        <v>-165991</v>
      </c>
      <c r="T88" s="189">
        <v>-165991</v>
      </c>
      <c r="U88" s="189"/>
      <c r="V88" s="189"/>
      <c r="W88" s="189"/>
      <c r="X88" s="189">
        <v>0</v>
      </c>
      <c r="Y88" s="189"/>
      <c r="Z88" s="189"/>
      <c r="AA88" s="189"/>
      <c r="AB88" s="189"/>
    </row>
    <row r="89" spans="1:28" ht="15" thickBot="1">
      <c r="A89" s="173" t="s">
        <v>779</v>
      </c>
      <c r="B89" s="174"/>
      <c r="C89" s="189"/>
      <c r="D89" s="189"/>
      <c r="E89" s="189"/>
      <c r="F89" s="189"/>
      <c r="G89" s="189"/>
      <c r="H89" s="189"/>
      <c r="I89" s="189">
        <v>132151</v>
      </c>
      <c r="J89" s="189"/>
      <c r="K89" s="189">
        <v>32457</v>
      </c>
      <c r="L89" s="189">
        <v>71237</v>
      </c>
      <c r="M89" s="189">
        <v>214754</v>
      </c>
      <c r="N89" s="189"/>
      <c r="O89" s="189">
        <v>64068</v>
      </c>
      <c r="P89" s="189">
        <v>236331</v>
      </c>
      <c r="Q89" s="189">
        <v>972540</v>
      </c>
      <c r="R89" s="189"/>
      <c r="S89" s="189">
        <v>73572</v>
      </c>
      <c r="T89" s="189">
        <v>170821</v>
      </c>
      <c r="U89" s="189"/>
      <c r="V89" s="189"/>
      <c r="W89" s="189">
        <v>85694</v>
      </c>
      <c r="X89" s="189">
        <v>163203</v>
      </c>
      <c r="Y89" s="189">
        <v>279733</v>
      </c>
      <c r="Z89" s="189">
        <v>0</v>
      </c>
      <c r="AA89" s="189">
        <v>105638</v>
      </c>
      <c r="AB89" s="189">
        <v>206060</v>
      </c>
    </row>
    <row r="90" spans="1:28" ht="15" thickBot="1">
      <c r="A90" s="177" t="s">
        <v>740</v>
      </c>
      <c r="B90" s="170"/>
      <c r="C90" s="178">
        <f t="shared" ref="C90:W90" si="13">C81+C64+C45</f>
        <v>2345678</v>
      </c>
      <c r="D90" s="178">
        <f t="shared" si="13"/>
        <v>2905674.4275000002</v>
      </c>
      <c r="E90" s="178">
        <f t="shared" si="13"/>
        <v>2954192</v>
      </c>
      <c r="F90" s="178">
        <f t="shared" si="13"/>
        <v>3007357</v>
      </c>
      <c r="G90" s="178">
        <f t="shared" si="13"/>
        <v>3906893</v>
      </c>
      <c r="H90" s="178">
        <f t="shared" si="13"/>
        <v>3535167</v>
      </c>
      <c r="I90" s="178">
        <f t="shared" si="13"/>
        <v>3740688</v>
      </c>
      <c r="J90" s="178">
        <f t="shared" si="13"/>
        <v>3410794</v>
      </c>
      <c r="K90" s="178">
        <f t="shared" si="13"/>
        <v>3667295</v>
      </c>
      <c r="L90" s="178">
        <f t="shared" si="13"/>
        <v>3678203</v>
      </c>
      <c r="M90" s="178">
        <f t="shared" si="13"/>
        <v>4078714</v>
      </c>
      <c r="N90" s="178">
        <f t="shared" si="13"/>
        <v>4308515</v>
      </c>
      <c r="O90" s="178">
        <f t="shared" si="13"/>
        <v>3431242</v>
      </c>
      <c r="P90" s="178">
        <f t="shared" si="13"/>
        <v>3298229</v>
      </c>
      <c r="Q90" s="178">
        <f t="shared" si="13"/>
        <v>4081225</v>
      </c>
      <c r="R90" s="178">
        <f t="shared" si="13"/>
        <v>4289085</v>
      </c>
      <c r="S90" s="178">
        <f t="shared" si="13"/>
        <v>4224519</v>
      </c>
      <c r="T90" s="178">
        <f t="shared" si="13"/>
        <v>4206987</v>
      </c>
      <c r="U90" s="178">
        <f t="shared" si="13"/>
        <v>4210009</v>
      </c>
      <c r="V90" s="178">
        <f t="shared" si="13"/>
        <v>4041510</v>
      </c>
      <c r="W90" s="178">
        <f t="shared" si="13"/>
        <v>4057874</v>
      </c>
      <c r="X90" s="178">
        <f>X81+X64+X45</f>
        <v>4130983</v>
      </c>
      <c r="Y90" s="178">
        <f>Y81+Y64+Y45</f>
        <v>4263690</v>
      </c>
      <c r="Z90" s="178">
        <f>Z81+Z64+Z45</f>
        <v>4477164</v>
      </c>
      <c r="AA90" s="178">
        <f>AA81+AA64+AA45</f>
        <v>4566388</v>
      </c>
      <c r="AB90" s="178">
        <f>AB81+AB64+AB45</f>
        <v>4767392</v>
      </c>
    </row>
    <row r="91" spans="1:28">
      <c r="C91" s="343"/>
      <c r="D91" s="343"/>
      <c r="E91" s="343"/>
      <c r="F91" s="343"/>
      <c r="G91" s="343"/>
      <c r="H91" s="343"/>
      <c r="I91" s="189">
        <f t="shared" ref="I91:U91" si="14">+I90-I42</f>
        <v>0</v>
      </c>
      <c r="J91" s="189">
        <f t="shared" si="14"/>
        <v>0</v>
      </c>
      <c r="K91" s="189">
        <f t="shared" si="14"/>
        <v>0</v>
      </c>
      <c r="L91" s="189">
        <f t="shared" si="14"/>
        <v>0</v>
      </c>
      <c r="M91" s="189">
        <f t="shared" si="14"/>
        <v>0</v>
      </c>
      <c r="N91" s="189">
        <f t="shared" si="14"/>
        <v>0</v>
      </c>
      <c r="O91" s="189">
        <f t="shared" si="14"/>
        <v>0</v>
      </c>
      <c r="P91" s="189">
        <f t="shared" si="14"/>
        <v>0</v>
      </c>
      <c r="Q91" s="189">
        <f t="shared" si="14"/>
        <v>0</v>
      </c>
      <c r="R91" s="189">
        <f t="shared" si="14"/>
        <v>0</v>
      </c>
      <c r="S91" s="189">
        <f t="shared" si="14"/>
        <v>0</v>
      </c>
      <c r="T91" s="189">
        <f t="shared" si="14"/>
        <v>0</v>
      </c>
      <c r="U91" s="189">
        <f t="shared" si="14"/>
        <v>0</v>
      </c>
      <c r="V91" s="189">
        <f t="shared" ref="V91:AA91" si="15">+V90-V42</f>
        <v>0</v>
      </c>
      <c r="W91" s="189">
        <f t="shared" si="15"/>
        <v>0</v>
      </c>
      <c r="X91" s="189">
        <f t="shared" si="15"/>
        <v>0</v>
      </c>
      <c r="Y91" s="189">
        <f t="shared" si="15"/>
        <v>0</v>
      </c>
      <c r="Z91" s="189">
        <f t="shared" si="15"/>
        <v>0</v>
      </c>
      <c r="AA91" s="189">
        <f t="shared" si="15"/>
        <v>0</v>
      </c>
      <c r="AB91" s="189">
        <f t="shared" ref="AB91" si="16">+AB90-AB42</f>
        <v>0</v>
      </c>
    </row>
  </sheetData>
  <pageMargins left="0.511811024" right="0.511811024" top="0.78740157499999996" bottom="0.78740157499999996" header="0.31496062000000002" footer="0.31496062000000002"/>
  <ignoredErrors>
    <ignoredError sqref="V45:Z45 V44:Z44" unlockedFormula="1"/>
  </ignoredErrors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9" tint="0.79998168889431442"/>
  </sheetPr>
  <dimension ref="A6:XFD90"/>
  <sheetViews>
    <sheetView showGridLines="0" zoomScale="80" zoomScaleNormal="80" workbookViewId="0">
      <pane xSplit="1" ySplit="4" topLeftCell="B5" activePane="bottomRight" state="frozen"/>
      <selection pane="topRight" activeCell="S9" sqref="S9"/>
      <selection pane="bottomLeft" activeCell="S9" sqref="S9"/>
      <selection pane="bottomRight" activeCell="N7" sqref="N7"/>
    </sheetView>
  </sheetViews>
  <sheetFormatPr defaultColWidth="9.1796875" defaultRowHeight="14.5" outlineLevelCol="1"/>
  <cols>
    <col min="1" max="1" width="47.54296875" style="37" bestFit="1" customWidth="1"/>
    <col min="2" max="2" width="0.7265625" customWidth="1"/>
    <col min="3" max="4" width="9.54296875" style="37" hidden="1" customWidth="1" outlineLevel="1"/>
    <col min="5" max="5" width="9.54296875" style="37" bestFit="1" customWidth="1" collapsed="1"/>
    <col min="6" max="14" width="9.54296875" style="37" bestFit="1" customWidth="1"/>
    <col min="15" max="16384" width="9.1796875" style="37"/>
  </cols>
  <sheetData>
    <row r="6" spans="1:14">
      <c r="A6" s="41" t="s">
        <v>73</v>
      </c>
      <c r="B6" s="133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14" ht="15" thickBot="1">
      <c r="A7" s="5" t="s">
        <v>689</v>
      </c>
      <c r="B7" s="168"/>
      <c r="C7" s="528" t="s">
        <v>43</v>
      </c>
      <c r="D7" s="528" t="s">
        <v>44</v>
      </c>
      <c r="E7" s="528" t="s">
        <v>45</v>
      </c>
      <c r="F7" s="528" t="s">
        <v>46</v>
      </c>
      <c r="G7" s="528" t="s">
        <v>47</v>
      </c>
      <c r="H7" s="528" t="s">
        <v>48</v>
      </c>
      <c r="I7" s="528" t="s">
        <v>49</v>
      </c>
      <c r="J7" s="528" t="s">
        <v>50</v>
      </c>
      <c r="K7" s="528" t="s">
        <v>51</v>
      </c>
      <c r="L7" s="528" t="s">
        <v>52</v>
      </c>
      <c r="M7" s="528" t="s">
        <v>53</v>
      </c>
      <c r="N7" s="528" t="s">
        <v>54</v>
      </c>
    </row>
    <row r="8" spans="1:14" ht="15" thickBot="1">
      <c r="A8" s="169" t="s">
        <v>690</v>
      </c>
      <c r="B8" s="170"/>
      <c r="C8" s="171">
        <f t="shared" ref="C8:J8" si="0">SUM(C9:C22)</f>
        <v>2859385</v>
      </c>
      <c r="D8" s="171">
        <f t="shared" si="0"/>
        <v>2589164</v>
      </c>
      <c r="E8" s="171">
        <f t="shared" si="0"/>
        <v>2632316</v>
      </c>
      <c r="F8" s="171">
        <f t="shared" si="0"/>
        <v>2400473</v>
      </c>
      <c r="G8" s="171">
        <f t="shared" si="0"/>
        <v>2057528</v>
      </c>
      <c r="H8" s="171">
        <f t="shared" si="0"/>
        <v>2476477</v>
      </c>
      <c r="I8" s="171">
        <f t="shared" si="0"/>
        <v>2476010</v>
      </c>
      <c r="J8" s="171">
        <f t="shared" si="0"/>
        <v>2867573</v>
      </c>
      <c r="K8" s="171">
        <f>SUM(K9:K22)</f>
        <v>2809110</v>
      </c>
      <c r="L8" s="171">
        <f>SUM(L9:L22)</f>
        <v>3063620</v>
      </c>
      <c r="M8" s="171">
        <f>SUM(M9:M22)</f>
        <v>2889993</v>
      </c>
      <c r="N8" s="171">
        <f>SUM(N9:N22)</f>
        <v>2729911</v>
      </c>
    </row>
    <row r="9" spans="1:14">
      <c r="A9" s="173" t="s">
        <v>691</v>
      </c>
      <c r="B9" s="174"/>
      <c r="C9" s="189">
        <v>140185</v>
      </c>
      <c r="D9" s="189">
        <v>516741</v>
      </c>
      <c r="E9" s="189">
        <v>182023</v>
      </c>
      <c r="F9" s="189">
        <v>249313</v>
      </c>
      <c r="G9" s="189">
        <v>322895</v>
      </c>
      <c r="H9" s="189">
        <v>415107</v>
      </c>
      <c r="I9" s="189">
        <v>418544</v>
      </c>
      <c r="J9" s="189">
        <v>975429</v>
      </c>
      <c r="K9" s="189">
        <v>875272</v>
      </c>
      <c r="L9" s="189">
        <v>464985</v>
      </c>
      <c r="M9" s="189">
        <v>512336</v>
      </c>
      <c r="N9" s="189">
        <v>479312</v>
      </c>
    </row>
    <row r="10" spans="1:14">
      <c r="A10" s="173" t="s">
        <v>767</v>
      </c>
      <c r="B10" s="174"/>
      <c r="C10" s="189">
        <v>1253815</v>
      </c>
      <c r="D10" s="189">
        <v>495712</v>
      </c>
      <c r="E10" s="189">
        <v>466998</v>
      </c>
      <c r="F10" s="189">
        <v>628997</v>
      </c>
      <c r="G10" s="189">
        <v>268933</v>
      </c>
      <c r="H10" s="189">
        <v>576205</v>
      </c>
      <c r="I10" s="189">
        <v>451727</v>
      </c>
      <c r="J10" s="189">
        <v>480894</v>
      </c>
      <c r="K10" s="189">
        <v>421626</v>
      </c>
      <c r="L10" s="189">
        <v>855204</v>
      </c>
      <c r="M10" s="189">
        <v>631170</v>
      </c>
      <c r="N10" s="189">
        <v>669841</v>
      </c>
    </row>
    <row r="11" spans="1:14">
      <c r="A11" s="173" t="s">
        <v>693</v>
      </c>
      <c r="B11" s="174"/>
      <c r="C11" s="189">
        <v>1690033</v>
      </c>
      <c r="D11" s="189">
        <v>1883013</v>
      </c>
      <c r="E11" s="189">
        <v>2122042</v>
      </c>
      <c r="F11" s="189">
        <v>1842727</v>
      </c>
      <c r="G11" s="189">
        <v>980174</v>
      </c>
      <c r="H11" s="189">
        <v>934536</v>
      </c>
      <c r="I11" s="189">
        <v>1119476</v>
      </c>
      <c r="J11" s="189">
        <v>881554.00000000012</v>
      </c>
      <c r="K11" s="189">
        <v>863189</v>
      </c>
      <c r="L11" s="189">
        <v>970078</v>
      </c>
      <c r="M11" s="189">
        <v>1084731</v>
      </c>
      <c r="N11" s="189">
        <v>945054</v>
      </c>
    </row>
    <row r="12" spans="1:14">
      <c r="A12" s="173" t="s">
        <v>788</v>
      </c>
      <c r="B12" s="174"/>
      <c r="C12" s="189">
        <v>-484</v>
      </c>
      <c r="D12" s="189">
        <v>0</v>
      </c>
      <c r="E12" s="189">
        <v>0</v>
      </c>
      <c r="F12" s="189">
        <v>10915</v>
      </c>
      <c r="G12" s="189"/>
      <c r="H12" s="189"/>
      <c r="I12" s="189"/>
      <c r="J12" s="189">
        <v>0</v>
      </c>
      <c r="K12" s="189"/>
      <c r="L12" s="189"/>
      <c r="M12" s="189"/>
      <c r="N12" s="189"/>
    </row>
    <row r="13" spans="1:14">
      <c r="A13" s="173" t="s">
        <v>742</v>
      </c>
      <c r="B13" s="174"/>
      <c r="C13" s="189">
        <v>-895552</v>
      </c>
      <c r="D13" s="189">
        <v>-959336</v>
      </c>
      <c r="E13" s="189">
        <v>-997209</v>
      </c>
      <c r="F13" s="189">
        <v>-846516</v>
      </c>
      <c r="G13" s="189"/>
      <c r="H13" s="189"/>
      <c r="I13" s="189"/>
      <c r="J13" s="189">
        <v>0</v>
      </c>
      <c r="K13" s="189"/>
      <c r="L13" s="189"/>
      <c r="M13" s="189"/>
      <c r="N13" s="189"/>
    </row>
    <row r="14" spans="1:14">
      <c r="A14" s="173" t="s">
        <v>695</v>
      </c>
      <c r="B14" s="174"/>
      <c r="C14" s="189"/>
      <c r="D14" s="189"/>
      <c r="E14" s="189"/>
      <c r="F14" s="189"/>
      <c r="G14" s="189"/>
      <c r="H14" s="189"/>
      <c r="I14" s="189"/>
      <c r="J14" s="189">
        <v>0</v>
      </c>
      <c r="K14" s="189"/>
      <c r="L14" s="189"/>
      <c r="M14" s="189"/>
      <c r="N14" s="189"/>
    </row>
    <row r="15" spans="1:14">
      <c r="A15" s="173" t="s">
        <v>781</v>
      </c>
      <c r="B15" s="174"/>
      <c r="C15" s="189">
        <v>30134</v>
      </c>
      <c r="D15" s="189">
        <v>32133</v>
      </c>
      <c r="E15" s="189">
        <v>34240</v>
      </c>
      <c r="F15" s="189">
        <v>36739</v>
      </c>
      <c r="G15" s="189">
        <v>48606</v>
      </c>
      <c r="H15" s="189">
        <v>41080</v>
      </c>
      <c r="I15" s="189">
        <v>38097</v>
      </c>
      <c r="J15" s="189">
        <v>40825</v>
      </c>
      <c r="K15" s="189">
        <v>53813</v>
      </c>
      <c r="L15" s="189">
        <v>122176</v>
      </c>
      <c r="M15" s="189">
        <v>129227</v>
      </c>
      <c r="N15" s="189">
        <v>141926</v>
      </c>
    </row>
    <row r="16" spans="1:14">
      <c r="A16" s="173" t="s">
        <v>699</v>
      </c>
      <c r="B16" s="174"/>
      <c r="C16" s="189"/>
      <c r="D16" s="189"/>
      <c r="E16" s="189"/>
      <c r="F16" s="189"/>
      <c r="G16" s="189"/>
      <c r="H16" s="189"/>
      <c r="I16" s="189"/>
      <c r="J16" s="189">
        <v>3069</v>
      </c>
      <c r="K16" s="189">
        <v>3184</v>
      </c>
      <c r="L16" s="189">
        <v>4714</v>
      </c>
      <c r="M16" s="189">
        <v>4714</v>
      </c>
      <c r="N16" s="189">
        <v>4750</v>
      </c>
    </row>
    <row r="17" spans="1:14">
      <c r="A17" s="173" t="s">
        <v>701</v>
      </c>
      <c r="B17" s="174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>
        <v>10239</v>
      </c>
    </row>
    <row r="18" spans="1:14">
      <c r="A18" s="173" t="s">
        <v>744</v>
      </c>
      <c r="B18" s="174"/>
      <c r="C18" s="189">
        <v>276700</v>
      </c>
      <c r="D18" s="189">
        <v>152734</v>
      </c>
      <c r="E18" s="189">
        <v>8082</v>
      </c>
      <c r="F18" s="189">
        <v>43409</v>
      </c>
      <c r="G18" s="189">
        <v>33747</v>
      </c>
      <c r="H18" s="189">
        <v>50912</v>
      </c>
      <c r="I18" s="189"/>
      <c r="J18" s="189">
        <v>0</v>
      </c>
      <c r="K18" s="189"/>
      <c r="L18" s="189"/>
      <c r="M18" s="189"/>
      <c r="N18" s="189"/>
    </row>
    <row r="19" spans="1:14">
      <c r="A19" s="173" t="s">
        <v>789</v>
      </c>
      <c r="B19" s="174"/>
      <c r="C19" s="189">
        <v>14503</v>
      </c>
      <c r="D19" s="189">
        <v>15233</v>
      </c>
      <c r="E19" s="189">
        <v>15359</v>
      </c>
      <c r="F19" s="189">
        <v>18433</v>
      </c>
      <c r="G19" s="189">
        <v>28466</v>
      </c>
      <c r="H19" s="189">
        <v>44850</v>
      </c>
      <c r="I19" s="189">
        <v>30304</v>
      </c>
      <c r="J19" s="189">
        <v>27633</v>
      </c>
      <c r="K19" s="189">
        <v>18277</v>
      </c>
      <c r="L19" s="189">
        <v>13143</v>
      </c>
      <c r="M19" s="189">
        <v>10285</v>
      </c>
      <c r="N19" s="189">
        <v>15797</v>
      </c>
    </row>
    <row r="20" spans="1:14">
      <c r="A20" s="173" t="s">
        <v>703</v>
      </c>
      <c r="B20" s="174"/>
      <c r="C20" s="189">
        <v>279511</v>
      </c>
      <c r="D20" s="189">
        <v>326801</v>
      </c>
      <c r="E20" s="189">
        <v>676942</v>
      </c>
      <c r="F20" s="189">
        <v>321199</v>
      </c>
      <c r="G20" s="189">
        <v>277708</v>
      </c>
      <c r="H20" s="189">
        <v>282769</v>
      </c>
      <c r="I20" s="189">
        <v>284142</v>
      </c>
      <c r="J20" s="189">
        <v>279916</v>
      </c>
      <c r="K20" s="189">
        <v>387029</v>
      </c>
      <c r="L20" s="189">
        <v>378494</v>
      </c>
      <c r="M20" s="189">
        <v>242116</v>
      </c>
      <c r="N20" s="189">
        <v>243576</v>
      </c>
    </row>
    <row r="21" spans="1:14">
      <c r="A21" s="173" t="s">
        <v>704</v>
      </c>
      <c r="B21" s="174"/>
      <c r="C21" s="189">
        <v>10451</v>
      </c>
      <c r="D21" s="189">
        <v>8994</v>
      </c>
      <c r="E21" s="189">
        <v>9494</v>
      </c>
      <c r="F21" s="189">
        <v>19873</v>
      </c>
      <c r="G21" s="189">
        <v>26421</v>
      </c>
      <c r="H21" s="189">
        <v>32483</v>
      </c>
      <c r="I21" s="189">
        <v>45018</v>
      </c>
      <c r="J21" s="189">
        <v>59853</v>
      </c>
      <c r="K21" s="189">
        <v>74142</v>
      </c>
      <c r="L21" s="189">
        <v>76882</v>
      </c>
      <c r="M21" s="189">
        <v>73277</v>
      </c>
      <c r="N21" s="189">
        <v>78540</v>
      </c>
    </row>
    <row r="22" spans="1:14" ht="15" thickBot="1">
      <c r="A22" s="176" t="s">
        <v>705</v>
      </c>
      <c r="B22" s="174"/>
      <c r="C22" s="189">
        <v>60089</v>
      </c>
      <c r="D22" s="189">
        <v>117139</v>
      </c>
      <c r="E22" s="189">
        <v>114345</v>
      </c>
      <c r="F22" s="189">
        <v>75384</v>
      </c>
      <c r="G22" s="189">
        <v>70578</v>
      </c>
      <c r="H22" s="189">
        <v>98535</v>
      </c>
      <c r="I22" s="189">
        <v>88702</v>
      </c>
      <c r="J22" s="189">
        <v>118400</v>
      </c>
      <c r="K22" s="189">
        <v>112578</v>
      </c>
      <c r="L22" s="189">
        <v>177944</v>
      </c>
      <c r="M22" s="189">
        <v>202137</v>
      </c>
      <c r="N22" s="189">
        <v>140876</v>
      </c>
    </row>
    <row r="23" spans="1:14" ht="15" thickBot="1">
      <c r="A23" s="177" t="s">
        <v>706</v>
      </c>
      <c r="B23" s="170"/>
      <c r="C23" s="178">
        <f t="shared" ref="C23:J23" si="1">C24+C37</f>
        <v>3638289</v>
      </c>
      <c r="D23" s="178">
        <f t="shared" si="1"/>
        <v>4154580</v>
      </c>
      <c r="E23" s="178">
        <f t="shared" si="1"/>
        <v>3579540</v>
      </c>
      <c r="F23" s="178">
        <f t="shared" si="1"/>
        <v>3861036</v>
      </c>
      <c r="G23" s="178">
        <f t="shared" si="1"/>
        <v>4165776</v>
      </c>
      <c r="H23" s="178">
        <f t="shared" si="1"/>
        <v>4363481</v>
      </c>
      <c r="I23" s="178">
        <f t="shared" si="1"/>
        <v>4498326</v>
      </c>
      <c r="J23" s="178">
        <f t="shared" si="1"/>
        <v>4634633</v>
      </c>
      <c r="K23" s="178">
        <f>K24+K37</f>
        <v>4626626</v>
      </c>
      <c r="L23" s="178">
        <f>L24+L37</f>
        <v>4588236</v>
      </c>
      <c r="M23" s="178">
        <f>M24+M37</f>
        <v>4790405</v>
      </c>
      <c r="N23" s="178">
        <f>N24+N37</f>
        <v>5020750</v>
      </c>
    </row>
    <row r="24" spans="1:14" ht="15" thickBot="1">
      <c r="A24" s="177" t="s">
        <v>748</v>
      </c>
      <c r="B24" s="170"/>
      <c r="C24" s="178">
        <f t="shared" ref="C24:J24" si="2">SUM(C25:C36)</f>
        <v>1394699</v>
      </c>
      <c r="D24" s="178">
        <f t="shared" si="2"/>
        <v>1829354</v>
      </c>
      <c r="E24" s="178">
        <f t="shared" si="2"/>
        <v>1229257</v>
      </c>
      <c r="F24" s="178">
        <f t="shared" si="2"/>
        <v>1411976</v>
      </c>
      <c r="G24" s="178">
        <f t="shared" si="2"/>
        <v>1050222</v>
      </c>
      <c r="H24" s="178">
        <f t="shared" si="2"/>
        <v>1510107</v>
      </c>
      <c r="I24" s="178">
        <f t="shared" si="2"/>
        <v>1473003</v>
      </c>
      <c r="J24" s="178">
        <f t="shared" si="2"/>
        <v>1462799</v>
      </c>
      <c r="K24" s="178">
        <f>SUM(K25:K36)</f>
        <v>1332478</v>
      </c>
      <c r="L24" s="178">
        <f>SUM(L25:L36)</f>
        <v>1334599</v>
      </c>
      <c r="M24" s="178">
        <f>SUM(M25:M36)</f>
        <v>1464553</v>
      </c>
      <c r="N24" s="178">
        <f>SUM(N25:N36)</f>
        <v>1557729</v>
      </c>
    </row>
    <row r="25" spans="1:14">
      <c r="A25" s="173" t="s">
        <v>693</v>
      </c>
      <c r="B25" s="174"/>
      <c r="C25" s="189">
        <v>169782</v>
      </c>
      <c r="D25" s="189">
        <v>179781</v>
      </c>
      <c r="E25" s="189">
        <v>184478</v>
      </c>
      <c r="F25" s="189">
        <v>84604</v>
      </c>
      <c r="G25" s="189">
        <v>152997</v>
      </c>
      <c r="H25" s="189">
        <v>151925</v>
      </c>
      <c r="I25" s="189">
        <v>150049</v>
      </c>
      <c r="J25" s="189">
        <v>146127</v>
      </c>
      <c r="K25" s="189">
        <v>142752</v>
      </c>
      <c r="L25" s="189">
        <v>144455</v>
      </c>
      <c r="M25" s="189">
        <v>138577</v>
      </c>
      <c r="N25" s="189">
        <v>130616</v>
      </c>
    </row>
    <row r="26" spans="1:14">
      <c r="A26" s="173" t="s">
        <v>744</v>
      </c>
      <c r="B26" s="174"/>
      <c r="C26" s="189">
        <v>61679</v>
      </c>
      <c r="D26" s="189">
        <v>266090</v>
      </c>
      <c r="E26" s="189">
        <v>55326</v>
      </c>
      <c r="F26" s="189"/>
      <c r="G26" s="189"/>
      <c r="H26" s="189"/>
      <c r="I26" s="189"/>
      <c r="J26" s="189">
        <v>0</v>
      </c>
      <c r="K26" s="189"/>
      <c r="L26" s="189"/>
      <c r="M26" s="189"/>
      <c r="N26" s="189"/>
    </row>
    <row r="27" spans="1:14">
      <c r="A27" s="173" t="s">
        <v>696</v>
      </c>
      <c r="B27" s="174"/>
      <c r="C27" s="189"/>
      <c r="D27" s="189"/>
      <c r="E27" s="189"/>
      <c r="F27" s="189"/>
      <c r="G27" s="189"/>
      <c r="H27" s="189">
        <v>18934</v>
      </c>
      <c r="I27" s="189">
        <v>18934</v>
      </c>
      <c r="J27" s="189">
        <v>18934</v>
      </c>
      <c r="K27" s="189">
        <v>18934</v>
      </c>
      <c r="L27" s="189">
        <v>13038</v>
      </c>
      <c r="M27" s="189">
        <v>13038</v>
      </c>
      <c r="N27" s="189">
        <v>13038</v>
      </c>
    </row>
    <row r="28" spans="1:14">
      <c r="A28" s="173" t="s">
        <v>699</v>
      </c>
      <c r="B28" s="174"/>
      <c r="C28" s="189"/>
      <c r="D28" s="189">
        <v>200196</v>
      </c>
      <c r="E28" s="189">
        <v>203853</v>
      </c>
      <c r="F28" s="189">
        <v>191971</v>
      </c>
      <c r="G28" s="189">
        <v>206475</v>
      </c>
      <c r="H28" s="189">
        <v>208918</v>
      </c>
      <c r="I28" s="189">
        <v>216169</v>
      </c>
      <c r="J28" s="189">
        <v>222309</v>
      </c>
      <c r="K28" s="189">
        <v>226947</v>
      </c>
      <c r="L28" s="189">
        <v>225891</v>
      </c>
      <c r="M28" s="189">
        <v>226566</v>
      </c>
      <c r="N28" s="189">
        <v>224745</v>
      </c>
    </row>
    <row r="29" spans="1:14">
      <c r="A29" s="173" t="s">
        <v>703</v>
      </c>
      <c r="B29" s="174"/>
      <c r="C29" s="189"/>
      <c r="D29" s="189"/>
      <c r="E29" s="189"/>
      <c r="F29" s="189"/>
      <c r="G29" s="189">
        <v>688875</v>
      </c>
      <c r="H29" s="189">
        <v>643291</v>
      </c>
      <c r="I29" s="189">
        <v>576538</v>
      </c>
      <c r="J29" s="189">
        <v>534228</v>
      </c>
      <c r="K29" s="189">
        <v>378756</v>
      </c>
      <c r="L29" s="189">
        <v>341793</v>
      </c>
      <c r="M29" s="189">
        <v>439472</v>
      </c>
      <c r="N29" s="189">
        <v>432065</v>
      </c>
    </row>
    <row r="30" spans="1:14">
      <c r="A30" s="173" t="s">
        <v>704</v>
      </c>
      <c r="B30" s="174"/>
      <c r="C30" s="189">
        <v>622573</v>
      </c>
      <c r="D30" s="189">
        <v>734485</v>
      </c>
      <c r="E30" s="189">
        <v>348845</v>
      </c>
      <c r="F30" s="189">
        <v>670539</v>
      </c>
      <c r="G30" s="189"/>
      <c r="H30" s="189"/>
      <c r="I30" s="189"/>
      <c r="J30" s="189">
        <v>0</v>
      </c>
      <c r="K30" s="189"/>
      <c r="L30" s="189"/>
      <c r="M30" s="189"/>
      <c r="N30" s="189"/>
    </row>
    <row r="31" spans="1:14">
      <c r="A31" s="173" t="s">
        <v>750</v>
      </c>
      <c r="B31" s="174"/>
      <c r="C31" s="189"/>
      <c r="D31" s="189"/>
      <c r="E31" s="189"/>
      <c r="F31" s="189"/>
      <c r="G31" s="189"/>
      <c r="H31" s="189"/>
      <c r="I31" s="189"/>
      <c r="J31" s="189">
        <v>0</v>
      </c>
      <c r="K31" s="189"/>
      <c r="L31" s="189"/>
      <c r="M31" s="189"/>
      <c r="N31" s="189"/>
    </row>
    <row r="32" spans="1:14">
      <c r="A32" s="173" t="s">
        <v>701</v>
      </c>
      <c r="B32" s="174"/>
      <c r="C32" s="189">
        <v>14680</v>
      </c>
      <c r="D32" s="189">
        <v>20455</v>
      </c>
      <c r="E32" s="189"/>
      <c r="F32" s="189"/>
      <c r="G32" s="189"/>
      <c r="H32" s="189"/>
      <c r="I32" s="189">
        <v>4412</v>
      </c>
      <c r="J32" s="189">
        <v>0</v>
      </c>
      <c r="K32" s="189">
        <v>6612</v>
      </c>
      <c r="L32" s="189">
        <v>0</v>
      </c>
      <c r="M32" s="189">
        <v>7772</v>
      </c>
      <c r="N32" s="189">
        <v>84319</v>
      </c>
    </row>
    <row r="33" spans="1:14 16384:16384">
      <c r="A33" s="173" t="s">
        <v>742</v>
      </c>
      <c r="B33" s="174"/>
      <c r="C33" s="189"/>
      <c r="D33" s="189"/>
      <c r="E33" s="189"/>
      <c r="F33" s="189"/>
      <c r="G33" s="189"/>
      <c r="H33" s="189"/>
      <c r="I33" s="189"/>
      <c r="J33" s="189">
        <v>0</v>
      </c>
      <c r="K33" s="189"/>
      <c r="L33" s="189"/>
      <c r="M33" s="189"/>
      <c r="N33" s="189"/>
    </row>
    <row r="34" spans="1:14 16384:16384">
      <c r="A34" s="173" t="s">
        <v>790</v>
      </c>
      <c r="B34" s="174"/>
      <c r="C34" s="189">
        <v>167447</v>
      </c>
      <c r="D34" s="189"/>
      <c r="E34" s="189"/>
      <c r="F34" s="189"/>
      <c r="G34" s="189"/>
      <c r="H34" s="189"/>
      <c r="I34" s="189"/>
      <c r="J34" s="189">
        <v>0</v>
      </c>
      <c r="K34" s="189"/>
      <c r="L34" s="189"/>
      <c r="M34" s="189"/>
      <c r="N34" s="189"/>
    </row>
    <row r="35" spans="1:14 16384:16384">
      <c r="A35" s="173" t="s">
        <v>705</v>
      </c>
      <c r="B35" s="174"/>
      <c r="C35" s="189">
        <v>1871</v>
      </c>
      <c r="D35" s="189">
        <v>1874</v>
      </c>
      <c r="E35" s="189">
        <v>1877</v>
      </c>
      <c r="F35" s="189">
        <v>1875</v>
      </c>
      <c r="G35" s="189">
        <v>1875</v>
      </c>
      <c r="H35" s="189">
        <v>1937</v>
      </c>
      <c r="I35" s="189">
        <v>17</v>
      </c>
      <c r="J35" s="189">
        <v>0</v>
      </c>
      <c r="K35" s="189"/>
      <c r="L35" s="189">
        <v>26</v>
      </c>
      <c r="M35" s="189">
        <v>9</v>
      </c>
      <c r="N35" s="189">
        <v>41</v>
      </c>
    </row>
    <row r="36" spans="1:14 16384:16384" ht="15" thickBot="1">
      <c r="A36" s="176" t="s">
        <v>708</v>
      </c>
      <c r="B36" s="174"/>
      <c r="C36" s="189">
        <v>356667</v>
      </c>
      <c r="D36" s="189">
        <v>426473</v>
      </c>
      <c r="E36" s="189">
        <v>434878</v>
      </c>
      <c r="F36" s="189">
        <v>462987</v>
      </c>
      <c r="G36" s="189"/>
      <c r="H36" s="189">
        <v>485102</v>
      </c>
      <c r="I36" s="189">
        <v>506884</v>
      </c>
      <c r="J36" s="189">
        <v>541201</v>
      </c>
      <c r="K36" s="189">
        <v>558477</v>
      </c>
      <c r="L36" s="189">
        <v>609396</v>
      </c>
      <c r="M36" s="189">
        <v>639119</v>
      </c>
      <c r="N36" s="189">
        <v>672905</v>
      </c>
    </row>
    <row r="37" spans="1:14 16384:16384" ht="15" thickBot="1">
      <c r="A37" s="177" t="s">
        <v>752</v>
      </c>
      <c r="B37" s="170"/>
      <c r="C37" s="178">
        <f t="shared" ref="C37:J37" si="3">SUM(C38:C42)</f>
        <v>2243590</v>
      </c>
      <c r="D37" s="178">
        <f t="shared" si="3"/>
        <v>2325226</v>
      </c>
      <c r="E37" s="178">
        <f t="shared" si="3"/>
        <v>2350283</v>
      </c>
      <c r="F37" s="178">
        <f t="shared" si="3"/>
        <v>2449060</v>
      </c>
      <c r="G37" s="178">
        <f t="shared" si="3"/>
        <v>3115554</v>
      </c>
      <c r="H37" s="178">
        <f t="shared" si="3"/>
        <v>2853374</v>
      </c>
      <c r="I37" s="178">
        <f t="shared" si="3"/>
        <v>3025323</v>
      </c>
      <c r="J37" s="178">
        <f t="shared" si="3"/>
        <v>3171834</v>
      </c>
      <c r="K37" s="178">
        <f>SUM(K38:K42)</f>
        <v>3294148</v>
      </c>
      <c r="L37" s="178">
        <f>SUM(L38:L42)</f>
        <v>3253637</v>
      </c>
      <c r="M37" s="178">
        <f>SUM(M38:M42)</f>
        <v>3325852</v>
      </c>
      <c r="N37" s="178">
        <f>SUM(N38:N42)</f>
        <v>3463021</v>
      </c>
    </row>
    <row r="38" spans="1:14 16384:16384">
      <c r="A38" s="173" t="s">
        <v>709</v>
      </c>
      <c r="B38" s="174"/>
      <c r="C38" s="189">
        <v>838</v>
      </c>
      <c r="D38" s="189">
        <v>635</v>
      </c>
      <c r="E38" s="189">
        <v>635</v>
      </c>
      <c r="F38" s="189">
        <v>635</v>
      </c>
      <c r="G38" s="189">
        <v>635</v>
      </c>
      <c r="H38" s="189">
        <v>635</v>
      </c>
      <c r="I38" s="189">
        <v>635</v>
      </c>
      <c r="J38" s="189">
        <v>0</v>
      </c>
      <c r="K38" s="189">
        <v>0</v>
      </c>
      <c r="L38" s="189"/>
      <c r="M38" s="189"/>
      <c r="N38" s="189"/>
    </row>
    <row r="39" spans="1:14 16384:16384">
      <c r="A39" s="173" t="s">
        <v>769</v>
      </c>
      <c r="B39" s="174"/>
      <c r="C39" s="189">
        <v>59996</v>
      </c>
      <c r="D39" s="189">
        <v>120128</v>
      </c>
      <c r="E39" s="189">
        <v>170555</v>
      </c>
      <c r="F39" s="189">
        <v>336889</v>
      </c>
      <c r="G39" s="189">
        <v>1028660</v>
      </c>
      <c r="H39" s="189">
        <v>691921</v>
      </c>
      <c r="I39" s="189">
        <v>810904</v>
      </c>
      <c r="J39" s="189">
        <v>1067411</v>
      </c>
      <c r="K39" s="189">
        <v>1205723</v>
      </c>
      <c r="L39" s="189">
        <v>1061547</v>
      </c>
      <c r="M39" s="189">
        <v>1079385</v>
      </c>
      <c r="N39" s="189">
        <v>1142727</v>
      </c>
    </row>
    <row r="40" spans="1:14 16384:16384">
      <c r="A40" s="173" t="s">
        <v>770</v>
      </c>
      <c r="B40" s="174"/>
      <c r="C40" s="189">
        <v>122019</v>
      </c>
      <c r="D40" s="189">
        <v>69292</v>
      </c>
      <c r="E40" s="189">
        <v>70929</v>
      </c>
      <c r="F40" s="189"/>
      <c r="G40" s="189">
        <v>1349</v>
      </c>
      <c r="H40" s="189"/>
      <c r="I40" s="189"/>
      <c r="J40" s="189">
        <v>0</v>
      </c>
      <c r="K40" s="189"/>
      <c r="L40" s="189"/>
      <c r="M40" s="189"/>
      <c r="N40" s="189"/>
    </row>
    <row r="41" spans="1:14 16384:16384">
      <c r="A41" s="173" t="s">
        <v>713</v>
      </c>
      <c r="B41" s="174"/>
      <c r="C41" s="189">
        <v>36648</v>
      </c>
      <c r="D41" s="189">
        <v>31490</v>
      </c>
      <c r="E41" s="189">
        <v>26579</v>
      </c>
      <c r="F41" s="189">
        <v>21801</v>
      </c>
      <c r="G41" s="189">
        <v>17048</v>
      </c>
      <c r="H41" s="189">
        <v>12294</v>
      </c>
      <c r="I41" s="189">
        <v>9248</v>
      </c>
      <c r="J41" s="189">
        <v>7057</v>
      </c>
      <c r="K41" s="189">
        <v>3324</v>
      </c>
      <c r="L41" s="189">
        <v>3376</v>
      </c>
      <c r="M41" s="189">
        <v>5625</v>
      </c>
      <c r="N41" s="189">
        <v>5305</v>
      </c>
    </row>
    <row r="42" spans="1:14 16384:16384" ht="15" thickBot="1">
      <c r="A42" s="173" t="s">
        <v>711</v>
      </c>
      <c r="B42" s="174"/>
      <c r="C42" s="189">
        <v>2024089</v>
      </c>
      <c r="D42" s="189">
        <v>2103681</v>
      </c>
      <c r="E42" s="189">
        <v>2081585</v>
      </c>
      <c r="F42" s="189">
        <v>2089735</v>
      </c>
      <c r="G42" s="189">
        <v>2067862</v>
      </c>
      <c r="H42" s="189">
        <v>2148524</v>
      </c>
      <c r="I42" s="189">
        <v>2204536</v>
      </c>
      <c r="J42" s="189">
        <v>2097366</v>
      </c>
      <c r="K42" s="189">
        <v>2085101</v>
      </c>
      <c r="L42" s="189">
        <v>2188714</v>
      </c>
      <c r="M42" s="189">
        <v>2240842</v>
      </c>
      <c r="N42" s="189">
        <v>2314989</v>
      </c>
    </row>
    <row r="43" spans="1:14 16384:16384" ht="15" thickBot="1">
      <c r="A43" s="177" t="s">
        <v>714</v>
      </c>
      <c r="B43" s="170"/>
      <c r="C43" s="178">
        <f t="shared" ref="C43:J43" si="4">C8+C23</f>
        <v>6497674</v>
      </c>
      <c r="D43" s="178">
        <f t="shared" si="4"/>
        <v>6743744</v>
      </c>
      <c r="E43" s="178">
        <f t="shared" si="4"/>
        <v>6211856</v>
      </c>
      <c r="F43" s="178">
        <f t="shared" si="4"/>
        <v>6261509</v>
      </c>
      <c r="G43" s="178">
        <f t="shared" si="4"/>
        <v>6223304</v>
      </c>
      <c r="H43" s="178">
        <f t="shared" si="4"/>
        <v>6839958</v>
      </c>
      <c r="I43" s="178">
        <f t="shared" si="4"/>
        <v>6974336</v>
      </c>
      <c r="J43" s="178">
        <f t="shared" si="4"/>
        <v>7502206</v>
      </c>
      <c r="K43" s="178">
        <f>K8+K23</f>
        <v>7435736</v>
      </c>
      <c r="L43" s="178">
        <f>L8+L23</f>
        <v>7651856</v>
      </c>
      <c r="M43" s="178">
        <f>M8+M23</f>
        <v>7680398</v>
      </c>
      <c r="N43" s="178">
        <f>N8+N23</f>
        <v>7750661</v>
      </c>
      <c r="XFD43" s="178"/>
    </row>
    <row r="44" spans="1:14 16384:16384">
      <c r="A44" s="173"/>
      <c r="B44" s="174"/>
    </row>
    <row r="45" spans="1:14 16384:16384" ht="15" thickBot="1">
      <c r="A45" s="5" t="s">
        <v>715</v>
      </c>
      <c r="B45" s="168"/>
      <c r="C45" s="528" t="s">
        <v>43</v>
      </c>
      <c r="D45" s="528" t="str">
        <f>D7</f>
        <v>4T21</v>
      </c>
      <c r="E45" s="528" t="str">
        <f>E7</f>
        <v>1T22</v>
      </c>
      <c r="F45" s="528" t="str">
        <f>F7</f>
        <v>2T22</v>
      </c>
      <c r="G45" s="528" t="s">
        <v>47</v>
      </c>
      <c r="H45" s="528" t="str">
        <f>H7</f>
        <v>4T22</v>
      </c>
      <c r="I45" s="528" t="str">
        <f>I7</f>
        <v>1T23</v>
      </c>
      <c r="J45" s="528" t="s">
        <v>50</v>
      </c>
      <c r="K45" s="528" t="s">
        <v>51</v>
      </c>
      <c r="L45" s="528" t="s">
        <v>52</v>
      </c>
      <c r="M45" s="528" t="s">
        <v>53</v>
      </c>
      <c r="N45" s="528"/>
    </row>
    <row r="46" spans="1:14 16384:16384" ht="15" thickBot="1">
      <c r="A46" s="169" t="s">
        <v>690</v>
      </c>
      <c r="B46" s="170"/>
      <c r="C46" s="171">
        <f>SUM(C47:C63)</f>
        <v>2211298</v>
      </c>
      <c r="D46" s="171">
        <f>SUM(D47:D63)</f>
        <v>2232518</v>
      </c>
      <c r="E46" s="171">
        <f>SUM(E47:E63)</f>
        <v>1665690</v>
      </c>
      <c r="F46" s="171">
        <f>SUM(F47:F63)</f>
        <v>1612044</v>
      </c>
      <c r="G46" s="171">
        <f>SUM(G47:G63)</f>
        <v>2055144</v>
      </c>
      <c r="H46" s="171">
        <f>SUM(H47:H63)</f>
        <v>2154302</v>
      </c>
      <c r="I46" s="171">
        <f>SUM(I47:I63)</f>
        <v>2110464</v>
      </c>
      <c r="J46" s="171">
        <f>SUM(J47:J63)</f>
        <v>2424789</v>
      </c>
      <c r="K46" s="171">
        <f>SUM(K47:K63)</f>
        <v>3090830</v>
      </c>
      <c r="L46" s="171">
        <f>SUM(L47:L63)</f>
        <v>2822722</v>
      </c>
      <c r="M46" s="171">
        <f>SUM(M47:M63)</f>
        <v>2671218</v>
      </c>
      <c r="N46" s="171">
        <f>SUM(N47:N63)</f>
        <v>2704817</v>
      </c>
    </row>
    <row r="47" spans="1:14 16384:16384">
      <c r="A47" s="182" t="s">
        <v>716</v>
      </c>
      <c r="B47" s="183"/>
      <c r="C47" s="189">
        <v>505816</v>
      </c>
      <c r="D47" s="189">
        <v>576912</v>
      </c>
      <c r="E47" s="189">
        <v>391997</v>
      </c>
      <c r="F47" s="189">
        <v>458878</v>
      </c>
      <c r="G47" s="189">
        <v>521297</v>
      </c>
      <c r="H47" s="189">
        <v>579822</v>
      </c>
      <c r="I47" s="189">
        <v>462409</v>
      </c>
      <c r="J47" s="189">
        <v>457347.00000000006</v>
      </c>
      <c r="K47" s="189">
        <v>477009</v>
      </c>
      <c r="L47" s="189">
        <v>623360</v>
      </c>
      <c r="M47" s="189">
        <v>587020</v>
      </c>
      <c r="N47" s="189">
        <v>633644</v>
      </c>
    </row>
    <row r="48" spans="1:14 16384:16384">
      <c r="A48" s="182" t="s">
        <v>717</v>
      </c>
      <c r="B48" s="183"/>
      <c r="C48" s="189">
        <v>242816</v>
      </c>
      <c r="D48" s="189">
        <v>116600</v>
      </c>
      <c r="E48" s="189">
        <v>103595</v>
      </c>
      <c r="F48" s="189">
        <v>111707</v>
      </c>
      <c r="G48" s="189">
        <v>103222</v>
      </c>
      <c r="H48" s="189">
        <v>89847</v>
      </c>
      <c r="I48" s="189">
        <v>45074</v>
      </c>
      <c r="J48" s="189">
        <v>37310</v>
      </c>
      <c r="K48" s="189">
        <v>40722</v>
      </c>
      <c r="L48" s="189">
        <v>32758</v>
      </c>
      <c r="M48" s="189">
        <v>33404</v>
      </c>
      <c r="N48" s="189">
        <v>22527</v>
      </c>
    </row>
    <row r="49" spans="1:14">
      <c r="A49" s="173" t="s">
        <v>718</v>
      </c>
      <c r="B49" s="174"/>
      <c r="C49" s="189">
        <v>569626</v>
      </c>
      <c r="D49" s="189">
        <v>566018</v>
      </c>
      <c r="E49" s="189">
        <v>170519</v>
      </c>
      <c r="F49" s="189">
        <v>154831</v>
      </c>
      <c r="G49" s="189">
        <v>258400</v>
      </c>
      <c r="H49" s="189">
        <v>267472</v>
      </c>
      <c r="I49" s="189">
        <v>274957</v>
      </c>
      <c r="J49" s="189">
        <v>247223</v>
      </c>
      <c r="K49" s="189">
        <v>946732</v>
      </c>
      <c r="L49" s="189">
        <v>292879</v>
      </c>
      <c r="M49" s="189">
        <v>301223</v>
      </c>
      <c r="N49" s="189">
        <v>334444</v>
      </c>
    </row>
    <row r="50" spans="1:14">
      <c r="A50" s="173" t="s">
        <v>719</v>
      </c>
      <c r="B50" s="174"/>
      <c r="C50" s="189">
        <v>9533</v>
      </c>
      <c r="D50" s="189">
        <v>39178</v>
      </c>
      <c r="E50" s="189">
        <v>17790</v>
      </c>
      <c r="F50" s="189">
        <v>62023</v>
      </c>
      <c r="G50" s="189">
        <v>323556</v>
      </c>
      <c r="H50" s="189">
        <v>371875</v>
      </c>
      <c r="I50" s="189">
        <v>326159</v>
      </c>
      <c r="J50" s="189">
        <v>369395</v>
      </c>
      <c r="K50" s="189">
        <v>323846</v>
      </c>
      <c r="L50" s="189">
        <v>359257</v>
      </c>
      <c r="M50" s="189">
        <v>354705</v>
      </c>
      <c r="N50" s="189">
        <v>356957</v>
      </c>
    </row>
    <row r="51" spans="1:14">
      <c r="A51" s="173" t="s">
        <v>720</v>
      </c>
      <c r="B51" s="174"/>
      <c r="C51" s="189"/>
      <c r="D51" s="189"/>
      <c r="E51" s="189"/>
      <c r="F51" s="189">
        <v>22</v>
      </c>
      <c r="G51" s="189"/>
      <c r="H51" s="189"/>
      <c r="I51" s="189">
        <v>107963</v>
      </c>
      <c r="J51" s="189">
        <v>274491</v>
      </c>
      <c r="K51" s="189">
        <v>374203</v>
      </c>
      <c r="L51" s="189">
        <v>106702</v>
      </c>
      <c r="M51" s="189">
        <v>201682</v>
      </c>
      <c r="N51" s="189">
        <v>250833</v>
      </c>
    </row>
    <row r="52" spans="1:14">
      <c r="A52" s="173" t="s">
        <v>721</v>
      </c>
      <c r="B52" s="174"/>
      <c r="C52" s="189">
        <v>264627</v>
      </c>
      <c r="D52" s="189">
        <v>292154</v>
      </c>
      <c r="E52" s="189">
        <v>280069</v>
      </c>
      <c r="F52" s="189">
        <v>275389</v>
      </c>
      <c r="G52" s="189">
        <v>276108</v>
      </c>
      <c r="H52" s="189">
        <v>259011</v>
      </c>
      <c r="I52" s="189">
        <v>294536</v>
      </c>
      <c r="J52" s="189">
        <v>261991</v>
      </c>
      <c r="K52" s="189">
        <v>262969</v>
      </c>
      <c r="L52" s="189">
        <v>282595</v>
      </c>
      <c r="M52" s="189">
        <v>217518</v>
      </c>
      <c r="N52" s="189">
        <v>233928</v>
      </c>
    </row>
    <row r="53" spans="1:14">
      <c r="A53" s="173" t="s">
        <v>771</v>
      </c>
      <c r="B53" s="174"/>
      <c r="C53" s="189">
        <v>628</v>
      </c>
      <c r="D53" s="189">
        <v>606</v>
      </c>
      <c r="E53" s="189">
        <v>1085</v>
      </c>
      <c r="F53" s="189">
        <v>2829</v>
      </c>
      <c r="G53" s="189">
        <v>763</v>
      </c>
      <c r="H53" s="189">
        <v>842</v>
      </c>
      <c r="I53" s="189">
        <v>692</v>
      </c>
      <c r="J53" s="189">
        <v>234</v>
      </c>
      <c r="K53" s="189">
        <v>364</v>
      </c>
      <c r="L53" s="189">
        <v>631</v>
      </c>
      <c r="M53" s="189">
        <v>432</v>
      </c>
      <c r="N53" s="189">
        <v>425</v>
      </c>
    </row>
    <row r="54" spans="1:14">
      <c r="A54" s="173" t="s">
        <v>725</v>
      </c>
      <c r="B54" s="174"/>
      <c r="C54" s="189"/>
      <c r="D54" s="189"/>
      <c r="E54" s="189"/>
      <c r="F54" s="189"/>
      <c r="G54" s="189"/>
      <c r="H54" s="189"/>
      <c r="I54" s="189"/>
      <c r="J54" s="189">
        <v>19984</v>
      </c>
      <c r="K54" s="189">
        <v>29479</v>
      </c>
      <c r="L54" s="189">
        <v>40540</v>
      </c>
      <c r="M54" s="189">
        <v>50908</v>
      </c>
      <c r="N54" s="189">
        <v>12190</v>
      </c>
    </row>
    <row r="55" spans="1:14">
      <c r="A55" s="173" t="s">
        <v>724</v>
      </c>
      <c r="B55" s="174"/>
      <c r="C55" s="189">
        <v>291269</v>
      </c>
      <c r="D55" s="189">
        <v>103253</v>
      </c>
      <c r="E55" s="189">
        <v>112191</v>
      </c>
      <c r="F55" s="189">
        <v>108779</v>
      </c>
      <c r="G55" s="189">
        <v>111658</v>
      </c>
      <c r="H55" s="189">
        <v>50823</v>
      </c>
      <c r="I55" s="189">
        <v>52040</v>
      </c>
      <c r="J55" s="189">
        <v>44266</v>
      </c>
      <c r="K55" s="189">
        <v>44445</v>
      </c>
      <c r="L55" s="189">
        <v>78176</v>
      </c>
      <c r="M55" s="189">
        <v>70593</v>
      </c>
      <c r="N55" s="189">
        <v>68344</v>
      </c>
    </row>
    <row r="56" spans="1:14">
      <c r="A56" s="173" t="s">
        <v>727</v>
      </c>
      <c r="B56" s="174"/>
      <c r="C56" s="189"/>
      <c r="D56" s="189"/>
      <c r="E56" s="189"/>
      <c r="F56" s="189"/>
      <c r="G56" s="189"/>
      <c r="H56" s="189"/>
      <c r="I56" s="189"/>
      <c r="J56" s="189">
        <v>3569</v>
      </c>
      <c r="K56" s="189">
        <v>3935</v>
      </c>
      <c r="L56" s="189">
        <v>5271</v>
      </c>
      <c r="M56" s="189">
        <v>2018</v>
      </c>
      <c r="N56" s="189">
        <v>1433</v>
      </c>
    </row>
    <row r="57" spans="1:14">
      <c r="A57" s="173" t="s">
        <v>759</v>
      </c>
      <c r="B57" s="174"/>
      <c r="C57" s="189"/>
      <c r="D57" s="189">
        <v>734</v>
      </c>
      <c r="E57" s="189">
        <v>30</v>
      </c>
      <c r="F57" s="189"/>
      <c r="G57" s="189"/>
      <c r="H57" s="189"/>
      <c r="I57" s="189">
        <v>21250</v>
      </c>
      <c r="J57" s="189">
        <v>31226</v>
      </c>
      <c r="K57" s="189"/>
      <c r="L57" s="189"/>
      <c r="M57" s="189"/>
      <c r="N57" s="189"/>
    </row>
    <row r="58" spans="1:14">
      <c r="A58" s="173" t="s">
        <v>701</v>
      </c>
      <c r="B58" s="174"/>
      <c r="C58" s="189"/>
      <c r="D58" s="189">
        <v>5069</v>
      </c>
      <c r="E58" s="189">
        <v>32538</v>
      </c>
      <c r="F58" s="189">
        <v>260</v>
      </c>
      <c r="G58" s="189">
        <v>75</v>
      </c>
      <c r="H58" s="189">
        <v>254</v>
      </c>
      <c r="I58" s="189">
        <v>126</v>
      </c>
      <c r="J58" s="189">
        <v>26980</v>
      </c>
      <c r="K58" s="189">
        <v>24717</v>
      </c>
      <c r="L58" s="189">
        <v>37678</v>
      </c>
      <c r="M58" s="189">
        <v>18203</v>
      </c>
      <c r="N58" s="189">
        <v>0</v>
      </c>
    </row>
    <row r="59" spans="1:14">
      <c r="A59" s="173" t="s">
        <v>729</v>
      </c>
      <c r="B59" s="174"/>
      <c r="C59" s="189"/>
      <c r="D59" s="189"/>
      <c r="E59" s="189"/>
      <c r="F59" s="189"/>
      <c r="G59" s="189"/>
      <c r="H59" s="189"/>
      <c r="I59" s="189"/>
      <c r="J59" s="189">
        <v>114182</v>
      </c>
      <c r="K59" s="189">
        <v>35300</v>
      </c>
      <c r="L59" s="189">
        <v>349220</v>
      </c>
      <c r="M59" s="189">
        <v>240126</v>
      </c>
      <c r="N59" s="189">
        <v>151978</v>
      </c>
    </row>
    <row r="60" spans="1:14">
      <c r="A60" s="173" t="s">
        <v>785</v>
      </c>
      <c r="B60" s="174"/>
      <c r="C60" s="189">
        <v>58654</v>
      </c>
      <c r="D60" s="189">
        <v>282486</v>
      </c>
      <c r="E60" s="189">
        <v>282486</v>
      </c>
      <c r="F60" s="189">
        <v>282486</v>
      </c>
      <c r="G60" s="189">
        <v>336083</v>
      </c>
      <c r="H60" s="189">
        <v>376954</v>
      </c>
      <c r="I60" s="189">
        <v>384294</v>
      </c>
      <c r="J60" s="189">
        <v>369869</v>
      </c>
      <c r="K60" s="189">
        <v>350929</v>
      </c>
      <c r="L60" s="189">
        <v>407326</v>
      </c>
      <c r="M60" s="189">
        <v>370260</v>
      </c>
      <c r="N60" s="189">
        <v>420519</v>
      </c>
    </row>
    <row r="61" spans="1:14">
      <c r="A61" s="173" t="s">
        <v>775</v>
      </c>
      <c r="B61" s="174"/>
      <c r="C61" s="189"/>
      <c r="D61" s="189"/>
      <c r="E61" s="189"/>
      <c r="F61" s="189">
        <v>53641</v>
      </c>
      <c r="G61" s="189">
        <v>42066</v>
      </c>
      <c r="H61" s="189">
        <v>71249</v>
      </c>
      <c r="I61" s="189">
        <v>60601</v>
      </c>
      <c r="J61" s="189">
        <v>77903</v>
      </c>
      <c r="K61" s="189">
        <v>76170</v>
      </c>
      <c r="L61" s="189">
        <v>82304</v>
      </c>
      <c r="M61" s="189">
        <v>86633</v>
      </c>
      <c r="N61" s="189">
        <v>88323</v>
      </c>
    </row>
    <row r="62" spans="1:14">
      <c r="A62" s="173" t="s">
        <v>731</v>
      </c>
      <c r="B62" s="174"/>
      <c r="C62" s="189">
        <v>15338</v>
      </c>
      <c r="D62" s="189">
        <v>20466</v>
      </c>
      <c r="E62" s="189">
        <v>18697</v>
      </c>
      <c r="F62" s="189">
        <v>16018</v>
      </c>
      <c r="G62" s="189">
        <v>13097</v>
      </c>
      <c r="H62" s="189">
        <v>9516</v>
      </c>
      <c r="I62" s="189">
        <v>6673</v>
      </c>
      <c r="J62" s="189">
        <v>4793</v>
      </c>
      <c r="K62" s="189">
        <v>616</v>
      </c>
      <c r="L62" s="189">
        <v>611</v>
      </c>
      <c r="M62" s="189">
        <v>1181</v>
      </c>
      <c r="N62" s="189">
        <v>1232</v>
      </c>
    </row>
    <row r="63" spans="1:14" ht="15" thickBot="1">
      <c r="A63" s="173" t="s">
        <v>730</v>
      </c>
      <c r="B63" s="174"/>
      <c r="C63" s="189">
        <v>252991</v>
      </c>
      <c r="D63" s="189">
        <v>229042</v>
      </c>
      <c r="E63" s="189">
        <v>254693</v>
      </c>
      <c r="F63" s="189">
        <v>85181</v>
      </c>
      <c r="G63" s="189">
        <v>68819</v>
      </c>
      <c r="H63" s="189">
        <v>76637</v>
      </c>
      <c r="I63" s="189">
        <v>73690</v>
      </c>
      <c r="J63" s="189">
        <v>84026</v>
      </c>
      <c r="K63" s="189">
        <v>99394</v>
      </c>
      <c r="L63" s="189">
        <v>123414</v>
      </c>
      <c r="M63" s="189">
        <v>135312</v>
      </c>
      <c r="N63" s="189">
        <v>128040</v>
      </c>
    </row>
    <row r="64" spans="1:14" ht="15" thickBot="1">
      <c r="A64" s="177" t="s">
        <v>706</v>
      </c>
      <c r="B64" s="170"/>
      <c r="C64" s="178">
        <f t="shared" ref="C64:J64" si="5">SUM(C65:C80)</f>
        <v>7354049</v>
      </c>
      <c r="D64" s="178">
        <f t="shared" si="5"/>
        <v>7169069</v>
      </c>
      <c r="E64" s="178">
        <f t="shared" si="5"/>
        <v>7195238</v>
      </c>
      <c r="F64" s="178">
        <f t="shared" si="5"/>
        <v>7407387</v>
      </c>
      <c r="G64" s="178">
        <f t="shared" si="5"/>
        <v>6940177</v>
      </c>
      <c r="H64" s="178">
        <f t="shared" si="5"/>
        <v>7430313</v>
      </c>
      <c r="I64" s="178">
        <f t="shared" si="5"/>
        <v>7567392</v>
      </c>
      <c r="J64" s="178">
        <f t="shared" si="5"/>
        <v>7949145</v>
      </c>
      <c r="K64" s="178">
        <f>SUM(K65:K80)</f>
        <v>7310443</v>
      </c>
      <c r="L64" s="178">
        <f>SUM(L65:L80)</f>
        <v>8183771</v>
      </c>
      <c r="M64" s="178">
        <f>SUM(M65:M80)</f>
        <v>8333957</v>
      </c>
      <c r="N64" s="178">
        <f>SUM(N65:N80)</f>
        <v>8585458</v>
      </c>
    </row>
    <row r="65" spans="1:14">
      <c r="A65" s="173" t="s">
        <v>718</v>
      </c>
      <c r="B65" s="174"/>
      <c r="C65" s="201">
        <v>1021911</v>
      </c>
      <c r="D65" s="201">
        <v>1052891</v>
      </c>
      <c r="E65" s="201">
        <v>983612</v>
      </c>
      <c r="F65" s="201">
        <v>1046338</v>
      </c>
      <c r="G65" s="201">
        <v>824020</v>
      </c>
      <c r="H65" s="201">
        <v>1235888</v>
      </c>
      <c r="I65" s="201">
        <v>1252724</v>
      </c>
      <c r="J65" s="201">
        <v>1844249</v>
      </c>
      <c r="K65" s="201">
        <v>1428510</v>
      </c>
      <c r="L65" s="201">
        <v>1394944</v>
      </c>
      <c r="M65" s="201">
        <v>1418474</v>
      </c>
      <c r="N65" s="201">
        <v>1502433</v>
      </c>
    </row>
    <row r="66" spans="1:14">
      <c r="A66" s="173" t="s">
        <v>719</v>
      </c>
      <c r="B66" s="174"/>
      <c r="C66" s="201">
        <v>1492905</v>
      </c>
      <c r="D66" s="201">
        <v>1504849</v>
      </c>
      <c r="E66" s="201">
        <v>1512476</v>
      </c>
      <c r="F66" s="201">
        <v>1522008</v>
      </c>
      <c r="G66" s="201">
        <v>1219745</v>
      </c>
      <c r="H66" s="201">
        <v>1473928</v>
      </c>
      <c r="I66" s="201">
        <v>1487245</v>
      </c>
      <c r="J66" s="201">
        <v>1494768</v>
      </c>
      <c r="K66" s="201">
        <v>1377382</v>
      </c>
      <c r="L66" s="201">
        <v>2380295</v>
      </c>
      <c r="M66" s="201">
        <v>2397699</v>
      </c>
      <c r="N66" s="201">
        <v>2645610</v>
      </c>
    </row>
    <row r="67" spans="1:14">
      <c r="A67" s="173" t="s">
        <v>721</v>
      </c>
      <c r="B67" s="174"/>
      <c r="C67" s="201">
        <v>2253865</v>
      </c>
      <c r="D67" s="201">
        <v>2259142</v>
      </c>
      <c r="E67" s="201">
        <v>2281384</v>
      </c>
      <c r="F67" s="201">
        <v>2307447</v>
      </c>
      <c r="G67" s="201">
        <v>2341337</v>
      </c>
      <c r="H67" s="201">
        <v>2378522</v>
      </c>
      <c r="I67" s="201">
        <v>2415348</v>
      </c>
      <c r="J67" s="201">
        <v>2452333</v>
      </c>
      <c r="K67" s="201">
        <v>2491439</v>
      </c>
      <c r="L67" s="201">
        <v>2522099</v>
      </c>
      <c r="M67" s="201">
        <v>2547467</v>
      </c>
      <c r="N67" s="201">
        <v>2603401</v>
      </c>
    </row>
    <row r="68" spans="1:14">
      <c r="A68" s="173" t="s">
        <v>786</v>
      </c>
      <c r="B68" s="174"/>
      <c r="C68" s="201"/>
      <c r="D68" s="201"/>
      <c r="E68" s="201"/>
      <c r="F68" s="201"/>
      <c r="G68" s="201"/>
      <c r="H68" s="201"/>
      <c r="I68" s="201"/>
      <c r="J68" s="201">
        <v>0</v>
      </c>
      <c r="K68" s="201"/>
      <c r="L68" s="201"/>
      <c r="M68" s="201"/>
      <c r="N68" s="201"/>
    </row>
    <row r="69" spans="1:14">
      <c r="A69" s="173" t="s">
        <v>750</v>
      </c>
      <c r="B69" s="174"/>
      <c r="C69" s="201"/>
      <c r="D69" s="201"/>
      <c r="E69" s="201"/>
      <c r="F69" s="201"/>
      <c r="G69" s="201"/>
      <c r="H69" s="201"/>
      <c r="I69" s="201"/>
      <c r="J69" s="201">
        <v>0</v>
      </c>
      <c r="K69" s="201"/>
      <c r="L69" s="201"/>
      <c r="M69" s="201"/>
      <c r="N69" s="201"/>
    </row>
    <row r="70" spans="1:14">
      <c r="A70" s="173" t="s">
        <v>701</v>
      </c>
      <c r="B70" s="174"/>
      <c r="C70" s="201"/>
      <c r="D70" s="201"/>
      <c r="E70" s="201">
        <v>36851</v>
      </c>
      <c r="F70" s="201">
        <v>39478</v>
      </c>
      <c r="G70" s="201">
        <v>25121</v>
      </c>
      <c r="H70" s="201">
        <v>36153</v>
      </c>
      <c r="I70" s="201">
        <v>42279</v>
      </c>
      <c r="J70" s="201">
        <v>48216</v>
      </c>
      <c r="K70" s="201">
        <v>0</v>
      </c>
      <c r="L70" s="201">
        <v>20149</v>
      </c>
      <c r="M70" s="201">
        <v>0</v>
      </c>
      <c r="N70" s="201"/>
    </row>
    <row r="71" spans="1:14">
      <c r="A71" s="173" t="s">
        <v>785</v>
      </c>
      <c r="B71" s="174"/>
      <c r="C71" s="201">
        <v>707398</v>
      </c>
      <c r="D71" s="201">
        <v>491200</v>
      </c>
      <c r="E71" s="201">
        <v>516407</v>
      </c>
      <c r="F71" s="201">
        <v>518509</v>
      </c>
      <c r="G71" s="201">
        <v>466325</v>
      </c>
      <c r="H71" s="201">
        <v>428566</v>
      </c>
      <c r="I71" s="201">
        <v>439041</v>
      </c>
      <c r="J71" s="201">
        <v>468748</v>
      </c>
      <c r="K71" s="201">
        <v>482744</v>
      </c>
      <c r="L71" s="201">
        <v>490842</v>
      </c>
      <c r="M71" s="201">
        <v>562328</v>
      </c>
      <c r="N71" s="201">
        <v>514022</v>
      </c>
    </row>
    <row r="72" spans="1:14">
      <c r="A72" s="173" t="s">
        <v>720</v>
      </c>
      <c r="B72" s="174"/>
      <c r="C72" s="201"/>
      <c r="D72" s="201"/>
      <c r="E72" s="201"/>
      <c r="F72" s="201">
        <v>99172</v>
      </c>
      <c r="G72" s="201">
        <v>181136</v>
      </c>
      <c r="H72" s="201">
        <v>184594</v>
      </c>
      <c r="I72" s="201">
        <v>300677</v>
      </c>
      <c r="J72" s="201">
        <v>200774</v>
      </c>
      <c r="K72" s="201">
        <v>63978</v>
      </c>
      <c r="L72" s="201">
        <v>207912</v>
      </c>
      <c r="M72" s="201">
        <v>226041</v>
      </c>
      <c r="N72" s="201">
        <v>133027</v>
      </c>
    </row>
    <row r="73" spans="1:14">
      <c r="A73" s="173" t="s">
        <v>759</v>
      </c>
      <c r="B73" s="174"/>
      <c r="C73" s="201"/>
      <c r="D73" s="201"/>
      <c r="E73" s="201"/>
      <c r="F73" s="201"/>
      <c r="G73" s="201"/>
      <c r="H73" s="201"/>
      <c r="I73" s="201"/>
      <c r="J73" s="201">
        <v>0</v>
      </c>
      <c r="K73" s="201"/>
      <c r="L73" s="201"/>
      <c r="M73" s="201"/>
      <c r="N73" s="201"/>
    </row>
    <row r="74" spans="1:14">
      <c r="A74" s="173" t="s">
        <v>725</v>
      </c>
      <c r="B74" s="174"/>
      <c r="C74" s="201"/>
      <c r="D74" s="201"/>
      <c r="E74" s="201"/>
      <c r="F74" s="201"/>
      <c r="G74" s="201"/>
      <c r="H74" s="201"/>
      <c r="I74" s="201"/>
      <c r="J74" s="201">
        <v>0</v>
      </c>
      <c r="K74" s="201"/>
      <c r="L74" s="201"/>
      <c r="M74" s="201"/>
      <c r="N74" s="201"/>
    </row>
    <row r="75" spans="1:14">
      <c r="A75" s="173" t="s">
        <v>724</v>
      </c>
      <c r="B75" s="174"/>
      <c r="C75" s="201">
        <v>21170</v>
      </c>
      <c r="D75" s="201">
        <v>26781</v>
      </c>
      <c r="E75" s="201">
        <v>31543</v>
      </c>
      <c r="F75" s="201">
        <v>35683</v>
      </c>
      <c r="G75" s="201">
        <v>38700</v>
      </c>
      <c r="H75" s="201">
        <v>108265</v>
      </c>
      <c r="I75" s="201">
        <v>114835</v>
      </c>
      <c r="J75" s="201">
        <v>120760</v>
      </c>
      <c r="K75" s="201">
        <v>127801</v>
      </c>
      <c r="L75" s="201">
        <v>39350</v>
      </c>
      <c r="M75" s="201">
        <v>44834</v>
      </c>
      <c r="N75" s="201">
        <v>49344</v>
      </c>
    </row>
    <row r="76" spans="1:14">
      <c r="A76" s="173" t="s">
        <v>729</v>
      </c>
      <c r="B76" s="174"/>
      <c r="C76" s="201">
        <v>795227</v>
      </c>
      <c r="D76" s="201">
        <v>836997</v>
      </c>
      <c r="E76" s="201">
        <v>817793</v>
      </c>
      <c r="F76" s="201">
        <v>804057</v>
      </c>
      <c r="G76" s="201">
        <v>792464</v>
      </c>
      <c r="H76" s="201">
        <v>754774</v>
      </c>
      <c r="I76" s="201">
        <v>668430</v>
      </c>
      <c r="J76" s="201">
        <v>484137</v>
      </c>
      <c r="K76" s="201">
        <v>497352</v>
      </c>
      <c r="L76" s="201">
        <v>126599</v>
      </c>
      <c r="M76" s="201">
        <v>135856</v>
      </c>
      <c r="N76" s="201">
        <v>132532</v>
      </c>
    </row>
    <row r="77" spans="1:14">
      <c r="A77" s="173" t="s">
        <v>760</v>
      </c>
      <c r="B77" s="174"/>
      <c r="C77" s="201"/>
      <c r="D77" s="201"/>
      <c r="E77" s="201"/>
      <c r="F77" s="201"/>
      <c r="G77" s="201"/>
      <c r="H77" s="201"/>
      <c r="I77" s="201"/>
      <c r="J77" s="201">
        <v>0</v>
      </c>
      <c r="K77" s="201"/>
      <c r="L77" s="201"/>
      <c r="M77" s="201"/>
      <c r="N77" s="201"/>
    </row>
    <row r="78" spans="1:14">
      <c r="A78" s="173" t="s">
        <v>775</v>
      </c>
      <c r="B78" s="174"/>
      <c r="C78" s="201">
        <v>1001513</v>
      </c>
      <c r="D78" s="201">
        <v>926446</v>
      </c>
      <c r="E78" s="201">
        <v>947723</v>
      </c>
      <c r="F78" s="201">
        <v>969606</v>
      </c>
      <c r="G78" s="201">
        <v>988437</v>
      </c>
      <c r="H78" s="201">
        <v>787802</v>
      </c>
      <c r="I78" s="201">
        <v>804353</v>
      </c>
      <c r="J78" s="201">
        <v>792736</v>
      </c>
      <c r="K78" s="201">
        <v>798386</v>
      </c>
      <c r="L78" s="201">
        <v>966137</v>
      </c>
      <c r="M78" s="201">
        <v>965152</v>
      </c>
      <c r="N78" s="201">
        <v>968396</v>
      </c>
    </row>
    <row r="79" spans="1:14">
      <c r="A79" s="173" t="s">
        <v>730</v>
      </c>
      <c r="B79" s="174"/>
      <c r="C79" s="201">
        <v>36037</v>
      </c>
      <c r="D79" s="201">
        <v>57084</v>
      </c>
      <c r="E79" s="201">
        <v>57083</v>
      </c>
      <c r="F79" s="201">
        <v>57084</v>
      </c>
      <c r="G79" s="201">
        <v>57084</v>
      </c>
      <c r="H79" s="201">
        <v>37658</v>
      </c>
      <c r="I79" s="201">
        <v>38768</v>
      </c>
      <c r="J79" s="201">
        <v>39211</v>
      </c>
      <c r="K79" s="201">
        <v>40126</v>
      </c>
      <c r="L79" s="201">
        <v>32605</v>
      </c>
      <c r="M79" s="201">
        <v>31492</v>
      </c>
      <c r="N79" s="201">
        <v>32377</v>
      </c>
    </row>
    <row r="80" spans="1:14" ht="15" thickBot="1">
      <c r="A80" s="173" t="s">
        <v>731</v>
      </c>
      <c r="B80" s="174"/>
      <c r="C80" s="201">
        <v>24023</v>
      </c>
      <c r="D80" s="201">
        <v>13679</v>
      </c>
      <c r="E80" s="201">
        <v>10366</v>
      </c>
      <c r="F80" s="201">
        <v>8005</v>
      </c>
      <c r="G80" s="201">
        <v>5808</v>
      </c>
      <c r="H80" s="201">
        <v>4163</v>
      </c>
      <c r="I80" s="201">
        <v>3692</v>
      </c>
      <c r="J80" s="201">
        <v>3213</v>
      </c>
      <c r="K80" s="201">
        <v>2725</v>
      </c>
      <c r="L80" s="201">
        <v>2839</v>
      </c>
      <c r="M80" s="201">
        <v>4614</v>
      </c>
      <c r="N80" s="201">
        <v>4316</v>
      </c>
    </row>
    <row r="81" spans="1:14" ht="15" thickBot="1">
      <c r="A81" s="177" t="s">
        <v>734</v>
      </c>
      <c r="B81" s="170"/>
      <c r="C81" s="178">
        <f t="shared" ref="C81:J81" si="6">SUM(C82:C88)</f>
        <v>-3067673</v>
      </c>
      <c r="D81" s="178">
        <f t="shared" si="6"/>
        <v>-2657843</v>
      </c>
      <c r="E81" s="178">
        <f t="shared" si="6"/>
        <v>-2649072</v>
      </c>
      <c r="F81" s="178">
        <f t="shared" si="6"/>
        <v>-2757922</v>
      </c>
      <c r="G81" s="178">
        <f t="shared" si="6"/>
        <v>-2772017</v>
      </c>
      <c r="H81" s="178">
        <f t="shared" si="6"/>
        <v>-2744657</v>
      </c>
      <c r="I81" s="178">
        <f t="shared" si="6"/>
        <v>-2703520</v>
      </c>
      <c r="J81" s="178">
        <f t="shared" si="6"/>
        <v>-2871728</v>
      </c>
      <c r="K81" s="178">
        <f>SUM(K82:K88)</f>
        <v>-2965537</v>
      </c>
      <c r="L81" s="178">
        <f>SUM(L82:L88)</f>
        <v>-3354637</v>
      </c>
      <c r="M81" s="178">
        <f>SUM(M82:M88)</f>
        <v>-3324777</v>
      </c>
      <c r="N81" s="178">
        <f>SUM(N82:N88)</f>
        <v>-3539614</v>
      </c>
    </row>
    <row r="82" spans="1:14">
      <c r="A82" s="173" t="s">
        <v>735</v>
      </c>
      <c r="B82" s="174"/>
      <c r="C82" s="189">
        <v>3385861</v>
      </c>
      <c r="D82" s="189">
        <v>3385861</v>
      </c>
      <c r="E82" s="189">
        <v>3385861</v>
      </c>
      <c r="F82" s="189">
        <v>3385861</v>
      </c>
      <c r="G82" s="189">
        <v>3385861</v>
      </c>
      <c r="H82" s="189">
        <v>3385861</v>
      </c>
      <c r="I82" s="189">
        <v>3385861</v>
      </c>
      <c r="J82" s="189">
        <v>3385861</v>
      </c>
      <c r="K82" s="189">
        <v>3385861</v>
      </c>
      <c r="L82" s="189">
        <v>3385861</v>
      </c>
      <c r="M82" s="189">
        <v>3385861</v>
      </c>
      <c r="N82" s="189">
        <v>3385861</v>
      </c>
    </row>
    <row r="83" spans="1:14">
      <c r="A83" s="173" t="s">
        <v>763</v>
      </c>
      <c r="B83" s="174"/>
      <c r="C83" s="189"/>
      <c r="D83" s="189"/>
      <c r="E83" s="189"/>
      <c r="F83" s="189"/>
      <c r="G83" s="189"/>
      <c r="H83" s="189"/>
      <c r="I83" s="189"/>
      <c r="J83" s="189">
        <v>0</v>
      </c>
      <c r="K83" s="189"/>
      <c r="L83" s="189"/>
      <c r="M83" s="189"/>
      <c r="N83" s="189"/>
    </row>
    <row r="84" spans="1:14">
      <c r="A84" s="173" t="s">
        <v>765</v>
      </c>
      <c r="B84" s="174"/>
      <c r="C84" s="189"/>
      <c r="D84" s="189"/>
      <c r="E84" s="189">
        <v>51</v>
      </c>
      <c r="F84" s="189">
        <v>274</v>
      </c>
      <c r="G84" s="189">
        <v>498</v>
      </c>
      <c r="H84" s="189">
        <v>722</v>
      </c>
      <c r="I84" s="189">
        <v>919</v>
      </c>
      <c r="J84" s="189">
        <v>1113</v>
      </c>
      <c r="K84" s="189">
        <v>1171</v>
      </c>
      <c r="L84" s="189">
        <v>1296</v>
      </c>
      <c r="M84" s="189">
        <v>1407</v>
      </c>
      <c r="N84" s="189">
        <v>1475</v>
      </c>
    </row>
    <row r="85" spans="1:14">
      <c r="A85" s="173" t="s">
        <v>778</v>
      </c>
      <c r="B85" s="174"/>
      <c r="C85" s="189">
        <v>-1330320</v>
      </c>
      <c r="D85" s="189"/>
      <c r="E85" s="189"/>
      <c r="F85" s="189"/>
      <c r="G85" s="189">
        <v>-1290692</v>
      </c>
      <c r="H85" s="189">
        <v>-1090718</v>
      </c>
      <c r="I85" s="189"/>
      <c r="J85" s="189">
        <v>0</v>
      </c>
      <c r="K85" s="189"/>
      <c r="L85" s="189"/>
      <c r="M85" s="189"/>
      <c r="N85" s="189"/>
    </row>
    <row r="86" spans="1:14">
      <c r="A86" s="173" t="s">
        <v>791</v>
      </c>
      <c r="B86" s="174"/>
      <c r="C86" s="189">
        <v>-5123214</v>
      </c>
      <c r="D86" s="189">
        <v>-4712822</v>
      </c>
      <c r="E86" s="189">
        <v>-4774350</v>
      </c>
      <c r="F86" s="189">
        <v>-4774350</v>
      </c>
      <c r="G86" s="189">
        <v>-4867684</v>
      </c>
      <c r="H86" s="189">
        <v>-4774350</v>
      </c>
      <c r="I86" s="189">
        <v>-5040522</v>
      </c>
      <c r="J86" s="189">
        <v>-5040524</v>
      </c>
      <c r="K86" s="189">
        <v>-5040523</v>
      </c>
      <c r="L86" s="189">
        <v>-5040523</v>
      </c>
      <c r="M86" s="189">
        <v>-5492082</v>
      </c>
      <c r="N86" s="189">
        <v>-5492082</v>
      </c>
    </row>
    <row r="87" spans="1:14">
      <c r="A87" s="173" t="s">
        <v>738</v>
      </c>
      <c r="B87" s="174"/>
      <c r="C87" s="189"/>
      <c r="D87" s="189">
        <v>-1269351</v>
      </c>
      <c r="E87" s="189">
        <v>-1277060</v>
      </c>
      <c r="F87" s="189">
        <v>-1285100</v>
      </c>
      <c r="G87" s="189"/>
      <c r="H87" s="189"/>
      <c r="I87" s="189">
        <v>-1090765</v>
      </c>
      <c r="J87" s="189">
        <v>-1099719</v>
      </c>
      <c r="K87" s="189">
        <v>-1091442</v>
      </c>
      <c r="L87" s="189">
        <v>-1249712</v>
      </c>
      <c r="M87" s="189">
        <v>-1252956</v>
      </c>
      <c r="N87" s="189">
        <v>-1251878</v>
      </c>
    </row>
    <row r="88" spans="1:14" ht="15" thickBot="1">
      <c r="A88" s="173" t="s">
        <v>779</v>
      </c>
      <c r="B88" s="174"/>
      <c r="C88" s="189"/>
      <c r="D88" s="189">
        <v>-61531</v>
      </c>
      <c r="E88" s="189">
        <v>16426</v>
      </c>
      <c r="F88" s="189">
        <v>-84607</v>
      </c>
      <c r="G88" s="189"/>
      <c r="H88" s="189">
        <v>-266172</v>
      </c>
      <c r="I88" s="189">
        <v>40987</v>
      </c>
      <c r="J88" s="189">
        <v>-118459</v>
      </c>
      <c r="K88" s="189">
        <v>-220604</v>
      </c>
      <c r="L88" s="189">
        <v>-451559</v>
      </c>
      <c r="M88" s="189">
        <v>32993</v>
      </c>
      <c r="N88" s="189">
        <v>-182990</v>
      </c>
    </row>
    <row r="89" spans="1:14" ht="15" thickBot="1">
      <c r="A89" s="177" t="s">
        <v>740</v>
      </c>
      <c r="B89" s="170"/>
      <c r="C89" s="178">
        <f t="shared" ref="C89:N89" si="7">C81+C64+C46</f>
        <v>6497674</v>
      </c>
      <c r="D89" s="178">
        <f t="shared" si="7"/>
        <v>6743744</v>
      </c>
      <c r="E89" s="178">
        <f t="shared" si="7"/>
        <v>6211856</v>
      </c>
      <c r="F89" s="178">
        <f t="shared" si="7"/>
        <v>6261509</v>
      </c>
      <c r="G89" s="178">
        <f t="shared" si="7"/>
        <v>6223304</v>
      </c>
      <c r="H89" s="178">
        <f t="shared" si="7"/>
        <v>6839958</v>
      </c>
      <c r="I89" s="178">
        <f t="shared" si="7"/>
        <v>6974336</v>
      </c>
      <c r="J89" s="178">
        <f t="shared" si="7"/>
        <v>7502206</v>
      </c>
      <c r="K89" s="178">
        <f t="shared" si="7"/>
        <v>7435736</v>
      </c>
      <c r="L89" s="178">
        <f t="shared" si="7"/>
        <v>7651856</v>
      </c>
      <c r="M89" s="178">
        <f t="shared" si="7"/>
        <v>7680398</v>
      </c>
      <c r="N89" s="178">
        <f t="shared" si="7"/>
        <v>7750661</v>
      </c>
    </row>
    <row r="90" spans="1:14">
      <c r="C90" s="189">
        <f t="shared" ref="C90:N90" si="8">C89-C43</f>
        <v>0</v>
      </c>
      <c r="D90" s="189">
        <f t="shared" si="8"/>
        <v>0</v>
      </c>
      <c r="E90" s="189">
        <f t="shared" si="8"/>
        <v>0</v>
      </c>
      <c r="F90" s="189">
        <f t="shared" si="8"/>
        <v>0</v>
      </c>
      <c r="G90" s="189">
        <f t="shared" si="8"/>
        <v>0</v>
      </c>
      <c r="H90" s="189">
        <f t="shared" si="8"/>
        <v>0</v>
      </c>
      <c r="I90" s="189">
        <f t="shared" si="8"/>
        <v>0</v>
      </c>
      <c r="J90" s="189">
        <f t="shared" si="8"/>
        <v>0</v>
      </c>
      <c r="K90" s="189">
        <f t="shared" si="8"/>
        <v>0</v>
      </c>
      <c r="L90" s="189">
        <f t="shared" si="8"/>
        <v>0</v>
      </c>
      <c r="M90" s="189">
        <f t="shared" si="8"/>
        <v>0</v>
      </c>
      <c r="N90" s="189">
        <f t="shared" si="8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9" tint="0.79998168889431442"/>
  </sheetPr>
  <dimension ref="A6:XFA74"/>
  <sheetViews>
    <sheetView showGridLines="0" zoomScale="80" zoomScaleNormal="80" workbookViewId="0">
      <pane xSplit="1" ySplit="7" topLeftCell="B8" activePane="bottomRight" state="frozen"/>
      <selection pane="topRight" activeCell="S9" sqref="S9"/>
      <selection pane="bottomLeft" activeCell="S9" sqref="S9"/>
      <selection pane="bottomRight" activeCell="K7" sqref="K7"/>
    </sheetView>
  </sheetViews>
  <sheetFormatPr defaultColWidth="9.1796875" defaultRowHeight="14.5"/>
  <cols>
    <col min="1" max="1" width="47.54296875" style="37" bestFit="1" customWidth="1"/>
    <col min="2" max="2" width="0.7265625" customWidth="1"/>
    <col min="3" max="11" width="9.54296875" style="37" bestFit="1" customWidth="1"/>
    <col min="12" max="16384" width="9.1796875" style="37"/>
  </cols>
  <sheetData>
    <row r="6" spans="1:11">
      <c r="A6" s="41" t="s">
        <v>75</v>
      </c>
      <c r="B6" s="133"/>
      <c r="C6" s="41"/>
      <c r="D6" s="41"/>
      <c r="E6" s="41"/>
      <c r="F6" s="41"/>
      <c r="G6" s="41"/>
      <c r="H6" s="41"/>
      <c r="I6" s="41"/>
      <c r="J6" s="41"/>
      <c r="K6" s="41"/>
    </row>
    <row r="7" spans="1:11" ht="15" thickBot="1">
      <c r="A7" s="5" t="s">
        <v>689</v>
      </c>
      <c r="B7" s="168"/>
      <c r="C7" s="528" t="s">
        <v>46</v>
      </c>
      <c r="D7" s="528" t="s">
        <v>47</v>
      </c>
      <c r="E7" s="528" t="s">
        <v>48</v>
      </c>
      <c r="F7" s="528" t="s">
        <v>49</v>
      </c>
      <c r="G7" s="528" t="s">
        <v>50</v>
      </c>
      <c r="H7" s="528" t="s">
        <v>51</v>
      </c>
      <c r="I7" s="528" t="s">
        <v>52</v>
      </c>
      <c r="J7" s="528" t="s">
        <v>53</v>
      </c>
      <c r="K7" s="528" t="s">
        <v>54</v>
      </c>
    </row>
    <row r="8" spans="1:11" ht="15" thickBot="1">
      <c r="A8" s="169" t="s">
        <v>690</v>
      </c>
      <c r="B8" s="170"/>
      <c r="C8" s="171">
        <f t="shared" ref="C8:K8" si="0">SUM(C9:C20)</f>
        <v>1114917</v>
      </c>
      <c r="D8" s="171">
        <f t="shared" si="0"/>
        <v>623544</v>
      </c>
      <c r="E8" s="171">
        <f t="shared" si="0"/>
        <v>561543</v>
      </c>
      <c r="F8" s="171">
        <f t="shared" si="0"/>
        <v>685697</v>
      </c>
      <c r="G8" s="171">
        <f t="shared" si="0"/>
        <v>559430</v>
      </c>
      <c r="H8" s="171">
        <f t="shared" si="0"/>
        <v>589061</v>
      </c>
      <c r="I8" s="171">
        <f t="shared" si="0"/>
        <v>930989</v>
      </c>
      <c r="J8" s="171">
        <f t="shared" si="0"/>
        <v>725368</v>
      </c>
      <c r="K8" s="171">
        <f t="shared" si="0"/>
        <v>995640</v>
      </c>
    </row>
    <row r="9" spans="1:11">
      <c r="A9" s="173" t="s">
        <v>691</v>
      </c>
      <c r="B9" s="174"/>
      <c r="C9" s="189">
        <v>46736</v>
      </c>
      <c r="D9" s="189">
        <v>26665</v>
      </c>
      <c r="E9" s="189">
        <v>25620</v>
      </c>
      <c r="F9" s="189">
        <v>3976</v>
      </c>
      <c r="G9" s="189">
        <v>16737</v>
      </c>
      <c r="H9" s="189">
        <v>53810</v>
      </c>
      <c r="I9" s="189">
        <v>48700</v>
      </c>
      <c r="J9" s="189">
        <v>75413</v>
      </c>
      <c r="K9" s="189">
        <v>10101</v>
      </c>
    </row>
    <row r="10" spans="1:11">
      <c r="A10" s="173" t="s">
        <v>767</v>
      </c>
      <c r="B10" s="174"/>
      <c r="C10" s="189">
        <v>767369</v>
      </c>
      <c r="D10" s="189">
        <v>326635</v>
      </c>
      <c r="E10" s="189">
        <v>112091</v>
      </c>
      <c r="F10" s="189">
        <v>260595</v>
      </c>
      <c r="G10" s="189">
        <v>107154</v>
      </c>
      <c r="H10" s="189">
        <v>99597</v>
      </c>
      <c r="I10" s="189">
        <v>438904</v>
      </c>
      <c r="J10" s="189">
        <v>198584</v>
      </c>
      <c r="K10" s="189">
        <v>458859</v>
      </c>
    </row>
    <row r="11" spans="1:11">
      <c r="A11" s="173" t="s">
        <v>693</v>
      </c>
      <c r="B11" s="174"/>
      <c r="C11" s="189">
        <v>294395</v>
      </c>
      <c r="D11" s="189">
        <v>201812</v>
      </c>
      <c r="E11" s="189">
        <v>251208</v>
      </c>
      <c r="F11" s="189">
        <v>271599</v>
      </c>
      <c r="G11" s="189">
        <v>302883.00000000006</v>
      </c>
      <c r="H11" s="189">
        <v>306057</v>
      </c>
      <c r="I11" s="189">
        <v>335823</v>
      </c>
      <c r="J11" s="189">
        <v>323989</v>
      </c>
      <c r="K11" s="189">
        <v>327234</v>
      </c>
    </row>
    <row r="12" spans="1:11">
      <c r="A12" s="173" t="s">
        <v>788</v>
      </c>
      <c r="B12" s="174"/>
      <c r="C12" s="189">
        <v>1672</v>
      </c>
      <c r="D12" s="189"/>
      <c r="E12" s="189"/>
      <c r="F12" s="189"/>
      <c r="G12" s="189">
        <v>0</v>
      </c>
      <c r="H12" s="189"/>
      <c r="I12" s="189"/>
      <c r="J12" s="189"/>
      <c r="K12" s="189"/>
    </row>
    <row r="13" spans="1:11">
      <c r="A13" s="173" t="s">
        <v>742</v>
      </c>
      <c r="B13" s="174"/>
      <c r="C13" s="189">
        <v>-91311</v>
      </c>
      <c r="D13" s="189"/>
      <c r="E13" s="189"/>
      <c r="F13" s="189"/>
      <c r="G13" s="189">
        <v>0</v>
      </c>
      <c r="H13" s="189"/>
      <c r="I13" s="189"/>
      <c r="J13" s="189"/>
      <c r="K13" s="189"/>
    </row>
    <row r="14" spans="1:11">
      <c r="A14" s="173" t="s">
        <v>698</v>
      </c>
      <c r="B14" s="174"/>
      <c r="C14" s="189"/>
      <c r="D14" s="189"/>
      <c r="E14" s="189">
        <v>11354</v>
      </c>
      <c r="F14" s="189">
        <v>9232</v>
      </c>
      <c r="G14" s="189">
        <v>8460</v>
      </c>
      <c r="H14" s="189">
        <v>9827</v>
      </c>
      <c r="I14" s="189">
        <v>10364</v>
      </c>
      <c r="J14" s="189">
        <v>10710</v>
      </c>
      <c r="K14" s="189">
        <v>10302</v>
      </c>
    </row>
    <row r="15" spans="1:11">
      <c r="A15" s="173" t="s">
        <v>781</v>
      </c>
      <c r="B15" s="174"/>
      <c r="C15" s="189">
        <v>4285</v>
      </c>
      <c r="D15" s="189">
        <v>7246</v>
      </c>
      <c r="E15" s="189">
        <v>8029</v>
      </c>
      <c r="F15" s="189">
        <v>8758</v>
      </c>
      <c r="G15" s="189">
        <v>7094</v>
      </c>
      <c r="H15" s="189">
        <v>11434</v>
      </c>
      <c r="I15" s="189">
        <v>25835</v>
      </c>
      <c r="J15" s="189">
        <v>19671</v>
      </c>
      <c r="K15" s="189">
        <v>24943</v>
      </c>
    </row>
    <row r="16" spans="1:11">
      <c r="A16" s="173" t="s">
        <v>744</v>
      </c>
      <c r="B16" s="174"/>
      <c r="C16" s="189">
        <v>2023</v>
      </c>
      <c r="D16" s="189"/>
      <c r="E16" s="189"/>
      <c r="F16" s="189"/>
      <c r="G16" s="189">
        <v>1347</v>
      </c>
      <c r="H16" s="189">
        <v>4420</v>
      </c>
      <c r="I16" s="189">
        <v>15495</v>
      </c>
      <c r="J16" s="189">
        <v>36504</v>
      </c>
      <c r="K16" s="189">
        <v>79436</v>
      </c>
    </row>
    <row r="17" spans="1:11">
      <c r="A17" s="173" t="s">
        <v>789</v>
      </c>
      <c r="B17" s="174"/>
      <c r="C17" s="189">
        <v>2004</v>
      </c>
      <c r="D17" s="189">
        <v>4211</v>
      </c>
      <c r="E17" s="189">
        <v>5005</v>
      </c>
      <c r="F17" s="189">
        <v>5509</v>
      </c>
      <c r="G17" s="189">
        <v>5149</v>
      </c>
      <c r="H17" s="189">
        <v>6633</v>
      </c>
      <c r="I17" s="189">
        <v>5469</v>
      </c>
      <c r="J17" s="189">
        <v>6030</v>
      </c>
      <c r="K17" s="189">
        <v>6280</v>
      </c>
    </row>
    <row r="18" spans="1:11">
      <c r="A18" s="173" t="s">
        <v>703</v>
      </c>
      <c r="B18" s="174"/>
      <c r="C18" s="189">
        <v>13709</v>
      </c>
      <c r="D18" s="189">
        <v>33399</v>
      </c>
      <c r="E18" s="189">
        <v>85585</v>
      </c>
      <c r="F18" s="189">
        <v>83722</v>
      </c>
      <c r="G18" s="189">
        <v>66939</v>
      </c>
      <c r="H18" s="189">
        <v>19811</v>
      </c>
      <c r="I18" s="189">
        <v>9126</v>
      </c>
      <c r="J18" s="189">
        <v>9183</v>
      </c>
      <c r="K18" s="189">
        <v>19509</v>
      </c>
    </row>
    <row r="19" spans="1:11">
      <c r="A19" s="173" t="s">
        <v>704</v>
      </c>
      <c r="B19" s="174"/>
      <c r="C19" s="189">
        <v>12875</v>
      </c>
      <c r="D19" s="189">
        <v>16939</v>
      </c>
      <c r="E19" s="189">
        <v>31911</v>
      </c>
      <c r="F19" s="189">
        <v>11604</v>
      </c>
      <c r="G19" s="189">
        <v>11707</v>
      </c>
      <c r="H19" s="189">
        <v>20423</v>
      </c>
      <c r="I19" s="189">
        <v>20625</v>
      </c>
      <c r="J19" s="189">
        <v>23569</v>
      </c>
      <c r="K19" s="189">
        <v>25479</v>
      </c>
    </row>
    <row r="20" spans="1:11" ht="15" thickBot="1">
      <c r="A20" s="173" t="s">
        <v>705</v>
      </c>
      <c r="B20" s="174"/>
      <c r="C20" s="189">
        <v>61160</v>
      </c>
      <c r="D20" s="189">
        <v>6637</v>
      </c>
      <c r="E20" s="189">
        <v>30740</v>
      </c>
      <c r="F20" s="189">
        <v>30702</v>
      </c>
      <c r="G20" s="189">
        <v>31960</v>
      </c>
      <c r="H20" s="189">
        <v>57049</v>
      </c>
      <c r="I20" s="189">
        <v>20648</v>
      </c>
      <c r="J20" s="189">
        <v>21715</v>
      </c>
      <c r="K20" s="189">
        <v>33497</v>
      </c>
    </row>
    <row r="21" spans="1:11" ht="15" thickBot="1">
      <c r="A21" s="177" t="s">
        <v>706</v>
      </c>
      <c r="B21" s="170"/>
      <c r="C21" s="178">
        <f t="shared" ref="C21:H21" si="1">C22+C30</f>
        <v>567015</v>
      </c>
      <c r="D21" s="178">
        <f t="shared" si="1"/>
        <v>801854</v>
      </c>
      <c r="E21" s="178">
        <f t="shared" si="1"/>
        <v>860877</v>
      </c>
      <c r="F21" s="178">
        <f t="shared" si="1"/>
        <v>965252</v>
      </c>
      <c r="G21" s="178">
        <f t="shared" si="1"/>
        <v>1101021</v>
      </c>
      <c r="H21" s="178">
        <f t="shared" si="1"/>
        <v>1204407</v>
      </c>
      <c r="I21" s="178">
        <f t="shared" ref="I21:J21" si="2">I22+I30</f>
        <v>1277949</v>
      </c>
      <c r="J21" s="178">
        <f t="shared" si="2"/>
        <v>1344989</v>
      </c>
      <c r="K21" s="178">
        <f t="shared" ref="K21" si="3">K22+K30</f>
        <v>1497313</v>
      </c>
    </row>
    <row r="22" spans="1:11" ht="15" thickBot="1">
      <c r="A22" s="177" t="s">
        <v>748</v>
      </c>
      <c r="B22" s="170"/>
      <c r="C22" s="178">
        <f t="shared" ref="C22:H22" si="4">SUM(C23:C29)</f>
        <v>181901</v>
      </c>
      <c r="D22" s="178">
        <f t="shared" si="4"/>
        <v>236047</v>
      </c>
      <c r="E22" s="178">
        <f t="shared" si="4"/>
        <v>170484</v>
      </c>
      <c r="F22" s="178">
        <f t="shared" si="4"/>
        <v>179740</v>
      </c>
      <c r="G22" s="178">
        <f t="shared" si="4"/>
        <v>227564</v>
      </c>
      <c r="H22" s="178">
        <f t="shared" si="4"/>
        <v>242164</v>
      </c>
      <c r="I22" s="178">
        <f t="shared" ref="I22:J22" si="5">SUM(I23:I29)</f>
        <v>248575</v>
      </c>
      <c r="J22" s="178">
        <f t="shared" si="5"/>
        <v>281859</v>
      </c>
      <c r="K22" s="178">
        <f t="shared" ref="K22" si="6">SUM(K23:K29)</f>
        <v>365541</v>
      </c>
    </row>
    <row r="23" spans="1:11">
      <c r="A23" s="173" t="s">
        <v>693</v>
      </c>
      <c r="B23" s="174"/>
      <c r="C23" s="189">
        <v>49407</v>
      </c>
      <c r="D23" s="189">
        <v>54608</v>
      </c>
      <c r="E23" s="189">
        <v>51482</v>
      </c>
      <c r="F23" s="189">
        <v>52999</v>
      </c>
      <c r="G23" s="189">
        <v>54580</v>
      </c>
      <c r="H23" s="189">
        <v>65534</v>
      </c>
      <c r="I23" s="189">
        <v>62145</v>
      </c>
      <c r="J23" s="189">
        <v>65154</v>
      </c>
      <c r="K23" s="189">
        <v>71030</v>
      </c>
    </row>
    <row r="24" spans="1:11">
      <c r="A24" s="173" t="s">
        <v>699</v>
      </c>
      <c r="B24" s="174"/>
      <c r="C24" s="189">
        <v>3457</v>
      </c>
      <c r="D24" s="189">
        <v>3673</v>
      </c>
      <c r="E24" s="189">
        <v>3748</v>
      </c>
      <c r="F24" s="189">
        <v>3866</v>
      </c>
      <c r="G24" s="189">
        <v>3423</v>
      </c>
      <c r="H24" s="189">
        <v>3639</v>
      </c>
      <c r="I24" s="189">
        <v>3180</v>
      </c>
      <c r="J24" s="189">
        <v>9450</v>
      </c>
      <c r="K24" s="189">
        <v>11594</v>
      </c>
    </row>
    <row r="25" spans="1:11">
      <c r="A25" s="173" t="s">
        <v>792</v>
      </c>
      <c r="B25" s="174"/>
      <c r="C25" s="189"/>
      <c r="D25" s="189"/>
      <c r="E25" s="189"/>
      <c r="F25" s="189"/>
      <c r="G25" s="189"/>
      <c r="H25" s="189"/>
      <c r="I25" s="189"/>
      <c r="J25" s="189">
        <v>20735</v>
      </c>
      <c r="K25" s="189">
        <v>64273</v>
      </c>
    </row>
    <row r="26" spans="1:11">
      <c r="A26" s="173" t="s">
        <v>696</v>
      </c>
      <c r="B26" s="174"/>
      <c r="C26" s="189"/>
      <c r="D26" s="189"/>
      <c r="E26" s="189"/>
      <c r="F26" s="189"/>
      <c r="G26" s="189"/>
      <c r="H26" s="189"/>
      <c r="I26" s="189"/>
      <c r="J26" s="189">
        <v>7221</v>
      </c>
      <c r="K26" s="189">
        <v>7248</v>
      </c>
    </row>
    <row r="27" spans="1:11">
      <c r="A27" s="173" t="s">
        <v>704</v>
      </c>
      <c r="B27" s="174"/>
      <c r="C27" s="189">
        <v>68499</v>
      </c>
      <c r="D27" s="189">
        <v>166444</v>
      </c>
      <c r="E27" s="189">
        <v>101674</v>
      </c>
      <c r="F27" s="189">
        <v>109468</v>
      </c>
      <c r="G27" s="189">
        <v>135387</v>
      </c>
      <c r="H27" s="189">
        <v>138657</v>
      </c>
      <c r="I27" s="189">
        <v>143879</v>
      </c>
      <c r="J27" s="189">
        <v>143975</v>
      </c>
      <c r="K27" s="189">
        <v>144709</v>
      </c>
    </row>
    <row r="28" spans="1:11">
      <c r="A28" s="173" t="s">
        <v>705</v>
      </c>
      <c r="B28" s="174"/>
      <c r="C28" s="189">
        <v>49278</v>
      </c>
      <c r="D28" s="189">
        <v>199</v>
      </c>
      <c r="E28" s="189">
        <v>2748</v>
      </c>
      <c r="F28" s="189">
        <v>2044</v>
      </c>
      <c r="G28" s="189">
        <v>2036</v>
      </c>
      <c r="H28" s="189">
        <v>2059</v>
      </c>
      <c r="I28" s="189">
        <v>7329</v>
      </c>
      <c r="J28" s="189">
        <v>2663</v>
      </c>
      <c r="K28" s="189">
        <v>17034</v>
      </c>
    </row>
    <row r="29" spans="1:11" ht="15" thickBot="1">
      <c r="A29" s="176" t="s">
        <v>708</v>
      </c>
      <c r="B29" s="174"/>
      <c r="C29" s="189">
        <v>11260</v>
      </c>
      <c r="D29" s="189">
        <v>11123</v>
      </c>
      <c r="E29" s="189">
        <v>10832</v>
      </c>
      <c r="F29" s="189">
        <v>11363</v>
      </c>
      <c r="G29" s="189">
        <v>32137.999999999996</v>
      </c>
      <c r="H29" s="189">
        <v>32275</v>
      </c>
      <c r="I29" s="189">
        <v>32042</v>
      </c>
      <c r="J29" s="189">
        <v>32661</v>
      </c>
      <c r="K29" s="189">
        <v>49653</v>
      </c>
    </row>
    <row r="30" spans="1:11" ht="15" thickBot="1">
      <c r="A30" s="177" t="s">
        <v>752</v>
      </c>
      <c r="B30" s="170"/>
      <c r="C30" s="178">
        <f t="shared" ref="C30:K30" si="7">SUM(C31:C35)</f>
        <v>385114</v>
      </c>
      <c r="D30" s="178">
        <f t="shared" si="7"/>
        <v>565807</v>
      </c>
      <c r="E30" s="178">
        <f t="shared" si="7"/>
        <v>690393</v>
      </c>
      <c r="F30" s="178">
        <f t="shared" si="7"/>
        <v>785512</v>
      </c>
      <c r="G30" s="178">
        <f t="shared" si="7"/>
        <v>873457</v>
      </c>
      <c r="H30" s="178">
        <f t="shared" si="7"/>
        <v>962243</v>
      </c>
      <c r="I30" s="178">
        <f t="shared" si="7"/>
        <v>1029374</v>
      </c>
      <c r="J30" s="178">
        <f t="shared" si="7"/>
        <v>1063130</v>
      </c>
      <c r="K30" s="178">
        <f t="shared" si="7"/>
        <v>1131772</v>
      </c>
    </row>
    <row r="31" spans="1:11">
      <c r="A31" s="173" t="s">
        <v>709</v>
      </c>
      <c r="B31" s="174"/>
      <c r="C31" s="189"/>
      <c r="D31" s="189"/>
      <c r="E31" s="189"/>
      <c r="F31" s="189"/>
      <c r="G31" s="189">
        <v>0</v>
      </c>
      <c r="H31" s="189"/>
      <c r="I31" s="189"/>
      <c r="J31" s="189"/>
      <c r="K31" s="189">
        <v>0</v>
      </c>
    </row>
    <row r="32" spans="1:11">
      <c r="A32" s="173" t="s">
        <v>769</v>
      </c>
      <c r="B32" s="174"/>
      <c r="C32" s="189">
        <v>105956</v>
      </c>
      <c r="D32" s="189">
        <v>213828</v>
      </c>
      <c r="E32" s="189">
        <v>343432</v>
      </c>
      <c r="F32" s="189">
        <v>426233</v>
      </c>
      <c r="G32" s="189">
        <v>175470</v>
      </c>
      <c r="H32" s="189">
        <v>257810</v>
      </c>
      <c r="I32" s="189">
        <v>340975</v>
      </c>
      <c r="J32" s="189">
        <v>367768</v>
      </c>
      <c r="K32" s="189">
        <v>455415</v>
      </c>
    </row>
    <row r="33" spans="1:11 16381:16381">
      <c r="A33" s="173" t="s">
        <v>770</v>
      </c>
      <c r="B33" s="174"/>
      <c r="C33" s="189"/>
      <c r="D33" s="189"/>
      <c r="E33" s="189"/>
      <c r="F33" s="189"/>
      <c r="G33" s="189">
        <v>0</v>
      </c>
      <c r="H33" s="189"/>
      <c r="I33" s="189"/>
      <c r="J33" s="189"/>
      <c r="K33" s="189"/>
    </row>
    <row r="34" spans="1:11 16381:16381">
      <c r="A34" s="173" t="s">
        <v>713</v>
      </c>
      <c r="B34" s="174"/>
      <c r="C34" s="189">
        <v>441</v>
      </c>
      <c r="D34" s="189"/>
      <c r="E34" s="189"/>
      <c r="F34" s="189"/>
      <c r="G34" s="189">
        <v>0</v>
      </c>
      <c r="H34" s="189"/>
      <c r="I34" s="189"/>
      <c r="J34" s="189"/>
      <c r="K34" s="189">
        <v>0</v>
      </c>
    </row>
    <row r="35" spans="1:11 16381:16381" ht="15" thickBot="1">
      <c r="A35" s="173" t="s">
        <v>711</v>
      </c>
      <c r="B35" s="174"/>
      <c r="C35" s="189">
        <v>278717</v>
      </c>
      <c r="D35" s="189">
        <v>351979</v>
      </c>
      <c r="E35" s="189">
        <v>346961</v>
      </c>
      <c r="F35" s="189">
        <v>359279</v>
      </c>
      <c r="G35" s="189">
        <v>697987</v>
      </c>
      <c r="H35" s="189">
        <v>704433</v>
      </c>
      <c r="I35" s="189">
        <v>688399</v>
      </c>
      <c r="J35" s="189">
        <v>695362</v>
      </c>
      <c r="K35" s="189">
        <v>676357</v>
      </c>
    </row>
    <row r="36" spans="1:11 16381:16381" ht="15" thickBot="1">
      <c r="A36" s="177" t="s">
        <v>714</v>
      </c>
      <c r="B36" s="170"/>
      <c r="C36" s="178">
        <f t="shared" ref="C36:K36" si="8">C8+C21</f>
        <v>1681932</v>
      </c>
      <c r="D36" s="178">
        <f t="shared" si="8"/>
        <v>1425398</v>
      </c>
      <c r="E36" s="178">
        <f t="shared" si="8"/>
        <v>1422420</v>
      </c>
      <c r="F36" s="178">
        <f t="shared" si="8"/>
        <v>1650949</v>
      </c>
      <c r="G36" s="178">
        <f t="shared" si="8"/>
        <v>1660451</v>
      </c>
      <c r="H36" s="178">
        <f t="shared" si="8"/>
        <v>1793468</v>
      </c>
      <c r="I36" s="178">
        <f t="shared" si="8"/>
        <v>2208938</v>
      </c>
      <c r="J36" s="178">
        <f t="shared" si="8"/>
        <v>2070357</v>
      </c>
      <c r="K36" s="178">
        <f t="shared" si="8"/>
        <v>2492953</v>
      </c>
      <c r="XFA36" s="178"/>
    </row>
    <row r="37" spans="1:11 16381:16381">
      <c r="A37" s="173"/>
      <c r="B37" s="174"/>
    </row>
    <row r="38" spans="1:11 16381:16381" ht="15" thickBot="1">
      <c r="A38" s="5" t="s">
        <v>715</v>
      </c>
      <c r="B38" s="168"/>
      <c r="C38" s="528" t="str">
        <f>C7</f>
        <v>2T22</v>
      </c>
      <c r="D38" s="528" t="s">
        <v>47</v>
      </c>
      <c r="E38" s="528" t="str">
        <f>E7</f>
        <v>4T22</v>
      </c>
      <c r="F38" s="528" t="str">
        <f>F7</f>
        <v>1T23</v>
      </c>
      <c r="G38" s="528" t="s">
        <v>50</v>
      </c>
      <c r="H38" s="528" t="s">
        <v>51</v>
      </c>
      <c r="I38" s="528" t="s">
        <v>52</v>
      </c>
      <c r="J38" s="528" t="s">
        <v>53</v>
      </c>
      <c r="K38" s="528" t="s">
        <v>54</v>
      </c>
    </row>
    <row r="39" spans="1:11 16381:16381" ht="15" thickBot="1">
      <c r="A39" s="169" t="s">
        <v>690</v>
      </c>
      <c r="B39" s="170"/>
      <c r="C39" s="171">
        <f t="shared" ref="C39:K39" si="9">SUM(C40:C53)</f>
        <v>1166815</v>
      </c>
      <c r="D39" s="171">
        <f t="shared" si="9"/>
        <v>909935</v>
      </c>
      <c r="E39" s="171">
        <f t="shared" si="9"/>
        <v>916609</v>
      </c>
      <c r="F39" s="171">
        <f t="shared" si="9"/>
        <v>819420</v>
      </c>
      <c r="G39" s="171">
        <f t="shared" si="9"/>
        <v>855831</v>
      </c>
      <c r="H39" s="171">
        <f t="shared" si="9"/>
        <v>687116</v>
      </c>
      <c r="I39" s="171">
        <f t="shared" si="9"/>
        <v>607880</v>
      </c>
      <c r="J39" s="171">
        <f t="shared" si="9"/>
        <v>819292</v>
      </c>
      <c r="K39" s="171">
        <f t="shared" si="9"/>
        <v>873833</v>
      </c>
    </row>
    <row r="40" spans="1:11 16381:16381">
      <c r="A40" s="182" t="s">
        <v>716</v>
      </c>
      <c r="B40" s="183"/>
      <c r="C40" s="189">
        <v>495853</v>
      </c>
      <c r="D40" s="189">
        <v>181959</v>
      </c>
      <c r="E40" s="189">
        <v>239868</v>
      </c>
      <c r="F40" s="189">
        <v>185019</v>
      </c>
      <c r="G40" s="189">
        <v>205453.99999999997</v>
      </c>
      <c r="H40" s="189">
        <v>182133</v>
      </c>
      <c r="I40" s="189">
        <v>201694</v>
      </c>
      <c r="J40" s="189">
        <v>163461</v>
      </c>
      <c r="K40" s="189">
        <v>165836</v>
      </c>
    </row>
    <row r="41" spans="1:11 16381:16381">
      <c r="A41" s="182" t="s">
        <v>717</v>
      </c>
      <c r="B41" s="183"/>
      <c r="C41" s="189">
        <v>5037</v>
      </c>
      <c r="D41" s="189">
        <v>4832</v>
      </c>
      <c r="E41" s="189">
        <v>3617</v>
      </c>
      <c r="F41" s="189">
        <v>5036</v>
      </c>
      <c r="G41" s="189">
        <v>5241</v>
      </c>
      <c r="H41" s="189">
        <v>5752</v>
      </c>
      <c r="I41" s="189">
        <v>3939</v>
      </c>
      <c r="J41" s="189">
        <v>5858</v>
      </c>
      <c r="K41" s="189">
        <v>4355</v>
      </c>
    </row>
    <row r="42" spans="1:11 16381:16381">
      <c r="A42" s="173" t="s">
        <v>718</v>
      </c>
      <c r="B42" s="174"/>
      <c r="C42" s="189">
        <v>3000</v>
      </c>
      <c r="D42" s="189">
        <v>2681</v>
      </c>
      <c r="E42" s="189">
        <v>3016</v>
      </c>
      <c r="F42" s="189">
        <v>5398</v>
      </c>
      <c r="G42" s="189">
        <v>10615</v>
      </c>
      <c r="H42" s="189">
        <v>5801</v>
      </c>
      <c r="I42" s="189">
        <v>14144</v>
      </c>
      <c r="J42" s="189">
        <v>240309</v>
      </c>
      <c r="K42" s="189">
        <v>275966</v>
      </c>
    </row>
    <row r="43" spans="1:11 16381:16381">
      <c r="A43" s="173" t="s">
        <v>719</v>
      </c>
      <c r="B43" s="174"/>
      <c r="C43" s="189"/>
      <c r="D43" s="189"/>
      <c r="E43" s="189"/>
      <c r="F43" s="189"/>
      <c r="G43" s="189"/>
      <c r="H43" s="189">
        <v>16906</v>
      </c>
      <c r="I43" s="189">
        <v>45717</v>
      </c>
      <c r="J43" s="189">
        <v>27152</v>
      </c>
      <c r="K43" s="189">
        <v>42768</v>
      </c>
    </row>
    <row r="44" spans="1:11 16381:16381">
      <c r="A44" s="173" t="s">
        <v>721</v>
      </c>
      <c r="B44" s="174"/>
      <c r="C44" s="189">
        <v>370081</v>
      </c>
      <c r="D44" s="189">
        <v>346259</v>
      </c>
      <c r="E44" s="189">
        <v>381935</v>
      </c>
      <c r="F44" s="189">
        <v>348724</v>
      </c>
      <c r="G44" s="189">
        <v>353953</v>
      </c>
      <c r="H44" s="189">
        <v>203509</v>
      </c>
      <c r="I44" s="189">
        <v>109066</v>
      </c>
      <c r="J44" s="189">
        <v>112484</v>
      </c>
      <c r="K44" s="189">
        <v>120756</v>
      </c>
    </row>
    <row r="45" spans="1:11 16381:16381">
      <c r="A45" s="173" t="s">
        <v>771</v>
      </c>
      <c r="B45" s="174"/>
      <c r="C45" s="189">
        <v>123030</v>
      </c>
      <c r="D45" s="189">
        <v>152250</v>
      </c>
      <c r="E45" s="189">
        <v>30599</v>
      </c>
      <c r="F45" s="189">
        <v>26368</v>
      </c>
      <c r="G45" s="189">
        <v>28816</v>
      </c>
      <c r="H45" s="189">
        <v>26330</v>
      </c>
      <c r="I45" s="189">
        <v>518</v>
      </c>
      <c r="J45" s="189">
        <v>167</v>
      </c>
      <c r="K45" s="189">
        <v>152</v>
      </c>
    </row>
    <row r="46" spans="1:11 16381:16381">
      <c r="A46" s="173" t="s">
        <v>725</v>
      </c>
      <c r="B46" s="174"/>
      <c r="C46" s="189">
        <v>4997</v>
      </c>
      <c r="D46" s="189">
        <v>3058</v>
      </c>
      <c r="E46" s="189">
        <v>3309</v>
      </c>
      <c r="F46" s="189">
        <v>3171</v>
      </c>
      <c r="G46" s="189">
        <v>3245</v>
      </c>
      <c r="H46" s="189">
        <v>3160</v>
      </c>
      <c r="I46" s="189">
        <v>5201</v>
      </c>
      <c r="J46" s="189">
        <v>4382</v>
      </c>
      <c r="K46" s="189">
        <v>6499</v>
      </c>
    </row>
    <row r="47" spans="1:11 16381:16381">
      <c r="A47" s="173" t="s">
        <v>793</v>
      </c>
      <c r="B47" s="174"/>
      <c r="C47" s="189"/>
      <c r="D47" s="189">
        <v>58499</v>
      </c>
      <c r="E47" s="189">
        <v>1351</v>
      </c>
      <c r="F47" s="189">
        <v>771</v>
      </c>
      <c r="G47" s="189">
        <v>0</v>
      </c>
      <c r="H47" s="189"/>
      <c r="I47" s="189"/>
      <c r="J47" s="189"/>
      <c r="K47" s="189"/>
    </row>
    <row r="48" spans="1:11 16381:16381">
      <c r="A48" s="173" t="s">
        <v>724</v>
      </c>
      <c r="B48" s="174"/>
      <c r="C48" s="189">
        <v>36200</v>
      </c>
      <c r="D48" s="189">
        <v>35763</v>
      </c>
      <c r="E48" s="189">
        <v>63514</v>
      </c>
      <c r="F48" s="189">
        <v>65868</v>
      </c>
      <c r="G48" s="189">
        <v>68360</v>
      </c>
      <c r="H48" s="189">
        <v>71021</v>
      </c>
      <c r="I48" s="189">
        <v>61147</v>
      </c>
      <c r="J48" s="189">
        <v>62152</v>
      </c>
      <c r="K48" s="189">
        <v>63967</v>
      </c>
    </row>
    <row r="49" spans="1:11">
      <c r="A49" s="173" t="s">
        <v>701</v>
      </c>
      <c r="B49" s="174"/>
      <c r="C49" s="189">
        <v>943</v>
      </c>
      <c r="D49" s="189">
        <v>467</v>
      </c>
      <c r="E49" s="189">
        <v>383</v>
      </c>
      <c r="F49" s="189">
        <v>581</v>
      </c>
      <c r="G49" s="189">
        <v>1288</v>
      </c>
      <c r="H49" s="189">
        <v>620</v>
      </c>
      <c r="I49" s="189">
        <v>2044</v>
      </c>
      <c r="J49" s="189">
        <v>27186</v>
      </c>
      <c r="K49" s="189">
        <v>2869</v>
      </c>
    </row>
    <row r="50" spans="1:11">
      <c r="A50" s="173" t="s">
        <v>785</v>
      </c>
      <c r="B50" s="174"/>
      <c r="C50" s="189">
        <v>115536</v>
      </c>
      <c r="D50" s="189">
        <v>111515</v>
      </c>
      <c r="E50" s="189">
        <v>126526</v>
      </c>
      <c r="F50" s="189">
        <v>124599</v>
      </c>
      <c r="G50" s="189">
        <v>133240</v>
      </c>
      <c r="H50" s="189">
        <v>134271</v>
      </c>
      <c r="I50" s="189">
        <v>134155</v>
      </c>
      <c r="J50" s="189">
        <v>140896</v>
      </c>
      <c r="K50" s="189">
        <v>136470</v>
      </c>
    </row>
    <row r="51" spans="1:11">
      <c r="A51" s="173" t="s">
        <v>731</v>
      </c>
      <c r="B51" s="174"/>
      <c r="C51" s="189">
        <v>469</v>
      </c>
      <c r="D51" s="189"/>
      <c r="E51" s="189"/>
      <c r="F51" s="189"/>
      <c r="G51" s="189">
        <v>0</v>
      </c>
      <c r="H51" s="189"/>
      <c r="I51" s="189"/>
      <c r="J51" s="189"/>
      <c r="K51" s="189"/>
    </row>
    <row r="52" spans="1:11">
      <c r="A52" s="173" t="s">
        <v>729</v>
      </c>
      <c r="B52" s="174"/>
      <c r="C52" s="189"/>
      <c r="D52" s="189"/>
      <c r="E52" s="189">
        <v>49113</v>
      </c>
      <c r="F52" s="189">
        <v>37139</v>
      </c>
      <c r="G52" s="189">
        <v>24091</v>
      </c>
      <c r="H52" s="189">
        <v>11691</v>
      </c>
      <c r="I52" s="189">
        <v>3226</v>
      </c>
      <c r="J52" s="189">
        <v>3226</v>
      </c>
      <c r="K52" s="189">
        <v>3226</v>
      </c>
    </row>
    <row r="53" spans="1:11" ht="15" thickBot="1">
      <c r="A53" s="173" t="s">
        <v>730</v>
      </c>
      <c r="B53" s="174"/>
      <c r="C53" s="189">
        <v>11669</v>
      </c>
      <c r="D53" s="189">
        <v>12652</v>
      </c>
      <c r="E53" s="189">
        <v>13378</v>
      </c>
      <c r="F53" s="189">
        <v>16746</v>
      </c>
      <c r="G53" s="189">
        <v>21528.000000000004</v>
      </c>
      <c r="H53" s="189">
        <v>25922</v>
      </c>
      <c r="I53" s="189">
        <v>27029</v>
      </c>
      <c r="J53" s="189">
        <v>32019</v>
      </c>
      <c r="K53" s="189">
        <v>50969</v>
      </c>
    </row>
    <row r="54" spans="1:11" ht="15" thickBot="1">
      <c r="A54" s="177" t="s">
        <v>706</v>
      </c>
      <c r="B54" s="170"/>
      <c r="C54" s="178">
        <f t="shared" ref="C54:K54" si="10">SUM(C55:C64)</f>
        <v>1645415</v>
      </c>
      <c r="D54" s="178">
        <f t="shared" si="10"/>
        <v>1490487</v>
      </c>
      <c r="E54" s="178">
        <f t="shared" si="10"/>
        <v>1468873</v>
      </c>
      <c r="F54" s="178">
        <f t="shared" si="10"/>
        <v>1814429</v>
      </c>
      <c r="G54" s="178">
        <f t="shared" si="10"/>
        <v>1800049</v>
      </c>
      <c r="H54" s="178">
        <f t="shared" si="10"/>
        <v>2086248</v>
      </c>
      <c r="I54" s="178">
        <f t="shared" si="10"/>
        <v>2479439</v>
      </c>
      <c r="J54" s="178">
        <f t="shared" si="10"/>
        <v>2147873</v>
      </c>
      <c r="K54" s="178">
        <f t="shared" si="10"/>
        <v>2413345</v>
      </c>
    </row>
    <row r="55" spans="1:11">
      <c r="A55" s="173" t="s">
        <v>716</v>
      </c>
      <c r="B55" s="170"/>
      <c r="C55" s="201">
        <v>153193</v>
      </c>
      <c r="D55" s="201"/>
      <c r="E55" s="201"/>
      <c r="F55" s="201"/>
      <c r="G55" s="201"/>
      <c r="H55" s="201"/>
      <c r="I55" s="201"/>
      <c r="J55" s="201"/>
      <c r="K55" s="201"/>
    </row>
    <row r="56" spans="1:11">
      <c r="A56" s="173" t="s">
        <v>718</v>
      </c>
      <c r="B56" s="174"/>
      <c r="C56" s="201">
        <v>475369</v>
      </c>
      <c r="D56" s="201">
        <v>490357</v>
      </c>
      <c r="E56" s="201">
        <v>474541</v>
      </c>
      <c r="F56" s="201">
        <v>774906</v>
      </c>
      <c r="G56" s="201">
        <v>734538</v>
      </c>
      <c r="H56" s="201">
        <v>763128</v>
      </c>
      <c r="I56" s="201">
        <v>731953</v>
      </c>
      <c r="J56" s="201">
        <v>519042</v>
      </c>
      <c r="K56" s="201">
        <v>574980</v>
      </c>
    </row>
    <row r="57" spans="1:11">
      <c r="A57" s="173" t="s">
        <v>719</v>
      </c>
      <c r="B57" s="174"/>
      <c r="C57" s="201">
        <v>530527</v>
      </c>
      <c r="D57" s="201">
        <v>549890</v>
      </c>
      <c r="E57" s="201">
        <v>569255</v>
      </c>
      <c r="F57" s="201">
        <v>589630</v>
      </c>
      <c r="G57" s="201">
        <v>610054</v>
      </c>
      <c r="H57" s="201">
        <v>812988</v>
      </c>
      <c r="I57" s="201">
        <v>1198716</v>
      </c>
      <c r="J57" s="201">
        <v>1209218</v>
      </c>
      <c r="K57" s="201">
        <v>1482186</v>
      </c>
    </row>
    <row r="58" spans="1:11">
      <c r="A58" s="173" t="s">
        <v>721</v>
      </c>
      <c r="B58" s="174"/>
      <c r="C58" s="201">
        <v>127424</v>
      </c>
      <c r="D58" s="201">
        <v>128197</v>
      </c>
      <c r="E58" s="201">
        <v>186517</v>
      </c>
      <c r="F58" s="201">
        <v>197793</v>
      </c>
      <c r="G58" s="201">
        <v>190874</v>
      </c>
      <c r="H58" s="201">
        <v>283051</v>
      </c>
      <c r="I58" s="201">
        <v>269953</v>
      </c>
      <c r="J58" s="201">
        <v>253939</v>
      </c>
      <c r="K58" s="201">
        <v>237370</v>
      </c>
    </row>
    <row r="59" spans="1:11">
      <c r="A59" s="173" t="s">
        <v>701</v>
      </c>
      <c r="B59" s="174"/>
      <c r="C59" s="201">
        <v>74506</v>
      </c>
      <c r="D59" s="201">
        <v>78358</v>
      </c>
      <c r="E59" s="201">
        <v>81357</v>
      </c>
      <c r="F59" s="201">
        <v>98206</v>
      </c>
      <c r="G59" s="201">
        <v>144755</v>
      </c>
      <c r="H59" s="201">
        <v>103087</v>
      </c>
      <c r="I59" s="201">
        <v>136102</v>
      </c>
      <c r="J59" s="201">
        <v>63664</v>
      </c>
      <c r="K59" s="201">
        <v>13953</v>
      </c>
    </row>
    <row r="60" spans="1:11">
      <c r="A60" s="173" t="s">
        <v>785</v>
      </c>
      <c r="B60" s="174"/>
      <c r="C60" s="201">
        <v>108549</v>
      </c>
      <c r="D60" s="201">
        <v>111583</v>
      </c>
      <c r="E60" s="201">
        <v>136389</v>
      </c>
      <c r="F60" s="201">
        <v>141786</v>
      </c>
      <c r="G60" s="201">
        <v>112518</v>
      </c>
      <c r="H60" s="201">
        <v>114754</v>
      </c>
      <c r="I60" s="201">
        <v>112133</v>
      </c>
      <c r="J60" s="201">
        <v>79559</v>
      </c>
      <c r="K60" s="201">
        <v>81136</v>
      </c>
    </row>
    <row r="61" spans="1:11">
      <c r="A61" s="173" t="s">
        <v>720</v>
      </c>
      <c r="B61" s="174"/>
      <c r="C61" s="201">
        <v>108952</v>
      </c>
      <c r="D61" s="201">
        <v>63631</v>
      </c>
      <c r="E61" s="201">
        <v>14534</v>
      </c>
      <c r="F61" s="201">
        <v>6055</v>
      </c>
      <c r="G61" s="201">
        <v>1479</v>
      </c>
      <c r="H61" s="201">
        <v>3633</v>
      </c>
      <c r="I61" s="201">
        <v>10279</v>
      </c>
      <c r="J61" s="201"/>
      <c r="K61" s="201"/>
    </row>
    <row r="62" spans="1:11">
      <c r="A62" s="173" t="s">
        <v>724</v>
      </c>
      <c r="B62" s="174"/>
      <c r="C62" s="201">
        <v>22</v>
      </c>
      <c r="D62" s="201">
        <v>22</v>
      </c>
      <c r="E62" s="201"/>
      <c r="F62" s="201"/>
      <c r="G62" s="201">
        <v>0</v>
      </c>
      <c r="H62" s="201"/>
      <c r="I62" s="201">
        <v>13954</v>
      </c>
      <c r="J62" s="201">
        <v>14542</v>
      </c>
      <c r="K62" s="201">
        <v>16084</v>
      </c>
    </row>
    <row r="63" spans="1:11">
      <c r="A63" s="173" t="s">
        <v>729</v>
      </c>
      <c r="B63" s="174"/>
      <c r="C63" s="201">
        <v>59875</v>
      </c>
      <c r="D63" s="201">
        <v>61821</v>
      </c>
      <c r="E63" s="201">
        <v>80</v>
      </c>
      <c r="F63" s="201">
        <v>80</v>
      </c>
      <c r="G63" s="201">
        <v>80</v>
      </c>
      <c r="H63" s="201">
        <v>80</v>
      </c>
      <c r="I63" s="201">
        <v>0</v>
      </c>
      <c r="J63" s="201"/>
      <c r="K63" s="201"/>
    </row>
    <row r="64" spans="1:11" ht="15" thickBot="1">
      <c r="A64" s="173" t="s">
        <v>730</v>
      </c>
      <c r="B64" s="174"/>
      <c r="C64" s="201">
        <v>6998</v>
      </c>
      <c r="D64" s="201">
        <v>6628</v>
      </c>
      <c r="E64" s="201">
        <v>6200</v>
      </c>
      <c r="F64" s="201">
        <v>5973</v>
      </c>
      <c r="G64" s="201">
        <v>5751</v>
      </c>
      <c r="H64" s="201">
        <v>5527</v>
      </c>
      <c r="I64" s="201">
        <v>6349</v>
      </c>
      <c r="J64" s="201">
        <v>7909</v>
      </c>
      <c r="K64" s="201">
        <v>7636</v>
      </c>
    </row>
    <row r="65" spans="1:11" ht="15" thickBot="1">
      <c r="A65" s="177" t="s">
        <v>734</v>
      </c>
      <c r="B65" s="170"/>
      <c r="C65" s="178">
        <f t="shared" ref="C65:K65" si="11">SUM(C66:C72)</f>
        <v>-1130298</v>
      </c>
      <c r="D65" s="178">
        <f t="shared" si="11"/>
        <v>-975024</v>
      </c>
      <c r="E65" s="178">
        <f t="shared" si="11"/>
        <v>-963062</v>
      </c>
      <c r="F65" s="178">
        <f t="shared" si="11"/>
        <v>-982900</v>
      </c>
      <c r="G65" s="178">
        <f t="shared" si="11"/>
        <v>-995429</v>
      </c>
      <c r="H65" s="178">
        <f t="shared" si="11"/>
        <v>-979896</v>
      </c>
      <c r="I65" s="178">
        <f t="shared" si="11"/>
        <v>-878381</v>
      </c>
      <c r="J65" s="178">
        <f t="shared" si="11"/>
        <v>-896808</v>
      </c>
      <c r="K65" s="178">
        <f t="shared" si="11"/>
        <v>-794225</v>
      </c>
    </row>
    <row r="66" spans="1:11">
      <c r="A66" s="173" t="s">
        <v>735</v>
      </c>
      <c r="B66" s="174"/>
      <c r="C66" s="189">
        <v>1517876</v>
      </c>
      <c r="D66" s="189">
        <v>1517876</v>
      </c>
      <c r="E66" s="189">
        <v>1517876</v>
      </c>
      <c r="F66" s="189">
        <v>1517876</v>
      </c>
      <c r="G66" s="189">
        <v>1517876</v>
      </c>
      <c r="H66" s="189">
        <v>1517876</v>
      </c>
      <c r="I66" s="189">
        <v>1517876</v>
      </c>
      <c r="J66" s="189">
        <v>1517876</v>
      </c>
      <c r="K66" s="189">
        <v>1517876</v>
      </c>
    </row>
    <row r="67" spans="1:11">
      <c r="A67" s="173" t="s">
        <v>763</v>
      </c>
      <c r="B67" s="174"/>
      <c r="C67" s="189"/>
      <c r="D67" s="189"/>
      <c r="E67" s="189"/>
      <c r="F67" s="189"/>
      <c r="G67" s="189">
        <v>0</v>
      </c>
      <c r="H67" s="189"/>
      <c r="I67" s="189"/>
      <c r="J67" s="189"/>
      <c r="K67" s="189"/>
    </row>
    <row r="68" spans="1:11">
      <c r="A68" s="173" t="s">
        <v>765</v>
      </c>
      <c r="B68" s="174"/>
      <c r="C68" s="189"/>
      <c r="D68" s="189"/>
      <c r="E68" s="189"/>
      <c r="F68" s="189"/>
      <c r="G68" s="189">
        <v>0</v>
      </c>
      <c r="H68" s="189"/>
      <c r="I68" s="189"/>
      <c r="J68" s="189"/>
      <c r="K68" s="189"/>
    </row>
    <row r="69" spans="1:11">
      <c r="A69" s="173" t="s">
        <v>778</v>
      </c>
      <c r="B69" s="174"/>
      <c r="C69" s="189"/>
      <c r="D69" s="189">
        <v>3277</v>
      </c>
      <c r="E69" s="189">
        <v>15466</v>
      </c>
      <c r="F69" s="189">
        <v>1882</v>
      </c>
      <c r="G69" s="189">
        <v>0</v>
      </c>
      <c r="H69" s="189"/>
      <c r="I69" s="189">
        <v>23165</v>
      </c>
      <c r="J69" s="189">
        <v>26489</v>
      </c>
      <c r="K69" s="189">
        <v>32830</v>
      </c>
    </row>
    <row r="70" spans="1:11">
      <c r="A70" s="173" t="s">
        <v>791</v>
      </c>
      <c r="B70" s="174"/>
      <c r="C70" s="189">
        <v>-2885472</v>
      </c>
      <c r="D70" s="189">
        <v>-2496177</v>
      </c>
      <c r="E70" s="189">
        <v>-2885473</v>
      </c>
      <c r="F70" s="189">
        <v>-2496403</v>
      </c>
      <c r="G70" s="189">
        <v>-2496404</v>
      </c>
      <c r="H70" s="189">
        <v>-2496404</v>
      </c>
      <c r="I70" s="189">
        <v>-2496404</v>
      </c>
      <c r="J70" s="189">
        <v>-2419422</v>
      </c>
      <c r="K70" s="189">
        <v>-2419422</v>
      </c>
    </row>
    <row r="71" spans="1:11">
      <c r="A71" s="173" t="s">
        <v>787</v>
      </c>
      <c r="B71" s="174"/>
      <c r="C71" s="189">
        <v>18983</v>
      </c>
      <c r="D71" s="189"/>
      <c r="E71" s="189"/>
      <c r="F71" s="189"/>
      <c r="G71" s="189">
        <v>109</v>
      </c>
      <c r="H71" s="189">
        <v>8308</v>
      </c>
      <c r="I71" s="189"/>
      <c r="J71" s="189"/>
      <c r="K71" s="189"/>
    </row>
    <row r="72" spans="1:11" ht="15" thickBot="1">
      <c r="A72" s="173" t="s">
        <v>779</v>
      </c>
      <c r="B72" s="174"/>
      <c r="C72" s="189">
        <v>218315</v>
      </c>
      <c r="D72" s="189"/>
      <c r="E72" s="189">
        <v>389069</v>
      </c>
      <c r="F72" s="189">
        <v>-6255</v>
      </c>
      <c r="G72" s="189">
        <v>-17010</v>
      </c>
      <c r="H72" s="189">
        <v>-9676</v>
      </c>
      <c r="I72" s="189">
        <v>76982</v>
      </c>
      <c r="J72" s="189">
        <v>-21751</v>
      </c>
      <c r="K72" s="189">
        <v>74491</v>
      </c>
    </row>
    <row r="73" spans="1:11" ht="15" thickBot="1">
      <c r="A73" s="177" t="s">
        <v>740</v>
      </c>
      <c r="B73" s="170"/>
      <c r="C73" s="178">
        <f t="shared" ref="C73:H73" si="12">C65+C54+C39</f>
        <v>1681932</v>
      </c>
      <c r="D73" s="178">
        <f t="shared" si="12"/>
        <v>1425398</v>
      </c>
      <c r="E73" s="178">
        <f t="shared" si="12"/>
        <v>1422420</v>
      </c>
      <c r="F73" s="178">
        <f t="shared" si="12"/>
        <v>1650949</v>
      </c>
      <c r="G73" s="178">
        <f t="shared" si="12"/>
        <v>1660451</v>
      </c>
      <c r="H73" s="178">
        <f t="shared" si="12"/>
        <v>1793468</v>
      </c>
      <c r="I73" s="178">
        <f t="shared" ref="I73:J73" si="13">I65+I54+I39</f>
        <v>2208938</v>
      </c>
      <c r="J73" s="178">
        <f t="shared" si="13"/>
        <v>2070357</v>
      </c>
      <c r="K73" s="178">
        <f t="shared" ref="K73" si="14">K65+K54+K39</f>
        <v>2492953</v>
      </c>
    </row>
    <row r="74" spans="1:11">
      <c r="C74" s="189">
        <f t="shared" ref="C74:H74" si="15">C73-C36</f>
        <v>0</v>
      </c>
      <c r="D74" s="189">
        <f t="shared" si="15"/>
        <v>0</v>
      </c>
      <c r="E74" s="189">
        <f t="shared" si="15"/>
        <v>0</v>
      </c>
      <c r="F74" s="189">
        <f t="shared" si="15"/>
        <v>0</v>
      </c>
      <c r="G74" s="189">
        <f t="shared" si="15"/>
        <v>0</v>
      </c>
      <c r="H74" s="189">
        <f t="shared" si="15"/>
        <v>0</v>
      </c>
      <c r="I74" s="189">
        <f t="shared" ref="I74:J74" si="16">I73-I36</f>
        <v>0</v>
      </c>
      <c r="J74" s="189">
        <f t="shared" si="16"/>
        <v>0</v>
      </c>
      <c r="K74" s="189">
        <f t="shared" ref="K74" si="17">K73-K36</f>
        <v>0</v>
      </c>
    </row>
  </sheetData>
  <pageMargins left="0.511811024" right="0.511811024" top="0.78740157499999996" bottom="0.78740157499999996" header="0.31496062000000002" footer="0.31496062000000002"/>
  <ignoredErrors>
    <ignoredError sqref="E38:F38" unlockedFormula="1"/>
  </ignoredErrors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9" tint="0.79998168889431442"/>
  </sheetPr>
  <dimension ref="A5:XEY96"/>
  <sheetViews>
    <sheetView showGridLines="0" zoomScale="80" zoomScaleNormal="80" workbookViewId="0">
      <pane xSplit="1" ySplit="7" topLeftCell="B8" activePane="bottomRight" state="frozen"/>
      <selection pane="topRight" activeCell="I7" sqref="I7"/>
      <selection pane="bottomLeft" activeCell="I7" sqref="I7"/>
      <selection pane="bottomRight" activeCell="I10" sqref="I10"/>
    </sheetView>
  </sheetViews>
  <sheetFormatPr defaultColWidth="9.1796875" defaultRowHeight="14.5"/>
  <cols>
    <col min="1" max="1" width="47.54296875" style="37" customWidth="1"/>
    <col min="2" max="2" width="0.7265625" customWidth="1"/>
    <col min="3" max="9" width="9.54296875" style="37" bestFit="1" customWidth="1"/>
    <col min="10" max="16384" width="9.1796875" style="37"/>
  </cols>
  <sheetData>
    <row r="5" spans="1:9">
      <c r="G5" s="111"/>
      <c r="H5" s="111"/>
      <c r="I5" s="111"/>
    </row>
    <row r="6" spans="1:9">
      <c r="A6" s="41" t="s">
        <v>794</v>
      </c>
      <c r="B6" s="133"/>
      <c r="C6" s="41"/>
      <c r="D6" s="41"/>
      <c r="E6" s="41"/>
      <c r="F6" s="41"/>
      <c r="G6" s="41"/>
      <c r="H6" s="41"/>
      <c r="I6" s="41"/>
    </row>
    <row r="7" spans="1:9" ht="15" thickBot="1">
      <c r="A7" s="5" t="s">
        <v>689</v>
      </c>
      <c r="B7" s="168"/>
      <c r="C7" s="528" t="s">
        <v>48</v>
      </c>
      <c r="D7" s="528" t="s">
        <v>49</v>
      </c>
      <c r="E7" s="528" t="s">
        <v>50</v>
      </c>
      <c r="F7" s="528" t="s">
        <v>51</v>
      </c>
      <c r="G7" s="528" t="s">
        <v>52</v>
      </c>
      <c r="H7" s="528" t="s">
        <v>53</v>
      </c>
      <c r="I7" s="528" t="s">
        <v>54</v>
      </c>
    </row>
    <row r="8" spans="1:9" ht="15" thickBot="1">
      <c r="A8" s="169" t="s">
        <v>690</v>
      </c>
      <c r="B8" s="170"/>
      <c r="C8" s="171">
        <f t="shared" ref="C8:I8" si="0">SUM(C9:C21)</f>
        <v>3099391</v>
      </c>
      <c r="D8" s="171">
        <f t="shared" si="0"/>
        <v>3389961</v>
      </c>
      <c r="E8" s="171">
        <f t="shared" si="0"/>
        <v>3870055</v>
      </c>
      <c r="F8" s="171">
        <f t="shared" si="0"/>
        <v>3448216</v>
      </c>
      <c r="G8" s="171">
        <f t="shared" si="0"/>
        <v>4701333</v>
      </c>
      <c r="H8" s="171">
        <f t="shared" si="0"/>
        <v>3991377</v>
      </c>
      <c r="I8" s="171">
        <f t="shared" si="0"/>
        <v>5218286</v>
      </c>
    </row>
    <row r="9" spans="1:9">
      <c r="A9" s="173" t="s">
        <v>691</v>
      </c>
      <c r="B9" s="174"/>
      <c r="C9" s="189">
        <v>80363</v>
      </c>
      <c r="D9" s="189">
        <v>155569</v>
      </c>
      <c r="E9" s="189">
        <v>819536</v>
      </c>
      <c r="F9" s="189">
        <v>374546</v>
      </c>
      <c r="G9" s="189">
        <v>432005</v>
      </c>
      <c r="H9" s="189">
        <v>64852</v>
      </c>
      <c r="I9" s="189">
        <v>88892</v>
      </c>
    </row>
    <row r="10" spans="1:9">
      <c r="A10" s="173" t="s">
        <v>767</v>
      </c>
      <c r="B10" s="174"/>
      <c r="C10" s="189">
        <v>10833</v>
      </c>
      <c r="D10" s="189">
        <v>208529</v>
      </c>
      <c r="E10" s="189">
        <v>326758</v>
      </c>
      <c r="F10" s="189">
        <v>87405</v>
      </c>
      <c r="G10" s="189">
        <v>830791</v>
      </c>
      <c r="H10" s="189">
        <v>643620</v>
      </c>
      <c r="I10" s="189">
        <v>1939584</v>
      </c>
    </row>
    <row r="11" spans="1:9">
      <c r="A11" s="173" t="s">
        <v>693</v>
      </c>
      <c r="B11" s="174"/>
      <c r="C11" s="189">
        <v>1827263</v>
      </c>
      <c r="D11" s="189">
        <v>2150922</v>
      </c>
      <c r="E11" s="189">
        <v>2046614</v>
      </c>
      <c r="F11" s="189">
        <v>1892553</v>
      </c>
      <c r="G11" s="189">
        <v>1900114</v>
      </c>
      <c r="H11" s="189">
        <v>1923097</v>
      </c>
      <c r="I11" s="189">
        <v>1862334</v>
      </c>
    </row>
    <row r="12" spans="1:9">
      <c r="A12" s="173" t="s">
        <v>788</v>
      </c>
      <c r="B12" s="174"/>
      <c r="C12" s="189"/>
      <c r="D12" s="189"/>
      <c r="E12" s="189">
        <v>0</v>
      </c>
      <c r="F12" s="189"/>
      <c r="G12" s="189"/>
      <c r="H12" s="189"/>
      <c r="I12" s="189"/>
    </row>
    <row r="13" spans="1:9">
      <c r="A13" s="173" t="s">
        <v>742</v>
      </c>
      <c r="B13" s="174"/>
      <c r="C13" s="189"/>
      <c r="D13" s="189">
        <v>-352459</v>
      </c>
      <c r="E13" s="189">
        <v>-341165</v>
      </c>
      <c r="F13" s="189"/>
      <c r="G13" s="189"/>
      <c r="H13" s="189"/>
      <c r="I13" s="189"/>
    </row>
    <row r="14" spans="1:9">
      <c r="A14" s="173" t="s">
        <v>695</v>
      </c>
      <c r="B14" s="174"/>
      <c r="C14" s="189"/>
      <c r="D14" s="189"/>
      <c r="E14" s="189">
        <v>0</v>
      </c>
      <c r="F14" s="189"/>
      <c r="G14" s="189"/>
      <c r="H14" s="189"/>
      <c r="I14" s="189"/>
    </row>
    <row r="15" spans="1:9">
      <c r="A15" s="173" t="s">
        <v>781</v>
      </c>
      <c r="B15" s="174"/>
      <c r="C15" s="189">
        <v>63784</v>
      </c>
      <c r="D15" s="189">
        <v>68792</v>
      </c>
      <c r="E15" s="189">
        <v>93599</v>
      </c>
      <c r="F15" s="189">
        <v>83189</v>
      </c>
      <c r="G15" s="189">
        <v>126315</v>
      </c>
      <c r="H15" s="189">
        <v>135342</v>
      </c>
      <c r="I15" s="189">
        <v>146256</v>
      </c>
    </row>
    <row r="16" spans="1:9">
      <c r="A16" s="173" t="s">
        <v>795</v>
      </c>
      <c r="B16" s="174"/>
      <c r="C16" s="189"/>
      <c r="D16" s="189"/>
      <c r="E16" s="189">
        <v>0</v>
      </c>
      <c r="F16" s="189"/>
      <c r="G16" s="189"/>
      <c r="H16" s="189"/>
      <c r="I16" s="189"/>
    </row>
    <row r="17" spans="1:9">
      <c r="A17" s="173" t="s">
        <v>744</v>
      </c>
      <c r="B17" s="174"/>
      <c r="C17" s="189">
        <v>147098</v>
      </c>
      <c r="D17" s="189">
        <v>89567</v>
      </c>
      <c r="E17" s="189">
        <v>0</v>
      </c>
      <c r="F17" s="189"/>
      <c r="G17" s="189"/>
      <c r="H17" s="189"/>
      <c r="I17" s="189"/>
    </row>
    <row r="18" spans="1:9">
      <c r="A18" s="173" t="s">
        <v>789</v>
      </c>
      <c r="B18" s="174"/>
      <c r="C18" s="189">
        <v>21408</v>
      </c>
      <c r="D18" s="189">
        <v>25882</v>
      </c>
      <c r="E18" s="189">
        <v>33546</v>
      </c>
      <c r="F18" s="189">
        <v>27101</v>
      </c>
      <c r="G18" s="189">
        <v>24322</v>
      </c>
      <c r="H18" s="189">
        <v>28802</v>
      </c>
      <c r="I18" s="189">
        <v>26092</v>
      </c>
    </row>
    <row r="19" spans="1:9">
      <c r="A19" s="173" t="s">
        <v>703</v>
      </c>
      <c r="B19" s="174"/>
      <c r="C19" s="189">
        <v>691671</v>
      </c>
      <c r="D19" s="189">
        <v>699917</v>
      </c>
      <c r="E19" s="189">
        <v>687938</v>
      </c>
      <c r="F19" s="189">
        <v>702206</v>
      </c>
      <c r="G19" s="189">
        <v>969072</v>
      </c>
      <c r="H19" s="189">
        <v>787218</v>
      </c>
      <c r="I19" s="189">
        <v>731550</v>
      </c>
    </row>
    <row r="20" spans="1:9">
      <c r="A20" s="173" t="s">
        <v>704</v>
      </c>
      <c r="B20" s="174"/>
      <c r="C20" s="189">
        <v>40415</v>
      </c>
      <c r="D20" s="189">
        <v>71514</v>
      </c>
      <c r="E20" s="189">
        <v>69574</v>
      </c>
      <c r="F20" s="189">
        <v>74247</v>
      </c>
      <c r="G20" s="189">
        <v>80868</v>
      </c>
      <c r="H20" s="189">
        <v>87877</v>
      </c>
      <c r="I20" s="189">
        <v>97403</v>
      </c>
    </row>
    <row r="21" spans="1:9" ht="15" thickBot="1">
      <c r="A21" s="176" t="s">
        <v>705</v>
      </c>
      <c r="B21" s="174"/>
      <c r="C21" s="189">
        <v>216556</v>
      </c>
      <c r="D21" s="189">
        <v>271728</v>
      </c>
      <c r="E21" s="189">
        <v>133655</v>
      </c>
      <c r="F21" s="189">
        <v>206969</v>
      </c>
      <c r="G21" s="189">
        <v>337846</v>
      </c>
      <c r="H21" s="189">
        <v>320569</v>
      </c>
      <c r="I21" s="189">
        <v>326175</v>
      </c>
    </row>
    <row r="22" spans="1:9" ht="15" thickBot="1">
      <c r="A22" s="177" t="s">
        <v>706</v>
      </c>
      <c r="B22" s="170"/>
      <c r="C22" s="178">
        <f t="shared" ref="C22:H22" si="1">C23+C37</f>
        <v>16384287</v>
      </c>
      <c r="D22" s="178">
        <f t="shared" si="1"/>
        <v>16558664</v>
      </c>
      <c r="E22" s="178">
        <f t="shared" si="1"/>
        <v>17441154</v>
      </c>
      <c r="F22" s="178">
        <f t="shared" si="1"/>
        <v>17667560</v>
      </c>
      <c r="G22" s="178">
        <f t="shared" si="1"/>
        <v>17610312</v>
      </c>
      <c r="H22" s="178">
        <f t="shared" si="1"/>
        <v>17911520</v>
      </c>
      <c r="I22" s="178">
        <f t="shared" ref="I22" si="2">I23+I37</f>
        <v>18193923</v>
      </c>
    </row>
    <row r="23" spans="1:9" ht="15" thickBot="1">
      <c r="A23" s="177" t="s">
        <v>748</v>
      </c>
      <c r="B23" s="170"/>
      <c r="C23" s="178">
        <f t="shared" ref="C23:D23" si="3">SUM(C24:C36)</f>
        <v>5377547</v>
      </c>
      <c r="D23" s="178">
        <f t="shared" si="3"/>
        <v>5375424</v>
      </c>
      <c r="E23" s="178">
        <f>SUM(E24:E36)</f>
        <v>6209860</v>
      </c>
      <c r="F23" s="178">
        <f>SUM(F24:F36)</f>
        <v>6223400</v>
      </c>
      <c r="G23" s="178">
        <f>SUM(G24:G36)</f>
        <v>6000415</v>
      </c>
      <c r="H23" s="178">
        <f>SUM(H24:H36)</f>
        <v>6194657</v>
      </c>
      <c r="I23" s="178">
        <f>SUM(I24:I36)</f>
        <v>6312607</v>
      </c>
    </row>
    <row r="24" spans="1:9">
      <c r="A24" s="364" t="s">
        <v>692</v>
      </c>
      <c r="B24" s="174"/>
      <c r="C24" s="189"/>
      <c r="D24" s="189"/>
      <c r="E24" s="189">
        <v>26475</v>
      </c>
      <c r="F24" s="189">
        <v>27163</v>
      </c>
      <c r="G24" s="189">
        <v>27846</v>
      </c>
      <c r="H24" s="189">
        <v>28462</v>
      </c>
      <c r="I24" s="189">
        <v>26353</v>
      </c>
    </row>
    <row r="25" spans="1:9">
      <c r="A25" s="173" t="s">
        <v>693</v>
      </c>
      <c r="B25" s="174"/>
      <c r="C25" s="189">
        <v>75962</v>
      </c>
      <c r="D25" s="189">
        <v>74162</v>
      </c>
      <c r="E25" s="189">
        <v>81044</v>
      </c>
      <c r="F25" s="189">
        <v>79374</v>
      </c>
      <c r="G25" s="189">
        <v>53484</v>
      </c>
      <c r="H25" s="189">
        <v>53258</v>
      </c>
      <c r="I25" s="189">
        <v>48831</v>
      </c>
    </row>
    <row r="26" spans="1:9">
      <c r="A26" s="173" t="s">
        <v>744</v>
      </c>
      <c r="B26" s="174"/>
      <c r="C26" s="189"/>
      <c r="D26" s="189"/>
      <c r="E26" s="189">
        <v>0</v>
      </c>
      <c r="F26" s="189"/>
      <c r="G26" s="189"/>
      <c r="H26" s="189"/>
      <c r="I26" s="189"/>
    </row>
    <row r="27" spans="1:9">
      <c r="A27" s="173" t="s">
        <v>696</v>
      </c>
      <c r="B27" s="174"/>
      <c r="C27" s="189"/>
      <c r="D27" s="189"/>
      <c r="E27" s="189">
        <v>0</v>
      </c>
      <c r="F27" s="189"/>
      <c r="G27" s="189">
        <v>15277</v>
      </c>
      <c r="H27" s="189">
        <v>15277</v>
      </c>
      <c r="I27" s="189">
        <v>15277</v>
      </c>
    </row>
    <row r="28" spans="1:9">
      <c r="A28" s="173" t="s">
        <v>699</v>
      </c>
      <c r="B28" s="174"/>
      <c r="C28" s="189">
        <v>146465</v>
      </c>
      <c r="D28" s="189">
        <v>150899</v>
      </c>
      <c r="E28" s="189">
        <v>170415</v>
      </c>
      <c r="F28" s="189">
        <v>170688</v>
      </c>
      <c r="G28" s="189">
        <v>162106</v>
      </c>
      <c r="H28" s="189">
        <v>167398</v>
      </c>
      <c r="I28" s="189">
        <v>173725</v>
      </c>
    </row>
    <row r="29" spans="1:9">
      <c r="A29" s="173" t="s">
        <v>703</v>
      </c>
      <c r="B29" s="174"/>
      <c r="C29" s="189"/>
      <c r="D29" s="189"/>
      <c r="E29" s="189">
        <v>0</v>
      </c>
      <c r="F29" s="189"/>
      <c r="G29" s="189"/>
      <c r="H29" s="189"/>
      <c r="I29" s="189"/>
    </row>
    <row r="30" spans="1:9">
      <c r="A30" s="173" t="s">
        <v>704</v>
      </c>
      <c r="B30" s="174"/>
      <c r="C30" s="189">
        <v>2371976</v>
      </c>
      <c r="D30" s="189">
        <v>2257478</v>
      </c>
      <c r="E30" s="189">
        <v>2235801</v>
      </c>
      <c r="F30" s="189">
        <v>2151144</v>
      </c>
      <c r="G30" s="189">
        <v>1740348</v>
      </c>
      <c r="H30" s="189">
        <v>1829606</v>
      </c>
      <c r="I30" s="189">
        <v>1829172</v>
      </c>
    </row>
    <row r="31" spans="1:9">
      <c r="A31" s="173" t="s">
        <v>750</v>
      </c>
      <c r="B31" s="174"/>
      <c r="C31" s="189">
        <v>1375535</v>
      </c>
      <c r="D31" s="189">
        <v>1352081</v>
      </c>
      <c r="E31" s="189">
        <v>1537043</v>
      </c>
      <c r="F31" s="189">
        <v>1576997</v>
      </c>
      <c r="G31" s="189">
        <v>1776447</v>
      </c>
      <c r="H31" s="189">
        <v>1794991</v>
      </c>
      <c r="I31" s="189">
        <v>1775092</v>
      </c>
    </row>
    <row r="32" spans="1:9">
      <c r="A32" s="173" t="s">
        <v>701</v>
      </c>
      <c r="B32" s="174"/>
      <c r="C32" s="189"/>
      <c r="D32" s="189"/>
      <c r="E32" s="189">
        <v>0</v>
      </c>
      <c r="F32" s="189"/>
      <c r="G32" s="189"/>
      <c r="H32" s="189"/>
      <c r="I32" s="189"/>
    </row>
    <row r="33" spans="1:9 16379:16379">
      <c r="A33" s="173" t="s">
        <v>742</v>
      </c>
      <c r="B33" s="174"/>
      <c r="C33" s="189"/>
      <c r="D33" s="189"/>
      <c r="E33" s="189">
        <v>0</v>
      </c>
      <c r="F33" s="189"/>
      <c r="G33" s="189"/>
      <c r="H33" s="189"/>
      <c r="I33" s="189"/>
    </row>
    <row r="34" spans="1:9 16379:16379">
      <c r="A34" s="173" t="s">
        <v>790</v>
      </c>
      <c r="B34" s="174"/>
      <c r="C34" s="189"/>
      <c r="D34" s="189"/>
      <c r="E34" s="189">
        <v>0</v>
      </c>
      <c r="F34" s="189"/>
      <c r="G34" s="189"/>
      <c r="H34" s="189"/>
      <c r="I34" s="189"/>
    </row>
    <row r="35" spans="1:9 16379:16379">
      <c r="A35" s="173" t="s">
        <v>705</v>
      </c>
      <c r="B35" s="174"/>
      <c r="C35" s="189">
        <v>597921</v>
      </c>
      <c r="D35" s="189">
        <v>589998</v>
      </c>
      <c r="E35" s="189">
        <v>781874</v>
      </c>
      <c r="F35" s="189">
        <v>823855</v>
      </c>
      <c r="G35" s="189">
        <v>827647</v>
      </c>
      <c r="H35" s="189">
        <v>832625</v>
      </c>
      <c r="I35" s="189">
        <v>851190</v>
      </c>
    </row>
    <row r="36" spans="1:9 16379:16379" ht="15" thickBot="1">
      <c r="A36" s="176" t="s">
        <v>708</v>
      </c>
      <c r="B36" s="174"/>
      <c r="C36" s="189">
        <v>809688</v>
      </c>
      <c r="D36" s="189">
        <v>950806</v>
      </c>
      <c r="E36" s="189">
        <v>1377208</v>
      </c>
      <c r="F36" s="189">
        <v>1394179</v>
      </c>
      <c r="G36" s="189">
        <v>1397260</v>
      </c>
      <c r="H36" s="189">
        <v>1473040</v>
      </c>
      <c r="I36" s="189">
        <v>1592967</v>
      </c>
    </row>
    <row r="37" spans="1:9 16379:16379" ht="15" thickBot="1">
      <c r="A37" s="177" t="s">
        <v>752</v>
      </c>
      <c r="B37" s="170"/>
      <c r="C37" s="178">
        <f>SUM(C38:C42)</f>
        <v>11006740</v>
      </c>
      <c r="D37" s="178">
        <f>SUM(D38:D42)</f>
        <v>11183240</v>
      </c>
      <c r="E37" s="178">
        <f>SUM(E38:E42)</f>
        <v>11231294</v>
      </c>
      <c r="F37" s="178">
        <f>SUM(F38:F42)</f>
        <v>11444160</v>
      </c>
      <c r="G37" s="178">
        <f>SUM(G38:G42)</f>
        <v>11609897</v>
      </c>
      <c r="H37" s="178">
        <f>SUM(H38:H42)</f>
        <v>11716863</v>
      </c>
      <c r="I37" s="178">
        <f>SUM(I38:I42)</f>
        <v>11881316</v>
      </c>
    </row>
    <row r="38" spans="1:9 16379:16379">
      <c r="A38" s="173" t="s">
        <v>709</v>
      </c>
      <c r="B38" s="174"/>
      <c r="C38" s="189"/>
      <c r="D38" s="189"/>
      <c r="E38" s="189">
        <v>0</v>
      </c>
      <c r="F38" s="189"/>
      <c r="G38" s="189"/>
      <c r="H38" s="189"/>
      <c r="I38" s="189"/>
    </row>
    <row r="39" spans="1:9 16379:16379">
      <c r="A39" s="173" t="s">
        <v>782</v>
      </c>
      <c r="B39" s="174"/>
      <c r="C39" s="189">
        <v>2207951</v>
      </c>
      <c r="D39" s="189">
        <v>2435187</v>
      </c>
      <c r="E39" s="189">
        <v>1535956</v>
      </c>
      <c r="F39" s="189">
        <v>1490935</v>
      </c>
      <c r="G39" s="189">
        <v>1589097</v>
      </c>
      <c r="H39" s="189">
        <v>1684149</v>
      </c>
      <c r="I39" s="189">
        <v>1692683</v>
      </c>
    </row>
    <row r="40" spans="1:9 16379:16379">
      <c r="A40" s="173" t="s">
        <v>770</v>
      </c>
      <c r="B40" s="174"/>
      <c r="C40" s="189"/>
      <c r="D40" s="189"/>
      <c r="E40" s="189">
        <v>0</v>
      </c>
      <c r="F40" s="189"/>
      <c r="G40" s="189"/>
      <c r="H40" s="189"/>
      <c r="I40" s="189"/>
    </row>
    <row r="41" spans="1:9 16379:16379">
      <c r="A41" s="173" t="s">
        <v>713</v>
      </c>
      <c r="B41" s="174"/>
      <c r="C41" s="189">
        <v>19211</v>
      </c>
      <c r="D41" s="189">
        <v>15631</v>
      </c>
      <c r="E41" s="189">
        <v>12333</v>
      </c>
      <c r="F41" s="189">
        <v>9090</v>
      </c>
      <c r="G41" s="189">
        <v>6702</v>
      </c>
      <c r="H41" s="189">
        <v>5858</v>
      </c>
      <c r="I41" s="189">
        <v>3554</v>
      </c>
    </row>
    <row r="42" spans="1:9 16379:16379" ht="15" thickBot="1">
      <c r="A42" s="173" t="s">
        <v>711</v>
      </c>
      <c r="B42" s="174"/>
      <c r="C42" s="189">
        <v>8779578</v>
      </c>
      <c r="D42" s="189">
        <v>8732422</v>
      </c>
      <c r="E42" s="189">
        <v>9683005</v>
      </c>
      <c r="F42" s="189">
        <v>9944135</v>
      </c>
      <c r="G42" s="189">
        <v>10014098</v>
      </c>
      <c r="H42" s="189">
        <v>10026856</v>
      </c>
      <c r="I42" s="189">
        <v>10185079</v>
      </c>
    </row>
    <row r="43" spans="1:9 16379:16379" ht="15" thickBot="1">
      <c r="A43" s="177" t="s">
        <v>714</v>
      </c>
      <c r="B43" s="170"/>
      <c r="C43" s="178">
        <f>C8+C22</f>
        <v>19483678</v>
      </c>
      <c r="D43" s="178">
        <f>D8+D22</f>
        <v>19948625</v>
      </c>
      <c r="E43" s="178">
        <f>E8+E22</f>
        <v>21311209</v>
      </c>
      <c r="F43" s="178">
        <f>F8+F22</f>
        <v>21115776</v>
      </c>
      <c r="G43" s="178">
        <f>G8+G22</f>
        <v>22311645</v>
      </c>
      <c r="H43" s="178">
        <f>H8+H22</f>
        <v>21902897</v>
      </c>
      <c r="I43" s="178">
        <f>I8+I22</f>
        <v>23412209</v>
      </c>
      <c r="XEY43" s="178"/>
    </row>
    <row r="44" spans="1:9 16379:16379">
      <c r="A44" s="173"/>
      <c r="B44" s="174"/>
    </row>
    <row r="45" spans="1:9 16379:16379" ht="15" thickBot="1">
      <c r="A45" s="5" t="s">
        <v>715</v>
      </c>
      <c r="B45" s="168"/>
      <c r="C45" s="528" t="str">
        <f>C7</f>
        <v>4T22</v>
      </c>
      <c r="D45" s="528" t="str">
        <f>D7</f>
        <v>1T23</v>
      </c>
      <c r="E45" s="528" t="s">
        <v>50</v>
      </c>
      <c r="F45" s="528" t="s">
        <v>51</v>
      </c>
      <c r="G45" s="528" t="s">
        <v>52</v>
      </c>
      <c r="H45" s="528" t="s">
        <v>53</v>
      </c>
      <c r="I45" s="528" t="s">
        <v>54</v>
      </c>
    </row>
    <row r="46" spans="1:9 16379:16379" ht="15" thickBot="1">
      <c r="A46" s="169" t="s">
        <v>690</v>
      </c>
      <c r="B46" s="170"/>
      <c r="C46" s="171">
        <f>SUM(C47:C65)</f>
        <v>9322065</v>
      </c>
      <c r="D46" s="171">
        <f>SUM(D47:D65)</f>
        <v>2754484</v>
      </c>
      <c r="E46" s="171">
        <f>SUM(E47:E65)</f>
        <v>3406190</v>
      </c>
      <c r="F46" s="171">
        <f>SUM(F47:F65)</f>
        <v>4246619</v>
      </c>
      <c r="G46" s="171">
        <f>SUM(G47:G65)</f>
        <v>3465730</v>
      </c>
      <c r="H46" s="171">
        <f>SUM(H47:H65)</f>
        <v>3075071</v>
      </c>
      <c r="I46" s="171">
        <f>SUM(I47:I65)</f>
        <v>3264617</v>
      </c>
    </row>
    <row r="47" spans="1:9 16379:16379">
      <c r="A47" s="182" t="s">
        <v>716</v>
      </c>
      <c r="B47" s="183"/>
      <c r="C47" s="189">
        <v>1428060</v>
      </c>
      <c r="D47" s="189">
        <v>1336691</v>
      </c>
      <c r="E47" s="189">
        <v>1359994</v>
      </c>
      <c r="F47" s="189">
        <v>1368980</v>
      </c>
      <c r="G47" s="189">
        <v>1556678</v>
      </c>
      <c r="H47" s="189">
        <v>1311429</v>
      </c>
      <c r="I47" s="189">
        <v>1373025</v>
      </c>
    </row>
    <row r="48" spans="1:9 16379:16379">
      <c r="A48" s="182" t="s">
        <v>717</v>
      </c>
      <c r="B48" s="183"/>
      <c r="C48" s="189">
        <v>51863</v>
      </c>
      <c r="D48" s="189">
        <v>65870</v>
      </c>
      <c r="E48" s="189">
        <v>86023</v>
      </c>
      <c r="F48" s="189">
        <v>74163</v>
      </c>
      <c r="G48" s="189">
        <v>74649</v>
      </c>
      <c r="H48" s="189">
        <v>63913</v>
      </c>
      <c r="I48" s="189">
        <v>58060</v>
      </c>
    </row>
    <row r="49" spans="1:9">
      <c r="A49" s="173" t="s">
        <v>718</v>
      </c>
      <c r="B49" s="174"/>
      <c r="C49" s="189">
        <v>7056087</v>
      </c>
      <c r="D49" s="189">
        <v>588934</v>
      </c>
      <c r="E49" s="189">
        <v>609159</v>
      </c>
      <c r="F49" s="189">
        <v>639093</v>
      </c>
      <c r="G49" s="189">
        <v>11977</v>
      </c>
      <c r="H49" s="189">
        <v>12162</v>
      </c>
      <c r="I49" s="189">
        <v>12340</v>
      </c>
    </row>
    <row r="50" spans="1:9">
      <c r="A50" s="173" t="s">
        <v>719</v>
      </c>
      <c r="B50" s="174"/>
      <c r="C50" s="189"/>
      <c r="D50" s="189">
        <v>139638</v>
      </c>
      <c r="E50" s="189">
        <v>392639</v>
      </c>
      <c r="F50" s="189">
        <v>181386</v>
      </c>
      <c r="G50" s="189">
        <v>360244</v>
      </c>
      <c r="H50" s="189">
        <v>231198</v>
      </c>
      <c r="I50" s="189">
        <v>297168</v>
      </c>
    </row>
    <row r="51" spans="1:9">
      <c r="A51" s="173" t="s">
        <v>720</v>
      </c>
      <c r="B51" s="174"/>
      <c r="C51" s="189"/>
      <c r="D51" s="189"/>
      <c r="E51" s="189">
        <v>281289</v>
      </c>
      <c r="F51" s="189">
        <v>470471</v>
      </c>
      <c r="G51" s="189">
        <v>146117</v>
      </c>
      <c r="H51" s="189">
        <v>311388</v>
      </c>
      <c r="I51" s="189">
        <v>528254</v>
      </c>
    </row>
    <row r="52" spans="1:9">
      <c r="A52" s="173" t="s">
        <v>721</v>
      </c>
      <c r="B52" s="174"/>
      <c r="C52" s="189">
        <v>114105</v>
      </c>
      <c r="D52" s="189">
        <v>141638</v>
      </c>
      <c r="E52" s="189">
        <v>101432</v>
      </c>
      <c r="F52" s="189">
        <v>124860</v>
      </c>
      <c r="G52" s="189">
        <v>103290</v>
      </c>
      <c r="H52" s="189">
        <v>135571</v>
      </c>
      <c r="I52" s="189">
        <v>215474</v>
      </c>
    </row>
    <row r="53" spans="1:9">
      <c r="A53" s="173" t="s">
        <v>771</v>
      </c>
      <c r="B53" s="174"/>
      <c r="C53" s="189">
        <v>55011</v>
      </c>
      <c r="D53" s="189">
        <v>106227</v>
      </c>
      <c r="E53" s="189">
        <v>73478</v>
      </c>
      <c r="F53" s="189">
        <v>62412</v>
      </c>
      <c r="G53" s="189">
        <v>0</v>
      </c>
      <c r="H53" s="189">
        <v>0</v>
      </c>
      <c r="I53" s="189"/>
    </row>
    <row r="54" spans="1:9">
      <c r="A54" s="173" t="s">
        <v>783</v>
      </c>
      <c r="B54" s="174"/>
      <c r="C54" s="189"/>
      <c r="D54" s="189"/>
      <c r="E54" s="189">
        <v>0</v>
      </c>
      <c r="F54" s="189"/>
      <c r="G54" s="189"/>
      <c r="H54" s="189"/>
      <c r="I54" s="189"/>
    </row>
    <row r="55" spans="1:9">
      <c r="A55" s="173" t="s">
        <v>784</v>
      </c>
      <c r="B55" s="174"/>
      <c r="C55" s="189"/>
      <c r="D55" s="189"/>
      <c r="E55" s="189">
        <v>0</v>
      </c>
      <c r="F55" s="189"/>
      <c r="G55" s="189"/>
      <c r="H55" s="189"/>
      <c r="I55" s="189"/>
    </row>
    <row r="56" spans="1:9">
      <c r="A56" s="173" t="s">
        <v>725</v>
      </c>
      <c r="B56" s="174"/>
      <c r="C56" s="189">
        <v>58481</v>
      </c>
      <c r="D56" s="189">
        <v>65152</v>
      </c>
      <c r="E56" s="189">
        <v>58245</v>
      </c>
      <c r="F56" s="189">
        <v>58220</v>
      </c>
      <c r="G56" s="189">
        <v>52484</v>
      </c>
      <c r="H56" s="189">
        <v>53740</v>
      </c>
      <c r="I56" s="189">
        <v>53008</v>
      </c>
    </row>
    <row r="57" spans="1:9">
      <c r="A57" s="173" t="s">
        <v>724</v>
      </c>
      <c r="B57" s="174"/>
      <c r="C57" s="189">
        <v>100640</v>
      </c>
      <c r="D57" s="189">
        <v>59293</v>
      </c>
      <c r="E57" s="189">
        <v>85516</v>
      </c>
      <c r="F57" s="189">
        <v>66093</v>
      </c>
      <c r="G57" s="189">
        <v>108946</v>
      </c>
      <c r="H57" s="189">
        <v>107376</v>
      </c>
      <c r="I57" s="189">
        <v>104151</v>
      </c>
    </row>
    <row r="58" spans="1:9">
      <c r="A58" s="173" t="s">
        <v>727</v>
      </c>
      <c r="B58" s="174"/>
      <c r="C58" s="189"/>
      <c r="D58" s="189"/>
      <c r="E58" s="189">
        <v>0</v>
      </c>
      <c r="F58" s="189"/>
      <c r="G58" s="189"/>
      <c r="H58" s="189"/>
      <c r="I58" s="189"/>
    </row>
    <row r="59" spans="1:9">
      <c r="A59" s="173" t="s">
        <v>759</v>
      </c>
      <c r="B59" s="174"/>
      <c r="C59" s="189"/>
      <c r="D59" s="189"/>
      <c r="E59" s="189">
        <v>0</v>
      </c>
      <c r="F59" s="189"/>
      <c r="G59" s="189"/>
      <c r="H59" s="189"/>
      <c r="I59" s="189"/>
    </row>
    <row r="60" spans="1:9">
      <c r="A60" s="173" t="s">
        <v>701</v>
      </c>
      <c r="B60" s="174"/>
      <c r="C60" s="189"/>
      <c r="D60" s="189"/>
      <c r="E60" s="189">
        <v>0</v>
      </c>
      <c r="F60" s="189"/>
      <c r="G60" s="189"/>
      <c r="H60" s="189"/>
      <c r="I60" s="189">
        <v>65</v>
      </c>
    </row>
    <row r="61" spans="1:9">
      <c r="A61" s="173" t="s">
        <v>729</v>
      </c>
      <c r="B61" s="174"/>
      <c r="C61" s="189">
        <v>218032</v>
      </c>
      <c r="D61" s="189">
        <v>53586</v>
      </c>
      <c r="E61" s="189">
        <v>132432</v>
      </c>
      <c r="F61" s="189">
        <v>968707</v>
      </c>
      <c r="G61" s="189">
        <v>728972</v>
      </c>
      <c r="H61" s="189">
        <v>472252</v>
      </c>
      <c r="I61" s="189">
        <v>204708</v>
      </c>
    </row>
    <row r="62" spans="1:9">
      <c r="A62" s="173" t="s">
        <v>785</v>
      </c>
      <c r="B62" s="174"/>
      <c r="C62" s="189"/>
      <c r="D62" s="189"/>
      <c r="E62" s="189">
        <v>0</v>
      </c>
      <c r="F62" s="189"/>
      <c r="G62" s="189"/>
      <c r="H62" s="189"/>
      <c r="I62" s="189"/>
    </row>
    <row r="63" spans="1:9">
      <c r="A63" s="173" t="s">
        <v>775</v>
      </c>
      <c r="B63" s="174"/>
      <c r="C63" s="189"/>
      <c r="D63" s="189"/>
      <c r="E63" s="189">
        <v>2219</v>
      </c>
      <c r="F63" s="189">
        <v>2236</v>
      </c>
      <c r="G63" s="189">
        <v>2485</v>
      </c>
      <c r="H63" s="189">
        <v>2548</v>
      </c>
      <c r="I63" s="189">
        <v>2591</v>
      </c>
    </row>
    <row r="64" spans="1:9">
      <c r="A64" s="173" t="s">
        <v>731</v>
      </c>
      <c r="B64" s="174"/>
      <c r="C64" s="189">
        <v>13238</v>
      </c>
      <c r="D64" s="189">
        <v>13425</v>
      </c>
      <c r="E64" s="189">
        <v>12542</v>
      </c>
      <c r="F64" s="189">
        <v>9362</v>
      </c>
      <c r="G64" s="189">
        <v>6238</v>
      </c>
      <c r="H64" s="189">
        <v>3242</v>
      </c>
      <c r="I64" s="189">
        <v>938</v>
      </c>
    </row>
    <row r="65" spans="1:10" ht="15" thickBot="1">
      <c r="A65" s="173" t="s">
        <v>730</v>
      </c>
      <c r="B65" s="174"/>
      <c r="C65" s="189">
        <v>226548</v>
      </c>
      <c r="D65" s="189">
        <v>184030</v>
      </c>
      <c r="E65" s="189">
        <v>211222</v>
      </c>
      <c r="F65" s="189">
        <v>220636</v>
      </c>
      <c r="G65" s="189">
        <v>313650</v>
      </c>
      <c r="H65" s="189">
        <v>370252</v>
      </c>
      <c r="I65" s="189">
        <v>414835</v>
      </c>
    </row>
    <row r="66" spans="1:10" ht="15" thickBot="1">
      <c r="A66" s="177" t="s">
        <v>706</v>
      </c>
      <c r="B66" s="170"/>
      <c r="C66" s="178">
        <f t="shared" ref="C66:I66" si="4">SUM(C67:C84)</f>
        <v>5011242</v>
      </c>
      <c r="D66" s="178">
        <f t="shared" si="4"/>
        <v>12103894</v>
      </c>
      <c r="E66" s="178">
        <f t="shared" si="4"/>
        <v>13237010</v>
      </c>
      <c r="F66" s="178">
        <f t="shared" si="4"/>
        <v>12279209</v>
      </c>
      <c r="G66" s="178">
        <f t="shared" si="4"/>
        <v>14305855</v>
      </c>
      <c r="H66" s="178">
        <f t="shared" si="4"/>
        <v>14345851</v>
      </c>
      <c r="I66" s="178">
        <f t="shared" si="4"/>
        <v>15781914</v>
      </c>
      <c r="J66" s="111"/>
    </row>
    <row r="67" spans="1:10">
      <c r="A67" s="182" t="s">
        <v>716</v>
      </c>
      <c r="B67" s="170"/>
      <c r="C67" s="199">
        <v>290061</v>
      </c>
      <c r="D67" s="199">
        <v>261055</v>
      </c>
      <c r="E67" s="199">
        <v>232049</v>
      </c>
      <c r="F67" s="200">
        <v>203043</v>
      </c>
      <c r="G67" s="200">
        <v>174037</v>
      </c>
      <c r="H67" s="200">
        <v>145031</v>
      </c>
      <c r="I67" s="200">
        <v>116024</v>
      </c>
    </row>
    <row r="68" spans="1:10">
      <c r="A68" s="173" t="s">
        <v>718</v>
      </c>
      <c r="B68" s="174"/>
      <c r="C68" s="201">
        <v>50970</v>
      </c>
      <c r="D68" s="199">
        <v>46886</v>
      </c>
      <c r="E68" s="199">
        <v>43961</v>
      </c>
      <c r="F68" s="200">
        <v>40988</v>
      </c>
      <c r="G68" s="200">
        <v>37966</v>
      </c>
      <c r="H68" s="200">
        <v>34893</v>
      </c>
      <c r="I68" s="200">
        <v>31769</v>
      </c>
    </row>
    <row r="69" spans="1:10">
      <c r="A69" s="173" t="s">
        <v>719</v>
      </c>
      <c r="B69" s="174"/>
      <c r="C69" s="201"/>
      <c r="D69" s="199">
        <v>6930913</v>
      </c>
      <c r="E69" s="199">
        <v>7915564</v>
      </c>
      <c r="F69" s="200">
        <v>7924222</v>
      </c>
      <c r="G69" s="200">
        <v>9545531</v>
      </c>
      <c r="H69" s="200">
        <v>9611894</v>
      </c>
      <c r="I69" s="200">
        <v>11197972</v>
      </c>
    </row>
    <row r="70" spans="1:10">
      <c r="A70" s="173" t="s">
        <v>721</v>
      </c>
      <c r="B70" s="174"/>
      <c r="C70" s="201">
        <v>5634</v>
      </c>
      <c r="D70" s="199">
        <v>5366</v>
      </c>
      <c r="E70" s="199">
        <v>5098</v>
      </c>
      <c r="F70" s="200">
        <v>4829</v>
      </c>
      <c r="G70" s="200">
        <v>3446</v>
      </c>
      <c r="H70" s="200">
        <v>3184</v>
      </c>
      <c r="I70" s="200">
        <v>2983</v>
      </c>
    </row>
    <row r="71" spans="1:10">
      <c r="A71" s="173" t="s">
        <v>786</v>
      </c>
      <c r="B71" s="174"/>
      <c r="C71" s="201"/>
      <c r="D71" s="201"/>
      <c r="E71" s="199">
        <v>0</v>
      </c>
      <c r="F71" s="200"/>
      <c r="G71" s="200"/>
      <c r="H71" s="200"/>
      <c r="I71" s="200"/>
    </row>
    <row r="72" spans="1:10">
      <c r="A72" s="173" t="s">
        <v>750</v>
      </c>
      <c r="B72" s="174"/>
      <c r="C72" s="201"/>
      <c r="D72" s="201"/>
      <c r="E72" s="199"/>
      <c r="F72" s="200">
        <v>0</v>
      </c>
      <c r="G72" s="200"/>
      <c r="H72" s="200"/>
      <c r="I72" s="200"/>
    </row>
    <row r="73" spans="1:10">
      <c r="A73" s="173" t="s">
        <v>701</v>
      </c>
      <c r="B73" s="174"/>
      <c r="C73" s="201"/>
      <c r="D73" s="201"/>
      <c r="E73" s="201"/>
      <c r="F73" s="201">
        <v>0</v>
      </c>
      <c r="G73" s="201"/>
      <c r="H73" s="201"/>
      <c r="I73" s="201"/>
    </row>
    <row r="74" spans="1:10">
      <c r="A74" s="173" t="s">
        <v>785</v>
      </c>
      <c r="B74" s="174"/>
      <c r="C74" s="201">
        <v>1364464</v>
      </c>
      <c r="D74" s="201">
        <v>1412738</v>
      </c>
      <c r="E74" s="201">
        <v>1982363</v>
      </c>
      <c r="F74" s="201">
        <v>2025310</v>
      </c>
      <c r="G74" s="201">
        <v>2048712</v>
      </c>
      <c r="H74" s="201">
        <v>2075530</v>
      </c>
      <c r="I74" s="201">
        <v>2082138</v>
      </c>
    </row>
    <row r="75" spans="1:10">
      <c r="A75" s="173" t="s">
        <v>720</v>
      </c>
      <c r="B75" s="174"/>
      <c r="C75" s="201">
        <v>254440</v>
      </c>
      <c r="D75" s="201">
        <v>312917</v>
      </c>
      <c r="E75" s="201">
        <v>112432</v>
      </c>
      <c r="F75" s="201">
        <v>37025</v>
      </c>
      <c r="G75" s="201">
        <v>431761</v>
      </c>
      <c r="H75" s="201">
        <v>358322</v>
      </c>
      <c r="I75" s="201">
        <v>231954</v>
      </c>
    </row>
    <row r="76" spans="1:10">
      <c r="A76" s="173" t="s">
        <v>759</v>
      </c>
      <c r="B76" s="174"/>
      <c r="C76" s="201"/>
      <c r="D76" s="201"/>
      <c r="E76" s="201">
        <v>0</v>
      </c>
      <c r="F76" s="201"/>
      <c r="G76" s="201"/>
      <c r="H76" s="201"/>
      <c r="I76" s="201"/>
    </row>
    <row r="77" spans="1:10">
      <c r="A77" s="173" t="s">
        <v>725</v>
      </c>
      <c r="B77" s="174"/>
      <c r="C77" s="201"/>
      <c r="D77" s="201"/>
      <c r="E77" s="201">
        <v>0</v>
      </c>
      <c r="F77" s="201"/>
      <c r="G77" s="201"/>
      <c r="H77" s="201"/>
      <c r="I77" s="201"/>
    </row>
    <row r="78" spans="1:10">
      <c r="A78" s="173" t="s">
        <v>724</v>
      </c>
      <c r="B78" s="174"/>
      <c r="C78" s="201">
        <v>36633</v>
      </c>
      <c r="D78" s="201">
        <v>64163</v>
      </c>
      <c r="E78" s="200">
        <v>70894</v>
      </c>
      <c r="F78" s="201">
        <v>81189</v>
      </c>
      <c r="G78" s="201">
        <v>64817</v>
      </c>
      <c r="H78" s="201">
        <v>75413</v>
      </c>
      <c r="I78" s="201">
        <v>83938</v>
      </c>
    </row>
    <row r="79" spans="1:10">
      <c r="A79" s="173" t="s">
        <v>701</v>
      </c>
      <c r="B79" s="174"/>
      <c r="C79" s="201"/>
      <c r="D79" s="201"/>
      <c r="E79" s="200"/>
      <c r="F79" s="201"/>
      <c r="G79" s="201"/>
      <c r="H79" s="201"/>
      <c r="I79" s="201">
        <v>23797</v>
      </c>
    </row>
    <row r="80" spans="1:10">
      <c r="A80" s="173" t="s">
        <v>729</v>
      </c>
      <c r="B80" s="174"/>
      <c r="C80" s="201">
        <v>2807467</v>
      </c>
      <c r="D80" s="201">
        <v>2869501</v>
      </c>
      <c r="E80" s="201">
        <v>2663331</v>
      </c>
      <c r="F80" s="368">
        <v>1751092</v>
      </c>
      <c r="G80" s="368">
        <v>1795557</v>
      </c>
      <c r="H80" s="368">
        <v>1834249</v>
      </c>
      <c r="I80" s="368">
        <v>1804127</v>
      </c>
    </row>
    <row r="81" spans="1:9">
      <c r="A81" s="173" t="s">
        <v>760</v>
      </c>
      <c r="B81" s="174"/>
      <c r="C81" s="201"/>
      <c r="D81" s="201"/>
      <c r="E81" s="201">
        <v>0</v>
      </c>
      <c r="F81" s="201"/>
      <c r="G81" s="201"/>
      <c r="H81" s="201"/>
      <c r="I81" s="201"/>
    </row>
    <row r="82" spans="1:9">
      <c r="A82" s="173" t="s">
        <v>775</v>
      </c>
      <c r="B82" s="174"/>
      <c r="C82" s="201">
        <v>162522</v>
      </c>
      <c r="D82" s="201">
        <v>164181</v>
      </c>
      <c r="E82" s="201">
        <v>164252</v>
      </c>
      <c r="F82" s="201">
        <v>166249</v>
      </c>
      <c r="G82" s="201">
        <v>159084</v>
      </c>
      <c r="H82" s="201">
        <v>160331</v>
      </c>
      <c r="I82" s="201">
        <v>161598</v>
      </c>
    </row>
    <row r="83" spans="1:9">
      <c r="A83" s="173" t="s">
        <v>730</v>
      </c>
      <c r="B83" s="174"/>
      <c r="C83" s="201">
        <v>32569</v>
      </c>
      <c r="D83" s="201">
        <v>33123</v>
      </c>
      <c r="E83" s="201">
        <v>46408</v>
      </c>
      <c r="F83" s="201">
        <v>44756</v>
      </c>
      <c r="G83" s="201">
        <v>43865</v>
      </c>
      <c r="H83" s="201">
        <v>44072</v>
      </c>
      <c r="I83" s="201">
        <v>42889</v>
      </c>
    </row>
    <row r="84" spans="1:9" ht="15" thickBot="1">
      <c r="A84" s="173" t="s">
        <v>731</v>
      </c>
      <c r="B84" s="174"/>
      <c r="C84" s="201">
        <v>6482</v>
      </c>
      <c r="D84" s="201">
        <v>3051</v>
      </c>
      <c r="E84" s="368">
        <v>658</v>
      </c>
      <c r="F84" s="201">
        <v>506</v>
      </c>
      <c r="G84" s="201">
        <v>1079</v>
      </c>
      <c r="H84" s="201">
        <v>2932</v>
      </c>
      <c r="I84" s="201">
        <v>2725</v>
      </c>
    </row>
    <row r="85" spans="1:9" ht="15" thickBot="1">
      <c r="A85" s="177" t="s">
        <v>734</v>
      </c>
      <c r="B85" s="170"/>
      <c r="C85" s="178">
        <f t="shared" ref="C85:D85" si="5">SUM(C86:C94)</f>
        <v>5150371</v>
      </c>
      <c r="D85" s="178">
        <f t="shared" si="5"/>
        <v>5090247</v>
      </c>
      <c r="E85" s="178">
        <f>SUM(E86:E94)</f>
        <v>4668009</v>
      </c>
      <c r="F85" s="178">
        <f>SUM(F86:F94)</f>
        <v>4589948</v>
      </c>
      <c r="G85" s="178">
        <f>SUM(G86:G94)</f>
        <v>4540060</v>
      </c>
      <c r="H85" s="178">
        <f>SUM(H86:H94)</f>
        <v>4481975</v>
      </c>
      <c r="I85" s="178">
        <f>SUM(I86:I94)</f>
        <v>4365678</v>
      </c>
    </row>
    <row r="86" spans="1:9">
      <c r="A86" s="173" t="s">
        <v>796</v>
      </c>
      <c r="B86" s="174"/>
      <c r="C86" s="189"/>
      <c r="D86" s="189"/>
      <c r="E86" s="189">
        <v>5664952</v>
      </c>
      <c r="F86" s="189">
        <v>5664952</v>
      </c>
      <c r="G86" s="189">
        <v>3509456</v>
      </c>
      <c r="H86" s="189"/>
      <c r="I86" s="189"/>
    </row>
    <row r="87" spans="1:9">
      <c r="A87" s="173" t="s">
        <v>736</v>
      </c>
      <c r="B87" s="174"/>
      <c r="C87" s="189"/>
      <c r="D87" s="189"/>
      <c r="E87" s="189"/>
      <c r="F87" s="189"/>
      <c r="G87" s="189"/>
      <c r="H87" s="189">
        <v>3510182</v>
      </c>
      <c r="I87" s="189">
        <v>3511078</v>
      </c>
    </row>
    <row r="88" spans="1:9">
      <c r="A88" s="173" t="s">
        <v>735</v>
      </c>
      <c r="B88" s="174"/>
      <c r="C88" s="189">
        <v>5664952</v>
      </c>
      <c r="D88" s="189">
        <v>5664952</v>
      </c>
      <c r="E88" s="189">
        <v>3508086</v>
      </c>
      <c r="F88" s="189">
        <v>3508722</v>
      </c>
      <c r="G88" s="189">
        <v>5664952</v>
      </c>
      <c r="H88" s="189">
        <v>5664952</v>
      </c>
      <c r="I88" s="189">
        <v>5664952</v>
      </c>
    </row>
    <row r="89" spans="1:9">
      <c r="A89" s="173" t="s">
        <v>763</v>
      </c>
      <c r="B89" s="174"/>
      <c r="C89" s="189">
        <v>55918</v>
      </c>
      <c r="D89" s="189">
        <v>52684</v>
      </c>
      <c r="E89" s="189">
        <v>49634</v>
      </c>
      <c r="F89" s="189">
        <v>46745</v>
      </c>
      <c r="G89" s="189">
        <v>44167</v>
      </c>
      <c r="H89" s="189">
        <v>41683</v>
      </c>
      <c r="I89" s="189">
        <v>42170</v>
      </c>
    </row>
    <row r="90" spans="1:9">
      <c r="A90" s="173" t="s">
        <v>765</v>
      </c>
      <c r="B90" s="174"/>
      <c r="C90" s="189">
        <v>3507653</v>
      </c>
      <c r="D90" s="189">
        <v>3507653</v>
      </c>
      <c r="E90" s="189">
        <v>0</v>
      </c>
      <c r="F90" s="189"/>
      <c r="G90" s="189"/>
      <c r="H90" s="189">
        <v>0</v>
      </c>
      <c r="I90" s="189"/>
    </row>
    <row r="91" spans="1:9">
      <c r="A91" s="173" t="s">
        <v>778</v>
      </c>
      <c r="B91" s="174"/>
      <c r="C91" s="189">
        <v>35769</v>
      </c>
      <c r="D91" s="189">
        <v>35769</v>
      </c>
      <c r="E91" s="189">
        <v>35769</v>
      </c>
      <c r="F91" s="189">
        <v>35769</v>
      </c>
      <c r="G91" s="189">
        <v>37601</v>
      </c>
      <c r="H91" s="189">
        <v>37601</v>
      </c>
      <c r="I91" s="189">
        <v>14020</v>
      </c>
    </row>
    <row r="92" spans="1:9">
      <c r="A92" s="173" t="s">
        <v>791</v>
      </c>
      <c r="B92" s="174"/>
      <c r="C92" s="189">
        <v>-4113921</v>
      </c>
      <c r="D92" s="189">
        <v>-4110687</v>
      </c>
      <c r="E92" s="189">
        <v>-4107636.0000000005</v>
      </c>
      <c r="F92" s="189">
        <v>-4104748</v>
      </c>
      <c r="G92" s="189">
        <v>-4102169</v>
      </c>
      <c r="H92" s="189">
        <v>-4713632</v>
      </c>
      <c r="I92" s="189">
        <v>-4714119</v>
      </c>
    </row>
    <row r="93" spans="1:9">
      <c r="A93" s="173" t="s">
        <v>787</v>
      </c>
      <c r="B93" s="174"/>
      <c r="C93" s="189"/>
      <c r="D93" s="189"/>
      <c r="E93" s="189"/>
      <c r="F93" s="189"/>
      <c r="G93" s="189"/>
      <c r="H93" s="189"/>
      <c r="I93" s="189"/>
    </row>
    <row r="94" spans="1:9" ht="15" thickBot="1">
      <c r="A94" s="173" t="s">
        <v>779</v>
      </c>
      <c r="B94" s="174"/>
      <c r="C94" s="189"/>
      <c r="D94" s="189">
        <v>-60124</v>
      </c>
      <c r="E94" s="189">
        <v>-482796</v>
      </c>
      <c r="F94" s="189">
        <v>-561492</v>
      </c>
      <c r="G94" s="189">
        <v>-613947</v>
      </c>
      <c r="H94" s="189">
        <v>-58811</v>
      </c>
      <c r="I94" s="189">
        <v>-152423</v>
      </c>
    </row>
    <row r="95" spans="1:9" ht="15" thickBot="1">
      <c r="A95" s="177" t="s">
        <v>740</v>
      </c>
      <c r="B95" s="170"/>
      <c r="C95" s="178">
        <f t="shared" ref="C95:H95" si="6">C85+C66+C46</f>
        <v>19483678</v>
      </c>
      <c r="D95" s="178">
        <f t="shared" si="6"/>
        <v>19948625</v>
      </c>
      <c r="E95" s="178">
        <f t="shared" si="6"/>
        <v>21311209</v>
      </c>
      <c r="F95" s="178">
        <f t="shared" si="6"/>
        <v>21115776</v>
      </c>
      <c r="G95" s="178">
        <f t="shared" si="6"/>
        <v>22311645</v>
      </c>
      <c r="H95" s="178">
        <f t="shared" si="6"/>
        <v>21902897</v>
      </c>
      <c r="I95" s="178">
        <f t="shared" ref="I95" si="7">I85+I66+I46</f>
        <v>23412209</v>
      </c>
    </row>
    <row r="96" spans="1:9">
      <c r="C96" s="189">
        <f t="shared" ref="C96:H96" si="8">C95-C43</f>
        <v>0</v>
      </c>
      <c r="D96" s="189">
        <f t="shared" si="8"/>
        <v>0</v>
      </c>
      <c r="E96" s="189">
        <f t="shared" si="8"/>
        <v>0</v>
      </c>
      <c r="F96" s="189">
        <f t="shared" si="8"/>
        <v>0</v>
      </c>
      <c r="G96" s="189">
        <f t="shared" si="8"/>
        <v>0</v>
      </c>
      <c r="H96" s="189">
        <f t="shared" si="8"/>
        <v>0</v>
      </c>
      <c r="I96" s="189">
        <f t="shared" ref="I96" si="9">I95-I43</f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9" tint="0.79998168889431442"/>
  </sheetPr>
  <dimension ref="A6:AF82"/>
  <sheetViews>
    <sheetView showGridLines="0" zoomScale="80" zoomScaleNormal="80" workbookViewId="0">
      <pane xSplit="1" ySplit="7" topLeftCell="B8" activePane="bottomRight" state="frozen"/>
      <selection pane="topRight" activeCell="I7" sqref="I7"/>
      <selection pane="bottomLeft" activeCell="I7" sqref="I7"/>
      <selection pane="bottomRight" activeCell="I11" sqref="I11"/>
    </sheetView>
  </sheetViews>
  <sheetFormatPr defaultColWidth="8.7265625" defaultRowHeight="14.5"/>
  <cols>
    <col min="1" max="1" width="42.81640625" customWidth="1"/>
    <col min="2" max="2" width="0.453125" customWidth="1"/>
    <col min="3" max="9" width="9.1796875" customWidth="1"/>
  </cols>
  <sheetData>
    <row r="6" spans="1:32">
      <c r="A6" s="41" t="s">
        <v>436</v>
      </c>
      <c r="B6" s="166"/>
      <c r="C6" s="167"/>
      <c r="D6" s="167"/>
      <c r="E6" s="167"/>
      <c r="F6" s="167"/>
      <c r="G6" s="167"/>
      <c r="H6" s="167"/>
      <c r="I6" s="167"/>
    </row>
    <row r="7" spans="1:32" ht="15" thickBot="1">
      <c r="A7" s="5" t="s">
        <v>689</v>
      </c>
      <c r="B7" s="168"/>
      <c r="C7" s="528" t="s">
        <v>48</v>
      </c>
      <c r="D7" s="528" t="s">
        <v>49</v>
      </c>
      <c r="E7" s="528" t="s">
        <v>50</v>
      </c>
      <c r="F7" s="528" t="s">
        <v>51</v>
      </c>
      <c r="G7" s="528" t="s">
        <v>52</v>
      </c>
      <c r="H7" s="528" t="s">
        <v>53</v>
      </c>
      <c r="I7" s="528" t="s">
        <v>54</v>
      </c>
      <c r="J7" s="405"/>
      <c r="K7" s="405"/>
      <c r="L7" s="405"/>
      <c r="M7" s="405"/>
      <c r="N7" s="405"/>
      <c r="O7" s="405"/>
      <c r="P7" s="405"/>
      <c r="Q7" s="405"/>
      <c r="R7" s="405"/>
      <c r="S7" s="405"/>
      <c r="T7" s="405"/>
      <c r="U7" s="405"/>
      <c r="V7" s="405"/>
      <c r="W7" s="405"/>
      <c r="X7" s="405"/>
      <c r="Y7" s="405"/>
      <c r="Z7" s="405"/>
      <c r="AA7" s="405"/>
      <c r="AB7" s="405"/>
      <c r="AC7" s="405"/>
      <c r="AD7" s="405"/>
      <c r="AE7" s="405"/>
      <c r="AF7" s="405"/>
    </row>
    <row r="8" spans="1:32" ht="15" thickBot="1">
      <c r="A8" s="169" t="s">
        <v>797</v>
      </c>
      <c r="B8" s="170"/>
      <c r="C8" s="171">
        <f t="shared" ref="C8:E8" si="0">SUM(C9:C20)</f>
        <v>86018</v>
      </c>
      <c r="D8" s="171">
        <f t="shared" si="0"/>
        <v>64901</v>
      </c>
      <c r="E8" s="171">
        <f t="shared" si="0"/>
        <v>88230</v>
      </c>
      <c r="F8" s="171">
        <f>SUM(F9:F20)</f>
        <v>183837.00891</v>
      </c>
      <c r="G8" s="171">
        <f>SUM(G9:G20)</f>
        <v>162655</v>
      </c>
      <c r="H8" s="171">
        <f>SUM(H9:H20)</f>
        <v>135889</v>
      </c>
      <c r="I8" s="171">
        <f>SUM(I9:I20)</f>
        <v>104774</v>
      </c>
      <c r="J8" s="406"/>
      <c r="K8" s="406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6"/>
      <c r="Z8" s="406"/>
      <c r="AA8" s="406"/>
      <c r="AB8" s="406"/>
      <c r="AC8" s="406"/>
      <c r="AD8" s="406"/>
      <c r="AE8" s="406"/>
      <c r="AF8" s="406"/>
    </row>
    <row r="9" spans="1:32">
      <c r="A9" s="3" t="s">
        <v>798</v>
      </c>
      <c r="B9" s="170"/>
      <c r="C9" s="404">
        <v>11222</v>
      </c>
      <c r="D9" s="404">
        <v>13950</v>
      </c>
      <c r="E9" s="404">
        <v>3854</v>
      </c>
      <c r="F9" s="404">
        <v>124475</v>
      </c>
      <c r="G9" s="404">
        <v>105622</v>
      </c>
      <c r="H9" s="404">
        <v>82386</v>
      </c>
      <c r="I9" s="404">
        <v>45534</v>
      </c>
    </row>
    <row r="10" spans="1:32">
      <c r="A10" s="3" t="s">
        <v>692</v>
      </c>
      <c r="B10" s="174"/>
      <c r="C10" s="404">
        <v>39553</v>
      </c>
      <c r="D10" s="404"/>
      <c r="E10" s="404">
        <v>31194</v>
      </c>
      <c r="F10" s="404">
        <v>12904</v>
      </c>
      <c r="G10" s="404">
        <v>12012</v>
      </c>
      <c r="H10" s="404">
        <v>6135</v>
      </c>
      <c r="I10" s="404">
        <v>3734</v>
      </c>
    </row>
    <row r="11" spans="1:32">
      <c r="A11" s="3" t="s">
        <v>799</v>
      </c>
      <c r="B11" s="174"/>
      <c r="C11" s="404">
        <v>27383</v>
      </c>
      <c r="D11" s="404">
        <v>41787</v>
      </c>
      <c r="E11" s="404">
        <v>43851</v>
      </c>
      <c r="F11" s="404">
        <v>37904.008910000004</v>
      </c>
      <c r="G11" s="404">
        <v>37352</v>
      </c>
      <c r="H11" s="404">
        <v>37830</v>
      </c>
      <c r="I11" s="404">
        <v>41276</v>
      </c>
    </row>
    <row r="12" spans="1:32">
      <c r="A12" s="3" t="s">
        <v>800</v>
      </c>
      <c r="B12" s="174"/>
      <c r="C12" s="404"/>
      <c r="D12" s="404"/>
      <c r="E12" s="404"/>
      <c r="F12" s="404"/>
      <c r="G12" s="404"/>
      <c r="H12" s="404"/>
      <c r="I12" s="404"/>
    </row>
    <row r="13" spans="1:32">
      <c r="A13" s="3" t="s">
        <v>704</v>
      </c>
      <c r="B13" s="174"/>
      <c r="C13" s="404">
        <v>2547</v>
      </c>
      <c r="D13" s="404">
        <v>2767</v>
      </c>
      <c r="E13" s="404">
        <v>2394</v>
      </c>
      <c r="F13" s="404">
        <v>2848</v>
      </c>
      <c r="G13" s="404">
        <v>2783</v>
      </c>
      <c r="H13" s="404">
        <v>3273</v>
      </c>
      <c r="I13" s="404">
        <v>3629</v>
      </c>
    </row>
    <row r="14" spans="1:32">
      <c r="A14" s="3" t="s">
        <v>703</v>
      </c>
      <c r="B14" s="174"/>
      <c r="C14" s="404"/>
      <c r="D14" s="404"/>
      <c r="E14" s="404">
        <v>15</v>
      </c>
      <c r="F14" s="404">
        <v>8</v>
      </c>
      <c r="G14" s="404">
        <v>8</v>
      </c>
      <c r="H14" s="404">
        <v>11</v>
      </c>
      <c r="I14" s="404">
        <v>11</v>
      </c>
    </row>
    <row r="15" spans="1:32">
      <c r="A15" s="3" t="s">
        <v>801</v>
      </c>
      <c r="B15" s="174"/>
      <c r="C15" s="404"/>
      <c r="D15" s="404"/>
      <c r="E15" s="404"/>
      <c r="F15" s="404"/>
      <c r="G15" s="404"/>
      <c r="H15" s="404"/>
      <c r="I15" s="404"/>
    </row>
    <row r="16" spans="1:32">
      <c r="A16" s="3" t="s">
        <v>789</v>
      </c>
      <c r="B16" s="174"/>
      <c r="C16" s="404">
        <v>4372</v>
      </c>
      <c r="D16" s="404">
        <v>4565</v>
      </c>
      <c r="E16" s="404">
        <v>4804</v>
      </c>
      <c r="F16" s="404">
        <v>4570</v>
      </c>
      <c r="G16" s="404">
        <v>3762</v>
      </c>
      <c r="H16" s="404">
        <v>3669</v>
      </c>
      <c r="I16" s="404">
        <v>8384</v>
      </c>
    </row>
    <row r="17" spans="1:32">
      <c r="A17" s="3" t="s">
        <v>802</v>
      </c>
      <c r="B17" s="174"/>
      <c r="C17" s="404"/>
      <c r="D17" s="404"/>
      <c r="E17" s="404"/>
      <c r="F17" s="404"/>
      <c r="G17" s="404"/>
      <c r="H17" s="404"/>
      <c r="I17" s="404"/>
    </row>
    <row r="18" spans="1:32">
      <c r="A18" s="3" t="s">
        <v>803</v>
      </c>
      <c r="B18" s="174"/>
      <c r="C18" s="404"/>
      <c r="D18" s="404"/>
      <c r="E18" s="404"/>
      <c r="F18" s="404"/>
      <c r="G18" s="404"/>
      <c r="H18" s="404"/>
      <c r="I18" s="404"/>
    </row>
    <row r="19" spans="1:32">
      <c r="A19" s="3" t="s">
        <v>804</v>
      </c>
      <c r="B19" s="174"/>
      <c r="C19" s="404"/>
      <c r="D19" s="404"/>
      <c r="E19" s="404"/>
      <c r="F19" s="404"/>
      <c r="G19" s="404"/>
      <c r="H19" s="404"/>
      <c r="I19" s="404"/>
    </row>
    <row r="20" spans="1:32" ht="15" thickBot="1">
      <c r="A20" s="3" t="s">
        <v>805</v>
      </c>
      <c r="B20" s="174"/>
      <c r="C20" s="404">
        <v>941</v>
      </c>
      <c r="D20" s="404">
        <v>1832</v>
      </c>
      <c r="E20" s="404">
        <v>2118</v>
      </c>
      <c r="F20" s="404">
        <v>1128</v>
      </c>
      <c r="G20" s="404">
        <v>1116</v>
      </c>
      <c r="H20" s="404">
        <v>2585</v>
      </c>
      <c r="I20" s="404">
        <v>2206</v>
      </c>
    </row>
    <row r="21" spans="1:32" ht="15" thickBot="1">
      <c r="A21" s="169" t="s">
        <v>806</v>
      </c>
      <c r="B21" s="170"/>
      <c r="C21" s="171">
        <f t="shared" ref="C21:H21" si="1">SUM(C22:C29)</f>
        <v>992424</v>
      </c>
      <c r="D21" s="171">
        <f t="shared" si="1"/>
        <v>1005792</v>
      </c>
      <c r="E21" s="171">
        <f t="shared" si="1"/>
        <v>1023453</v>
      </c>
      <c r="F21" s="171">
        <f t="shared" si="1"/>
        <v>1034688</v>
      </c>
      <c r="G21" s="171">
        <f t="shared" si="1"/>
        <v>1045173</v>
      </c>
      <c r="H21" s="171">
        <f t="shared" si="1"/>
        <v>1068166</v>
      </c>
      <c r="I21" s="171">
        <f>SUM(I22:I29)</f>
        <v>1100916</v>
      </c>
      <c r="J21" s="406"/>
      <c r="K21" s="406"/>
      <c r="L21" s="406"/>
      <c r="M21" s="406"/>
      <c r="N21" s="406"/>
      <c r="O21" s="406"/>
      <c r="P21" s="406"/>
      <c r="Q21" s="406"/>
      <c r="R21" s="406"/>
      <c r="S21" s="406"/>
      <c r="T21" s="406"/>
      <c r="U21" s="406"/>
      <c r="V21" s="406"/>
      <c r="W21" s="406"/>
      <c r="X21" s="406"/>
      <c r="Y21" s="406"/>
      <c r="Z21" s="406"/>
      <c r="AA21" s="406"/>
      <c r="AB21" s="406"/>
      <c r="AC21" s="406"/>
      <c r="AD21" s="406"/>
      <c r="AE21" s="406"/>
      <c r="AF21" s="406"/>
    </row>
    <row r="22" spans="1:32">
      <c r="A22" s="3" t="s">
        <v>807</v>
      </c>
      <c r="B22" s="170"/>
      <c r="C22" s="404"/>
      <c r="D22" s="404"/>
      <c r="E22" s="404"/>
      <c r="F22" s="404"/>
      <c r="G22" s="404"/>
      <c r="H22" s="404"/>
      <c r="I22" s="404">
        <v>2353</v>
      </c>
      <c r="J22" s="406"/>
      <c r="K22" s="406"/>
      <c r="L22" s="406"/>
      <c r="M22" s="406"/>
      <c r="N22" s="406"/>
      <c r="O22" s="406"/>
      <c r="P22" s="406"/>
      <c r="Q22" s="406"/>
      <c r="R22" s="406"/>
      <c r="S22" s="406"/>
      <c r="T22" s="406"/>
      <c r="U22" s="406"/>
      <c r="V22" s="406"/>
      <c r="W22" s="406"/>
      <c r="X22" s="406"/>
      <c r="Y22" s="406"/>
      <c r="Z22" s="406"/>
      <c r="AA22" s="406"/>
      <c r="AB22" s="406"/>
      <c r="AC22" s="406"/>
      <c r="AD22" s="406"/>
      <c r="AE22" s="406"/>
      <c r="AF22" s="406"/>
    </row>
    <row r="23" spans="1:32">
      <c r="A23" s="3" t="s">
        <v>704</v>
      </c>
      <c r="B23" s="170"/>
      <c r="C23" s="404"/>
      <c r="D23" s="404">
        <v>18</v>
      </c>
      <c r="E23" s="404">
        <v>18</v>
      </c>
      <c r="F23" s="404">
        <v>73</v>
      </c>
      <c r="G23" s="404">
        <v>63</v>
      </c>
      <c r="H23" s="404">
        <v>63</v>
      </c>
      <c r="I23" s="404">
        <v>63</v>
      </c>
      <c r="J23" s="406"/>
      <c r="K23" s="406"/>
      <c r="L23" s="406"/>
      <c r="M23" s="406"/>
      <c r="N23" s="406"/>
      <c r="O23" s="406"/>
      <c r="P23" s="406"/>
      <c r="Q23" s="406"/>
      <c r="R23" s="406"/>
      <c r="S23" s="406"/>
      <c r="T23" s="406"/>
      <c r="U23" s="406"/>
      <c r="V23" s="406"/>
      <c r="W23" s="406"/>
      <c r="X23" s="406"/>
      <c r="Y23" s="406"/>
      <c r="Z23" s="406"/>
      <c r="AA23" s="406"/>
      <c r="AB23" s="406"/>
      <c r="AC23" s="406"/>
      <c r="AD23" s="406"/>
      <c r="AE23" s="406"/>
      <c r="AF23" s="406"/>
    </row>
    <row r="24" spans="1:32">
      <c r="A24" s="3" t="s">
        <v>805</v>
      </c>
      <c r="B24" s="170"/>
      <c r="C24" s="404"/>
      <c r="D24" s="404">
        <v>7</v>
      </c>
      <c r="E24" s="404"/>
      <c r="F24" s="404"/>
      <c r="G24" s="404"/>
      <c r="H24" s="404">
        <v>8</v>
      </c>
      <c r="I24" s="404"/>
      <c r="J24" s="406"/>
      <c r="K24" s="406"/>
      <c r="L24" s="406"/>
      <c r="M24" s="406"/>
      <c r="N24" s="406"/>
      <c r="O24" s="406"/>
      <c r="P24" s="406"/>
      <c r="Q24" s="406"/>
      <c r="R24" s="406"/>
      <c r="S24" s="406"/>
      <c r="T24" s="406"/>
      <c r="U24" s="406"/>
      <c r="V24" s="406"/>
      <c r="W24" s="406"/>
      <c r="X24" s="406"/>
      <c r="Y24" s="406"/>
      <c r="Z24" s="406"/>
      <c r="AA24" s="406"/>
      <c r="AB24" s="406"/>
      <c r="AC24" s="406"/>
      <c r="AD24" s="406"/>
      <c r="AE24" s="406"/>
      <c r="AF24" s="406"/>
    </row>
    <row r="25" spans="1:32">
      <c r="A25" s="3" t="s">
        <v>769</v>
      </c>
      <c r="B25" s="170"/>
      <c r="C25" s="404">
        <v>61456</v>
      </c>
      <c r="D25" s="404">
        <v>76675</v>
      </c>
      <c r="E25" s="404">
        <v>101247</v>
      </c>
      <c r="F25" s="404">
        <v>119330</v>
      </c>
      <c r="G25" s="404">
        <v>134491</v>
      </c>
      <c r="H25" s="404">
        <v>154689</v>
      </c>
      <c r="I25" s="404">
        <v>188104</v>
      </c>
    </row>
    <row r="26" spans="1:32">
      <c r="A26" s="3" t="s">
        <v>709</v>
      </c>
      <c r="B26" s="170"/>
      <c r="C26" s="404"/>
      <c r="D26" s="404"/>
      <c r="E26" s="404"/>
      <c r="F26" s="404"/>
      <c r="G26" s="404"/>
      <c r="H26" s="404"/>
      <c r="I26" s="404"/>
    </row>
    <row r="27" spans="1:32">
      <c r="A27" s="3" t="s">
        <v>753</v>
      </c>
      <c r="B27" s="170"/>
      <c r="C27" s="404"/>
      <c r="D27" s="404"/>
      <c r="E27" s="404"/>
      <c r="F27" s="404">
        <v>0</v>
      </c>
      <c r="G27" s="404">
        <v>2163</v>
      </c>
      <c r="H27" s="404">
        <v>11928</v>
      </c>
      <c r="I27" s="404">
        <v>11553</v>
      </c>
    </row>
    <row r="28" spans="1:32">
      <c r="A28" s="3" t="s">
        <v>770</v>
      </c>
      <c r="B28" s="174"/>
      <c r="C28" s="404"/>
      <c r="D28" s="404"/>
      <c r="E28" s="404"/>
      <c r="F28" s="404">
        <v>4099</v>
      </c>
      <c r="G28" s="404">
        <v>4049</v>
      </c>
      <c r="H28" s="404">
        <v>3854</v>
      </c>
      <c r="I28" s="404">
        <v>7867</v>
      </c>
    </row>
    <row r="29" spans="1:32" ht="15" thickBot="1">
      <c r="A29" s="3" t="s">
        <v>711</v>
      </c>
      <c r="B29" s="174"/>
      <c r="C29" s="404">
        <v>930968</v>
      </c>
      <c r="D29" s="404">
        <v>929092</v>
      </c>
      <c r="E29" s="404">
        <v>922188</v>
      </c>
      <c r="F29" s="404">
        <v>911186</v>
      </c>
      <c r="G29" s="404">
        <v>904407</v>
      </c>
      <c r="H29" s="404">
        <v>897624</v>
      </c>
      <c r="I29" s="404">
        <v>890976</v>
      </c>
    </row>
    <row r="30" spans="1:32" ht="15" thickBot="1">
      <c r="A30" s="169" t="s">
        <v>808</v>
      </c>
      <c r="B30" s="170"/>
      <c r="C30" s="171">
        <f t="shared" ref="C30:E30" si="2">C8+C21</f>
        <v>1078442</v>
      </c>
      <c r="D30" s="171">
        <f t="shared" si="2"/>
        <v>1070693</v>
      </c>
      <c r="E30" s="171">
        <f t="shared" si="2"/>
        <v>1111683</v>
      </c>
      <c r="F30" s="171">
        <f>F8+F21</f>
        <v>1218525.0089100001</v>
      </c>
      <c r="G30" s="171">
        <f>G8+G21</f>
        <v>1207828</v>
      </c>
      <c r="H30" s="171">
        <f>H8+H21</f>
        <v>1204055</v>
      </c>
      <c r="I30" s="171">
        <f>I8+I21</f>
        <v>1205690</v>
      </c>
      <c r="J30" s="406"/>
      <c r="K30" s="406"/>
      <c r="L30" s="406"/>
      <c r="M30" s="406"/>
      <c r="N30" s="406"/>
      <c r="O30" s="406"/>
      <c r="P30" s="406"/>
      <c r="Q30" s="406"/>
      <c r="R30" s="406"/>
      <c r="S30" s="406"/>
      <c r="T30" s="406"/>
      <c r="U30" s="406"/>
      <c r="V30" s="406"/>
      <c r="W30" s="406"/>
      <c r="X30" s="406"/>
      <c r="Y30" s="406"/>
      <c r="Z30" s="406"/>
      <c r="AA30" s="406"/>
      <c r="AB30" s="406"/>
      <c r="AC30" s="406"/>
      <c r="AD30" s="406"/>
      <c r="AE30" s="406"/>
      <c r="AF30" s="406"/>
    </row>
    <row r="31" spans="1:32">
      <c r="A31" s="488"/>
      <c r="B31" s="174"/>
    </row>
    <row r="32" spans="1:32" ht="15" thickBot="1">
      <c r="A32" s="5" t="s">
        <v>715</v>
      </c>
      <c r="B32" s="168"/>
      <c r="C32" s="528" t="str">
        <f>C7</f>
        <v>4T22</v>
      </c>
      <c r="D32" s="528" t="str">
        <f>D7</f>
        <v>1T23</v>
      </c>
      <c r="E32" s="528" t="str">
        <f>E7</f>
        <v>2T23</v>
      </c>
      <c r="F32" s="528" t="s">
        <v>51</v>
      </c>
      <c r="G32" s="528" t="s">
        <v>52</v>
      </c>
      <c r="H32" s="528" t="s">
        <v>53</v>
      </c>
      <c r="I32" s="528" t="s">
        <v>54</v>
      </c>
      <c r="J32" s="405"/>
      <c r="K32" s="405"/>
      <c r="L32" s="405"/>
      <c r="M32" s="405"/>
      <c r="N32" s="405"/>
      <c r="O32" s="405"/>
      <c r="P32" s="405"/>
      <c r="Q32" s="405"/>
      <c r="R32" s="405"/>
      <c r="S32" s="405"/>
      <c r="T32" s="405"/>
      <c r="U32" s="405"/>
      <c r="V32" s="405"/>
      <c r="W32" s="405"/>
      <c r="X32" s="405"/>
      <c r="Y32" s="405"/>
      <c r="Z32" s="405"/>
      <c r="AA32" s="405"/>
      <c r="AB32" s="405"/>
      <c r="AC32" s="405"/>
      <c r="AD32" s="405"/>
      <c r="AE32" s="405"/>
      <c r="AF32" s="405"/>
    </row>
    <row r="33" spans="1:32" ht="15" thickBot="1">
      <c r="A33" s="169" t="s">
        <v>809</v>
      </c>
      <c r="B33" s="170"/>
      <c r="C33" s="171">
        <f t="shared" ref="C33:I33" si="3">SUM(C34:C44)</f>
        <v>16501</v>
      </c>
      <c r="D33" s="171">
        <f t="shared" si="3"/>
        <v>15437</v>
      </c>
      <c r="E33" s="171">
        <f t="shared" si="3"/>
        <v>1253831</v>
      </c>
      <c r="F33" s="171">
        <f t="shared" si="3"/>
        <v>1303028.0089100001</v>
      </c>
      <c r="G33" s="171">
        <f t="shared" si="3"/>
        <v>391170</v>
      </c>
      <c r="H33" s="171">
        <f t="shared" si="3"/>
        <v>402171</v>
      </c>
      <c r="I33" s="171">
        <f t="shared" si="3"/>
        <v>174761</v>
      </c>
      <c r="J33" s="406"/>
      <c r="K33" s="406"/>
      <c r="L33" s="406"/>
      <c r="M33" s="406"/>
      <c r="N33" s="406"/>
      <c r="O33" s="406"/>
      <c r="P33" s="406"/>
      <c r="Q33" s="406"/>
      <c r="R33" s="406"/>
      <c r="S33" s="406"/>
      <c r="T33" s="406"/>
      <c r="U33" s="406"/>
      <c r="V33" s="406"/>
      <c r="W33" s="406"/>
      <c r="X33" s="406"/>
      <c r="Y33" s="406"/>
      <c r="Z33" s="406"/>
      <c r="AA33" s="406"/>
      <c r="AB33" s="406"/>
      <c r="AC33" s="406"/>
      <c r="AD33" s="406"/>
      <c r="AE33" s="406"/>
      <c r="AF33" s="406"/>
    </row>
    <row r="34" spans="1:32">
      <c r="A34" s="3" t="s">
        <v>716</v>
      </c>
      <c r="B34" s="174"/>
      <c r="C34" s="404">
        <v>12735</v>
      </c>
      <c r="D34" s="404">
        <v>10057</v>
      </c>
      <c r="E34" s="404">
        <v>17255</v>
      </c>
      <c r="F34" s="404">
        <v>19827</v>
      </c>
      <c r="G34" s="404">
        <v>25206</v>
      </c>
      <c r="H34" s="404">
        <v>23775</v>
      </c>
      <c r="I34" s="404">
        <v>36113</v>
      </c>
    </row>
    <row r="35" spans="1:32">
      <c r="A35" s="3" t="s">
        <v>718</v>
      </c>
      <c r="B35" s="174"/>
      <c r="C35" s="404">
        <v>7</v>
      </c>
      <c r="D35" s="404">
        <v>62</v>
      </c>
      <c r="E35" s="404">
        <v>23</v>
      </c>
      <c r="F35" s="404">
        <v>263</v>
      </c>
      <c r="G35" s="404">
        <v>266</v>
      </c>
      <c r="H35" s="404">
        <v>590</v>
      </c>
      <c r="I35" s="404">
        <v>366</v>
      </c>
    </row>
    <row r="36" spans="1:32">
      <c r="A36" s="3" t="s">
        <v>719</v>
      </c>
      <c r="B36" s="174"/>
      <c r="C36" s="404">
        <v>-1094</v>
      </c>
      <c r="D36" s="404">
        <v>-1094</v>
      </c>
      <c r="E36" s="404">
        <v>1231567</v>
      </c>
      <c r="F36" s="404">
        <v>1276510</v>
      </c>
      <c r="G36" s="404">
        <v>358040</v>
      </c>
      <c r="H36" s="404">
        <v>368901</v>
      </c>
      <c r="I36" s="404">
        <v>127561</v>
      </c>
    </row>
    <row r="37" spans="1:32">
      <c r="A37" s="3" t="s">
        <v>810</v>
      </c>
      <c r="B37" s="174"/>
      <c r="C37" s="404"/>
      <c r="D37" s="404"/>
      <c r="E37" s="404"/>
      <c r="F37" s="404"/>
      <c r="G37" s="404"/>
      <c r="H37" s="404"/>
      <c r="I37" s="404"/>
    </row>
    <row r="38" spans="1:32">
      <c r="A38" s="3" t="s">
        <v>721</v>
      </c>
      <c r="B38" s="174"/>
      <c r="C38" s="404"/>
      <c r="D38" s="404"/>
      <c r="E38" s="404"/>
      <c r="F38" s="404"/>
      <c r="G38" s="404"/>
      <c r="H38" s="404"/>
      <c r="I38" s="404"/>
    </row>
    <row r="39" spans="1:32">
      <c r="A39" s="3" t="s">
        <v>771</v>
      </c>
      <c r="B39" s="174"/>
      <c r="C39" s="404">
        <v>2503</v>
      </c>
      <c r="D39" s="404">
        <v>2233</v>
      </c>
      <c r="E39" s="404">
        <v>1062</v>
      </c>
      <c r="F39" s="404">
        <v>1590</v>
      </c>
      <c r="G39" s="404">
        <v>1947</v>
      </c>
      <c r="H39" s="404">
        <v>1596</v>
      </c>
      <c r="I39" s="404">
        <v>2485</v>
      </c>
    </row>
    <row r="40" spans="1:32">
      <c r="A40" s="3" t="s">
        <v>811</v>
      </c>
      <c r="B40" s="170"/>
      <c r="C40" s="404">
        <v>1494</v>
      </c>
      <c r="D40" s="404">
        <v>2399</v>
      </c>
      <c r="E40" s="404">
        <v>2487</v>
      </c>
      <c r="F40" s="404">
        <v>2859</v>
      </c>
      <c r="G40" s="404">
        <v>1881</v>
      </c>
      <c r="H40" s="404">
        <v>2540</v>
      </c>
      <c r="I40" s="404">
        <v>2497</v>
      </c>
    </row>
    <row r="41" spans="1:32">
      <c r="A41" s="3" t="s">
        <v>727</v>
      </c>
      <c r="B41" s="170"/>
      <c r="C41" s="404"/>
      <c r="D41" s="404">
        <v>1648</v>
      </c>
      <c r="E41" s="404">
        <v>1211</v>
      </c>
      <c r="F41" s="404">
        <v>1968</v>
      </c>
      <c r="G41" s="404">
        <v>2761</v>
      </c>
      <c r="H41" s="404">
        <v>3467</v>
      </c>
      <c r="I41" s="404">
        <v>4435</v>
      </c>
    </row>
    <row r="42" spans="1:32">
      <c r="A42" s="3" t="s">
        <v>812</v>
      </c>
      <c r="B42" s="174"/>
      <c r="C42" s="404"/>
      <c r="D42" s="404"/>
      <c r="E42" s="404"/>
      <c r="F42" s="404"/>
      <c r="G42" s="404">
        <v>1024</v>
      </c>
      <c r="H42" s="404">
        <v>1193</v>
      </c>
      <c r="I42" s="404">
        <v>1228</v>
      </c>
    </row>
    <row r="43" spans="1:32">
      <c r="A43" s="3" t="s">
        <v>813</v>
      </c>
      <c r="B43" s="174"/>
      <c r="C43" s="404"/>
      <c r="D43" s="404"/>
      <c r="E43" s="404"/>
      <c r="F43" s="404"/>
      <c r="G43" s="404"/>
      <c r="H43" s="404"/>
      <c r="I43" s="404"/>
    </row>
    <row r="44" spans="1:32" ht="15" customHeight="1" thickBot="1">
      <c r="A44" s="3" t="s">
        <v>730</v>
      </c>
      <c r="B44" s="174"/>
      <c r="C44" s="404">
        <v>856</v>
      </c>
      <c r="D44" s="404">
        <v>132</v>
      </c>
      <c r="E44" s="404">
        <v>226</v>
      </c>
      <c r="F44" s="404">
        <v>11.008910000000014</v>
      </c>
      <c r="G44" s="404">
        <v>45</v>
      </c>
      <c r="H44" s="404">
        <v>109</v>
      </c>
      <c r="I44" s="404">
        <v>76</v>
      </c>
    </row>
    <row r="45" spans="1:32" ht="15" thickBot="1">
      <c r="A45" s="169" t="s">
        <v>814</v>
      </c>
      <c r="B45" s="170"/>
      <c r="C45" s="171">
        <f t="shared" ref="C45:I45" si="4">SUM(C46:C56)</f>
        <v>1161003</v>
      </c>
      <c r="D45" s="171">
        <f t="shared" si="4"/>
        <v>1201578</v>
      </c>
      <c r="E45" s="171">
        <f t="shared" si="4"/>
        <v>10996</v>
      </c>
      <c r="F45" s="171">
        <f t="shared" si="4"/>
        <v>135236</v>
      </c>
      <c r="G45" s="171">
        <f t="shared" si="4"/>
        <v>1099226</v>
      </c>
      <c r="H45" s="171">
        <f t="shared" si="4"/>
        <v>1141270</v>
      </c>
      <c r="I45" s="171">
        <f t="shared" si="4"/>
        <v>1419329</v>
      </c>
      <c r="J45" s="406"/>
      <c r="K45" s="406"/>
      <c r="L45" s="406"/>
      <c r="M45" s="406"/>
      <c r="N45" s="406"/>
      <c r="O45" s="406"/>
      <c r="P45" s="406"/>
      <c r="Q45" s="406"/>
      <c r="R45" s="406"/>
      <c r="S45" s="406"/>
      <c r="T45" s="406"/>
      <c r="U45" s="406"/>
      <c r="V45" s="406"/>
      <c r="W45" s="406"/>
      <c r="X45" s="406"/>
      <c r="Y45" s="406"/>
      <c r="Z45" s="406"/>
      <c r="AA45" s="406"/>
      <c r="AB45" s="406"/>
      <c r="AC45" s="406"/>
      <c r="AD45" s="406"/>
      <c r="AE45" s="406"/>
      <c r="AF45" s="406"/>
    </row>
    <row r="46" spans="1:32">
      <c r="A46" s="3" t="s">
        <v>718</v>
      </c>
      <c r="B46" s="174"/>
      <c r="C46" s="404">
        <v>11080</v>
      </c>
      <c r="D46" s="404">
        <v>11072</v>
      </c>
      <c r="E46" s="404">
        <v>10696</v>
      </c>
      <c r="F46" s="404">
        <v>134892</v>
      </c>
      <c r="G46" s="404">
        <v>134670</v>
      </c>
      <c r="H46" s="404">
        <v>134686</v>
      </c>
      <c r="I46" s="404">
        <v>134692</v>
      </c>
    </row>
    <row r="47" spans="1:32">
      <c r="A47" s="3" t="s">
        <v>719</v>
      </c>
      <c r="B47" s="168"/>
      <c r="C47" s="404">
        <v>1148170</v>
      </c>
      <c r="D47" s="404">
        <v>1190352</v>
      </c>
      <c r="E47" s="404">
        <v>0</v>
      </c>
      <c r="F47" s="404"/>
      <c r="G47" s="404">
        <v>962871</v>
      </c>
      <c r="H47" s="404">
        <v>995228</v>
      </c>
      <c r="I47" s="404">
        <v>1273529</v>
      </c>
    </row>
    <row r="48" spans="1:32">
      <c r="A48" s="3" t="s">
        <v>815</v>
      </c>
      <c r="B48" s="170"/>
      <c r="C48" s="404"/>
      <c r="D48" s="404"/>
      <c r="E48" s="404"/>
      <c r="F48" s="404"/>
      <c r="G48" s="404"/>
      <c r="H48" s="404"/>
      <c r="I48" s="404"/>
    </row>
    <row r="49" spans="1:32">
      <c r="A49" s="3" t="s">
        <v>816</v>
      </c>
      <c r="B49" s="183"/>
      <c r="C49" s="404"/>
      <c r="D49" s="404"/>
      <c r="E49" s="404"/>
      <c r="F49" s="404"/>
      <c r="G49" s="404"/>
      <c r="H49" s="404"/>
      <c r="I49" s="404"/>
    </row>
    <row r="50" spans="1:32">
      <c r="A50" s="3" t="s">
        <v>817</v>
      </c>
      <c r="B50" s="183"/>
      <c r="C50" s="404">
        <v>36</v>
      </c>
      <c r="D50" s="404">
        <v>154</v>
      </c>
      <c r="E50" s="404">
        <v>300</v>
      </c>
      <c r="F50" s="404">
        <v>344</v>
      </c>
      <c r="G50" s="404">
        <v>386</v>
      </c>
      <c r="H50" s="404">
        <v>394</v>
      </c>
      <c r="I50" s="404">
        <v>466</v>
      </c>
    </row>
    <row r="51" spans="1:32">
      <c r="A51" s="3" t="s">
        <v>727</v>
      </c>
      <c r="B51" s="183"/>
      <c r="C51" s="404">
        <v>1717</v>
      </c>
      <c r="D51" s="404"/>
      <c r="E51" s="404"/>
      <c r="F51" s="404"/>
      <c r="G51" s="404"/>
      <c r="H51" s="404"/>
      <c r="I51" s="404"/>
    </row>
    <row r="52" spans="1:32">
      <c r="A52" s="3" t="s">
        <v>818</v>
      </c>
      <c r="B52" s="174"/>
      <c r="C52" s="404"/>
      <c r="D52" s="404"/>
      <c r="E52" s="404"/>
      <c r="F52" s="404"/>
      <c r="G52" s="404"/>
      <c r="H52" s="404"/>
      <c r="I52" s="404"/>
    </row>
    <row r="53" spans="1:32">
      <c r="A53" s="3" t="s">
        <v>813</v>
      </c>
      <c r="B53" s="174"/>
      <c r="C53" s="404"/>
      <c r="D53" s="404"/>
      <c r="E53" s="404"/>
      <c r="F53" s="404"/>
      <c r="G53" s="404"/>
      <c r="H53" s="404"/>
      <c r="I53" s="404"/>
    </row>
    <row r="54" spans="1:32">
      <c r="A54" s="3" t="s">
        <v>812</v>
      </c>
      <c r="B54" s="174"/>
      <c r="C54" s="404"/>
      <c r="D54" s="404"/>
      <c r="E54" s="404"/>
      <c r="F54" s="404"/>
      <c r="G54" s="404">
        <v>1299</v>
      </c>
      <c r="H54" s="404">
        <v>10962</v>
      </c>
      <c r="I54" s="404">
        <v>10642</v>
      </c>
    </row>
    <row r="55" spans="1:32">
      <c r="A55" s="3" t="s">
        <v>810</v>
      </c>
      <c r="B55" s="174"/>
      <c r="C55" s="404"/>
      <c r="D55" s="404"/>
      <c r="E55" s="404"/>
      <c r="F55" s="404"/>
      <c r="G55" s="404"/>
      <c r="H55" s="404"/>
      <c r="I55" s="404"/>
    </row>
    <row r="56" spans="1:32" ht="15" thickBot="1">
      <c r="A56" s="3" t="s">
        <v>730</v>
      </c>
      <c r="B56" s="174"/>
      <c r="C56" s="404"/>
      <c r="D56" s="404"/>
      <c r="E56" s="404"/>
      <c r="F56" s="404"/>
      <c r="G56" s="404"/>
      <c r="H56" s="404"/>
      <c r="I56" s="404"/>
    </row>
    <row r="57" spans="1:32" ht="15" thickBot="1">
      <c r="A57" s="169" t="s">
        <v>819</v>
      </c>
      <c r="B57" s="170"/>
      <c r="C57" s="171">
        <f t="shared" ref="C57:I57" si="5">+C33+C45</f>
        <v>1177504</v>
      </c>
      <c r="D57" s="171">
        <f t="shared" si="5"/>
        <v>1217015</v>
      </c>
      <c r="E57" s="171">
        <f t="shared" si="5"/>
        <v>1264827</v>
      </c>
      <c r="F57" s="171">
        <f t="shared" si="5"/>
        <v>1438264.0089100001</v>
      </c>
      <c r="G57" s="171">
        <f t="shared" si="5"/>
        <v>1490396</v>
      </c>
      <c r="H57" s="171">
        <f t="shared" si="5"/>
        <v>1543441</v>
      </c>
      <c r="I57" s="171">
        <f t="shared" si="5"/>
        <v>1594090</v>
      </c>
      <c r="J57" s="406"/>
      <c r="K57" s="406"/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6"/>
      <c r="Y57" s="406"/>
      <c r="Z57" s="406"/>
      <c r="AA57" s="406"/>
      <c r="AB57" s="406"/>
      <c r="AC57" s="406"/>
      <c r="AD57" s="406"/>
      <c r="AE57" s="406"/>
      <c r="AF57" s="406"/>
    </row>
    <row r="58" spans="1:32">
      <c r="A58" s="3" t="s">
        <v>762</v>
      </c>
      <c r="B58" s="174"/>
      <c r="C58" s="404">
        <v>50000</v>
      </c>
      <c r="D58" s="404">
        <v>50000</v>
      </c>
      <c r="E58" s="404">
        <v>100000</v>
      </c>
      <c r="F58" s="404">
        <v>100000</v>
      </c>
      <c r="G58" s="404">
        <v>100000</v>
      </c>
      <c r="H58" s="404">
        <v>100000</v>
      </c>
      <c r="I58" s="404">
        <v>100000</v>
      </c>
    </row>
    <row r="59" spans="1:32">
      <c r="A59" s="3" t="s">
        <v>764</v>
      </c>
      <c r="B59" s="174"/>
      <c r="C59" s="404">
        <v>722</v>
      </c>
      <c r="D59" s="404">
        <v>919</v>
      </c>
      <c r="E59" s="404">
        <v>1043</v>
      </c>
      <c r="F59" s="404">
        <v>1167</v>
      </c>
      <c r="G59" s="404">
        <v>1296</v>
      </c>
      <c r="H59" s="404">
        <v>1407</v>
      </c>
      <c r="I59" s="404">
        <v>1475</v>
      </c>
    </row>
    <row r="60" spans="1:32">
      <c r="A60" s="3" t="s">
        <v>791</v>
      </c>
      <c r="B60" s="174"/>
      <c r="C60" s="404">
        <v>-3629</v>
      </c>
      <c r="D60" s="404">
        <v>-149785</v>
      </c>
      <c r="E60" s="404">
        <v>-149785</v>
      </c>
      <c r="F60" s="404">
        <v>-149785</v>
      </c>
      <c r="G60" s="404">
        <v>-383864</v>
      </c>
      <c r="H60" s="404">
        <v>-383864</v>
      </c>
      <c r="I60" s="404">
        <v>-383864</v>
      </c>
    </row>
    <row r="61" spans="1:32" ht="15" thickBot="1">
      <c r="A61" s="3" t="s">
        <v>604</v>
      </c>
      <c r="B61" s="174"/>
      <c r="C61" s="404">
        <v>-146155</v>
      </c>
      <c r="D61" s="404">
        <v>-47456</v>
      </c>
      <c r="E61" s="404">
        <v>-104402</v>
      </c>
      <c r="F61" s="404">
        <v>-171121</v>
      </c>
      <c r="G61" s="404">
        <v>0</v>
      </c>
      <c r="H61" s="404">
        <v>-56929</v>
      </c>
      <c r="I61" s="404">
        <v>-106011</v>
      </c>
    </row>
    <row r="62" spans="1:32" ht="15" thickBot="1">
      <c r="A62" s="169" t="s">
        <v>820</v>
      </c>
      <c r="B62" s="170"/>
      <c r="C62" s="171">
        <f t="shared" ref="C62:H62" si="6">SUM(C58:C61)</f>
        <v>-99062</v>
      </c>
      <c r="D62" s="171">
        <f t="shared" si="6"/>
        <v>-146322</v>
      </c>
      <c r="E62" s="171">
        <f t="shared" si="6"/>
        <v>-153144</v>
      </c>
      <c r="F62" s="171">
        <f t="shared" si="6"/>
        <v>-219739</v>
      </c>
      <c r="G62" s="171">
        <f t="shared" si="6"/>
        <v>-282568</v>
      </c>
      <c r="H62" s="171">
        <f t="shared" si="6"/>
        <v>-339386</v>
      </c>
      <c r="I62" s="171">
        <f t="shared" ref="I62" si="7">SUM(I58:I61)</f>
        <v>-388400</v>
      </c>
      <c r="J62" s="406"/>
      <c r="K62" s="406"/>
      <c r="L62" s="406"/>
      <c r="M62" s="406"/>
      <c r="N62" s="406"/>
      <c r="O62" s="406"/>
      <c r="P62" s="406"/>
      <c r="Q62" s="406"/>
      <c r="R62" s="406"/>
      <c r="S62" s="406"/>
      <c r="T62" s="406"/>
      <c r="U62" s="406"/>
      <c r="V62" s="406"/>
      <c r="W62" s="406"/>
      <c r="X62" s="406"/>
      <c r="Y62" s="406"/>
      <c r="Z62" s="406"/>
      <c r="AA62" s="406"/>
      <c r="AB62" s="406"/>
      <c r="AC62" s="406"/>
      <c r="AD62" s="406"/>
      <c r="AE62" s="406"/>
      <c r="AF62" s="406"/>
    </row>
    <row r="63" spans="1:32" ht="15" thickBot="1">
      <c r="A63" s="169" t="s">
        <v>821</v>
      </c>
      <c r="B63" s="170"/>
      <c r="C63" s="171">
        <f t="shared" ref="C63:H63" si="8">C62+C57</f>
        <v>1078442</v>
      </c>
      <c r="D63" s="171">
        <f t="shared" si="8"/>
        <v>1070693</v>
      </c>
      <c r="E63" s="171">
        <f t="shared" si="8"/>
        <v>1111683</v>
      </c>
      <c r="F63" s="171">
        <f t="shared" si="8"/>
        <v>1218525.0089100001</v>
      </c>
      <c r="G63" s="171">
        <f t="shared" si="8"/>
        <v>1207828</v>
      </c>
      <c r="H63" s="171">
        <f t="shared" si="8"/>
        <v>1204055</v>
      </c>
      <c r="I63" s="171">
        <f t="shared" ref="I63" si="9">I62+I57</f>
        <v>1205690</v>
      </c>
      <c r="J63" s="406"/>
      <c r="K63" s="406"/>
      <c r="L63" s="406"/>
      <c r="M63" s="406"/>
      <c r="N63" s="406"/>
      <c r="O63" s="406"/>
      <c r="P63" s="406"/>
      <c r="Q63" s="406"/>
      <c r="R63" s="406"/>
      <c r="S63" s="406"/>
      <c r="T63" s="406"/>
      <c r="U63" s="406"/>
      <c r="V63" s="406"/>
      <c r="W63" s="406"/>
      <c r="X63" s="406"/>
      <c r="Y63" s="406"/>
      <c r="Z63" s="406"/>
      <c r="AA63" s="406"/>
      <c r="AB63" s="406"/>
      <c r="AC63" s="406"/>
      <c r="AD63" s="406"/>
      <c r="AE63" s="406"/>
      <c r="AF63" s="406"/>
    </row>
    <row r="64" spans="1:32">
      <c r="B64" s="170"/>
      <c r="C64" s="492">
        <f t="shared" ref="C64:H64" si="10">+C63-C30</f>
        <v>0</v>
      </c>
      <c r="D64" s="492">
        <f t="shared" si="10"/>
        <v>0</v>
      </c>
      <c r="E64" s="492">
        <f t="shared" si="10"/>
        <v>0</v>
      </c>
      <c r="F64" s="492">
        <f t="shared" si="10"/>
        <v>0</v>
      </c>
      <c r="G64" s="492">
        <f t="shared" si="10"/>
        <v>0</v>
      </c>
      <c r="H64" s="492">
        <f t="shared" si="10"/>
        <v>0</v>
      </c>
      <c r="I64" s="492">
        <f t="shared" ref="I64" si="11">+I63-I30</f>
        <v>0</v>
      </c>
    </row>
    <row r="65" spans="2:2">
      <c r="B65" s="174"/>
    </row>
    <row r="66" spans="2:2">
      <c r="B66" s="174"/>
    </row>
    <row r="67" spans="2:2">
      <c r="B67" s="174"/>
    </row>
    <row r="68" spans="2:2">
      <c r="B68" s="174"/>
    </row>
    <row r="69" spans="2:2">
      <c r="B69" s="174"/>
    </row>
    <row r="70" spans="2:2">
      <c r="B70" s="174"/>
    </row>
    <row r="71" spans="2:2">
      <c r="B71" s="174"/>
    </row>
    <row r="72" spans="2:2">
      <c r="B72" s="174"/>
    </row>
    <row r="73" spans="2:2">
      <c r="B73" s="174"/>
    </row>
    <row r="74" spans="2:2">
      <c r="B74" s="174"/>
    </row>
    <row r="75" spans="2:2">
      <c r="B75" s="170"/>
    </row>
    <row r="76" spans="2:2">
      <c r="B76" s="170"/>
    </row>
    <row r="77" spans="2:2">
      <c r="B77" s="174"/>
    </row>
    <row r="78" spans="2:2">
      <c r="B78" s="174"/>
    </row>
    <row r="79" spans="2:2">
      <c r="B79" s="174"/>
    </row>
    <row r="80" spans="2:2">
      <c r="B80" s="174"/>
    </row>
    <row r="81" spans="2:2">
      <c r="B81" s="174"/>
    </row>
    <row r="82" spans="2:2">
      <c r="B82" s="170"/>
    </row>
  </sheetData>
  <pageMargins left="0.511811024" right="0.511811024" top="0.78740157499999996" bottom="0.78740157499999996" header="0.31496062000000002" footer="0.31496062000000002"/>
  <ignoredErrors>
    <ignoredError sqref="C32:E32" unlockedFormula="1"/>
  </ignoredErrors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9" tint="0.79998168889431442"/>
  </sheetPr>
  <dimension ref="A4:AN93"/>
  <sheetViews>
    <sheetView showGridLines="0" zoomScale="80" zoomScaleNormal="80" workbookViewId="0">
      <pane xSplit="1" ySplit="7" topLeftCell="B8" activePane="bottomRight" state="frozen"/>
      <selection pane="topRight" activeCell="S9" sqref="S9"/>
      <selection pane="bottomLeft" activeCell="S9" sqref="S9"/>
      <selection pane="bottomRight" activeCell="Q44" sqref="Q44"/>
    </sheetView>
  </sheetViews>
  <sheetFormatPr defaultColWidth="8.7265625" defaultRowHeight="14.5" outlineLevelCol="1"/>
  <cols>
    <col min="1" max="1" width="42.81640625" customWidth="1"/>
    <col min="2" max="2" width="1" customWidth="1"/>
    <col min="3" max="3" width="10.54296875" hidden="1" customWidth="1" outlineLevel="1"/>
    <col min="4" max="7" width="9.1796875" hidden="1" customWidth="1" outlineLevel="1"/>
    <col min="8" max="8" width="9.1796875" customWidth="1" collapsed="1"/>
    <col min="9" max="17" width="9.1796875" customWidth="1"/>
  </cols>
  <sheetData>
    <row r="4" spans="1:40">
      <c r="K4" s="124"/>
    </row>
    <row r="5" spans="1:40">
      <c r="K5" s="657"/>
    </row>
    <row r="6" spans="1:40">
      <c r="A6" s="41" t="s">
        <v>142</v>
      </c>
      <c r="B6" s="166"/>
      <c r="C6" s="487" t="s">
        <v>634</v>
      </c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</row>
    <row r="7" spans="1:40" ht="15" thickBot="1">
      <c r="A7" s="5" t="s">
        <v>689</v>
      </c>
      <c r="B7" s="168"/>
      <c r="C7" s="528" t="s">
        <v>40</v>
      </c>
      <c r="D7" s="528" t="s">
        <v>41</v>
      </c>
      <c r="E7" s="528" t="s">
        <v>42</v>
      </c>
      <c r="F7" s="528" t="s">
        <v>43</v>
      </c>
      <c r="G7" s="528" t="s">
        <v>44</v>
      </c>
      <c r="H7" s="528" t="s">
        <v>45</v>
      </c>
      <c r="I7" s="528" t="s">
        <v>46</v>
      </c>
      <c r="J7" s="528" t="s">
        <v>47</v>
      </c>
      <c r="K7" s="528" t="s">
        <v>48</v>
      </c>
      <c r="L7" s="528" t="s">
        <v>49</v>
      </c>
      <c r="M7" s="528" t="s">
        <v>50</v>
      </c>
      <c r="N7" s="528" t="s">
        <v>51</v>
      </c>
      <c r="O7" s="528" t="s">
        <v>52</v>
      </c>
      <c r="P7" s="528" t="s">
        <v>53</v>
      </c>
      <c r="Q7" s="528" t="s">
        <v>54</v>
      </c>
      <c r="R7" s="405"/>
      <c r="S7" s="405"/>
      <c r="T7" s="405"/>
      <c r="U7" s="405"/>
      <c r="V7" s="405"/>
      <c r="W7" s="405"/>
      <c r="X7" s="405"/>
      <c r="Y7" s="405"/>
      <c r="Z7" s="405"/>
      <c r="AA7" s="405"/>
      <c r="AB7" s="405"/>
      <c r="AC7" s="405"/>
      <c r="AD7" s="405"/>
      <c r="AE7" s="405"/>
      <c r="AF7" s="405"/>
      <c r="AG7" s="405"/>
      <c r="AH7" s="405"/>
      <c r="AI7" s="405"/>
      <c r="AJ7" s="405"/>
      <c r="AK7" s="405"/>
      <c r="AL7" s="405"/>
      <c r="AM7" s="405"/>
      <c r="AN7" s="405"/>
    </row>
    <row r="8" spans="1:40" ht="15" thickBot="1">
      <c r="A8" s="169" t="s">
        <v>797</v>
      </c>
      <c r="B8" s="170"/>
      <c r="C8" s="171">
        <f>SUM(C9:C21)</f>
        <v>635894</v>
      </c>
      <c r="D8" s="171">
        <f t="shared" ref="D8:J8" si="0">SUM(D9:D21)</f>
        <v>718175</v>
      </c>
      <c r="E8" s="171">
        <f t="shared" si="0"/>
        <v>765162</v>
      </c>
      <c r="F8" s="171">
        <f t="shared" si="0"/>
        <v>852564</v>
      </c>
      <c r="G8" s="171">
        <f t="shared" si="0"/>
        <v>895764</v>
      </c>
      <c r="H8" s="171">
        <f t="shared" si="0"/>
        <v>683741</v>
      </c>
      <c r="I8" s="171">
        <f t="shared" si="0"/>
        <v>630130</v>
      </c>
      <c r="J8" s="171">
        <f t="shared" si="0"/>
        <v>678536</v>
      </c>
      <c r="K8" s="171">
        <f t="shared" ref="K8:Q8" si="1">SUM(K9:K21)</f>
        <v>626611</v>
      </c>
      <c r="L8" s="171">
        <f t="shared" si="1"/>
        <v>846102</v>
      </c>
      <c r="M8" s="171">
        <f t="shared" si="1"/>
        <v>678036</v>
      </c>
      <c r="N8" s="171">
        <f t="shared" si="1"/>
        <v>658517</v>
      </c>
      <c r="O8" s="171">
        <f t="shared" si="1"/>
        <v>746895</v>
      </c>
      <c r="P8" s="171">
        <f t="shared" si="1"/>
        <v>681548</v>
      </c>
      <c r="Q8" s="171">
        <f t="shared" si="1"/>
        <v>618319</v>
      </c>
      <c r="R8" s="406"/>
      <c r="S8" s="406"/>
      <c r="T8" s="406"/>
      <c r="U8" s="406"/>
      <c r="V8" s="406"/>
      <c r="W8" s="406"/>
      <c r="X8" s="406"/>
      <c r="Y8" s="406"/>
      <c r="Z8" s="406"/>
      <c r="AA8" s="406"/>
      <c r="AB8" s="406"/>
      <c r="AC8" s="406"/>
      <c r="AD8" s="406"/>
      <c r="AE8" s="406"/>
      <c r="AF8" s="406"/>
      <c r="AG8" s="406"/>
      <c r="AH8" s="406"/>
      <c r="AI8" s="406"/>
      <c r="AJ8" s="406"/>
      <c r="AK8" s="406"/>
      <c r="AL8" s="406"/>
      <c r="AM8" s="406"/>
      <c r="AN8" s="406"/>
    </row>
    <row r="9" spans="1:40">
      <c r="A9" s="3" t="s">
        <v>798</v>
      </c>
      <c r="B9" s="170"/>
      <c r="C9" s="404">
        <v>242628</v>
      </c>
      <c r="D9" s="404">
        <v>406777</v>
      </c>
      <c r="E9" s="404">
        <v>483978</v>
      </c>
      <c r="F9" s="404">
        <v>546494</v>
      </c>
      <c r="G9" s="404">
        <v>402129</v>
      </c>
      <c r="H9" s="404">
        <v>455982</v>
      </c>
      <c r="I9" s="404">
        <v>388316</v>
      </c>
      <c r="J9" s="404">
        <v>403033</v>
      </c>
      <c r="K9" s="404">
        <v>330081</v>
      </c>
      <c r="L9" s="404">
        <v>375402</v>
      </c>
      <c r="M9" s="404">
        <v>457121</v>
      </c>
      <c r="N9" s="404">
        <v>249462</v>
      </c>
      <c r="O9" s="404">
        <v>280409</v>
      </c>
      <c r="P9" s="404">
        <v>254593</v>
      </c>
      <c r="Q9" s="404">
        <v>189446</v>
      </c>
    </row>
    <row r="10" spans="1:40">
      <c r="A10" s="3" t="s">
        <v>822</v>
      </c>
      <c r="B10" s="174"/>
      <c r="C10" s="404">
        <v>60390</v>
      </c>
      <c r="D10" s="404">
        <v>45294</v>
      </c>
      <c r="E10" s="404">
        <v>32395</v>
      </c>
      <c r="F10" s="404">
        <v>30720</v>
      </c>
      <c r="G10" s="404">
        <v>14776</v>
      </c>
      <c r="H10" s="404">
        <v>13975</v>
      </c>
      <c r="I10" s="404">
        <v>11551</v>
      </c>
      <c r="J10" s="404">
        <v>15217</v>
      </c>
      <c r="K10" s="404">
        <v>59334</v>
      </c>
      <c r="L10" s="404">
        <v>116130</v>
      </c>
      <c r="M10" s="404">
        <v>16387</v>
      </c>
      <c r="N10" s="404">
        <v>185660</v>
      </c>
      <c r="O10" s="404">
        <v>229494</v>
      </c>
      <c r="P10" s="404">
        <v>232962</v>
      </c>
      <c r="Q10" s="404">
        <v>181850</v>
      </c>
    </row>
    <row r="11" spans="1:40">
      <c r="A11" s="3" t="s">
        <v>799</v>
      </c>
      <c r="B11" s="174"/>
      <c r="C11" s="404">
        <v>145524</v>
      </c>
      <c r="D11" s="404">
        <v>116501</v>
      </c>
      <c r="E11" s="404">
        <v>132755</v>
      </c>
      <c r="F11" s="404">
        <v>172836</v>
      </c>
      <c r="G11" s="404">
        <v>153103</v>
      </c>
      <c r="H11" s="404">
        <v>121665</v>
      </c>
      <c r="I11" s="404">
        <v>136133</v>
      </c>
      <c r="J11" s="404">
        <v>150328</v>
      </c>
      <c r="K11" s="404">
        <v>132670</v>
      </c>
      <c r="L11" s="404">
        <v>113848</v>
      </c>
      <c r="M11" s="404">
        <v>107350</v>
      </c>
      <c r="N11" s="404">
        <v>131709</v>
      </c>
      <c r="O11" s="404">
        <v>132200</v>
      </c>
      <c r="P11" s="404">
        <v>111474</v>
      </c>
      <c r="Q11" s="404">
        <v>156897</v>
      </c>
    </row>
    <row r="12" spans="1:40">
      <c r="A12" s="3" t="s">
        <v>823</v>
      </c>
      <c r="B12" s="174"/>
      <c r="C12" s="404"/>
      <c r="D12" s="404"/>
      <c r="E12" s="404"/>
      <c r="F12" s="404"/>
      <c r="G12" s="404"/>
      <c r="H12" s="404"/>
      <c r="I12" s="404"/>
      <c r="J12" s="404"/>
      <c r="K12" s="404"/>
      <c r="L12" s="404"/>
      <c r="M12" s="404">
        <v>12206</v>
      </c>
      <c r="N12" s="404"/>
      <c r="O12" s="404"/>
      <c r="P12" s="404">
        <v>0</v>
      </c>
      <c r="Q12" s="404"/>
    </row>
    <row r="13" spans="1:40">
      <c r="A13" s="3" t="s">
        <v>800</v>
      </c>
      <c r="B13" s="174"/>
      <c r="C13" s="404">
        <v>29046</v>
      </c>
      <c r="D13" s="404">
        <v>38444</v>
      </c>
      <c r="E13" s="404">
        <v>30585</v>
      </c>
      <c r="F13" s="404">
        <v>34298</v>
      </c>
      <c r="G13" s="404">
        <v>44337</v>
      </c>
      <c r="H13" s="404">
        <v>23816</v>
      </c>
      <c r="I13" s="404">
        <v>27127</v>
      </c>
      <c r="J13" s="404">
        <v>26274</v>
      </c>
      <c r="K13" s="404"/>
      <c r="L13" s="404">
        <v>175692</v>
      </c>
      <c r="M13" s="404">
        <v>6936</v>
      </c>
      <c r="N13" s="404"/>
      <c r="O13" s="404"/>
      <c r="P13" s="404"/>
      <c r="Q13" s="404"/>
    </row>
    <row r="14" spans="1:40">
      <c r="A14" s="3" t="s">
        <v>704</v>
      </c>
      <c r="B14" s="174"/>
      <c r="C14" s="404">
        <v>20821</v>
      </c>
      <c r="D14" s="404">
        <v>20726</v>
      </c>
      <c r="E14" s="404">
        <v>21436</v>
      </c>
      <c r="F14" s="404">
        <v>22229</v>
      </c>
      <c r="G14" s="404">
        <v>21658</v>
      </c>
      <c r="H14" s="404">
        <v>21823</v>
      </c>
      <c r="I14" s="404">
        <v>23503</v>
      </c>
      <c r="J14" s="404">
        <v>23069</v>
      </c>
      <c r="K14" s="404">
        <v>7042</v>
      </c>
      <c r="L14" s="404">
        <v>30740</v>
      </c>
      <c r="M14" s="404">
        <v>26597</v>
      </c>
      <c r="N14" s="404">
        <v>16962</v>
      </c>
      <c r="O14" s="404">
        <v>23128</v>
      </c>
      <c r="P14" s="404">
        <v>6697</v>
      </c>
      <c r="Q14" s="404">
        <v>10944</v>
      </c>
    </row>
    <row r="15" spans="1:40">
      <c r="A15" s="3" t="s">
        <v>703</v>
      </c>
      <c r="B15" s="174"/>
      <c r="C15" s="404">
        <v>2812</v>
      </c>
      <c r="D15" s="404">
        <v>2812</v>
      </c>
      <c r="E15" s="404">
        <v>4534</v>
      </c>
      <c r="F15" s="404">
        <v>2844</v>
      </c>
      <c r="G15" s="404">
        <v>4436</v>
      </c>
      <c r="H15" s="404">
        <v>6970</v>
      </c>
      <c r="I15" s="404">
        <v>6811</v>
      </c>
      <c r="J15" s="404">
        <v>8176</v>
      </c>
      <c r="K15" s="404">
        <v>20255</v>
      </c>
      <c r="L15" s="404"/>
      <c r="M15" s="404">
        <v>7410</v>
      </c>
      <c r="N15" s="404">
        <v>8678</v>
      </c>
      <c r="O15" s="404">
        <v>12731</v>
      </c>
      <c r="P15" s="404">
        <v>12243</v>
      </c>
      <c r="Q15" s="404">
        <v>14374</v>
      </c>
    </row>
    <row r="16" spans="1:40">
      <c r="A16" s="3" t="s">
        <v>801</v>
      </c>
      <c r="B16" s="174"/>
      <c r="C16" s="404">
        <v>51643</v>
      </c>
      <c r="D16" s="404">
        <v>51467</v>
      </c>
      <c r="E16" s="404">
        <v>45017</v>
      </c>
      <c r="F16" s="404">
        <v>36126</v>
      </c>
      <c r="G16" s="404">
        <v>38256</v>
      </c>
      <c r="H16" s="404">
        <v>26825</v>
      </c>
      <c r="I16" s="404">
        <v>21197</v>
      </c>
      <c r="J16" s="404">
        <v>33302</v>
      </c>
      <c r="K16" s="404"/>
      <c r="L16" s="404"/>
      <c r="M16" s="404">
        <v>16699</v>
      </c>
      <c r="N16" s="404"/>
      <c r="O16" s="404"/>
      <c r="P16" s="404"/>
      <c r="Q16" s="404"/>
    </row>
    <row r="17" spans="1:40">
      <c r="A17" s="3" t="s">
        <v>789</v>
      </c>
      <c r="B17" s="174"/>
      <c r="C17" s="404">
        <v>5959</v>
      </c>
      <c r="D17" s="404">
        <v>5959</v>
      </c>
      <c r="E17" s="404">
        <v>5959</v>
      </c>
      <c r="F17" s="404">
        <v>4176</v>
      </c>
      <c r="G17" s="404">
        <v>9260</v>
      </c>
      <c r="H17" s="404">
        <v>9941</v>
      </c>
      <c r="I17" s="404">
        <v>13251</v>
      </c>
      <c r="J17" s="404">
        <v>16163</v>
      </c>
      <c r="K17" s="404">
        <v>15590</v>
      </c>
      <c r="L17" s="404">
        <v>16528</v>
      </c>
      <c r="M17" s="404">
        <v>22360</v>
      </c>
      <c r="N17" s="404">
        <v>26346</v>
      </c>
      <c r="O17" s="404">
        <v>27563</v>
      </c>
      <c r="P17" s="404">
        <v>29193</v>
      </c>
      <c r="Q17" s="404">
        <v>31476</v>
      </c>
    </row>
    <row r="18" spans="1:40">
      <c r="A18" s="3" t="s">
        <v>802</v>
      </c>
      <c r="B18" s="174"/>
      <c r="C18" s="404">
        <v>0</v>
      </c>
      <c r="D18" s="404">
        <v>0</v>
      </c>
      <c r="E18" s="404">
        <v>0</v>
      </c>
      <c r="F18" s="404">
        <v>0</v>
      </c>
      <c r="G18" s="404">
        <v>0</v>
      </c>
      <c r="H18" s="404">
        <v>0</v>
      </c>
      <c r="I18" s="404">
        <v>0</v>
      </c>
      <c r="J18" s="404">
        <v>0</v>
      </c>
      <c r="K18" s="404"/>
      <c r="L18" s="404"/>
      <c r="M18" s="404"/>
      <c r="N18" s="404"/>
      <c r="O18" s="404"/>
      <c r="P18" s="404"/>
      <c r="Q18" s="404"/>
    </row>
    <row r="19" spans="1:40">
      <c r="A19" s="3" t="s">
        <v>803</v>
      </c>
      <c r="B19" s="174"/>
      <c r="C19" s="404">
        <v>0</v>
      </c>
      <c r="D19" s="404">
        <v>0</v>
      </c>
      <c r="E19" s="404">
        <v>0</v>
      </c>
      <c r="F19" s="404">
        <v>0</v>
      </c>
      <c r="G19" s="404">
        <v>207021</v>
      </c>
      <c r="H19" s="404">
        <v>1981</v>
      </c>
      <c r="I19" s="404">
        <v>1981</v>
      </c>
      <c r="J19" s="404">
        <v>1981</v>
      </c>
      <c r="K19" s="404"/>
      <c r="L19" s="404">
        <v>2993</v>
      </c>
      <c r="M19" s="404">
        <v>3041</v>
      </c>
      <c r="N19" s="404"/>
      <c r="O19" s="404"/>
      <c r="P19" s="404"/>
      <c r="Q19" s="404"/>
    </row>
    <row r="20" spans="1:40">
      <c r="A20" s="3" t="s">
        <v>804</v>
      </c>
      <c r="B20" s="174"/>
      <c r="C20" s="404">
        <v>74603</v>
      </c>
      <c r="D20" s="404">
        <v>27705</v>
      </c>
      <c r="E20" s="404">
        <v>7757</v>
      </c>
      <c r="F20" s="404">
        <v>0</v>
      </c>
      <c r="G20" s="404">
        <v>0</v>
      </c>
      <c r="H20" s="404">
        <v>0</v>
      </c>
      <c r="I20" s="404">
        <v>0</v>
      </c>
      <c r="J20" s="404"/>
      <c r="K20" s="404"/>
      <c r="L20" s="404"/>
      <c r="M20" s="404"/>
      <c r="N20" s="404"/>
      <c r="O20" s="404"/>
      <c r="P20" s="404"/>
      <c r="Q20" s="404"/>
    </row>
    <row r="21" spans="1:40" ht="15" thickBot="1">
      <c r="A21" s="3" t="s">
        <v>805</v>
      </c>
      <c r="B21" s="174"/>
      <c r="C21" s="404">
        <v>2468</v>
      </c>
      <c r="D21" s="404">
        <v>2490</v>
      </c>
      <c r="E21" s="404">
        <v>746</v>
      </c>
      <c r="F21" s="404">
        <v>2841</v>
      </c>
      <c r="G21" s="404">
        <v>788</v>
      </c>
      <c r="H21" s="404">
        <v>763</v>
      </c>
      <c r="I21" s="404">
        <v>260</v>
      </c>
      <c r="J21" s="404">
        <v>993</v>
      </c>
      <c r="K21" s="404">
        <v>61639</v>
      </c>
      <c r="L21" s="404">
        <v>14769</v>
      </c>
      <c r="M21" s="404">
        <v>1929</v>
      </c>
      <c r="N21" s="404">
        <v>39700</v>
      </c>
      <c r="O21" s="404">
        <v>41370</v>
      </c>
      <c r="P21" s="404">
        <v>34386</v>
      </c>
      <c r="Q21" s="404">
        <v>33332</v>
      </c>
    </row>
    <row r="22" spans="1:40" ht="15" thickBot="1">
      <c r="A22" s="169" t="s">
        <v>806</v>
      </c>
      <c r="B22" s="170"/>
      <c r="C22" s="171">
        <f>SUM(C23:C32)</f>
        <v>5851223</v>
      </c>
      <c r="D22" s="171">
        <f t="shared" ref="D22:M22" si="2">SUM(D23:D32)</f>
        <v>5944398</v>
      </c>
      <c r="E22" s="171">
        <f t="shared" si="2"/>
        <v>6025440</v>
      </c>
      <c r="F22" s="171">
        <f t="shared" si="2"/>
        <v>6121537</v>
      </c>
      <c r="G22" s="171">
        <f t="shared" si="2"/>
        <v>6243670</v>
      </c>
      <c r="H22" s="171">
        <f t="shared" si="2"/>
        <v>6189011</v>
      </c>
      <c r="I22" s="171">
        <f t="shared" si="2"/>
        <v>6137772</v>
      </c>
      <c r="J22" s="171">
        <f t="shared" si="2"/>
        <v>6194548</v>
      </c>
      <c r="K22" s="171">
        <f t="shared" si="2"/>
        <v>6236448</v>
      </c>
      <c r="L22" s="171">
        <f t="shared" si="2"/>
        <v>6214469</v>
      </c>
      <c r="M22" s="171">
        <f t="shared" si="2"/>
        <v>6914348</v>
      </c>
      <c r="N22" s="171">
        <f>SUM(N23:N32)</f>
        <v>5990300</v>
      </c>
      <c r="O22" s="171">
        <f>SUM(O23:O32)</f>
        <v>6191421</v>
      </c>
      <c r="P22" s="171">
        <f>SUM(P23:P32)</f>
        <v>6129614</v>
      </c>
      <c r="Q22" s="171">
        <f>SUM(Q23:Q32)</f>
        <v>6143650</v>
      </c>
      <c r="R22" s="406"/>
      <c r="S22" s="406"/>
      <c r="T22" s="406"/>
      <c r="U22" s="406"/>
      <c r="V22" s="406"/>
      <c r="W22" s="406"/>
      <c r="X22" s="406"/>
      <c r="Y22" s="406"/>
      <c r="Z22" s="406"/>
      <c r="AA22" s="406"/>
      <c r="AB22" s="406"/>
      <c r="AC22" s="406"/>
      <c r="AD22" s="406"/>
      <c r="AE22" s="406"/>
      <c r="AF22" s="406"/>
      <c r="AG22" s="406"/>
      <c r="AH22" s="406"/>
      <c r="AI22" s="406"/>
      <c r="AJ22" s="406"/>
      <c r="AK22" s="406"/>
      <c r="AL22" s="406"/>
      <c r="AM22" s="406"/>
      <c r="AN22" s="406"/>
    </row>
    <row r="23" spans="1:40">
      <c r="A23" s="3" t="s">
        <v>799</v>
      </c>
      <c r="B23" s="174"/>
      <c r="C23" s="404">
        <v>55901</v>
      </c>
      <c r="D23" s="404">
        <v>47426</v>
      </c>
      <c r="E23" s="404">
        <v>45452</v>
      </c>
      <c r="F23" s="404">
        <v>61878</v>
      </c>
      <c r="G23" s="404">
        <v>64427</v>
      </c>
      <c r="H23" s="404">
        <v>51456</v>
      </c>
      <c r="I23" s="404">
        <v>23112</v>
      </c>
      <c r="J23" s="404">
        <v>36713</v>
      </c>
      <c r="K23" s="404">
        <v>38230</v>
      </c>
      <c r="L23" s="404">
        <v>33355</v>
      </c>
      <c r="M23" s="404">
        <v>28390</v>
      </c>
      <c r="N23" s="404">
        <v>36210</v>
      </c>
      <c r="O23" s="404">
        <v>36363</v>
      </c>
      <c r="P23" s="404">
        <v>23136</v>
      </c>
      <c r="Q23" s="404">
        <v>12608</v>
      </c>
    </row>
    <row r="24" spans="1:40">
      <c r="A24" s="3" t="s">
        <v>823</v>
      </c>
      <c r="B24" s="174"/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>
        <v>22552</v>
      </c>
      <c r="N24" s="404"/>
      <c r="O24" s="404"/>
      <c r="P24" s="404"/>
      <c r="Q24" s="404"/>
    </row>
    <row r="25" spans="1:40">
      <c r="A25" s="3" t="s">
        <v>692</v>
      </c>
      <c r="B25" s="174"/>
      <c r="C25" s="404">
        <v>352703</v>
      </c>
      <c r="D25" s="404">
        <v>374309</v>
      </c>
      <c r="E25" s="404">
        <v>383120</v>
      </c>
      <c r="F25" s="404">
        <v>403492</v>
      </c>
      <c r="G25" s="404">
        <v>379224</v>
      </c>
      <c r="H25" s="404">
        <v>388321</v>
      </c>
      <c r="I25" s="404">
        <v>415932</v>
      </c>
      <c r="J25" s="404">
        <v>450132</v>
      </c>
      <c r="K25" s="404">
        <v>480326</v>
      </c>
      <c r="L25" s="404">
        <v>506665</v>
      </c>
      <c r="M25" s="404">
        <v>520972</v>
      </c>
      <c r="N25" s="404">
        <v>548627</v>
      </c>
      <c r="O25" s="404">
        <v>462310</v>
      </c>
      <c r="P25" s="404">
        <v>467115</v>
      </c>
      <c r="Q25" s="404">
        <v>531659</v>
      </c>
    </row>
    <row r="26" spans="1:40">
      <c r="A26" s="3" t="s">
        <v>801</v>
      </c>
      <c r="B26" s="174"/>
      <c r="C26" s="404">
        <v>6382</v>
      </c>
      <c r="D26" s="404">
        <v>7397</v>
      </c>
      <c r="E26" s="404">
        <v>7451</v>
      </c>
      <c r="F26" s="404">
        <v>8021</v>
      </c>
      <c r="G26" s="404">
        <v>7630</v>
      </c>
      <c r="H26" s="404">
        <v>11397</v>
      </c>
      <c r="I26" s="404">
        <v>5368</v>
      </c>
      <c r="J26" s="404">
        <v>4254</v>
      </c>
      <c r="K26" s="404"/>
      <c r="L26" s="404"/>
      <c r="M26" s="404">
        <v>15425</v>
      </c>
      <c r="N26" s="404"/>
      <c r="O26" s="404"/>
      <c r="P26" s="404"/>
      <c r="Q26" s="404"/>
    </row>
    <row r="27" spans="1:40">
      <c r="A27" s="3" t="s">
        <v>699</v>
      </c>
      <c r="B27" s="174"/>
      <c r="C27" s="404">
        <v>15865</v>
      </c>
      <c r="D27" s="404">
        <v>15865</v>
      </c>
      <c r="E27" s="404">
        <v>15865</v>
      </c>
      <c r="F27" s="404">
        <v>15865</v>
      </c>
      <c r="G27" s="404">
        <v>16879</v>
      </c>
      <c r="H27" s="404">
        <v>16879</v>
      </c>
      <c r="I27" s="404">
        <v>16879</v>
      </c>
      <c r="J27" s="404">
        <v>16879</v>
      </c>
      <c r="K27" s="404">
        <v>18392</v>
      </c>
      <c r="L27" s="404">
        <v>18392</v>
      </c>
      <c r="M27" s="404">
        <v>18392</v>
      </c>
      <c r="N27" s="404">
        <v>19760</v>
      </c>
      <c r="O27" s="404">
        <v>20113</v>
      </c>
      <c r="P27" s="404">
        <v>19831</v>
      </c>
      <c r="Q27" s="404">
        <v>20176</v>
      </c>
    </row>
    <row r="28" spans="1:40">
      <c r="A28" s="3" t="s">
        <v>805</v>
      </c>
      <c r="B28" s="170"/>
      <c r="C28" s="404">
        <v>294</v>
      </c>
      <c r="D28" s="404">
        <v>294</v>
      </c>
      <c r="E28" s="404">
        <v>294</v>
      </c>
      <c r="F28" s="404">
        <v>294</v>
      </c>
      <c r="G28" s="404">
        <v>294</v>
      </c>
      <c r="H28" s="404">
        <v>294</v>
      </c>
      <c r="I28" s="404">
        <v>294</v>
      </c>
      <c r="J28" s="404">
        <v>289</v>
      </c>
      <c r="K28" s="404">
        <v>5337</v>
      </c>
      <c r="L28" s="404">
        <v>12188</v>
      </c>
      <c r="M28" s="404">
        <v>37</v>
      </c>
      <c r="N28" s="404">
        <v>14388</v>
      </c>
      <c r="O28" s="404">
        <v>10889</v>
      </c>
      <c r="P28" s="404">
        <v>10884</v>
      </c>
      <c r="Q28" s="404">
        <v>11327</v>
      </c>
    </row>
    <row r="29" spans="1:40">
      <c r="A29" s="3" t="s">
        <v>709</v>
      </c>
      <c r="B29" s="170"/>
      <c r="C29" s="404">
        <v>0</v>
      </c>
      <c r="D29" s="404">
        <v>0</v>
      </c>
      <c r="E29" s="404">
        <v>0</v>
      </c>
      <c r="F29" s="404">
        <v>0</v>
      </c>
      <c r="G29" s="404">
        <v>0</v>
      </c>
      <c r="H29" s="404">
        <v>0</v>
      </c>
      <c r="I29" s="404">
        <v>0</v>
      </c>
      <c r="J29" s="404">
        <v>0</v>
      </c>
      <c r="K29" s="404"/>
      <c r="L29" s="404"/>
      <c r="M29" s="404"/>
      <c r="N29" s="404"/>
      <c r="O29" s="404"/>
      <c r="P29" s="404"/>
      <c r="Q29" s="404"/>
    </row>
    <row r="30" spans="1:40">
      <c r="A30" s="3" t="s">
        <v>753</v>
      </c>
      <c r="B30" s="170"/>
      <c r="C30" s="404">
        <v>96546</v>
      </c>
      <c r="D30" s="404">
        <v>95718</v>
      </c>
      <c r="E30" s="404">
        <v>94890</v>
      </c>
      <c r="F30" s="404">
        <v>94063</v>
      </c>
      <c r="G30" s="404">
        <v>83408</v>
      </c>
      <c r="H30" s="404">
        <v>82662</v>
      </c>
      <c r="I30" s="404">
        <v>83170</v>
      </c>
      <c r="J30" s="404">
        <v>82464</v>
      </c>
      <c r="K30" s="404">
        <v>106872</v>
      </c>
      <c r="L30" s="404">
        <v>104491</v>
      </c>
      <c r="M30" s="404">
        <v>102797</v>
      </c>
      <c r="N30" s="404">
        <v>102194</v>
      </c>
      <c r="O30" s="404">
        <v>400139</v>
      </c>
      <c r="P30" s="404">
        <v>396838</v>
      </c>
      <c r="Q30" s="404">
        <v>395826</v>
      </c>
    </row>
    <row r="31" spans="1:40">
      <c r="A31" s="3" t="s">
        <v>770</v>
      </c>
      <c r="B31" s="174"/>
      <c r="C31" s="404">
        <v>4712390</v>
      </c>
      <c r="D31" s="404">
        <v>4801561</v>
      </c>
      <c r="E31" s="404">
        <v>4885981</v>
      </c>
      <c r="F31" s="404">
        <v>4954959</v>
      </c>
      <c r="G31" s="404">
        <v>5087466</v>
      </c>
      <c r="H31" s="404">
        <v>5043100</v>
      </c>
      <c r="I31" s="404">
        <v>5000263</v>
      </c>
      <c r="J31" s="404">
        <v>4958158</v>
      </c>
      <c r="K31" s="404">
        <v>4923496</v>
      </c>
      <c r="L31" s="404">
        <v>4889487</v>
      </c>
      <c r="M31" s="404">
        <v>5623020</v>
      </c>
      <c r="N31" s="404">
        <v>4761480</v>
      </c>
      <c r="O31" s="404">
        <v>4755645</v>
      </c>
      <c r="P31" s="404">
        <v>4716062</v>
      </c>
      <c r="Q31" s="404">
        <v>4684203</v>
      </c>
    </row>
    <row r="32" spans="1:40" ht="15" thickBot="1">
      <c r="A32" s="3" t="s">
        <v>711</v>
      </c>
      <c r="B32" s="174"/>
      <c r="C32" s="404">
        <v>611142</v>
      </c>
      <c r="D32" s="404">
        <v>601828</v>
      </c>
      <c r="E32" s="404">
        <v>592387</v>
      </c>
      <c r="F32" s="404">
        <v>582965</v>
      </c>
      <c r="G32" s="404">
        <v>604342</v>
      </c>
      <c r="H32" s="404">
        <v>594902</v>
      </c>
      <c r="I32" s="404">
        <v>592754</v>
      </c>
      <c r="J32" s="404">
        <v>645659</v>
      </c>
      <c r="K32" s="404">
        <v>663795</v>
      </c>
      <c r="L32" s="404">
        <v>649891</v>
      </c>
      <c r="M32" s="404">
        <v>582763</v>
      </c>
      <c r="N32" s="404">
        <v>507641</v>
      </c>
      <c r="O32" s="404">
        <v>505962</v>
      </c>
      <c r="P32" s="404">
        <v>495748</v>
      </c>
      <c r="Q32" s="404">
        <v>487851</v>
      </c>
    </row>
    <row r="33" spans="1:40" ht="15" thickBot="1">
      <c r="A33" s="169" t="s">
        <v>808</v>
      </c>
      <c r="B33" s="170"/>
      <c r="C33" s="171">
        <f>C8+C22</f>
        <v>6487117</v>
      </c>
      <c r="D33" s="171">
        <f t="shared" ref="D33:M33" si="3">D8+D22</f>
        <v>6662573</v>
      </c>
      <c r="E33" s="171">
        <f t="shared" si="3"/>
        <v>6790602</v>
      </c>
      <c r="F33" s="171">
        <f t="shared" si="3"/>
        <v>6974101</v>
      </c>
      <c r="G33" s="171">
        <f t="shared" si="3"/>
        <v>7139434</v>
      </c>
      <c r="H33" s="171">
        <f t="shared" si="3"/>
        <v>6872752</v>
      </c>
      <c r="I33" s="171">
        <f t="shared" si="3"/>
        <v>6767902</v>
      </c>
      <c r="J33" s="171">
        <f t="shared" si="3"/>
        <v>6873084</v>
      </c>
      <c r="K33" s="171">
        <f t="shared" si="3"/>
        <v>6863059</v>
      </c>
      <c r="L33" s="171">
        <f t="shared" si="3"/>
        <v>7060571</v>
      </c>
      <c r="M33" s="171">
        <f t="shared" si="3"/>
        <v>7592384</v>
      </c>
      <c r="N33" s="171">
        <f>N8+N22</f>
        <v>6648817</v>
      </c>
      <c r="O33" s="171">
        <f>O8+O22</f>
        <v>6938316</v>
      </c>
      <c r="P33" s="171">
        <f>P8+P22</f>
        <v>6811162</v>
      </c>
      <c r="Q33" s="171">
        <f>Q8+Q22</f>
        <v>6761969</v>
      </c>
      <c r="R33" s="406"/>
      <c r="S33" s="406"/>
      <c r="T33" s="406"/>
      <c r="U33" s="406"/>
      <c r="V33" s="406"/>
      <c r="W33" s="406"/>
      <c r="X33" s="406"/>
      <c r="Y33" s="406"/>
      <c r="Z33" s="406"/>
      <c r="AA33" s="406"/>
      <c r="AB33" s="406"/>
      <c r="AC33" s="406"/>
      <c r="AD33" s="406"/>
      <c r="AE33" s="406"/>
      <c r="AF33" s="406"/>
      <c r="AG33" s="406"/>
      <c r="AH33" s="406"/>
      <c r="AI33" s="406"/>
      <c r="AJ33" s="406"/>
      <c r="AK33" s="406"/>
      <c r="AL33" s="406"/>
      <c r="AM33" s="406"/>
      <c r="AN33" s="406"/>
    </row>
    <row r="34" spans="1:40">
      <c r="A34" s="488"/>
      <c r="B34" s="174"/>
    </row>
    <row r="35" spans="1:40" ht="15" thickBot="1">
      <c r="A35" s="5" t="s">
        <v>715</v>
      </c>
      <c r="B35" s="168"/>
      <c r="C35" s="528" t="s">
        <v>40</v>
      </c>
      <c r="D35" s="528" t="s">
        <v>41</v>
      </c>
      <c r="E35" s="528" t="s">
        <v>42</v>
      </c>
      <c r="F35" s="528" t="s">
        <v>43</v>
      </c>
      <c r="G35" s="528" t="s">
        <v>44</v>
      </c>
      <c r="H35" s="528" t="s">
        <v>45</v>
      </c>
      <c r="I35" s="528" t="s">
        <v>46</v>
      </c>
      <c r="J35" s="528" t="str">
        <f>J7</f>
        <v>3T22</v>
      </c>
      <c r="K35" s="528" t="str">
        <f>K7</f>
        <v>4T22</v>
      </c>
      <c r="L35" s="528" t="str">
        <f>L7</f>
        <v>1T23</v>
      </c>
      <c r="M35" s="528" t="str">
        <f>M7</f>
        <v>2T23</v>
      </c>
      <c r="N35" s="528" t="s">
        <v>51</v>
      </c>
      <c r="O35" s="528" t="s">
        <v>52</v>
      </c>
      <c r="P35" s="528" t="s">
        <v>53</v>
      </c>
      <c r="Q35" s="528" t="s">
        <v>54</v>
      </c>
      <c r="R35" s="405"/>
      <c r="S35" s="405"/>
      <c r="T35" s="405"/>
      <c r="U35" s="405"/>
      <c r="V35" s="405"/>
      <c r="W35" s="405"/>
      <c r="X35" s="405"/>
      <c r="Y35" s="405"/>
      <c r="Z35" s="405"/>
      <c r="AA35" s="405"/>
      <c r="AB35" s="405"/>
      <c r="AC35" s="405"/>
      <c r="AD35" s="405"/>
      <c r="AE35" s="405"/>
      <c r="AF35" s="405"/>
      <c r="AG35" s="405"/>
      <c r="AH35" s="405"/>
      <c r="AI35" s="405"/>
      <c r="AJ35" s="405"/>
      <c r="AK35" s="405"/>
      <c r="AL35" s="405"/>
      <c r="AM35" s="405"/>
      <c r="AN35" s="405"/>
    </row>
    <row r="36" spans="1:40" ht="15" thickBot="1">
      <c r="A36" s="169" t="s">
        <v>809</v>
      </c>
      <c r="B36" s="170"/>
      <c r="C36" s="171">
        <f>SUM(C37:C49)</f>
        <v>839756</v>
      </c>
      <c r="D36" s="171">
        <f t="shared" ref="D36:M36" si="4">SUM(D37:D49)</f>
        <v>743996</v>
      </c>
      <c r="E36" s="171">
        <f t="shared" si="4"/>
        <v>767023</v>
      </c>
      <c r="F36" s="171">
        <f t="shared" si="4"/>
        <v>558808</v>
      </c>
      <c r="G36" s="171">
        <f t="shared" si="4"/>
        <v>757686</v>
      </c>
      <c r="H36" s="171">
        <f t="shared" si="4"/>
        <v>614464</v>
      </c>
      <c r="I36" s="171">
        <f t="shared" si="4"/>
        <v>551778</v>
      </c>
      <c r="J36" s="171">
        <f t="shared" si="4"/>
        <v>634369</v>
      </c>
      <c r="K36" s="171">
        <f t="shared" si="4"/>
        <v>615477</v>
      </c>
      <c r="L36" s="171">
        <f t="shared" si="4"/>
        <v>706467</v>
      </c>
      <c r="M36" s="171">
        <f t="shared" si="4"/>
        <v>953591</v>
      </c>
      <c r="N36" s="171">
        <f>SUM(N37:N49)</f>
        <v>908235</v>
      </c>
      <c r="O36" s="171">
        <f>SUM(O37:O49)</f>
        <v>560333</v>
      </c>
      <c r="P36" s="171">
        <f>SUM(P37:P49)</f>
        <v>481633</v>
      </c>
      <c r="Q36" s="171">
        <f>SUM(Q37:Q49)</f>
        <v>517216</v>
      </c>
      <c r="R36" s="406"/>
      <c r="S36" s="406"/>
      <c r="T36" s="406"/>
      <c r="U36" s="406"/>
      <c r="V36" s="406"/>
      <c r="W36" s="406"/>
      <c r="X36" s="406"/>
      <c r="Y36" s="406"/>
      <c r="Z36" s="406"/>
      <c r="AA36" s="406"/>
      <c r="AB36" s="406"/>
      <c r="AC36" s="406"/>
      <c r="AD36" s="406"/>
      <c r="AE36" s="406"/>
      <c r="AF36" s="406"/>
      <c r="AG36" s="406"/>
      <c r="AH36" s="406"/>
      <c r="AI36" s="406"/>
      <c r="AJ36" s="406"/>
      <c r="AK36" s="406"/>
      <c r="AL36" s="406"/>
      <c r="AM36" s="406"/>
      <c r="AN36" s="406"/>
    </row>
    <row r="37" spans="1:40">
      <c r="A37" s="3" t="s">
        <v>716</v>
      </c>
      <c r="B37" s="174"/>
      <c r="C37" s="404">
        <v>164537</v>
      </c>
      <c r="D37" s="404">
        <v>87933</v>
      </c>
      <c r="E37" s="404">
        <v>118088</v>
      </c>
      <c r="F37" s="404">
        <v>141958</v>
      </c>
      <c r="G37" s="404">
        <v>83308</v>
      </c>
      <c r="H37" s="404">
        <v>33900</v>
      </c>
      <c r="I37" s="404">
        <v>39729</v>
      </c>
      <c r="J37" s="404">
        <v>60709</v>
      </c>
      <c r="K37" s="404">
        <v>71451</v>
      </c>
      <c r="L37" s="404">
        <v>66698</v>
      </c>
      <c r="M37" s="404">
        <v>275707</v>
      </c>
      <c r="N37" s="404">
        <v>47360</v>
      </c>
      <c r="O37" s="404">
        <v>45233</v>
      </c>
      <c r="P37" s="404">
        <v>39812</v>
      </c>
      <c r="Q37" s="404">
        <v>39544</v>
      </c>
    </row>
    <row r="38" spans="1:40">
      <c r="A38" s="3" t="s">
        <v>823</v>
      </c>
      <c r="B38" s="174"/>
      <c r="C38" s="404"/>
      <c r="D38" s="404"/>
      <c r="E38" s="404"/>
      <c r="F38" s="404"/>
      <c r="G38" s="404"/>
      <c r="H38" s="404"/>
      <c r="I38" s="404"/>
      <c r="J38" s="404"/>
      <c r="K38" s="404"/>
      <c r="L38" s="404"/>
      <c r="M38" s="404">
        <v>11684</v>
      </c>
      <c r="N38" s="404">
        <v>2477</v>
      </c>
      <c r="O38" s="404"/>
      <c r="P38" s="404"/>
      <c r="Q38" s="404"/>
    </row>
    <row r="39" spans="1:40">
      <c r="A39" s="3" t="s">
        <v>718</v>
      </c>
      <c r="B39" s="174"/>
      <c r="C39" s="404">
        <v>380162</v>
      </c>
      <c r="D39" s="404">
        <v>402790</v>
      </c>
      <c r="E39" s="404">
        <v>419474</v>
      </c>
      <c r="F39" s="404">
        <v>161437</v>
      </c>
      <c r="G39" s="404">
        <v>181882</v>
      </c>
      <c r="H39" s="404">
        <v>182769</v>
      </c>
      <c r="I39" s="404">
        <v>174762</v>
      </c>
      <c r="J39" s="404">
        <v>172432</v>
      </c>
      <c r="K39" s="404">
        <v>179467</v>
      </c>
      <c r="L39" s="404">
        <v>199353</v>
      </c>
      <c r="M39" s="404">
        <v>207224</v>
      </c>
      <c r="N39" s="404">
        <v>194643</v>
      </c>
      <c r="O39" s="404">
        <v>198496</v>
      </c>
      <c r="P39" s="404">
        <v>204603</v>
      </c>
      <c r="Q39" s="404">
        <v>210128</v>
      </c>
    </row>
    <row r="40" spans="1:40">
      <c r="A40" s="3" t="s">
        <v>719</v>
      </c>
      <c r="B40" s="174"/>
      <c r="C40" s="404">
        <v>100071</v>
      </c>
      <c r="D40" s="404">
        <v>61736</v>
      </c>
      <c r="E40" s="404">
        <v>46761</v>
      </c>
      <c r="F40" s="404">
        <v>48110</v>
      </c>
      <c r="G40" s="404">
        <v>73815</v>
      </c>
      <c r="H40" s="404">
        <v>130385</v>
      </c>
      <c r="I40" s="404">
        <v>99811</v>
      </c>
      <c r="J40" s="404">
        <v>109686</v>
      </c>
      <c r="K40" s="404">
        <v>67771</v>
      </c>
      <c r="L40" s="404">
        <v>81753</v>
      </c>
      <c r="M40" s="404">
        <v>73671</v>
      </c>
      <c r="N40" s="404">
        <v>383766</v>
      </c>
      <c r="O40" s="404">
        <v>74744</v>
      </c>
      <c r="P40" s="404">
        <v>85189</v>
      </c>
      <c r="Q40" s="404">
        <v>100275</v>
      </c>
    </row>
    <row r="41" spans="1:40">
      <c r="A41" s="3" t="s">
        <v>810</v>
      </c>
      <c r="B41" s="174"/>
      <c r="C41" s="404">
        <v>0</v>
      </c>
      <c r="D41" s="404">
        <v>0</v>
      </c>
      <c r="E41" s="404">
        <v>0</v>
      </c>
      <c r="F41" s="404">
        <v>0</v>
      </c>
      <c r="G41" s="404">
        <v>11767</v>
      </c>
      <c r="H41" s="404">
        <v>10356</v>
      </c>
      <c r="I41" s="404">
        <v>7915</v>
      </c>
      <c r="J41" s="404">
        <v>11846</v>
      </c>
      <c r="K41" s="404"/>
      <c r="L41" s="404"/>
      <c r="M41" s="404">
        <v>11846</v>
      </c>
      <c r="N41" s="404"/>
      <c r="O41" s="404"/>
      <c r="P41" s="404"/>
      <c r="Q41" s="404"/>
    </row>
    <row r="42" spans="1:40">
      <c r="A42" s="3" t="s">
        <v>721</v>
      </c>
      <c r="B42" s="174"/>
      <c r="C42" s="404">
        <v>12766</v>
      </c>
      <c r="D42" s="404">
        <v>11709</v>
      </c>
      <c r="E42" s="404">
        <v>12283</v>
      </c>
      <c r="F42" s="404">
        <v>15585</v>
      </c>
      <c r="G42" s="404">
        <v>10291</v>
      </c>
      <c r="H42" s="404">
        <v>56170</v>
      </c>
      <c r="I42" s="404">
        <v>9540</v>
      </c>
      <c r="J42" s="404">
        <v>12581</v>
      </c>
      <c r="K42" s="404"/>
      <c r="L42" s="404"/>
      <c r="M42" s="404">
        <v>15572</v>
      </c>
      <c r="N42" s="404">
        <v>16319</v>
      </c>
      <c r="O42" s="404">
        <v>15653</v>
      </c>
      <c r="P42" s="404">
        <v>13971</v>
      </c>
      <c r="Q42" s="404">
        <v>15192</v>
      </c>
    </row>
    <row r="43" spans="1:40">
      <c r="A43" s="3" t="s">
        <v>771</v>
      </c>
      <c r="B43" s="174"/>
      <c r="C43" s="404">
        <v>9982</v>
      </c>
      <c r="D43" s="404">
        <v>17838</v>
      </c>
      <c r="E43" s="404">
        <v>6480</v>
      </c>
      <c r="F43" s="404">
        <v>12822</v>
      </c>
      <c r="G43" s="404">
        <v>11765</v>
      </c>
      <c r="H43" s="404">
        <v>10947</v>
      </c>
      <c r="I43" s="404">
        <v>13004</v>
      </c>
      <c r="J43" s="404">
        <v>17189</v>
      </c>
      <c r="K43" s="404">
        <v>30240</v>
      </c>
      <c r="L43" s="404">
        <v>34479</v>
      </c>
      <c r="M43" s="404">
        <v>25475</v>
      </c>
      <c r="N43" s="404">
        <v>28600</v>
      </c>
      <c r="O43" s="404">
        <v>29323</v>
      </c>
      <c r="P43" s="404">
        <v>11299</v>
      </c>
      <c r="Q43" s="404">
        <v>12173</v>
      </c>
    </row>
    <row r="44" spans="1:40">
      <c r="A44" s="3" t="s">
        <v>811</v>
      </c>
      <c r="B44" s="170"/>
      <c r="C44" s="404">
        <v>10175</v>
      </c>
      <c r="D44" s="404">
        <v>8143</v>
      </c>
      <c r="E44" s="404">
        <v>8595</v>
      </c>
      <c r="F44" s="404">
        <v>12591</v>
      </c>
      <c r="G44" s="404">
        <v>11889</v>
      </c>
      <c r="H44" s="404">
        <v>8684</v>
      </c>
      <c r="I44" s="404">
        <v>11507</v>
      </c>
      <c r="J44" s="404">
        <v>15181</v>
      </c>
      <c r="K44" s="404">
        <v>20375</v>
      </c>
      <c r="L44" s="404">
        <v>30310</v>
      </c>
      <c r="M44" s="404">
        <v>16470</v>
      </c>
      <c r="N44" s="404">
        <v>17440</v>
      </c>
      <c r="O44" s="404">
        <v>10707</v>
      </c>
      <c r="P44" s="404">
        <v>12766</v>
      </c>
      <c r="Q44" s="404">
        <v>4794</v>
      </c>
    </row>
    <row r="45" spans="1:40">
      <c r="A45" s="3" t="s">
        <v>648</v>
      </c>
      <c r="B45" s="174"/>
      <c r="C45" s="404">
        <v>0</v>
      </c>
      <c r="D45" s="404">
        <v>0</v>
      </c>
      <c r="E45" s="404">
        <v>0</v>
      </c>
      <c r="F45" s="404">
        <v>0</v>
      </c>
      <c r="G45" s="404">
        <v>207021</v>
      </c>
      <c r="H45" s="404">
        <v>1981</v>
      </c>
      <c r="I45" s="404">
        <v>0</v>
      </c>
      <c r="J45" s="404">
        <v>0</v>
      </c>
      <c r="K45" s="404"/>
      <c r="L45" s="404"/>
      <c r="M45" s="404"/>
      <c r="N45" s="404"/>
      <c r="O45" s="404"/>
      <c r="P45" s="404"/>
      <c r="Q45" s="404"/>
    </row>
    <row r="46" spans="1:40">
      <c r="A46" s="3" t="s">
        <v>824</v>
      </c>
      <c r="B46" s="174"/>
      <c r="C46" s="404">
        <v>120777</v>
      </c>
      <c r="D46" s="404">
        <v>121833</v>
      </c>
      <c r="E46" s="404">
        <v>127359</v>
      </c>
      <c r="F46" s="404">
        <v>136248</v>
      </c>
      <c r="G46" s="404">
        <v>130191</v>
      </c>
      <c r="H46" s="404">
        <v>130191</v>
      </c>
      <c r="I46" s="404">
        <v>143117</v>
      </c>
      <c r="J46" s="404">
        <v>164558</v>
      </c>
      <c r="K46" s="404">
        <v>164215</v>
      </c>
      <c r="L46" s="404">
        <v>164215</v>
      </c>
      <c r="M46" s="404">
        <v>172915</v>
      </c>
      <c r="N46" s="404"/>
      <c r="O46" s="404"/>
      <c r="P46" s="404"/>
      <c r="Q46" s="404"/>
    </row>
    <row r="47" spans="1:40">
      <c r="A47" s="3" t="s">
        <v>812</v>
      </c>
      <c r="B47" s="174"/>
      <c r="C47" s="404">
        <v>1611</v>
      </c>
      <c r="D47" s="404">
        <v>1378</v>
      </c>
      <c r="E47" s="404">
        <v>1760</v>
      </c>
      <c r="F47" s="404">
        <v>1834</v>
      </c>
      <c r="G47" s="404">
        <v>1039</v>
      </c>
      <c r="H47" s="404">
        <v>1055</v>
      </c>
      <c r="I47" s="404">
        <v>1199</v>
      </c>
      <c r="J47" s="404">
        <v>1271</v>
      </c>
      <c r="K47" s="404"/>
      <c r="L47" s="404">
        <v>1906</v>
      </c>
      <c r="M47" s="404">
        <v>2433</v>
      </c>
      <c r="N47" s="404"/>
      <c r="O47" s="404">
        <v>1723</v>
      </c>
      <c r="P47" s="404">
        <v>1788</v>
      </c>
      <c r="Q47" s="404">
        <v>2365</v>
      </c>
    </row>
    <row r="48" spans="1:40">
      <c r="A48" s="3" t="s">
        <v>813</v>
      </c>
      <c r="B48" s="174"/>
      <c r="C48" s="404">
        <v>0</v>
      </c>
      <c r="D48" s="404">
        <v>0</v>
      </c>
      <c r="E48" s="404">
        <v>4304</v>
      </c>
      <c r="F48" s="404">
        <v>1219</v>
      </c>
      <c r="G48" s="404">
        <v>0</v>
      </c>
      <c r="H48" s="404">
        <v>0</v>
      </c>
      <c r="I48" s="404">
        <v>0</v>
      </c>
      <c r="J48" s="404">
        <v>50547</v>
      </c>
      <c r="K48" s="404"/>
      <c r="L48" s="404">
        <v>69410</v>
      </c>
      <c r="M48" s="404">
        <v>112947</v>
      </c>
      <c r="N48" s="404"/>
      <c r="O48" s="404"/>
      <c r="P48" s="404"/>
      <c r="Q48" s="404"/>
    </row>
    <row r="49" spans="1:40" ht="15" customHeight="1" thickBot="1">
      <c r="A49" s="3" t="s">
        <v>730</v>
      </c>
      <c r="B49" s="174"/>
      <c r="C49" s="404">
        <v>39675</v>
      </c>
      <c r="D49" s="404">
        <v>30636</v>
      </c>
      <c r="E49" s="404">
        <v>21919</v>
      </c>
      <c r="F49" s="404">
        <v>27004</v>
      </c>
      <c r="G49" s="404">
        <v>34718</v>
      </c>
      <c r="H49" s="404">
        <v>48026</v>
      </c>
      <c r="I49" s="404">
        <v>51194</v>
      </c>
      <c r="J49" s="404">
        <v>18369</v>
      </c>
      <c r="K49" s="404">
        <v>81958</v>
      </c>
      <c r="L49" s="404">
        <v>58343</v>
      </c>
      <c r="M49" s="404">
        <v>27647</v>
      </c>
      <c r="N49" s="404">
        <v>217630</v>
      </c>
      <c r="O49" s="404">
        <v>184454</v>
      </c>
      <c r="P49" s="404">
        <v>112205</v>
      </c>
      <c r="Q49" s="404">
        <v>132745</v>
      </c>
    </row>
    <row r="50" spans="1:40" ht="15" thickBot="1">
      <c r="A50" s="169" t="s">
        <v>814</v>
      </c>
      <c r="B50" s="170"/>
      <c r="C50" s="171">
        <f>SUM(C51:C64)</f>
        <v>3551942</v>
      </c>
      <c r="D50" s="171">
        <f t="shared" ref="D50:M50" si="5">SUM(D51:D64)</f>
        <v>3866250</v>
      </c>
      <c r="E50" s="171">
        <f t="shared" si="5"/>
        <v>4032368</v>
      </c>
      <c r="F50" s="171">
        <f t="shared" si="5"/>
        <v>4418782</v>
      </c>
      <c r="G50" s="171">
        <f t="shared" si="5"/>
        <v>4391733</v>
      </c>
      <c r="H50" s="171">
        <f t="shared" si="5"/>
        <v>4339356</v>
      </c>
      <c r="I50" s="171">
        <f t="shared" si="5"/>
        <v>4394087</v>
      </c>
      <c r="J50" s="171">
        <f t="shared" si="5"/>
        <v>4340466</v>
      </c>
      <c r="K50" s="171">
        <f t="shared" si="5"/>
        <v>4328148</v>
      </c>
      <c r="L50" s="171">
        <f t="shared" si="5"/>
        <v>4304293</v>
      </c>
      <c r="M50" s="171">
        <f t="shared" si="5"/>
        <v>4375272</v>
      </c>
      <c r="N50" s="171">
        <f>SUM(N51:N64)</f>
        <v>3895107</v>
      </c>
      <c r="O50" s="171">
        <f>SUM(O51:O64)</f>
        <v>4119466</v>
      </c>
      <c r="P50" s="171">
        <f>SUM(P51:P64)</f>
        <v>4104698</v>
      </c>
      <c r="Q50" s="171">
        <f>SUM(Q51:Q64)</f>
        <v>4051749</v>
      </c>
      <c r="R50" s="406"/>
      <c r="S50" s="406"/>
      <c r="T50" s="406"/>
      <c r="U50" s="406"/>
      <c r="V50" s="406"/>
      <c r="W50" s="406"/>
      <c r="X50" s="406"/>
      <c r="Y50" s="406"/>
      <c r="Z50" s="406"/>
      <c r="AA50" s="406"/>
      <c r="AB50" s="406"/>
      <c r="AC50" s="406"/>
      <c r="AD50" s="406"/>
      <c r="AE50" s="406"/>
      <c r="AF50" s="406"/>
      <c r="AG50" s="406"/>
      <c r="AH50" s="406"/>
      <c r="AI50" s="406"/>
      <c r="AJ50" s="406"/>
      <c r="AK50" s="406"/>
      <c r="AL50" s="406"/>
      <c r="AM50" s="406"/>
      <c r="AN50" s="406"/>
    </row>
    <row r="51" spans="1:40">
      <c r="A51" s="3" t="s">
        <v>825</v>
      </c>
      <c r="B51" s="174"/>
      <c r="C51" s="404">
        <v>2614785</v>
      </c>
      <c r="D51" s="404">
        <v>2587705</v>
      </c>
      <c r="E51" s="404">
        <v>2706645</v>
      </c>
      <c r="F51" s="404">
        <v>2756999</v>
      </c>
      <c r="G51" s="404">
        <v>2781837</v>
      </c>
      <c r="H51" s="404">
        <v>2743350</v>
      </c>
      <c r="I51" s="404">
        <v>2741505</v>
      </c>
      <c r="J51" s="404">
        <v>2690911</v>
      </c>
      <c r="K51" s="404">
        <v>2648114</v>
      </c>
      <c r="L51" s="404">
        <v>2602575</v>
      </c>
      <c r="M51" s="404">
        <v>2661371</v>
      </c>
      <c r="N51" s="404">
        <v>2519554</v>
      </c>
      <c r="O51" s="404">
        <v>2475168</v>
      </c>
      <c r="P51" s="404">
        <v>2422284</v>
      </c>
      <c r="Q51" s="404">
        <v>2382828</v>
      </c>
    </row>
    <row r="52" spans="1:40">
      <c r="A52" s="3" t="s">
        <v>719</v>
      </c>
      <c r="B52" s="168"/>
      <c r="C52" s="404">
        <v>487472</v>
      </c>
      <c r="D52" s="404">
        <v>823444</v>
      </c>
      <c r="E52" s="404">
        <v>836538</v>
      </c>
      <c r="F52" s="404">
        <v>1170153</v>
      </c>
      <c r="G52" s="404">
        <v>1155837</v>
      </c>
      <c r="H52" s="404">
        <v>1133008</v>
      </c>
      <c r="I52" s="404">
        <v>1171544</v>
      </c>
      <c r="J52" s="404">
        <v>1162981</v>
      </c>
      <c r="K52" s="404">
        <v>1148300</v>
      </c>
      <c r="L52" s="404">
        <v>1159805</v>
      </c>
      <c r="M52" s="404">
        <v>1149893</v>
      </c>
      <c r="N52" s="404">
        <v>848632</v>
      </c>
      <c r="O52" s="404">
        <v>822252</v>
      </c>
      <c r="P52" s="404">
        <v>830772</v>
      </c>
      <c r="Q52" s="404">
        <v>795015</v>
      </c>
    </row>
    <row r="53" spans="1:40">
      <c r="A53" s="3" t="s">
        <v>721</v>
      </c>
      <c r="B53" s="170"/>
      <c r="C53" s="404">
        <v>4921</v>
      </c>
      <c r="D53" s="404">
        <v>4614</v>
      </c>
      <c r="E53" s="404">
        <v>4199</v>
      </c>
      <c r="F53" s="404">
        <v>3894</v>
      </c>
      <c r="G53" s="404">
        <v>10343</v>
      </c>
      <c r="H53" s="404">
        <v>9153</v>
      </c>
      <c r="I53" s="404">
        <v>8459</v>
      </c>
      <c r="J53" s="404">
        <v>7744</v>
      </c>
      <c r="K53" s="404"/>
      <c r="L53" s="404"/>
      <c r="M53" s="404"/>
      <c r="N53" s="404">
        <v>3969</v>
      </c>
      <c r="O53" s="404">
        <v>3370</v>
      </c>
      <c r="P53" s="404">
        <v>2899</v>
      </c>
      <c r="Q53" s="404">
        <v>2573</v>
      </c>
    </row>
    <row r="54" spans="1:40">
      <c r="A54" s="3" t="s">
        <v>771</v>
      </c>
      <c r="B54" s="183"/>
      <c r="C54" s="404">
        <v>11210</v>
      </c>
      <c r="D54" s="404">
        <v>0</v>
      </c>
      <c r="E54" s="404">
        <v>28043</v>
      </c>
      <c r="F54" s="404">
        <v>11210</v>
      </c>
      <c r="G54" s="404">
        <v>0</v>
      </c>
      <c r="H54" s="404">
        <v>0</v>
      </c>
      <c r="I54" s="404">
        <v>0</v>
      </c>
      <c r="J54" s="404"/>
      <c r="K54" s="404">
        <v>4875</v>
      </c>
      <c r="L54" s="404">
        <v>5144</v>
      </c>
      <c r="M54" s="404">
        <v>4567</v>
      </c>
      <c r="N54" s="404"/>
      <c r="O54" s="404"/>
      <c r="P54" s="404"/>
      <c r="Q54" s="404"/>
    </row>
    <row r="55" spans="1:40">
      <c r="A55" s="3" t="s">
        <v>824</v>
      </c>
      <c r="B55" s="183"/>
      <c r="C55" s="404">
        <v>0</v>
      </c>
      <c r="D55" s="404">
        <v>6283</v>
      </c>
      <c r="E55" s="404">
        <v>0</v>
      </c>
      <c r="F55" s="404">
        <v>37082</v>
      </c>
      <c r="G55" s="404">
        <v>27417</v>
      </c>
      <c r="H55" s="404">
        <v>45128</v>
      </c>
      <c r="I55" s="404">
        <v>72756</v>
      </c>
      <c r="J55" s="404">
        <v>63982</v>
      </c>
      <c r="K55" s="404">
        <v>64520</v>
      </c>
      <c r="L55" s="404"/>
      <c r="M55" s="404">
        <v>111096</v>
      </c>
      <c r="N55" s="404"/>
      <c r="O55" s="404"/>
      <c r="P55" s="404"/>
      <c r="Q55" s="404"/>
    </row>
    <row r="56" spans="1:40">
      <c r="A56" s="3" t="s">
        <v>750</v>
      </c>
      <c r="B56" s="174"/>
      <c r="C56" s="404">
        <v>206602</v>
      </c>
      <c r="D56" s="404">
        <v>203391</v>
      </c>
      <c r="E56" s="404">
        <v>11210</v>
      </c>
      <c r="F56" s="404">
        <v>196972</v>
      </c>
      <c r="G56" s="404">
        <v>193763</v>
      </c>
      <c r="H56" s="404">
        <v>190553</v>
      </c>
      <c r="I56" s="404">
        <v>187343</v>
      </c>
      <c r="J56" s="404">
        <v>184133</v>
      </c>
      <c r="K56" s="404">
        <v>181692</v>
      </c>
      <c r="L56" s="404">
        <v>178243</v>
      </c>
      <c r="M56" s="404">
        <v>175173</v>
      </c>
      <c r="N56" s="404">
        <v>171294</v>
      </c>
      <c r="O56" s="404">
        <v>168084</v>
      </c>
      <c r="P56" s="404">
        <v>164874</v>
      </c>
      <c r="Q56" s="404">
        <v>161664</v>
      </c>
    </row>
    <row r="57" spans="1:40">
      <c r="A57" s="3" t="s">
        <v>701</v>
      </c>
      <c r="B57" s="174"/>
      <c r="C57" s="404">
        <v>0</v>
      </c>
      <c r="D57" s="404">
        <v>915</v>
      </c>
      <c r="E57" s="404">
        <v>200182</v>
      </c>
      <c r="F57" s="404">
        <v>0</v>
      </c>
      <c r="G57" s="404">
        <v>0</v>
      </c>
      <c r="H57" s="404">
        <v>0</v>
      </c>
      <c r="I57" s="404">
        <v>0</v>
      </c>
      <c r="J57" s="404"/>
      <c r="K57" s="404"/>
      <c r="L57" s="404"/>
      <c r="M57" s="404"/>
      <c r="N57" s="404"/>
      <c r="O57" s="404"/>
      <c r="P57" s="404"/>
      <c r="Q57" s="404"/>
    </row>
    <row r="58" spans="1:40">
      <c r="A58" s="3" t="s">
        <v>826</v>
      </c>
      <c r="B58" s="174"/>
      <c r="C58" s="404">
        <v>3168</v>
      </c>
      <c r="D58" s="404">
        <v>0</v>
      </c>
      <c r="E58" s="404">
        <v>3168</v>
      </c>
      <c r="F58" s="404">
        <v>3168</v>
      </c>
      <c r="G58" s="404">
        <v>3168</v>
      </c>
      <c r="H58" s="404">
        <v>3168</v>
      </c>
      <c r="I58" s="404">
        <v>3168</v>
      </c>
      <c r="J58" s="404">
        <v>3168</v>
      </c>
      <c r="K58" s="404">
        <v>3168</v>
      </c>
      <c r="L58" s="404"/>
      <c r="M58" s="404">
        <v>3168</v>
      </c>
      <c r="N58" s="404"/>
      <c r="O58" s="404"/>
      <c r="P58" s="404"/>
      <c r="Q58" s="404"/>
    </row>
    <row r="59" spans="1:40">
      <c r="A59" s="3" t="s">
        <v>827</v>
      </c>
      <c r="B59" s="174"/>
      <c r="C59" s="404">
        <v>30329</v>
      </c>
      <c r="D59" s="404">
        <v>31802</v>
      </c>
      <c r="E59" s="404">
        <v>33277</v>
      </c>
      <c r="F59" s="404">
        <v>34755</v>
      </c>
      <c r="G59" s="404">
        <v>41020</v>
      </c>
      <c r="H59" s="404">
        <v>43584</v>
      </c>
      <c r="I59" s="404">
        <v>44767</v>
      </c>
      <c r="J59" s="404">
        <v>45912</v>
      </c>
      <c r="K59" s="404">
        <v>64822</v>
      </c>
      <c r="L59" s="404"/>
      <c r="M59" s="404">
        <v>67655</v>
      </c>
      <c r="N59" s="404"/>
      <c r="O59" s="404"/>
      <c r="P59" s="404"/>
      <c r="Q59" s="404"/>
    </row>
    <row r="60" spans="1:40">
      <c r="A60" s="3" t="s">
        <v>812</v>
      </c>
      <c r="B60" s="174"/>
      <c r="C60" s="404">
        <v>74310</v>
      </c>
      <c r="D60" s="404">
        <v>74315</v>
      </c>
      <c r="E60" s="404">
        <v>73697</v>
      </c>
      <c r="F60" s="404">
        <v>73383</v>
      </c>
      <c r="G60" s="404">
        <v>58875</v>
      </c>
      <c r="H60" s="404">
        <v>58703</v>
      </c>
      <c r="I60" s="404">
        <v>58422</v>
      </c>
      <c r="J60" s="404">
        <v>58239</v>
      </c>
      <c r="K60" s="404">
        <v>64893</v>
      </c>
      <c r="L60" s="404">
        <v>64862</v>
      </c>
      <c r="M60" s="404">
        <v>64533</v>
      </c>
      <c r="N60" s="404">
        <v>64189</v>
      </c>
      <c r="O60" s="404">
        <v>64347</v>
      </c>
      <c r="P60" s="404">
        <v>63965</v>
      </c>
      <c r="Q60" s="404">
        <v>65054</v>
      </c>
    </row>
    <row r="61" spans="1:40">
      <c r="A61" s="3" t="s">
        <v>810</v>
      </c>
      <c r="B61" s="174"/>
      <c r="C61" s="404">
        <v>117645</v>
      </c>
      <c r="D61" s="404">
        <v>117625</v>
      </c>
      <c r="E61" s="404">
        <v>117707</v>
      </c>
      <c r="F61" s="404">
        <v>117625</v>
      </c>
      <c r="G61" s="404">
        <v>105819</v>
      </c>
      <c r="H61" s="404">
        <v>105779</v>
      </c>
      <c r="I61" s="404">
        <v>104764</v>
      </c>
      <c r="J61" s="404">
        <v>97641</v>
      </c>
      <c r="K61" s="404">
        <v>94072</v>
      </c>
      <c r="L61" s="404"/>
      <c r="M61" s="404">
        <v>89085</v>
      </c>
      <c r="N61" s="404"/>
      <c r="O61" s="404"/>
      <c r="P61" s="404"/>
      <c r="Q61" s="404"/>
    </row>
    <row r="62" spans="1:40">
      <c r="A62" s="3" t="s">
        <v>823</v>
      </c>
      <c r="B62" s="174"/>
      <c r="C62" s="404"/>
      <c r="D62" s="404"/>
      <c r="E62" s="404"/>
      <c r="F62" s="404"/>
      <c r="G62" s="404"/>
      <c r="H62" s="404"/>
      <c r="I62" s="404"/>
      <c r="J62" s="404"/>
      <c r="K62" s="404"/>
      <c r="L62" s="404"/>
      <c r="M62" s="404">
        <v>21406</v>
      </c>
      <c r="N62" s="404"/>
      <c r="O62" s="404"/>
      <c r="P62" s="404"/>
      <c r="Q62" s="404"/>
    </row>
    <row r="63" spans="1:40">
      <c r="A63" s="3" t="s">
        <v>828</v>
      </c>
      <c r="B63" s="174"/>
      <c r="C63" s="404"/>
      <c r="D63" s="404"/>
      <c r="E63" s="404"/>
      <c r="F63" s="404"/>
      <c r="G63" s="404"/>
      <c r="H63" s="404"/>
      <c r="I63" s="404"/>
      <c r="J63" s="404">
        <v>18802</v>
      </c>
      <c r="K63" s="404">
        <v>44947</v>
      </c>
      <c r="L63" s="404"/>
      <c r="M63" s="404">
        <v>11130</v>
      </c>
      <c r="N63" s="404"/>
      <c r="O63" s="404"/>
      <c r="P63" s="404"/>
      <c r="Q63" s="404"/>
    </row>
    <row r="64" spans="1:40" ht="15" thickBot="1">
      <c r="A64" s="3" t="s">
        <v>730</v>
      </c>
      <c r="B64" s="174"/>
      <c r="C64" s="404">
        <v>1500</v>
      </c>
      <c r="D64" s="404">
        <v>16156</v>
      </c>
      <c r="E64" s="404">
        <v>17702</v>
      </c>
      <c r="F64" s="404">
        <v>13541</v>
      </c>
      <c r="G64" s="404">
        <v>13654</v>
      </c>
      <c r="H64" s="404">
        <v>6930</v>
      </c>
      <c r="I64" s="404">
        <v>1359</v>
      </c>
      <c r="J64" s="404">
        <v>6953</v>
      </c>
      <c r="K64" s="404">
        <v>8745</v>
      </c>
      <c r="L64" s="404">
        <v>293664</v>
      </c>
      <c r="M64" s="404">
        <v>16195</v>
      </c>
      <c r="N64" s="404">
        <v>287469</v>
      </c>
      <c r="O64" s="404">
        <v>586245</v>
      </c>
      <c r="P64" s="404">
        <v>619904</v>
      </c>
      <c r="Q64" s="404">
        <v>644615</v>
      </c>
    </row>
    <row r="65" spans="1:40" ht="15" thickBot="1">
      <c r="A65" s="169" t="s">
        <v>819</v>
      </c>
      <c r="B65" s="170"/>
      <c r="C65" s="171">
        <f>+C36+C50</f>
        <v>4391698</v>
      </c>
      <c r="D65" s="171">
        <f t="shared" ref="D65:M65" si="6">+D36+D50</f>
        <v>4610246</v>
      </c>
      <c r="E65" s="171">
        <f t="shared" si="6"/>
        <v>4799391</v>
      </c>
      <c r="F65" s="171">
        <f t="shared" si="6"/>
        <v>4977590</v>
      </c>
      <c r="G65" s="171">
        <f t="shared" si="6"/>
        <v>5149419</v>
      </c>
      <c r="H65" s="171">
        <f t="shared" si="6"/>
        <v>4953820</v>
      </c>
      <c r="I65" s="171">
        <f t="shared" si="6"/>
        <v>4945865</v>
      </c>
      <c r="J65" s="171">
        <f t="shared" si="6"/>
        <v>4974835</v>
      </c>
      <c r="K65" s="171">
        <f t="shared" si="6"/>
        <v>4943625</v>
      </c>
      <c r="L65" s="171">
        <f t="shared" si="6"/>
        <v>5010760</v>
      </c>
      <c r="M65" s="171">
        <f t="shared" si="6"/>
        <v>5328863</v>
      </c>
      <c r="N65" s="171">
        <f>+N36+N50</f>
        <v>4803342</v>
      </c>
      <c r="O65" s="171">
        <f>+O36+O50</f>
        <v>4679799</v>
      </c>
      <c r="P65" s="171">
        <f>+P36+P50</f>
        <v>4586331</v>
      </c>
      <c r="Q65" s="171">
        <f>+Q36+Q50</f>
        <v>4568965</v>
      </c>
      <c r="R65" s="406"/>
      <c r="S65" s="406"/>
      <c r="T65" s="406"/>
      <c r="U65" s="406"/>
      <c r="V65" s="406"/>
      <c r="W65" s="406"/>
      <c r="X65" s="406"/>
      <c r="Y65" s="406"/>
      <c r="Z65" s="406"/>
      <c r="AA65" s="406"/>
      <c r="AB65" s="406"/>
      <c r="AC65" s="406"/>
      <c r="AD65" s="406"/>
      <c r="AE65" s="406"/>
      <c r="AF65" s="406"/>
      <c r="AG65" s="406"/>
      <c r="AH65" s="406"/>
      <c r="AI65" s="406"/>
      <c r="AJ65" s="406"/>
      <c r="AK65" s="406"/>
      <c r="AL65" s="406"/>
      <c r="AM65" s="406"/>
      <c r="AN65" s="406"/>
    </row>
    <row r="66" spans="1:40">
      <c r="A66" s="489" t="s">
        <v>829</v>
      </c>
      <c r="B66" s="174"/>
      <c r="C66" s="490">
        <f t="shared" ref="C66:P66" si="7">+SUM(C67:C71,C73)</f>
        <v>2095419</v>
      </c>
      <c r="D66" s="490">
        <f t="shared" si="7"/>
        <v>2052327</v>
      </c>
      <c r="E66" s="490">
        <f t="shared" si="7"/>
        <v>1991211</v>
      </c>
      <c r="F66" s="490">
        <f t="shared" si="7"/>
        <v>1996511</v>
      </c>
      <c r="G66" s="490">
        <f t="shared" si="7"/>
        <v>1990015</v>
      </c>
      <c r="H66" s="490">
        <f t="shared" si="7"/>
        <v>1918932</v>
      </c>
      <c r="I66" s="490">
        <f t="shared" si="7"/>
        <v>1822037</v>
      </c>
      <c r="J66" s="490">
        <f t="shared" si="7"/>
        <v>1898249</v>
      </c>
      <c r="K66" s="490">
        <f t="shared" si="7"/>
        <v>1919434</v>
      </c>
      <c r="L66" s="490">
        <f t="shared" si="7"/>
        <v>2049811</v>
      </c>
      <c r="M66" s="490">
        <f t="shared" si="7"/>
        <v>2263521</v>
      </c>
      <c r="N66" s="490">
        <f t="shared" si="7"/>
        <v>1845475</v>
      </c>
      <c r="O66" s="490">
        <f t="shared" si="7"/>
        <v>2258517</v>
      </c>
      <c r="P66" s="490">
        <f t="shared" si="7"/>
        <v>2224831</v>
      </c>
      <c r="Q66" s="490">
        <f t="shared" ref="Q66" si="8">+SUM(Q67:Q71,Q73)</f>
        <v>2193004</v>
      </c>
    </row>
    <row r="67" spans="1:40">
      <c r="A67" s="3" t="s">
        <v>762</v>
      </c>
      <c r="B67" s="174"/>
      <c r="C67" s="404">
        <v>2301821</v>
      </c>
      <c r="D67" s="404">
        <v>2301821</v>
      </c>
      <c r="E67" s="404">
        <v>2305617</v>
      </c>
      <c r="F67" s="404">
        <v>2305617</v>
      </c>
      <c r="G67" s="404">
        <v>2305848</v>
      </c>
      <c r="H67" s="404">
        <v>2525874</v>
      </c>
      <c r="I67" s="404">
        <v>2525874</v>
      </c>
      <c r="J67" s="404">
        <v>2525874</v>
      </c>
      <c r="K67" s="404">
        <v>2527185</v>
      </c>
      <c r="L67" s="404">
        <v>2752985</v>
      </c>
      <c r="M67" s="404">
        <v>2968173</v>
      </c>
      <c r="N67" s="404">
        <v>2471145</v>
      </c>
      <c r="O67" s="404">
        <v>2783145</v>
      </c>
      <c r="P67" s="404">
        <v>2783145</v>
      </c>
      <c r="Q67" s="404">
        <v>2783145</v>
      </c>
    </row>
    <row r="68" spans="1:40">
      <c r="A68" s="3" t="s">
        <v>738</v>
      </c>
      <c r="B68" s="174"/>
      <c r="C68" s="404"/>
      <c r="D68" s="404"/>
      <c r="E68" s="404"/>
      <c r="F68" s="404"/>
      <c r="G68" s="404"/>
      <c r="H68" s="404"/>
      <c r="I68" s="404"/>
      <c r="J68" s="404"/>
      <c r="K68" s="404"/>
      <c r="L68" s="404">
        <v>-67421</v>
      </c>
      <c r="M68" s="404">
        <v>1981</v>
      </c>
      <c r="N68" s="404">
        <v>1981</v>
      </c>
      <c r="O68" s="404">
        <v>1981</v>
      </c>
      <c r="P68" s="404">
        <v>1981</v>
      </c>
      <c r="Q68" s="404">
        <v>1981</v>
      </c>
    </row>
    <row r="69" spans="1:40">
      <c r="A69" s="3" t="s">
        <v>764</v>
      </c>
      <c r="B69" s="174"/>
      <c r="C69" s="404">
        <v>2158</v>
      </c>
      <c r="D69" s="404">
        <v>2158</v>
      </c>
      <c r="E69" s="404">
        <v>-8</v>
      </c>
      <c r="F69" s="404">
        <v>-8</v>
      </c>
      <c r="G69" s="404">
        <v>207013</v>
      </c>
      <c r="H69" s="404">
        <v>1981</v>
      </c>
      <c r="I69" s="404">
        <v>1981</v>
      </c>
      <c r="J69" s="404">
        <v>1981</v>
      </c>
      <c r="K69" s="404">
        <v>-16568</v>
      </c>
      <c r="L69" s="404">
        <v>-41734</v>
      </c>
      <c r="M69" s="404">
        <v>-93411</v>
      </c>
      <c r="N69" s="404">
        <v>0</v>
      </c>
      <c r="O69" s="404"/>
      <c r="P69" s="404"/>
      <c r="Q69" s="404"/>
    </row>
    <row r="70" spans="1:40">
      <c r="A70" s="3" t="s">
        <v>791</v>
      </c>
      <c r="B70" s="174"/>
      <c r="C70" s="404">
        <v>-210169</v>
      </c>
      <c r="D70" s="404">
        <v>-253259</v>
      </c>
      <c r="E70" s="404">
        <v>-314398</v>
      </c>
      <c r="F70" s="404">
        <v>-309098</v>
      </c>
      <c r="G70" s="404">
        <v>-522846</v>
      </c>
      <c r="H70" s="404">
        <v>-608923</v>
      </c>
      <c r="I70" s="404">
        <v>-705818</v>
      </c>
      <c r="J70" s="404">
        <v>-629606</v>
      </c>
      <c r="K70" s="404">
        <v>-591183</v>
      </c>
      <c r="L70" s="404">
        <v>-594019</v>
      </c>
      <c r="M70" s="404">
        <v>-684817</v>
      </c>
      <c r="N70" s="404">
        <v>-594014</v>
      </c>
      <c r="O70" s="404">
        <v>-594014</v>
      </c>
      <c r="P70" s="404">
        <v>-526611</v>
      </c>
      <c r="Q70" s="404">
        <v>-526611</v>
      </c>
    </row>
    <row r="71" spans="1:40" ht="15" thickBot="1">
      <c r="A71" s="3" t="s">
        <v>604</v>
      </c>
      <c r="B71" s="174"/>
      <c r="C71" s="404"/>
      <c r="D71" s="404"/>
      <c r="E71" s="404"/>
      <c r="F71" s="404"/>
      <c r="G71" s="404"/>
      <c r="H71" s="404"/>
      <c r="I71" s="404"/>
      <c r="J71" s="404"/>
      <c r="K71" s="404"/>
      <c r="L71" s="404"/>
      <c r="M71" s="404"/>
      <c r="N71" s="404">
        <v>-33546</v>
      </c>
      <c r="O71" s="404">
        <v>67496</v>
      </c>
      <c r="P71" s="404">
        <v>-33684</v>
      </c>
      <c r="Q71" s="404">
        <v>-65511</v>
      </c>
    </row>
    <row r="72" spans="1:40" ht="15" thickBot="1">
      <c r="A72" s="169" t="s">
        <v>830</v>
      </c>
      <c r="B72" s="170"/>
      <c r="C72" s="171">
        <v>2093810</v>
      </c>
      <c r="D72" s="171">
        <v>2050720</v>
      </c>
      <c r="E72" s="171">
        <v>1991211</v>
      </c>
      <c r="F72" s="171">
        <v>1996511</v>
      </c>
      <c r="G72" s="171">
        <v>1990015</v>
      </c>
      <c r="H72" s="171">
        <v>1918932</v>
      </c>
      <c r="I72" s="171">
        <v>1822037</v>
      </c>
      <c r="J72" s="171">
        <f t="shared" ref="J72:Q72" si="9">J66</f>
        <v>1898249</v>
      </c>
      <c r="K72" s="171">
        <f t="shared" si="9"/>
        <v>1919434</v>
      </c>
      <c r="L72" s="171">
        <f t="shared" si="9"/>
        <v>2049811</v>
      </c>
      <c r="M72" s="171">
        <f t="shared" si="9"/>
        <v>2263521</v>
      </c>
      <c r="N72" s="171">
        <f t="shared" si="9"/>
        <v>1845475</v>
      </c>
      <c r="O72" s="171">
        <f t="shared" si="9"/>
        <v>2258517</v>
      </c>
      <c r="P72" s="171">
        <f t="shared" si="9"/>
        <v>2224831</v>
      </c>
      <c r="Q72" s="171">
        <f t="shared" si="9"/>
        <v>2193004</v>
      </c>
      <c r="R72" s="406"/>
      <c r="S72" s="406"/>
      <c r="T72" s="406"/>
      <c r="U72" s="406"/>
      <c r="V72" s="406"/>
      <c r="W72" s="406"/>
      <c r="X72" s="406"/>
      <c r="Y72" s="406"/>
      <c r="Z72" s="406"/>
      <c r="AA72" s="406"/>
      <c r="AB72" s="406"/>
      <c r="AC72" s="406"/>
      <c r="AD72" s="406"/>
      <c r="AE72" s="406"/>
      <c r="AF72" s="406"/>
      <c r="AG72" s="406"/>
      <c r="AH72" s="406"/>
      <c r="AI72" s="406"/>
      <c r="AJ72" s="406"/>
      <c r="AK72" s="406"/>
      <c r="AL72" s="406"/>
      <c r="AM72" s="406"/>
      <c r="AN72" s="406"/>
    </row>
    <row r="73" spans="1:40" ht="15" thickBot="1">
      <c r="A73" s="491" t="s">
        <v>831</v>
      </c>
      <c r="B73" s="174"/>
      <c r="C73" s="404">
        <v>1609</v>
      </c>
      <c r="D73" s="404">
        <v>1607</v>
      </c>
      <c r="E73" s="404">
        <v>0</v>
      </c>
      <c r="F73" s="404">
        <v>0</v>
      </c>
      <c r="G73" s="404">
        <v>0</v>
      </c>
      <c r="H73" s="404">
        <v>0</v>
      </c>
      <c r="I73" s="404">
        <v>0</v>
      </c>
      <c r="J73" s="404">
        <v>0</v>
      </c>
      <c r="K73" s="404">
        <v>0</v>
      </c>
      <c r="L73" s="404">
        <v>0</v>
      </c>
      <c r="M73" s="404">
        <v>71595</v>
      </c>
      <c r="N73" s="404">
        <v>-91</v>
      </c>
      <c r="O73" s="404">
        <v>-91</v>
      </c>
      <c r="P73" s="404" t="s">
        <v>371</v>
      </c>
      <c r="Q73" s="404"/>
    </row>
    <row r="74" spans="1:40" ht="15" thickBot="1">
      <c r="A74" s="169" t="s">
        <v>821</v>
      </c>
      <c r="B74" s="170"/>
      <c r="C74" s="171">
        <f>+C66+C65</f>
        <v>6487117</v>
      </c>
      <c r="D74" s="171">
        <f t="shared" ref="D74:M74" si="10">+D66+D65</f>
        <v>6662573</v>
      </c>
      <c r="E74" s="171">
        <f t="shared" si="10"/>
        <v>6790602</v>
      </c>
      <c r="F74" s="171">
        <f t="shared" si="10"/>
        <v>6974101</v>
      </c>
      <c r="G74" s="171">
        <f t="shared" si="10"/>
        <v>7139434</v>
      </c>
      <c r="H74" s="171">
        <f t="shared" si="10"/>
        <v>6872752</v>
      </c>
      <c r="I74" s="171">
        <f t="shared" si="10"/>
        <v>6767902</v>
      </c>
      <c r="J74" s="171">
        <f t="shared" si="10"/>
        <v>6873084</v>
      </c>
      <c r="K74" s="171">
        <f t="shared" si="10"/>
        <v>6863059</v>
      </c>
      <c r="L74" s="171">
        <f t="shared" si="10"/>
        <v>7060571</v>
      </c>
      <c r="M74" s="171">
        <f t="shared" si="10"/>
        <v>7592384</v>
      </c>
      <c r="N74" s="171">
        <f>+N66+N65</f>
        <v>6648817</v>
      </c>
      <c r="O74" s="171">
        <f>+O66+O65</f>
        <v>6938316</v>
      </c>
      <c r="P74" s="171">
        <f>+P66+P65</f>
        <v>6811162</v>
      </c>
      <c r="Q74" s="171">
        <f>+Q66+Q65</f>
        <v>6761969</v>
      </c>
      <c r="R74" s="406"/>
      <c r="S74" s="406"/>
      <c r="T74" s="406"/>
      <c r="U74" s="406"/>
      <c r="V74" s="406"/>
      <c r="W74" s="406"/>
      <c r="X74" s="406"/>
      <c r="Y74" s="406"/>
      <c r="Z74" s="406"/>
      <c r="AA74" s="406"/>
      <c r="AB74" s="406"/>
      <c r="AC74" s="406"/>
      <c r="AD74" s="406"/>
      <c r="AE74" s="406"/>
      <c r="AF74" s="406"/>
      <c r="AG74" s="406"/>
      <c r="AH74" s="406"/>
      <c r="AI74" s="406"/>
      <c r="AJ74" s="406"/>
      <c r="AK74" s="406"/>
      <c r="AL74" s="406"/>
      <c r="AM74" s="406"/>
      <c r="AN74" s="406"/>
    </row>
    <row r="75" spans="1:40">
      <c r="B75" s="170"/>
      <c r="C75" s="492">
        <f t="shared" ref="C75:J75" si="11">+C74-C33</f>
        <v>0</v>
      </c>
      <c r="D75" s="492">
        <f t="shared" si="11"/>
        <v>0</v>
      </c>
      <c r="E75" s="492">
        <f t="shared" si="11"/>
        <v>0</v>
      </c>
      <c r="F75" s="492">
        <f t="shared" si="11"/>
        <v>0</v>
      </c>
      <c r="G75" s="492">
        <f t="shared" si="11"/>
        <v>0</v>
      </c>
      <c r="H75" s="492">
        <f t="shared" si="11"/>
        <v>0</v>
      </c>
      <c r="I75" s="492">
        <f t="shared" si="11"/>
        <v>0</v>
      </c>
      <c r="J75" s="492">
        <f t="shared" si="11"/>
        <v>0</v>
      </c>
      <c r="K75" s="656">
        <f t="shared" ref="K75:Q75" si="12">+K74-K33</f>
        <v>0</v>
      </c>
      <c r="L75" s="492">
        <f t="shared" si="12"/>
        <v>0</v>
      </c>
      <c r="M75" s="492">
        <f t="shared" si="12"/>
        <v>0</v>
      </c>
      <c r="N75" s="492">
        <f t="shared" si="12"/>
        <v>0</v>
      </c>
      <c r="O75" s="492">
        <f t="shared" si="12"/>
        <v>0</v>
      </c>
      <c r="P75" s="492">
        <f t="shared" si="12"/>
        <v>0</v>
      </c>
      <c r="Q75" s="492">
        <f t="shared" si="12"/>
        <v>0</v>
      </c>
    </row>
    <row r="76" spans="1:40">
      <c r="B76" s="174"/>
    </row>
    <row r="77" spans="1:40">
      <c r="B77" s="174"/>
    </row>
    <row r="78" spans="1:40">
      <c r="B78" s="174"/>
    </row>
    <row r="79" spans="1:40">
      <c r="B79" s="174"/>
    </row>
    <row r="80" spans="1:40">
      <c r="B80" s="174"/>
    </row>
    <row r="81" spans="2:2">
      <c r="B81" s="174"/>
    </row>
    <row r="82" spans="2:2">
      <c r="B82" s="174"/>
    </row>
    <row r="83" spans="2:2">
      <c r="B83" s="174"/>
    </row>
    <row r="84" spans="2:2">
      <c r="B84" s="174"/>
    </row>
    <row r="85" spans="2:2">
      <c r="B85" s="174"/>
    </row>
    <row r="86" spans="2:2">
      <c r="B86" s="170"/>
    </row>
    <row r="87" spans="2:2">
      <c r="B87" s="170"/>
    </row>
    <row r="88" spans="2:2">
      <c r="B88" s="174"/>
    </row>
    <row r="89" spans="2:2">
      <c r="B89" s="174"/>
    </row>
    <row r="90" spans="2:2">
      <c r="B90" s="174"/>
    </row>
    <row r="91" spans="2:2">
      <c r="B91" s="174"/>
    </row>
    <row r="92" spans="2:2">
      <c r="B92" s="174"/>
    </row>
    <row r="93" spans="2:2">
      <c r="B93" s="170"/>
    </row>
  </sheetData>
  <phoneticPr fontId="30" type="noConversion"/>
  <pageMargins left="0.511811024" right="0.511811024" top="0.78740157499999996" bottom="0.78740157499999996" header="0.31496062000000002" footer="0.31496062000000002"/>
  <ignoredErrors>
    <ignoredError sqref="K35:M35" unlockedFormula="1"/>
  </ignoredErrors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9" tint="0.79998168889431442"/>
  </sheetPr>
  <dimension ref="A6:AD72"/>
  <sheetViews>
    <sheetView showGridLines="0" zoomScale="80" zoomScaleNormal="80" workbookViewId="0">
      <pane xSplit="1" ySplit="7" topLeftCell="B8" activePane="bottomRight" state="frozen"/>
      <selection pane="topRight" activeCell="S9" sqref="S9"/>
      <selection pane="bottomLeft" activeCell="S9" sqref="S9"/>
      <selection pane="bottomRight" activeCell="G30" sqref="G30"/>
    </sheetView>
  </sheetViews>
  <sheetFormatPr defaultColWidth="8.7265625" defaultRowHeight="14.5"/>
  <cols>
    <col min="1" max="1" width="42.81640625" customWidth="1"/>
    <col min="2" max="2" width="0.54296875" customWidth="1"/>
    <col min="3" max="7" width="9.1796875" customWidth="1"/>
  </cols>
  <sheetData>
    <row r="6" spans="1:30">
      <c r="A6" s="41" t="s">
        <v>832</v>
      </c>
      <c r="B6" s="166"/>
      <c r="C6" s="487"/>
      <c r="D6" s="167"/>
      <c r="E6" s="167"/>
      <c r="F6" s="167"/>
      <c r="G6" s="167"/>
    </row>
    <row r="7" spans="1:30" ht="15" thickBot="1">
      <c r="A7" s="5" t="s">
        <v>689</v>
      </c>
      <c r="B7" s="168"/>
      <c r="C7" s="528" t="s">
        <v>50</v>
      </c>
      <c r="D7" s="528" t="s">
        <v>51</v>
      </c>
      <c r="E7" s="528" t="s">
        <v>52</v>
      </c>
      <c r="F7" s="528" t="s">
        <v>53</v>
      </c>
      <c r="G7" s="528" t="s">
        <v>54</v>
      </c>
      <c r="H7" s="405"/>
      <c r="I7" s="405"/>
      <c r="J7" s="405"/>
      <c r="K7" s="405"/>
      <c r="L7" s="405"/>
      <c r="M7" s="405"/>
      <c r="N7" s="405"/>
      <c r="O7" s="405"/>
      <c r="P7" s="405"/>
      <c r="Q7" s="405"/>
      <c r="R7" s="405"/>
      <c r="S7" s="405"/>
      <c r="T7" s="405"/>
      <c r="U7" s="405"/>
      <c r="V7" s="405"/>
      <c r="W7" s="405"/>
      <c r="X7" s="405"/>
      <c r="Y7" s="405"/>
      <c r="Z7" s="405"/>
      <c r="AA7" s="405"/>
      <c r="AB7" s="405"/>
      <c r="AC7" s="405"/>
      <c r="AD7" s="405"/>
    </row>
    <row r="8" spans="1:30" ht="15" thickBot="1">
      <c r="A8" s="169" t="s">
        <v>797</v>
      </c>
      <c r="B8" s="170"/>
      <c r="C8" s="171">
        <f>SUM(C9:C16)</f>
        <v>65968</v>
      </c>
      <c r="D8" s="171">
        <f>SUM(D9:D16)</f>
        <v>639108</v>
      </c>
      <c r="E8" s="171">
        <f>SUM(E9:E16)</f>
        <v>156308</v>
      </c>
      <c r="F8" s="171">
        <f>SUM(F9:F16)</f>
        <v>37056</v>
      </c>
      <c r="G8" s="171">
        <f>SUM(G9:G16)</f>
        <v>296185</v>
      </c>
      <c r="H8" s="406"/>
      <c r="I8" s="406"/>
      <c r="J8" s="406"/>
      <c r="K8" s="406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6"/>
      <c r="Z8" s="406"/>
      <c r="AA8" s="406"/>
      <c r="AB8" s="406"/>
      <c r="AC8" s="406"/>
      <c r="AD8" s="406"/>
    </row>
    <row r="9" spans="1:30">
      <c r="A9" s="3" t="s">
        <v>798</v>
      </c>
      <c r="B9" s="170"/>
      <c r="C9" s="404">
        <v>65966</v>
      </c>
      <c r="D9" s="404">
        <v>590570</v>
      </c>
      <c r="E9" s="404">
        <v>123516</v>
      </c>
      <c r="F9" s="404">
        <v>12027</v>
      </c>
      <c r="G9" s="404">
        <v>27130</v>
      </c>
    </row>
    <row r="10" spans="1:30">
      <c r="A10" s="3" t="s">
        <v>692</v>
      </c>
      <c r="B10" s="170"/>
      <c r="C10" s="404"/>
      <c r="D10" s="404"/>
      <c r="E10" s="404"/>
      <c r="F10" s="404"/>
      <c r="G10" s="404">
        <v>151709</v>
      </c>
    </row>
    <row r="11" spans="1:30">
      <c r="A11" s="3" t="s">
        <v>799</v>
      </c>
      <c r="B11" s="174"/>
      <c r="C11" s="613">
        <v>0</v>
      </c>
      <c r="D11" s="404">
        <v>574</v>
      </c>
      <c r="E11" s="404">
        <v>185</v>
      </c>
      <c r="F11" s="404">
        <v>12</v>
      </c>
      <c r="G11" s="404">
        <v>12227</v>
      </c>
    </row>
    <row r="12" spans="1:30">
      <c r="A12" s="3" t="s">
        <v>701</v>
      </c>
      <c r="B12" s="174"/>
      <c r="C12" s="613">
        <v>0</v>
      </c>
      <c r="D12" s="404">
        <v>29922</v>
      </c>
      <c r="E12" s="404">
        <v>6743</v>
      </c>
      <c r="F12" s="404">
        <v>3123</v>
      </c>
      <c r="G12" s="404">
        <v>70961</v>
      </c>
    </row>
    <row r="13" spans="1:30">
      <c r="A13" s="3" t="s">
        <v>703</v>
      </c>
      <c r="B13" s="174"/>
      <c r="C13" s="613">
        <v>0</v>
      </c>
      <c r="D13" s="404">
        <v>1832</v>
      </c>
      <c r="E13" s="404">
        <v>2855</v>
      </c>
      <c r="F13" s="404">
        <v>2738</v>
      </c>
      <c r="G13" s="404">
        <v>3154</v>
      </c>
    </row>
    <row r="14" spans="1:30">
      <c r="A14" s="3" t="s">
        <v>704</v>
      </c>
      <c r="B14" s="174"/>
      <c r="C14" s="404">
        <v>2</v>
      </c>
      <c r="D14" s="404">
        <v>1668</v>
      </c>
      <c r="E14" s="404">
        <v>7449</v>
      </c>
      <c r="F14" s="404">
        <v>7640</v>
      </c>
      <c r="G14" s="404">
        <v>9806</v>
      </c>
    </row>
    <row r="15" spans="1:30">
      <c r="A15" s="3" t="s">
        <v>823</v>
      </c>
      <c r="B15" s="174"/>
      <c r="C15" s="613">
        <v>0</v>
      </c>
      <c r="D15" s="404">
        <v>11691</v>
      </c>
      <c r="E15" s="404">
        <v>10744</v>
      </c>
      <c r="F15" s="404">
        <v>5380</v>
      </c>
      <c r="G15" s="404">
        <v>4324</v>
      </c>
    </row>
    <row r="16" spans="1:30" ht="15" thickBot="1">
      <c r="A16" s="3" t="s">
        <v>705</v>
      </c>
      <c r="B16" s="174"/>
      <c r="C16" s="613">
        <v>0</v>
      </c>
      <c r="D16" s="404">
        <v>2851</v>
      </c>
      <c r="E16" s="404">
        <v>4816</v>
      </c>
      <c r="F16" s="404">
        <v>6136</v>
      </c>
      <c r="G16" s="404">
        <v>16874</v>
      </c>
    </row>
    <row r="17" spans="1:30" ht="15" thickBot="1">
      <c r="A17" s="169" t="s">
        <v>806</v>
      </c>
      <c r="B17" s="170"/>
      <c r="C17" s="171">
        <f t="shared" ref="C17:F17" si="0">SUM(C18:C26)</f>
        <v>128959</v>
      </c>
      <c r="D17" s="171">
        <f t="shared" si="0"/>
        <v>2021714</v>
      </c>
      <c r="E17" s="171">
        <f t="shared" si="0"/>
        <v>2608435</v>
      </c>
      <c r="F17" s="171">
        <f t="shared" si="0"/>
        <v>2835252</v>
      </c>
      <c r="G17" s="171">
        <f>SUM(G18:G26)</f>
        <v>2954644</v>
      </c>
      <c r="H17" s="406"/>
      <c r="I17" s="406"/>
      <c r="J17" s="406"/>
      <c r="K17" s="406"/>
      <c r="L17" s="406"/>
      <c r="M17" s="406"/>
      <c r="N17" s="406"/>
      <c r="O17" s="406"/>
      <c r="P17" s="406"/>
      <c r="Q17" s="406"/>
      <c r="R17" s="406"/>
      <c r="S17" s="406"/>
      <c r="T17" s="406"/>
      <c r="U17" s="406"/>
      <c r="V17" s="406"/>
      <c r="W17" s="406"/>
      <c r="X17" s="406"/>
      <c r="Y17" s="406"/>
      <c r="Z17" s="406"/>
      <c r="AA17" s="406"/>
      <c r="AB17" s="406"/>
      <c r="AC17" s="406"/>
      <c r="AD17" s="406"/>
    </row>
    <row r="18" spans="1:30">
      <c r="A18" s="3" t="s">
        <v>692</v>
      </c>
      <c r="B18" s="174"/>
      <c r="C18" s="613"/>
      <c r="D18" s="613"/>
      <c r="E18" s="613"/>
      <c r="F18" s="613"/>
      <c r="G18" s="404">
        <v>19188</v>
      </c>
    </row>
    <row r="19" spans="1:30">
      <c r="A19" s="3" t="s">
        <v>799</v>
      </c>
      <c r="B19" s="174"/>
      <c r="C19" s="613">
        <v>0</v>
      </c>
      <c r="D19" s="613">
        <v>0</v>
      </c>
      <c r="E19" s="613">
        <v>0</v>
      </c>
      <c r="F19" s="613"/>
      <c r="G19" s="613"/>
    </row>
    <row r="20" spans="1:30">
      <c r="A20" s="3" t="s">
        <v>823</v>
      </c>
      <c r="B20" s="174"/>
      <c r="C20" s="613">
        <v>0</v>
      </c>
      <c r="D20" s="404">
        <v>18950</v>
      </c>
      <c r="E20" s="404">
        <v>13115</v>
      </c>
      <c r="F20" s="404">
        <v>5080</v>
      </c>
      <c r="G20" s="404">
        <v>4300</v>
      </c>
    </row>
    <row r="21" spans="1:30">
      <c r="A21" s="3" t="s">
        <v>805</v>
      </c>
      <c r="B21" s="170"/>
      <c r="C21" s="613">
        <v>0</v>
      </c>
      <c r="D21" s="404">
        <v>4026</v>
      </c>
      <c r="E21" s="404">
        <v>3679</v>
      </c>
      <c r="F21" s="404">
        <v>3154</v>
      </c>
      <c r="G21" s="404">
        <v>4526</v>
      </c>
    </row>
    <row r="22" spans="1:30">
      <c r="A22" s="3" t="s">
        <v>753</v>
      </c>
      <c r="B22" s="170"/>
      <c r="C22" s="613">
        <v>0</v>
      </c>
      <c r="D22" s="404">
        <v>119819</v>
      </c>
      <c r="E22" s="404">
        <v>86341</v>
      </c>
      <c r="F22" s="404"/>
      <c r="G22" s="404"/>
    </row>
    <row r="23" spans="1:30">
      <c r="A23" s="3" t="s">
        <v>709</v>
      </c>
      <c r="B23" s="170"/>
      <c r="C23" s="404">
        <v>71595</v>
      </c>
      <c r="D23" s="613">
        <v>0</v>
      </c>
      <c r="E23" s="613">
        <v>0</v>
      </c>
      <c r="F23" s="404">
        <v>1</v>
      </c>
      <c r="G23" s="404">
        <v>1</v>
      </c>
    </row>
    <row r="24" spans="1:30">
      <c r="A24" s="3" t="s">
        <v>770</v>
      </c>
      <c r="B24" s="174"/>
      <c r="C24" s="404">
        <v>165</v>
      </c>
      <c r="D24" s="404">
        <v>1878919</v>
      </c>
      <c r="E24" s="404">
        <v>2410712</v>
      </c>
      <c r="F24" s="404">
        <v>2646313</v>
      </c>
      <c r="G24" s="404">
        <v>2745988</v>
      </c>
    </row>
    <row r="25" spans="1:30">
      <c r="A25" s="3" t="s">
        <v>711</v>
      </c>
      <c r="B25" s="174"/>
      <c r="C25" s="404">
        <v>57199</v>
      </c>
      <c r="D25" s="613">
        <v>0</v>
      </c>
      <c r="E25" s="404">
        <v>94588</v>
      </c>
      <c r="F25" s="404">
        <v>94875</v>
      </c>
      <c r="G25" s="404">
        <v>95324</v>
      </c>
    </row>
    <row r="26" spans="1:30" ht="15" thickBot="1">
      <c r="A26" s="3" t="s">
        <v>753</v>
      </c>
      <c r="B26" s="174"/>
      <c r="C26" s="404"/>
      <c r="D26" s="613"/>
      <c r="E26" s="404"/>
      <c r="F26" s="404">
        <v>85829</v>
      </c>
      <c r="G26" s="404">
        <v>85317</v>
      </c>
    </row>
    <row r="27" spans="1:30" ht="15" thickBot="1">
      <c r="A27" s="169" t="s">
        <v>808</v>
      </c>
      <c r="B27" s="170"/>
      <c r="C27" s="171">
        <f>C8+C17</f>
        <v>194927</v>
      </c>
      <c r="D27" s="171">
        <f>D8+D17</f>
        <v>2660822</v>
      </c>
      <c r="E27" s="171">
        <f>E8+E17</f>
        <v>2764743</v>
      </c>
      <c r="F27" s="171">
        <f>F8+F17</f>
        <v>2872308</v>
      </c>
      <c r="G27" s="171">
        <f>G8+G17</f>
        <v>3250829</v>
      </c>
      <c r="H27" s="406"/>
      <c r="I27" s="406"/>
      <c r="J27" s="406"/>
      <c r="K27" s="406"/>
      <c r="L27" s="406"/>
      <c r="M27" s="406"/>
      <c r="N27" s="406"/>
      <c r="O27" s="406"/>
      <c r="P27" s="406"/>
      <c r="Q27" s="406"/>
      <c r="R27" s="406"/>
      <c r="S27" s="406"/>
      <c r="T27" s="406"/>
      <c r="U27" s="406"/>
      <c r="V27" s="406"/>
      <c r="W27" s="406"/>
      <c r="X27" s="406"/>
      <c r="Y27" s="406"/>
      <c r="Z27" s="406"/>
      <c r="AA27" s="406"/>
      <c r="AB27" s="406"/>
      <c r="AC27" s="406"/>
      <c r="AD27" s="406"/>
    </row>
    <row r="28" spans="1:30">
      <c r="A28" s="488"/>
      <c r="B28" s="174"/>
    </row>
    <row r="29" spans="1:30" ht="15" thickBot="1">
      <c r="A29" s="5" t="s">
        <v>715</v>
      </c>
      <c r="B29" s="168"/>
      <c r="C29" s="528" t="str">
        <f>C7</f>
        <v>2T23</v>
      </c>
      <c r="D29" s="528" t="s">
        <v>51</v>
      </c>
      <c r="E29" s="528" t="s">
        <v>52</v>
      </c>
      <c r="F29" s="528" t="s">
        <v>53</v>
      </c>
      <c r="G29" s="528" t="str">
        <f>G7</f>
        <v>2T24</v>
      </c>
      <c r="H29" s="405"/>
      <c r="I29" s="405"/>
      <c r="J29" s="405"/>
      <c r="K29" s="405"/>
      <c r="L29" s="405"/>
      <c r="M29" s="405"/>
      <c r="N29" s="405"/>
      <c r="O29" s="405"/>
      <c r="P29" s="405"/>
      <c r="Q29" s="405"/>
      <c r="R29" s="405"/>
      <c r="S29" s="405"/>
      <c r="T29" s="405"/>
      <c r="U29" s="405"/>
      <c r="V29" s="405"/>
      <c r="W29" s="405"/>
      <c r="X29" s="405"/>
      <c r="Y29" s="405"/>
      <c r="Z29" s="405"/>
      <c r="AA29" s="405"/>
      <c r="AB29" s="405"/>
      <c r="AC29" s="405"/>
      <c r="AD29" s="405"/>
    </row>
    <row r="30" spans="1:30" ht="15" thickBot="1">
      <c r="A30" s="169" t="s">
        <v>809</v>
      </c>
      <c r="B30" s="170"/>
      <c r="C30" s="171">
        <f>SUM(C31:C38)</f>
        <v>24436</v>
      </c>
      <c r="D30" s="171">
        <f>SUM(D31:D38)</f>
        <v>1615834</v>
      </c>
      <c r="E30" s="171">
        <f>SUM(E31:E38)</f>
        <v>1569305</v>
      </c>
      <c r="F30" s="171">
        <f>SUM(F31:F38)</f>
        <v>1585210</v>
      </c>
      <c r="G30" s="171">
        <f>SUM(G31:G38)</f>
        <v>685044</v>
      </c>
      <c r="H30" s="406"/>
      <c r="I30" s="406"/>
      <c r="J30" s="406"/>
      <c r="K30" s="406"/>
      <c r="L30" s="406"/>
      <c r="M30" s="406"/>
      <c r="N30" s="406"/>
      <c r="O30" s="406"/>
      <c r="P30" s="406"/>
      <c r="Q30" s="406"/>
      <c r="R30" s="406"/>
      <c r="S30" s="406"/>
      <c r="T30" s="406"/>
      <c r="U30" s="406"/>
      <c r="V30" s="406"/>
      <c r="W30" s="406"/>
      <c r="X30" s="406"/>
      <c r="Y30" s="406"/>
      <c r="Z30" s="406"/>
      <c r="AA30" s="406"/>
      <c r="AB30" s="406"/>
      <c r="AC30" s="406"/>
      <c r="AD30" s="406"/>
    </row>
    <row r="31" spans="1:30">
      <c r="A31" s="3" t="s">
        <v>716</v>
      </c>
      <c r="B31" s="174"/>
      <c r="C31" s="613">
        <v>0</v>
      </c>
      <c r="D31" s="404">
        <v>86501</v>
      </c>
      <c r="E31" s="404">
        <v>56780</v>
      </c>
      <c r="F31" s="404">
        <v>120428</v>
      </c>
      <c r="G31" s="404">
        <v>72339</v>
      </c>
    </row>
    <row r="32" spans="1:30">
      <c r="A32" s="3" t="s">
        <v>717</v>
      </c>
      <c r="B32" s="174"/>
      <c r="C32" s="613">
        <v>0</v>
      </c>
      <c r="D32" s="404">
        <v>570</v>
      </c>
      <c r="E32" s="404">
        <v>3458</v>
      </c>
      <c r="F32" s="404">
        <v>3696</v>
      </c>
      <c r="G32" s="404">
        <v>2450</v>
      </c>
    </row>
    <row r="33" spans="1:30">
      <c r="A33" s="3" t="s">
        <v>823</v>
      </c>
      <c r="B33" s="174"/>
      <c r="C33" s="613">
        <v>0</v>
      </c>
      <c r="D33" s="404">
        <v>11303</v>
      </c>
      <c r="E33" s="404">
        <v>10527</v>
      </c>
      <c r="F33" s="404">
        <v>5171</v>
      </c>
      <c r="G33" s="404">
        <v>4104</v>
      </c>
    </row>
    <row r="34" spans="1:30">
      <c r="A34" s="3" t="s">
        <v>718</v>
      </c>
      <c r="B34" s="174"/>
      <c r="C34" s="613">
        <v>0</v>
      </c>
      <c r="D34" s="404">
        <v>1453122</v>
      </c>
      <c r="E34" s="404">
        <v>1460303</v>
      </c>
      <c r="F34" s="404">
        <v>1437851</v>
      </c>
      <c r="G34" s="404">
        <v>588303</v>
      </c>
    </row>
    <row r="35" spans="1:30">
      <c r="A35" s="3" t="s">
        <v>721</v>
      </c>
      <c r="B35" s="174"/>
      <c r="C35" s="613">
        <v>0</v>
      </c>
      <c r="D35" s="404">
        <v>4906</v>
      </c>
      <c r="E35" s="404">
        <v>545</v>
      </c>
      <c r="F35" s="404">
        <v>1023</v>
      </c>
      <c r="G35" s="404">
        <v>1143</v>
      </c>
    </row>
    <row r="36" spans="1:30">
      <c r="A36" s="3" t="s">
        <v>771</v>
      </c>
      <c r="B36" s="174"/>
      <c r="C36" s="404">
        <v>2</v>
      </c>
      <c r="D36" s="613">
        <v>0</v>
      </c>
      <c r="E36" s="404">
        <v>1949</v>
      </c>
      <c r="F36" s="404">
        <v>726</v>
      </c>
      <c r="G36" s="404">
        <v>201</v>
      </c>
    </row>
    <row r="37" spans="1:30">
      <c r="A37" s="3" t="s">
        <v>701</v>
      </c>
      <c r="B37" s="174"/>
      <c r="C37" s="613">
        <v>0</v>
      </c>
      <c r="D37" s="404">
        <v>17214</v>
      </c>
      <c r="E37" s="404">
        <v>20147</v>
      </c>
      <c r="F37" s="404">
        <v>2305</v>
      </c>
      <c r="G37" s="404"/>
    </row>
    <row r="38" spans="1:30" ht="15" customHeight="1" thickBot="1">
      <c r="A38" s="3" t="s">
        <v>730</v>
      </c>
      <c r="B38" s="174"/>
      <c r="C38" s="404">
        <v>24434</v>
      </c>
      <c r="D38" s="404">
        <v>42218</v>
      </c>
      <c r="E38" s="404">
        <v>15596</v>
      </c>
      <c r="F38" s="404">
        <v>14010</v>
      </c>
      <c r="G38" s="404">
        <v>16504</v>
      </c>
    </row>
    <row r="39" spans="1:30" ht="15" thickBot="1">
      <c r="A39" s="169" t="s">
        <v>814</v>
      </c>
      <c r="B39" s="170"/>
      <c r="C39" s="171">
        <f>SUM(C40:C45)</f>
        <v>21118</v>
      </c>
      <c r="D39" s="171">
        <f>SUM(D40:D45)</f>
        <v>377221</v>
      </c>
      <c r="E39" s="171">
        <f>SUM(E40:E45)</f>
        <v>463811</v>
      </c>
      <c r="F39" s="171">
        <f>SUM(F40:F45)</f>
        <v>463749</v>
      </c>
      <c r="G39" s="171">
        <f>SUM(G40:G45)</f>
        <v>1709233</v>
      </c>
      <c r="H39" s="406"/>
      <c r="I39" s="406"/>
      <c r="J39" s="406"/>
      <c r="K39" s="406"/>
      <c r="L39" s="406"/>
      <c r="M39" s="406"/>
      <c r="N39" s="406"/>
      <c r="O39" s="406"/>
      <c r="P39" s="406"/>
      <c r="Q39" s="406"/>
      <c r="R39" s="406"/>
      <c r="S39" s="406"/>
      <c r="T39" s="406"/>
      <c r="U39" s="406"/>
      <c r="V39" s="406"/>
      <c r="W39" s="406"/>
      <c r="X39" s="406"/>
      <c r="Y39" s="406"/>
      <c r="Z39" s="406"/>
      <c r="AA39" s="406"/>
      <c r="AB39" s="406"/>
      <c r="AC39" s="406"/>
      <c r="AD39" s="406"/>
    </row>
    <row r="40" spans="1:30">
      <c r="A40" s="3" t="s">
        <v>718</v>
      </c>
      <c r="B40" s="174"/>
      <c r="C40" s="613">
        <v>0</v>
      </c>
      <c r="D40" s="404">
        <v>339308</v>
      </c>
      <c r="E40" s="404">
        <v>345107</v>
      </c>
      <c r="F40" s="404">
        <v>352292</v>
      </c>
      <c r="G40" s="404">
        <v>677598</v>
      </c>
    </row>
    <row r="41" spans="1:30">
      <c r="A41" s="3" t="s">
        <v>719</v>
      </c>
      <c r="B41" s="174"/>
      <c r="C41" s="613"/>
      <c r="D41" s="404"/>
      <c r="E41" s="404"/>
      <c r="F41" s="404"/>
      <c r="G41" s="404">
        <v>918742</v>
      </c>
    </row>
    <row r="42" spans="1:30">
      <c r="A42" s="3" t="s">
        <v>750</v>
      </c>
      <c r="B42" s="168"/>
      <c r="C42" s="613">
        <v>0</v>
      </c>
      <c r="D42" s="404">
        <v>423</v>
      </c>
      <c r="E42" s="404">
        <v>404</v>
      </c>
      <c r="F42" s="404">
        <v>381</v>
      </c>
      <c r="G42" s="404">
        <v>365</v>
      </c>
    </row>
    <row r="43" spans="1:30">
      <c r="A43" s="3" t="s">
        <v>833</v>
      </c>
      <c r="B43" s="170"/>
      <c r="C43" s="613">
        <v>0</v>
      </c>
      <c r="D43" s="404">
        <v>127</v>
      </c>
      <c r="E43" s="404">
        <v>121</v>
      </c>
      <c r="F43" s="404">
        <v>114</v>
      </c>
      <c r="G43" s="404">
        <v>110</v>
      </c>
    </row>
    <row r="44" spans="1:30">
      <c r="A44" s="3" t="s">
        <v>823</v>
      </c>
      <c r="B44" s="183"/>
      <c r="C44" s="613">
        <v>0</v>
      </c>
      <c r="D44" s="404">
        <v>17968</v>
      </c>
      <c r="E44" s="404">
        <v>12024</v>
      </c>
      <c r="F44" s="404">
        <v>4058</v>
      </c>
      <c r="G44" s="404">
        <v>3336</v>
      </c>
    </row>
    <row r="45" spans="1:30" ht="15" thickBot="1">
      <c r="A45" s="3" t="s">
        <v>730</v>
      </c>
      <c r="B45" s="183"/>
      <c r="C45" s="404">
        <v>21118</v>
      </c>
      <c r="D45" s="404">
        <v>19395</v>
      </c>
      <c r="E45" s="404">
        <v>106155</v>
      </c>
      <c r="F45" s="404">
        <v>106904</v>
      </c>
      <c r="G45" s="404">
        <v>109082</v>
      </c>
    </row>
    <row r="46" spans="1:30" ht="15" thickBot="1">
      <c r="A46" s="169" t="s">
        <v>819</v>
      </c>
      <c r="B46" s="170"/>
      <c r="C46" s="171">
        <f>+C30+C39</f>
        <v>45554</v>
      </c>
      <c r="D46" s="171">
        <f>+D30+D39</f>
        <v>1993055</v>
      </c>
      <c r="E46" s="171">
        <f>+E30+E39</f>
        <v>2033116</v>
      </c>
      <c r="F46" s="171">
        <f>+F30+F39</f>
        <v>2048959</v>
      </c>
      <c r="G46" s="171">
        <f>+G30+G39</f>
        <v>2394277</v>
      </c>
      <c r="H46" s="406"/>
      <c r="I46" s="406"/>
      <c r="J46" s="406"/>
      <c r="K46" s="406"/>
      <c r="L46" s="406"/>
      <c r="M46" s="406"/>
      <c r="N46" s="406"/>
      <c r="O46" s="406"/>
      <c r="P46" s="406"/>
      <c r="Q46" s="406"/>
      <c r="R46" s="406"/>
      <c r="S46" s="406"/>
      <c r="T46" s="406"/>
      <c r="U46" s="406"/>
      <c r="V46" s="406"/>
      <c r="W46" s="406"/>
      <c r="X46" s="406"/>
      <c r="Y46" s="406"/>
      <c r="Z46" s="406"/>
      <c r="AA46" s="406"/>
      <c r="AB46" s="406"/>
      <c r="AC46" s="406"/>
      <c r="AD46" s="406"/>
    </row>
    <row r="47" spans="1:30">
      <c r="A47" s="489" t="s">
        <v>829</v>
      </c>
      <c r="B47" s="174"/>
      <c r="C47" s="614">
        <f>+SUM(C48:C52)</f>
        <v>149373</v>
      </c>
      <c r="D47" s="614">
        <f t="shared" ref="D47:E47" si="1">+SUM(D48:D52)</f>
        <v>667767</v>
      </c>
      <c r="E47" s="614">
        <f t="shared" si="1"/>
        <v>731627</v>
      </c>
      <c r="F47" s="614">
        <f t="shared" ref="F47:G47" si="2">+SUM(F48:F52)</f>
        <v>823349</v>
      </c>
      <c r="G47" s="614">
        <f t="shared" si="2"/>
        <v>856552</v>
      </c>
    </row>
    <row r="48" spans="1:30">
      <c r="A48" s="3" t="s">
        <v>762</v>
      </c>
      <c r="B48" s="174"/>
      <c r="C48" s="404">
        <v>168812</v>
      </c>
      <c r="D48" s="404">
        <v>665840</v>
      </c>
      <c r="E48" s="404">
        <v>745840</v>
      </c>
      <c r="F48" s="404">
        <v>820839</v>
      </c>
      <c r="G48" s="404">
        <v>840839</v>
      </c>
    </row>
    <row r="49" spans="1:30">
      <c r="A49" s="3" t="s">
        <v>738</v>
      </c>
      <c r="B49" s="174"/>
      <c r="C49" s="404">
        <v>-19536</v>
      </c>
      <c r="D49" s="404">
        <v>-4384</v>
      </c>
      <c r="E49" s="404">
        <v>-13220</v>
      </c>
      <c r="F49" s="404">
        <v>2878</v>
      </c>
      <c r="G49" s="404">
        <v>39381</v>
      </c>
    </row>
    <row r="50" spans="1:30">
      <c r="A50" s="3" t="s">
        <v>764</v>
      </c>
      <c r="B50" s="174"/>
      <c r="C50" s="613">
        <v>0</v>
      </c>
      <c r="D50" s="613">
        <v>0</v>
      </c>
      <c r="E50" s="613">
        <v>0</v>
      </c>
      <c r="F50" s="613"/>
      <c r="G50" s="613"/>
    </row>
    <row r="51" spans="1:30">
      <c r="A51" s="3" t="s">
        <v>791</v>
      </c>
      <c r="B51" s="174"/>
      <c r="C51" s="613">
        <v>0</v>
      </c>
      <c r="D51" s="613">
        <v>0</v>
      </c>
      <c r="E51" s="613">
        <v>0</v>
      </c>
      <c r="F51" s="404">
        <v>-994</v>
      </c>
      <c r="G51" s="404">
        <v>-994</v>
      </c>
    </row>
    <row r="52" spans="1:30" ht="15" thickBot="1">
      <c r="A52" s="3" t="s">
        <v>604</v>
      </c>
      <c r="B52" s="174"/>
      <c r="C52" s="404">
        <v>97</v>
      </c>
      <c r="D52" s="404">
        <v>6311</v>
      </c>
      <c r="E52" s="404">
        <v>-993</v>
      </c>
      <c r="F52" s="404">
        <v>626</v>
      </c>
      <c r="G52" s="404">
        <v>-22674</v>
      </c>
    </row>
    <row r="53" spans="1:30" ht="15" thickBot="1">
      <c r="A53" s="169" t="s">
        <v>821</v>
      </c>
      <c r="B53" s="170"/>
      <c r="C53" s="171">
        <f t="shared" ref="C53" si="3">+C47+C46</f>
        <v>194927</v>
      </c>
      <c r="D53" s="171">
        <f>+D47+D46</f>
        <v>2660822</v>
      </c>
      <c r="E53" s="171">
        <f>+E47+E46</f>
        <v>2764743</v>
      </c>
      <c r="F53" s="171">
        <f>+F47+F46</f>
        <v>2872308</v>
      </c>
      <c r="G53" s="171">
        <f>+G47+G46</f>
        <v>3250829</v>
      </c>
      <c r="H53" s="406"/>
      <c r="I53" s="406"/>
      <c r="J53" s="406"/>
      <c r="K53" s="406"/>
      <c r="L53" s="406"/>
      <c r="M53" s="406"/>
      <c r="N53" s="406"/>
      <c r="O53" s="406"/>
      <c r="P53" s="406"/>
      <c r="Q53" s="406"/>
      <c r="R53" s="406"/>
      <c r="S53" s="406"/>
      <c r="T53" s="406"/>
      <c r="U53" s="406"/>
      <c r="V53" s="406"/>
      <c r="W53" s="406"/>
      <c r="X53" s="406"/>
      <c r="Y53" s="406"/>
      <c r="Z53" s="406"/>
      <c r="AA53" s="406"/>
      <c r="AB53" s="406"/>
      <c r="AC53" s="406"/>
      <c r="AD53" s="406"/>
    </row>
    <row r="54" spans="1:30">
      <c r="B54" s="170"/>
      <c r="C54" s="492">
        <f>+C53-C27</f>
        <v>0</v>
      </c>
      <c r="D54" s="492">
        <f>+D53-D27</f>
        <v>0</v>
      </c>
      <c r="E54" s="492">
        <f>+E53-E27</f>
        <v>0</v>
      </c>
      <c r="F54" s="492">
        <f>+F53-F27</f>
        <v>0</v>
      </c>
      <c r="G54" s="492">
        <f>+G53-G27</f>
        <v>0</v>
      </c>
    </row>
    <row r="55" spans="1:30">
      <c r="B55" s="174"/>
    </row>
    <row r="56" spans="1:30">
      <c r="B56" s="174"/>
    </row>
    <row r="57" spans="1:30">
      <c r="B57" s="174"/>
    </row>
    <row r="58" spans="1:30">
      <c r="B58" s="174"/>
    </row>
    <row r="59" spans="1:30">
      <c r="B59" s="174"/>
    </row>
    <row r="60" spans="1:30">
      <c r="B60" s="174"/>
    </row>
    <row r="61" spans="1:30">
      <c r="B61" s="174"/>
    </row>
    <row r="62" spans="1:30">
      <c r="B62" s="174"/>
    </row>
    <row r="63" spans="1:30">
      <c r="B63" s="174"/>
    </row>
    <row r="64" spans="1:30">
      <c r="B64" s="174"/>
    </row>
    <row r="65" spans="2:2">
      <c r="B65" s="170"/>
    </row>
    <row r="66" spans="2:2">
      <c r="B66" s="170"/>
    </row>
    <row r="67" spans="2:2">
      <c r="B67" s="174"/>
    </row>
    <row r="68" spans="2:2">
      <c r="B68" s="174"/>
    </row>
    <row r="69" spans="2:2">
      <c r="B69" s="174"/>
    </row>
    <row r="70" spans="2:2">
      <c r="B70" s="174"/>
    </row>
    <row r="71" spans="2:2">
      <c r="B71" s="174"/>
    </row>
    <row r="72" spans="2:2">
      <c r="B72" s="170"/>
    </row>
  </sheetData>
  <pageMargins left="0.511811024" right="0.511811024" top="0.78740157499999996" bottom="0.78740157499999996" header="0.31496062000000002" footer="0.3149606200000000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9" tint="0.79998168889431442"/>
  </sheetPr>
  <dimension ref="A4:AG95"/>
  <sheetViews>
    <sheetView showGridLines="0" zoomScale="70" zoomScaleNormal="70" workbookViewId="0">
      <pane xSplit="1" ySplit="7" topLeftCell="B8" activePane="bottomRight" state="frozen"/>
      <selection pane="topRight" activeCell="S9" sqref="S9"/>
      <selection pane="bottomLeft" activeCell="S9" sqref="S9"/>
      <selection pane="bottomRight" activeCell="AF17" sqref="AF17"/>
    </sheetView>
  </sheetViews>
  <sheetFormatPr defaultColWidth="9.1796875" defaultRowHeight="14.5" outlineLevelCol="1"/>
  <cols>
    <col min="1" max="1" width="40.7265625" style="37" bestFit="1" customWidth="1"/>
    <col min="2" max="2" width="0.81640625" customWidth="1"/>
    <col min="3" max="14" width="0" style="37" hidden="1" customWidth="1" outlineLevel="1"/>
    <col min="15" max="22" width="11.26953125" style="37" hidden="1" customWidth="1" outlineLevel="1"/>
    <col min="23" max="23" width="11.26953125" style="37" bestFit="1" customWidth="1" collapsed="1"/>
    <col min="24" max="32" width="11.26953125" style="37" bestFit="1" customWidth="1"/>
    <col min="33" max="16384" width="9.1796875" style="37"/>
  </cols>
  <sheetData>
    <row r="4" spans="1:33">
      <c r="AB4" s="111"/>
      <c r="AC4" s="111"/>
      <c r="AD4" s="111"/>
      <c r="AE4" s="111"/>
      <c r="AF4" s="111"/>
    </row>
    <row r="5" spans="1:33">
      <c r="AB5" s="111"/>
      <c r="AC5" s="111"/>
      <c r="AD5" s="111"/>
      <c r="AE5" s="111"/>
      <c r="AF5" s="111"/>
    </row>
    <row r="6" spans="1:33">
      <c r="A6" s="41" t="s">
        <v>629</v>
      </c>
      <c r="B6" s="133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</row>
    <row r="7" spans="1:33" ht="15" thickBot="1">
      <c r="A7" s="5" t="s">
        <v>834</v>
      </c>
      <c r="B7" s="405"/>
      <c r="C7" s="528" t="s">
        <v>25</v>
      </c>
      <c r="D7" s="528" t="s">
        <v>26</v>
      </c>
      <c r="E7" s="528" t="s">
        <v>27</v>
      </c>
      <c r="F7" s="528" t="s">
        <v>28</v>
      </c>
      <c r="G7" s="528" t="s">
        <v>29</v>
      </c>
      <c r="H7" s="528" t="s">
        <v>30</v>
      </c>
      <c r="I7" s="528" t="s">
        <v>31</v>
      </c>
      <c r="J7" s="528" t="s">
        <v>32</v>
      </c>
      <c r="K7" s="528" t="s">
        <v>33</v>
      </c>
      <c r="L7" s="528" t="s">
        <v>34</v>
      </c>
      <c r="M7" s="528" t="s">
        <v>35</v>
      </c>
      <c r="N7" s="528" t="s">
        <v>36</v>
      </c>
      <c r="O7" s="528" t="s">
        <v>37</v>
      </c>
      <c r="P7" s="528" t="s">
        <v>38</v>
      </c>
      <c r="Q7" s="528" t="s">
        <v>39</v>
      </c>
      <c r="R7" s="528" t="s">
        <v>40</v>
      </c>
      <c r="S7" s="528" t="s">
        <v>41</v>
      </c>
      <c r="T7" s="528" t="s">
        <v>42</v>
      </c>
      <c r="U7" s="528" t="s">
        <v>43</v>
      </c>
      <c r="V7" s="528" t="s">
        <v>44</v>
      </c>
      <c r="W7" s="528" t="s">
        <v>45</v>
      </c>
      <c r="X7" s="528" t="s">
        <v>46</v>
      </c>
      <c r="Y7" s="528" t="s">
        <v>47</v>
      </c>
      <c r="Z7" s="528" t="s">
        <v>48</v>
      </c>
      <c r="AA7" s="528" t="s">
        <v>49</v>
      </c>
      <c r="AB7" s="528" t="s">
        <v>50</v>
      </c>
      <c r="AC7" s="528" t="s">
        <v>51</v>
      </c>
      <c r="AD7" s="528" t="s">
        <v>52</v>
      </c>
      <c r="AE7" s="528" t="s">
        <v>53</v>
      </c>
      <c r="AF7" s="528" t="s">
        <v>54</v>
      </c>
    </row>
    <row r="8" spans="1:33" ht="15" thickBot="1">
      <c r="A8" s="177" t="s">
        <v>690</v>
      </c>
      <c r="B8" s="406"/>
      <c r="C8" s="178">
        <f t="shared" ref="C8:AB8" si="0">SUM(C9:C25)</f>
        <v>24357</v>
      </c>
      <c r="D8" s="178">
        <f t="shared" si="0"/>
        <v>9004</v>
      </c>
      <c r="E8" s="178">
        <f t="shared" si="0"/>
        <v>9301</v>
      </c>
      <c r="F8" s="178">
        <f t="shared" si="0"/>
        <v>33245</v>
      </c>
      <c r="G8" s="178">
        <f t="shared" si="0"/>
        <v>264051</v>
      </c>
      <c r="H8" s="178">
        <f t="shared" si="0"/>
        <v>404214</v>
      </c>
      <c r="I8" s="178">
        <f t="shared" si="0"/>
        <v>729284</v>
      </c>
      <c r="J8" s="178">
        <f t="shared" si="0"/>
        <v>892508</v>
      </c>
      <c r="K8" s="178">
        <f t="shared" si="0"/>
        <v>682104</v>
      </c>
      <c r="L8" s="178">
        <f t="shared" si="0"/>
        <v>1260962</v>
      </c>
      <c r="M8" s="178">
        <f t="shared" si="0"/>
        <v>646705</v>
      </c>
      <c r="N8" s="178">
        <f t="shared" si="0"/>
        <v>1146057</v>
      </c>
      <c r="O8" s="178">
        <f t="shared" si="0"/>
        <v>1377596</v>
      </c>
      <c r="P8" s="178">
        <f t="shared" si="0"/>
        <v>1354549</v>
      </c>
      <c r="Q8" s="178">
        <f t="shared" si="0"/>
        <v>1173388</v>
      </c>
      <c r="R8" s="178">
        <f t="shared" si="0"/>
        <v>1005896.72413</v>
      </c>
      <c r="S8" s="178">
        <f>SUM(S9:S25)</f>
        <v>1288765.0695</v>
      </c>
      <c r="T8" s="178">
        <f t="shared" si="0"/>
        <v>1547021.44035</v>
      </c>
      <c r="U8" s="178">
        <f t="shared" si="0"/>
        <v>1675742</v>
      </c>
      <c r="V8" s="178">
        <f t="shared" si="0"/>
        <v>2023256</v>
      </c>
      <c r="W8" s="178">
        <f t="shared" si="0"/>
        <v>2724000</v>
      </c>
      <c r="X8" s="178">
        <f t="shared" si="0"/>
        <v>2705826</v>
      </c>
      <c r="Y8" s="178">
        <f t="shared" si="0"/>
        <v>3060627</v>
      </c>
      <c r="Z8" s="178">
        <f t="shared" si="0"/>
        <v>3089329</v>
      </c>
      <c r="AA8" s="178">
        <f t="shared" si="0"/>
        <v>3237648</v>
      </c>
      <c r="AB8" s="178">
        <f t="shared" si="0"/>
        <v>3106598</v>
      </c>
      <c r="AC8" s="178">
        <f>SUM(AC9:AC25)</f>
        <v>4085930</v>
      </c>
      <c r="AD8" s="178">
        <f>SUM(AD9:AD25)</f>
        <v>4142463</v>
      </c>
      <c r="AE8" s="178">
        <f>SUM(AE9:AE25)</f>
        <v>3819318</v>
      </c>
      <c r="AF8" s="178">
        <f>SUM(AF9:AF26)</f>
        <v>5110307</v>
      </c>
      <c r="AG8" s="111"/>
    </row>
    <row r="9" spans="1:33">
      <c r="A9" s="173" t="s">
        <v>691</v>
      </c>
      <c r="B9" s="407"/>
      <c r="C9" s="189">
        <v>24280</v>
      </c>
      <c r="D9" s="189">
        <v>3555</v>
      </c>
      <c r="E9" s="189">
        <v>8622</v>
      </c>
      <c r="F9" s="189">
        <v>32459</v>
      </c>
      <c r="G9" s="189">
        <v>262899</v>
      </c>
      <c r="H9" s="189">
        <v>400707</v>
      </c>
      <c r="I9" s="189">
        <v>723289</v>
      </c>
      <c r="J9" s="189">
        <v>874781</v>
      </c>
      <c r="K9" s="189">
        <v>652646</v>
      </c>
      <c r="L9" s="189">
        <f>2255+1129310</f>
        <v>1131565</v>
      </c>
      <c r="M9" s="189">
        <v>471899</v>
      </c>
      <c r="N9" s="189">
        <f>612118+2073</f>
        <v>614191</v>
      </c>
      <c r="O9" s="189">
        <v>938</v>
      </c>
      <c r="P9" s="189">
        <v>1981</v>
      </c>
      <c r="Q9" s="189">
        <v>134</v>
      </c>
      <c r="R9" s="189">
        <v>-17.613050000000019</v>
      </c>
      <c r="S9" s="189">
        <v>311.47853999999995</v>
      </c>
      <c r="T9" s="189">
        <v>562.66906000000006</v>
      </c>
      <c r="U9" s="189">
        <v>46746</v>
      </c>
      <c r="V9" s="189">
        <v>51845</v>
      </c>
      <c r="W9" s="189">
        <v>457000</v>
      </c>
      <c r="X9" s="189">
        <v>617509</v>
      </c>
      <c r="Y9" s="189">
        <v>652930.00000000012</v>
      </c>
      <c r="Z9" s="189">
        <v>826673</v>
      </c>
      <c r="AA9" s="189">
        <v>470439</v>
      </c>
      <c r="AB9" s="189">
        <v>855054</v>
      </c>
      <c r="AC9" s="189">
        <v>1083203</v>
      </c>
      <c r="AD9" s="189">
        <v>1330757</v>
      </c>
      <c r="AE9" s="189">
        <v>964221</v>
      </c>
      <c r="AF9" s="189">
        <v>956909</v>
      </c>
    </row>
    <row r="10" spans="1:33">
      <c r="A10" s="173" t="s">
        <v>741</v>
      </c>
      <c r="B10" s="407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>
        <v>487871</v>
      </c>
      <c r="P10" s="189">
        <v>492207</v>
      </c>
      <c r="Q10" s="189">
        <v>368798</v>
      </c>
      <c r="R10" s="189">
        <v>282432.70522</v>
      </c>
      <c r="S10" s="189">
        <v>243340.59095999997</v>
      </c>
      <c r="T10" s="189">
        <v>297648.80634999997</v>
      </c>
      <c r="U10" s="189">
        <v>446433</v>
      </c>
      <c r="V10" s="189">
        <v>552073</v>
      </c>
      <c r="W10" s="189">
        <v>750000</v>
      </c>
      <c r="X10" s="189">
        <v>579214</v>
      </c>
      <c r="Y10" s="189">
        <v>657577</v>
      </c>
      <c r="Z10" s="189">
        <v>500293</v>
      </c>
      <c r="AA10" s="189">
        <v>882052.99999999988</v>
      </c>
      <c r="AB10" s="189">
        <v>501783</v>
      </c>
      <c r="AC10" s="189">
        <v>1074377</v>
      </c>
      <c r="AD10" s="189">
        <v>884464</v>
      </c>
      <c r="AE10" s="189">
        <v>972635</v>
      </c>
      <c r="AF10" s="189">
        <v>1122257</v>
      </c>
    </row>
    <row r="11" spans="1:33">
      <c r="A11" s="173" t="s">
        <v>835</v>
      </c>
      <c r="B11" s="407"/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189">
        <v>21585</v>
      </c>
      <c r="P11" s="189">
        <v>26295</v>
      </c>
      <c r="Q11" s="189">
        <v>31619</v>
      </c>
      <c r="R11" s="189">
        <v>63840.168339999997</v>
      </c>
      <c r="S11" s="189">
        <v>82684</v>
      </c>
      <c r="T11" s="189">
        <v>100914.10228000001</v>
      </c>
      <c r="U11" s="189">
        <v>96743</v>
      </c>
      <c r="V11" s="189">
        <v>121943</v>
      </c>
      <c r="W11" s="189">
        <v>235000</v>
      </c>
      <c r="X11" s="189">
        <v>236004.00000000003</v>
      </c>
      <c r="Y11" s="189">
        <v>248246</v>
      </c>
      <c r="Z11" s="189">
        <v>252134</v>
      </c>
      <c r="AA11" s="189">
        <v>233410</v>
      </c>
      <c r="AB11" s="189">
        <v>244843</v>
      </c>
      <c r="AC11" s="189">
        <v>287241</v>
      </c>
      <c r="AD11" s="189">
        <v>287291</v>
      </c>
      <c r="AE11" s="189">
        <v>279404</v>
      </c>
      <c r="AF11" s="189">
        <v>314820</v>
      </c>
    </row>
    <row r="12" spans="1:33">
      <c r="A12" s="173" t="s">
        <v>836</v>
      </c>
      <c r="B12" s="407"/>
      <c r="C12" s="189">
        <v>0</v>
      </c>
      <c r="D12" s="189">
        <v>0</v>
      </c>
      <c r="E12" s="189">
        <v>0</v>
      </c>
      <c r="F12" s="189">
        <v>0</v>
      </c>
      <c r="G12" s="189">
        <v>0</v>
      </c>
      <c r="H12" s="189">
        <v>0</v>
      </c>
      <c r="I12" s="189">
        <v>0</v>
      </c>
      <c r="J12" s="189"/>
      <c r="K12" s="189">
        <v>0</v>
      </c>
      <c r="L12" s="189"/>
      <c r="M12" s="189">
        <v>4663</v>
      </c>
      <c r="N12" s="189"/>
      <c r="O12" s="189"/>
      <c r="P12" s="189"/>
      <c r="Q12" s="189"/>
      <c r="R12" s="189"/>
      <c r="S12" s="189"/>
      <c r="T12" s="189">
        <v>1029848</v>
      </c>
      <c r="U12" s="189">
        <v>960733</v>
      </c>
      <c r="V12" s="189">
        <v>1212314</v>
      </c>
      <c r="W12" s="189">
        <v>1091000</v>
      </c>
      <c r="X12" s="189">
        <v>1067371</v>
      </c>
      <c r="Y12" s="189">
        <v>1245047</v>
      </c>
      <c r="Z12" s="189">
        <v>1238435</v>
      </c>
      <c r="AA12" s="189">
        <v>1229181</v>
      </c>
      <c r="AB12" s="189">
        <v>1287137</v>
      </c>
      <c r="AC12" s="189">
        <v>1399388</v>
      </c>
      <c r="AD12" s="189">
        <v>1388395</v>
      </c>
      <c r="AE12" s="189">
        <v>1348920</v>
      </c>
      <c r="AF12" s="189">
        <v>1138545</v>
      </c>
    </row>
    <row r="13" spans="1:33">
      <c r="A13" s="173" t="s">
        <v>837</v>
      </c>
      <c r="B13" s="407"/>
      <c r="C13" s="189">
        <v>0</v>
      </c>
      <c r="D13" s="189">
        <v>0</v>
      </c>
      <c r="E13" s="189">
        <v>0</v>
      </c>
      <c r="F13" s="189">
        <v>0</v>
      </c>
      <c r="G13" s="189">
        <v>0</v>
      </c>
      <c r="H13" s="189">
        <v>0</v>
      </c>
      <c r="I13" s="189">
        <v>0</v>
      </c>
      <c r="J13" s="189"/>
      <c r="K13" s="189">
        <v>0</v>
      </c>
      <c r="L13" s="189"/>
      <c r="M13" s="189"/>
      <c r="N13" s="189"/>
      <c r="O13" s="189"/>
      <c r="P13" s="189"/>
      <c r="Q13" s="189"/>
      <c r="R13" s="189">
        <v>16041.235810000004</v>
      </c>
      <c r="S13" s="189"/>
      <c r="T13" s="189">
        <v>38642.601519999989</v>
      </c>
      <c r="U13" s="189">
        <v>48657</v>
      </c>
      <c r="V13" s="189"/>
      <c r="W13" s="189">
        <v>92000</v>
      </c>
      <c r="X13" s="189">
        <v>0</v>
      </c>
      <c r="Y13" s="189">
        <v>114150</v>
      </c>
      <c r="Z13" s="189"/>
      <c r="AA13" s="189">
        <v>125919.99999999999</v>
      </c>
      <c r="AB13" s="189"/>
      <c r="AC13" s="189"/>
      <c r="AD13" s="189"/>
      <c r="AE13" s="189"/>
      <c r="AF13" s="189"/>
    </row>
    <row r="14" spans="1:33">
      <c r="A14" s="173" t="s">
        <v>781</v>
      </c>
      <c r="B14" s="407"/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>
        <v>3119</v>
      </c>
      <c r="AC14" s="189">
        <v>3186</v>
      </c>
      <c r="AD14" s="189">
        <v>5842</v>
      </c>
      <c r="AE14" s="189">
        <v>7313</v>
      </c>
      <c r="AF14" s="189">
        <v>7949</v>
      </c>
    </row>
    <row r="15" spans="1:33">
      <c r="A15" s="173" t="s">
        <v>838</v>
      </c>
      <c r="B15" s="407"/>
      <c r="C15" s="189">
        <v>0</v>
      </c>
      <c r="D15" s="189">
        <v>0</v>
      </c>
      <c r="E15" s="189">
        <v>0</v>
      </c>
      <c r="F15" s="189">
        <v>0</v>
      </c>
      <c r="G15" s="189">
        <v>0</v>
      </c>
      <c r="H15" s="189">
        <v>0</v>
      </c>
      <c r="I15" s="189">
        <v>0</v>
      </c>
      <c r="J15" s="189"/>
      <c r="K15" s="189">
        <v>0</v>
      </c>
      <c r="L15" s="189"/>
      <c r="M15" s="189"/>
      <c r="N15" s="189"/>
      <c r="O15" s="189"/>
      <c r="P15" s="189"/>
      <c r="Q15" s="189"/>
      <c r="R15" s="189">
        <v>97624.034360000005</v>
      </c>
      <c r="S15" s="189"/>
      <c r="T15" s="189"/>
      <c r="U15" s="189">
        <v>39910</v>
      </c>
      <c r="V15" s="189"/>
      <c r="W15" s="189">
        <v>44000</v>
      </c>
      <c r="X15" s="189">
        <v>0</v>
      </c>
      <c r="Y15" s="189">
        <v>0</v>
      </c>
      <c r="Z15" s="189"/>
      <c r="AA15" s="189">
        <v>3058</v>
      </c>
      <c r="AB15" s="189"/>
      <c r="AC15" s="189"/>
      <c r="AD15" s="189"/>
      <c r="AE15" s="189"/>
      <c r="AF15" s="189"/>
    </row>
    <row r="16" spans="1:33">
      <c r="A16" s="173" t="s">
        <v>802</v>
      </c>
      <c r="B16" s="407"/>
      <c r="C16" s="189"/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  <c r="P16" s="189"/>
      <c r="Q16" s="189"/>
      <c r="R16" s="189"/>
      <c r="S16" s="189"/>
      <c r="T16" s="189">
        <v>262.76008000002093</v>
      </c>
      <c r="U16" s="189"/>
      <c r="V16" s="189"/>
      <c r="W16" s="189"/>
      <c r="X16" s="189">
        <v>0</v>
      </c>
      <c r="Y16" s="408">
        <v>-378.00000000000011</v>
      </c>
      <c r="Z16" s="408"/>
      <c r="AA16" s="408"/>
      <c r="AB16" s="408">
        <v>0</v>
      </c>
      <c r="AC16" s="189"/>
      <c r="AD16" s="189"/>
      <c r="AE16" s="189"/>
      <c r="AF16" s="189"/>
    </row>
    <row r="17" spans="1:32">
      <c r="A17" s="173" t="s">
        <v>701</v>
      </c>
      <c r="B17" s="407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408"/>
      <c r="Z17" s="408"/>
      <c r="AA17" s="408"/>
      <c r="AB17" s="408"/>
      <c r="AC17" s="189">
        <v>34455</v>
      </c>
      <c r="AD17" s="189">
        <v>7607</v>
      </c>
      <c r="AE17" s="189">
        <v>3123</v>
      </c>
      <c r="AF17" s="189">
        <v>70961</v>
      </c>
    </row>
    <row r="18" spans="1:32">
      <c r="A18" s="173" t="s">
        <v>789</v>
      </c>
      <c r="B18" s="407"/>
      <c r="C18" s="189">
        <v>0</v>
      </c>
      <c r="D18" s="189">
        <v>2313</v>
      </c>
      <c r="E18" s="189">
        <v>0</v>
      </c>
      <c r="F18" s="189">
        <v>0</v>
      </c>
      <c r="G18" s="189">
        <v>0</v>
      </c>
      <c r="H18" s="189">
        <v>0</v>
      </c>
      <c r="I18" s="189">
        <v>0</v>
      </c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>
        <v>10000</v>
      </c>
      <c r="X18" s="189"/>
      <c r="Y18" s="189">
        <v>16834</v>
      </c>
      <c r="Z18" s="189">
        <v>16953</v>
      </c>
      <c r="AA18" s="189">
        <v>16528</v>
      </c>
      <c r="AB18" s="189">
        <v>22360</v>
      </c>
      <c r="AC18" s="189">
        <v>38348</v>
      </c>
      <c r="AD18" s="189">
        <v>37640</v>
      </c>
      <c r="AE18" s="189">
        <v>39271</v>
      </c>
      <c r="AF18" s="189">
        <v>40782</v>
      </c>
    </row>
    <row r="19" spans="1:32">
      <c r="A19" s="173" t="s">
        <v>703</v>
      </c>
      <c r="B19" s="407"/>
      <c r="C19" s="189">
        <v>0</v>
      </c>
      <c r="D19" s="189">
        <v>0</v>
      </c>
      <c r="E19" s="189">
        <v>0</v>
      </c>
      <c r="F19" s="189">
        <v>0</v>
      </c>
      <c r="G19" s="189">
        <v>142</v>
      </c>
      <c r="H19" s="189">
        <v>202</v>
      </c>
      <c r="I19" s="189">
        <v>202</v>
      </c>
      <c r="J19" s="189">
        <v>3078</v>
      </c>
      <c r="K19" s="189">
        <v>206</v>
      </c>
      <c r="L19" s="189">
        <v>10517</v>
      </c>
      <c r="M19" s="189">
        <v>706</v>
      </c>
      <c r="N19" s="189">
        <v>1310</v>
      </c>
      <c r="O19" s="189">
        <v>3121</v>
      </c>
      <c r="P19" s="189">
        <v>3805</v>
      </c>
      <c r="Q19" s="189">
        <v>3783</v>
      </c>
      <c r="R19" s="189"/>
      <c r="S19" s="189">
        <v>3968</v>
      </c>
      <c r="T19" s="189"/>
      <c r="U19" s="189"/>
      <c r="V19" s="189">
        <v>4087</v>
      </c>
      <c r="W19" s="189"/>
      <c r="X19" s="189">
        <v>10990</v>
      </c>
      <c r="Y19" s="189"/>
      <c r="Z19" s="189">
        <v>11239</v>
      </c>
      <c r="AA19" s="189"/>
      <c r="AB19" s="189">
        <v>14024</v>
      </c>
      <c r="AC19" s="189">
        <v>14703</v>
      </c>
      <c r="AD19" s="189">
        <v>19991</v>
      </c>
      <c r="AE19" s="189">
        <v>19401</v>
      </c>
      <c r="AF19" s="189">
        <v>16799</v>
      </c>
    </row>
    <row r="20" spans="1:32">
      <c r="A20" s="173" t="s">
        <v>704</v>
      </c>
      <c r="B20" s="407"/>
      <c r="C20" s="189">
        <v>0</v>
      </c>
      <c r="D20" s="189">
        <v>9</v>
      </c>
      <c r="E20" s="189">
        <v>30</v>
      </c>
      <c r="F20" s="189">
        <v>77</v>
      </c>
      <c r="G20" s="189">
        <v>258</v>
      </c>
      <c r="H20" s="189">
        <v>1071</v>
      </c>
      <c r="I20" s="189">
        <v>1788</v>
      </c>
      <c r="J20" s="189">
        <v>4773</v>
      </c>
      <c r="K20" s="189">
        <v>7427</v>
      </c>
      <c r="L20" s="189">
        <v>9724</v>
      </c>
      <c r="M20" s="189">
        <v>12473</v>
      </c>
      <c r="N20" s="189">
        <v>7527</v>
      </c>
      <c r="O20" s="189">
        <v>7860</v>
      </c>
      <c r="P20" s="189">
        <v>13864</v>
      </c>
      <c r="Q20" s="189">
        <v>13855</v>
      </c>
      <c r="R20" s="189"/>
      <c r="S20" s="189">
        <v>10963</v>
      </c>
      <c r="T20" s="189"/>
      <c r="U20" s="189"/>
      <c r="V20" s="189">
        <v>50590</v>
      </c>
      <c r="W20" s="189"/>
      <c r="X20" s="189">
        <v>89378</v>
      </c>
      <c r="Y20" s="189"/>
      <c r="Z20" s="189">
        <v>122107</v>
      </c>
      <c r="AA20" s="189"/>
      <c r="AB20" s="189">
        <v>99733</v>
      </c>
      <c r="AC20" s="189">
        <v>84195</v>
      </c>
      <c r="AD20" s="189">
        <v>114636</v>
      </c>
      <c r="AE20" s="189">
        <v>108750</v>
      </c>
      <c r="AF20" s="189">
        <v>127329</v>
      </c>
    </row>
    <row r="21" spans="1:32">
      <c r="A21" s="173" t="s">
        <v>836</v>
      </c>
      <c r="B21" s="407"/>
      <c r="C21" s="189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>
        <v>522074</v>
      </c>
      <c r="O21" s="189">
        <v>539523</v>
      </c>
      <c r="P21" s="189">
        <v>539529</v>
      </c>
      <c r="Q21" s="189">
        <v>539523</v>
      </c>
      <c r="R21" s="189">
        <v>539522.01609000005</v>
      </c>
      <c r="S21" s="189">
        <v>894487</v>
      </c>
      <c r="T21" s="189">
        <v>39007.652040000001</v>
      </c>
      <c r="U21" s="189"/>
      <c r="V21" s="189"/>
      <c r="W21" s="189"/>
      <c r="X21" s="189">
        <v>0</v>
      </c>
      <c r="Y21" s="189"/>
      <c r="Z21" s="189"/>
      <c r="AA21" s="189"/>
      <c r="AB21" s="189"/>
      <c r="AC21" s="189"/>
      <c r="AD21" s="189"/>
      <c r="AE21" s="189"/>
      <c r="AF21" s="189"/>
    </row>
    <row r="22" spans="1:32">
      <c r="A22" s="173" t="s">
        <v>839</v>
      </c>
      <c r="B22" s="407"/>
      <c r="C22" s="189"/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>
        <v>12206</v>
      </c>
      <c r="AC22" s="189">
        <v>11691</v>
      </c>
      <c r="AD22" s="189">
        <v>10744</v>
      </c>
      <c r="AE22" s="189">
        <v>5380</v>
      </c>
      <c r="AF22" s="189">
        <v>4324</v>
      </c>
    </row>
    <row r="23" spans="1:32">
      <c r="A23" s="173" t="s">
        <v>840</v>
      </c>
      <c r="B23" s="407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>
        <v>23451</v>
      </c>
      <c r="AF23" s="189"/>
    </row>
    <row r="24" spans="1:32">
      <c r="A24" s="173" t="s">
        <v>841</v>
      </c>
      <c r="B24" s="407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>
        <v>47581</v>
      </c>
      <c r="T24" s="189"/>
      <c r="U24" s="189"/>
      <c r="V24" s="189">
        <v>19100</v>
      </c>
      <c r="W24" s="189"/>
      <c r="X24" s="189">
        <v>45493</v>
      </c>
      <c r="Y24" s="189">
        <v>52803.999999999993</v>
      </c>
      <c r="Z24" s="189">
        <v>2918</v>
      </c>
      <c r="AA24" s="189">
        <v>56137</v>
      </c>
      <c r="AB24" s="189"/>
      <c r="AC24" s="189"/>
      <c r="AD24" s="189"/>
      <c r="AE24" s="189"/>
      <c r="AF24" s="189"/>
    </row>
    <row r="25" spans="1:32">
      <c r="A25" s="173" t="s">
        <v>842</v>
      </c>
      <c r="B25" s="407"/>
      <c r="C25" s="189">
        <v>77</v>
      </c>
      <c r="D25" s="189">
        <v>3127</v>
      </c>
      <c r="E25" s="189">
        <v>649</v>
      </c>
      <c r="F25" s="189">
        <v>709</v>
      </c>
      <c r="G25" s="189">
        <v>752</v>
      </c>
      <c r="H25" s="189">
        <v>2234</v>
      </c>
      <c r="I25" s="189">
        <v>4005</v>
      </c>
      <c r="J25" s="189">
        <v>9876</v>
      </c>
      <c r="K25" s="189">
        <v>21825</v>
      </c>
      <c r="L25" s="189">
        <v>109156</v>
      </c>
      <c r="M25" s="189">
        <v>156964</v>
      </c>
      <c r="N25" s="189">
        <f>955</f>
        <v>955</v>
      </c>
      <c r="O25" s="189">
        <v>316698</v>
      </c>
      <c r="P25" s="189">
        <v>276868</v>
      </c>
      <c r="Q25" s="189">
        <v>215676</v>
      </c>
      <c r="R25" s="189">
        <v>6454.1773599999988</v>
      </c>
      <c r="S25" s="189">
        <v>5430</v>
      </c>
      <c r="T25" s="189">
        <v>40134.849019999994</v>
      </c>
      <c r="U25" s="189">
        <v>36519.999999999993</v>
      </c>
      <c r="V25" s="189">
        <v>11304</v>
      </c>
      <c r="W25" s="189">
        <v>45000</v>
      </c>
      <c r="X25" s="189">
        <v>59867</v>
      </c>
      <c r="Y25" s="189">
        <v>73417</v>
      </c>
      <c r="Z25" s="189">
        <v>118577</v>
      </c>
      <c r="AA25" s="189">
        <v>220922</v>
      </c>
      <c r="AB25" s="189">
        <v>66339</v>
      </c>
      <c r="AC25" s="189">
        <v>55143</v>
      </c>
      <c r="AD25" s="189">
        <v>55096</v>
      </c>
      <c r="AE25" s="189">
        <v>47449</v>
      </c>
      <c r="AF25" s="189">
        <v>49238</v>
      </c>
    </row>
    <row r="26" spans="1:32" ht="15" thickBot="1">
      <c r="A26" s="173" t="s">
        <v>843</v>
      </c>
      <c r="B26" s="407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>
        <v>1260394</v>
      </c>
    </row>
    <row r="27" spans="1:32" ht="15" thickBot="1">
      <c r="A27" s="177" t="s">
        <v>706</v>
      </c>
      <c r="B27" s="406"/>
      <c r="C27" s="178">
        <f t="shared" ref="C27:AF27" si="1">+C28+C37</f>
        <v>0</v>
      </c>
      <c r="D27" s="178">
        <f t="shared" si="1"/>
        <v>62105</v>
      </c>
      <c r="E27" s="178">
        <f t="shared" si="1"/>
        <v>105035</v>
      </c>
      <c r="F27" s="178">
        <f t="shared" si="1"/>
        <v>265181</v>
      </c>
      <c r="G27" s="178">
        <f t="shared" si="1"/>
        <v>370557</v>
      </c>
      <c r="H27" s="178">
        <f t="shared" si="1"/>
        <v>500952</v>
      </c>
      <c r="I27" s="178">
        <f t="shared" si="1"/>
        <v>714460</v>
      </c>
      <c r="J27" s="178">
        <f t="shared" si="1"/>
        <v>1372972</v>
      </c>
      <c r="K27" s="178">
        <f t="shared" si="1"/>
        <v>2282515</v>
      </c>
      <c r="L27" s="178">
        <f t="shared" si="1"/>
        <v>3311726</v>
      </c>
      <c r="M27" s="178">
        <f t="shared" si="1"/>
        <v>4705114</v>
      </c>
      <c r="N27" s="178">
        <f t="shared" si="1"/>
        <v>6208259</v>
      </c>
      <c r="O27" s="178">
        <f t="shared" si="1"/>
        <v>6829014</v>
      </c>
      <c r="P27" s="178">
        <f t="shared" si="1"/>
        <v>7359980</v>
      </c>
      <c r="Q27" s="178">
        <f t="shared" si="1"/>
        <v>7902355</v>
      </c>
      <c r="R27" s="178">
        <f t="shared" si="1"/>
        <v>8501681.7630300019</v>
      </c>
      <c r="S27" s="178">
        <f t="shared" si="1"/>
        <v>8270307.4796500001</v>
      </c>
      <c r="T27" s="178">
        <f t="shared" si="1"/>
        <v>8217936.1825200003</v>
      </c>
      <c r="U27" s="178">
        <f t="shared" si="1"/>
        <v>8359026.9709699992</v>
      </c>
      <c r="V27" s="178">
        <f t="shared" si="1"/>
        <v>8274367</v>
      </c>
      <c r="W27" s="178">
        <f t="shared" si="1"/>
        <v>19818000</v>
      </c>
      <c r="X27" s="178">
        <f t="shared" si="1"/>
        <v>19613431</v>
      </c>
      <c r="Y27" s="178">
        <f t="shared" si="1"/>
        <v>19522176</v>
      </c>
      <c r="Z27" s="178">
        <f t="shared" si="1"/>
        <v>19531105</v>
      </c>
      <c r="AA27" s="178">
        <f t="shared" si="1"/>
        <v>19529851</v>
      </c>
      <c r="AB27" s="178">
        <f t="shared" si="1"/>
        <v>20240703</v>
      </c>
      <c r="AC27" s="178">
        <f t="shared" si="1"/>
        <v>21250852</v>
      </c>
      <c r="AD27" s="178">
        <f t="shared" si="1"/>
        <v>22091921</v>
      </c>
      <c r="AE27" s="178">
        <f t="shared" si="1"/>
        <v>22306560</v>
      </c>
      <c r="AF27" s="178">
        <f t="shared" si="1"/>
        <v>21548387</v>
      </c>
    </row>
    <row r="28" spans="1:32" ht="15" thickBot="1">
      <c r="A28" s="177" t="s">
        <v>748</v>
      </c>
      <c r="B28" s="406"/>
      <c r="C28" s="178">
        <f t="shared" ref="C28:AF28" si="2">SUM(C29:C36)</f>
        <v>0</v>
      </c>
      <c r="D28" s="178">
        <f t="shared" si="2"/>
        <v>0</v>
      </c>
      <c r="E28" s="178">
        <f t="shared" si="2"/>
        <v>12719</v>
      </c>
      <c r="F28" s="178">
        <f t="shared" si="2"/>
        <v>155557</v>
      </c>
      <c r="G28" s="178">
        <f t="shared" si="2"/>
        <v>300590</v>
      </c>
      <c r="H28" s="178">
        <f t="shared" si="2"/>
        <v>405381</v>
      </c>
      <c r="I28" s="178">
        <f t="shared" si="2"/>
        <v>546109</v>
      </c>
      <c r="J28" s="178">
        <f t="shared" si="2"/>
        <v>1114199</v>
      </c>
      <c r="K28" s="178">
        <f t="shared" si="2"/>
        <v>2273617</v>
      </c>
      <c r="L28" s="178">
        <f t="shared" si="2"/>
        <v>3302553</v>
      </c>
      <c r="M28" s="178">
        <f t="shared" si="2"/>
        <v>4695717</v>
      </c>
      <c r="N28" s="178">
        <f t="shared" si="2"/>
        <v>6198708</v>
      </c>
      <c r="O28" s="178">
        <f t="shared" si="2"/>
        <v>6820856</v>
      </c>
      <c r="P28" s="178">
        <f t="shared" si="2"/>
        <v>7351827</v>
      </c>
      <c r="Q28" s="178">
        <f t="shared" si="2"/>
        <v>7891978</v>
      </c>
      <c r="R28" s="178">
        <f t="shared" si="2"/>
        <v>8491276.2002600022</v>
      </c>
      <c r="S28" s="178">
        <f t="shared" si="2"/>
        <v>8257910.66873</v>
      </c>
      <c r="T28" s="178">
        <f t="shared" si="2"/>
        <v>8206174.2815399999</v>
      </c>
      <c r="U28" s="178">
        <f t="shared" si="2"/>
        <v>8350633.9999999991</v>
      </c>
      <c r="V28" s="178">
        <f t="shared" si="2"/>
        <v>8262413</v>
      </c>
      <c r="W28" s="178">
        <f t="shared" si="2"/>
        <v>9085000</v>
      </c>
      <c r="X28" s="178">
        <f t="shared" si="2"/>
        <v>9217286</v>
      </c>
      <c r="Y28" s="178">
        <f t="shared" si="2"/>
        <v>9001278</v>
      </c>
      <c r="Z28" s="178">
        <f t="shared" si="2"/>
        <v>9136854</v>
      </c>
      <c r="AA28" s="178">
        <f t="shared" si="2"/>
        <v>9253020</v>
      </c>
      <c r="AB28" s="178">
        <f t="shared" si="2"/>
        <v>9295443</v>
      </c>
      <c r="AC28" s="178">
        <f t="shared" si="2"/>
        <v>9362193</v>
      </c>
      <c r="AD28" s="178">
        <f t="shared" si="2"/>
        <v>9378987</v>
      </c>
      <c r="AE28" s="178">
        <f t="shared" si="2"/>
        <v>9473108</v>
      </c>
      <c r="AF28" s="178">
        <f t="shared" si="2"/>
        <v>8682582</v>
      </c>
    </row>
    <row r="29" spans="1:32">
      <c r="A29" s="173" t="s">
        <v>703</v>
      </c>
      <c r="B29" s="407"/>
      <c r="C29" s="189">
        <v>0</v>
      </c>
      <c r="D29" s="189">
        <v>0</v>
      </c>
      <c r="E29" s="189">
        <v>102</v>
      </c>
      <c r="F29" s="189">
        <v>102</v>
      </c>
      <c r="G29" s="189">
        <v>153</v>
      </c>
      <c r="H29" s="189">
        <v>233</v>
      </c>
      <c r="I29" s="189">
        <v>284</v>
      </c>
      <c r="J29" s="189">
        <v>5430</v>
      </c>
      <c r="K29" s="189">
        <v>17427</v>
      </c>
      <c r="L29" s="189">
        <v>15</v>
      </c>
      <c r="M29" s="189">
        <v>58</v>
      </c>
      <c r="N29" s="189">
        <v>6397</v>
      </c>
      <c r="O29" s="189">
        <v>7010</v>
      </c>
      <c r="P29" s="189">
        <v>7010</v>
      </c>
      <c r="Q29" s="189">
        <v>7010</v>
      </c>
      <c r="R29" s="189">
        <v>7009.5854799999988</v>
      </c>
      <c r="S29" s="189">
        <f>6980+30</f>
        <v>7010</v>
      </c>
      <c r="T29" s="189">
        <v>7009.5854799999988</v>
      </c>
      <c r="U29" s="189">
        <v>6000</v>
      </c>
      <c r="V29" s="189">
        <v>7010.0000000000009</v>
      </c>
      <c r="W29" s="189">
        <v>6000</v>
      </c>
      <c r="X29" s="189">
        <v>7010.0000000000009</v>
      </c>
      <c r="Y29" s="189">
        <v>7011.0000000000009</v>
      </c>
      <c r="Z29" s="189">
        <v>7010</v>
      </c>
      <c r="AA29" s="189">
        <v>7011.0000000000009</v>
      </c>
      <c r="AB29" s="189">
        <v>418</v>
      </c>
      <c r="AC29" s="189">
        <v>419</v>
      </c>
      <c r="AD29" s="189">
        <v>419</v>
      </c>
      <c r="AE29" s="189">
        <v>419</v>
      </c>
      <c r="AF29" s="189">
        <v>409</v>
      </c>
    </row>
    <row r="30" spans="1:32">
      <c r="A30" s="173" t="s">
        <v>835</v>
      </c>
      <c r="B30" s="407"/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>
        <v>28390</v>
      </c>
      <c r="AC30" s="189">
        <v>36210</v>
      </c>
      <c r="AD30" s="189">
        <v>36363</v>
      </c>
      <c r="AE30" s="189">
        <v>23136</v>
      </c>
      <c r="AF30" s="189">
        <v>12608</v>
      </c>
    </row>
    <row r="31" spans="1:32">
      <c r="A31" s="173" t="s">
        <v>844</v>
      </c>
      <c r="B31" s="407"/>
      <c r="C31" s="189">
        <v>0</v>
      </c>
      <c r="D31" s="189">
        <v>0</v>
      </c>
      <c r="E31" s="189">
        <v>9922</v>
      </c>
      <c r="F31" s="189">
        <v>152919</v>
      </c>
      <c r="G31" s="189">
        <v>297674</v>
      </c>
      <c r="H31" s="189">
        <v>399777</v>
      </c>
      <c r="I31" s="189">
        <v>534538</v>
      </c>
      <c r="J31" s="189">
        <v>0</v>
      </c>
      <c r="K31" s="189"/>
      <c r="L31" s="189">
        <v>125702</v>
      </c>
      <c r="M31" s="189">
        <v>130172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AB31" s="189"/>
      <c r="AC31" s="189"/>
      <c r="AD31" s="189"/>
      <c r="AE31" s="189"/>
      <c r="AF31" s="189"/>
    </row>
    <row r="32" spans="1:32">
      <c r="A32" s="173" t="s">
        <v>712</v>
      </c>
      <c r="B32" s="407"/>
      <c r="C32" s="189">
        <v>0</v>
      </c>
      <c r="D32" s="189">
        <v>0</v>
      </c>
      <c r="E32" s="189">
        <v>0</v>
      </c>
      <c r="F32" s="189">
        <v>0</v>
      </c>
      <c r="G32" s="189">
        <v>0</v>
      </c>
      <c r="H32" s="189">
        <v>0</v>
      </c>
      <c r="I32" s="189">
        <v>0</v>
      </c>
      <c r="J32" s="189">
        <v>1091001</v>
      </c>
      <c r="K32" s="199">
        <v>1766627</v>
      </c>
      <c r="L32" s="199">
        <v>2696012</v>
      </c>
      <c r="M32" s="199">
        <v>4122146</v>
      </c>
      <c r="N32" s="199">
        <v>5826235</v>
      </c>
      <c r="O32" s="189">
        <v>6755820</v>
      </c>
      <c r="P32" s="189">
        <v>7285342</v>
      </c>
      <c r="Q32" s="189">
        <v>7848461</v>
      </c>
      <c r="R32" s="189">
        <v>8446221.6795300003</v>
      </c>
      <c r="S32" s="189">
        <v>8213445</v>
      </c>
      <c r="T32" s="189">
        <v>8161349</v>
      </c>
      <c r="U32" s="189">
        <v>8307300.9999999991</v>
      </c>
      <c r="V32" s="189">
        <v>8216430</v>
      </c>
      <c r="W32" s="189">
        <v>8474000</v>
      </c>
      <c r="X32" s="189">
        <f>8578748+83170</f>
        <v>8661918</v>
      </c>
      <c r="Y32" s="189">
        <v>8465832</v>
      </c>
      <c r="Z32" s="189">
        <v>8544763</v>
      </c>
      <c r="AA32" s="189">
        <v>8629885</v>
      </c>
      <c r="AB32" s="189">
        <v>8658547</v>
      </c>
      <c r="AC32" s="189">
        <v>8673451</v>
      </c>
      <c r="AD32" s="189">
        <v>8784939</v>
      </c>
      <c r="AE32" s="189">
        <v>8895184</v>
      </c>
      <c r="AF32" s="200">
        <v>8029313</v>
      </c>
    </row>
    <row r="33" spans="1:33">
      <c r="A33" s="173" t="s">
        <v>692</v>
      </c>
      <c r="B33" s="407"/>
      <c r="C33" s="189">
        <v>0</v>
      </c>
      <c r="D33" s="189">
        <v>0</v>
      </c>
      <c r="E33" s="189">
        <v>0</v>
      </c>
      <c r="F33" s="189">
        <v>0</v>
      </c>
      <c r="G33" s="189">
        <v>0</v>
      </c>
      <c r="H33" s="189">
        <v>0</v>
      </c>
      <c r="I33" s="189">
        <v>0</v>
      </c>
      <c r="J33" s="189"/>
      <c r="K33" s="189">
        <v>0</v>
      </c>
      <c r="L33" s="189"/>
      <c r="M33" s="189">
        <v>22508</v>
      </c>
      <c r="N33" s="189">
        <v>30079</v>
      </c>
      <c r="O33" s="189">
        <v>33938</v>
      </c>
      <c r="P33" s="189">
        <v>35323</v>
      </c>
      <c r="Q33" s="189">
        <v>35669</v>
      </c>
      <c r="R33" s="189">
        <v>37251.444859999996</v>
      </c>
      <c r="S33" s="189">
        <v>37455.668729999998</v>
      </c>
      <c r="T33" s="189"/>
      <c r="U33" s="189">
        <v>37333</v>
      </c>
      <c r="V33" s="189">
        <v>38768</v>
      </c>
      <c r="W33" s="189">
        <v>442000</v>
      </c>
      <c r="X33" s="189">
        <v>495209</v>
      </c>
      <c r="Y33" s="189">
        <v>506808</v>
      </c>
      <c r="Z33" s="189">
        <v>523122</v>
      </c>
      <c r="AA33" s="189">
        <v>552189.00000000012</v>
      </c>
      <c r="AB33" s="189">
        <v>551682</v>
      </c>
      <c r="AC33" s="189">
        <v>594989</v>
      </c>
      <c r="AD33" s="189">
        <v>509470</v>
      </c>
      <c r="AE33" s="189">
        <v>515420</v>
      </c>
      <c r="AF33" s="189">
        <v>599919</v>
      </c>
    </row>
    <row r="34" spans="1:33">
      <c r="A34" s="173" t="s">
        <v>699</v>
      </c>
      <c r="B34" s="407"/>
      <c r="C34" s="189">
        <v>0</v>
      </c>
      <c r="D34" s="189">
        <v>0</v>
      </c>
      <c r="E34" s="189">
        <v>0</v>
      </c>
      <c r="F34" s="189">
        <v>0</v>
      </c>
      <c r="G34" s="189">
        <v>388</v>
      </c>
      <c r="H34" s="189">
        <v>3100</v>
      </c>
      <c r="I34" s="189">
        <v>9223</v>
      </c>
      <c r="J34" s="189">
        <v>15879</v>
      </c>
      <c r="K34" s="189">
        <v>18197</v>
      </c>
      <c r="L34" s="189">
        <v>20140</v>
      </c>
      <c r="M34" s="189">
        <v>21446</v>
      </c>
      <c r="N34" s="189">
        <v>21946</v>
      </c>
      <c r="O34" s="189">
        <v>21963</v>
      </c>
      <c r="P34" s="189">
        <v>22027</v>
      </c>
      <c r="Q34" s="189"/>
      <c r="R34" s="189"/>
      <c r="S34" s="189"/>
      <c r="T34" s="189"/>
      <c r="U34" s="189"/>
      <c r="V34" s="189"/>
      <c r="W34" s="189"/>
      <c r="X34" s="189"/>
      <c r="Y34" s="189"/>
      <c r="Z34" s="189">
        <v>18392</v>
      </c>
      <c r="AA34" s="189">
        <v>18392</v>
      </c>
      <c r="AB34" s="189">
        <v>18392</v>
      </c>
      <c r="AC34" s="189">
        <v>19760</v>
      </c>
      <c r="AD34" s="189">
        <v>20113</v>
      </c>
      <c r="AE34" s="189">
        <v>20070</v>
      </c>
      <c r="AF34" s="189">
        <v>20423</v>
      </c>
    </row>
    <row r="35" spans="1:33">
      <c r="A35" s="173" t="s">
        <v>839</v>
      </c>
      <c r="B35" s="407"/>
      <c r="C35" s="189"/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>
        <v>22552</v>
      </c>
      <c r="AC35" s="189">
        <v>18950</v>
      </c>
      <c r="AD35" s="189">
        <v>13115</v>
      </c>
      <c r="AE35" s="189">
        <v>5080</v>
      </c>
      <c r="AF35" s="189">
        <v>4300</v>
      </c>
    </row>
    <row r="36" spans="1:33" ht="15" thickBot="1">
      <c r="A36" s="173" t="s">
        <v>705</v>
      </c>
      <c r="B36" s="407"/>
      <c r="C36" s="189">
        <v>0</v>
      </c>
      <c r="D36" s="189">
        <v>0</v>
      </c>
      <c r="E36" s="189">
        <v>2695</v>
      </c>
      <c r="F36" s="189">
        <v>2536</v>
      </c>
      <c r="G36" s="189">
        <v>2375</v>
      </c>
      <c r="H36" s="189">
        <v>2271</v>
      </c>
      <c r="I36" s="189">
        <v>2064</v>
      </c>
      <c r="J36" s="189">
        <v>1889</v>
      </c>
      <c r="K36" s="189">
        <v>471366</v>
      </c>
      <c r="L36" s="189">
        <v>460684</v>
      </c>
      <c r="M36" s="189">
        <v>399387</v>
      </c>
      <c r="N36" s="189">
        <v>314051</v>
      </c>
      <c r="O36" s="189">
        <v>2125</v>
      </c>
      <c r="P36" s="189">
        <v>2125</v>
      </c>
      <c r="Q36" s="189">
        <v>838</v>
      </c>
      <c r="R36" s="189">
        <v>793.49038999999993</v>
      </c>
      <c r="S36" s="189"/>
      <c r="T36" s="189">
        <v>37815.696059999995</v>
      </c>
      <c r="U36" s="189"/>
      <c r="V36" s="189">
        <v>205</v>
      </c>
      <c r="W36" s="189">
        <v>163000</v>
      </c>
      <c r="X36" s="189">
        <f>30037+23112</f>
        <v>53149</v>
      </c>
      <c r="Y36" s="189">
        <v>21627</v>
      </c>
      <c r="Z36" s="189">
        <v>43567</v>
      </c>
      <c r="AA36" s="189">
        <v>45543</v>
      </c>
      <c r="AB36" s="189">
        <v>15462</v>
      </c>
      <c r="AC36" s="189">
        <v>18414</v>
      </c>
      <c r="AD36" s="189">
        <v>14568</v>
      </c>
      <c r="AE36" s="189">
        <v>13799</v>
      </c>
      <c r="AF36" s="189">
        <v>15610</v>
      </c>
    </row>
    <row r="37" spans="1:33" ht="15" thickBot="1">
      <c r="A37" s="177" t="s">
        <v>752</v>
      </c>
      <c r="B37" s="406"/>
      <c r="C37" s="178">
        <f t="shared" ref="C37:X37" si="3">SUM(C38:C44)</f>
        <v>0</v>
      </c>
      <c r="D37" s="178">
        <f t="shared" si="3"/>
        <v>62105</v>
      </c>
      <c r="E37" s="178">
        <f t="shared" si="3"/>
        <v>92316</v>
      </c>
      <c r="F37" s="178">
        <f t="shared" si="3"/>
        <v>109624</v>
      </c>
      <c r="G37" s="178">
        <f t="shared" si="3"/>
        <v>69967</v>
      </c>
      <c r="H37" s="178">
        <f t="shared" si="3"/>
        <v>95571</v>
      </c>
      <c r="I37" s="178">
        <f t="shared" si="3"/>
        <v>168351</v>
      </c>
      <c r="J37" s="178">
        <f t="shared" si="3"/>
        <v>258773</v>
      </c>
      <c r="K37" s="178">
        <f t="shared" si="3"/>
        <v>8898</v>
      </c>
      <c r="L37" s="178">
        <f t="shared" si="3"/>
        <v>9173</v>
      </c>
      <c r="M37" s="178">
        <f t="shared" si="3"/>
        <v>9397</v>
      </c>
      <c r="N37" s="178">
        <f t="shared" si="3"/>
        <v>9551</v>
      </c>
      <c r="O37" s="178">
        <f t="shared" si="3"/>
        <v>8158</v>
      </c>
      <c r="P37" s="178">
        <f t="shared" si="3"/>
        <v>8153</v>
      </c>
      <c r="Q37" s="178">
        <f t="shared" si="3"/>
        <v>10377</v>
      </c>
      <c r="R37" s="178">
        <f t="shared" si="3"/>
        <v>10405.562770000333</v>
      </c>
      <c r="S37" s="178">
        <f t="shared" si="3"/>
        <v>12396.81092</v>
      </c>
      <c r="T37" s="178">
        <f t="shared" si="3"/>
        <v>11761.900980000031</v>
      </c>
      <c r="U37" s="178">
        <f t="shared" si="3"/>
        <v>8392.9709700001131</v>
      </c>
      <c r="V37" s="178">
        <f t="shared" si="3"/>
        <v>11953.9999999998</v>
      </c>
      <c r="W37" s="178">
        <f t="shared" si="3"/>
        <v>10733000</v>
      </c>
      <c r="X37" s="178">
        <f t="shared" si="3"/>
        <v>10396145</v>
      </c>
      <c r="Y37" s="178">
        <f t="shared" ref="Y37:AF37" si="4">SUM(Y38:Y44)</f>
        <v>10520898.000000002</v>
      </c>
      <c r="Z37" s="178">
        <f t="shared" si="4"/>
        <v>10394251</v>
      </c>
      <c r="AA37" s="178">
        <f t="shared" si="4"/>
        <v>10276831</v>
      </c>
      <c r="AB37" s="178">
        <f t="shared" si="4"/>
        <v>10945260</v>
      </c>
      <c r="AC37" s="178">
        <f t="shared" si="4"/>
        <v>11888659</v>
      </c>
      <c r="AD37" s="178">
        <f t="shared" si="4"/>
        <v>12712934</v>
      </c>
      <c r="AE37" s="178">
        <f t="shared" si="4"/>
        <v>12833452</v>
      </c>
      <c r="AF37" s="178">
        <f t="shared" si="4"/>
        <v>12865805</v>
      </c>
    </row>
    <row r="38" spans="1:33">
      <c r="A38" s="173" t="s">
        <v>709</v>
      </c>
      <c r="B38" s="406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99"/>
      <c r="T38" s="199">
        <v>210.00013999992007</v>
      </c>
      <c r="U38" s="199"/>
      <c r="V38" s="199">
        <v>-405.00000000020009</v>
      </c>
      <c r="W38" s="199">
        <v>5084000</v>
      </c>
      <c r="X38" s="199">
        <v>0</v>
      </c>
      <c r="Y38" s="199"/>
      <c r="Z38" s="199"/>
      <c r="AA38" s="199"/>
      <c r="AB38" s="199"/>
      <c r="AC38" s="200"/>
      <c r="AD38" s="200"/>
      <c r="AE38" s="200">
        <v>0</v>
      </c>
      <c r="AF38" s="200">
        <v>34606</v>
      </c>
    </row>
    <row r="39" spans="1:33">
      <c r="A39" s="173" t="s">
        <v>841</v>
      </c>
      <c r="B39" s="406"/>
      <c r="C39" s="199">
        <v>0</v>
      </c>
      <c r="D39" s="199">
        <v>0</v>
      </c>
      <c r="E39" s="199">
        <v>83809</v>
      </c>
      <c r="F39" s="199">
        <v>100773</v>
      </c>
      <c r="G39" s="199">
        <v>61115</v>
      </c>
      <c r="H39" s="199">
        <v>86737</v>
      </c>
      <c r="I39" s="199">
        <v>159486</v>
      </c>
      <c r="J39" s="199">
        <v>249925</v>
      </c>
      <c r="K39" s="199">
        <v>0</v>
      </c>
      <c r="L39" s="199"/>
      <c r="M39" s="199"/>
      <c r="N39" s="199"/>
      <c r="O39" s="199"/>
      <c r="P39" s="199"/>
      <c r="Q39" s="199"/>
      <c r="R39" s="199"/>
      <c r="S39" s="199">
        <v>793.49038999999993</v>
      </c>
      <c r="T39" s="199"/>
      <c r="U39" s="199"/>
      <c r="V39" s="199"/>
      <c r="W39" s="199"/>
      <c r="X39" s="199"/>
      <c r="Y39" s="199"/>
      <c r="Z39" s="199"/>
      <c r="AA39" s="199"/>
      <c r="AB39" s="199"/>
      <c r="AC39" s="200"/>
      <c r="AD39" s="200"/>
      <c r="AE39" s="200"/>
      <c r="AF39" s="200"/>
    </row>
    <row r="40" spans="1:33">
      <c r="A40" s="173" t="s">
        <v>693</v>
      </c>
      <c r="B40" s="406"/>
      <c r="C40" s="199"/>
      <c r="D40" s="199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>
        <v>36713</v>
      </c>
      <c r="Z40" s="199"/>
      <c r="AA40" s="199"/>
      <c r="AB40" s="199"/>
      <c r="AC40" s="200"/>
      <c r="AD40" s="200"/>
      <c r="AE40" s="200"/>
      <c r="AF40" s="200"/>
    </row>
    <row r="41" spans="1:33">
      <c r="A41" s="173" t="s">
        <v>770</v>
      </c>
      <c r="B41" s="406"/>
      <c r="C41" s="199">
        <v>0</v>
      </c>
      <c r="D41" s="199">
        <v>62105</v>
      </c>
      <c r="E41" s="199">
        <v>0</v>
      </c>
      <c r="F41" s="199">
        <v>1236</v>
      </c>
      <c r="G41" s="199">
        <v>847</v>
      </c>
      <c r="H41" s="199">
        <v>883</v>
      </c>
      <c r="I41" s="199">
        <v>977</v>
      </c>
      <c r="J41" s="199">
        <v>1005</v>
      </c>
      <c r="K41" s="199">
        <v>829</v>
      </c>
      <c r="L41" s="199">
        <v>1119</v>
      </c>
      <c r="M41" s="199">
        <v>1119</v>
      </c>
      <c r="N41" s="199">
        <v>1236</v>
      </c>
      <c r="O41" s="199"/>
      <c r="P41" s="199"/>
      <c r="Q41" s="199">
        <v>1518</v>
      </c>
      <c r="R41" s="199">
        <v>1542.6197700003345</v>
      </c>
      <c r="S41" s="199">
        <v>1705</v>
      </c>
      <c r="T41" s="199">
        <v>1717.779470000113</v>
      </c>
      <c r="U41" s="199">
        <v>26.97097000011313</v>
      </c>
      <c r="V41" s="199">
        <v>1775</v>
      </c>
      <c r="W41" s="199">
        <v>5045000</v>
      </c>
      <c r="X41" s="199">
        <v>5002017</v>
      </c>
      <c r="Y41" s="199">
        <v>4959919.0000000009</v>
      </c>
      <c r="Z41" s="199">
        <v>4925018</v>
      </c>
      <c r="AA41" s="199">
        <v>4891026</v>
      </c>
      <c r="AB41" s="199">
        <v>5624712</v>
      </c>
      <c r="AC41" s="200">
        <v>6641910</v>
      </c>
      <c r="AD41" s="200">
        <v>7168146</v>
      </c>
      <c r="AE41" s="200">
        <v>7364261</v>
      </c>
      <c r="AF41" s="200">
        <v>7432090</v>
      </c>
    </row>
    <row r="42" spans="1:33">
      <c r="A42" s="173" t="s">
        <v>769</v>
      </c>
      <c r="B42" s="406"/>
      <c r="C42" s="199"/>
      <c r="D42" s="199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200"/>
      <c r="AD42" s="200"/>
      <c r="AE42" s="200"/>
    </row>
    <row r="43" spans="1:33">
      <c r="A43" s="173" t="s">
        <v>711</v>
      </c>
      <c r="B43" s="406"/>
      <c r="C43" s="199">
        <v>0</v>
      </c>
      <c r="D43" s="199">
        <v>0</v>
      </c>
      <c r="E43" s="199">
        <v>8507</v>
      </c>
      <c r="F43" s="199">
        <v>7615</v>
      </c>
      <c r="G43" s="199">
        <v>8005</v>
      </c>
      <c r="H43" s="199">
        <v>7951</v>
      </c>
      <c r="I43" s="199">
        <v>7888</v>
      </c>
      <c r="J43" s="199">
        <v>7843</v>
      </c>
      <c r="K43" s="199">
        <v>8069</v>
      </c>
      <c r="L43" s="199">
        <v>8054</v>
      </c>
      <c r="M43" s="199">
        <v>8278</v>
      </c>
      <c r="N43" s="199">
        <v>8315</v>
      </c>
      <c r="O43" s="199">
        <v>8158</v>
      </c>
      <c r="P43" s="199">
        <v>8153</v>
      </c>
      <c r="Q43" s="199">
        <v>8859</v>
      </c>
      <c r="R43" s="199">
        <v>8862.9429999999993</v>
      </c>
      <c r="S43" s="199">
        <v>9898.3205300000009</v>
      </c>
      <c r="T43" s="199">
        <v>9834.1213699999989</v>
      </c>
      <c r="U43" s="199">
        <v>8366</v>
      </c>
      <c r="V43" s="199">
        <v>10584</v>
      </c>
      <c r="W43" s="199">
        <v>604000</v>
      </c>
      <c r="X43" s="199">
        <v>5394128</v>
      </c>
      <c r="Y43" s="199">
        <v>5441802.0000000009</v>
      </c>
      <c r="Z43" s="199">
        <v>5362361</v>
      </c>
      <c r="AA43" s="199">
        <v>5281314</v>
      </c>
      <c r="AB43" s="199">
        <v>5217751</v>
      </c>
      <c r="AC43" s="200">
        <v>5144555</v>
      </c>
      <c r="AD43" s="200">
        <v>5058308</v>
      </c>
      <c r="AE43" s="200">
        <v>4986524</v>
      </c>
      <c r="AF43" s="200">
        <v>4917966</v>
      </c>
    </row>
    <row r="44" spans="1:33" ht="15" thickBot="1">
      <c r="A44" s="173" t="s">
        <v>753</v>
      </c>
      <c r="B44" s="406"/>
      <c r="C44" s="199"/>
      <c r="D44" s="199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>
        <v>82464</v>
      </c>
      <c r="Z44" s="199">
        <v>106872</v>
      </c>
      <c r="AA44" s="199">
        <v>104491</v>
      </c>
      <c r="AB44" s="199">
        <v>102797</v>
      </c>
      <c r="AC44" s="200">
        <v>102194</v>
      </c>
      <c r="AD44" s="200">
        <v>486480</v>
      </c>
      <c r="AE44" s="200">
        <v>482667</v>
      </c>
      <c r="AF44" s="200">
        <v>481143</v>
      </c>
    </row>
    <row r="45" spans="1:33" ht="15" thickBot="1">
      <c r="A45" s="177" t="s">
        <v>714</v>
      </c>
      <c r="B45" s="406"/>
      <c r="C45" s="178">
        <f t="shared" ref="C45:AF45" si="5">+C8+C27</f>
        <v>24357</v>
      </c>
      <c r="D45" s="178">
        <f t="shared" si="5"/>
        <v>71109</v>
      </c>
      <c r="E45" s="178">
        <f t="shared" si="5"/>
        <v>114336</v>
      </c>
      <c r="F45" s="178">
        <f t="shared" si="5"/>
        <v>298426</v>
      </c>
      <c r="G45" s="178">
        <f t="shared" si="5"/>
        <v>634608</v>
      </c>
      <c r="H45" s="178">
        <f t="shared" si="5"/>
        <v>905166</v>
      </c>
      <c r="I45" s="178">
        <f t="shared" si="5"/>
        <v>1443744</v>
      </c>
      <c r="J45" s="178">
        <f t="shared" si="5"/>
        <v>2265480</v>
      </c>
      <c r="K45" s="178">
        <f t="shared" si="5"/>
        <v>2964619</v>
      </c>
      <c r="L45" s="178">
        <f t="shared" si="5"/>
        <v>4572688</v>
      </c>
      <c r="M45" s="178">
        <f t="shared" si="5"/>
        <v>5351819</v>
      </c>
      <c r="N45" s="178">
        <f t="shared" si="5"/>
        <v>7354316</v>
      </c>
      <c r="O45" s="178">
        <f t="shared" si="5"/>
        <v>8206610</v>
      </c>
      <c r="P45" s="178">
        <f t="shared" si="5"/>
        <v>8714529</v>
      </c>
      <c r="Q45" s="178">
        <f t="shared" si="5"/>
        <v>9075743</v>
      </c>
      <c r="R45" s="178">
        <f t="shared" si="5"/>
        <v>9507578.487160001</v>
      </c>
      <c r="S45" s="178">
        <f t="shared" si="5"/>
        <v>9559072.5491499994</v>
      </c>
      <c r="T45" s="178">
        <f t="shared" si="5"/>
        <v>9764957.6228700001</v>
      </c>
      <c r="U45" s="178">
        <f t="shared" si="5"/>
        <v>10034768.970969999</v>
      </c>
      <c r="V45" s="178">
        <f t="shared" si="5"/>
        <v>10297623</v>
      </c>
      <c r="W45" s="178">
        <f t="shared" si="5"/>
        <v>22542000</v>
      </c>
      <c r="X45" s="178">
        <f t="shared" si="5"/>
        <v>22319257</v>
      </c>
      <c r="Y45" s="178">
        <f t="shared" si="5"/>
        <v>22582803</v>
      </c>
      <c r="Z45" s="178">
        <f t="shared" si="5"/>
        <v>22620434</v>
      </c>
      <c r="AA45" s="178">
        <f t="shared" si="5"/>
        <v>22767499</v>
      </c>
      <c r="AB45" s="178">
        <f t="shared" si="5"/>
        <v>23347301</v>
      </c>
      <c r="AC45" s="178">
        <f t="shared" si="5"/>
        <v>25336782</v>
      </c>
      <c r="AD45" s="178">
        <f t="shared" si="5"/>
        <v>26234384</v>
      </c>
      <c r="AE45" s="178">
        <f t="shared" si="5"/>
        <v>26125878</v>
      </c>
      <c r="AF45" s="178">
        <f t="shared" si="5"/>
        <v>26658694</v>
      </c>
      <c r="AG45" s="111"/>
    </row>
    <row r="46" spans="1:33">
      <c r="A46" s="173"/>
      <c r="B46" s="174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81"/>
      <c r="AE46" s="181"/>
      <c r="AF46" s="181"/>
    </row>
    <row r="47" spans="1:33" ht="15" thickBot="1">
      <c r="A47" s="5" t="s">
        <v>845</v>
      </c>
      <c r="B47" s="405"/>
      <c r="C47" s="528" t="s">
        <v>25</v>
      </c>
      <c r="D47" s="528" t="s">
        <v>26</v>
      </c>
      <c r="E47" s="528" t="s">
        <v>27</v>
      </c>
      <c r="F47" s="528" t="s">
        <v>28</v>
      </c>
      <c r="G47" s="528" t="s">
        <v>29</v>
      </c>
      <c r="H47" s="528" t="s">
        <v>30</v>
      </c>
      <c r="I47" s="528" t="s">
        <v>31</v>
      </c>
      <c r="J47" s="528" t="s">
        <v>32</v>
      </c>
      <c r="K47" s="528" t="s">
        <v>33</v>
      </c>
      <c r="L47" s="528" t="s">
        <v>34</v>
      </c>
      <c r="M47" s="528" t="s">
        <v>35</v>
      </c>
      <c r="N47" s="528" t="s">
        <v>36</v>
      </c>
      <c r="O47" s="528" t="s">
        <v>37</v>
      </c>
      <c r="P47" s="528" t="s">
        <v>38</v>
      </c>
      <c r="Q47" s="528" t="s">
        <v>39</v>
      </c>
      <c r="R47" s="528" t="s">
        <v>40</v>
      </c>
      <c r="S47" s="528" t="s">
        <v>41</v>
      </c>
      <c r="T47" s="528" t="str">
        <f>T7</f>
        <v>2T21</v>
      </c>
      <c r="U47" s="528" t="s">
        <v>43</v>
      </c>
      <c r="V47" s="528" t="s">
        <v>44</v>
      </c>
      <c r="W47" s="528" t="s">
        <v>45</v>
      </c>
      <c r="X47" s="528" t="s">
        <v>46</v>
      </c>
      <c r="Y47" s="528" t="s">
        <v>47</v>
      </c>
      <c r="Z47" s="528" t="str">
        <f>Z7</f>
        <v>4T22</v>
      </c>
      <c r="AA47" s="528" t="str">
        <f>AA7</f>
        <v>1T23</v>
      </c>
      <c r="AB47" s="528" t="s">
        <v>50</v>
      </c>
      <c r="AC47" s="528" t="s">
        <v>51</v>
      </c>
      <c r="AD47" s="528" t="s">
        <v>52</v>
      </c>
      <c r="AE47" s="528" t="s">
        <v>53</v>
      </c>
      <c r="AF47" s="528" t="s">
        <v>54</v>
      </c>
    </row>
    <row r="48" spans="1:33" ht="15" thickBot="1">
      <c r="A48" s="177" t="s">
        <v>690</v>
      </c>
      <c r="B48" s="406"/>
      <c r="C48" s="178">
        <f>SUM(C49:C66)</f>
        <v>24287</v>
      </c>
      <c r="D48" s="178">
        <f t="shared" ref="D48:N48" si="6">SUM(D49:D66)</f>
        <v>3238</v>
      </c>
      <c r="E48" s="178">
        <f t="shared" si="6"/>
        <v>17477</v>
      </c>
      <c r="F48" s="178">
        <f t="shared" si="6"/>
        <v>80669</v>
      </c>
      <c r="G48" s="178">
        <f t="shared" si="6"/>
        <v>34315</v>
      </c>
      <c r="H48" s="178">
        <f t="shared" si="6"/>
        <v>36639</v>
      </c>
      <c r="I48" s="178">
        <f t="shared" si="6"/>
        <v>261798</v>
      </c>
      <c r="J48" s="178">
        <f t="shared" si="6"/>
        <v>653824</v>
      </c>
      <c r="K48" s="178">
        <f t="shared" si="6"/>
        <v>784183</v>
      </c>
      <c r="L48" s="178">
        <f t="shared" si="6"/>
        <v>702660</v>
      </c>
      <c r="M48" s="178">
        <f t="shared" si="6"/>
        <v>874890</v>
      </c>
      <c r="N48" s="178">
        <f t="shared" si="6"/>
        <v>1077650</v>
      </c>
      <c r="O48" s="178">
        <f>SUM(O49:O66)</f>
        <v>1047204</v>
      </c>
      <c r="P48" s="178">
        <v>1014684</v>
      </c>
      <c r="Q48" s="178">
        <f>SUM(Q49:Q66)</f>
        <v>568890</v>
      </c>
      <c r="R48" s="178">
        <f>SUM(R49:R66)</f>
        <v>298636.99665697006</v>
      </c>
      <c r="S48" s="178">
        <f>SUM(S49:S66)</f>
        <v>253812</v>
      </c>
      <c r="T48" s="178">
        <v>483447.30434000009</v>
      </c>
      <c r="U48" s="178">
        <v>546740.00000000012</v>
      </c>
      <c r="V48" s="178">
        <v>430895.00000000006</v>
      </c>
      <c r="W48" s="178">
        <v>1091000</v>
      </c>
      <c r="X48" s="178">
        <f t="shared" ref="X48:AE48" si="7">SUM(X49:X66)</f>
        <v>1197665</v>
      </c>
      <c r="Y48" s="178">
        <f t="shared" si="7"/>
        <v>1168481</v>
      </c>
      <c r="Z48" s="178">
        <f t="shared" si="7"/>
        <v>1159805</v>
      </c>
      <c r="AA48" s="178">
        <f t="shared" si="7"/>
        <v>1296624</v>
      </c>
      <c r="AB48" s="178">
        <f t="shared" si="7"/>
        <v>1730151</v>
      </c>
      <c r="AC48" s="178">
        <f t="shared" si="7"/>
        <v>3181433</v>
      </c>
      <c r="AD48" s="178">
        <f t="shared" si="7"/>
        <v>2837376</v>
      </c>
      <c r="AE48" s="178">
        <f t="shared" si="7"/>
        <v>2668918</v>
      </c>
      <c r="AF48" s="178">
        <f>SUM(AF49:AF67)</f>
        <v>2543562</v>
      </c>
    </row>
    <row r="49" spans="1:32">
      <c r="A49" s="182" t="s">
        <v>716</v>
      </c>
      <c r="B49" s="407"/>
      <c r="C49" s="189">
        <v>0</v>
      </c>
      <c r="D49" s="189">
        <v>28</v>
      </c>
      <c r="E49" s="189">
        <v>0</v>
      </c>
      <c r="F49" s="189">
        <v>66008</v>
      </c>
      <c r="G49" s="189">
        <v>18912</v>
      </c>
      <c r="H49" s="189">
        <v>16293</v>
      </c>
      <c r="I49" s="189">
        <v>43085</v>
      </c>
      <c r="J49" s="189">
        <v>228708</v>
      </c>
      <c r="K49" s="189">
        <v>337565</v>
      </c>
      <c r="L49" s="189">
        <v>242809</v>
      </c>
      <c r="M49" s="189">
        <v>173367</v>
      </c>
      <c r="N49" s="189">
        <v>288450</v>
      </c>
      <c r="O49" s="189">
        <v>225457</v>
      </c>
      <c r="P49" s="189">
        <v>182318</v>
      </c>
      <c r="Q49" s="189">
        <v>169298</v>
      </c>
      <c r="R49" s="189">
        <v>124130.2257</v>
      </c>
      <c r="S49" s="189">
        <v>64001</v>
      </c>
      <c r="T49" s="189">
        <v>65092.070379999997</v>
      </c>
      <c r="U49" s="189">
        <v>45597</v>
      </c>
      <c r="V49" s="189">
        <v>75745.999999999985</v>
      </c>
      <c r="W49" s="189">
        <v>101000</v>
      </c>
      <c r="X49" s="189">
        <v>100471</v>
      </c>
      <c r="Y49" s="189">
        <v>123503</v>
      </c>
      <c r="Z49" s="189">
        <v>142710</v>
      </c>
      <c r="AA49" s="189">
        <v>133972</v>
      </c>
      <c r="AB49" s="189">
        <v>341895</v>
      </c>
      <c r="AC49" s="189">
        <v>204683</v>
      </c>
      <c r="AD49" s="189">
        <v>165374</v>
      </c>
      <c r="AE49" s="189">
        <v>216422</v>
      </c>
      <c r="AF49" s="189">
        <v>163301</v>
      </c>
    </row>
    <row r="50" spans="1:32">
      <c r="A50" s="182" t="s">
        <v>717</v>
      </c>
      <c r="B50" s="407"/>
      <c r="C50" s="189">
        <v>0</v>
      </c>
      <c r="D50" s="189">
        <v>0</v>
      </c>
      <c r="E50" s="189">
        <v>2740</v>
      </c>
      <c r="F50" s="189">
        <v>0</v>
      </c>
      <c r="G50" s="189">
        <v>532</v>
      </c>
      <c r="H50" s="189">
        <v>609</v>
      </c>
      <c r="I50" s="189">
        <v>745</v>
      </c>
      <c r="J50" s="189">
        <v>633</v>
      </c>
      <c r="K50" s="189">
        <v>1206</v>
      </c>
      <c r="L50" s="189">
        <v>927</v>
      </c>
      <c r="M50" s="189">
        <v>1047</v>
      </c>
      <c r="N50" s="189">
        <v>973</v>
      </c>
      <c r="O50" s="189">
        <v>1746</v>
      </c>
      <c r="P50" s="189">
        <v>2093</v>
      </c>
      <c r="Q50" s="189">
        <v>2912</v>
      </c>
      <c r="R50" s="189">
        <v>7349.5765300000003</v>
      </c>
      <c r="S50" s="189">
        <v>2771</v>
      </c>
      <c r="T50" s="189">
        <v>6152.6860300000008</v>
      </c>
      <c r="U50" s="189">
        <v>8000</v>
      </c>
      <c r="V50" s="189">
        <v>8798</v>
      </c>
      <c r="W50" s="189">
        <v>19000</v>
      </c>
      <c r="X50" s="189">
        <v>12556</v>
      </c>
      <c r="Y50" s="189">
        <v>20549.999999999996</v>
      </c>
      <c r="Z50" s="189">
        <v>22541</v>
      </c>
      <c r="AA50" s="189">
        <v>39760.999999999993</v>
      </c>
      <c r="AB50" s="189">
        <v>18709</v>
      </c>
      <c r="AC50" s="189">
        <v>22003</v>
      </c>
      <c r="AD50" s="189">
        <v>17303</v>
      </c>
      <c r="AE50" s="189">
        <v>20625</v>
      </c>
      <c r="AF50" s="189">
        <v>11077</v>
      </c>
    </row>
    <row r="51" spans="1:32">
      <c r="A51" s="173" t="s">
        <v>759</v>
      </c>
      <c r="B51" s="407"/>
      <c r="C51" s="189">
        <v>24287</v>
      </c>
      <c r="D51" s="189">
        <v>3019</v>
      </c>
      <c r="E51" s="189">
        <v>10363</v>
      </c>
      <c r="F51" s="189">
        <v>0</v>
      </c>
      <c r="G51" s="189">
        <v>1722</v>
      </c>
      <c r="H51" s="189">
        <v>1734</v>
      </c>
      <c r="I51" s="189">
        <v>2652</v>
      </c>
      <c r="J51" s="189">
        <v>3191</v>
      </c>
      <c r="K51" s="189">
        <v>3854</v>
      </c>
      <c r="L51" s="189">
        <v>4393</v>
      </c>
      <c r="M51" s="189">
        <v>3024</v>
      </c>
      <c r="N51" s="189"/>
      <c r="O51" s="189"/>
      <c r="P51" s="189"/>
      <c r="Q51" s="189"/>
      <c r="S51" s="189"/>
      <c r="T51" s="189">
        <v>38104.424030000002</v>
      </c>
      <c r="AB51" s="189"/>
      <c r="AC51" s="189"/>
      <c r="AD51" s="189"/>
      <c r="AE51" s="189"/>
      <c r="AF51" s="189" t="s">
        <v>371</v>
      </c>
    </row>
    <row r="52" spans="1:32">
      <c r="A52" s="173" t="s">
        <v>846</v>
      </c>
      <c r="B52" s="407"/>
      <c r="C52" s="189">
        <v>0</v>
      </c>
      <c r="D52" s="189">
        <v>0</v>
      </c>
      <c r="E52" s="189">
        <v>0</v>
      </c>
      <c r="F52" s="189">
        <v>0</v>
      </c>
      <c r="G52" s="189">
        <v>0</v>
      </c>
      <c r="H52" s="189">
        <v>0</v>
      </c>
      <c r="I52" s="189">
        <v>0</v>
      </c>
      <c r="J52" s="189"/>
      <c r="K52" s="189"/>
      <c r="L52" s="189"/>
      <c r="M52" s="189"/>
      <c r="N52" s="189"/>
      <c r="O52" s="189"/>
      <c r="P52" s="189"/>
      <c r="Q52" s="189"/>
      <c r="R52" s="189">
        <v>56070.170169999998</v>
      </c>
      <c r="S52" s="189"/>
      <c r="T52" s="189">
        <v>3179.5745499999998</v>
      </c>
      <c r="U52" s="189">
        <v>66000</v>
      </c>
      <c r="V52" s="189">
        <v>66000</v>
      </c>
      <c r="W52" s="189">
        <v>130000</v>
      </c>
      <c r="X52" s="189">
        <v>143117</v>
      </c>
      <c r="Y52" s="189">
        <v>157876</v>
      </c>
      <c r="Z52" s="189"/>
      <c r="AA52" s="189">
        <v>37043</v>
      </c>
      <c r="AB52" s="189"/>
      <c r="AC52" s="189"/>
      <c r="AD52" s="189"/>
      <c r="AE52" s="189"/>
      <c r="AF52" s="189"/>
    </row>
    <row r="53" spans="1:32">
      <c r="A53" s="173" t="s">
        <v>847</v>
      </c>
      <c r="B53" s="407"/>
      <c r="C53" s="189">
        <v>0</v>
      </c>
      <c r="D53" s="189">
        <v>0</v>
      </c>
      <c r="E53" s="189">
        <v>0</v>
      </c>
      <c r="F53" s="189">
        <v>0</v>
      </c>
      <c r="G53" s="189">
        <v>0</v>
      </c>
      <c r="H53" s="189">
        <v>0</v>
      </c>
      <c r="I53" s="189">
        <v>0</v>
      </c>
      <c r="J53" s="189"/>
      <c r="K53" s="189"/>
      <c r="L53" s="189"/>
      <c r="M53" s="189"/>
      <c r="N53" s="189"/>
      <c r="O53" s="189"/>
      <c r="P53" s="189"/>
      <c r="Q53" s="189"/>
      <c r="R53" s="189">
        <v>1845.8968599999998</v>
      </c>
      <c r="S53" s="189"/>
      <c r="U53" s="189">
        <v>3389.0000000000005</v>
      </c>
      <c r="V53" s="189">
        <v>4413</v>
      </c>
      <c r="W53" s="189">
        <v>7000</v>
      </c>
      <c r="X53" s="189">
        <v>123713</v>
      </c>
      <c r="Y53" s="189">
        <v>7128</v>
      </c>
      <c r="Z53" s="189"/>
      <c r="AA53" s="189">
        <v>9219</v>
      </c>
      <c r="AB53" s="189"/>
      <c r="AC53" s="189"/>
      <c r="AD53" s="189"/>
      <c r="AE53" s="189"/>
      <c r="AF53" s="189"/>
    </row>
    <row r="54" spans="1:32">
      <c r="A54" s="182" t="s">
        <v>718</v>
      </c>
      <c r="B54" s="407"/>
      <c r="C54" s="189">
        <v>0</v>
      </c>
      <c r="D54" s="189">
        <v>0</v>
      </c>
      <c r="E54" s="189">
        <v>0</v>
      </c>
      <c r="F54" s="189">
        <v>0</v>
      </c>
      <c r="G54" s="189">
        <v>0</v>
      </c>
      <c r="H54" s="189">
        <v>0</v>
      </c>
      <c r="I54" s="189">
        <v>192243</v>
      </c>
      <c r="J54" s="189">
        <v>196666</v>
      </c>
      <c r="K54" s="189">
        <v>202031</v>
      </c>
      <c r="L54" s="189">
        <v>207509</v>
      </c>
      <c r="M54" s="189">
        <v>442381</v>
      </c>
      <c r="N54" s="189">
        <v>758663</v>
      </c>
      <c r="O54" s="189">
        <v>782288</v>
      </c>
      <c r="P54" s="189">
        <v>765994</v>
      </c>
      <c r="Q54" s="189">
        <v>323553</v>
      </c>
      <c r="R54" s="189">
        <v>9433.4777300000005</v>
      </c>
      <c r="S54" s="189">
        <v>80704</v>
      </c>
      <c r="T54" s="189">
        <v>37554.970009999997</v>
      </c>
      <c r="U54" s="189">
        <v>188880</v>
      </c>
      <c r="V54" s="189">
        <v>222518.00000000003</v>
      </c>
      <c r="W54" s="189">
        <v>394000</v>
      </c>
      <c r="X54" s="189">
        <v>512800</v>
      </c>
      <c r="Y54" s="189">
        <v>276173</v>
      </c>
      <c r="Z54" s="189">
        <v>388448</v>
      </c>
      <c r="AA54" s="189">
        <v>393649</v>
      </c>
      <c r="AB54" s="189">
        <v>623337</v>
      </c>
      <c r="AC54" s="189">
        <v>1940426</v>
      </c>
      <c r="AD54" s="189">
        <v>1994129</v>
      </c>
      <c r="AE54" s="189">
        <v>1795713</v>
      </c>
      <c r="AF54" s="189">
        <v>978602</v>
      </c>
    </row>
    <row r="55" spans="1:32">
      <c r="A55" s="182" t="s">
        <v>719</v>
      </c>
      <c r="B55" s="407"/>
      <c r="C55" s="189">
        <v>0</v>
      </c>
      <c r="D55" s="189">
        <v>0</v>
      </c>
      <c r="E55" s="189">
        <v>0</v>
      </c>
      <c r="F55" s="189">
        <v>0</v>
      </c>
      <c r="G55" s="189">
        <v>0</v>
      </c>
      <c r="H55" s="189">
        <v>0</v>
      </c>
      <c r="I55" s="189">
        <v>0</v>
      </c>
      <c r="J55" s="189">
        <v>191826</v>
      </c>
      <c r="K55" s="189">
        <v>195950</v>
      </c>
      <c r="L55" s="189">
        <v>200490</v>
      </c>
      <c r="M55" s="189">
        <v>203176</v>
      </c>
      <c r="N55" s="189"/>
      <c r="O55" s="189">
        <v>7713</v>
      </c>
      <c r="P55" s="189">
        <v>29862</v>
      </c>
      <c r="Q55" s="189">
        <v>40876</v>
      </c>
      <c r="R55" s="189">
        <v>49828.318809999997</v>
      </c>
      <c r="S55" s="189">
        <v>43356</v>
      </c>
      <c r="T55" s="189">
        <v>21130.181550000001</v>
      </c>
      <c r="U55" s="189">
        <v>12098</v>
      </c>
      <c r="V55" s="189">
        <v>18276</v>
      </c>
      <c r="W55" s="189">
        <v>142000</v>
      </c>
      <c r="X55" s="189">
        <v>124015</v>
      </c>
      <c r="Y55" s="189">
        <v>137794</v>
      </c>
      <c r="Z55" s="189">
        <v>168177</v>
      </c>
      <c r="AA55" s="189">
        <v>189854</v>
      </c>
      <c r="AB55" s="189">
        <v>194389</v>
      </c>
      <c r="AC55" s="189">
        <v>499539</v>
      </c>
      <c r="AD55" s="189">
        <v>193813</v>
      </c>
      <c r="AE55" s="189">
        <v>281461</v>
      </c>
      <c r="AF55" s="189">
        <v>306913</v>
      </c>
    </row>
    <row r="56" spans="1:32">
      <c r="A56" s="173" t="s">
        <v>721</v>
      </c>
      <c r="B56" s="407"/>
      <c r="C56" s="189">
        <v>0</v>
      </c>
      <c r="D56" s="189">
        <v>142</v>
      </c>
      <c r="E56" s="189">
        <v>235</v>
      </c>
      <c r="F56" s="189">
        <v>6328</v>
      </c>
      <c r="G56" s="189">
        <v>8694</v>
      </c>
      <c r="H56" s="189">
        <v>9547</v>
      </c>
      <c r="I56" s="189">
        <v>13279</v>
      </c>
      <c r="J56" s="189">
        <v>20884</v>
      </c>
      <c r="K56" s="189">
        <v>22895</v>
      </c>
      <c r="L56" s="189">
        <v>28495</v>
      </c>
      <c r="M56" s="189">
        <v>32846</v>
      </c>
      <c r="N56" s="189">
        <v>13096</v>
      </c>
      <c r="O56" s="189">
        <v>10247</v>
      </c>
      <c r="P56" s="189">
        <v>12634</v>
      </c>
      <c r="Q56" s="189">
        <v>13245</v>
      </c>
      <c r="R56" s="189">
        <v>14729.65632</v>
      </c>
      <c r="S56" s="189">
        <v>12391</v>
      </c>
      <c r="T56" s="189">
        <v>13029.624029999999</v>
      </c>
      <c r="U56" s="189">
        <v>10968</v>
      </c>
      <c r="V56" s="189">
        <v>13855</v>
      </c>
      <c r="W56" s="189">
        <v>23000</v>
      </c>
      <c r="X56" s="189">
        <v>21259</v>
      </c>
      <c r="Y56" s="189">
        <v>26237</v>
      </c>
      <c r="Z56" s="189">
        <v>23309</v>
      </c>
      <c r="AA56" s="189">
        <v>22047</v>
      </c>
      <c r="AB56" s="189">
        <v>29012</v>
      </c>
      <c r="AC56" s="189">
        <v>35317</v>
      </c>
      <c r="AD56" s="189">
        <v>31744</v>
      </c>
      <c r="AE56" s="189">
        <v>29784</v>
      </c>
      <c r="AF56" s="189">
        <v>29193</v>
      </c>
    </row>
    <row r="57" spans="1:32">
      <c r="A57" s="173" t="s">
        <v>848</v>
      </c>
      <c r="B57" s="407"/>
      <c r="C57" s="189">
        <v>0</v>
      </c>
      <c r="D57" s="189">
        <v>49</v>
      </c>
      <c r="E57" s="189">
        <v>60</v>
      </c>
      <c r="F57" s="189">
        <v>231</v>
      </c>
      <c r="G57" s="189">
        <v>198</v>
      </c>
      <c r="H57" s="189">
        <v>37</v>
      </c>
      <c r="I57" s="189">
        <v>144</v>
      </c>
      <c r="J57" s="189">
        <v>1404</v>
      </c>
      <c r="K57" s="189">
        <v>4126</v>
      </c>
      <c r="L57" s="189">
        <v>1542</v>
      </c>
      <c r="M57" s="189">
        <v>1496</v>
      </c>
      <c r="N57" s="189">
        <v>985</v>
      </c>
      <c r="O57" s="189">
        <v>103</v>
      </c>
      <c r="P57" s="189">
        <v>131</v>
      </c>
      <c r="Q57" s="189">
        <v>109</v>
      </c>
      <c r="R57" s="189">
        <v>14654.163509999998</v>
      </c>
      <c r="S57" s="189">
        <v>18480</v>
      </c>
      <c r="T57" s="189">
        <v>11520.532959999999</v>
      </c>
      <c r="U57" s="189">
        <v>11285</v>
      </c>
      <c r="V57" s="189">
        <v>15782</v>
      </c>
      <c r="W57" s="189">
        <v>82000</v>
      </c>
      <c r="X57" s="189">
        <v>35001</v>
      </c>
      <c r="Y57" s="189">
        <v>54054</v>
      </c>
      <c r="Z57" s="189">
        <v>70710</v>
      </c>
      <c r="AA57" s="189">
        <v>85872</v>
      </c>
      <c r="AB57" s="189">
        <v>45526</v>
      </c>
      <c r="AC57" s="189">
        <v>68347</v>
      </c>
      <c r="AD57" s="189">
        <v>77627</v>
      </c>
      <c r="AE57" s="189">
        <v>69045</v>
      </c>
      <c r="AF57" s="189">
        <v>74851</v>
      </c>
    </row>
    <row r="58" spans="1:32">
      <c r="A58" s="173" t="s">
        <v>849</v>
      </c>
      <c r="B58" s="407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>
        <v>41487.999999999993</v>
      </c>
      <c r="Z58" s="189">
        <v>42859</v>
      </c>
      <c r="AA58" s="189">
        <v>44240</v>
      </c>
      <c r="AB58" s="189">
        <v>45721</v>
      </c>
      <c r="AC58" s="189">
        <v>47342</v>
      </c>
      <c r="AD58" s="189">
        <v>49441</v>
      </c>
      <c r="AE58" s="189">
        <v>50986</v>
      </c>
      <c r="AF58" s="189">
        <v>46853</v>
      </c>
    </row>
    <row r="59" spans="1:32">
      <c r="A59" s="173" t="s">
        <v>723</v>
      </c>
      <c r="B59" s="407"/>
      <c r="C59" s="189">
        <v>0</v>
      </c>
      <c r="D59" s="189">
        <v>0</v>
      </c>
      <c r="E59" s="189">
        <v>0</v>
      </c>
      <c r="F59" s="189">
        <v>0</v>
      </c>
      <c r="G59" s="189">
        <v>0</v>
      </c>
      <c r="H59" s="189">
        <v>0</v>
      </c>
      <c r="I59" s="189">
        <v>0</v>
      </c>
      <c r="J59" s="189"/>
      <c r="K59" s="189">
        <v>7090</v>
      </c>
      <c r="L59" s="189">
        <v>7090</v>
      </c>
      <c r="M59" s="189">
        <v>7090</v>
      </c>
      <c r="N59" s="189">
        <v>7090</v>
      </c>
      <c r="O59" s="189">
        <v>7090</v>
      </c>
      <c r="P59" s="189">
        <v>7090</v>
      </c>
      <c r="Q59" s="189">
        <v>7090</v>
      </c>
      <c r="R59" s="189">
        <v>16142.617516970002</v>
      </c>
      <c r="S59" s="189">
        <v>16169</v>
      </c>
      <c r="T59" s="189">
        <v>190615.68894000005</v>
      </c>
      <c r="U59" s="189">
        <v>190442</v>
      </c>
      <c r="V59" s="189"/>
      <c r="W59" s="189"/>
      <c r="X59" s="189">
        <v>51574</v>
      </c>
      <c r="Y59" s="189">
        <v>51196</v>
      </c>
      <c r="Z59" s="189">
        <v>36962</v>
      </c>
      <c r="AA59" s="189">
        <v>36961.999999999985</v>
      </c>
      <c r="AB59" s="189">
        <v>36962</v>
      </c>
      <c r="AC59" s="189">
        <v>36962</v>
      </c>
      <c r="AD59" s="189">
        <v>47303</v>
      </c>
      <c r="AE59" s="189">
        <v>47302</v>
      </c>
      <c r="AF59" s="189">
        <v>41093</v>
      </c>
    </row>
    <row r="60" spans="1:32">
      <c r="A60" s="173" t="s">
        <v>731</v>
      </c>
      <c r="B60" s="407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>
        <v>1271</v>
      </c>
      <c r="Z60" s="189">
        <v>2510</v>
      </c>
      <c r="AA60" s="189">
        <v>1906</v>
      </c>
      <c r="AB60" s="189">
        <v>2433</v>
      </c>
      <c r="AC60" s="189">
        <v>2477</v>
      </c>
      <c r="AD60" s="189">
        <v>1723</v>
      </c>
      <c r="AE60" s="189">
        <v>1788</v>
      </c>
      <c r="AF60" s="189">
        <v>2365</v>
      </c>
    </row>
    <row r="61" spans="1:32">
      <c r="A61" s="173" t="s">
        <v>850</v>
      </c>
      <c r="B61" s="407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>
        <v>164558</v>
      </c>
      <c r="Z61" s="189"/>
      <c r="AA61" s="189"/>
      <c r="AB61" s="189"/>
      <c r="AC61" s="189"/>
      <c r="AD61" s="189"/>
      <c r="AE61" s="189"/>
      <c r="AF61" s="189"/>
    </row>
    <row r="62" spans="1:32">
      <c r="A62" s="173" t="s">
        <v>724</v>
      </c>
      <c r="B62" s="407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>
        <v>7975</v>
      </c>
      <c r="AA62" s="189"/>
      <c r="AB62" s="189"/>
      <c r="AC62" s="189">
        <v>11602</v>
      </c>
      <c r="AD62" s="189">
        <v>12971</v>
      </c>
      <c r="AE62" s="189">
        <v>14180</v>
      </c>
      <c r="AF62" s="189">
        <v>13839</v>
      </c>
    </row>
    <row r="63" spans="1:32">
      <c r="A63" s="173" t="s">
        <v>727</v>
      </c>
      <c r="B63" s="407"/>
      <c r="C63" s="189">
        <v>0</v>
      </c>
      <c r="D63" s="189">
        <v>0</v>
      </c>
      <c r="E63" s="189">
        <v>0</v>
      </c>
      <c r="F63" s="189">
        <v>0</v>
      </c>
      <c r="G63" s="189">
        <v>0</v>
      </c>
      <c r="H63" s="189">
        <v>2297</v>
      </c>
      <c r="I63" s="189">
        <v>2715</v>
      </c>
      <c r="J63" s="189">
        <v>3133</v>
      </c>
      <c r="K63" s="189">
        <v>2332</v>
      </c>
      <c r="L63" s="189">
        <v>2011</v>
      </c>
      <c r="M63" s="189">
        <v>2749</v>
      </c>
      <c r="N63" s="189">
        <v>3449</v>
      </c>
      <c r="O63" s="189">
        <v>4459</v>
      </c>
      <c r="P63" s="189">
        <v>3358</v>
      </c>
      <c r="Q63" s="189">
        <v>3223</v>
      </c>
      <c r="S63" s="189">
        <v>6151</v>
      </c>
      <c r="X63" s="189">
        <v>2691</v>
      </c>
      <c r="Y63" s="189"/>
      <c r="Z63" s="189">
        <v>5566</v>
      </c>
      <c r="AA63" s="189"/>
      <c r="AB63" s="189">
        <v>879</v>
      </c>
      <c r="AC63" s="189">
        <v>4735</v>
      </c>
      <c r="AD63" s="189">
        <v>6852</v>
      </c>
      <c r="AE63" s="189">
        <v>4543</v>
      </c>
      <c r="AF63" s="189">
        <v>3681</v>
      </c>
    </row>
    <row r="64" spans="1:32">
      <c r="A64" s="173" t="s">
        <v>701</v>
      </c>
      <c r="B64" s="407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S64" s="189"/>
      <c r="X64" s="189"/>
      <c r="Y64" s="189"/>
      <c r="Z64" s="189">
        <v>15719</v>
      </c>
      <c r="AA64" s="189"/>
      <c r="AB64" s="189">
        <v>115138</v>
      </c>
      <c r="AC64" s="189">
        <v>17214</v>
      </c>
      <c r="AD64" s="189">
        <v>20147</v>
      </c>
      <c r="AE64" s="189">
        <v>2305</v>
      </c>
      <c r="AF64" s="189">
        <v>0</v>
      </c>
    </row>
    <row r="65" spans="1:32">
      <c r="A65" s="173" t="s">
        <v>823</v>
      </c>
      <c r="B65" s="407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S65" s="189"/>
      <c r="X65" s="189"/>
      <c r="Y65" s="189"/>
      <c r="Z65" s="189">
        <v>0</v>
      </c>
      <c r="AA65" s="189"/>
      <c r="AB65" s="189">
        <v>11684</v>
      </c>
      <c r="AC65" s="189">
        <v>11303</v>
      </c>
      <c r="AD65" s="189">
        <v>10527</v>
      </c>
      <c r="AE65" s="189">
        <v>5171</v>
      </c>
      <c r="AF65" s="189">
        <v>4104</v>
      </c>
    </row>
    <row r="66" spans="1:32">
      <c r="A66" s="173" t="s">
        <v>730</v>
      </c>
      <c r="B66" s="407"/>
      <c r="C66" s="189">
        <v>0</v>
      </c>
      <c r="D66" s="189">
        <v>0</v>
      </c>
      <c r="E66" s="189">
        <v>4079</v>
      </c>
      <c r="F66" s="189">
        <v>8102</v>
      </c>
      <c r="G66" s="189">
        <v>4257</v>
      </c>
      <c r="H66" s="189">
        <v>6122</v>
      </c>
      <c r="I66" s="189">
        <v>6935</v>
      </c>
      <c r="J66" s="189">
        <v>7379</v>
      </c>
      <c r="K66" s="189">
        <v>7134</v>
      </c>
      <c r="L66" s="189">
        <v>7394</v>
      </c>
      <c r="M66" s="189">
        <f>7672+42</f>
        <v>7714</v>
      </c>
      <c r="N66" s="189">
        <f>96+4848</f>
        <v>4944</v>
      </c>
      <c r="O66" s="189">
        <v>8101</v>
      </c>
      <c r="P66" s="189">
        <v>11204</v>
      </c>
      <c r="Q66" s="189">
        <v>8584</v>
      </c>
      <c r="R66" s="189">
        <v>4452.893509999999</v>
      </c>
      <c r="S66" s="189">
        <f>7051+2738</f>
        <v>9789</v>
      </c>
      <c r="T66" s="189">
        <v>97067.551860000007</v>
      </c>
      <c r="U66" s="189">
        <v>10081</v>
      </c>
      <c r="V66" s="189">
        <v>5507</v>
      </c>
      <c r="W66" s="189">
        <v>62000</v>
      </c>
      <c r="X66" s="189">
        <f>69269+1199</f>
        <v>70468</v>
      </c>
      <c r="Y66" s="189">
        <v>106653</v>
      </c>
      <c r="Z66" s="189">
        <v>232319</v>
      </c>
      <c r="AA66" s="189">
        <v>302099</v>
      </c>
      <c r="AB66" s="189">
        <v>264466</v>
      </c>
      <c r="AC66" s="189">
        <v>279483</v>
      </c>
      <c r="AD66" s="189">
        <v>208422</v>
      </c>
      <c r="AE66" s="189">
        <v>129593</v>
      </c>
      <c r="AF66" s="189">
        <v>143254</v>
      </c>
    </row>
    <row r="67" spans="1:32" ht="15" thickBot="1">
      <c r="A67" s="173" t="s">
        <v>851</v>
      </c>
      <c r="B67" s="407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>
        <v>724436</v>
      </c>
    </row>
    <row r="68" spans="1:32" ht="15" thickBot="1">
      <c r="A68" s="177" t="s">
        <v>706</v>
      </c>
      <c r="B68" s="406"/>
      <c r="C68" s="178">
        <f>SUM(C69:C76)</f>
        <v>0</v>
      </c>
      <c r="D68" s="178">
        <f t="shared" ref="D68:O68" si="8">SUM(D69:D76)</f>
        <v>72226</v>
      </c>
      <c r="E68" s="178">
        <f t="shared" si="8"/>
        <v>25871</v>
      </c>
      <c r="F68" s="178">
        <f t="shared" si="8"/>
        <v>15936</v>
      </c>
      <c r="G68" s="178">
        <f t="shared" si="8"/>
        <v>214938</v>
      </c>
      <c r="H68" s="178">
        <f t="shared" si="8"/>
        <v>423474</v>
      </c>
      <c r="I68" s="178">
        <f t="shared" si="8"/>
        <v>661420</v>
      </c>
      <c r="J68" s="178">
        <f t="shared" si="8"/>
        <v>837906</v>
      </c>
      <c r="K68" s="178">
        <f t="shared" si="8"/>
        <v>1205511</v>
      </c>
      <c r="L68" s="178">
        <f t="shared" si="8"/>
        <v>2607975</v>
      </c>
      <c r="M68" s="178">
        <f t="shared" si="8"/>
        <v>2991750</v>
      </c>
      <c r="N68" s="178">
        <f t="shared" si="8"/>
        <v>4204509</v>
      </c>
      <c r="O68" s="178">
        <f t="shared" si="8"/>
        <v>4825283</v>
      </c>
      <c r="P68" s="178">
        <v>5156798</v>
      </c>
      <c r="Q68" s="178">
        <f>SUM(Q69:Q81)</f>
        <v>5639272</v>
      </c>
      <c r="R68" s="178">
        <f>SUM(R69:R81)</f>
        <v>6128968.7959399996</v>
      </c>
      <c r="S68" s="178">
        <f>SUM(S69:S81)</f>
        <v>6195196.8664199999</v>
      </c>
      <c r="T68" s="178">
        <v>7035625.5264500007</v>
      </c>
      <c r="U68" s="178">
        <v>7210624.0000000009</v>
      </c>
      <c r="V68" s="178">
        <v>7527803</v>
      </c>
      <c r="W68" s="178">
        <v>11992000</v>
      </c>
      <c r="X68" s="178">
        <f t="shared" ref="X68:AF68" si="9">SUM(X69:X81)</f>
        <v>11875112</v>
      </c>
      <c r="Y68" s="178">
        <f t="shared" si="9"/>
        <v>11912021</v>
      </c>
      <c r="Z68" s="178">
        <f t="shared" si="9"/>
        <v>11841652</v>
      </c>
      <c r="AA68" s="178">
        <f t="shared" si="9"/>
        <v>11896546</v>
      </c>
      <c r="AB68" s="178">
        <f t="shared" si="9"/>
        <v>12041735</v>
      </c>
      <c r="AC68" s="178">
        <f t="shared" si="9"/>
        <v>11943672</v>
      </c>
      <c r="AD68" s="178">
        <f t="shared" si="9"/>
        <v>12210647</v>
      </c>
      <c r="AE68" s="178">
        <f t="shared" si="9"/>
        <v>12187518</v>
      </c>
      <c r="AF68" s="178">
        <f t="shared" si="9"/>
        <v>12732840</v>
      </c>
    </row>
    <row r="69" spans="1:32">
      <c r="A69" s="173" t="s">
        <v>759</v>
      </c>
      <c r="B69" s="407"/>
      <c r="C69" s="189">
        <v>0</v>
      </c>
      <c r="D69" s="189">
        <v>0</v>
      </c>
      <c r="E69" s="189">
        <v>0</v>
      </c>
      <c r="F69" s="189">
        <v>1610</v>
      </c>
      <c r="G69" s="189">
        <v>0</v>
      </c>
      <c r="H69" s="189">
        <v>0</v>
      </c>
      <c r="I69" s="189">
        <v>0</v>
      </c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>
        <v>60250.258270000006</v>
      </c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</row>
    <row r="70" spans="1:32">
      <c r="A70" s="173" t="s">
        <v>718</v>
      </c>
      <c r="B70" s="407"/>
      <c r="C70" s="189">
        <v>0</v>
      </c>
      <c r="D70" s="189">
        <v>0</v>
      </c>
      <c r="E70" s="189">
        <v>0</v>
      </c>
      <c r="F70" s="189">
        <v>0</v>
      </c>
      <c r="G70" s="189">
        <v>185062</v>
      </c>
      <c r="H70" s="189">
        <v>188632</v>
      </c>
      <c r="I70" s="189">
        <v>406519</v>
      </c>
      <c r="J70" s="189">
        <v>658969</v>
      </c>
      <c r="K70" s="189">
        <v>719543</v>
      </c>
      <c r="L70" s="189">
        <v>1538020</v>
      </c>
      <c r="M70" s="189">
        <v>1656626</v>
      </c>
      <c r="N70" s="189">
        <v>2359374</v>
      </c>
      <c r="O70" s="189">
        <v>2706500</v>
      </c>
      <c r="P70" s="189">
        <v>2882698</v>
      </c>
      <c r="Q70" s="189">
        <v>2977255</v>
      </c>
      <c r="R70" s="189">
        <v>3350686.1304899999</v>
      </c>
      <c r="S70" s="189">
        <v>3459313.4</v>
      </c>
      <c r="T70" s="189">
        <v>3521072.0155699998</v>
      </c>
      <c r="U70" s="189">
        <v>3652628</v>
      </c>
      <c r="V70" s="189">
        <v>3748334</v>
      </c>
      <c r="W70" s="189">
        <v>6495000</v>
      </c>
      <c r="X70" s="189">
        <v>6554050</v>
      </c>
      <c r="Y70" s="189">
        <v>6456956</v>
      </c>
      <c r="Z70" s="189">
        <v>6359699</v>
      </c>
      <c r="AA70" s="189">
        <v>6310396</v>
      </c>
      <c r="AB70" s="189">
        <v>6342744</v>
      </c>
      <c r="AC70" s="189">
        <v>6510146</v>
      </c>
      <c r="AD70" s="189">
        <v>6426674</v>
      </c>
      <c r="AE70" s="189">
        <v>6370742</v>
      </c>
      <c r="AF70" s="189">
        <v>6395144</v>
      </c>
    </row>
    <row r="71" spans="1:32">
      <c r="A71" s="173" t="s">
        <v>719</v>
      </c>
      <c r="B71" s="407"/>
      <c r="C71" s="189">
        <v>0</v>
      </c>
      <c r="D71" s="189">
        <v>0</v>
      </c>
      <c r="E71" s="189">
        <v>0</v>
      </c>
      <c r="F71" s="189">
        <v>0</v>
      </c>
      <c r="G71" s="189">
        <v>0</v>
      </c>
      <c r="H71" s="189">
        <v>185187</v>
      </c>
      <c r="I71" s="189">
        <v>188575</v>
      </c>
      <c r="J71" s="189"/>
      <c r="K71" s="189">
        <v>191933</v>
      </c>
      <c r="L71" s="189">
        <v>557602</v>
      </c>
      <c r="M71" s="189">
        <v>567577</v>
      </c>
      <c r="N71" s="189">
        <v>579838</v>
      </c>
      <c r="O71" s="189">
        <v>588727</v>
      </c>
      <c r="P71" s="189">
        <v>568215</v>
      </c>
      <c r="Q71" s="189">
        <v>572676</v>
      </c>
      <c r="R71" s="189">
        <v>589498.81111000001</v>
      </c>
      <c r="S71" s="189">
        <v>605076.53295000002</v>
      </c>
      <c r="T71" s="189">
        <v>1432077.4351199998</v>
      </c>
      <c r="U71" s="189">
        <v>1469598</v>
      </c>
      <c r="V71" s="189">
        <v>1621700</v>
      </c>
      <c r="W71" s="189">
        <v>2798000</v>
      </c>
      <c r="X71" s="189">
        <v>2884830</v>
      </c>
      <c r="Y71" s="189">
        <v>2854276</v>
      </c>
      <c r="Z71" s="189">
        <v>2789233</v>
      </c>
      <c r="AA71" s="189">
        <v>2827239</v>
      </c>
      <c r="AB71" s="189">
        <v>2836582</v>
      </c>
      <c r="AC71" s="189">
        <v>2531266</v>
      </c>
      <c r="AD71" s="189">
        <v>2444543</v>
      </c>
      <c r="AE71" s="189">
        <v>2391113</v>
      </c>
      <c r="AF71" s="189">
        <v>3117094</v>
      </c>
    </row>
    <row r="72" spans="1:32">
      <c r="A72" s="173" t="s">
        <v>852</v>
      </c>
      <c r="B72" s="407"/>
      <c r="C72" s="189">
        <v>0</v>
      </c>
      <c r="D72" s="189">
        <v>0</v>
      </c>
      <c r="E72" s="189">
        <v>0</v>
      </c>
      <c r="F72" s="189">
        <v>0</v>
      </c>
      <c r="G72" s="189">
        <v>0</v>
      </c>
      <c r="H72" s="189">
        <v>0</v>
      </c>
      <c r="I72" s="189">
        <v>0</v>
      </c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>
        <v>0</v>
      </c>
      <c r="U72" s="189"/>
      <c r="V72" s="189"/>
      <c r="W72" s="189">
        <v>9000</v>
      </c>
      <c r="X72" s="189"/>
      <c r="Y72" s="189">
        <v>7744</v>
      </c>
      <c r="Z72" s="189"/>
      <c r="AA72" s="189"/>
      <c r="AB72" s="189"/>
      <c r="AC72" s="189"/>
      <c r="AD72" s="189"/>
      <c r="AE72" s="189"/>
      <c r="AF72" s="189"/>
    </row>
    <row r="73" spans="1:32">
      <c r="A73" s="173" t="s">
        <v>853</v>
      </c>
      <c r="B73" s="407"/>
      <c r="C73" s="189">
        <v>0</v>
      </c>
      <c r="D73" s="189">
        <v>0</v>
      </c>
      <c r="E73" s="189">
        <v>0</v>
      </c>
      <c r="F73" s="189">
        <v>350</v>
      </c>
      <c r="G73" s="189">
        <v>3447</v>
      </c>
      <c r="H73" s="189">
        <v>8200</v>
      </c>
      <c r="I73" s="189">
        <v>12603</v>
      </c>
      <c r="J73" s="189">
        <v>76977</v>
      </c>
      <c r="K73" s="189">
        <v>163147</v>
      </c>
      <c r="L73" s="189">
        <v>503083</v>
      </c>
      <c r="M73" s="189">
        <v>350673</v>
      </c>
      <c r="N73" s="189">
        <f>1261995</f>
        <v>1261995</v>
      </c>
      <c r="O73" s="189">
        <v>850830</v>
      </c>
      <c r="P73" s="189">
        <v>963595</v>
      </c>
      <c r="Q73" s="189">
        <v>989112</v>
      </c>
      <c r="R73" s="189">
        <v>1081237.10411</v>
      </c>
      <c r="S73" s="189">
        <v>1089702.3999999999</v>
      </c>
      <c r="T73" s="189">
        <v>1119300.7274100001</v>
      </c>
      <c r="U73" s="189">
        <v>1149696</v>
      </c>
      <c r="V73" s="189">
        <v>1185862</v>
      </c>
      <c r="W73" s="189">
        <v>1425000</v>
      </c>
      <c r="X73" s="189">
        <v>1263558</v>
      </c>
      <c r="Y73" s="189">
        <v>1295731.9999999998</v>
      </c>
      <c r="Z73" s="189">
        <v>1327670</v>
      </c>
      <c r="AA73" s="189">
        <v>1359071</v>
      </c>
      <c r="AB73" s="189">
        <v>1393235</v>
      </c>
      <c r="AC73" s="189">
        <v>1424445</v>
      </c>
      <c r="AD73" s="189">
        <v>1460385</v>
      </c>
      <c r="AE73" s="189">
        <v>1499005</v>
      </c>
      <c r="AF73" s="189">
        <v>1370199</v>
      </c>
    </row>
    <row r="74" spans="1:32">
      <c r="A74" s="173" t="s">
        <v>854</v>
      </c>
      <c r="B74" s="407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>
        <v>679226</v>
      </c>
      <c r="P74" s="189">
        <v>731790</v>
      </c>
      <c r="Q74" s="189"/>
      <c r="R74" s="189"/>
      <c r="S74" s="189"/>
      <c r="Z74" s="189">
        <v>5133</v>
      </c>
      <c r="AA74" s="189">
        <v>5144</v>
      </c>
      <c r="AB74" s="189">
        <v>4825</v>
      </c>
      <c r="AC74" s="189">
        <v>4227</v>
      </c>
      <c r="AD74" s="189">
        <v>3628</v>
      </c>
      <c r="AE74" s="189">
        <v>3157</v>
      </c>
      <c r="AF74" s="189">
        <v>2573</v>
      </c>
    </row>
    <row r="75" spans="1:32">
      <c r="A75" s="173" t="s">
        <v>790</v>
      </c>
      <c r="B75" s="407"/>
      <c r="C75" s="189">
        <v>0</v>
      </c>
      <c r="D75" s="189">
        <v>72226</v>
      </c>
      <c r="E75" s="189">
        <v>25871</v>
      </c>
      <c r="F75" s="189">
        <v>0</v>
      </c>
      <c r="G75" s="189">
        <v>0</v>
      </c>
      <c r="H75" s="189">
        <v>6730</v>
      </c>
      <c r="I75" s="189">
        <v>7995</v>
      </c>
      <c r="J75" s="189">
        <v>1000</v>
      </c>
      <c r="K75" s="189">
        <v>5309</v>
      </c>
      <c r="L75" s="189">
        <v>9270</v>
      </c>
      <c r="M75" s="189">
        <v>9270</v>
      </c>
      <c r="N75" s="189">
        <v>3302</v>
      </c>
      <c r="O75" s="189"/>
      <c r="P75" s="189"/>
      <c r="Q75" s="189"/>
      <c r="R75" s="189"/>
      <c r="S75" s="189"/>
      <c r="AB75" s="189"/>
      <c r="AC75" s="189"/>
      <c r="AD75" s="189"/>
      <c r="AE75" s="189"/>
      <c r="AF75" s="189"/>
    </row>
    <row r="76" spans="1:32">
      <c r="A76" s="173" t="s">
        <v>849</v>
      </c>
      <c r="B76" s="407"/>
      <c r="C76" s="189">
        <v>0</v>
      </c>
      <c r="D76" s="189">
        <v>0</v>
      </c>
      <c r="E76" s="189">
        <v>0</v>
      </c>
      <c r="F76" s="189">
        <v>13976</v>
      </c>
      <c r="G76" s="189">
        <v>26429</v>
      </c>
      <c r="H76" s="189">
        <v>34725</v>
      </c>
      <c r="I76" s="189">
        <v>45728</v>
      </c>
      <c r="J76" s="189">
        <v>100960</v>
      </c>
      <c r="K76" s="189">
        <v>125579</v>
      </c>
      <c r="L76" s="189"/>
      <c r="M76" s="189">
        <v>407604</v>
      </c>
      <c r="N76" s="189"/>
      <c r="O76" s="189"/>
      <c r="P76" s="189"/>
      <c r="Q76" s="189">
        <v>788709</v>
      </c>
      <c r="R76" s="189">
        <v>852729.31106999994</v>
      </c>
      <c r="S76" s="189">
        <v>876532.53347000002</v>
      </c>
      <c r="T76" s="189">
        <v>899364.96822000004</v>
      </c>
      <c r="U76" s="189">
        <v>919627</v>
      </c>
      <c r="V76" s="189">
        <v>952887</v>
      </c>
      <c r="W76" s="189">
        <v>981000</v>
      </c>
      <c r="X76" s="189">
        <v>875418.00000000012</v>
      </c>
      <c r="Y76" s="189">
        <v>982579</v>
      </c>
      <c r="Z76" s="189">
        <v>1004448</v>
      </c>
      <c r="AA76" s="189">
        <v>1025769</v>
      </c>
      <c r="AB76" s="189">
        <v>1048661</v>
      </c>
      <c r="AC76" s="189">
        <v>1074265</v>
      </c>
      <c r="AD76" s="189">
        <v>1096063</v>
      </c>
      <c r="AE76" s="189">
        <v>1117571</v>
      </c>
      <c r="AF76" s="189">
        <v>1015279</v>
      </c>
    </row>
    <row r="77" spans="1:32">
      <c r="A77" s="173" t="s">
        <v>731</v>
      </c>
      <c r="B77" s="407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>
        <v>58239</v>
      </c>
      <c r="Z77" s="189">
        <v>64893</v>
      </c>
      <c r="AA77" s="189">
        <v>64861.999999999993</v>
      </c>
      <c r="AB77" s="189">
        <v>64533</v>
      </c>
      <c r="AC77" s="189">
        <v>64189</v>
      </c>
      <c r="AD77" s="189">
        <v>64347</v>
      </c>
      <c r="AE77" s="189">
        <v>63965</v>
      </c>
      <c r="AF77" s="189">
        <v>65054</v>
      </c>
    </row>
    <row r="78" spans="1:32">
      <c r="A78" s="173" t="s">
        <v>823</v>
      </c>
      <c r="B78" s="407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>
        <v>21406</v>
      </c>
      <c r="AC78" s="189">
        <v>17968</v>
      </c>
      <c r="AD78" s="189">
        <v>12024</v>
      </c>
      <c r="AE78" s="189">
        <v>4058</v>
      </c>
      <c r="AF78" s="189">
        <v>3336</v>
      </c>
    </row>
    <row r="79" spans="1:32">
      <c r="A79" s="173" t="s">
        <v>824</v>
      </c>
      <c r="B79" s="407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>
        <v>63982</v>
      </c>
      <c r="Z79" s="189"/>
      <c r="AA79" s="189"/>
      <c r="AB79" s="189"/>
      <c r="AC79" s="189"/>
      <c r="AD79" s="189"/>
      <c r="AE79" s="189"/>
      <c r="AF79" s="189"/>
    </row>
    <row r="80" spans="1:32">
      <c r="A80" s="173" t="s">
        <v>827</v>
      </c>
      <c r="B80" s="407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>
        <v>45912</v>
      </c>
      <c r="Z80" s="189"/>
      <c r="AA80" s="189"/>
      <c r="AB80" s="189"/>
      <c r="AC80" s="189"/>
      <c r="AD80" s="189"/>
      <c r="AE80" s="189"/>
      <c r="AF80" s="189"/>
    </row>
    <row r="81" spans="1:32" ht="15" thickBot="1">
      <c r="A81" s="173" t="s">
        <v>730</v>
      </c>
      <c r="B81" s="407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>
        <v>10500</v>
      </c>
      <c r="Q81" s="189">
        <v>311520</v>
      </c>
      <c r="R81" s="189">
        <v>254817.43916000001</v>
      </c>
      <c r="S81" s="189">
        <f>161012+3560</f>
        <v>164572</v>
      </c>
      <c r="T81" s="189">
        <v>3560.1218599999997</v>
      </c>
      <c r="U81" s="189">
        <v>19075</v>
      </c>
      <c r="V81" s="189">
        <v>19020</v>
      </c>
      <c r="W81" s="189">
        <v>284000</v>
      </c>
      <c r="X81" s="189">
        <f>58422+72756+166078</f>
        <v>297256</v>
      </c>
      <c r="Y81" s="189">
        <v>146601</v>
      </c>
      <c r="Z81" s="189">
        <v>290576</v>
      </c>
      <c r="AA81" s="189">
        <v>304065</v>
      </c>
      <c r="AB81" s="189">
        <v>329749</v>
      </c>
      <c r="AC81" s="189">
        <v>317166</v>
      </c>
      <c r="AD81" s="189">
        <v>702983</v>
      </c>
      <c r="AE81" s="189">
        <v>737907</v>
      </c>
      <c r="AF81" s="189">
        <v>764161</v>
      </c>
    </row>
    <row r="82" spans="1:32" ht="15" thickBot="1">
      <c r="A82" s="177" t="s">
        <v>734</v>
      </c>
      <c r="B82" s="406"/>
      <c r="C82" s="178">
        <f t="shared" ref="C82:O82" si="10">SUM(C83:C90)</f>
        <v>70</v>
      </c>
      <c r="D82" s="178">
        <f t="shared" si="10"/>
        <v>-4355</v>
      </c>
      <c r="E82" s="178">
        <f t="shared" si="10"/>
        <v>70988</v>
      </c>
      <c r="F82" s="178">
        <f t="shared" si="10"/>
        <v>201821</v>
      </c>
      <c r="G82" s="178">
        <f t="shared" si="10"/>
        <v>385355</v>
      </c>
      <c r="H82" s="178">
        <f t="shared" si="10"/>
        <v>445053</v>
      </c>
      <c r="I82" s="178">
        <f t="shared" si="10"/>
        <v>520526</v>
      </c>
      <c r="J82" s="178">
        <f t="shared" si="10"/>
        <v>773750</v>
      </c>
      <c r="K82" s="178">
        <f t="shared" si="10"/>
        <v>974925</v>
      </c>
      <c r="L82" s="178">
        <f t="shared" si="10"/>
        <v>1262053</v>
      </c>
      <c r="M82" s="178">
        <f t="shared" si="10"/>
        <v>1485179</v>
      </c>
      <c r="N82" s="178">
        <f t="shared" si="10"/>
        <v>2072158</v>
      </c>
      <c r="O82" s="178">
        <f t="shared" si="10"/>
        <v>2334123</v>
      </c>
      <c r="P82" s="178">
        <v>2543047</v>
      </c>
      <c r="Q82" s="178">
        <f>SUM(Q83:Q90)</f>
        <v>2867581</v>
      </c>
      <c r="R82" s="178">
        <f>SUM(R83:R90)</f>
        <v>3080309.7254330302</v>
      </c>
      <c r="S82" s="178">
        <f>SUM(S83:S90)</f>
        <v>3110064.0337499999</v>
      </c>
      <c r="T82" s="178">
        <v>2245883.92753</v>
      </c>
      <c r="U82" s="178">
        <v>2279417.9999999995</v>
      </c>
      <c r="V82" s="178">
        <v>2339625.9999999995</v>
      </c>
      <c r="W82" s="178">
        <v>9459000</v>
      </c>
      <c r="X82" s="178">
        <f>SUM(X83:X90)</f>
        <v>9246480</v>
      </c>
      <c r="Y82" s="178">
        <f>SUM(Y83:Y90)</f>
        <v>9502301</v>
      </c>
      <c r="Z82" s="178">
        <f>SUM(Z83:Z90)</f>
        <v>9618977</v>
      </c>
      <c r="AA82" s="178">
        <f>SUM(AA83:AA90)</f>
        <v>9574329</v>
      </c>
      <c r="AB82" s="178">
        <f>SUM(AB83:AB91)</f>
        <v>9575415</v>
      </c>
      <c r="AC82" s="178">
        <f>SUM(AC83:AC91)</f>
        <v>10211677</v>
      </c>
      <c r="AD82" s="178">
        <f>SUM(AD83:AD91)</f>
        <v>11186361</v>
      </c>
      <c r="AE82" s="178">
        <f>SUM(AE83:AE91)</f>
        <v>11269442</v>
      </c>
      <c r="AF82" s="178">
        <f>SUM(AF83:AF91)</f>
        <v>11382292</v>
      </c>
    </row>
    <row r="83" spans="1:32">
      <c r="A83" s="173" t="s">
        <v>735</v>
      </c>
      <c r="B83" s="407"/>
      <c r="C83" s="189">
        <v>70</v>
      </c>
      <c r="D83" s="189">
        <v>80</v>
      </c>
      <c r="E83" s="189">
        <v>72035</v>
      </c>
      <c r="F83" s="189">
        <v>203970</v>
      </c>
      <c r="G83" s="189">
        <v>384101</v>
      </c>
      <c r="H83" s="189">
        <v>442001</v>
      </c>
      <c r="I83" s="189">
        <v>513136</v>
      </c>
      <c r="J83" s="189">
        <v>629159</v>
      </c>
      <c r="K83" s="189">
        <v>741670</v>
      </c>
      <c r="L83" s="189">
        <v>892186</v>
      </c>
      <c r="M83" s="189">
        <v>899151</v>
      </c>
      <c r="N83" s="189">
        <v>908421</v>
      </c>
      <c r="O83" s="189">
        <v>921871</v>
      </c>
      <c r="P83" s="189">
        <v>932992</v>
      </c>
      <c r="Q83" s="189">
        <v>967397</v>
      </c>
      <c r="R83" s="189">
        <v>1038183.86096</v>
      </c>
      <c r="S83" s="189">
        <v>1017550</v>
      </c>
      <c r="T83" s="189">
        <v>288183.86095999996</v>
      </c>
      <c r="U83" s="189">
        <v>287667.99999999988</v>
      </c>
      <c r="V83" s="189">
        <v>288183.99999999994</v>
      </c>
      <c r="W83" s="189">
        <v>7322000</v>
      </c>
      <c r="X83" s="189">
        <v>7322402</v>
      </c>
      <c r="Y83" s="189">
        <v>7426740</v>
      </c>
      <c r="Z83" s="189">
        <v>7427042</v>
      </c>
      <c r="AA83" s="189">
        <v>7427043</v>
      </c>
      <c r="AB83" s="189">
        <v>7427043</v>
      </c>
      <c r="AC83" s="189">
        <v>7737043</v>
      </c>
      <c r="AD83" s="189">
        <v>8535043</v>
      </c>
      <c r="AE83" s="189">
        <v>8535043</v>
      </c>
      <c r="AF83" s="189">
        <v>8535043</v>
      </c>
    </row>
    <row r="84" spans="1:32">
      <c r="A84" s="173" t="s">
        <v>764</v>
      </c>
      <c r="B84" s="407"/>
      <c r="C84" s="189">
        <v>0</v>
      </c>
      <c r="D84" s="189">
        <v>0</v>
      </c>
      <c r="E84" s="189">
        <v>0</v>
      </c>
      <c r="F84" s="189">
        <v>0</v>
      </c>
      <c r="G84" s="189">
        <v>0</v>
      </c>
      <c r="H84" s="189">
        <v>0</v>
      </c>
      <c r="I84" s="189">
        <v>0</v>
      </c>
      <c r="J84" s="189">
        <v>0</v>
      </c>
      <c r="K84" s="189"/>
      <c r="L84" s="189"/>
      <c r="M84" s="189"/>
      <c r="N84" s="189"/>
      <c r="O84" s="189"/>
      <c r="P84" s="189"/>
      <c r="Q84" s="189"/>
      <c r="R84" s="189">
        <v>4480.2093299999997</v>
      </c>
      <c r="S84" s="189">
        <v>5076.0337499999996</v>
      </c>
      <c r="T84" s="189">
        <v>5678.4784399999999</v>
      </c>
      <c r="U84" s="189">
        <v>6000</v>
      </c>
      <c r="V84" s="189">
        <v>6850</v>
      </c>
      <c r="W84" s="189">
        <v>7000</v>
      </c>
      <c r="X84" s="189">
        <v>7488</v>
      </c>
      <c r="Y84" s="189">
        <v>7817</v>
      </c>
      <c r="Z84" s="189">
        <v>8112</v>
      </c>
      <c r="AA84" s="189">
        <v>8245</v>
      </c>
      <c r="AB84" s="189">
        <v>8427</v>
      </c>
      <c r="AC84" s="189">
        <v>8592</v>
      </c>
      <c r="AD84" s="189">
        <v>8727</v>
      </c>
      <c r="AE84" s="189">
        <v>8727</v>
      </c>
      <c r="AF84" s="189">
        <v>8727</v>
      </c>
    </row>
    <row r="85" spans="1:32">
      <c r="A85" s="173" t="s">
        <v>765</v>
      </c>
      <c r="B85" s="407"/>
      <c r="C85" s="189">
        <v>0</v>
      </c>
      <c r="D85" s="189">
        <v>0</v>
      </c>
      <c r="E85" s="189">
        <v>0</v>
      </c>
      <c r="F85" s="189">
        <v>0</v>
      </c>
      <c r="G85" s="189">
        <v>0</v>
      </c>
      <c r="H85" s="189">
        <v>0</v>
      </c>
      <c r="I85" s="189">
        <v>0</v>
      </c>
      <c r="J85" s="189">
        <v>144591</v>
      </c>
      <c r="K85" s="189">
        <v>137501</v>
      </c>
      <c r="L85" s="189">
        <v>137501</v>
      </c>
      <c r="M85" s="189">
        <v>137501</v>
      </c>
      <c r="N85" s="189">
        <v>137501</v>
      </c>
      <c r="O85" s="189">
        <v>1163738</v>
      </c>
      <c r="P85" s="189">
        <v>1163738</v>
      </c>
      <c r="Q85" s="189">
        <v>1163738</v>
      </c>
      <c r="R85" s="189">
        <v>116411.75521303012</v>
      </c>
      <c r="S85" s="189">
        <f>2037150</f>
        <v>2037150</v>
      </c>
      <c r="T85" s="189">
        <v>1863172.5837200002</v>
      </c>
      <c r="U85" s="189">
        <v>1863943.0000000002</v>
      </c>
      <c r="V85" s="189">
        <v>1863174.9999999998</v>
      </c>
      <c r="W85" s="189">
        <v>2045000</v>
      </c>
      <c r="X85" s="189">
        <v>1992014</v>
      </c>
      <c r="Y85" s="189">
        <v>1886831.9999999998</v>
      </c>
      <c r="Z85" s="189">
        <v>2199542</v>
      </c>
      <c r="AA85" s="189">
        <v>2199538.9999999995</v>
      </c>
      <c r="AB85" s="189">
        <v>2199539</v>
      </c>
      <c r="AC85" s="189">
        <v>2199539</v>
      </c>
      <c r="AD85" s="189">
        <v>2655023</v>
      </c>
      <c r="AE85" s="189">
        <v>2655023</v>
      </c>
      <c r="AF85" s="189">
        <v>2655023</v>
      </c>
    </row>
    <row r="86" spans="1:32">
      <c r="A86" s="173" t="s">
        <v>738</v>
      </c>
      <c r="B86" s="407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>
        <v>-69407</v>
      </c>
      <c r="AB86" s="189">
        <v>-115855</v>
      </c>
      <c r="AC86" s="189">
        <v>-5386</v>
      </c>
      <c r="AD86" s="189">
        <v>-12432</v>
      </c>
      <c r="AE86" s="189">
        <v>2878</v>
      </c>
      <c r="AF86" s="189">
        <v>39382</v>
      </c>
    </row>
    <row r="87" spans="1:32">
      <c r="A87" s="173" t="s">
        <v>855</v>
      </c>
      <c r="B87" s="407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Y87" s="189">
        <v>180912</v>
      </c>
      <c r="Z87" s="189"/>
      <c r="AA87" s="189"/>
      <c r="AB87" s="189"/>
      <c r="AC87" s="189"/>
      <c r="AD87" s="189"/>
      <c r="AE87" s="189"/>
      <c r="AF87" s="189"/>
    </row>
    <row r="88" spans="1:32">
      <c r="A88" s="173" t="s">
        <v>791</v>
      </c>
      <c r="B88" s="407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Y88" s="189"/>
      <c r="Z88" s="189"/>
      <c r="AA88" s="189"/>
      <c r="AB88" s="189"/>
      <c r="AC88" s="189"/>
      <c r="AD88" s="189"/>
      <c r="AE88" s="189"/>
      <c r="AF88" s="189"/>
    </row>
    <row r="89" spans="1:32">
      <c r="A89" s="173" t="s">
        <v>856</v>
      </c>
      <c r="B89" s="407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Y89" s="189"/>
      <c r="Z89" s="189"/>
      <c r="AA89" s="189"/>
      <c r="AB89" s="189"/>
      <c r="AC89" s="189"/>
      <c r="AD89" s="189"/>
      <c r="AE89" s="189"/>
      <c r="AF89" s="189"/>
    </row>
    <row r="90" spans="1:32">
      <c r="A90" s="173" t="s">
        <v>739</v>
      </c>
      <c r="B90" s="407"/>
      <c r="C90" s="189">
        <v>0</v>
      </c>
      <c r="D90" s="189">
        <v>-4435</v>
      </c>
      <c r="E90" s="189">
        <v>-1047</v>
      </c>
      <c r="F90" s="189">
        <v>-2149</v>
      </c>
      <c r="G90" s="189">
        <v>1254</v>
      </c>
      <c r="H90" s="189">
        <v>3052</v>
      </c>
      <c r="I90" s="189">
        <v>7390</v>
      </c>
      <c r="J90" s="189">
        <v>0</v>
      </c>
      <c r="K90" s="189">
        <v>95754</v>
      </c>
      <c r="L90" s="189">
        <v>232366</v>
      </c>
      <c r="M90" s="189">
        <v>448527</v>
      </c>
      <c r="N90" s="189">
        <v>1026236</v>
      </c>
      <c r="O90" s="189">
        <v>248514</v>
      </c>
      <c r="P90" s="189">
        <v>446317</v>
      </c>
      <c r="Q90" s="189">
        <v>736446</v>
      </c>
      <c r="R90" s="189">
        <v>1921233.8999300001</v>
      </c>
      <c r="S90" s="189">
        <f>20768+29520</f>
        <v>50288</v>
      </c>
      <c r="T90" s="189">
        <v>88849.004409999965</v>
      </c>
      <c r="U90" s="189">
        <v>121807.00000000001</v>
      </c>
      <c r="V90" s="189">
        <v>181417.00000000003</v>
      </c>
      <c r="W90" s="189">
        <v>85000</v>
      </c>
      <c r="X90" s="189">
        <v>-75424</v>
      </c>
      <c r="Y90" s="189"/>
      <c r="Z90" s="189">
        <v>-15719</v>
      </c>
      <c r="AA90" s="189">
        <v>8908.9999999999782</v>
      </c>
      <c r="AB90" s="189">
        <v>0</v>
      </c>
      <c r="AC90" s="189"/>
      <c r="AD90" s="189"/>
      <c r="AE90" s="189"/>
      <c r="AF90" s="189"/>
    </row>
    <row r="91" spans="1:32" ht="15" thickBot="1">
      <c r="A91" s="173" t="s">
        <v>779</v>
      </c>
      <c r="B91" s="407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>
        <v>56261</v>
      </c>
      <c r="AC91" s="189">
        <v>271889</v>
      </c>
      <c r="AD91" s="189">
        <v>0</v>
      </c>
      <c r="AE91" s="189">
        <v>67771</v>
      </c>
      <c r="AF91" s="189">
        <v>144117</v>
      </c>
    </row>
    <row r="92" spans="1:32" ht="15" thickBot="1">
      <c r="A92" s="177" t="s">
        <v>740</v>
      </c>
      <c r="B92" s="406"/>
      <c r="C92" s="178">
        <f t="shared" ref="C92:O92" si="11">C82+C68+C48</f>
        <v>24357</v>
      </c>
      <c r="D92" s="178">
        <f t="shared" si="11"/>
        <v>71109</v>
      </c>
      <c r="E92" s="178">
        <f t="shared" si="11"/>
        <v>114336</v>
      </c>
      <c r="F92" s="178">
        <f t="shared" si="11"/>
        <v>298426</v>
      </c>
      <c r="G92" s="178">
        <f t="shared" si="11"/>
        <v>634608</v>
      </c>
      <c r="H92" s="178">
        <f t="shared" si="11"/>
        <v>905166</v>
      </c>
      <c r="I92" s="178">
        <f t="shared" si="11"/>
        <v>1443744</v>
      </c>
      <c r="J92" s="178">
        <f t="shared" si="11"/>
        <v>2265480</v>
      </c>
      <c r="K92" s="178">
        <f t="shared" si="11"/>
        <v>2964619</v>
      </c>
      <c r="L92" s="178">
        <f t="shared" si="11"/>
        <v>4572688</v>
      </c>
      <c r="M92" s="178">
        <f t="shared" si="11"/>
        <v>5351819</v>
      </c>
      <c r="N92" s="178">
        <f t="shared" si="11"/>
        <v>7354317</v>
      </c>
      <c r="O92" s="178">
        <f t="shared" si="11"/>
        <v>8206610</v>
      </c>
      <c r="P92" s="178">
        <v>8714529</v>
      </c>
      <c r="Q92" s="178">
        <f>Q82+Q68+Q48</f>
        <v>9075743</v>
      </c>
      <c r="R92" s="178">
        <f>R82+R68+R48</f>
        <v>9507915.518029999</v>
      </c>
      <c r="S92" s="178">
        <f>S82+S68+S48</f>
        <v>9559072.9001700003</v>
      </c>
      <c r="T92" s="178">
        <v>9764956.75832</v>
      </c>
      <c r="U92" s="178">
        <v>10036782.000000002</v>
      </c>
      <c r="V92" s="178">
        <v>10298324</v>
      </c>
      <c r="W92" s="178">
        <v>22542000</v>
      </c>
      <c r="X92" s="178">
        <f t="shared" ref="X92:AC92" si="12">SUM(X82+X68+X48)</f>
        <v>22319257</v>
      </c>
      <c r="Y92" s="178">
        <f t="shared" si="12"/>
        <v>22582803</v>
      </c>
      <c r="Z92" s="178">
        <f t="shared" si="12"/>
        <v>22620434</v>
      </c>
      <c r="AA92" s="178">
        <f t="shared" si="12"/>
        <v>22767499</v>
      </c>
      <c r="AB92" s="178">
        <f t="shared" si="12"/>
        <v>23347301</v>
      </c>
      <c r="AC92" s="178">
        <f t="shared" si="12"/>
        <v>25336782</v>
      </c>
      <c r="AD92" s="178">
        <f t="shared" ref="AD92:AE92" si="13">SUM(AD82+AD68+AD48)</f>
        <v>26234384</v>
      </c>
      <c r="AE92" s="178">
        <f t="shared" si="13"/>
        <v>26125878</v>
      </c>
      <c r="AF92" s="178">
        <f>SUM(AF82+AF68+AF48)</f>
        <v>26658694</v>
      </c>
    </row>
    <row r="93" spans="1:32" s="187" customFormat="1" ht="12">
      <c r="B93" s="3"/>
      <c r="C93" s="188"/>
      <c r="D93" s="188"/>
      <c r="E93" s="188"/>
      <c r="F93" s="188"/>
      <c r="G93" s="188"/>
      <c r="H93" s="188"/>
      <c r="I93" s="188"/>
      <c r="J93" s="188"/>
      <c r="K93" s="188">
        <f t="shared" ref="K93:Y93" si="14">K92-K45</f>
        <v>0</v>
      </c>
      <c r="L93" s="188">
        <f t="shared" si="14"/>
        <v>0</v>
      </c>
      <c r="M93" s="188">
        <f t="shared" si="14"/>
        <v>0</v>
      </c>
      <c r="N93" s="188">
        <f t="shared" si="14"/>
        <v>1</v>
      </c>
      <c r="O93" s="188">
        <f t="shared" si="14"/>
        <v>0</v>
      </c>
      <c r="P93" s="188">
        <f t="shared" si="14"/>
        <v>0</v>
      </c>
      <c r="Q93" s="188">
        <f t="shared" si="14"/>
        <v>0</v>
      </c>
      <c r="R93" s="188">
        <f t="shared" si="14"/>
        <v>337.03086999803782</v>
      </c>
      <c r="S93" s="188">
        <f t="shared" si="14"/>
        <v>0.35102000087499619</v>
      </c>
      <c r="T93" s="188">
        <f t="shared" si="14"/>
        <v>-0.86455000005662441</v>
      </c>
      <c r="U93" s="188">
        <f t="shared" si="14"/>
        <v>2013.0290300026536</v>
      </c>
      <c r="V93" s="188">
        <f t="shared" si="14"/>
        <v>701</v>
      </c>
      <c r="W93" s="188">
        <f t="shared" si="14"/>
        <v>0</v>
      </c>
      <c r="X93" s="188">
        <f t="shared" si="14"/>
        <v>0</v>
      </c>
      <c r="Y93" s="188">
        <f t="shared" si="14"/>
        <v>0</v>
      </c>
      <c r="Z93" s="188">
        <f t="shared" ref="Z93:AE93" si="15">Z92-Z45</f>
        <v>0</v>
      </c>
      <c r="AA93" s="188">
        <f t="shared" si="15"/>
        <v>0</v>
      </c>
      <c r="AB93" s="188">
        <f t="shared" si="15"/>
        <v>0</v>
      </c>
      <c r="AC93" s="188">
        <f t="shared" si="15"/>
        <v>0</v>
      </c>
      <c r="AD93" s="188">
        <f t="shared" si="15"/>
        <v>0</v>
      </c>
      <c r="AE93" s="188">
        <f t="shared" si="15"/>
        <v>0</v>
      </c>
      <c r="AF93" s="188">
        <f t="shared" ref="AF93" si="16">AF92-AF45</f>
        <v>0</v>
      </c>
    </row>
    <row r="94" spans="1:32">
      <c r="C94" s="111"/>
      <c r="D94" s="111"/>
      <c r="E94" s="111"/>
      <c r="F94" s="111"/>
      <c r="G94" s="111"/>
      <c r="H94" s="111"/>
      <c r="I94" s="111"/>
      <c r="J94" s="111"/>
    </row>
    <row r="95" spans="1:32"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5:AF62"/>
  <sheetViews>
    <sheetView showGridLines="0" zoomScaleNormal="100" workbookViewId="0">
      <pane xSplit="1" ySplit="7" topLeftCell="B8" activePane="bottomRight" state="frozen"/>
      <selection pane="topRight" activeCell="S9" sqref="S9"/>
      <selection pane="bottomLeft" activeCell="S9" sqref="S9"/>
      <selection pane="bottomRight" activeCell="S9" sqref="S9"/>
    </sheetView>
  </sheetViews>
  <sheetFormatPr defaultColWidth="9.1796875" defaultRowHeight="14.5" outlineLevelCol="1"/>
  <cols>
    <col min="1" max="1" width="40.7265625" style="37" bestFit="1" customWidth="1"/>
    <col min="2" max="2" width="0.7265625" customWidth="1"/>
    <col min="3" max="11" width="8" style="37" hidden="1" customWidth="1" outlineLevel="1"/>
    <col min="12" max="12" width="9" style="37" hidden="1" customWidth="1" outlineLevel="1"/>
    <col min="13" max="13" width="8" style="37" hidden="1" customWidth="1" outlineLevel="1"/>
    <col min="14" max="14" width="9" style="37" hidden="1" customWidth="1" outlineLevel="1"/>
    <col min="15" max="22" width="10.1796875" style="37" hidden="1" customWidth="1" outlineLevel="1"/>
    <col min="23" max="23" width="10.1796875" style="37" customWidth="1" collapsed="1"/>
    <col min="24" max="31" width="10.1796875" style="37" customWidth="1"/>
    <col min="32" max="16384" width="9.1796875" style="37"/>
  </cols>
  <sheetData>
    <row r="5" spans="1:31">
      <c r="AD5" s="111"/>
      <c r="AE5" s="111"/>
    </row>
    <row r="6" spans="1:31">
      <c r="A6" s="41" t="s">
        <v>857</v>
      </c>
      <c r="B6" s="133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</row>
    <row r="7" spans="1:31" ht="15" thickBot="1">
      <c r="A7" s="5" t="s">
        <v>834</v>
      </c>
      <c r="B7" s="405"/>
      <c r="C7" s="528" t="s">
        <v>25</v>
      </c>
      <c r="D7" s="528" t="s">
        <v>26</v>
      </c>
      <c r="E7" s="528" t="s">
        <v>27</v>
      </c>
      <c r="F7" s="528" t="s">
        <v>28</v>
      </c>
      <c r="G7" s="528" t="s">
        <v>29</v>
      </c>
      <c r="H7" s="528" t="s">
        <v>30</v>
      </c>
      <c r="I7" s="528" t="s">
        <v>31</v>
      </c>
      <c r="J7" s="528" t="s">
        <v>32</v>
      </c>
      <c r="K7" s="528" t="s">
        <v>33</v>
      </c>
      <c r="L7" s="528" t="s">
        <v>34</v>
      </c>
      <c r="M7" s="528" t="s">
        <v>35</v>
      </c>
      <c r="N7" s="528" t="s">
        <v>36</v>
      </c>
      <c r="O7" s="528" t="s">
        <v>37</v>
      </c>
      <c r="P7" s="528" t="s">
        <v>38</v>
      </c>
      <c r="Q7" s="528" t="s">
        <v>39</v>
      </c>
      <c r="R7" s="528" t="s">
        <v>40</v>
      </c>
      <c r="S7" s="528" t="s">
        <v>41</v>
      </c>
      <c r="T7" s="528" t="s">
        <v>42</v>
      </c>
      <c r="U7" s="528" t="s">
        <v>43</v>
      </c>
      <c r="V7" s="528" t="s">
        <v>44</v>
      </c>
      <c r="W7" s="528" t="s">
        <v>45</v>
      </c>
      <c r="X7" s="528" t="s">
        <v>46</v>
      </c>
      <c r="Y7" s="528" t="s">
        <v>47</v>
      </c>
      <c r="Z7" s="528" t="s">
        <v>48</v>
      </c>
      <c r="AA7" s="528" t="s">
        <v>49</v>
      </c>
      <c r="AB7" s="528" t="s">
        <v>50</v>
      </c>
      <c r="AC7" s="528" t="s">
        <v>51</v>
      </c>
      <c r="AD7" s="528" t="s">
        <v>52</v>
      </c>
      <c r="AE7" s="528" t="s">
        <v>53</v>
      </c>
    </row>
    <row r="8" spans="1:31" ht="15" thickBot="1">
      <c r="A8" s="177" t="s">
        <v>690</v>
      </c>
      <c r="B8" s="406"/>
      <c r="C8" s="178">
        <f t="shared" ref="C8:X8" si="0">SUM(C9:C17)</f>
        <v>171219</v>
      </c>
      <c r="D8" s="178">
        <f t="shared" si="0"/>
        <v>183918</v>
      </c>
      <c r="E8" s="178">
        <f t="shared" si="0"/>
        <v>181916</v>
      </c>
      <c r="F8" s="178">
        <f t="shared" si="0"/>
        <v>184514.09099</v>
      </c>
      <c r="G8" s="178">
        <f t="shared" si="0"/>
        <v>214484.36794999999</v>
      </c>
      <c r="H8" s="178">
        <f t="shared" si="0"/>
        <v>257867.12044999999</v>
      </c>
      <c r="I8" s="178">
        <f t="shared" si="0"/>
        <v>244160.73475</v>
      </c>
      <c r="J8" s="178">
        <f t="shared" si="0"/>
        <v>429564</v>
      </c>
      <c r="K8" s="178">
        <f t="shared" si="0"/>
        <v>226585</v>
      </c>
      <c r="L8" s="178">
        <f t="shared" si="0"/>
        <v>525665.91397999995</v>
      </c>
      <c r="M8" s="178">
        <f t="shared" si="0"/>
        <v>372330</v>
      </c>
      <c r="N8" s="178">
        <f t="shared" si="0"/>
        <v>415678</v>
      </c>
      <c r="O8" s="178">
        <f t="shared" si="0"/>
        <v>396000</v>
      </c>
      <c r="P8" s="178">
        <f t="shared" si="0"/>
        <v>433000</v>
      </c>
      <c r="Q8" s="178">
        <f t="shared" si="0"/>
        <v>453439</v>
      </c>
      <c r="R8" s="178">
        <f t="shared" si="0"/>
        <v>244150.48240000004</v>
      </c>
      <c r="S8" s="178">
        <f t="shared" si="0"/>
        <v>276312.03283000004</v>
      </c>
      <c r="T8" s="178">
        <f t="shared" si="0"/>
        <v>292340.36845999997</v>
      </c>
      <c r="U8" s="178">
        <f t="shared" si="0"/>
        <v>331380</v>
      </c>
      <c r="V8" s="178">
        <f t="shared" si="0"/>
        <v>310985</v>
      </c>
      <c r="W8" s="178">
        <f t="shared" si="0"/>
        <v>312292</v>
      </c>
      <c r="X8" s="178">
        <f t="shared" si="0"/>
        <v>354665</v>
      </c>
      <c r="Y8" s="178">
        <f t="shared" ref="Y8:AC8" si="1">SUM(Y9:Y17)</f>
        <v>381920</v>
      </c>
      <c r="Z8" s="178">
        <f t="shared" si="1"/>
        <v>410413</v>
      </c>
      <c r="AA8" s="178">
        <f t="shared" si="1"/>
        <v>417799</v>
      </c>
      <c r="AB8" s="178">
        <f t="shared" si="1"/>
        <v>470237</v>
      </c>
      <c r="AC8" s="178">
        <f t="shared" si="1"/>
        <v>396009</v>
      </c>
      <c r="AD8" s="178">
        <f>SUM(AD9:AD17)</f>
        <v>341816</v>
      </c>
      <c r="AE8" s="178">
        <f>SUM(AE9:AE17)</f>
        <v>356657</v>
      </c>
    </row>
    <row r="9" spans="1:31">
      <c r="A9" s="173" t="s">
        <v>691</v>
      </c>
      <c r="B9" s="407"/>
      <c r="C9" s="189">
        <v>20017</v>
      </c>
      <c r="D9" s="189">
        <v>31039</v>
      </c>
      <c r="E9" s="189">
        <v>27585</v>
      </c>
      <c r="F9" s="189">
        <v>24860.337339999998</v>
      </c>
      <c r="G9" s="189">
        <v>26222.019659999998</v>
      </c>
      <c r="H9" s="189">
        <v>36803.74504999999</v>
      </c>
      <c r="I9" s="189">
        <v>44593.012780000005</v>
      </c>
      <c r="J9" s="189">
        <v>190567</v>
      </c>
      <c r="K9" s="189">
        <v>48232</v>
      </c>
      <c r="L9" s="189">
        <v>328398.07150999998</v>
      </c>
      <c r="M9" s="189">
        <v>170761</v>
      </c>
      <c r="N9" s="189">
        <v>182169</v>
      </c>
      <c r="O9" s="189">
        <v>86000</v>
      </c>
      <c r="P9" s="189">
        <v>1000</v>
      </c>
      <c r="Q9" s="189"/>
      <c r="R9" s="189"/>
      <c r="S9" s="189">
        <v>241.30263000000002</v>
      </c>
      <c r="T9" s="189">
        <v>263.55959999999993</v>
      </c>
      <c r="U9" s="189">
        <v>552</v>
      </c>
      <c r="V9" s="189">
        <v>459</v>
      </c>
      <c r="W9" s="189">
        <v>329</v>
      </c>
      <c r="X9" s="189">
        <v>52957</v>
      </c>
      <c r="Y9" s="189">
        <v>54807</v>
      </c>
      <c r="Z9" s="189">
        <v>54742</v>
      </c>
      <c r="AA9" s="189">
        <v>67595</v>
      </c>
      <c r="AB9" s="189">
        <v>56889</v>
      </c>
      <c r="AC9" s="189">
        <v>88108</v>
      </c>
      <c r="AD9" s="189">
        <v>60787</v>
      </c>
      <c r="AE9" s="189">
        <v>76866</v>
      </c>
    </row>
    <row r="10" spans="1:31">
      <c r="A10" s="173" t="s">
        <v>858</v>
      </c>
      <c r="B10" s="407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>
        <v>104000</v>
      </c>
      <c r="P10" s="189">
        <v>214000</v>
      </c>
      <c r="Q10" s="189">
        <v>237632</v>
      </c>
      <c r="R10" s="189">
        <v>30842.341870000004</v>
      </c>
      <c r="S10" s="189">
        <v>58287.746789999997</v>
      </c>
      <c r="T10" s="189">
        <v>86941.151489999989</v>
      </c>
      <c r="U10" s="189">
        <v>110782</v>
      </c>
      <c r="V10" s="189">
        <v>93462</v>
      </c>
      <c r="W10" s="189">
        <v>107779</v>
      </c>
      <c r="X10" s="189">
        <v>89990</v>
      </c>
      <c r="Y10" s="189">
        <v>95032</v>
      </c>
      <c r="Z10" s="189">
        <v>117259</v>
      </c>
      <c r="AA10" s="189">
        <v>116763</v>
      </c>
      <c r="AB10" s="189">
        <v>173512</v>
      </c>
      <c r="AC10" s="189">
        <v>147526</v>
      </c>
      <c r="AD10" s="189">
        <v>118826</v>
      </c>
      <c r="AE10" s="189">
        <v>118826</v>
      </c>
    </row>
    <row r="11" spans="1:31">
      <c r="A11" s="173" t="s">
        <v>859</v>
      </c>
      <c r="B11" s="407"/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>
        <v>18180</v>
      </c>
      <c r="O11" s="189">
        <v>19000</v>
      </c>
      <c r="P11" s="189">
        <v>17000</v>
      </c>
      <c r="Q11" s="189">
        <v>18330</v>
      </c>
      <c r="R11" s="189">
        <v>17992.447079999998</v>
      </c>
      <c r="S11" s="189">
        <v>17959.653009999998</v>
      </c>
      <c r="T11" s="189">
        <v>16758.484550000001</v>
      </c>
      <c r="U11" s="189">
        <v>18414</v>
      </c>
      <c r="V11" s="189">
        <v>17714</v>
      </c>
      <c r="W11" s="189">
        <v>17442</v>
      </c>
      <c r="X11" s="189">
        <v>16332</v>
      </c>
      <c r="Y11" s="189">
        <v>15900</v>
      </c>
      <c r="Z11" s="189">
        <v>20095</v>
      </c>
      <c r="AA11" s="189">
        <v>20645</v>
      </c>
      <c r="AB11" s="189">
        <v>22512</v>
      </c>
      <c r="AC11" s="189">
        <v>15867</v>
      </c>
      <c r="AD11" s="189">
        <v>13689</v>
      </c>
      <c r="AE11" s="189">
        <v>15103</v>
      </c>
    </row>
    <row r="12" spans="1:31">
      <c r="A12" s="173" t="s">
        <v>860</v>
      </c>
      <c r="B12" s="407"/>
      <c r="C12" s="189">
        <v>146377</v>
      </c>
      <c r="D12" s="189">
        <v>146671</v>
      </c>
      <c r="E12" s="189">
        <v>151696</v>
      </c>
      <c r="F12" s="189">
        <v>157698.73431</v>
      </c>
      <c r="G12" s="189">
        <v>186523.63626999999</v>
      </c>
      <c r="H12" s="189">
        <v>219098</v>
      </c>
      <c r="I12" s="189">
        <v>196205.51</v>
      </c>
      <c r="J12" s="189">
        <v>226332</v>
      </c>
      <c r="K12" s="189">
        <v>171597</v>
      </c>
      <c r="L12" s="189">
        <v>189764.93137999999</v>
      </c>
      <c r="M12" s="189">
        <v>193691</v>
      </c>
      <c r="N12" s="189">
        <v>177618</v>
      </c>
      <c r="O12" s="189">
        <v>169000</v>
      </c>
      <c r="P12" s="189">
        <v>169000</v>
      </c>
      <c r="Q12" s="189">
        <v>169377</v>
      </c>
      <c r="R12" s="189">
        <v>169376.74008000002</v>
      </c>
      <c r="S12" s="189">
        <v>179376.74008000002</v>
      </c>
      <c r="T12" s="189">
        <v>166552</v>
      </c>
      <c r="U12" s="189">
        <v>184478</v>
      </c>
      <c r="V12" s="189">
        <v>181983</v>
      </c>
      <c r="W12" s="189">
        <v>0</v>
      </c>
      <c r="X12" s="189">
        <v>0</v>
      </c>
      <c r="Y12" s="189">
        <v>0</v>
      </c>
      <c r="Z12" s="189">
        <v>0</v>
      </c>
      <c r="AA12" s="189">
        <v>0</v>
      </c>
      <c r="AB12" s="189">
        <v>0</v>
      </c>
      <c r="AC12" s="189">
        <v>0</v>
      </c>
      <c r="AD12" s="189">
        <v>0</v>
      </c>
      <c r="AE12" s="189"/>
    </row>
    <row r="13" spans="1:31">
      <c r="A13" s="173" t="s">
        <v>837</v>
      </c>
      <c r="B13" s="407"/>
      <c r="C13" s="189">
        <v>1167</v>
      </c>
      <c r="D13" s="189">
        <v>1941</v>
      </c>
      <c r="E13" s="189">
        <v>816</v>
      </c>
      <c r="F13" s="189">
        <v>874</v>
      </c>
      <c r="G13" s="189">
        <v>830</v>
      </c>
      <c r="H13" s="189">
        <v>946</v>
      </c>
      <c r="I13" s="189">
        <v>2792</v>
      </c>
      <c r="J13" s="189">
        <v>6056</v>
      </c>
      <c r="K13" s="189">
        <v>5640</v>
      </c>
      <c r="L13" s="189">
        <v>6129.9110899999996</v>
      </c>
      <c r="M13" s="189">
        <v>6990</v>
      </c>
      <c r="N13" s="189">
        <f>752+5664</f>
        <v>6416</v>
      </c>
      <c r="O13" s="189">
        <v>7000</v>
      </c>
      <c r="P13" s="189">
        <v>20000</v>
      </c>
      <c r="Q13" s="189">
        <v>16000</v>
      </c>
      <c r="R13" s="189">
        <v>14654.76748</v>
      </c>
      <c r="S13" s="189">
        <v>8537.892170000001</v>
      </c>
      <c r="T13" s="189">
        <v>12099.892750000001</v>
      </c>
      <c r="U13" s="189">
        <v>8150</v>
      </c>
      <c r="V13" s="189">
        <v>8170.9999999999991</v>
      </c>
      <c r="W13" s="189">
        <v>8171</v>
      </c>
      <c r="X13" s="189">
        <f>7265+906</f>
        <v>8171</v>
      </c>
      <c r="Y13" s="189">
        <v>8500</v>
      </c>
      <c r="Z13" s="189">
        <v>8901</v>
      </c>
      <c r="AA13" s="189">
        <v>9322</v>
      </c>
      <c r="AB13" s="189">
        <v>6107</v>
      </c>
      <c r="AC13" s="189">
        <v>6756</v>
      </c>
      <c r="AD13" s="189">
        <v>14874</v>
      </c>
      <c r="AE13" s="189">
        <v>15606</v>
      </c>
    </row>
    <row r="14" spans="1:31">
      <c r="A14" s="173" t="s">
        <v>838</v>
      </c>
      <c r="B14" s="407"/>
      <c r="C14" s="189">
        <v>164</v>
      </c>
      <c r="D14" s="189">
        <v>67</v>
      </c>
      <c r="E14" s="189">
        <v>255</v>
      </c>
      <c r="F14" s="189">
        <v>248.58382999999998</v>
      </c>
      <c r="G14" s="189">
        <v>166.49234999999999</v>
      </c>
      <c r="H14" s="189">
        <v>46</v>
      </c>
      <c r="I14" s="189">
        <v>139.21197000000001</v>
      </c>
      <c r="J14" s="189" t="s">
        <v>371</v>
      </c>
      <c r="K14" s="189" t="s">
        <v>371</v>
      </c>
      <c r="L14" s="189">
        <v>2</v>
      </c>
      <c r="M14" s="189">
        <v>71</v>
      </c>
      <c r="N14" s="189">
        <v>25141</v>
      </c>
      <c r="O14" s="189"/>
      <c r="P14" s="189"/>
      <c r="Q14" s="189">
        <v>4403</v>
      </c>
      <c r="R14" s="189">
        <v>3205.4012399999992</v>
      </c>
      <c r="S14" s="189">
        <v>3225.6693499999997</v>
      </c>
      <c r="T14" s="189">
        <v>6448.2821500000009</v>
      </c>
      <c r="U14" s="189">
        <v>6464</v>
      </c>
      <c r="V14" s="189">
        <v>815</v>
      </c>
      <c r="W14" s="189"/>
      <c r="X14" s="189">
        <v>0</v>
      </c>
      <c r="Y14" s="189"/>
      <c r="Z14" s="189"/>
      <c r="AA14" s="189"/>
      <c r="AB14" s="189">
        <v>0</v>
      </c>
      <c r="AC14" s="189"/>
      <c r="AD14" s="189"/>
      <c r="AE14" s="189"/>
    </row>
    <row r="15" spans="1:31">
      <c r="A15" s="173" t="s">
        <v>696</v>
      </c>
      <c r="B15" s="407"/>
      <c r="C15" s="189">
        <v>2166</v>
      </c>
      <c r="D15" s="189">
        <v>2188</v>
      </c>
      <c r="E15" s="189">
        <v>1401</v>
      </c>
      <c r="F15" s="189">
        <v>659.43551000000002</v>
      </c>
      <c r="G15" s="189">
        <v>635.48128000000008</v>
      </c>
      <c r="H15" s="189">
        <v>634.38592000000006</v>
      </c>
      <c r="I15" s="189">
        <v>0</v>
      </c>
      <c r="J15" s="189" t="s">
        <v>371</v>
      </c>
      <c r="K15" s="189" t="s">
        <v>371</v>
      </c>
      <c r="L15" s="189"/>
      <c r="M15" s="189">
        <v>0</v>
      </c>
      <c r="N15" s="189">
        <v>5171</v>
      </c>
      <c r="O15" s="189">
        <v>5000</v>
      </c>
      <c r="P15" s="189">
        <v>5000</v>
      </c>
      <c r="Q15" s="189">
        <v>5697</v>
      </c>
      <c r="R15" s="189">
        <v>5697</v>
      </c>
      <c r="S15" s="189">
        <v>6447.3053</v>
      </c>
      <c r="T15" s="189">
        <v>821.54069000000004</v>
      </c>
      <c r="U15" s="189">
        <v>817</v>
      </c>
      <c r="V15" s="189">
        <v>6449</v>
      </c>
      <c r="W15" s="189">
        <v>6449</v>
      </c>
      <c r="X15" s="189">
        <v>6456</v>
      </c>
      <c r="Y15" s="189">
        <v>6456</v>
      </c>
      <c r="Z15" s="189">
        <v>7005</v>
      </c>
      <c r="AA15" s="189">
        <v>7016</v>
      </c>
      <c r="AB15" s="189">
        <v>7003</v>
      </c>
      <c r="AC15" s="189">
        <v>6923</v>
      </c>
      <c r="AD15" s="189">
        <v>6925</v>
      </c>
      <c r="AE15" s="189">
        <v>5082</v>
      </c>
    </row>
    <row r="16" spans="1:31">
      <c r="A16" s="173" t="s">
        <v>861</v>
      </c>
      <c r="B16" s="407"/>
      <c r="C16" s="189">
        <v>1328</v>
      </c>
      <c r="D16" s="189">
        <v>2012</v>
      </c>
      <c r="E16" s="189">
        <v>163</v>
      </c>
      <c r="F16" s="189">
        <v>173</v>
      </c>
      <c r="G16" s="189">
        <v>106.73839</v>
      </c>
      <c r="H16" s="189">
        <v>338.98947999999996</v>
      </c>
      <c r="I16" s="189">
        <v>431</v>
      </c>
      <c r="J16" s="189">
        <v>6609</v>
      </c>
      <c r="K16" s="189">
        <v>1116</v>
      </c>
      <c r="L16" s="189">
        <v>1371</v>
      </c>
      <c r="M16" s="189">
        <v>817</v>
      </c>
      <c r="N16" s="189">
        <v>983</v>
      </c>
      <c r="O16" s="189">
        <v>6000</v>
      </c>
      <c r="P16" s="189">
        <v>7000</v>
      </c>
      <c r="Q16" s="189">
        <v>2000</v>
      </c>
      <c r="R16" s="189">
        <v>2381.7846500000001</v>
      </c>
      <c r="S16" s="189">
        <v>2235.7234999999996</v>
      </c>
      <c r="T16" s="189">
        <v>2455.45723</v>
      </c>
      <c r="U16" s="189">
        <v>1723</v>
      </c>
      <c r="V16" s="189">
        <v>1932</v>
      </c>
      <c r="W16" s="189">
        <v>2701</v>
      </c>
      <c r="X16" s="189">
        <f>4256+867</f>
        <v>5123</v>
      </c>
      <c r="Y16" s="189">
        <v>7042</v>
      </c>
      <c r="Z16" s="189">
        <v>2870</v>
      </c>
      <c r="AA16" s="189">
        <v>2396</v>
      </c>
      <c r="AB16" s="189">
        <v>797</v>
      </c>
      <c r="AC16" s="189">
        <v>1249</v>
      </c>
      <c r="AD16" s="189">
        <v>1342</v>
      </c>
      <c r="AE16" s="189">
        <v>2179</v>
      </c>
    </row>
    <row r="17" spans="1:31" ht="15" thickBot="1">
      <c r="A17" s="173" t="s">
        <v>782</v>
      </c>
      <c r="B17" s="407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>
        <v>169421</v>
      </c>
      <c r="X17" s="189">
        <v>175636</v>
      </c>
      <c r="Y17" s="189">
        <v>194183</v>
      </c>
      <c r="Z17" s="189">
        <v>199541</v>
      </c>
      <c r="AA17" s="189">
        <v>194062</v>
      </c>
      <c r="AB17" s="189">
        <v>203417</v>
      </c>
      <c r="AC17" s="189">
        <v>129580</v>
      </c>
      <c r="AD17" s="189">
        <v>125373</v>
      </c>
      <c r="AE17" s="189">
        <v>122995</v>
      </c>
    </row>
    <row r="18" spans="1:31" ht="15" thickBot="1">
      <c r="A18" s="177" t="s">
        <v>706</v>
      </c>
      <c r="B18" s="406"/>
      <c r="C18" s="178">
        <f t="shared" ref="C18:AC18" si="2">C19+C28</f>
        <v>439974</v>
      </c>
      <c r="D18" s="178">
        <f t="shared" si="2"/>
        <v>436432.04950000002</v>
      </c>
      <c r="E18" s="178">
        <f t="shared" si="2"/>
        <v>431927.04950000002</v>
      </c>
      <c r="F18" s="178">
        <f t="shared" si="2"/>
        <v>440250.53160000005</v>
      </c>
      <c r="G18" s="178">
        <f t="shared" si="2"/>
        <v>421578.04950000002</v>
      </c>
      <c r="H18" s="178">
        <f t="shared" si="2"/>
        <v>395865.59128000005</v>
      </c>
      <c r="I18" s="178">
        <f t="shared" si="2"/>
        <v>422652.31109000003</v>
      </c>
      <c r="J18" s="178">
        <f t="shared" si="2"/>
        <v>451106</v>
      </c>
      <c r="K18" s="178">
        <f t="shared" si="2"/>
        <v>521018</v>
      </c>
      <c r="L18" s="178">
        <f t="shared" si="2"/>
        <v>547422.24542999989</v>
      </c>
      <c r="M18" s="178">
        <f t="shared" si="2"/>
        <v>551206</v>
      </c>
      <c r="N18" s="178">
        <f t="shared" si="2"/>
        <v>874347</v>
      </c>
      <c r="O18" s="178">
        <f t="shared" si="2"/>
        <v>874000</v>
      </c>
      <c r="P18" s="178">
        <f t="shared" si="2"/>
        <v>869000</v>
      </c>
      <c r="Q18" s="178">
        <f t="shared" si="2"/>
        <v>861782</v>
      </c>
      <c r="R18" s="178">
        <f t="shared" si="2"/>
        <v>830167.97762999998</v>
      </c>
      <c r="S18" s="178">
        <f t="shared" si="2"/>
        <v>811185.67625999998</v>
      </c>
      <c r="T18" s="178">
        <f t="shared" si="2"/>
        <v>815825.08623999998</v>
      </c>
      <c r="U18" s="178">
        <f t="shared" si="2"/>
        <v>787359.32689999999</v>
      </c>
      <c r="V18" s="178">
        <f t="shared" si="2"/>
        <v>777858.32689999999</v>
      </c>
      <c r="W18" s="178">
        <f t="shared" si="2"/>
        <v>769957.32689999999</v>
      </c>
      <c r="X18" s="178">
        <f t="shared" si="2"/>
        <v>752038</v>
      </c>
      <c r="Y18" s="178">
        <f t="shared" si="2"/>
        <v>720209</v>
      </c>
      <c r="Z18" s="178">
        <f t="shared" si="2"/>
        <v>696507</v>
      </c>
      <c r="AA18" s="178">
        <f t="shared" si="2"/>
        <v>686138</v>
      </c>
      <c r="AB18" s="178">
        <f t="shared" si="2"/>
        <v>678018</v>
      </c>
      <c r="AC18" s="178">
        <f t="shared" si="2"/>
        <v>747636</v>
      </c>
      <c r="AD18" s="178">
        <f t="shared" ref="AD18:AE18" si="3">AD19+AD28</f>
        <v>750002</v>
      </c>
      <c r="AE18" s="178">
        <f t="shared" si="3"/>
        <v>753264</v>
      </c>
    </row>
    <row r="19" spans="1:31" ht="15" thickBot="1">
      <c r="A19" s="177" t="s">
        <v>748</v>
      </c>
      <c r="B19" s="406"/>
      <c r="C19" s="178">
        <f t="shared" ref="C19:AC19" si="4">SUM(C20:C27)</f>
        <v>439597</v>
      </c>
      <c r="D19" s="178">
        <f t="shared" si="4"/>
        <v>436070.04950000002</v>
      </c>
      <c r="E19" s="178">
        <f t="shared" si="4"/>
        <v>431580.04950000002</v>
      </c>
      <c r="F19" s="178">
        <f t="shared" si="4"/>
        <v>439918.35872000002</v>
      </c>
      <c r="G19" s="178">
        <f t="shared" si="4"/>
        <v>421261.04950000002</v>
      </c>
      <c r="H19" s="178">
        <f t="shared" si="4"/>
        <v>395461.04607000004</v>
      </c>
      <c r="I19" s="178">
        <f t="shared" si="4"/>
        <v>422171.31109000003</v>
      </c>
      <c r="J19" s="178">
        <f t="shared" si="4"/>
        <v>450162</v>
      </c>
      <c r="K19" s="178">
        <f t="shared" si="4"/>
        <v>519369</v>
      </c>
      <c r="L19" s="178">
        <f t="shared" si="4"/>
        <v>545789.24542999989</v>
      </c>
      <c r="M19" s="178">
        <f t="shared" si="4"/>
        <v>532998</v>
      </c>
      <c r="N19" s="178">
        <f t="shared" si="4"/>
        <v>873473</v>
      </c>
      <c r="O19" s="178">
        <f t="shared" si="4"/>
        <v>873000</v>
      </c>
      <c r="P19" s="178">
        <f t="shared" si="4"/>
        <v>868000</v>
      </c>
      <c r="Q19" s="178">
        <f t="shared" si="4"/>
        <v>860801</v>
      </c>
      <c r="R19" s="178">
        <f t="shared" si="4"/>
        <v>830167.97762999998</v>
      </c>
      <c r="S19" s="178">
        <f t="shared" si="4"/>
        <v>811045.48005000001</v>
      </c>
      <c r="T19" s="178">
        <f t="shared" si="4"/>
        <v>815783.32689999999</v>
      </c>
      <c r="U19" s="178">
        <f t="shared" si="4"/>
        <v>787359.32689999999</v>
      </c>
      <c r="V19" s="178">
        <f t="shared" si="4"/>
        <v>777506.32689999999</v>
      </c>
      <c r="W19" s="178">
        <f t="shared" si="4"/>
        <v>769622.32689999999</v>
      </c>
      <c r="X19" s="178">
        <f t="shared" si="4"/>
        <v>751703</v>
      </c>
      <c r="Y19" s="178">
        <f t="shared" si="4"/>
        <v>719876</v>
      </c>
      <c r="Z19" s="178">
        <f t="shared" si="4"/>
        <v>696279</v>
      </c>
      <c r="AA19" s="178">
        <f t="shared" si="4"/>
        <v>686138</v>
      </c>
      <c r="AB19" s="178">
        <f t="shared" si="4"/>
        <v>678018</v>
      </c>
      <c r="AC19" s="178">
        <f t="shared" si="4"/>
        <v>747636</v>
      </c>
      <c r="AD19" s="178">
        <f t="shared" ref="AD19:AE19" si="5">SUM(AD20:AD27)</f>
        <v>750002</v>
      </c>
      <c r="AE19" s="178">
        <f t="shared" si="5"/>
        <v>753264</v>
      </c>
    </row>
    <row r="20" spans="1:31">
      <c r="A20" s="173" t="s">
        <v>860</v>
      </c>
      <c r="B20" s="407"/>
      <c r="C20" s="189">
        <v>427379</v>
      </c>
      <c r="D20" s="189">
        <v>423647</v>
      </c>
      <c r="E20" s="189">
        <v>420211</v>
      </c>
      <c r="F20" s="189">
        <v>428427.65499000001</v>
      </c>
      <c r="G20" s="189">
        <v>410406</v>
      </c>
      <c r="H20" s="189">
        <v>384489.4</v>
      </c>
      <c r="I20" s="189">
        <v>411422</v>
      </c>
      <c r="J20" s="189">
        <v>371614</v>
      </c>
      <c r="K20" s="189">
        <v>479616</v>
      </c>
      <c r="L20" s="189">
        <v>451093.85552999994</v>
      </c>
      <c r="M20" s="189"/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>
        <v>0</v>
      </c>
      <c r="Y20" s="189"/>
      <c r="Z20" s="189"/>
      <c r="AA20" s="189"/>
      <c r="AB20" s="189"/>
      <c r="AC20" s="189"/>
      <c r="AD20" s="189"/>
      <c r="AE20" s="189"/>
    </row>
    <row r="21" spans="1:31">
      <c r="A21" s="173" t="s">
        <v>862</v>
      </c>
      <c r="B21" s="407"/>
      <c r="C21" s="189">
        <v>0</v>
      </c>
      <c r="D21" s="189">
        <v>0</v>
      </c>
      <c r="E21" s="189">
        <v>0</v>
      </c>
      <c r="F21" s="189">
        <v>0</v>
      </c>
      <c r="G21" s="189">
        <v>0</v>
      </c>
      <c r="H21" s="189">
        <v>0</v>
      </c>
      <c r="I21" s="189">
        <v>0</v>
      </c>
      <c r="J21" s="189">
        <v>78309</v>
      </c>
      <c r="K21" s="189">
        <v>36648</v>
      </c>
      <c r="L21" s="189">
        <v>94662.389900000009</v>
      </c>
      <c r="M21" s="189">
        <v>532965</v>
      </c>
      <c r="N21" s="189">
        <v>873440</v>
      </c>
      <c r="O21" s="189">
        <v>873000</v>
      </c>
      <c r="P21" s="189">
        <v>868000</v>
      </c>
      <c r="Q21" s="189">
        <v>860801</v>
      </c>
      <c r="R21" s="189">
        <v>829167.97762999998</v>
      </c>
      <c r="S21" s="189">
        <v>811013.15315000003</v>
      </c>
      <c r="T21" s="189">
        <v>815751</v>
      </c>
      <c r="U21" s="189">
        <v>787327</v>
      </c>
      <c r="V21" s="189">
        <v>777474</v>
      </c>
      <c r="W21" s="189">
        <v>769590</v>
      </c>
      <c r="X21" s="189">
        <v>751671</v>
      </c>
      <c r="Y21" s="189">
        <v>718977</v>
      </c>
      <c r="Z21" s="189">
        <v>696247</v>
      </c>
      <c r="AA21" s="189">
        <v>686106</v>
      </c>
      <c r="AB21" s="189">
        <v>677986</v>
      </c>
      <c r="AC21" s="189">
        <v>747604</v>
      </c>
      <c r="AD21" s="189">
        <v>749970</v>
      </c>
      <c r="AE21" s="189">
        <v>753232</v>
      </c>
    </row>
    <row r="22" spans="1:31">
      <c r="A22" s="173" t="s">
        <v>863</v>
      </c>
      <c r="B22" s="407"/>
      <c r="C22" s="189"/>
      <c r="D22" s="189"/>
      <c r="E22" s="189"/>
      <c r="F22" s="189"/>
      <c r="G22" s="189"/>
      <c r="H22" s="189"/>
      <c r="I22" s="189"/>
      <c r="J22" s="189"/>
      <c r="K22" s="189">
        <v>3073</v>
      </c>
      <c r="L22" s="189">
        <v>0</v>
      </c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>
        <v>0</v>
      </c>
      <c r="Y22" s="189"/>
      <c r="Z22" s="189"/>
      <c r="AA22" s="189"/>
      <c r="AB22" s="189"/>
      <c r="AC22" s="189"/>
      <c r="AD22" s="189"/>
      <c r="AE22" s="189"/>
    </row>
    <row r="23" spans="1:31">
      <c r="A23" s="173" t="s">
        <v>864</v>
      </c>
      <c r="B23" s="407"/>
      <c r="C23" s="189">
        <v>12212</v>
      </c>
      <c r="D23" s="189">
        <v>12417</v>
      </c>
      <c r="E23" s="189">
        <v>11363</v>
      </c>
      <c r="F23" s="189">
        <v>11484.55423</v>
      </c>
      <c r="G23" s="189">
        <v>10849</v>
      </c>
      <c r="H23" s="189">
        <v>10965.59657</v>
      </c>
      <c r="I23" s="189">
        <v>10743.26159</v>
      </c>
      <c r="J23" s="189">
        <v>0</v>
      </c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>
        <v>0</v>
      </c>
      <c r="Y23" s="189"/>
      <c r="Z23" s="189"/>
      <c r="AA23" s="189"/>
      <c r="AB23" s="189"/>
      <c r="AC23" s="189"/>
      <c r="AD23" s="189"/>
      <c r="AE23" s="189"/>
    </row>
    <row r="24" spans="1:31">
      <c r="A24" s="173" t="s">
        <v>703</v>
      </c>
      <c r="B24" s="407"/>
      <c r="C24" s="189">
        <v>0</v>
      </c>
      <c r="D24" s="189">
        <v>0</v>
      </c>
      <c r="E24" s="189">
        <v>0</v>
      </c>
      <c r="F24" s="189">
        <v>0</v>
      </c>
      <c r="G24" s="189">
        <v>0</v>
      </c>
      <c r="H24" s="189">
        <v>0</v>
      </c>
      <c r="I24" s="189">
        <v>0</v>
      </c>
      <c r="J24" s="189">
        <v>207</v>
      </c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>
        <v>0</v>
      </c>
      <c r="Y24" s="189"/>
      <c r="Z24" s="189"/>
      <c r="AA24" s="189"/>
      <c r="AB24" s="189"/>
      <c r="AC24" s="189"/>
      <c r="AD24" s="189"/>
      <c r="AE24" s="189"/>
    </row>
    <row r="25" spans="1:31">
      <c r="A25" s="173" t="s">
        <v>696</v>
      </c>
      <c r="B25" s="407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</row>
    <row r="26" spans="1:31">
      <c r="A26" s="173" t="s">
        <v>710</v>
      </c>
      <c r="B26" s="407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>
        <v>0</v>
      </c>
      <c r="Y26" s="189">
        <v>867</v>
      </c>
      <c r="Z26" s="189"/>
      <c r="AA26" s="189"/>
      <c r="AB26" s="189"/>
      <c r="AC26" s="189"/>
      <c r="AD26" s="189"/>
      <c r="AE26" s="189"/>
    </row>
    <row r="27" spans="1:31" ht="15" thickBot="1">
      <c r="A27" s="173" t="s">
        <v>743</v>
      </c>
      <c r="B27" s="407"/>
      <c r="C27" s="189">
        <v>6</v>
      </c>
      <c r="D27" s="189">
        <v>6.0495000000000001</v>
      </c>
      <c r="E27" s="189">
        <v>6.0495000000000001</v>
      </c>
      <c r="F27" s="189">
        <v>6.1494999999999997</v>
      </c>
      <c r="G27" s="189">
        <v>6.0495000000000001</v>
      </c>
      <c r="H27" s="189">
        <v>6.0495000000000001</v>
      </c>
      <c r="I27" s="189">
        <v>6.0495000000000001</v>
      </c>
      <c r="J27" s="189">
        <v>32</v>
      </c>
      <c r="K27" s="189">
        <v>32</v>
      </c>
      <c r="L27" s="189">
        <v>33</v>
      </c>
      <c r="M27" s="189">
        <v>33</v>
      </c>
      <c r="N27" s="189">
        <v>33</v>
      </c>
      <c r="O27" s="189"/>
      <c r="P27" s="189"/>
      <c r="Q27" s="189"/>
      <c r="R27" s="189">
        <v>1000</v>
      </c>
      <c r="S27" s="189">
        <v>32.326900000000002</v>
      </c>
      <c r="T27" s="189">
        <v>32.326900000000002</v>
      </c>
      <c r="U27" s="189">
        <v>32.326900000000002</v>
      </c>
      <c r="V27" s="189">
        <v>32.326900000000002</v>
      </c>
      <c r="W27" s="189">
        <v>32.326900000000002</v>
      </c>
      <c r="X27" s="189">
        <v>32</v>
      </c>
      <c r="Y27" s="189">
        <v>32</v>
      </c>
      <c r="Z27" s="189">
        <v>32</v>
      </c>
      <c r="AA27" s="189">
        <v>32</v>
      </c>
      <c r="AB27" s="189">
        <v>32</v>
      </c>
      <c r="AC27" s="189">
        <v>32</v>
      </c>
      <c r="AD27" s="189">
        <v>32</v>
      </c>
      <c r="AE27" s="189">
        <v>32</v>
      </c>
    </row>
    <row r="28" spans="1:31" ht="15" thickBot="1">
      <c r="A28" s="177" t="s">
        <v>752</v>
      </c>
      <c r="B28" s="406"/>
      <c r="C28" s="178">
        <f t="shared" ref="C28:X28" si="6">SUM(C29:C30)</f>
        <v>377</v>
      </c>
      <c r="D28" s="178">
        <f t="shared" si="6"/>
        <v>362</v>
      </c>
      <c r="E28" s="178">
        <f t="shared" si="6"/>
        <v>347</v>
      </c>
      <c r="F28" s="178">
        <f t="shared" si="6"/>
        <v>332.17288000000002</v>
      </c>
      <c r="G28" s="178">
        <f t="shared" si="6"/>
        <v>317</v>
      </c>
      <c r="H28" s="178">
        <f t="shared" si="6"/>
        <v>404.54521</v>
      </c>
      <c r="I28" s="178">
        <f t="shared" si="6"/>
        <v>481</v>
      </c>
      <c r="J28" s="178">
        <f t="shared" si="6"/>
        <v>944</v>
      </c>
      <c r="K28" s="178">
        <f t="shared" si="6"/>
        <v>1649</v>
      </c>
      <c r="L28" s="178">
        <f t="shared" si="6"/>
        <v>1633</v>
      </c>
      <c r="M28" s="178">
        <f t="shared" si="6"/>
        <v>18208</v>
      </c>
      <c r="N28" s="178">
        <f t="shared" si="6"/>
        <v>874</v>
      </c>
      <c r="O28" s="178">
        <f t="shared" si="6"/>
        <v>1000</v>
      </c>
      <c r="P28" s="178">
        <f t="shared" si="6"/>
        <v>1000</v>
      </c>
      <c r="Q28" s="178">
        <f t="shared" si="6"/>
        <v>981</v>
      </c>
      <c r="R28" s="178">
        <f t="shared" si="6"/>
        <v>0</v>
      </c>
      <c r="S28" s="178">
        <f t="shared" si="6"/>
        <v>140.19620999997852</v>
      </c>
      <c r="T28" s="178">
        <f t="shared" si="6"/>
        <v>41.759339999955309</v>
      </c>
      <c r="U28" s="178">
        <f t="shared" si="6"/>
        <v>0</v>
      </c>
      <c r="V28" s="178">
        <f t="shared" si="6"/>
        <v>352</v>
      </c>
      <c r="W28" s="178">
        <f t="shared" si="6"/>
        <v>335</v>
      </c>
      <c r="X28" s="178">
        <f t="shared" si="6"/>
        <v>335</v>
      </c>
      <c r="Y28" s="178">
        <f t="shared" ref="Y28:AE28" si="7">SUM(Y29:Y30)</f>
        <v>333</v>
      </c>
      <c r="Z28" s="178">
        <f t="shared" si="7"/>
        <v>228</v>
      </c>
      <c r="AA28" s="178">
        <f t="shared" si="7"/>
        <v>0</v>
      </c>
      <c r="AB28" s="178">
        <f t="shared" si="7"/>
        <v>0</v>
      </c>
      <c r="AC28" s="178">
        <f t="shared" si="7"/>
        <v>0</v>
      </c>
      <c r="AD28" s="178">
        <f t="shared" si="7"/>
        <v>0</v>
      </c>
      <c r="AE28" s="178">
        <f t="shared" si="7"/>
        <v>0</v>
      </c>
    </row>
    <row r="29" spans="1:31">
      <c r="A29" s="173" t="s">
        <v>770</v>
      </c>
      <c r="B29" s="407"/>
      <c r="C29" s="189">
        <v>377</v>
      </c>
      <c r="D29" s="189">
        <v>362</v>
      </c>
      <c r="E29" s="189">
        <v>347</v>
      </c>
      <c r="F29" s="189">
        <v>332.17288000000002</v>
      </c>
      <c r="G29" s="189">
        <v>317</v>
      </c>
      <c r="H29" s="189">
        <v>404.54521</v>
      </c>
      <c r="I29" s="189">
        <v>481</v>
      </c>
      <c r="J29" s="189">
        <v>944</v>
      </c>
      <c r="K29" s="189">
        <v>1649</v>
      </c>
      <c r="L29" s="189">
        <v>1633</v>
      </c>
      <c r="M29" s="189">
        <v>18208</v>
      </c>
      <c r="N29" s="189">
        <v>211</v>
      </c>
      <c r="O29" s="189"/>
      <c r="P29" s="189"/>
      <c r="Q29" s="189"/>
      <c r="R29" s="189"/>
      <c r="S29" s="189">
        <v>140.19620999997852</v>
      </c>
      <c r="T29" s="189">
        <v>41.759339999955309</v>
      </c>
      <c r="U29" s="189"/>
      <c r="V29" s="189">
        <v>352</v>
      </c>
      <c r="W29" s="189">
        <v>335</v>
      </c>
      <c r="X29" s="189">
        <v>335</v>
      </c>
      <c r="Y29" s="189">
        <v>333</v>
      </c>
      <c r="Z29" s="189">
        <v>228</v>
      </c>
      <c r="AA29" s="189"/>
      <c r="AB29" s="189"/>
      <c r="AC29" s="189"/>
      <c r="AD29" s="189"/>
      <c r="AE29" s="189"/>
    </row>
    <row r="30" spans="1:31" ht="15" thickBot="1">
      <c r="A30" s="173" t="s">
        <v>711</v>
      </c>
      <c r="B30" s="407"/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N30" s="189">
        <v>663</v>
      </c>
      <c r="O30" s="189">
        <v>1000</v>
      </c>
      <c r="P30" s="189">
        <v>1000</v>
      </c>
      <c r="Q30" s="189">
        <v>981</v>
      </c>
      <c r="R30" s="189"/>
      <c r="S30" s="189"/>
      <c r="T30" s="189"/>
      <c r="U30" s="189"/>
      <c r="V30" s="189"/>
      <c r="W30" s="189"/>
      <c r="X30" s="189">
        <v>0</v>
      </c>
      <c r="Y30" s="189"/>
      <c r="Z30" s="189"/>
      <c r="AA30" s="189"/>
      <c r="AB30" s="189"/>
      <c r="AC30" s="189"/>
      <c r="AD30" s="189"/>
      <c r="AE30" s="189"/>
    </row>
    <row r="31" spans="1:31" ht="15" thickBot="1">
      <c r="A31" s="177" t="s">
        <v>714</v>
      </c>
      <c r="B31" s="406"/>
      <c r="C31" s="178">
        <f t="shared" ref="C31:AE31" si="8">C18+C8</f>
        <v>611193</v>
      </c>
      <c r="D31" s="178">
        <f t="shared" si="8"/>
        <v>620350.04949999996</v>
      </c>
      <c r="E31" s="178">
        <f t="shared" si="8"/>
        <v>613843.04949999996</v>
      </c>
      <c r="F31" s="178">
        <f t="shared" si="8"/>
        <v>624764.62259000004</v>
      </c>
      <c r="G31" s="178">
        <f t="shared" si="8"/>
        <v>636062.41745000007</v>
      </c>
      <c r="H31" s="178">
        <f t="shared" si="8"/>
        <v>653732.7117300001</v>
      </c>
      <c r="I31" s="178">
        <f t="shared" si="8"/>
        <v>666813.04584000004</v>
      </c>
      <c r="J31" s="178">
        <f t="shared" si="8"/>
        <v>880670</v>
      </c>
      <c r="K31" s="178">
        <f t="shared" si="8"/>
        <v>747603</v>
      </c>
      <c r="L31" s="178">
        <f t="shared" si="8"/>
        <v>1073088.1594099998</v>
      </c>
      <c r="M31" s="178">
        <f t="shared" si="8"/>
        <v>923536</v>
      </c>
      <c r="N31" s="178">
        <f t="shared" si="8"/>
        <v>1290025</v>
      </c>
      <c r="O31" s="178">
        <f t="shared" si="8"/>
        <v>1270000</v>
      </c>
      <c r="P31" s="178">
        <f t="shared" si="8"/>
        <v>1302000</v>
      </c>
      <c r="Q31" s="178">
        <f t="shared" si="8"/>
        <v>1315221</v>
      </c>
      <c r="R31" s="178">
        <f t="shared" si="8"/>
        <v>1074318.46003</v>
      </c>
      <c r="S31" s="178">
        <f t="shared" si="8"/>
        <v>1087497.70909</v>
      </c>
      <c r="T31" s="178">
        <f t="shared" si="8"/>
        <v>1108165.4546999999</v>
      </c>
      <c r="U31" s="178">
        <f t="shared" si="8"/>
        <v>1118739.3269</v>
      </c>
      <c r="V31" s="178">
        <f t="shared" si="8"/>
        <v>1088843.3269</v>
      </c>
      <c r="W31" s="178">
        <f t="shared" si="8"/>
        <v>1082249.3269</v>
      </c>
      <c r="X31" s="178">
        <f t="shared" si="8"/>
        <v>1106703</v>
      </c>
      <c r="Y31" s="178">
        <f t="shared" si="8"/>
        <v>1102129</v>
      </c>
      <c r="Z31" s="178">
        <f t="shared" si="8"/>
        <v>1106920</v>
      </c>
      <c r="AA31" s="178">
        <f t="shared" si="8"/>
        <v>1103937</v>
      </c>
      <c r="AB31" s="178">
        <f t="shared" si="8"/>
        <v>1148255</v>
      </c>
      <c r="AC31" s="178">
        <f t="shared" si="8"/>
        <v>1143645</v>
      </c>
      <c r="AD31" s="178">
        <f t="shared" si="8"/>
        <v>1091818</v>
      </c>
      <c r="AE31" s="178">
        <f t="shared" si="8"/>
        <v>1109921</v>
      </c>
    </row>
    <row r="32" spans="1:31">
      <c r="A32" s="173"/>
      <c r="B32" s="174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</row>
    <row r="33" spans="1:32" ht="15" thickBot="1">
      <c r="A33" s="5" t="s">
        <v>845</v>
      </c>
      <c r="B33" s="405"/>
      <c r="C33" s="528" t="s">
        <v>25</v>
      </c>
      <c r="D33" s="528" t="s">
        <v>26</v>
      </c>
      <c r="E33" s="528" t="s">
        <v>27</v>
      </c>
      <c r="F33" s="528" t="s">
        <v>28</v>
      </c>
      <c r="G33" s="528" t="s">
        <v>29</v>
      </c>
      <c r="H33" s="528" t="s">
        <v>30</v>
      </c>
      <c r="I33" s="528" t="s">
        <v>31</v>
      </c>
      <c r="J33" s="528" t="s">
        <v>32</v>
      </c>
      <c r="K33" s="528" t="s">
        <v>33</v>
      </c>
      <c r="L33" s="528" t="s">
        <v>34</v>
      </c>
      <c r="M33" s="528" t="s">
        <v>35</v>
      </c>
      <c r="N33" s="528" t="s">
        <v>36</v>
      </c>
      <c r="O33" s="528" t="str">
        <f t="shared" ref="O33:T33" si="9">O7</f>
        <v>1T20</v>
      </c>
      <c r="P33" s="528" t="str">
        <f t="shared" si="9"/>
        <v>2T20</v>
      </c>
      <c r="Q33" s="528" t="str">
        <f t="shared" si="9"/>
        <v>3T20</v>
      </c>
      <c r="R33" s="528" t="str">
        <f t="shared" si="9"/>
        <v>4T20</v>
      </c>
      <c r="S33" s="528" t="str">
        <f t="shared" si="9"/>
        <v>1T21</v>
      </c>
      <c r="T33" s="528" t="str">
        <f t="shared" si="9"/>
        <v>2T21</v>
      </c>
      <c r="U33" s="528" t="s">
        <v>43</v>
      </c>
      <c r="V33" s="528" t="s">
        <v>44</v>
      </c>
      <c r="W33" s="528" t="str">
        <f>W7</f>
        <v>1T22</v>
      </c>
      <c r="X33" s="528" t="s">
        <v>46</v>
      </c>
      <c r="Y33" s="528" t="s">
        <v>47</v>
      </c>
      <c r="Z33" s="528" t="str">
        <f>Z7</f>
        <v>4T22</v>
      </c>
      <c r="AA33" s="528" t="str">
        <f>AA7</f>
        <v>1T23</v>
      </c>
      <c r="AB33" s="528" t="s">
        <v>50</v>
      </c>
      <c r="AC33" s="528" t="s">
        <v>51</v>
      </c>
      <c r="AD33" s="528" t="s">
        <v>52</v>
      </c>
      <c r="AE33" s="528" t="s">
        <v>53</v>
      </c>
    </row>
    <row r="34" spans="1:32" ht="15" thickBot="1">
      <c r="A34" s="177" t="s">
        <v>690</v>
      </c>
      <c r="B34" s="406"/>
      <c r="C34" s="178">
        <f t="shared" ref="C34:AB34" si="10">SUM(C35:C45)</f>
        <v>53895.29</v>
      </c>
      <c r="D34" s="178">
        <f t="shared" si="10"/>
        <v>53652</v>
      </c>
      <c r="E34" s="178">
        <f t="shared" si="10"/>
        <v>42750.54</v>
      </c>
      <c r="F34" s="178">
        <f t="shared" si="10"/>
        <v>58628.891449999996</v>
      </c>
      <c r="G34" s="178">
        <f t="shared" si="10"/>
        <v>59164.866830000006</v>
      </c>
      <c r="H34" s="178">
        <f t="shared" si="10"/>
        <v>58415.987770000007</v>
      </c>
      <c r="I34" s="178">
        <f t="shared" si="10"/>
        <v>58826.829830000002</v>
      </c>
      <c r="J34" s="178">
        <f t="shared" si="10"/>
        <v>34594</v>
      </c>
      <c r="K34" s="178">
        <f t="shared" si="10"/>
        <v>57462</v>
      </c>
      <c r="L34" s="178">
        <f t="shared" si="10"/>
        <v>43008.251749999996</v>
      </c>
      <c r="M34" s="178">
        <f t="shared" si="10"/>
        <v>47007</v>
      </c>
      <c r="N34" s="178">
        <f t="shared" si="10"/>
        <v>89659</v>
      </c>
      <c r="O34" s="178">
        <f t="shared" si="10"/>
        <v>79000</v>
      </c>
      <c r="P34" s="178">
        <f t="shared" si="10"/>
        <v>94000</v>
      </c>
      <c r="Q34" s="178">
        <f t="shared" si="10"/>
        <v>92500</v>
      </c>
      <c r="R34" s="178">
        <f t="shared" si="10"/>
        <v>59162.379419999997</v>
      </c>
      <c r="S34" s="178">
        <f t="shared" si="10"/>
        <v>55890.406499999997</v>
      </c>
      <c r="T34" s="178">
        <f t="shared" si="10"/>
        <v>103665.12505000002</v>
      </c>
      <c r="U34" s="178">
        <f t="shared" si="10"/>
        <v>98444</v>
      </c>
      <c r="V34" s="178">
        <f t="shared" si="10"/>
        <v>58889</v>
      </c>
      <c r="W34" s="178">
        <f t="shared" si="10"/>
        <v>60745.326999999997</v>
      </c>
      <c r="X34" s="178">
        <f t="shared" si="10"/>
        <v>84933</v>
      </c>
      <c r="Y34" s="178">
        <f t="shared" si="10"/>
        <v>70685</v>
      </c>
      <c r="Z34" s="178">
        <f t="shared" si="10"/>
        <v>123676</v>
      </c>
      <c r="AA34" s="178">
        <f t="shared" si="10"/>
        <v>111976</v>
      </c>
      <c r="AB34" s="178">
        <f t="shared" si="10"/>
        <v>374958</v>
      </c>
      <c r="AC34" s="178">
        <f>SUM(AC35:AC45)</f>
        <v>342548</v>
      </c>
      <c r="AD34" s="178">
        <f>SUM(AD35:AD45)</f>
        <v>339554</v>
      </c>
      <c r="AE34" s="178">
        <f>SUM(AE35:AE45)</f>
        <v>167277</v>
      </c>
      <c r="AF34" s="111"/>
    </row>
    <row r="35" spans="1:32">
      <c r="A35" s="182" t="s">
        <v>716</v>
      </c>
      <c r="B35" s="407"/>
      <c r="C35" s="189">
        <v>1000</v>
      </c>
      <c r="D35" s="189">
        <v>792</v>
      </c>
      <c r="E35" s="189">
        <v>1105</v>
      </c>
      <c r="F35" s="189">
        <v>6561.8914500000001</v>
      </c>
      <c r="G35" s="189">
        <v>4404</v>
      </c>
      <c r="H35" s="189">
        <v>3463.9611299999997</v>
      </c>
      <c r="I35" s="189">
        <v>3896</v>
      </c>
      <c r="J35" s="189">
        <v>4410</v>
      </c>
      <c r="K35" s="189">
        <v>22621</v>
      </c>
      <c r="L35" s="189">
        <v>21737.251749999999</v>
      </c>
      <c r="M35" s="189">
        <v>22586</v>
      </c>
      <c r="N35" s="189">
        <v>27745</v>
      </c>
      <c r="O35" s="189">
        <v>27000</v>
      </c>
      <c r="P35" s="189">
        <v>31000</v>
      </c>
      <c r="Q35" s="189">
        <v>34326</v>
      </c>
      <c r="R35" s="189">
        <v>32483.488209999996</v>
      </c>
      <c r="S35" s="189">
        <v>30302.26802</v>
      </c>
      <c r="T35" s="189">
        <v>27897.092470000003</v>
      </c>
      <c r="U35" s="189">
        <v>28856</v>
      </c>
      <c r="V35" s="189">
        <v>30420</v>
      </c>
      <c r="W35" s="189">
        <v>29001</v>
      </c>
      <c r="X35" s="189">
        <v>28831</v>
      </c>
      <c r="Y35" s="189">
        <v>28932</v>
      </c>
      <c r="Z35" s="189">
        <v>30329</v>
      </c>
      <c r="AA35" s="189">
        <v>28778</v>
      </c>
      <c r="AB35" s="189">
        <v>28913</v>
      </c>
      <c r="AC35" s="189">
        <v>5997</v>
      </c>
      <c r="AD35" s="189">
        <v>2194</v>
      </c>
      <c r="AE35" s="189">
        <v>4217</v>
      </c>
    </row>
    <row r="36" spans="1:32">
      <c r="A36" s="182" t="s">
        <v>717</v>
      </c>
      <c r="B36" s="407"/>
      <c r="C36" s="189">
        <v>786</v>
      </c>
      <c r="D36" s="189">
        <v>858</v>
      </c>
      <c r="E36" s="189">
        <v>875.49</v>
      </c>
      <c r="F36" s="189">
        <v>1013</v>
      </c>
      <c r="G36" s="189">
        <v>677</v>
      </c>
      <c r="H36" s="189">
        <v>767.91060000000004</v>
      </c>
      <c r="I36" s="189">
        <v>865</v>
      </c>
      <c r="J36" s="189"/>
      <c r="K36" s="189">
        <v>741</v>
      </c>
      <c r="L36" s="189">
        <v>1028</v>
      </c>
      <c r="M36" s="189">
        <v>887</v>
      </c>
      <c r="N36" s="189">
        <v>1129</v>
      </c>
      <c r="O36" s="189">
        <v>1000</v>
      </c>
      <c r="P36" s="189">
        <v>1000</v>
      </c>
      <c r="Q36" s="189">
        <v>1000</v>
      </c>
      <c r="R36" s="189">
        <v>807.01054999999997</v>
      </c>
      <c r="S36" s="189">
        <v>838.14433999999994</v>
      </c>
      <c r="T36" s="189">
        <v>775.23567000000025</v>
      </c>
      <c r="U36" s="189">
        <v>1018.9999999999999</v>
      </c>
      <c r="V36" s="189">
        <v>983</v>
      </c>
      <c r="W36" s="189">
        <v>383</v>
      </c>
      <c r="X36" s="189">
        <v>1085</v>
      </c>
      <c r="Y36" s="189">
        <v>564</v>
      </c>
      <c r="Z36" s="189">
        <v>354</v>
      </c>
      <c r="AA36" s="189">
        <v>422</v>
      </c>
      <c r="AB36" s="189">
        <v>384</v>
      </c>
      <c r="AC36" s="189">
        <v>571</v>
      </c>
      <c r="AD36" s="189">
        <v>530</v>
      </c>
      <c r="AE36" s="189">
        <v>621</v>
      </c>
    </row>
    <row r="37" spans="1:32">
      <c r="A37" s="173" t="s">
        <v>846</v>
      </c>
      <c r="B37" s="407"/>
      <c r="C37" s="189">
        <v>425</v>
      </c>
      <c r="D37" s="189">
        <v>346</v>
      </c>
      <c r="E37" s="189">
        <v>344.65</v>
      </c>
      <c r="F37" s="189">
        <v>339</v>
      </c>
      <c r="G37" s="189">
        <v>309.36333000000002</v>
      </c>
      <c r="H37" s="189">
        <v>262.28621000000004</v>
      </c>
      <c r="I37" s="189">
        <v>203</v>
      </c>
      <c r="J37" s="189"/>
      <c r="K37" s="189">
        <v>5520</v>
      </c>
      <c r="L37" s="189">
        <v>0</v>
      </c>
      <c r="M37" s="189"/>
      <c r="N37" s="189">
        <v>0</v>
      </c>
      <c r="O37" s="189"/>
      <c r="P37" s="189"/>
      <c r="Q37" s="189"/>
      <c r="R37" s="189"/>
      <c r="S37" s="189">
        <v>0</v>
      </c>
      <c r="T37" s="189"/>
      <c r="U37" s="189"/>
      <c r="V37" s="189"/>
      <c r="W37" s="189"/>
      <c r="X37" s="189">
        <v>0</v>
      </c>
      <c r="Y37" s="189"/>
      <c r="Z37" s="189"/>
      <c r="AA37" s="189"/>
      <c r="AB37" s="189"/>
      <c r="AC37" s="189"/>
      <c r="AD37" s="189"/>
      <c r="AE37" s="189"/>
    </row>
    <row r="38" spans="1:32">
      <c r="A38" s="182" t="s">
        <v>865</v>
      </c>
      <c r="B38" s="407"/>
      <c r="C38" s="189">
        <v>4970</v>
      </c>
      <c r="D38" s="189">
        <v>5180</v>
      </c>
      <c r="E38" s="189">
        <v>5234</v>
      </c>
      <c r="F38" s="189">
        <v>4074</v>
      </c>
      <c r="G38" s="189">
        <v>4287</v>
      </c>
      <c r="H38" s="189">
        <v>4490</v>
      </c>
      <c r="I38" s="189">
        <v>5017</v>
      </c>
      <c r="J38" s="189">
        <v>3930</v>
      </c>
      <c r="K38" s="189">
        <v>4151</v>
      </c>
      <c r="L38" s="189">
        <v>4991</v>
      </c>
      <c r="M38" s="189">
        <v>5081</v>
      </c>
      <c r="N38" s="189">
        <v>4875</v>
      </c>
      <c r="O38" s="189">
        <v>5000</v>
      </c>
      <c r="P38" s="189">
        <v>5000</v>
      </c>
      <c r="Q38" s="189">
        <v>5487</v>
      </c>
      <c r="R38" s="189">
        <v>6159.9846399999997</v>
      </c>
      <c r="S38" s="189">
        <v>6340.6824900000001</v>
      </c>
      <c r="T38" s="189">
        <v>6534.6705300000003</v>
      </c>
      <c r="U38" s="189">
        <v>6756</v>
      </c>
      <c r="V38" s="189">
        <v>7046</v>
      </c>
      <c r="W38" s="189">
        <v>7384</v>
      </c>
      <c r="X38" s="189">
        <v>7317</v>
      </c>
      <c r="Y38" s="189">
        <v>8215</v>
      </c>
      <c r="Z38" s="189">
        <v>8165</v>
      </c>
      <c r="AA38" s="189">
        <v>9024</v>
      </c>
      <c r="AB38" s="189">
        <v>9467</v>
      </c>
      <c r="AC38" s="189">
        <v>9803</v>
      </c>
      <c r="AD38" s="189">
        <v>10197</v>
      </c>
      <c r="AE38" s="189">
        <v>8722</v>
      </c>
    </row>
    <row r="39" spans="1:32">
      <c r="A39" s="173" t="s">
        <v>718</v>
      </c>
      <c r="B39" s="407"/>
      <c r="C39" s="189">
        <v>31257</v>
      </c>
      <c r="D39" s="189">
        <v>31332</v>
      </c>
      <c r="E39" s="189">
        <v>31407.4</v>
      </c>
      <c r="F39" s="189">
        <v>31483</v>
      </c>
      <c r="G39" s="189">
        <v>31538.9935</v>
      </c>
      <c r="H39" s="189">
        <v>31584</v>
      </c>
      <c r="I39" s="189">
        <v>31627</v>
      </c>
      <c r="J39" s="189">
        <v>2124</v>
      </c>
      <c r="K39" s="189"/>
      <c r="L39" s="189">
        <v>7064</v>
      </c>
      <c r="M39" s="189">
        <v>4283</v>
      </c>
      <c r="N39" s="189"/>
      <c r="O39" s="189"/>
      <c r="P39" s="189"/>
      <c r="Q39" s="189"/>
      <c r="R39" s="189"/>
      <c r="S39" s="189">
        <v>0</v>
      </c>
      <c r="T39" s="189"/>
      <c r="U39" s="189">
        <v>0</v>
      </c>
      <c r="V39" s="189"/>
      <c r="W39" s="189">
        <v>0</v>
      </c>
      <c r="X39" s="189">
        <v>0</v>
      </c>
      <c r="Y39" s="189"/>
      <c r="Z39" s="189"/>
      <c r="AA39" s="189"/>
      <c r="AB39" s="189"/>
      <c r="AC39" s="189"/>
      <c r="AD39" s="189"/>
      <c r="AE39" s="189"/>
    </row>
    <row r="40" spans="1:32">
      <c r="A40" s="185" t="s">
        <v>719</v>
      </c>
      <c r="B40" s="407"/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89">
        <v>6070</v>
      </c>
      <c r="O40" s="189">
        <v>2000</v>
      </c>
      <c r="P40" s="189">
        <v>7000</v>
      </c>
      <c r="Q40" s="189">
        <v>4743</v>
      </c>
      <c r="R40" s="189">
        <v>2907.4266699999998</v>
      </c>
      <c r="S40" s="189">
        <v>2035.0869999999998</v>
      </c>
      <c r="T40" s="189">
        <v>7316.7444100000002</v>
      </c>
      <c r="U40" s="189">
        <v>5359</v>
      </c>
      <c r="V40" s="189">
        <v>8906</v>
      </c>
      <c r="W40" s="189">
        <v>2627</v>
      </c>
      <c r="X40" s="189">
        <v>17120</v>
      </c>
      <c r="Y40" s="189">
        <v>5982</v>
      </c>
      <c r="Z40" s="189">
        <v>56998</v>
      </c>
      <c r="AA40" s="189">
        <v>45990</v>
      </c>
      <c r="AB40" s="189">
        <v>312003</v>
      </c>
      <c r="AC40" s="189">
        <v>299802</v>
      </c>
      <c r="AD40" s="189">
        <v>306744</v>
      </c>
      <c r="AE40" s="189">
        <v>135710</v>
      </c>
    </row>
    <row r="41" spans="1:32">
      <c r="A41" s="173" t="s">
        <v>721</v>
      </c>
      <c r="B41" s="407"/>
      <c r="C41" s="189">
        <v>1755.4799999999996</v>
      </c>
      <c r="D41" s="189">
        <v>1495</v>
      </c>
      <c r="E41" s="189">
        <v>1353</v>
      </c>
      <c r="F41" s="189">
        <v>1456</v>
      </c>
      <c r="G41" s="189">
        <v>1415.51</v>
      </c>
      <c r="H41" s="189">
        <v>1537</v>
      </c>
      <c r="I41" s="189">
        <v>1305</v>
      </c>
      <c r="J41" s="189">
        <v>2056</v>
      </c>
      <c r="K41" s="189">
        <v>2584</v>
      </c>
      <c r="L41" s="189">
        <v>2600</v>
      </c>
      <c r="M41" s="189">
        <v>4282</v>
      </c>
      <c r="N41" s="189">
        <v>1898</v>
      </c>
      <c r="O41" s="189">
        <v>2000</v>
      </c>
      <c r="P41" s="189">
        <v>9000</v>
      </c>
      <c r="Q41" s="189">
        <v>5363</v>
      </c>
      <c r="R41" s="189">
        <v>3964.5646900000006</v>
      </c>
      <c r="S41" s="189">
        <v>2391.6796500000005</v>
      </c>
      <c r="T41" s="189">
        <v>2309.8952499999996</v>
      </c>
      <c r="U41" s="189">
        <v>1772</v>
      </c>
      <c r="V41" s="189">
        <v>1694</v>
      </c>
      <c r="W41" s="189">
        <v>2341</v>
      </c>
      <c r="X41" s="189">
        <v>1476</v>
      </c>
      <c r="Y41" s="189">
        <v>1681</v>
      </c>
      <c r="Z41" s="189">
        <v>2288</v>
      </c>
      <c r="AA41" s="189">
        <v>2306</v>
      </c>
      <c r="AB41" s="189">
        <v>2421</v>
      </c>
      <c r="AC41" s="189">
        <v>1996</v>
      </c>
      <c r="AD41" s="189">
        <v>1787</v>
      </c>
      <c r="AE41" s="189">
        <v>2178</v>
      </c>
    </row>
    <row r="42" spans="1:32">
      <c r="A42" s="173" t="s">
        <v>866</v>
      </c>
      <c r="B42" s="407"/>
      <c r="C42" s="189">
        <v>2946.3</v>
      </c>
      <c r="D42" s="189">
        <v>2892</v>
      </c>
      <c r="E42" s="189">
        <v>2273</v>
      </c>
      <c r="F42" s="189">
        <v>2738</v>
      </c>
      <c r="G42" s="189">
        <v>5031</v>
      </c>
      <c r="H42" s="189">
        <v>4796</v>
      </c>
      <c r="I42" s="189">
        <v>4389</v>
      </c>
      <c r="J42" s="189">
        <v>4351</v>
      </c>
      <c r="K42" s="189">
        <v>4754</v>
      </c>
      <c r="L42" s="189">
        <v>5504</v>
      </c>
      <c r="M42" s="189">
        <v>9529</v>
      </c>
      <c r="N42" s="189">
        <v>13834</v>
      </c>
      <c r="O42" s="189">
        <v>8000</v>
      </c>
      <c r="P42" s="189">
        <v>7000</v>
      </c>
      <c r="Q42" s="189">
        <v>7581</v>
      </c>
      <c r="R42" s="189">
        <v>9839.9046600000001</v>
      </c>
      <c r="S42" s="189">
        <v>11359.752549999999</v>
      </c>
      <c r="T42" s="189">
        <v>12108.838870000001</v>
      </c>
      <c r="U42" s="189">
        <v>8274</v>
      </c>
      <c r="V42" s="189">
        <v>8346</v>
      </c>
      <c r="W42" s="189">
        <v>8064</v>
      </c>
      <c r="X42" s="189">
        <v>18387</v>
      </c>
      <c r="Y42" s="189">
        <v>6398</v>
      </c>
      <c r="Z42" s="189">
        <v>7430</v>
      </c>
      <c r="AA42" s="189">
        <v>7651</v>
      </c>
      <c r="AB42" s="189">
        <v>3810</v>
      </c>
      <c r="AC42" s="189">
        <v>5711</v>
      </c>
      <c r="AD42" s="189">
        <v>2958</v>
      </c>
      <c r="AE42" s="189">
        <v>2959</v>
      </c>
    </row>
    <row r="43" spans="1:32">
      <c r="A43" s="173" t="s">
        <v>867</v>
      </c>
      <c r="B43" s="407"/>
      <c r="C43" s="189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>
        <v>8630</v>
      </c>
      <c r="AB43" s="189">
        <v>8650</v>
      </c>
      <c r="AC43" s="189">
        <v>9326</v>
      </c>
      <c r="AD43" s="189">
        <v>9559</v>
      </c>
      <c r="AE43" s="189">
        <v>9734</v>
      </c>
    </row>
    <row r="44" spans="1:32">
      <c r="A44" s="173" t="s">
        <v>783</v>
      </c>
      <c r="B44" s="407"/>
      <c r="C44" s="189">
        <v>10604</v>
      </c>
      <c r="D44" s="189">
        <v>10603</v>
      </c>
      <c r="E44" s="189">
        <v>0</v>
      </c>
      <c r="F44" s="189">
        <v>10885</v>
      </c>
      <c r="G44" s="189">
        <v>10885</v>
      </c>
      <c r="H44" s="189">
        <v>10885.829830000001</v>
      </c>
      <c r="I44" s="189">
        <v>10885.829830000001</v>
      </c>
      <c r="J44" s="189">
        <v>16062</v>
      </c>
      <c r="K44" s="189">
        <v>16062</v>
      </c>
      <c r="L44" s="189">
        <v>0</v>
      </c>
      <c r="M44" s="189">
        <v>272</v>
      </c>
      <c r="N44" s="189">
        <v>33021</v>
      </c>
      <c r="O44" s="189">
        <v>33000</v>
      </c>
      <c r="P44" s="189">
        <v>33000</v>
      </c>
      <c r="Q44" s="189">
        <v>33000</v>
      </c>
      <c r="R44" s="189"/>
      <c r="S44" s="189">
        <v>1160.6124300000001</v>
      </c>
      <c r="T44" s="189">
        <v>45330.449700000005</v>
      </c>
      <c r="U44" s="189">
        <v>45330</v>
      </c>
      <c r="V44" s="189"/>
      <c r="W44" s="189">
        <v>8773</v>
      </c>
      <c r="X44" s="189">
        <v>8773</v>
      </c>
      <c r="Y44" s="189">
        <v>8773</v>
      </c>
      <c r="Z44" s="189">
        <v>8474</v>
      </c>
      <c r="AA44" s="189">
        <v>8474</v>
      </c>
      <c r="AB44" s="189">
        <v>8474</v>
      </c>
      <c r="AC44" s="189">
        <v>8474</v>
      </c>
      <c r="AD44" s="189">
        <v>2943</v>
      </c>
      <c r="AE44" s="189">
        <v>2943</v>
      </c>
    </row>
    <row r="45" spans="1:32" ht="15" thickBot="1">
      <c r="A45" s="173" t="s">
        <v>730</v>
      </c>
      <c r="B45" s="407"/>
      <c r="C45" s="189">
        <v>151.51</v>
      </c>
      <c r="D45" s="189">
        <v>154</v>
      </c>
      <c r="E45" s="189">
        <v>158</v>
      </c>
      <c r="F45" s="189">
        <v>79</v>
      </c>
      <c r="G45" s="189">
        <v>617</v>
      </c>
      <c r="H45" s="189">
        <v>629</v>
      </c>
      <c r="I45" s="189">
        <v>639</v>
      </c>
      <c r="J45" s="189">
        <v>1661</v>
      </c>
      <c r="K45" s="189">
        <v>1029</v>
      </c>
      <c r="L45" s="189">
        <v>84</v>
      </c>
      <c r="M45" s="189">
        <v>87</v>
      </c>
      <c r="N45" s="189">
        <v>1087</v>
      </c>
      <c r="O45" s="189">
        <v>1000</v>
      </c>
      <c r="P45" s="189">
        <v>1000</v>
      </c>
      <c r="Q45" s="189">
        <v>1000</v>
      </c>
      <c r="R45" s="189">
        <v>3000</v>
      </c>
      <c r="S45" s="189">
        <v>1462.18002</v>
      </c>
      <c r="T45" s="189">
        <f>1451.19815-59</f>
        <v>1392.1981499999999</v>
      </c>
      <c r="U45" s="189">
        <v>1078</v>
      </c>
      <c r="V45" s="189">
        <v>1494</v>
      </c>
      <c r="W45" s="189">
        <v>2172.3270000000002</v>
      </c>
      <c r="X45" s="189">
        <v>1944</v>
      </c>
      <c r="Y45" s="189">
        <v>10140</v>
      </c>
      <c r="Z45" s="189">
        <v>9638</v>
      </c>
      <c r="AA45" s="189">
        <v>701</v>
      </c>
      <c r="AB45" s="189">
        <v>836</v>
      </c>
      <c r="AC45" s="189">
        <v>868</v>
      </c>
      <c r="AD45" s="189">
        <v>2642</v>
      </c>
      <c r="AE45" s="189">
        <v>193</v>
      </c>
    </row>
    <row r="46" spans="1:32" ht="15" thickBot="1">
      <c r="A46" s="177" t="s">
        <v>706</v>
      </c>
      <c r="B46" s="406"/>
      <c r="C46" s="178">
        <f>SUM(C47:C51)</f>
        <v>169262</v>
      </c>
      <c r="D46" s="178">
        <f t="shared" ref="D46:AB46" si="11">SUM(D47:D51)</f>
        <v>161876</v>
      </c>
      <c r="E46" s="178">
        <f t="shared" si="11"/>
        <v>154134.78</v>
      </c>
      <c r="F46" s="178">
        <f t="shared" si="11"/>
        <v>146340.66070000001</v>
      </c>
      <c r="G46" s="178">
        <f t="shared" si="11"/>
        <v>138022.55407000001</v>
      </c>
      <c r="H46" s="178">
        <f t="shared" si="11"/>
        <v>134972</v>
      </c>
      <c r="I46" s="178">
        <f t="shared" si="11"/>
        <v>128044</v>
      </c>
      <c r="J46" s="178">
        <f t="shared" si="11"/>
        <v>321987</v>
      </c>
      <c r="K46" s="178">
        <f t="shared" si="11"/>
        <v>333442</v>
      </c>
      <c r="L46" s="178">
        <f t="shared" si="11"/>
        <v>647871</v>
      </c>
      <c r="M46" s="178">
        <f t="shared" si="11"/>
        <v>639707</v>
      </c>
      <c r="N46" s="178">
        <f t="shared" si="11"/>
        <v>764963</v>
      </c>
      <c r="O46" s="178">
        <f t="shared" si="11"/>
        <v>773000</v>
      </c>
      <c r="P46" s="178">
        <f t="shared" si="11"/>
        <v>768000</v>
      </c>
      <c r="Q46" s="178">
        <f t="shared" si="11"/>
        <v>761368</v>
      </c>
      <c r="R46" s="178">
        <f t="shared" si="11"/>
        <v>770263.35560000001</v>
      </c>
      <c r="S46" s="178">
        <f t="shared" si="11"/>
        <v>774719.95396999991</v>
      </c>
      <c r="T46" s="178">
        <f t="shared" si="11"/>
        <v>778143.96915000002</v>
      </c>
      <c r="U46" s="178">
        <f t="shared" si="11"/>
        <v>781012</v>
      </c>
      <c r="V46" s="178">
        <f t="shared" si="11"/>
        <v>783271</v>
      </c>
      <c r="W46" s="178">
        <f t="shared" si="11"/>
        <v>781072</v>
      </c>
      <c r="X46" s="178">
        <f t="shared" si="11"/>
        <v>773618</v>
      </c>
      <c r="Y46" s="178">
        <f t="shared" si="11"/>
        <v>773939</v>
      </c>
      <c r="Z46" s="178">
        <f t="shared" si="11"/>
        <v>727802</v>
      </c>
      <c r="AA46" s="178">
        <f t="shared" si="11"/>
        <v>727806</v>
      </c>
      <c r="AB46" s="178">
        <f t="shared" si="11"/>
        <v>484476</v>
      </c>
      <c r="AC46" s="178">
        <f>SUM(AC47:AC51)</f>
        <v>490513</v>
      </c>
      <c r="AD46" s="178">
        <f>SUM(AD47:AD51)</f>
        <v>451565</v>
      </c>
      <c r="AE46" s="178">
        <f>SUM(AE47:AE51)</f>
        <v>638743</v>
      </c>
    </row>
    <row r="47" spans="1:32">
      <c r="A47" s="173" t="s">
        <v>718</v>
      </c>
      <c r="B47" s="407"/>
      <c r="C47" s="189">
        <v>80746</v>
      </c>
      <c r="D47" s="189">
        <v>73108</v>
      </c>
      <c r="E47" s="189">
        <v>65432</v>
      </c>
      <c r="F47" s="189">
        <v>57718.827170000004</v>
      </c>
      <c r="G47" s="189">
        <v>49936.738109999998</v>
      </c>
      <c r="H47" s="189">
        <v>42112</v>
      </c>
      <c r="I47" s="189">
        <v>34263</v>
      </c>
      <c r="J47" s="189"/>
      <c r="K47" s="189"/>
      <c r="L47" s="189"/>
      <c r="M47" s="189"/>
      <c r="N47" s="189"/>
      <c r="O47" s="189"/>
      <c r="P47" s="189"/>
      <c r="Q47" s="189"/>
      <c r="R47" s="189"/>
      <c r="S47" s="189">
        <v>0</v>
      </c>
      <c r="T47" s="189"/>
      <c r="U47" s="189">
        <v>0</v>
      </c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</row>
    <row r="48" spans="1:32">
      <c r="A48" s="173" t="s">
        <v>719</v>
      </c>
      <c r="J48" s="189">
        <v>199874</v>
      </c>
      <c r="K48" s="189">
        <v>198014</v>
      </c>
      <c r="L48" s="189">
        <v>498118</v>
      </c>
      <c r="M48" s="189">
        <v>498792</v>
      </c>
      <c r="N48" s="189">
        <v>499827</v>
      </c>
      <c r="O48" s="189">
        <v>501000</v>
      </c>
      <c r="P48" s="189">
        <v>501000</v>
      </c>
      <c r="Q48" s="189">
        <v>502170</v>
      </c>
      <c r="R48" s="189">
        <v>505260.24904000002</v>
      </c>
      <c r="S48" s="189">
        <v>508127.21301000001</v>
      </c>
      <c r="T48" s="189">
        <v>510561.82300999999</v>
      </c>
      <c r="U48" s="189">
        <v>513486</v>
      </c>
      <c r="V48" s="189">
        <v>517658</v>
      </c>
      <c r="W48" s="189">
        <v>520632</v>
      </c>
      <c r="X48" s="189">
        <v>524338</v>
      </c>
      <c r="Y48" s="189">
        <v>523536</v>
      </c>
      <c r="Z48" s="189">
        <v>482922</v>
      </c>
      <c r="AA48" s="189">
        <v>485014</v>
      </c>
      <c r="AB48" s="189">
        <v>236244</v>
      </c>
      <c r="AC48" s="189">
        <v>236668</v>
      </c>
      <c r="AD48" s="189">
        <v>193427</v>
      </c>
      <c r="AE48" s="189">
        <v>379522</v>
      </c>
    </row>
    <row r="49" spans="1:31">
      <c r="A49" s="173" t="s">
        <v>730</v>
      </c>
      <c r="B49" s="407"/>
      <c r="C49" s="189">
        <v>14329</v>
      </c>
      <c r="D49" s="189">
        <v>14194</v>
      </c>
      <c r="E49" s="189">
        <v>14058.78</v>
      </c>
      <c r="F49" s="189">
        <v>13923.981109999999</v>
      </c>
      <c r="G49" s="189">
        <v>13395</v>
      </c>
      <c r="H49" s="189">
        <v>13260</v>
      </c>
      <c r="I49" s="189">
        <v>13125</v>
      </c>
      <c r="J49" s="189">
        <v>12990</v>
      </c>
      <c r="K49" s="189">
        <v>12856</v>
      </c>
      <c r="L49" s="189">
        <v>12721</v>
      </c>
      <c r="M49" s="189">
        <v>12586</v>
      </c>
      <c r="N49" s="189">
        <v>12451</v>
      </c>
      <c r="O49" s="189">
        <v>12000</v>
      </c>
      <c r="P49" s="189">
        <v>12000</v>
      </c>
      <c r="Q49" s="189">
        <v>12000</v>
      </c>
      <c r="R49" s="189">
        <v>11912.039509999999</v>
      </c>
      <c r="S49" s="189">
        <v>11777.23589</v>
      </c>
      <c r="T49" s="189">
        <v>11642.432269999999</v>
      </c>
      <c r="U49" s="189">
        <v>11553</v>
      </c>
      <c r="V49" s="189">
        <v>11553</v>
      </c>
      <c r="W49" s="189">
        <v>0</v>
      </c>
      <c r="X49" s="189">
        <v>11553</v>
      </c>
      <c r="Y49" s="189">
        <v>10968</v>
      </c>
      <c r="Z49" s="189">
        <v>10834</v>
      </c>
      <c r="AA49" s="189">
        <v>10699</v>
      </c>
      <c r="AB49" s="189">
        <v>10564</v>
      </c>
      <c r="AC49" s="189">
        <v>10360</v>
      </c>
      <c r="AD49" s="189">
        <v>10154</v>
      </c>
      <c r="AE49" s="189">
        <v>9947</v>
      </c>
    </row>
    <row r="50" spans="1:31">
      <c r="A50" s="173" t="s">
        <v>853</v>
      </c>
      <c r="B50" s="407"/>
      <c r="C50" s="189">
        <v>26920</v>
      </c>
      <c r="D50" s="189">
        <v>27926</v>
      </c>
      <c r="E50" s="189">
        <v>28615</v>
      </c>
      <c r="F50" s="189">
        <v>29288.479879999999</v>
      </c>
      <c r="G50" s="189">
        <v>29901.815960000004</v>
      </c>
      <c r="H50" s="189">
        <v>30728</v>
      </c>
      <c r="I50" s="189">
        <v>31298</v>
      </c>
      <c r="J50" s="189">
        <v>54156</v>
      </c>
      <c r="K50" s="189">
        <v>63783</v>
      </c>
      <c r="L50" s="189">
        <v>76151</v>
      </c>
      <c r="M50" s="189">
        <v>67938</v>
      </c>
      <c r="N50" s="189">
        <v>150778</v>
      </c>
      <c r="O50" s="189">
        <v>156000</v>
      </c>
      <c r="P50" s="189">
        <v>148000</v>
      </c>
      <c r="Q50" s="189">
        <v>140198</v>
      </c>
      <c r="R50" s="189">
        <v>146977.98835000003</v>
      </c>
      <c r="S50" s="189">
        <v>147506.79127999998</v>
      </c>
      <c r="T50" s="189">
        <v>147531.41918</v>
      </c>
      <c r="U50" s="189">
        <v>146378</v>
      </c>
      <c r="V50" s="189">
        <v>143841</v>
      </c>
      <c r="W50" s="189">
        <v>138964</v>
      </c>
      <c r="X50" s="189">
        <v>137616</v>
      </c>
      <c r="Y50" s="189">
        <v>135930</v>
      </c>
      <c r="Z50" s="189">
        <v>129665</v>
      </c>
      <c r="AA50" s="189">
        <v>127096</v>
      </c>
      <c r="AB50" s="189">
        <v>130261</v>
      </c>
      <c r="AC50" s="189">
        <v>134678</v>
      </c>
      <c r="AD50" s="189">
        <v>138852</v>
      </c>
      <c r="AE50" s="189">
        <v>140575</v>
      </c>
    </row>
    <row r="51" spans="1:31" ht="15" thickBot="1">
      <c r="A51" s="173" t="s">
        <v>849</v>
      </c>
      <c r="B51" s="407"/>
      <c r="C51" s="189">
        <v>47267</v>
      </c>
      <c r="D51" s="189">
        <v>46648</v>
      </c>
      <c r="E51" s="189">
        <v>46029</v>
      </c>
      <c r="F51" s="189">
        <v>45409.372539999997</v>
      </c>
      <c r="G51" s="189">
        <v>44789</v>
      </c>
      <c r="H51" s="189">
        <v>48872</v>
      </c>
      <c r="I51" s="189">
        <v>49358</v>
      </c>
      <c r="J51" s="189">
        <v>54967</v>
      </c>
      <c r="K51" s="189">
        <v>58789</v>
      </c>
      <c r="L51" s="189">
        <v>60881</v>
      </c>
      <c r="M51" s="189">
        <v>60391</v>
      </c>
      <c r="N51" s="189">
        <v>101907</v>
      </c>
      <c r="O51" s="189">
        <v>104000</v>
      </c>
      <c r="P51" s="189">
        <v>107000</v>
      </c>
      <c r="Q51" s="189">
        <v>107000</v>
      </c>
      <c r="R51" s="189">
        <v>106113.0787</v>
      </c>
      <c r="S51" s="189">
        <v>107308.71378999998</v>
      </c>
      <c r="T51" s="189">
        <v>108408.29469</v>
      </c>
      <c r="U51" s="189">
        <v>109595</v>
      </c>
      <c r="V51" s="189">
        <v>110219</v>
      </c>
      <c r="W51" s="189">
        <v>121476</v>
      </c>
      <c r="X51" s="189">
        <v>100111</v>
      </c>
      <c r="Y51" s="189">
        <v>103505</v>
      </c>
      <c r="Z51" s="189">
        <v>104381</v>
      </c>
      <c r="AA51" s="189">
        <v>104997</v>
      </c>
      <c r="AB51" s="189">
        <v>107407</v>
      </c>
      <c r="AC51" s="189">
        <v>108807</v>
      </c>
      <c r="AD51" s="189">
        <v>109132</v>
      </c>
      <c r="AE51" s="189">
        <v>108699</v>
      </c>
    </row>
    <row r="52" spans="1:31" ht="15" thickBot="1">
      <c r="A52" s="177" t="s">
        <v>734</v>
      </c>
      <c r="B52" s="406"/>
      <c r="C52" s="178">
        <f>SUM(C53:C59)</f>
        <v>388035.80000000005</v>
      </c>
      <c r="D52" s="178">
        <f t="shared" ref="D52:Z52" si="12">SUM(D53:D59)</f>
        <v>404822</v>
      </c>
      <c r="E52" s="178">
        <f t="shared" si="12"/>
        <v>416958.04000000004</v>
      </c>
      <c r="F52" s="178">
        <f t="shared" si="12"/>
        <v>419795</v>
      </c>
      <c r="G52" s="178">
        <f t="shared" si="12"/>
        <v>438874.95999999996</v>
      </c>
      <c r="H52" s="178">
        <f t="shared" si="12"/>
        <v>460344.80000000005</v>
      </c>
      <c r="I52" s="178">
        <f t="shared" si="12"/>
        <v>479942</v>
      </c>
      <c r="J52" s="178">
        <f t="shared" si="12"/>
        <v>524089</v>
      </c>
      <c r="K52" s="178">
        <f t="shared" si="12"/>
        <v>356699</v>
      </c>
      <c r="L52" s="178">
        <f t="shared" si="12"/>
        <v>382209</v>
      </c>
      <c r="M52" s="178">
        <f t="shared" si="12"/>
        <v>236822</v>
      </c>
      <c r="N52" s="178">
        <f t="shared" si="12"/>
        <v>435403</v>
      </c>
      <c r="O52" s="178">
        <f t="shared" si="12"/>
        <v>418000</v>
      </c>
      <c r="P52" s="178">
        <f t="shared" si="12"/>
        <v>440000</v>
      </c>
      <c r="Q52" s="178">
        <f t="shared" si="12"/>
        <v>461000</v>
      </c>
      <c r="R52" s="178">
        <f t="shared" si="12"/>
        <v>245068.64631999997</v>
      </c>
      <c r="S52" s="178">
        <f t="shared" si="12"/>
        <v>256887.34862000003</v>
      </c>
      <c r="T52" s="178">
        <f t="shared" si="12"/>
        <v>226415.54696000001</v>
      </c>
      <c r="U52" s="178">
        <f t="shared" si="12"/>
        <v>239621</v>
      </c>
      <c r="V52" s="178">
        <f t="shared" si="12"/>
        <v>246683</v>
      </c>
      <c r="W52" s="178">
        <f t="shared" si="12"/>
        <v>240432</v>
      </c>
      <c r="X52" s="178">
        <f t="shared" si="12"/>
        <v>248152</v>
      </c>
      <c r="Y52" s="178">
        <f t="shared" si="12"/>
        <v>257505</v>
      </c>
      <c r="Z52" s="178">
        <f t="shared" si="12"/>
        <v>255442</v>
      </c>
      <c r="AA52" s="178">
        <f>SUM(AA53:AA59)</f>
        <v>264155</v>
      </c>
      <c r="AB52" s="178">
        <f>SUM(AB53:AB59)</f>
        <v>288821</v>
      </c>
      <c r="AC52" s="178">
        <f>SUM(AC53:AC59)</f>
        <v>310584</v>
      </c>
      <c r="AD52" s="178">
        <f t="shared" ref="AD52:AE52" si="13">SUM(AD53:AD59)</f>
        <v>300699</v>
      </c>
      <c r="AE52" s="178">
        <f t="shared" si="13"/>
        <v>303901</v>
      </c>
    </row>
    <row r="53" spans="1:31">
      <c r="A53" s="173" t="s">
        <v>735</v>
      </c>
      <c r="B53" s="407"/>
      <c r="C53" s="189">
        <v>170000</v>
      </c>
      <c r="D53" s="189">
        <v>170000</v>
      </c>
      <c r="E53" s="189">
        <v>170000</v>
      </c>
      <c r="F53" s="189">
        <v>170000</v>
      </c>
      <c r="G53" s="189">
        <v>170000</v>
      </c>
      <c r="H53" s="189">
        <v>188555</v>
      </c>
      <c r="I53" s="189">
        <v>188555</v>
      </c>
      <c r="J53" s="189">
        <v>188556</v>
      </c>
      <c r="K53" s="189">
        <v>188556</v>
      </c>
      <c r="L53" s="189">
        <v>188556</v>
      </c>
      <c r="M53" s="189">
        <v>18556</v>
      </c>
      <c r="N53" s="189">
        <v>18556</v>
      </c>
      <c r="O53" s="189">
        <v>19000</v>
      </c>
      <c r="P53" s="189">
        <v>19000</v>
      </c>
      <c r="Q53" s="189">
        <v>19000</v>
      </c>
      <c r="R53" s="189">
        <v>22755.22248</v>
      </c>
      <c r="S53" s="189">
        <v>22755.22248</v>
      </c>
      <c r="T53" s="189">
        <v>22755.22248</v>
      </c>
      <c r="U53" s="189">
        <v>22756</v>
      </c>
      <c r="V53" s="189">
        <v>20156</v>
      </c>
      <c r="W53" s="189">
        <v>22755</v>
      </c>
      <c r="X53" s="189">
        <v>22756</v>
      </c>
      <c r="Y53" s="189">
        <v>22756</v>
      </c>
      <c r="Z53" s="189">
        <v>22756</v>
      </c>
      <c r="AA53" s="189">
        <v>22756</v>
      </c>
      <c r="AB53" s="189">
        <v>143790</v>
      </c>
      <c r="AC53" s="189">
        <v>143790</v>
      </c>
      <c r="AD53" s="189">
        <v>143790</v>
      </c>
      <c r="AE53" s="189">
        <v>143790</v>
      </c>
    </row>
    <row r="54" spans="1:31">
      <c r="A54" s="173" t="s">
        <v>764</v>
      </c>
      <c r="B54" s="407"/>
      <c r="C54" s="189">
        <v>47123</v>
      </c>
      <c r="D54" s="189">
        <v>47123</v>
      </c>
      <c r="E54" s="189">
        <v>47122.64</v>
      </c>
      <c r="F54" s="189">
        <v>59054</v>
      </c>
      <c r="G54" s="189">
        <v>59054.49</v>
      </c>
      <c r="H54" s="189">
        <v>59054</v>
      </c>
      <c r="I54" s="189">
        <v>59054</v>
      </c>
      <c r="J54" s="189">
        <v>5563</v>
      </c>
      <c r="K54" s="189">
        <v>75543</v>
      </c>
      <c r="L54" s="189">
        <v>75543</v>
      </c>
      <c r="M54" s="189">
        <v>75543</v>
      </c>
      <c r="N54" s="189"/>
      <c r="O54" s="189">
        <v>97000</v>
      </c>
      <c r="P54" s="189">
        <v>97000</v>
      </c>
      <c r="Q54" s="189">
        <v>97000</v>
      </c>
      <c r="R54" s="189"/>
      <c r="S54" s="189">
        <v>0</v>
      </c>
      <c r="T54" s="189">
        <v>0</v>
      </c>
      <c r="U54" s="189">
        <v>0</v>
      </c>
      <c r="V54" s="189"/>
      <c r="W54" s="189"/>
      <c r="X54" s="189">
        <v>0</v>
      </c>
      <c r="Y54" s="189"/>
      <c r="Z54" s="189"/>
      <c r="AA54" s="189"/>
      <c r="AB54" s="189"/>
      <c r="AC54" s="189"/>
      <c r="AD54" s="189"/>
      <c r="AE54" s="189"/>
    </row>
    <row r="55" spans="1:31">
      <c r="A55" s="173" t="s">
        <v>765</v>
      </c>
      <c r="B55" s="407"/>
      <c r="C55" s="189">
        <v>15635</v>
      </c>
      <c r="D55" s="189">
        <v>15636</v>
      </c>
      <c r="E55" s="189">
        <v>15635.51</v>
      </c>
      <c r="F55" s="189">
        <v>18555</v>
      </c>
      <c r="G55" s="189">
        <v>18555.490000000002</v>
      </c>
      <c r="H55" s="189">
        <v>0</v>
      </c>
      <c r="I55" s="189">
        <v>0</v>
      </c>
      <c r="J55" s="189">
        <v>0</v>
      </c>
      <c r="K55" s="189">
        <v>5563</v>
      </c>
      <c r="L55" s="189">
        <v>5563</v>
      </c>
      <c r="M55" s="189">
        <v>5563</v>
      </c>
      <c r="N55" s="189">
        <v>319459</v>
      </c>
      <c r="O55" s="189">
        <v>319000</v>
      </c>
      <c r="P55" s="189">
        <v>319000</v>
      </c>
      <c r="Q55" s="189">
        <v>319000</v>
      </c>
      <c r="R55" s="189">
        <v>214000</v>
      </c>
      <c r="S55" s="189">
        <v>220735.82911000002</v>
      </c>
      <c r="T55" s="189">
        <v>176565.99184</v>
      </c>
      <c r="U55" s="189">
        <v>176568</v>
      </c>
      <c r="V55" s="189">
        <v>179168</v>
      </c>
      <c r="W55" s="189">
        <v>215152</v>
      </c>
      <c r="X55" s="189">
        <v>215154</v>
      </c>
      <c r="Y55" s="189">
        <v>215154</v>
      </c>
      <c r="Z55" s="189">
        <v>232686</v>
      </c>
      <c r="AA55" s="189">
        <v>232686</v>
      </c>
      <c r="AB55" s="189">
        <v>111652</v>
      </c>
      <c r="AC55" s="189">
        <v>111651</v>
      </c>
      <c r="AD55" s="189">
        <v>156909</v>
      </c>
      <c r="AE55" s="189">
        <v>156909</v>
      </c>
    </row>
    <row r="56" spans="1:31">
      <c r="A56" s="173" t="s">
        <v>604</v>
      </c>
      <c r="B56" s="407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>
        <v>55143</v>
      </c>
      <c r="AD56" s="189">
        <v>0</v>
      </c>
      <c r="AE56" s="189">
        <v>3202</v>
      </c>
    </row>
    <row r="57" spans="1:31">
      <c r="A57" s="173" t="s">
        <v>868</v>
      </c>
      <c r="B57" s="407"/>
      <c r="C57" s="189">
        <v>0</v>
      </c>
      <c r="D57" s="189">
        <v>0</v>
      </c>
      <c r="E57" s="189">
        <v>0</v>
      </c>
      <c r="F57" s="189">
        <v>0</v>
      </c>
      <c r="G57" s="189">
        <v>0</v>
      </c>
      <c r="H57" s="189">
        <v>0</v>
      </c>
      <c r="I57" s="189">
        <v>0</v>
      </c>
      <c r="J57" s="189">
        <v>75543</v>
      </c>
      <c r="K57" s="189"/>
      <c r="L57" s="189"/>
      <c r="M57" s="189"/>
      <c r="N57" s="189">
        <v>97388</v>
      </c>
      <c r="O57" s="189"/>
      <c r="P57" s="189"/>
      <c r="Q57" s="189"/>
      <c r="R57" s="189"/>
      <c r="S57" s="189">
        <v>0</v>
      </c>
      <c r="T57" s="189">
        <v>0</v>
      </c>
      <c r="U57" s="189">
        <v>0</v>
      </c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</row>
    <row r="58" spans="1:31">
      <c r="A58" s="173" t="s">
        <v>869</v>
      </c>
      <c r="B58" s="407"/>
      <c r="C58" s="189">
        <v>139528.4</v>
      </c>
      <c r="D58" s="189">
        <v>139528</v>
      </c>
      <c r="E58" s="189">
        <v>139528</v>
      </c>
      <c r="F58" s="189">
        <v>172186</v>
      </c>
      <c r="G58" s="189">
        <v>172186.49</v>
      </c>
      <c r="H58" s="189">
        <v>172186.4</v>
      </c>
      <c r="I58" s="189">
        <v>172186</v>
      </c>
      <c r="J58" s="189">
        <v>254427</v>
      </c>
      <c r="K58" s="189">
        <v>84426</v>
      </c>
      <c r="L58" s="189">
        <v>51264</v>
      </c>
      <c r="M58" s="189">
        <v>51264</v>
      </c>
      <c r="N58" s="189"/>
      <c r="O58" s="189"/>
      <c r="P58" s="189"/>
      <c r="Q58" s="189"/>
      <c r="R58" s="189"/>
      <c r="S58" s="189"/>
      <c r="T58" s="189">
        <v>27094.332640000011</v>
      </c>
      <c r="U58" s="189">
        <v>40297</v>
      </c>
      <c r="V58" s="189">
        <v>47359</v>
      </c>
      <c r="W58" s="189">
        <v>2525</v>
      </c>
      <c r="X58" s="189">
        <v>0</v>
      </c>
      <c r="Y58" s="189"/>
      <c r="Z58" s="189"/>
    </row>
    <row r="59" spans="1:31" ht="15" thickBot="1">
      <c r="A59" s="173" t="s">
        <v>739</v>
      </c>
      <c r="B59" s="407"/>
      <c r="C59" s="189">
        <v>15749.4</v>
      </c>
      <c r="D59" s="189">
        <v>32535</v>
      </c>
      <c r="E59" s="189">
        <v>44671.89</v>
      </c>
      <c r="F59" s="189">
        <v>0</v>
      </c>
      <c r="G59" s="189">
        <v>19078.490000000002</v>
      </c>
      <c r="H59" s="189">
        <v>40549.4</v>
      </c>
      <c r="I59" s="189">
        <v>60147</v>
      </c>
      <c r="J59" s="189">
        <v>0</v>
      </c>
      <c r="K59" s="189">
        <v>2611</v>
      </c>
      <c r="L59" s="189">
        <v>61283</v>
      </c>
      <c r="M59" s="189">
        <v>85896</v>
      </c>
      <c r="N59" s="189"/>
      <c r="O59" s="189">
        <v>-17000</v>
      </c>
      <c r="P59" s="189">
        <v>5000</v>
      </c>
      <c r="Q59" s="189">
        <v>26000</v>
      </c>
      <c r="R59" s="189">
        <v>8313.4238399999758</v>
      </c>
      <c r="S59" s="189">
        <v>13396.297030000011</v>
      </c>
      <c r="T59" s="189"/>
      <c r="U59" s="189"/>
      <c r="V59" s="189"/>
      <c r="W59" s="189"/>
      <c r="X59" s="189">
        <v>10242</v>
      </c>
      <c r="Y59" s="189">
        <v>19595</v>
      </c>
      <c r="Z59" s="189"/>
      <c r="AA59" s="189">
        <v>8713</v>
      </c>
      <c r="AB59" s="189">
        <v>33379</v>
      </c>
      <c r="AC59" s="189"/>
      <c r="AD59" s="189"/>
      <c r="AE59" s="189"/>
    </row>
    <row r="60" spans="1:31" ht="15" thickBot="1">
      <c r="A60" s="177" t="s">
        <v>740</v>
      </c>
      <c r="B60" s="406"/>
      <c r="C60" s="178">
        <f>C52+C46+C34</f>
        <v>611193.09000000008</v>
      </c>
      <c r="D60" s="178">
        <f t="shared" ref="D60:AB60" si="14">D52+D46+D34</f>
        <v>620350</v>
      </c>
      <c r="E60" s="178">
        <f t="shared" si="14"/>
        <v>613843.3600000001</v>
      </c>
      <c r="F60" s="178">
        <f t="shared" si="14"/>
        <v>624764.55215</v>
      </c>
      <c r="G60" s="178">
        <f t="shared" si="14"/>
        <v>636062.38089999999</v>
      </c>
      <c r="H60" s="178">
        <f t="shared" si="14"/>
        <v>653732.78777000005</v>
      </c>
      <c r="I60" s="178">
        <f t="shared" si="14"/>
        <v>666812.82982999994</v>
      </c>
      <c r="J60" s="178">
        <f t="shared" si="14"/>
        <v>880670</v>
      </c>
      <c r="K60" s="178">
        <f t="shared" si="14"/>
        <v>747603</v>
      </c>
      <c r="L60" s="178">
        <f t="shared" si="14"/>
        <v>1073088.2517500001</v>
      </c>
      <c r="M60" s="178">
        <f t="shared" si="14"/>
        <v>923536</v>
      </c>
      <c r="N60" s="178">
        <f t="shared" si="14"/>
        <v>1290025</v>
      </c>
      <c r="O60" s="178">
        <f t="shared" si="14"/>
        <v>1270000</v>
      </c>
      <c r="P60" s="178">
        <f t="shared" si="14"/>
        <v>1302000</v>
      </c>
      <c r="Q60" s="178">
        <f t="shared" si="14"/>
        <v>1314868</v>
      </c>
      <c r="R60" s="178">
        <f t="shared" si="14"/>
        <v>1074494.3813399998</v>
      </c>
      <c r="S60" s="178">
        <f t="shared" si="14"/>
        <v>1087497.70909</v>
      </c>
      <c r="T60" s="178">
        <f t="shared" si="14"/>
        <v>1108224.6411599999</v>
      </c>
      <c r="U60" s="178">
        <f t="shared" si="14"/>
        <v>1119077</v>
      </c>
      <c r="V60" s="178">
        <f t="shared" si="14"/>
        <v>1088843</v>
      </c>
      <c r="W60" s="178">
        <f t="shared" si="14"/>
        <v>1082249.327</v>
      </c>
      <c r="X60" s="178">
        <f t="shared" si="14"/>
        <v>1106703</v>
      </c>
      <c r="Y60" s="178">
        <f t="shared" si="14"/>
        <v>1102129</v>
      </c>
      <c r="Z60" s="178">
        <f t="shared" si="14"/>
        <v>1106920</v>
      </c>
      <c r="AA60" s="178">
        <f t="shared" si="14"/>
        <v>1103937</v>
      </c>
      <c r="AB60" s="178">
        <f t="shared" si="14"/>
        <v>1148255</v>
      </c>
      <c r="AC60" s="178">
        <f>AC52+AC46+AC34</f>
        <v>1143645</v>
      </c>
      <c r="AD60" s="178">
        <f>AD52+AD46+AD34</f>
        <v>1091818</v>
      </c>
      <c r="AE60" s="178">
        <f>AE52+AE46+AE34</f>
        <v>1109921</v>
      </c>
    </row>
    <row r="61" spans="1:31"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88">
        <f>+W60-W31</f>
        <v>1.0000006295740604E-4</v>
      </c>
      <c r="X61" s="188">
        <f t="shared" ref="X61:AD61" si="15">+X60-X31</f>
        <v>0</v>
      </c>
      <c r="Y61" s="188">
        <f t="shared" si="15"/>
        <v>0</v>
      </c>
      <c r="Z61" s="188">
        <f t="shared" si="15"/>
        <v>0</v>
      </c>
      <c r="AA61" s="188">
        <f t="shared" si="15"/>
        <v>0</v>
      </c>
      <c r="AB61" s="188">
        <f t="shared" si="15"/>
        <v>0</v>
      </c>
      <c r="AC61" s="188">
        <f t="shared" si="15"/>
        <v>0</v>
      </c>
      <c r="AD61" s="188">
        <f t="shared" si="15"/>
        <v>0</v>
      </c>
      <c r="AE61" s="188">
        <f t="shared" ref="AE61" si="16">+AE60-AE31</f>
        <v>0</v>
      </c>
    </row>
    <row r="62" spans="1:31"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9" tint="0.79998168889431442"/>
  </sheetPr>
  <dimension ref="A6:AV96"/>
  <sheetViews>
    <sheetView showGridLines="0" zoomScale="85" zoomScaleNormal="85" workbookViewId="0">
      <pane xSplit="1" ySplit="7" topLeftCell="AS82" activePane="bottomRight" state="frozen"/>
      <selection pane="topRight" activeCell="S9" sqref="S9"/>
      <selection pane="bottomLeft" activeCell="S9" sqref="S9"/>
      <selection pane="bottomRight" activeCell="BF105" sqref="BF105"/>
    </sheetView>
  </sheetViews>
  <sheetFormatPr defaultColWidth="9.1796875" defaultRowHeight="14.5" outlineLevelCol="1"/>
  <cols>
    <col min="1" max="1" width="47.54296875" style="37" bestFit="1" customWidth="1"/>
    <col min="2" max="2" width="0.7265625" customWidth="1"/>
    <col min="3" max="29" width="9.1796875" style="37" hidden="1" customWidth="1" outlineLevel="1"/>
    <col min="30" max="38" width="9.81640625" style="37" hidden="1" customWidth="1" outlineLevel="1"/>
    <col min="39" max="39" width="9.81640625" style="37" bestFit="1" customWidth="1" collapsed="1"/>
    <col min="40" max="47" width="9.81640625" style="37" bestFit="1" customWidth="1"/>
    <col min="48" max="48" width="10.54296875" style="37" bestFit="1" customWidth="1"/>
    <col min="49" max="16384" width="9.1796875" style="37"/>
  </cols>
  <sheetData>
    <row r="6" spans="1:48">
      <c r="A6" s="41" t="s">
        <v>870</v>
      </c>
      <c r="B6" s="133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</row>
    <row r="7" spans="1:48" ht="15" thickBot="1">
      <c r="A7" s="5" t="s">
        <v>689</v>
      </c>
      <c r="B7" s="168"/>
      <c r="C7" s="528" t="s">
        <v>9</v>
      </c>
      <c r="D7" s="528" t="s">
        <v>10</v>
      </c>
      <c r="E7" s="528" t="s">
        <v>11</v>
      </c>
      <c r="F7" s="528" t="s">
        <v>12</v>
      </c>
      <c r="G7" s="528" t="s">
        <v>13</v>
      </c>
      <c r="H7" s="528" t="s">
        <v>14</v>
      </c>
      <c r="I7" s="528" t="s">
        <v>15</v>
      </c>
      <c r="J7" s="528" t="s">
        <v>16</v>
      </c>
      <c r="K7" s="528" t="s">
        <v>17</v>
      </c>
      <c r="L7" s="528" t="s">
        <v>18</v>
      </c>
      <c r="M7" s="528" t="s">
        <v>19</v>
      </c>
      <c r="N7" s="528" t="s">
        <v>20</v>
      </c>
      <c r="O7" s="528" t="s">
        <v>21</v>
      </c>
      <c r="P7" s="528" t="s">
        <v>22</v>
      </c>
      <c r="Q7" s="528" t="s">
        <v>23</v>
      </c>
      <c r="R7" s="528" t="s">
        <v>24</v>
      </c>
      <c r="S7" s="528" t="s">
        <v>25</v>
      </c>
      <c r="T7" s="528" t="s">
        <v>26</v>
      </c>
      <c r="U7" s="528" t="s">
        <v>27</v>
      </c>
      <c r="V7" s="528" t="s">
        <v>28</v>
      </c>
      <c r="W7" s="528" t="s">
        <v>29</v>
      </c>
      <c r="X7" s="528" t="s">
        <v>30</v>
      </c>
      <c r="Y7" s="528" t="s">
        <v>31</v>
      </c>
      <c r="Z7" s="528" t="s">
        <v>32</v>
      </c>
      <c r="AA7" s="528" t="s">
        <v>33</v>
      </c>
      <c r="AB7" s="528" t="s">
        <v>34</v>
      </c>
      <c r="AC7" s="564" t="s">
        <v>35</v>
      </c>
      <c r="AD7" s="564" t="s">
        <v>36</v>
      </c>
      <c r="AE7" s="564" t="s">
        <v>37</v>
      </c>
      <c r="AF7" s="564" t="s">
        <v>38</v>
      </c>
      <c r="AG7" s="564" t="s">
        <v>39</v>
      </c>
      <c r="AH7" s="564" t="s">
        <v>40</v>
      </c>
      <c r="AI7" s="564" t="s">
        <v>41</v>
      </c>
      <c r="AJ7" s="564" t="s">
        <v>42</v>
      </c>
      <c r="AK7" s="564" t="s">
        <v>43</v>
      </c>
      <c r="AL7" s="564" t="s">
        <v>44</v>
      </c>
      <c r="AM7" s="564" t="s">
        <v>45</v>
      </c>
      <c r="AN7" s="564" t="s">
        <v>46</v>
      </c>
      <c r="AO7" s="564" t="s">
        <v>47</v>
      </c>
      <c r="AP7" s="564" t="s">
        <v>48</v>
      </c>
      <c r="AQ7" s="564" t="s">
        <v>49</v>
      </c>
      <c r="AR7" s="564" t="s">
        <v>50</v>
      </c>
      <c r="AS7" s="564" t="s">
        <v>51</v>
      </c>
      <c r="AT7" s="564" t="s">
        <v>52</v>
      </c>
      <c r="AU7" s="564" t="s">
        <v>53</v>
      </c>
      <c r="AV7" s="564" t="s">
        <v>54</v>
      </c>
    </row>
    <row r="8" spans="1:48" ht="15" thickBot="1">
      <c r="A8" s="169" t="s">
        <v>690</v>
      </c>
      <c r="B8" s="170"/>
      <c r="C8" s="171">
        <f t="shared" ref="C8:AD8" si="0">SUM(C9:C24)</f>
        <v>815654</v>
      </c>
      <c r="D8" s="171">
        <f t="shared" si="0"/>
        <v>719860</v>
      </c>
      <c r="E8" s="171">
        <f t="shared" si="0"/>
        <v>674776</v>
      </c>
      <c r="F8" s="171">
        <f t="shared" si="0"/>
        <v>671663</v>
      </c>
      <c r="G8" s="171">
        <f t="shared" si="0"/>
        <v>416216</v>
      </c>
      <c r="H8" s="171">
        <f t="shared" si="0"/>
        <v>316265</v>
      </c>
      <c r="I8" s="171">
        <f t="shared" si="0"/>
        <v>326736</v>
      </c>
      <c r="J8" s="171">
        <f t="shared" si="0"/>
        <v>359605</v>
      </c>
      <c r="K8" s="171">
        <f t="shared" si="0"/>
        <v>362620</v>
      </c>
      <c r="L8" s="171">
        <f t="shared" si="0"/>
        <v>400245</v>
      </c>
      <c r="M8" s="171">
        <f t="shared" si="0"/>
        <v>407105</v>
      </c>
      <c r="N8" s="171">
        <f t="shared" si="0"/>
        <v>336914</v>
      </c>
      <c r="O8" s="171">
        <f t="shared" si="0"/>
        <v>334462</v>
      </c>
      <c r="P8" s="171">
        <f t="shared" si="0"/>
        <v>411995</v>
      </c>
      <c r="Q8" s="171">
        <f t="shared" si="0"/>
        <v>443950</v>
      </c>
      <c r="R8" s="171">
        <f t="shared" si="0"/>
        <v>642356</v>
      </c>
      <c r="S8" s="171">
        <f t="shared" si="0"/>
        <v>661393</v>
      </c>
      <c r="T8" s="171">
        <f t="shared" si="0"/>
        <v>737890</v>
      </c>
      <c r="U8" s="171">
        <f t="shared" si="0"/>
        <v>717768</v>
      </c>
      <c r="V8" s="171">
        <f t="shared" si="0"/>
        <v>1500797</v>
      </c>
      <c r="W8" s="171">
        <f t="shared" si="0"/>
        <v>1331642</v>
      </c>
      <c r="X8" s="171">
        <f t="shared" si="0"/>
        <v>1354961</v>
      </c>
      <c r="Y8" s="171">
        <f t="shared" si="0"/>
        <v>2116225</v>
      </c>
      <c r="Z8" s="171">
        <f t="shared" si="0"/>
        <v>936489</v>
      </c>
      <c r="AA8" s="171">
        <f t="shared" si="0"/>
        <v>483726</v>
      </c>
      <c r="AB8" s="171">
        <f t="shared" si="0"/>
        <v>503629</v>
      </c>
      <c r="AC8" s="171">
        <f t="shared" si="0"/>
        <v>321528</v>
      </c>
      <c r="AD8" s="171">
        <f t="shared" si="0"/>
        <v>1513114</v>
      </c>
      <c r="AE8" s="171">
        <v>795031</v>
      </c>
      <c r="AF8" s="171">
        <v>885347</v>
      </c>
      <c r="AG8" s="171">
        <f>SUM(AG9:AG24)</f>
        <v>189328</v>
      </c>
      <c r="AH8" s="171">
        <f>SUM(AH9:AH24)</f>
        <v>996270</v>
      </c>
      <c r="AI8" s="171">
        <f>SUM(AI9:AI24)</f>
        <v>362636</v>
      </c>
      <c r="AJ8" s="171">
        <f>SUM(AJ9:AJ24)</f>
        <v>1542400</v>
      </c>
      <c r="AK8" s="171">
        <v>1813759</v>
      </c>
      <c r="AL8" s="171">
        <f>SUM(AL9:AL24)</f>
        <v>3647515</v>
      </c>
      <c r="AM8" s="171">
        <f>SUM(AM9:AM24)</f>
        <v>1205573</v>
      </c>
      <c r="AN8" s="171">
        <f>SUM(AN9:AN24)</f>
        <v>1284096</v>
      </c>
      <c r="AO8" s="171">
        <f>SUM(AO9:AO24)</f>
        <v>1163874</v>
      </c>
      <c r="AP8" s="171">
        <f>SUM(AP9:AP26)</f>
        <v>1293371</v>
      </c>
      <c r="AQ8" s="171">
        <f>SUM(AQ9:AQ26)</f>
        <v>1290496</v>
      </c>
      <c r="AR8" s="171">
        <f>SUM(AR9:AR26)</f>
        <v>2783259</v>
      </c>
      <c r="AS8" s="171">
        <f>SUM(AS9:AS26)</f>
        <v>2424084</v>
      </c>
      <c r="AT8" s="171">
        <f>SUM(AT9:AT27)</f>
        <v>3891332</v>
      </c>
      <c r="AU8" s="171">
        <f>SUM(AU9:AU27)</f>
        <v>1986256</v>
      </c>
      <c r="AV8" s="171">
        <f>SUM(AV9:AV27)</f>
        <v>1889449</v>
      </c>
    </row>
    <row r="9" spans="1:48">
      <c r="A9" s="173" t="s">
        <v>691</v>
      </c>
      <c r="B9" s="174"/>
      <c r="C9" s="189">
        <v>2</v>
      </c>
      <c r="D9" s="189">
        <v>20450</v>
      </c>
      <c r="E9" s="189">
        <v>21123</v>
      </c>
      <c r="F9" s="189">
        <v>21403</v>
      </c>
      <c r="G9" s="189">
        <v>21453</v>
      </c>
      <c r="H9" s="189">
        <v>22010</v>
      </c>
      <c r="I9" s="189">
        <v>22835</v>
      </c>
      <c r="J9" s="189">
        <v>23226</v>
      </c>
      <c r="K9" s="189">
        <v>314</v>
      </c>
      <c r="L9" s="189">
        <v>8417</v>
      </c>
      <c r="M9" s="189">
        <v>8710</v>
      </c>
      <c r="N9" s="189">
        <v>9035</v>
      </c>
      <c r="O9" s="189">
        <v>9226</v>
      </c>
      <c r="P9" s="189">
        <v>9496</v>
      </c>
      <c r="Q9" s="189">
        <v>9833</v>
      </c>
      <c r="R9" s="189">
        <v>137661</v>
      </c>
      <c r="S9" s="189">
        <v>148117</v>
      </c>
      <c r="T9" s="189">
        <v>140560</v>
      </c>
      <c r="U9" s="189">
        <v>169108</v>
      </c>
      <c r="V9" s="189">
        <v>1247838</v>
      </c>
      <c r="W9" s="189">
        <v>1090368</v>
      </c>
      <c r="X9" s="189">
        <v>1005818</v>
      </c>
      <c r="Y9" s="189">
        <v>1764814</v>
      </c>
      <c r="Z9" s="189">
        <v>718146</v>
      </c>
      <c r="AA9" s="189">
        <v>235797</v>
      </c>
      <c r="AB9" s="189">
        <v>434204</v>
      </c>
      <c r="AC9" s="190">
        <v>264746</v>
      </c>
      <c r="AD9" s="190">
        <v>536313</v>
      </c>
      <c r="AE9" s="190">
        <v>446457</v>
      </c>
      <c r="AF9" s="190">
        <v>133811</v>
      </c>
      <c r="AG9" s="190">
        <v>39586</v>
      </c>
      <c r="AH9" s="190">
        <v>165569</v>
      </c>
      <c r="AI9" s="190">
        <v>34152</v>
      </c>
      <c r="AJ9" s="191">
        <v>936058</v>
      </c>
      <c r="AK9" s="191">
        <v>1100541</v>
      </c>
      <c r="AL9" s="191">
        <v>541415</v>
      </c>
      <c r="AM9" s="191">
        <v>1796</v>
      </c>
      <c r="AN9" s="191">
        <v>599712</v>
      </c>
      <c r="AO9" s="191">
        <v>496124</v>
      </c>
      <c r="AP9" s="191">
        <v>460753</v>
      </c>
      <c r="AQ9" s="191">
        <v>616</v>
      </c>
      <c r="AR9" s="191">
        <v>1853298</v>
      </c>
      <c r="AS9" s="192">
        <v>1706583</v>
      </c>
      <c r="AT9" s="192">
        <v>1388876</v>
      </c>
      <c r="AU9" s="192">
        <v>884636</v>
      </c>
      <c r="AV9" s="192">
        <v>9312</v>
      </c>
    </row>
    <row r="10" spans="1:48">
      <c r="A10" s="173" t="s">
        <v>767</v>
      </c>
      <c r="B10" s="174"/>
      <c r="C10" s="189">
        <v>754617</v>
      </c>
      <c r="D10" s="189">
        <v>640951</v>
      </c>
      <c r="E10" s="189">
        <v>595060</v>
      </c>
      <c r="F10" s="189">
        <v>604457</v>
      </c>
      <c r="G10" s="189">
        <v>359725</v>
      </c>
      <c r="H10" s="189">
        <v>251978</v>
      </c>
      <c r="I10" s="189">
        <v>257904</v>
      </c>
      <c r="J10" s="189">
        <v>267252</v>
      </c>
      <c r="K10" s="189">
        <v>293920</v>
      </c>
      <c r="L10" s="189">
        <v>295062</v>
      </c>
      <c r="M10" s="189">
        <v>321220</v>
      </c>
      <c r="N10" s="189">
        <v>223045</v>
      </c>
      <c r="O10" s="189">
        <v>226554</v>
      </c>
      <c r="P10" s="189">
        <v>235475</v>
      </c>
      <c r="Q10" s="189">
        <v>275810</v>
      </c>
      <c r="R10" s="189">
        <v>350366</v>
      </c>
      <c r="S10" s="189">
        <v>329796</v>
      </c>
      <c r="T10" s="189">
        <v>332423</v>
      </c>
      <c r="U10" s="189">
        <v>286178</v>
      </c>
      <c r="V10" s="189">
        <v>0</v>
      </c>
      <c r="W10" s="189">
        <v>0</v>
      </c>
      <c r="X10" s="189">
        <v>0</v>
      </c>
      <c r="Y10" s="189">
        <v>0</v>
      </c>
      <c r="Z10" s="189"/>
      <c r="AA10" s="189"/>
      <c r="AB10" s="189"/>
      <c r="AC10" s="190"/>
      <c r="AD10" s="190">
        <v>871556</v>
      </c>
      <c r="AE10" s="190">
        <v>241730</v>
      </c>
      <c r="AF10" s="190">
        <v>676231</v>
      </c>
      <c r="AG10" s="190">
        <v>86037</v>
      </c>
      <c r="AH10" s="190">
        <v>642999</v>
      </c>
      <c r="AI10" s="190">
        <v>142817</v>
      </c>
      <c r="AJ10" s="191">
        <v>289687</v>
      </c>
      <c r="AK10" s="191">
        <v>384392</v>
      </c>
      <c r="AL10" s="191">
        <v>2306880</v>
      </c>
      <c r="AM10" s="191">
        <v>561305</v>
      </c>
      <c r="AN10" s="191">
        <v>321554</v>
      </c>
      <c r="AO10" s="191">
        <v>280373</v>
      </c>
      <c r="AP10" s="191">
        <v>26578</v>
      </c>
      <c r="AQ10" s="191">
        <v>486715</v>
      </c>
      <c r="AR10" s="191">
        <v>184224</v>
      </c>
      <c r="AS10" s="192">
        <v>46400</v>
      </c>
      <c r="AT10" s="192">
        <v>1971502</v>
      </c>
      <c r="AU10" s="192">
        <v>726592</v>
      </c>
      <c r="AV10" s="192">
        <v>1433648</v>
      </c>
    </row>
    <row r="11" spans="1:48">
      <c r="A11" s="173" t="s">
        <v>693</v>
      </c>
      <c r="B11" s="174"/>
      <c r="C11" s="189">
        <v>0</v>
      </c>
      <c r="D11" s="189">
        <v>0</v>
      </c>
      <c r="E11" s="189">
        <v>0</v>
      </c>
      <c r="F11" s="189">
        <v>0</v>
      </c>
      <c r="G11" s="189">
        <v>0</v>
      </c>
      <c r="H11" s="189">
        <v>0</v>
      </c>
      <c r="I11" s="189">
        <v>0</v>
      </c>
      <c r="J11" s="189">
        <v>0</v>
      </c>
      <c r="K11" s="189">
        <v>0</v>
      </c>
      <c r="L11" s="189">
        <v>0</v>
      </c>
      <c r="M11" s="189">
        <v>0</v>
      </c>
      <c r="N11" s="189">
        <v>0</v>
      </c>
      <c r="O11" s="189">
        <v>0</v>
      </c>
      <c r="P11" s="189">
        <v>0</v>
      </c>
      <c r="Q11" s="189">
        <v>0</v>
      </c>
      <c r="R11" s="189">
        <v>0</v>
      </c>
      <c r="S11" s="189">
        <v>0</v>
      </c>
      <c r="T11" s="189">
        <v>0</v>
      </c>
      <c r="U11" s="189">
        <v>0</v>
      </c>
      <c r="V11" s="189">
        <v>0</v>
      </c>
      <c r="W11" s="189">
        <v>0</v>
      </c>
      <c r="X11" s="189">
        <v>0</v>
      </c>
      <c r="Y11" s="189">
        <v>0</v>
      </c>
      <c r="Z11" s="189"/>
      <c r="AA11" s="189"/>
      <c r="AB11" s="189"/>
      <c r="AC11" s="190"/>
      <c r="AD11" s="190"/>
      <c r="AE11" s="190"/>
      <c r="AF11" s="190"/>
      <c r="AG11" s="190"/>
      <c r="AH11" s="190"/>
      <c r="AI11" s="190"/>
      <c r="AJ11" s="191"/>
      <c r="AK11" s="191"/>
      <c r="AL11" s="191"/>
      <c r="AN11" s="191"/>
      <c r="AO11" s="191"/>
      <c r="AP11" s="191"/>
      <c r="AQ11" s="191"/>
      <c r="AR11" s="191"/>
      <c r="AS11" s="192"/>
      <c r="AT11" s="192"/>
      <c r="AU11" s="192"/>
      <c r="AV11" s="192"/>
    </row>
    <row r="12" spans="1:48">
      <c r="A12" s="173" t="s">
        <v>695</v>
      </c>
      <c r="B12" s="174"/>
      <c r="C12" s="189">
        <v>0</v>
      </c>
      <c r="D12" s="189">
        <v>0</v>
      </c>
      <c r="E12" s="189">
        <v>0</v>
      </c>
      <c r="F12" s="189">
        <v>0</v>
      </c>
      <c r="G12" s="189">
        <v>0</v>
      </c>
      <c r="H12" s="189">
        <v>0</v>
      </c>
      <c r="I12" s="189">
        <v>0</v>
      </c>
      <c r="J12" s="189">
        <v>0</v>
      </c>
      <c r="K12" s="189">
        <v>0</v>
      </c>
      <c r="L12" s="189">
        <v>0</v>
      </c>
      <c r="M12" s="189">
        <v>0</v>
      </c>
      <c r="N12" s="189">
        <v>0</v>
      </c>
      <c r="O12" s="189">
        <v>0</v>
      </c>
      <c r="P12" s="189">
        <v>0</v>
      </c>
      <c r="Q12" s="189">
        <v>0</v>
      </c>
      <c r="R12" s="189">
        <v>0</v>
      </c>
      <c r="S12" s="189">
        <v>0</v>
      </c>
      <c r="T12" s="189">
        <v>0</v>
      </c>
      <c r="U12" s="189">
        <v>0</v>
      </c>
      <c r="V12" s="189">
        <v>0</v>
      </c>
      <c r="W12" s="189">
        <v>0</v>
      </c>
      <c r="X12" s="189">
        <v>0</v>
      </c>
      <c r="Y12" s="189">
        <v>0</v>
      </c>
      <c r="Z12" s="189"/>
      <c r="AA12" s="189"/>
      <c r="AB12" s="189"/>
      <c r="AC12" s="190"/>
      <c r="AD12" s="190"/>
      <c r="AE12" s="190"/>
      <c r="AF12" s="190"/>
      <c r="AG12" s="190"/>
      <c r="AH12" s="190"/>
      <c r="AI12" s="190"/>
      <c r="AJ12" s="191"/>
      <c r="AK12" s="191"/>
      <c r="AL12" s="191"/>
      <c r="AN12" s="191"/>
      <c r="AO12" s="191"/>
      <c r="AP12" s="191"/>
      <c r="AQ12" s="191"/>
      <c r="AR12" s="191"/>
      <c r="AS12" s="192"/>
      <c r="AT12" s="192"/>
      <c r="AU12" s="192"/>
      <c r="AV12" s="192"/>
    </row>
    <row r="13" spans="1:48">
      <c r="A13" s="173" t="s">
        <v>781</v>
      </c>
      <c r="B13" s="174"/>
      <c r="C13" s="189"/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90"/>
      <c r="AD13" s="190"/>
      <c r="AE13" s="190"/>
      <c r="AF13" s="190"/>
      <c r="AG13" s="190"/>
      <c r="AH13" s="190"/>
      <c r="AI13" s="190"/>
      <c r="AJ13" s="191"/>
      <c r="AK13" s="191"/>
      <c r="AL13" s="191"/>
      <c r="AN13" s="191"/>
      <c r="AO13" s="191"/>
      <c r="AP13" s="191"/>
      <c r="AQ13" s="191"/>
      <c r="AR13" s="191"/>
      <c r="AS13" s="192"/>
      <c r="AT13" s="192"/>
      <c r="AU13" s="192"/>
      <c r="AV13" s="192"/>
    </row>
    <row r="14" spans="1:48">
      <c r="A14" s="173" t="s">
        <v>701</v>
      </c>
      <c r="B14" s="174"/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90"/>
      <c r="AD14" s="190"/>
      <c r="AE14" s="190"/>
      <c r="AF14" s="190"/>
      <c r="AG14" s="190"/>
      <c r="AH14" s="190"/>
      <c r="AI14" s="190"/>
      <c r="AJ14" s="191"/>
      <c r="AK14" s="191"/>
      <c r="AL14" s="191"/>
      <c r="AN14" s="191"/>
      <c r="AO14" s="191"/>
      <c r="AP14" s="191"/>
      <c r="AQ14" s="191"/>
      <c r="AR14" s="191"/>
      <c r="AS14" s="192"/>
      <c r="AT14" s="192"/>
      <c r="AU14" s="192"/>
      <c r="AV14" s="192"/>
    </row>
    <row r="15" spans="1:48">
      <c r="A15" s="173" t="s">
        <v>698</v>
      </c>
      <c r="B15" s="174"/>
      <c r="C15" s="189">
        <v>0</v>
      </c>
      <c r="D15" s="189">
        <v>0</v>
      </c>
      <c r="E15" s="189">
        <v>0</v>
      </c>
      <c r="F15" s="189">
        <v>0</v>
      </c>
      <c r="G15" s="189">
        <v>0</v>
      </c>
      <c r="H15" s="189">
        <v>0</v>
      </c>
      <c r="I15" s="189">
        <v>0</v>
      </c>
      <c r="J15" s="189">
        <v>0</v>
      </c>
      <c r="K15" s="189">
        <v>0</v>
      </c>
      <c r="L15" s="189">
        <v>0</v>
      </c>
      <c r="M15" s="189">
        <v>0</v>
      </c>
      <c r="N15" s="189">
        <v>0</v>
      </c>
      <c r="O15" s="189">
        <v>0</v>
      </c>
      <c r="P15" s="189">
        <v>0</v>
      </c>
      <c r="Q15" s="189">
        <v>0</v>
      </c>
      <c r="R15" s="189">
        <v>0</v>
      </c>
      <c r="S15" s="189">
        <v>0</v>
      </c>
      <c r="T15" s="189">
        <v>0</v>
      </c>
      <c r="U15" s="189">
        <v>0</v>
      </c>
      <c r="V15" s="189">
        <v>0</v>
      </c>
      <c r="W15" s="189">
        <v>0</v>
      </c>
      <c r="X15" s="189">
        <v>0</v>
      </c>
      <c r="Y15" s="189">
        <v>0</v>
      </c>
      <c r="Z15" s="189"/>
      <c r="AA15" s="189"/>
      <c r="AB15" s="189"/>
      <c r="AC15" s="190"/>
      <c r="AD15" s="190"/>
      <c r="AE15" s="190"/>
      <c r="AF15" s="190"/>
      <c r="AG15" s="190"/>
      <c r="AH15" s="190"/>
      <c r="AI15" s="190"/>
      <c r="AJ15" s="191"/>
      <c r="AK15" s="191"/>
      <c r="AL15" s="191"/>
      <c r="AN15" s="191"/>
      <c r="AO15" s="191"/>
      <c r="AP15" s="191"/>
      <c r="AQ15" s="191"/>
      <c r="AR15" s="191"/>
      <c r="AS15" s="192"/>
      <c r="AT15" s="192"/>
      <c r="AU15" s="192"/>
      <c r="AV15" s="192"/>
    </row>
    <row r="16" spans="1:48">
      <c r="A16" s="173" t="s">
        <v>744</v>
      </c>
      <c r="B16" s="174"/>
      <c r="C16" s="193">
        <v>0</v>
      </c>
      <c r="D16" s="193">
        <v>0</v>
      </c>
      <c r="E16" s="193">
        <v>0</v>
      </c>
      <c r="F16" s="193">
        <v>0</v>
      </c>
      <c r="G16" s="193">
        <v>0</v>
      </c>
      <c r="H16" s="193">
        <v>0</v>
      </c>
      <c r="I16" s="193">
        <v>0</v>
      </c>
      <c r="J16" s="193">
        <v>0</v>
      </c>
      <c r="K16" s="193">
        <v>0</v>
      </c>
      <c r="L16" s="193">
        <v>0</v>
      </c>
      <c r="M16" s="193">
        <v>0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3">
        <v>0</v>
      </c>
      <c r="Y16" s="193">
        <v>0</v>
      </c>
      <c r="Z16" s="193"/>
      <c r="AA16" s="193"/>
      <c r="AB16" s="193"/>
      <c r="AC16" s="194"/>
      <c r="AD16" s="194"/>
      <c r="AE16" s="194"/>
      <c r="AF16" s="194"/>
      <c r="AG16" s="194"/>
      <c r="AH16" s="194"/>
      <c r="AI16" s="194"/>
      <c r="AJ16" s="195"/>
      <c r="AK16" s="195"/>
      <c r="AL16" s="195"/>
      <c r="AN16" s="195"/>
      <c r="AO16" s="195"/>
      <c r="AP16" s="195"/>
      <c r="AQ16" s="195"/>
      <c r="AR16" s="195"/>
      <c r="AS16" s="196"/>
      <c r="AT16" s="196"/>
      <c r="AU16" s="196"/>
      <c r="AV16" s="196"/>
    </row>
    <row r="17" spans="1:48">
      <c r="A17" s="173" t="s">
        <v>699</v>
      </c>
      <c r="B17" s="174"/>
      <c r="C17" s="189">
        <v>0</v>
      </c>
      <c r="D17" s="189">
        <v>0</v>
      </c>
      <c r="E17" s="189">
        <v>0</v>
      </c>
      <c r="F17" s="189">
        <v>0</v>
      </c>
      <c r="G17" s="189">
        <v>405</v>
      </c>
      <c r="H17" s="189">
        <v>408</v>
      </c>
      <c r="I17" s="189">
        <v>417</v>
      </c>
      <c r="J17" s="189">
        <v>139</v>
      </c>
      <c r="K17" s="189">
        <v>139</v>
      </c>
      <c r="L17" s="189">
        <v>2204</v>
      </c>
      <c r="M17" s="189">
        <v>4191</v>
      </c>
      <c r="N17" s="189">
        <v>4203</v>
      </c>
      <c r="O17" s="189">
        <v>4392</v>
      </c>
      <c r="P17" s="189">
        <v>4394</v>
      </c>
      <c r="Q17" s="189">
        <v>4436</v>
      </c>
      <c r="R17" s="189">
        <v>4236</v>
      </c>
      <c r="S17" s="189">
        <v>4236</v>
      </c>
      <c r="T17" s="189">
        <v>4238</v>
      </c>
      <c r="U17" s="189">
        <v>4238</v>
      </c>
      <c r="V17" s="189">
        <v>4240</v>
      </c>
      <c r="W17" s="189">
        <v>4240</v>
      </c>
      <c r="X17" s="189">
        <v>4240</v>
      </c>
      <c r="Y17" s="189">
        <v>4240</v>
      </c>
      <c r="Z17" s="189">
        <v>1921</v>
      </c>
      <c r="AA17" s="189">
        <v>1921</v>
      </c>
      <c r="AB17" s="189">
        <v>1921</v>
      </c>
      <c r="AC17" s="190"/>
      <c r="AD17" s="190"/>
      <c r="AE17" s="190"/>
      <c r="AF17" s="190"/>
      <c r="AG17" s="190"/>
      <c r="AH17" s="190">
        <v>56</v>
      </c>
      <c r="AI17" s="190">
        <v>111</v>
      </c>
      <c r="AJ17" s="191">
        <v>148</v>
      </c>
      <c r="AK17" s="191"/>
      <c r="AL17" s="191">
        <v>283</v>
      </c>
      <c r="AM17" s="191">
        <v>449</v>
      </c>
      <c r="AN17" s="191">
        <v>528</v>
      </c>
      <c r="AO17" s="191">
        <v>687</v>
      </c>
      <c r="AP17" s="191">
        <v>695</v>
      </c>
      <c r="AQ17" s="191">
        <v>695</v>
      </c>
      <c r="AR17" s="191">
        <v>1190</v>
      </c>
      <c r="AS17" s="192">
        <v>1750</v>
      </c>
      <c r="AT17" s="192">
        <v>1705</v>
      </c>
      <c r="AU17" s="192">
        <v>1669</v>
      </c>
      <c r="AV17" s="192">
        <v>2651</v>
      </c>
    </row>
    <row r="18" spans="1:48">
      <c r="A18" s="173" t="s">
        <v>759</v>
      </c>
      <c r="B18" s="174"/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>
        <v>3636</v>
      </c>
      <c r="AD18" s="190"/>
      <c r="AE18" s="190"/>
      <c r="AF18" s="190"/>
      <c r="AG18" s="190"/>
      <c r="AH18" s="190"/>
      <c r="AI18" s="190"/>
      <c r="AJ18" s="191"/>
      <c r="AK18" s="191"/>
      <c r="AL18" s="191"/>
      <c r="AN18" s="191"/>
      <c r="AO18" s="191"/>
      <c r="AP18" s="191"/>
      <c r="AQ18" s="191"/>
      <c r="AR18" s="191"/>
      <c r="AS18" s="192"/>
      <c r="AT18" s="192"/>
      <c r="AU18" s="192"/>
      <c r="AV18" s="192"/>
    </row>
    <row r="19" spans="1:48">
      <c r="A19" s="173" t="s">
        <v>789</v>
      </c>
      <c r="B19" s="174"/>
      <c r="C19" s="189">
        <v>0</v>
      </c>
      <c r="D19" s="189">
        <v>0</v>
      </c>
      <c r="E19" s="189">
        <v>0</v>
      </c>
      <c r="F19" s="189">
        <v>0</v>
      </c>
      <c r="G19" s="189">
        <v>0</v>
      </c>
      <c r="H19" s="189">
        <v>0</v>
      </c>
      <c r="I19" s="189"/>
      <c r="J19" s="189">
        <v>0</v>
      </c>
      <c r="K19" s="189">
        <v>0</v>
      </c>
      <c r="L19" s="189">
        <v>0</v>
      </c>
      <c r="M19" s="189">
        <v>0</v>
      </c>
      <c r="N19" s="189">
        <v>0</v>
      </c>
      <c r="O19" s="189">
        <v>0</v>
      </c>
      <c r="P19" s="189">
        <v>0</v>
      </c>
      <c r="Q19" s="189">
        <v>0</v>
      </c>
      <c r="R19" s="189">
        <v>0</v>
      </c>
      <c r="S19" s="189">
        <v>0</v>
      </c>
      <c r="T19" s="189">
        <v>0</v>
      </c>
      <c r="U19" s="189">
        <v>0</v>
      </c>
      <c r="V19" s="189">
        <v>0</v>
      </c>
      <c r="W19" s="189">
        <v>0</v>
      </c>
      <c r="X19" s="189">
        <v>0</v>
      </c>
      <c r="Y19" s="189">
        <v>0</v>
      </c>
      <c r="Z19" s="189"/>
      <c r="AA19" s="189"/>
      <c r="AB19" s="189"/>
      <c r="AC19" s="190"/>
      <c r="AD19" s="190"/>
      <c r="AE19" s="190"/>
      <c r="AF19" s="190"/>
      <c r="AG19" s="190"/>
      <c r="AH19" s="190"/>
      <c r="AI19" s="190"/>
      <c r="AJ19" s="191"/>
      <c r="AK19" s="191"/>
      <c r="AL19" s="191"/>
      <c r="AN19" s="191"/>
      <c r="AO19" s="191"/>
      <c r="AP19" s="191"/>
      <c r="AQ19" s="191"/>
      <c r="AR19" s="191"/>
      <c r="AS19" s="192"/>
      <c r="AT19" s="192"/>
      <c r="AU19" s="192"/>
      <c r="AV19" s="192"/>
    </row>
    <row r="20" spans="1:48">
      <c r="A20" s="173" t="s">
        <v>871</v>
      </c>
      <c r="B20" s="174"/>
      <c r="C20" s="189">
        <v>51451</v>
      </c>
      <c r="D20" s="189">
        <v>51445</v>
      </c>
      <c r="E20" s="189">
        <v>50406</v>
      </c>
      <c r="F20" s="189">
        <v>26490</v>
      </c>
      <c r="G20" s="189">
        <v>26490</v>
      </c>
      <c r="H20" s="189">
        <v>26598</v>
      </c>
      <c r="I20" s="189">
        <v>26598</v>
      </c>
      <c r="J20" s="189">
        <v>45559</v>
      </c>
      <c r="K20" s="189">
        <v>45559</v>
      </c>
      <c r="L20" s="189">
        <v>45841</v>
      </c>
      <c r="M20" s="189">
        <v>45841</v>
      </c>
      <c r="N20" s="189">
        <v>68188</v>
      </c>
      <c r="O20" s="189">
        <v>68188</v>
      </c>
      <c r="P20" s="189">
        <v>135320</v>
      </c>
      <c r="Q20" s="189">
        <v>135320</v>
      </c>
      <c r="R20" s="189">
        <v>125469</v>
      </c>
      <c r="S20" s="189">
        <v>125469</v>
      </c>
      <c r="T20" s="189">
        <v>226317</v>
      </c>
      <c r="U20" s="189">
        <v>226317</v>
      </c>
      <c r="V20" s="189">
        <v>208269</v>
      </c>
      <c r="W20" s="189">
        <v>195042</v>
      </c>
      <c r="X20" s="189">
        <v>306588</v>
      </c>
      <c r="Y20" s="189">
        <v>306588</v>
      </c>
      <c r="Z20" s="189">
        <v>172157</v>
      </c>
      <c r="AA20" s="189">
        <v>200589</v>
      </c>
      <c r="AB20" s="189">
        <v>20739</v>
      </c>
      <c r="AC20" s="190">
        <v>11066</v>
      </c>
      <c r="AD20" s="190">
        <v>98381</v>
      </c>
      <c r="AE20" s="190">
        <v>96097</v>
      </c>
      <c r="AF20" s="190">
        <v>63745</v>
      </c>
      <c r="AG20" s="190">
        <v>51295</v>
      </c>
      <c r="AH20" s="190">
        <v>175277</v>
      </c>
      <c r="AI20" s="190">
        <v>167172</v>
      </c>
      <c r="AJ20" s="191">
        <v>298116</v>
      </c>
      <c r="AK20" s="191">
        <v>298116</v>
      </c>
      <c r="AL20" s="191">
        <v>767997</v>
      </c>
      <c r="AM20" s="191">
        <v>597989</v>
      </c>
      <c r="AN20" s="191">
        <v>312351</v>
      </c>
      <c r="AO20" s="191">
        <v>311700</v>
      </c>
      <c r="AP20" s="191">
        <v>382410</v>
      </c>
      <c r="AQ20" s="191">
        <v>379535</v>
      </c>
      <c r="AR20" s="191">
        <v>468732</v>
      </c>
      <c r="AS20" s="192">
        <v>475672</v>
      </c>
      <c r="AT20" s="192">
        <v>36019</v>
      </c>
      <c r="AU20" s="192">
        <v>144891</v>
      </c>
      <c r="AV20" s="192">
        <v>144891</v>
      </c>
    </row>
    <row r="21" spans="1:48">
      <c r="A21" s="173" t="s">
        <v>872</v>
      </c>
      <c r="B21" s="174"/>
      <c r="C21" s="189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90"/>
      <c r="AD21" s="190"/>
      <c r="AE21" s="190"/>
      <c r="AF21" s="190"/>
      <c r="AG21" s="190"/>
      <c r="AH21" s="190"/>
      <c r="AI21" s="190"/>
      <c r="AJ21" s="191"/>
      <c r="AK21" s="191"/>
      <c r="AL21" s="191"/>
      <c r="AM21" s="191"/>
      <c r="AN21" s="191"/>
      <c r="AO21" s="191"/>
      <c r="AP21" s="191">
        <v>312647</v>
      </c>
      <c r="AQ21" s="191">
        <v>312647</v>
      </c>
      <c r="AR21" s="191">
        <v>0</v>
      </c>
      <c r="AS21" s="192">
        <v>0</v>
      </c>
      <c r="AT21" s="192"/>
      <c r="AU21" s="192"/>
      <c r="AV21" s="192"/>
    </row>
    <row r="22" spans="1:48">
      <c r="A22" s="173" t="s">
        <v>703</v>
      </c>
      <c r="B22" s="174"/>
      <c r="C22" s="189">
        <v>0</v>
      </c>
      <c r="D22" s="189">
        <v>0</v>
      </c>
      <c r="E22" s="189">
        <v>0</v>
      </c>
      <c r="F22" s="189">
        <v>0</v>
      </c>
      <c r="G22" s="189">
        <v>0</v>
      </c>
      <c r="H22" s="189">
        <v>13984</v>
      </c>
      <c r="I22" s="189">
        <v>0</v>
      </c>
      <c r="J22" s="189">
        <v>0</v>
      </c>
      <c r="K22" s="189">
        <v>0</v>
      </c>
      <c r="L22" s="189">
        <v>0</v>
      </c>
      <c r="M22" s="189">
        <v>0</v>
      </c>
      <c r="N22" s="189">
        <v>0</v>
      </c>
      <c r="O22" s="189">
        <v>0</v>
      </c>
      <c r="P22" s="189">
        <v>0</v>
      </c>
      <c r="Q22" s="189">
        <v>0</v>
      </c>
      <c r="R22" s="189">
        <v>0</v>
      </c>
      <c r="S22" s="189">
        <v>641</v>
      </c>
      <c r="T22" s="189">
        <v>641</v>
      </c>
      <c r="U22" s="189">
        <v>641</v>
      </c>
      <c r="V22" s="189">
        <v>641</v>
      </c>
      <c r="W22" s="189">
        <v>643</v>
      </c>
      <c r="X22" s="189">
        <v>644</v>
      </c>
      <c r="Y22" s="189">
        <v>644</v>
      </c>
      <c r="Z22" s="189">
        <v>644</v>
      </c>
      <c r="AA22" s="189">
        <v>859</v>
      </c>
      <c r="AB22" s="189">
        <v>859</v>
      </c>
      <c r="AC22" s="190">
        <v>860</v>
      </c>
      <c r="AD22" s="190">
        <v>862</v>
      </c>
      <c r="AE22" s="190">
        <v>7</v>
      </c>
      <c r="AF22" s="190">
        <v>34</v>
      </c>
      <c r="AG22" s="190">
        <v>34</v>
      </c>
      <c r="AH22" s="190">
        <v>34</v>
      </c>
      <c r="AI22" s="190">
        <v>34</v>
      </c>
      <c r="AJ22" s="191">
        <v>34</v>
      </c>
      <c r="AK22" s="191">
        <v>34</v>
      </c>
      <c r="AL22" s="191">
        <v>35</v>
      </c>
      <c r="AM22" s="191">
        <v>33</v>
      </c>
      <c r="AN22" s="191">
        <v>31</v>
      </c>
      <c r="AO22" s="191">
        <v>34</v>
      </c>
      <c r="AP22" s="191">
        <v>35</v>
      </c>
      <c r="AQ22" s="191">
        <v>35</v>
      </c>
      <c r="AR22" s="191">
        <v>36</v>
      </c>
      <c r="AS22" s="192">
        <v>36</v>
      </c>
      <c r="AT22" s="192">
        <v>8</v>
      </c>
      <c r="AU22" s="192">
        <v>73</v>
      </c>
      <c r="AV22" s="192">
        <v>73</v>
      </c>
    </row>
    <row r="23" spans="1:48">
      <c r="A23" s="173" t="s">
        <v>704</v>
      </c>
      <c r="B23" s="174"/>
      <c r="C23" s="189">
        <v>3749</v>
      </c>
      <c r="D23" s="189">
        <v>6713</v>
      </c>
      <c r="E23" s="189">
        <v>6881</v>
      </c>
      <c r="F23" s="189">
        <v>17988</v>
      </c>
      <c r="G23" s="189">
        <v>6839</v>
      </c>
      <c r="H23" s="189">
        <v>0</v>
      </c>
      <c r="I23" s="189">
        <v>17674</v>
      </c>
      <c r="J23" s="189">
        <v>22147</v>
      </c>
      <c r="K23" s="189">
        <v>21429</v>
      </c>
      <c r="L23" s="189">
        <v>24613</v>
      </c>
      <c r="M23" s="189">
        <v>26052</v>
      </c>
      <c r="N23" s="189">
        <v>31215</v>
      </c>
      <c r="O23" s="189">
        <v>24862</v>
      </c>
      <c r="P23" s="189">
        <v>26035</v>
      </c>
      <c r="Q23" s="189">
        <v>17209</v>
      </c>
      <c r="R23" s="189">
        <v>21959</v>
      </c>
      <c r="S23" s="189">
        <v>25098</v>
      </c>
      <c r="T23" s="189">
        <v>23845</v>
      </c>
      <c r="U23" s="189">
        <v>18588</v>
      </c>
      <c r="V23" s="189">
        <v>29965</v>
      </c>
      <c r="W23" s="189">
        <v>30545</v>
      </c>
      <c r="X23" s="189">
        <v>32745</v>
      </c>
      <c r="Y23" s="189">
        <v>34494</v>
      </c>
      <c r="Z23" s="189">
        <v>37514</v>
      </c>
      <c r="AA23" s="189">
        <v>38623</v>
      </c>
      <c r="AB23" s="189">
        <v>39383</v>
      </c>
      <c r="AC23" s="190">
        <v>40586</v>
      </c>
      <c r="AD23" s="190">
        <v>1428</v>
      </c>
      <c r="AE23" s="190">
        <v>5141</v>
      </c>
      <c r="AF23" s="190">
        <v>5823</v>
      </c>
      <c r="AG23" s="190">
        <v>5743</v>
      </c>
      <c r="AH23" s="190">
        <v>6264</v>
      </c>
      <c r="AI23" s="190">
        <v>11619</v>
      </c>
      <c r="AJ23" s="191">
        <v>11680</v>
      </c>
      <c r="AK23" s="191">
        <v>15390</v>
      </c>
      <c r="AL23" s="191">
        <v>18776</v>
      </c>
      <c r="AM23" s="191">
        <v>32187</v>
      </c>
      <c r="AN23" s="191">
        <v>37358</v>
      </c>
      <c r="AO23" s="191">
        <v>45455</v>
      </c>
      <c r="AP23" s="191">
        <v>53313</v>
      </c>
      <c r="AQ23" s="191">
        <v>53313</v>
      </c>
      <c r="AR23" s="191">
        <v>68835</v>
      </c>
      <c r="AS23" s="192">
        <v>53443</v>
      </c>
      <c r="AT23" s="192">
        <v>63355</v>
      </c>
      <c r="AU23" s="192">
        <v>72971</v>
      </c>
      <c r="AV23" s="192">
        <v>77060</v>
      </c>
    </row>
    <row r="24" spans="1:48">
      <c r="A24" s="173" t="s">
        <v>805</v>
      </c>
      <c r="B24" s="174"/>
      <c r="C24" s="189">
        <v>5835</v>
      </c>
      <c r="D24" s="189">
        <v>301</v>
      </c>
      <c r="E24" s="189">
        <v>1306</v>
      </c>
      <c r="F24" s="189">
        <v>1325</v>
      </c>
      <c r="G24" s="189">
        <v>1304</v>
      </c>
      <c r="H24" s="189">
        <v>1287</v>
      </c>
      <c r="I24" s="189">
        <v>1308</v>
      </c>
      <c r="J24" s="189">
        <v>1282</v>
      </c>
      <c r="K24" s="189">
        <v>1259</v>
      </c>
      <c r="L24" s="189">
        <v>24108</v>
      </c>
      <c r="M24" s="189">
        <v>1091</v>
      </c>
      <c r="N24" s="189">
        <v>1228</v>
      </c>
      <c r="O24" s="189">
        <v>1240</v>
      </c>
      <c r="P24" s="189">
        <v>1275</v>
      </c>
      <c r="Q24" s="189">
        <v>1342</v>
      </c>
      <c r="R24" s="189">
        <v>2665</v>
      </c>
      <c r="S24" s="189">
        <v>28036</v>
      </c>
      <c r="T24" s="189">
        <v>9866</v>
      </c>
      <c r="U24" s="189">
        <v>12698</v>
      </c>
      <c r="V24" s="189">
        <v>9844</v>
      </c>
      <c r="W24" s="189">
        <v>10804</v>
      </c>
      <c r="X24" s="189">
        <v>4926</v>
      </c>
      <c r="Y24" s="189">
        <v>5445</v>
      </c>
      <c r="Z24" s="189">
        <v>6107</v>
      </c>
      <c r="AA24" s="189">
        <v>5937</v>
      </c>
      <c r="AB24" s="189">
        <f>3045+3478</f>
        <v>6523</v>
      </c>
      <c r="AC24" s="190">
        <v>634</v>
      </c>
      <c r="AD24" s="190">
        <v>4574</v>
      </c>
      <c r="AE24" s="190">
        <v>5599</v>
      </c>
      <c r="AF24" s="190">
        <v>5703</v>
      </c>
      <c r="AG24" s="190">
        <v>6633</v>
      </c>
      <c r="AH24" s="190">
        <v>6071</v>
      </c>
      <c r="AI24" s="190">
        <v>6731</v>
      </c>
      <c r="AJ24" s="191">
        <v>6677</v>
      </c>
      <c r="AK24" s="191">
        <v>15286</v>
      </c>
      <c r="AL24" s="191">
        <v>12129</v>
      </c>
      <c r="AM24" s="191">
        <v>11814</v>
      </c>
      <c r="AN24" s="191">
        <v>12562</v>
      </c>
      <c r="AO24" s="191">
        <v>29501</v>
      </c>
      <c r="AP24" s="191">
        <v>39455</v>
      </c>
      <c r="AQ24" s="191">
        <v>39455</v>
      </c>
      <c r="AR24" s="191">
        <v>188259</v>
      </c>
      <c r="AS24" s="192">
        <v>140200</v>
      </c>
      <c r="AT24" s="192">
        <v>85482</v>
      </c>
      <c r="AU24" s="192">
        <v>155424</v>
      </c>
      <c r="AV24" s="192">
        <v>221814</v>
      </c>
    </row>
    <row r="25" spans="1:48">
      <c r="A25" s="173" t="s">
        <v>840</v>
      </c>
      <c r="B25" s="174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90"/>
      <c r="AD25" s="190"/>
      <c r="AE25" s="190"/>
      <c r="AF25" s="190"/>
      <c r="AG25" s="190"/>
      <c r="AH25" s="190"/>
      <c r="AI25" s="190"/>
      <c r="AJ25" s="191"/>
      <c r="AK25" s="191"/>
      <c r="AL25" s="191"/>
      <c r="AM25" s="191"/>
      <c r="AN25" s="191"/>
      <c r="AO25" s="191"/>
      <c r="AP25" s="191">
        <v>17485</v>
      </c>
      <c r="AQ25" s="191">
        <v>17485</v>
      </c>
      <c r="AR25" s="191">
        <v>18685</v>
      </c>
      <c r="AS25" s="192">
        <v>0</v>
      </c>
      <c r="AT25" s="192"/>
      <c r="AU25" s="192"/>
      <c r="AV25" s="192"/>
    </row>
    <row r="26" spans="1:48">
      <c r="A26" s="173" t="s">
        <v>836</v>
      </c>
      <c r="B26" s="174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90"/>
      <c r="AD26" s="190"/>
      <c r="AE26" s="190"/>
      <c r="AF26" s="190"/>
      <c r="AG26" s="190"/>
      <c r="AH26" s="190"/>
      <c r="AI26" s="190"/>
      <c r="AJ26" s="191"/>
      <c r="AK26" s="191"/>
      <c r="AL26" s="191"/>
      <c r="AN26" s="191"/>
      <c r="AO26" s="191"/>
      <c r="AP26" s="191"/>
      <c r="AQ26" s="191"/>
      <c r="AR26" s="191"/>
      <c r="AS26" s="192"/>
      <c r="AT26" s="192"/>
      <c r="AU26" s="192"/>
      <c r="AV26" s="192"/>
    </row>
    <row r="27" spans="1:48" ht="15" thickBot="1">
      <c r="A27" s="176" t="s">
        <v>843</v>
      </c>
      <c r="B27" s="174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90"/>
      <c r="AD27" s="190"/>
      <c r="AE27" s="190"/>
      <c r="AF27" s="190"/>
      <c r="AG27" s="190"/>
      <c r="AH27" s="190"/>
      <c r="AI27" s="190"/>
      <c r="AJ27" s="191"/>
      <c r="AK27" s="191"/>
      <c r="AL27" s="191"/>
      <c r="AN27" s="191"/>
      <c r="AO27" s="191"/>
      <c r="AP27" s="191"/>
      <c r="AQ27" s="191"/>
      <c r="AR27" s="191"/>
      <c r="AS27" s="192"/>
      <c r="AT27" s="192">
        <v>344385</v>
      </c>
      <c r="AU27" s="192"/>
      <c r="AV27" s="192"/>
    </row>
    <row r="28" spans="1:48" ht="15" thickBot="1">
      <c r="A28" s="177" t="s">
        <v>706</v>
      </c>
      <c r="B28" s="170"/>
      <c r="C28" s="178">
        <f>SUM(C29,C43)</f>
        <v>1635487</v>
      </c>
      <c r="D28" s="178">
        <f t="shared" ref="D28:AD28" si="1">SUM(D29,D43)</f>
        <v>1537777</v>
      </c>
      <c r="E28" s="178">
        <f t="shared" si="1"/>
        <v>1793384</v>
      </c>
      <c r="F28" s="178">
        <f t="shared" si="1"/>
        <v>1719218</v>
      </c>
      <c r="G28" s="178">
        <f t="shared" si="1"/>
        <v>1975721</v>
      </c>
      <c r="H28" s="178">
        <f t="shared" si="1"/>
        <v>1896600</v>
      </c>
      <c r="I28" s="178">
        <f t="shared" si="1"/>
        <v>2179604</v>
      </c>
      <c r="J28" s="178">
        <f t="shared" si="1"/>
        <v>2640496</v>
      </c>
      <c r="K28" s="178">
        <f t="shared" si="1"/>
        <v>2734757</v>
      </c>
      <c r="L28" s="178">
        <f t="shared" si="1"/>
        <v>3206798</v>
      </c>
      <c r="M28" s="178">
        <f t="shared" si="1"/>
        <v>3282064</v>
      </c>
      <c r="N28" s="178">
        <f t="shared" si="1"/>
        <v>3349230</v>
      </c>
      <c r="O28" s="178">
        <f t="shared" si="1"/>
        <v>3492701</v>
      </c>
      <c r="P28" s="178">
        <f t="shared" si="1"/>
        <v>3600265</v>
      </c>
      <c r="Q28" s="178">
        <f t="shared" si="1"/>
        <v>3758349</v>
      </c>
      <c r="R28" s="178">
        <f t="shared" si="1"/>
        <v>3560735</v>
      </c>
      <c r="S28" s="178">
        <f t="shared" si="1"/>
        <v>3600222</v>
      </c>
      <c r="T28" s="178">
        <f t="shared" si="1"/>
        <v>3649387</v>
      </c>
      <c r="U28" s="178">
        <f t="shared" si="1"/>
        <v>3992931</v>
      </c>
      <c r="V28" s="178">
        <f t="shared" si="1"/>
        <v>4685528</v>
      </c>
      <c r="W28" s="178">
        <f t="shared" si="1"/>
        <v>4939539</v>
      </c>
      <c r="X28" s="178">
        <f t="shared" si="1"/>
        <v>5026756</v>
      </c>
      <c r="Y28" s="178">
        <f t="shared" si="1"/>
        <v>5359168</v>
      </c>
      <c r="Z28" s="178">
        <f t="shared" si="1"/>
        <v>6997813</v>
      </c>
      <c r="AA28" s="178">
        <f t="shared" si="1"/>
        <v>7598602</v>
      </c>
      <c r="AB28" s="178">
        <f t="shared" si="1"/>
        <v>7941671</v>
      </c>
      <c r="AC28" s="197">
        <v>8337221</v>
      </c>
      <c r="AD28" s="178">
        <f t="shared" si="1"/>
        <v>8732084</v>
      </c>
      <c r="AE28" s="178">
        <v>9239250</v>
      </c>
      <c r="AF28" s="178">
        <v>9546055</v>
      </c>
      <c r="AG28" s="178">
        <f t="shared" ref="AG28:AR28" si="2">SUM(AG29,AG43)</f>
        <v>10464111</v>
      </c>
      <c r="AH28" s="178">
        <f t="shared" si="2"/>
        <v>10670500</v>
      </c>
      <c r="AI28" s="178">
        <f t="shared" si="2"/>
        <v>11004124</v>
      </c>
      <c r="AJ28" s="178">
        <f t="shared" si="2"/>
        <v>10463314</v>
      </c>
      <c r="AK28" s="178">
        <f t="shared" si="2"/>
        <v>11899197.22497</v>
      </c>
      <c r="AL28" s="178">
        <f t="shared" si="2"/>
        <v>12427768.978800001</v>
      </c>
      <c r="AM28" s="178">
        <f t="shared" si="2"/>
        <v>20314034</v>
      </c>
      <c r="AN28" s="178">
        <f t="shared" si="2"/>
        <v>20202909</v>
      </c>
      <c r="AO28" s="178">
        <f t="shared" si="2"/>
        <v>20883012</v>
      </c>
      <c r="AP28" s="178">
        <f t="shared" si="2"/>
        <v>21092976</v>
      </c>
      <c r="AQ28" s="178">
        <f t="shared" si="2"/>
        <v>21095851</v>
      </c>
      <c r="AR28" s="178">
        <f t="shared" si="2"/>
        <v>20620395</v>
      </c>
      <c r="AS28" s="178">
        <f>SUM(AS29,AS43)</f>
        <v>22025136</v>
      </c>
      <c r="AT28" s="178">
        <f>SUM(AT29,AT43)</f>
        <v>22143831</v>
      </c>
      <c r="AU28" s="178">
        <f>SUM(AU29,AU43)</f>
        <v>22338720</v>
      </c>
      <c r="AV28" s="178">
        <f>SUM(AV29,AV43)</f>
        <v>22980670</v>
      </c>
    </row>
    <row r="29" spans="1:48" ht="15" thickBot="1">
      <c r="A29" s="177" t="s">
        <v>748</v>
      </c>
      <c r="B29" s="170"/>
      <c r="C29" s="178">
        <f t="shared" ref="C29:AG29" si="3">SUM(C30:C42)</f>
        <v>304433</v>
      </c>
      <c r="D29" s="178">
        <f t="shared" si="3"/>
        <v>411573</v>
      </c>
      <c r="E29" s="178">
        <f t="shared" si="3"/>
        <v>465679</v>
      </c>
      <c r="F29" s="178">
        <f t="shared" si="3"/>
        <v>466147</v>
      </c>
      <c r="G29" s="178">
        <f t="shared" si="3"/>
        <v>720403</v>
      </c>
      <c r="H29" s="178">
        <f t="shared" si="3"/>
        <v>842223</v>
      </c>
      <c r="I29" s="178">
        <f t="shared" si="3"/>
        <v>852948</v>
      </c>
      <c r="J29" s="178">
        <f t="shared" si="3"/>
        <v>871269</v>
      </c>
      <c r="K29" s="178">
        <f t="shared" si="3"/>
        <v>882025</v>
      </c>
      <c r="L29" s="178">
        <f t="shared" si="3"/>
        <v>289423</v>
      </c>
      <c r="M29" s="178">
        <f t="shared" si="3"/>
        <v>296425</v>
      </c>
      <c r="N29" s="178">
        <f t="shared" si="3"/>
        <v>302865</v>
      </c>
      <c r="O29" s="178">
        <f t="shared" si="3"/>
        <v>308594</v>
      </c>
      <c r="P29" s="178">
        <f t="shared" si="3"/>
        <v>315906</v>
      </c>
      <c r="Q29" s="178">
        <f t="shared" si="3"/>
        <v>297864</v>
      </c>
      <c r="R29" s="178">
        <f t="shared" si="3"/>
        <v>48219</v>
      </c>
      <c r="S29" s="178">
        <f t="shared" si="3"/>
        <v>41200</v>
      </c>
      <c r="T29" s="178">
        <f t="shared" si="3"/>
        <v>72573</v>
      </c>
      <c r="U29" s="178">
        <f t="shared" si="3"/>
        <v>34416</v>
      </c>
      <c r="V29" s="178">
        <f t="shared" si="3"/>
        <v>8670</v>
      </c>
      <c r="W29" s="178">
        <f t="shared" si="3"/>
        <v>8790</v>
      </c>
      <c r="X29" s="178">
        <f t="shared" si="3"/>
        <v>15657</v>
      </c>
      <c r="Y29" s="178">
        <f t="shared" si="3"/>
        <v>17048</v>
      </c>
      <c r="Z29" s="178">
        <f t="shared" si="3"/>
        <v>10173</v>
      </c>
      <c r="AA29" s="178">
        <f t="shared" si="3"/>
        <v>14621</v>
      </c>
      <c r="AB29" s="178">
        <f t="shared" si="3"/>
        <v>18752</v>
      </c>
      <c r="AC29" s="178">
        <f t="shared" si="3"/>
        <v>19244</v>
      </c>
      <c r="AD29" s="178">
        <f t="shared" si="3"/>
        <v>62851</v>
      </c>
      <c r="AE29" s="178">
        <f t="shared" si="3"/>
        <v>60974</v>
      </c>
      <c r="AF29" s="178">
        <f t="shared" si="3"/>
        <v>71779</v>
      </c>
      <c r="AG29" s="178">
        <f t="shared" si="3"/>
        <v>204419</v>
      </c>
      <c r="AH29" s="178">
        <f t="shared" ref="AH29:AR29" si="4">SUM(AH30:AH42)</f>
        <v>42357</v>
      </c>
      <c r="AI29" s="178">
        <f t="shared" si="4"/>
        <v>36430</v>
      </c>
      <c r="AJ29" s="178">
        <f t="shared" si="4"/>
        <v>36267</v>
      </c>
      <c r="AK29" s="178">
        <f t="shared" si="4"/>
        <v>151115</v>
      </c>
      <c r="AL29" s="178">
        <f t="shared" si="4"/>
        <v>566675</v>
      </c>
      <c r="AM29" s="178">
        <f t="shared" si="4"/>
        <v>612861</v>
      </c>
      <c r="AN29" s="178">
        <f t="shared" si="4"/>
        <v>655182</v>
      </c>
      <c r="AO29" s="178">
        <f t="shared" si="4"/>
        <v>676952</v>
      </c>
      <c r="AP29" s="178">
        <f t="shared" si="4"/>
        <v>729995</v>
      </c>
      <c r="AQ29" s="178">
        <f t="shared" si="4"/>
        <v>729995</v>
      </c>
      <c r="AR29" s="178">
        <f t="shared" si="4"/>
        <v>367874</v>
      </c>
      <c r="AS29" s="178">
        <f>SUM(AS30:AS42)</f>
        <v>312930</v>
      </c>
      <c r="AT29" s="178">
        <f>SUM(AT30:AT42)</f>
        <v>353651</v>
      </c>
      <c r="AU29" s="178">
        <f>SUM(AU30:AU42)</f>
        <v>239878</v>
      </c>
      <c r="AV29" s="178">
        <f>SUM(AV30:AV42)</f>
        <v>313697</v>
      </c>
    </row>
    <row r="30" spans="1:48">
      <c r="A30" s="173" t="s">
        <v>873</v>
      </c>
      <c r="B30" s="174"/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90"/>
      <c r="AD30" s="190">
        <v>18129</v>
      </c>
      <c r="AE30" s="190">
        <v>18267</v>
      </c>
      <c r="AF30" s="190">
        <v>18364</v>
      </c>
      <c r="AG30" s="190"/>
      <c r="AH30" s="190"/>
      <c r="AI30" s="190"/>
      <c r="AJ30" s="191"/>
      <c r="AK30" s="191"/>
      <c r="AL30" s="191"/>
      <c r="AN30" s="191"/>
      <c r="AO30" s="191"/>
      <c r="AP30" s="191"/>
      <c r="AQ30" s="191"/>
      <c r="AR30" s="191"/>
      <c r="AS30" s="192"/>
      <c r="AT30" s="192"/>
      <c r="AU30" s="192"/>
      <c r="AV30" s="192"/>
    </row>
    <row r="31" spans="1:48">
      <c r="A31" s="173" t="s">
        <v>693</v>
      </c>
      <c r="B31" s="174"/>
      <c r="C31" s="189">
        <v>0</v>
      </c>
      <c r="D31" s="189">
        <v>0</v>
      </c>
      <c r="E31" s="189">
        <v>0</v>
      </c>
      <c r="F31" s="189">
        <v>0</v>
      </c>
      <c r="G31" s="189">
        <v>0</v>
      </c>
      <c r="H31" s="189">
        <v>0</v>
      </c>
      <c r="I31" s="189">
        <v>0</v>
      </c>
      <c r="J31" s="189">
        <v>0</v>
      </c>
      <c r="K31" s="189">
        <v>0</v>
      </c>
      <c r="L31" s="189">
        <v>0</v>
      </c>
      <c r="M31" s="189">
        <v>0</v>
      </c>
      <c r="N31" s="189">
        <v>0</v>
      </c>
      <c r="O31" s="189">
        <v>0</v>
      </c>
      <c r="P31" s="189">
        <v>0</v>
      </c>
      <c r="Q31" s="189">
        <v>0</v>
      </c>
      <c r="R31" s="189">
        <v>0</v>
      </c>
      <c r="S31" s="189">
        <v>0</v>
      </c>
      <c r="T31" s="189">
        <v>0</v>
      </c>
      <c r="U31" s="189">
        <v>0</v>
      </c>
      <c r="V31" s="189">
        <v>0</v>
      </c>
      <c r="W31" s="189">
        <v>0</v>
      </c>
      <c r="X31" s="189">
        <v>0</v>
      </c>
      <c r="Y31" s="189">
        <v>0</v>
      </c>
      <c r="Z31" s="189"/>
      <c r="AA31" s="189"/>
      <c r="AB31" s="189"/>
      <c r="AC31" s="190"/>
      <c r="AD31" s="190"/>
      <c r="AE31" s="190"/>
      <c r="AF31" s="190"/>
      <c r="AG31" s="190"/>
      <c r="AH31" s="190"/>
      <c r="AI31" s="190"/>
      <c r="AJ31" s="191"/>
      <c r="AK31" s="191"/>
      <c r="AL31" s="191"/>
      <c r="AN31" s="191"/>
      <c r="AO31" s="191"/>
      <c r="AP31" s="191"/>
      <c r="AQ31" s="191"/>
      <c r="AR31" s="191"/>
      <c r="AS31" s="192"/>
      <c r="AT31" s="192"/>
      <c r="AU31" s="192"/>
      <c r="AV31" s="192"/>
    </row>
    <row r="32" spans="1:48">
      <c r="A32" s="173" t="s">
        <v>700</v>
      </c>
      <c r="B32" s="174"/>
      <c r="C32" s="189">
        <v>0</v>
      </c>
      <c r="D32" s="189">
        <v>0</v>
      </c>
      <c r="E32" s="189">
        <v>0</v>
      </c>
      <c r="F32" s="189">
        <v>0</v>
      </c>
      <c r="G32" s="189">
        <v>0</v>
      </c>
      <c r="H32" s="189">
        <v>0</v>
      </c>
      <c r="I32" s="189">
        <v>0</v>
      </c>
      <c r="J32" s="189">
        <v>0</v>
      </c>
      <c r="K32" s="189">
        <v>0</v>
      </c>
      <c r="L32" s="189">
        <v>0</v>
      </c>
      <c r="M32" s="189">
        <v>0</v>
      </c>
      <c r="N32" s="189">
        <v>0</v>
      </c>
      <c r="O32" s="189">
        <v>0</v>
      </c>
      <c r="P32" s="189">
        <v>0</v>
      </c>
      <c r="Q32" s="189">
        <v>0</v>
      </c>
      <c r="R32" s="189">
        <v>0</v>
      </c>
      <c r="S32" s="189">
        <v>0</v>
      </c>
      <c r="T32" s="189">
        <v>0</v>
      </c>
      <c r="U32" s="189">
        <v>0</v>
      </c>
      <c r="V32" s="189">
        <v>0</v>
      </c>
      <c r="W32" s="189">
        <v>0</v>
      </c>
      <c r="X32" s="189">
        <v>0</v>
      </c>
      <c r="Y32" s="189">
        <v>0</v>
      </c>
      <c r="Z32" s="189"/>
      <c r="AA32" s="189"/>
      <c r="AB32" s="189"/>
      <c r="AC32" s="190"/>
      <c r="AD32" s="190"/>
      <c r="AE32" s="190"/>
      <c r="AF32" s="190"/>
      <c r="AG32" s="190"/>
      <c r="AH32" s="190"/>
      <c r="AI32" s="190"/>
      <c r="AJ32" s="191"/>
      <c r="AK32" s="191"/>
      <c r="AL32" s="191"/>
      <c r="AN32" s="191"/>
      <c r="AO32" s="191"/>
      <c r="AP32" s="191"/>
      <c r="AQ32" s="191"/>
      <c r="AR32" s="191"/>
      <c r="AS32" s="192"/>
      <c r="AT32" s="192"/>
      <c r="AU32" s="192"/>
      <c r="AV32" s="192"/>
    </row>
    <row r="33" spans="1:48">
      <c r="A33" s="173" t="s">
        <v>698</v>
      </c>
      <c r="B33" s="174"/>
      <c r="C33" s="189">
        <v>0</v>
      </c>
      <c r="D33" s="189">
        <v>0</v>
      </c>
      <c r="E33" s="189">
        <v>0</v>
      </c>
      <c r="F33" s="189">
        <v>0</v>
      </c>
      <c r="G33" s="189">
        <v>0</v>
      </c>
      <c r="H33" s="189">
        <v>0</v>
      </c>
      <c r="I33" s="189">
        <v>0</v>
      </c>
      <c r="J33" s="189">
        <v>0</v>
      </c>
      <c r="K33" s="189">
        <v>0</v>
      </c>
      <c r="L33" s="189">
        <v>0</v>
      </c>
      <c r="M33" s="189">
        <v>0</v>
      </c>
      <c r="N33" s="189">
        <v>0</v>
      </c>
      <c r="O33" s="189">
        <v>0</v>
      </c>
      <c r="P33" s="189">
        <v>0</v>
      </c>
      <c r="Q33" s="189">
        <v>0</v>
      </c>
      <c r="R33" s="189">
        <v>0</v>
      </c>
      <c r="S33" s="189">
        <v>0</v>
      </c>
      <c r="T33" s="189">
        <v>0</v>
      </c>
      <c r="U33" s="189">
        <v>0</v>
      </c>
      <c r="V33" s="189">
        <v>0</v>
      </c>
      <c r="W33" s="189">
        <v>0</v>
      </c>
      <c r="X33" s="189">
        <v>0</v>
      </c>
      <c r="Y33" s="189">
        <v>0</v>
      </c>
      <c r="Z33" s="189"/>
      <c r="AA33" s="189"/>
      <c r="AB33" s="189"/>
      <c r="AC33" s="190"/>
      <c r="AD33" s="190"/>
      <c r="AE33" s="190"/>
      <c r="AF33" s="190"/>
      <c r="AG33" s="190"/>
      <c r="AH33" s="190"/>
      <c r="AI33" s="190"/>
      <c r="AJ33" s="191"/>
      <c r="AK33" s="191"/>
      <c r="AL33" s="191"/>
      <c r="AN33" s="191"/>
      <c r="AO33" s="191"/>
      <c r="AP33" s="191"/>
      <c r="AQ33" s="191"/>
      <c r="AR33" s="191"/>
      <c r="AS33" s="192"/>
      <c r="AT33" s="192"/>
      <c r="AU33" s="192"/>
      <c r="AV33" s="192"/>
    </row>
    <row r="34" spans="1:48">
      <c r="A34" s="173" t="s">
        <v>749</v>
      </c>
      <c r="B34" s="174"/>
      <c r="C34" s="189">
        <v>0</v>
      </c>
      <c r="D34" s="189">
        <v>0</v>
      </c>
      <c r="E34" s="189">
        <v>0</v>
      </c>
      <c r="F34" s="189">
        <v>0</v>
      </c>
      <c r="G34" s="189">
        <v>0</v>
      </c>
      <c r="H34" s="189">
        <v>0</v>
      </c>
      <c r="I34" s="189">
        <v>0</v>
      </c>
      <c r="J34" s="189">
        <v>0</v>
      </c>
      <c r="K34" s="189">
        <v>0</v>
      </c>
      <c r="L34" s="189">
        <v>0</v>
      </c>
      <c r="M34" s="189">
        <v>0</v>
      </c>
      <c r="N34" s="189">
        <v>0</v>
      </c>
      <c r="O34" s="189">
        <v>0</v>
      </c>
      <c r="P34" s="189">
        <v>0</v>
      </c>
      <c r="Q34" s="189">
        <v>0</v>
      </c>
      <c r="R34" s="189">
        <v>0</v>
      </c>
      <c r="S34" s="189">
        <v>0</v>
      </c>
      <c r="T34" s="189">
        <v>0</v>
      </c>
      <c r="U34" s="189">
        <v>0</v>
      </c>
      <c r="V34" s="189">
        <v>0</v>
      </c>
      <c r="W34" s="189">
        <v>0</v>
      </c>
      <c r="X34" s="189">
        <v>0</v>
      </c>
      <c r="Y34" s="189">
        <v>0</v>
      </c>
      <c r="Z34" s="189"/>
      <c r="AA34" s="189"/>
      <c r="AB34" s="189"/>
      <c r="AC34" s="190"/>
      <c r="AD34" s="190"/>
      <c r="AE34" s="190"/>
      <c r="AF34" s="190"/>
      <c r="AG34" s="190"/>
      <c r="AH34" s="190"/>
      <c r="AI34" s="190"/>
      <c r="AJ34" s="191"/>
      <c r="AK34" s="191"/>
      <c r="AL34" s="191"/>
      <c r="AN34" s="191"/>
      <c r="AO34" s="191"/>
      <c r="AP34" s="191"/>
      <c r="AQ34" s="191"/>
      <c r="AR34" s="191"/>
      <c r="AS34" s="192"/>
      <c r="AT34" s="192"/>
      <c r="AU34" s="192"/>
      <c r="AV34" s="192"/>
    </row>
    <row r="35" spans="1:48">
      <c r="A35" s="173" t="s">
        <v>795</v>
      </c>
      <c r="B35" s="174"/>
      <c r="C35" s="189">
        <v>0</v>
      </c>
      <c r="D35" s="189">
        <v>0</v>
      </c>
      <c r="E35" s="189">
        <v>0</v>
      </c>
      <c r="F35" s="189">
        <v>0</v>
      </c>
      <c r="G35" s="189">
        <v>0</v>
      </c>
      <c r="H35" s="189">
        <v>0</v>
      </c>
      <c r="I35" s="189">
        <v>0</v>
      </c>
      <c r="J35" s="189">
        <v>0</v>
      </c>
      <c r="K35" s="189">
        <v>0</v>
      </c>
      <c r="L35" s="189">
        <v>0</v>
      </c>
      <c r="M35" s="189">
        <v>0</v>
      </c>
      <c r="N35" s="189">
        <v>0</v>
      </c>
      <c r="O35" s="189">
        <v>0</v>
      </c>
      <c r="P35" s="189">
        <v>0</v>
      </c>
      <c r="Q35" s="189">
        <v>0</v>
      </c>
      <c r="R35" s="189">
        <v>0</v>
      </c>
      <c r="S35" s="189">
        <v>0</v>
      </c>
      <c r="T35" s="189">
        <v>0</v>
      </c>
      <c r="U35" s="189">
        <v>0</v>
      </c>
      <c r="V35" s="189">
        <v>0</v>
      </c>
      <c r="W35" s="189">
        <v>0</v>
      </c>
      <c r="X35" s="189">
        <v>16</v>
      </c>
      <c r="Y35" s="189">
        <v>16</v>
      </c>
      <c r="Z35" s="189">
        <v>16</v>
      </c>
      <c r="AA35" s="189">
        <v>35</v>
      </c>
      <c r="AB35" s="189">
        <v>84</v>
      </c>
      <c r="AC35" s="190">
        <v>72</v>
      </c>
      <c r="AD35" s="190">
        <v>124</v>
      </c>
      <c r="AE35" s="190">
        <v>134</v>
      </c>
      <c r="AF35" s="190">
        <v>133</v>
      </c>
      <c r="AG35" s="190">
        <v>151</v>
      </c>
      <c r="AH35" s="190">
        <v>172</v>
      </c>
      <c r="AI35" s="190">
        <v>172</v>
      </c>
      <c r="AJ35" s="191">
        <v>172</v>
      </c>
      <c r="AK35" s="191">
        <v>172</v>
      </c>
      <c r="AL35" s="191">
        <v>172</v>
      </c>
      <c r="AM35" s="191">
        <v>172</v>
      </c>
      <c r="AN35" s="191">
        <v>172</v>
      </c>
      <c r="AO35" s="191">
        <v>169</v>
      </c>
      <c r="AP35" s="191">
        <v>170</v>
      </c>
      <c r="AQ35" s="191">
        <v>170</v>
      </c>
      <c r="AR35" s="191">
        <v>157</v>
      </c>
      <c r="AS35" s="192">
        <v>157</v>
      </c>
      <c r="AT35" s="192">
        <v>169</v>
      </c>
      <c r="AU35" s="192">
        <v>169</v>
      </c>
      <c r="AV35" s="192">
        <v>169</v>
      </c>
    </row>
    <row r="36" spans="1:48">
      <c r="A36" s="173" t="s">
        <v>701</v>
      </c>
      <c r="B36" s="174"/>
      <c r="C36" s="193">
        <v>0</v>
      </c>
      <c r="D36" s="193">
        <v>0</v>
      </c>
      <c r="E36" s="193">
        <v>0</v>
      </c>
      <c r="F36" s="193">
        <v>0</v>
      </c>
      <c r="G36" s="193">
        <v>0</v>
      </c>
      <c r="H36" s="193">
        <v>0</v>
      </c>
      <c r="I36" s="193">
        <v>0</v>
      </c>
      <c r="J36" s="193">
        <v>0</v>
      </c>
      <c r="K36" s="193">
        <v>0</v>
      </c>
      <c r="L36" s="193">
        <v>0</v>
      </c>
      <c r="M36" s="193">
        <v>0</v>
      </c>
      <c r="N36" s="193">
        <v>0</v>
      </c>
      <c r="O36" s="193">
        <v>0</v>
      </c>
      <c r="P36" s="193">
        <v>0</v>
      </c>
      <c r="Q36" s="193">
        <v>0</v>
      </c>
      <c r="R36" s="193">
        <v>0</v>
      </c>
      <c r="S36" s="193">
        <v>0</v>
      </c>
      <c r="T36" s="193">
        <v>0</v>
      </c>
      <c r="U36" s="193">
        <v>0</v>
      </c>
      <c r="V36" s="193">
        <v>0</v>
      </c>
      <c r="W36" s="193">
        <v>0</v>
      </c>
      <c r="X36" s="193">
        <v>0</v>
      </c>
      <c r="Y36" s="193">
        <v>0</v>
      </c>
      <c r="Z36" s="193"/>
      <c r="AA36" s="193"/>
      <c r="AB36" s="193"/>
      <c r="AC36" s="194"/>
      <c r="AD36" s="194"/>
      <c r="AE36" s="194"/>
      <c r="AF36" s="194"/>
      <c r="AG36" s="194"/>
      <c r="AH36" s="194"/>
      <c r="AI36" s="194"/>
      <c r="AJ36" s="195"/>
      <c r="AK36" s="195"/>
      <c r="AL36" s="195">
        <v>413131</v>
      </c>
      <c r="AM36" s="195">
        <v>452378</v>
      </c>
      <c r="AN36" s="195">
        <v>492170</v>
      </c>
      <c r="AO36" s="195">
        <v>531457</v>
      </c>
      <c r="AP36" s="195">
        <v>585313</v>
      </c>
      <c r="AQ36" s="195">
        <v>585313</v>
      </c>
      <c r="AR36" s="195">
        <v>237531</v>
      </c>
      <c r="AS36" s="196">
        <v>182780</v>
      </c>
      <c r="AT36" s="196">
        <v>220986</v>
      </c>
      <c r="AU36" s="196">
        <v>114290</v>
      </c>
      <c r="AV36" s="196">
        <v>190379</v>
      </c>
    </row>
    <row r="37" spans="1:48">
      <c r="A37" s="173" t="s">
        <v>703</v>
      </c>
      <c r="B37" s="174"/>
      <c r="C37" s="189">
        <v>0</v>
      </c>
      <c r="D37" s="189">
        <v>0</v>
      </c>
      <c r="E37" s="189">
        <v>0</v>
      </c>
      <c r="F37" s="189">
        <v>0</v>
      </c>
      <c r="G37" s="189">
        <v>0</v>
      </c>
      <c r="H37" s="189">
        <v>0</v>
      </c>
      <c r="I37" s="189">
        <v>0</v>
      </c>
      <c r="J37" s="189">
        <v>0</v>
      </c>
      <c r="K37" s="189">
        <v>0</v>
      </c>
      <c r="L37" s="189">
        <v>0</v>
      </c>
      <c r="M37" s="189">
        <v>0</v>
      </c>
      <c r="N37" s="189">
        <v>0</v>
      </c>
      <c r="O37" s="189">
        <v>0</v>
      </c>
      <c r="P37" s="189">
        <v>0</v>
      </c>
      <c r="Q37" s="189">
        <v>0</v>
      </c>
      <c r="R37" s="189">
        <v>0</v>
      </c>
      <c r="S37" s="189">
        <v>6</v>
      </c>
      <c r="T37" s="189">
        <v>6</v>
      </c>
      <c r="U37" s="189">
        <v>6</v>
      </c>
      <c r="V37" s="189">
        <v>9</v>
      </c>
      <c r="W37" s="189">
        <v>9</v>
      </c>
      <c r="X37" s="189">
        <v>12</v>
      </c>
      <c r="Y37" s="189">
        <v>12</v>
      </c>
      <c r="Z37" s="189">
        <v>12</v>
      </c>
      <c r="AA37" s="189">
        <v>12</v>
      </c>
      <c r="AB37" s="189">
        <v>12</v>
      </c>
      <c r="AC37" s="190">
        <v>12</v>
      </c>
      <c r="AD37" s="190">
        <v>12</v>
      </c>
      <c r="AE37" s="190">
        <v>12</v>
      </c>
      <c r="AF37" s="190">
        <v>12</v>
      </c>
      <c r="AG37" s="190">
        <v>12</v>
      </c>
      <c r="AH37" s="190">
        <v>32512</v>
      </c>
      <c r="AI37" s="190"/>
      <c r="AJ37" s="191"/>
      <c r="AK37" s="191"/>
      <c r="AL37" s="191">
        <v>24180</v>
      </c>
      <c r="AN37" s="191"/>
      <c r="AO37" s="191"/>
      <c r="AP37" s="191">
        <v>20</v>
      </c>
      <c r="AQ37" s="191">
        <v>20</v>
      </c>
      <c r="AR37" s="191">
        <v>0</v>
      </c>
      <c r="AS37" s="192"/>
      <c r="AT37" s="192"/>
      <c r="AU37" s="192"/>
      <c r="AV37" s="192">
        <v>1</v>
      </c>
    </row>
    <row r="38" spans="1:48">
      <c r="A38" s="173" t="s">
        <v>704</v>
      </c>
      <c r="B38" s="174"/>
      <c r="C38" s="189">
        <v>8774</v>
      </c>
      <c r="D38" s="189">
        <v>8774</v>
      </c>
      <c r="E38" s="189">
        <v>8774</v>
      </c>
      <c r="F38" s="189">
        <v>0</v>
      </c>
      <c r="G38" s="189">
        <v>0</v>
      </c>
      <c r="H38" s="189">
        <v>0</v>
      </c>
      <c r="I38" s="189">
        <v>0</v>
      </c>
      <c r="J38" s="189">
        <v>0</v>
      </c>
      <c r="K38" s="189">
        <v>0</v>
      </c>
      <c r="L38" s="189">
        <v>0</v>
      </c>
      <c r="M38" s="189">
        <v>0</v>
      </c>
      <c r="N38" s="189">
        <v>0</v>
      </c>
      <c r="O38" s="189">
        <v>0</v>
      </c>
      <c r="P38" s="189">
        <v>0</v>
      </c>
      <c r="Q38" s="189">
        <v>0</v>
      </c>
      <c r="R38" s="189">
        <v>0</v>
      </c>
      <c r="S38" s="189">
        <v>0</v>
      </c>
      <c r="T38" s="189">
        <v>0</v>
      </c>
      <c r="U38" s="189">
        <v>0</v>
      </c>
      <c r="V38" s="189">
        <v>0</v>
      </c>
      <c r="W38" s="189">
        <v>0</v>
      </c>
      <c r="X38" s="189">
        <v>0</v>
      </c>
      <c r="Y38" s="189">
        <v>0</v>
      </c>
      <c r="Z38" s="189"/>
      <c r="AA38" s="189"/>
      <c r="AB38" s="189"/>
      <c r="AC38" s="190"/>
      <c r="AD38" s="190">
        <v>35017</v>
      </c>
      <c r="AE38" s="190">
        <v>32960</v>
      </c>
      <c r="AF38" s="190">
        <v>32960</v>
      </c>
      <c r="AG38" s="190">
        <v>32960</v>
      </c>
      <c r="AH38" s="190"/>
      <c r="AI38" s="190">
        <v>26747</v>
      </c>
      <c r="AJ38" s="191">
        <v>26747</v>
      </c>
      <c r="AK38" s="191">
        <v>24180</v>
      </c>
      <c r="AL38" s="191"/>
      <c r="AN38" s="191">
        <v>22801</v>
      </c>
      <c r="AO38" s="191">
        <v>22801</v>
      </c>
      <c r="AP38" s="191">
        <v>22801</v>
      </c>
      <c r="AQ38" s="191">
        <v>22801</v>
      </c>
      <c r="AR38" s="191">
        <v>12801</v>
      </c>
      <c r="AS38" s="192">
        <v>12801</v>
      </c>
      <c r="AT38" s="192">
        <v>12801</v>
      </c>
      <c r="AU38" s="192">
        <v>6301</v>
      </c>
      <c r="AV38" s="192">
        <v>1301</v>
      </c>
    </row>
    <row r="39" spans="1:48">
      <c r="A39" s="173" t="s">
        <v>750</v>
      </c>
      <c r="B39" s="174"/>
      <c r="C39" s="189"/>
      <c r="D39" s="189"/>
      <c r="E39" s="189"/>
      <c r="F39" s="189"/>
      <c r="G39" s="189"/>
      <c r="H39" s="189"/>
      <c r="I39" s="189"/>
      <c r="J39" s="189"/>
      <c r="K39" s="189"/>
      <c r="L39" s="189"/>
      <c r="M39" s="189"/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90"/>
      <c r="AD39" s="190"/>
      <c r="AE39" s="190"/>
      <c r="AF39" s="190"/>
      <c r="AG39" s="190"/>
      <c r="AH39" s="190"/>
      <c r="AI39" s="190"/>
      <c r="AJ39" s="191"/>
      <c r="AK39" s="191"/>
      <c r="AL39" s="191"/>
      <c r="AM39" s="191">
        <v>24180</v>
      </c>
      <c r="AN39" s="191"/>
      <c r="AO39" s="191"/>
      <c r="AP39" s="191"/>
      <c r="AQ39" s="191"/>
      <c r="AR39" s="191"/>
      <c r="AS39" s="192"/>
      <c r="AT39" s="192"/>
      <c r="AU39" s="192"/>
      <c r="AV39" s="192"/>
    </row>
    <row r="40" spans="1:48">
      <c r="A40" s="173" t="s">
        <v>705</v>
      </c>
      <c r="B40" s="174"/>
      <c r="C40" s="189">
        <v>295659</v>
      </c>
      <c r="D40" s="189">
        <v>402799</v>
      </c>
      <c r="E40" s="189">
        <v>406905</v>
      </c>
      <c r="F40" s="189">
        <v>416147</v>
      </c>
      <c r="G40" s="189">
        <v>425403</v>
      </c>
      <c r="H40" s="189">
        <v>536223</v>
      </c>
      <c r="I40" s="189">
        <v>546948</v>
      </c>
      <c r="J40" s="189">
        <v>565269</v>
      </c>
      <c r="K40" s="189">
        <v>576025</v>
      </c>
      <c r="L40" s="189">
        <v>289423</v>
      </c>
      <c r="M40" s="189">
        <v>296425</v>
      </c>
      <c r="N40" s="189">
        <v>302865</v>
      </c>
      <c r="O40" s="189">
        <v>308594</v>
      </c>
      <c r="P40" s="189">
        <v>315906</v>
      </c>
      <c r="Q40" s="189">
        <v>297864</v>
      </c>
      <c r="R40" s="189">
        <v>48219</v>
      </c>
      <c r="S40" s="189">
        <v>16925</v>
      </c>
      <c r="T40" s="189">
        <v>0</v>
      </c>
      <c r="U40" s="189">
        <v>8539</v>
      </c>
      <c r="V40" s="189">
        <v>8661</v>
      </c>
      <c r="W40" s="189">
        <v>8781</v>
      </c>
      <c r="X40" s="189">
        <v>8899</v>
      </c>
      <c r="Y40" s="189">
        <v>9025</v>
      </c>
      <c r="Z40" s="189">
        <v>9145</v>
      </c>
      <c r="AA40" s="189">
        <v>9265</v>
      </c>
      <c r="AB40" s="189">
        <v>9270</v>
      </c>
      <c r="AC40" s="190">
        <v>9890</v>
      </c>
      <c r="AD40" s="190">
        <v>9569</v>
      </c>
      <c r="AE40" s="190">
        <v>9601</v>
      </c>
      <c r="AF40" s="190">
        <v>20310</v>
      </c>
      <c r="AG40" s="190">
        <v>171296</v>
      </c>
      <c r="AH40" s="190">
        <v>9673</v>
      </c>
      <c r="AI40" s="190">
        <v>9511</v>
      </c>
      <c r="AJ40" s="191">
        <v>9348</v>
      </c>
      <c r="AK40" s="191">
        <v>126763</v>
      </c>
      <c r="AL40" s="191">
        <v>129192</v>
      </c>
      <c r="AM40" s="191">
        <v>136131</v>
      </c>
      <c r="AN40" s="191">
        <v>140039</v>
      </c>
      <c r="AO40" s="191">
        <v>122525</v>
      </c>
      <c r="AP40" s="191">
        <v>121691</v>
      </c>
      <c r="AQ40" s="191">
        <v>121691</v>
      </c>
      <c r="AR40" s="191">
        <v>117385</v>
      </c>
      <c r="AS40" s="192">
        <v>117192</v>
      </c>
      <c r="AT40" s="192">
        <v>119695</v>
      </c>
      <c r="AU40" s="192">
        <v>119118</v>
      </c>
      <c r="AV40" s="192">
        <v>121847</v>
      </c>
    </row>
    <row r="41" spans="1:48">
      <c r="A41" s="173" t="s">
        <v>874</v>
      </c>
      <c r="B41" s="174"/>
      <c r="C41" s="189">
        <v>0</v>
      </c>
      <c r="D41" s="189">
        <v>0</v>
      </c>
      <c r="E41" s="189">
        <v>50000</v>
      </c>
      <c r="F41" s="189">
        <v>50000</v>
      </c>
      <c r="G41" s="189">
        <v>295000</v>
      </c>
      <c r="H41" s="189">
        <v>306000</v>
      </c>
      <c r="I41" s="189">
        <v>306000</v>
      </c>
      <c r="J41" s="189">
        <v>306000</v>
      </c>
      <c r="K41" s="189">
        <v>306000</v>
      </c>
      <c r="L41" s="189">
        <v>0</v>
      </c>
      <c r="M41" s="189">
        <v>0</v>
      </c>
      <c r="N41" s="189">
        <v>0</v>
      </c>
      <c r="O41" s="189">
        <v>0</v>
      </c>
      <c r="P41" s="189">
        <v>0</v>
      </c>
      <c r="Q41" s="189">
        <v>0</v>
      </c>
      <c r="R41" s="189">
        <v>0</v>
      </c>
      <c r="S41" s="189">
        <v>24269</v>
      </c>
      <c r="T41" s="189">
        <v>72567</v>
      </c>
      <c r="U41" s="189">
        <v>25871</v>
      </c>
      <c r="V41" s="189">
        <v>0</v>
      </c>
      <c r="W41" s="189">
        <v>0</v>
      </c>
      <c r="X41" s="189">
        <v>6730</v>
      </c>
      <c r="Y41" s="189">
        <v>7995</v>
      </c>
      <c r="Z41" s="189">
        <v>1000</v>
      </c>
      <c r="AA41" s="189">
        <v>5309</v>
      </c>
      <c r="AB41" s="189">
        <v>9386</v>
      </c>
      <c r="AC41" s="190">
        <v>9270</v>
      </c>
      <c r="AD41" s="190"/>
      <c r="AE41" s="190"/>
      <c r="AF41" s="190"/>
      <c r="AG41" s="190"/>
      <c r="AH41" s="190"/>
      <c r="AI41" s="190"/>
      <c r="AJ41" s="191"/>
      <c r="AK41" s="191"/>
      <c r="AL41" s="191"/>
      <c r="AN41" s="191"/>
      <c r="AO41" s="191"/>
      <c r="AP41" s="191"/>
      <c r="AQ41" s="191"/>
      <c r="AR41" s="191"/>
      <c r="AS41" s="192"/>
      <c r="AT41" s="192"/>
      <c r="AU41" s="192"/>
      <c r="AV41" s="192"/>
    </row>
    <row r="42" spans="1:48" ht="15" thickBot="1">
      <c r="A42" s="176" t="s">
        <v>708</v>
      </c>
      <c r="B42" s="174"/>
      <c r="C42" s="189">
        <v>0</v>
      </c>
      <c r="D42" s="189">
        <v>0</v>
      </c>
      <c r="E42" s="189">
        <v>0</v>
      </c>
      <c r="F42" s="189">
        <v>0</v>
      </c>
      <c r="G42" s="189">
        <v>0</v>
      </c>
      <c r="H42" s="189">
        <v>0</v>
      </c>
      <c r="I42" s="189">
        <v>0</v>
      </c>
      <c r="J42" s="189">
        <v>0</v>
      </c>
      <c r="K42" s="189">
        <v>0</v>
      </c>
      <c r="L42" s="189">
        <v>0</v>
      </c>
      <c r="M42" s="189">
        <v>0</v>
      </c>
      <c r="N42" s="189">
        <v>0</v>
      </c>
      <c r="O42" s="189">
        <v>0</v>
      </c>
      <c r="P42" s="189">
        <v>0</v>
      </c>
      <c r="Q42" s="189">
        <v>0</v>
      </c>
      <c r="R42" s="189">
        <v>0</v>
      </c>
      <c r="S42" s="189">
        <v>0</v>
      </c>
      <c r="T42" s="189">
        <v>0</v>
      </c>
      <c r="U42" s="189">
        <v>0</v>
      </c>
      <c r="V42" s="189">
        <v>0</v>
      </c>
      <c r="W42" s="189">
        <v>0</v>
      </c>
      <c r="X42" s="189"/>
      <c r="Y42" s="189">
        <v>0</v>
      </c>
      <c r="Z42" s="189"/>
      <c r="AA42" s="189"/>
      <c r="AB42" s="189"/>
      <c r="AC42" s="190"/>
      <c r="AD42" s="190"/>
      <c r="AE42" s="190"/>
      <c r="AF42" s="190"/>
      <c r="AG42" s="190"/>
      <c r="AH42" s="190"/>
      <c r="AI42" s="190"/>
      <c r="AJ42" s="191"/>
      <c r="AK42" s="191"/>
      <c r="AL42" s="191"/>
      <c r="AN42" s="191"/>
      <c r="AO42" s="191"/>
      <c r="AP42" s="191"/>
      <c r="AQ42" s="191"/>
      <c r="AR42" s="191"/>
      <c r="AS42" s="192"/>
      <c r="AT42" s="192"/>
      <c r="AU42" s="192"/>
      <c r="AV42" s="192"/>
    </row>
    <row r="43" spans="1:48" ht="15" thickBot="1">
      <c r="A43" s="177" t="s">
        <v>752</v>
      </c>
      <c r="B43" s="170"/>
      <c r="C43" s="178">
        <f>SUM(C44:C48)</f>
        <v>1331054</v>
      </c>
      <c r="D43" s="178">
        <f t="shared" ref="D43:AD43" si="5">SUM(D44:D48)</f>
        <v>1126204</v>
      </c>
      <c r="E43" s="178">
        <f t="shared" si="5"/>
        <v>1327705</v>
      </c>
      <c r="F43" s="178">
        <f t="shared" si="5"/>
        <v>1253071</v>
      </c>
      <c r="G43" s="178">
        <f t="shared" si="5"/>
        <v>1255318</v>
      </c>
      <c r="H43" s="178">
        <f t="shared" si="5"/>
        <v>1054377</v>
      </c>
      <c r="I43" s="178">
        <f t="shared" si="5"/>
        <v>1326656</v>
      </c>
      <c r="J43" s="178">
        <f t="shared" si="5"/>
        <v>1769227</v>
      </c>
      <c r="K43" s="178">
        <f t="shared" si="5"/>
        <v>1852732</v>
      </c>
      <c r="L43" s="178">
        <f t="shared" si="5"/>
        <v>2917375</v>
      </c>
      <c r="M43" s="178">
        <f t="shared" si="5"/>
        <v>2985639</v>
      </c>
      <c r="N43" s="178">
        <f t="shared" si="5"/>
        <v>3046365</v>
      </c>
      <c r="O43" s="178">
        <f t="shared" si="5"/>
        <v>3184107</v>
      </c>
      <c r="P43" s="178">
        <f t="shared" si="5"/>
        <v>3284359</v>
      </c>
      <c r="Q43" s="178">
        <f t="shared" si="5"/>
        <v>3460485</v>
      </c>
      <c r="R43" s="178">
        <f t="shared" si="5"/>
        <v>3512516</v>
      </c>
      <c r="S43" s="178">
        <f t="shared" si="5"/>
        <v>3559022</v>
      </c>
      <c r="T43" s="178">
        <f t="shared" si="5"/>
        <v>3576814</v>
      </c>
      <c r="U43" s="178">
        <f t="shared" si="5"/>
        <v>3958515</v>
      </c>
      <c r="V43" s="178">
        <f t="shared" si="5"/>
        <v>4676858</v>
      </c>
      <c r="W43" s="178">
        <f t="shared" si="5"/>
        <v>4930749</v>
      </c>
      <c r="X43" s="178">
        <f t="shared" si="5"/>
        <v>5011099</v>
      </c>
      <c r="Y43" s="178">
        <f t="shared" si="5"/>
        <v>5342120</v>
      </c>
      <c r="Z43" s="178">
        <f t="shared" si="5"/>
        <v>6987640</v>
      </c>
      <c r="AA43" s="178">
        <f t="shared" si="5"/>
        <v>7583981</v>
      </c>
      <c r="AB43" s="178">
        <f t="shared" si="5"/>
        <v>7922919</v>
      </c>
      <c r="AC43" s="178">
        <f t="shared" si="5"/>
        <v>8317977</v>
      </c>
      <c r="AD43" s="178">
        <f t="shared" si="5"/>
        <v>8669233</v>
      </c>
      <c r="AE43" s="178">
        <f t="shared" ref="AE43:AR43" si="6">SUM(AE44:AE49)</f>
        <v>9178276</v>
      </c>
      <c r="AF43" s="178">
        <f t="shared" si="6"/>
        <v>9474276</v>
      </c>
      <c r="AG43" s="178">
        <f t="shared" si="6"/>
        <v>10259692</v>
      </c>
      <c r="AH43" s="178">
        <f t="shared" si="6"/>
        <v>10628143</v>
      </c>
      <c r="AI43" s="178">
        <f t="shared" si="6"/>
        <v>10967694</v>
      </c>
      <c r="AJ43" s="178">
        <f t="shared" si="6"/>
        <v>10427047</v>
      </c>
      <c r="AK43" s="178">
        <f t="shared" si="6"/>
        <v>11748082.22497</v>
      </c>
      <c r="AL43" s="178">
        <f t="shared" si="6"/>
        <v>11861093.978800001</v>
      </c>
      <c r="AM43" s="178">
        <f t="shared" si="6"/>
        <v>19701173</v>
      </c>
      <c r="AN43" s="178">
        <f t="shared" si="6"/>
        <v>19547727</v>
      </c>
      <c r="AO43" s="178">
        <f t="shared" si="6"/>
        <v>20206060</v>
      </c>
      <c r="AP43" s="178">
        <f t="shared" si="6"/>
        <v>20362981</v>
      </c>
      <c r="AQ43" s="178">
        <f t="shared" si="6"/>
        <v>20365856</v>
      </c>
      <c r="AR43" s="178">
        <f t="shared" si="6"/>
        <v>20252521</v>
      </c>
      <c r="AS43" s="178">
        <f>SUM(AS44:AS49)</f>
        <v>21712206</v>
      </c>
      <c r="AT43" s="178">
        <f>SUM(AT44:AT49)</f>
        <v>21790180</v>
      </c>
      <c r="AU43" s="178">
        <f>SUM(AU44:AU49)</f>
        <v>22098842</v>
      </c>
      <c r="AV43" s="178">
        <f>SUM(AV44:AV49)</f>
        <v>22666973</v>
      </c>
    </row>
    <row r="44" spans="1:48">
      <c r="A44" s="173" t="s">
        <v>709</v>
      </c>
      <c r="B44" s="174"/>
      <c r="C44" s="189">
        <v>1330756</v>
      </c>
      <c r="D44" s="189">
        <v>1125906</v>
      </c>
      <c r="E44" s="189">
        <v>1327407</v>
      </c>
      <c r="F44" s="189">
        <v>1252773</v>
      </c>
      <c r="G44" s="189">
        <v>1255020</v>
      </c>
      <c r="H44" s="189">
        <v>1054079</v>
      </c>
      <c r="I44" s="189">
        <v>1326359</v>
      </c>
      <c r="J44" s="189">
        <v>1768930</v>
      </c>
      <c r="K44" s="189">
        <v>1852435</v>
      </c>
      <c r="L44" s="189">
        <v>2917127</v>
      </c>
      <c r="M44" s="189">
        <v>2985392</v>
      </c>
      <c r="N44" s="189">
        <v>3046120</v>
      </c>
      <c r="O44" s="189">
        <v>3183862</v>
      </c>
      <c r="P44" s="189">
        <v>3284117</v>
      </c>
      <c r="Q44" s="189">
        <v>3460243</v>
      </c>
      <c r="R44" s="189">
        <v>3512077</v>
      </c>
      <c r="S44" s="189">
        <v>3558420</v>
      </c>
      <c r="T44" s="189">
        <v>3575032</v>
      </c>
      <c r="U44" s="189">
        <v>3956794</v>
      </c>
      <c r="V44" s="189">
        <v>4675018</v>
      </c>
      <c r="W44" s="189">
        <v>4928878</v>
      </c>
      <c r="X44" s="189">
        <v>5009016</v>
      </c>
      <c r="Y44" s="189">
        <v>5338416</v>
      </c>
      <c r="Z44" s="189">
        <v>6983602</v>
      </c>
      <c r="AA44" s="189">
        <v>7579853</v>
      </c>
      <c r="AB44" s="189">
        <v>7918759</v>
      </c>
      <c r="AC44" s="190">
        <v>8313843</v>
      </c>
      <c r="AD44" s="190">
        <v>8664022</v>
      </c>
      <c r="AE44" s="190">
        <v>9173094</v>
      </c>
      <c r="AF44" s="190">
        <v>9469124</v>
      </c>
      <c r="AG44" s="190">
        <v>10254570</v>
      </c>
      <c r="AH44" s="190">
        <v>10623050</v>
      </c>
      <c r="AI44" s="190">
        <v>10962477</v>
      </c>
      <c r="AJ44" s="191">
        <v>10420567</v>
      </c>
      <c r="AK44" s="191">
        <v>11741072.22497</v>
      </c>
      <c r="AL44" s="191">
        <v>11854280.978800001</v>
      </c>
      <c r="AM44" s="191">
        <v>19693411</v>
      </c>
      <c r="AN44" s="191">
        <v>19540079</v>
      </c>
      <c r="AO44" s="191">
        <v>20198408</v>
      </c>
      <c r="AP44" s="191">
        <v>20353467</v>
      </c>
      <c r="AQ44" s="191">
        <v>20356342</v>
      </c>
      <c r="AR44" s="191">
        <v>20242891</v>
      </c>
      <c r="AS44" s="192">
        <v>21702581</v>
      </c>
      <c r="AT44" s="192">
        <v>21783211</v>
      </c>
      <c r="AU44" s="192">
        <v>22091865</v>
      </c>
      <c r="AV44" s="192">
        <v>22659837</v>
      </c>
    </row>
    <row r="45" spans="1:48">
      <c r="A45" s="173" t="s">
        <v>710</v>
      </c>
      <c r="B45" s="174"/>
      <c r="C45" s="189">
        <v>0</v>
      </c>
      <c r="D45" s="189">
        <v>0</v>
      </c>
      <c r="E45" s="189">
        <v>0</v>
      </c>
      <c r="F45" s="189">
        <v>0</v>
      </c>
      <c r="G45" s="189">
        <v>0</v>
      </c>
      <c r="H45" s="189">
        <v>0</v>
      </c>
      <c r="I45" s="189">
        <v>0</v>
      </c>
      <c r="J45" s="189">
        <v>0</v>
      </c>
      <c r="K45" s="189">
        <v>0</v>
      </c>
      <c r="L45" s="189">
        <v>0</v>
      </c>
      <c r="M45" s="189">
        <v>0</v>
      </c>
      <c r="N45" s="189">
        <v>0</v>
      </c>
      <c r="O45" s="189">
        <v>0</v>
      </c>
      <c r="P45" s="189">
        <v>0</v>
      </c>
      <c r="Q45" s="189">
        <v>0</v>
      </c>
      <c r="R45" s="189">
        <v>0</v>
      </c>
      <c r="S45" s="189">
        <v>0</v>
      </c>
      <c r="T45" s="189">
        <v>0</v>
      </c>
      <c r="U45" s="189">
        <v>0</v>
      </c>
      <c r="V45" s="189">
        <v>0</v>
      </c>
      <c r="W45" s="189">
        <v>0</v>
      </c>
      <c r="X45" s="189">
        <v>0</v>
      </c>
      <c r="Y45" s="189">
        <v>0</v>
      </c>
      <c r="Z45" s="189"/>
      <c r="AA45" s="189"/>
      <c r="AB45" s="189"/>
      <c r="AC45" s="190"/>
      <c r="AD45" s="190"/>
      <c r="AE45" s="190"/>
      <c r="AF45" s="190"/>
      <c r="AG45" s="190"/>
      <c r="AH45" s="190"/>
      <c r="AI45" s="190"/>
      <c r="AJ45" s="191"/>
      <c r="AK45" s="191"/>
      <c r="AL45" s="191"/>
      <c r="AN45" s="191"/>
      <c r="AO45" s="191"/>
      <c r="AP45" s="191"/>
      <c r="AQ45" s="191"/>
      <c r="AR45" s="191"/>
      <c r="AS45" s="192"/>
      <c r="AT45" s="192"/>
      <c r="AU45" s="192"/>
      <c r="AV45" s="192"/>
    </row>
    <row r="46" spans="1:48">
      <c r="A46" s="173" t="s">
        <v>770</v>
      </c>
      <c r="B46" s="174"/>
      <c r="C46" s="189">
        <v>298</v>
      </c>
      <c r="D46" s="189">
        <v>298</v>
      </c>
      <c r="E46" s="189">
        <v>298</v>
      </c>
      <c r="F46" s="189">
        <v>298</v>
      </c>
      <c r="G46" s="189">
        <v>298</v>
      </c>
      <c r="H46" s="189">
        <v>298</v>
      </c>
      <c r="I46" s="189">
        <v>297</v>
      </c>
      <c r="J46" s="189">
        <v>297</v>
      </c>
      <c r="K46" s="189">
        <v>297</v>
      </c>
      <c r="L46" s="189">
        <v>248</v>
      </c>
      <c r="M46" s="189">
        <v>247</v>
      </c>
      <c r="N46" s="189">
        <v>245</v>
      </c>
      <c r="O46" s="189">
        <v>245</v>
      </c>
      <c r="P46" s="189">
        <v>242</v>
      </c>
      <c r="Q46" s="189">
        <v>242</v>
      </c>
      <c r="R46" s="189">
        <v>439</v>
      </c>
      <c r="S46" s="189">
        <v>602</v>
      </c>
      <c r="T46" s="189">
        <v>1782</v>
      </c>
      <c r="U46" s="189">
        <v>1721</v>
      </c>
      <c r="V46" s="189">
        <v>1840</v>
      </c>
      <c r="W46" s="189">
        <v>1871</v>
      </c>
      <c r="X46" s="189">
        <v>2083</v>
      </c>
      <c r="Y46" s="189">
        <v>2489</v>
      </c>
      <c r="Z46" s="189">
        <v>2819</v>
      </c>
      <c r="AA46" s="189">
        <v>2817</v>
      </c>
      <c r="AB46" s="189">
        <v>2816</v>
      </c>
      <c r="AC46" s="190">
        <v>2782</v>
      </c>
      <c r="AD46" s="190">
        <v>2782</v>
      </c>
      <c r="AE46" s="190">
        <v>2782</v>
      </c>
      <c r="AF46" s="190">
        <v>2781</v>
      </c>
      <c r="AG46" s="190">
        <v>2782</v>
      </c>
      <c r="AH46" s="190">
        <v>2782</v>
      </c>
      <c r="AI46" s="190">
        <v>2936</v>
      </c>
      <c r="AJ46" s="191">
        <v>3027</v>
      </c>
      <c r="AK46" s="191">
        <v>3027</v>
      </c>
      <c r="AL46" s="191">
        <v>2908</v>
      </c>
      <c r="AM46" s="191">
        <v>2895</v>
      </c>
      <c r="AN46" s="191">
        <v>2881</v>
      </c>
      <c r="AO46" s="191">
        <v>2867</v>
      </c>
      <c r="AP46" s="191">
        <v>3230</v>
      </c>
      <c r="AQ46" s="191">
        <v>3230</v>
      </c>
      <c r="AR46" s="191">
        <v>3318</v>
      </c>
      <c r="AS46" s="192">
        <v>3318</v>
      </c>
      <c r="AT46" s="192">
        <v>668</v>
      </c>
      <c r="AU46" s="192">
        <v>652</v>
      </c>
      <c r="AV46" s="192">
        <v>784</v>
      </c>
    </row>
    <row r="47" spans="1:48">
      <c r="A47" s="173" t="s">
        <v>836</v>
      </c>
      <c r="B47" s="174"/>
      <c r="C47" s="189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90"/>
      <c r="AD47" s="190"/>
      <c r="AE47" s="190"/>
      <c r="AF47" s="190"/>
      <c r="AG47" s="190"/>
      <c r="AH47" s="190"/>
      <c r="AI47" s="190"/>
      <c r="AJ47" s="191"/>
      <c r="AK47" s="191"/>
      <c r="AL47" s="191"/>
      <c r="AN47" s="191"/>
      <c r="AO47" s="191"/>
      <c r="AP47" s="191"/>
      <c r="AQ47" s="191"/>
      <c r="AR47" s="191"/>
      <c r="AS47" s="192"/>
      <c r="AT47" s="192"/>
      <c r="AU47" s="192"/>
      <c r="AV47" s="192"/>
    </row>
    <row r="48" spans="1:48">
      <c r="A48" s="173" t="s">
        <v>711</v>
      </c>
      <c r="B48" s="174"/>
      <c r="C48" s="189">
        <v>0</v>
      </c>
      <c r="D48" s="189">
        <v>0</v>
      </c>
      <c r="E48" s="189">
        <v>0</v>
      </c>
      <c r="F48" s="189">
        <v>0</v>
      </c>
      <c r="G48" s="189">
        <v>0</v>
      </c>
      <c r="H48" s="189">
        <v>0</v>
      </c>
      <c r="I48" s="189">
        <v>0</v>
      </c>
      <c r="J48" s="189">
        <v>0</v>
      </c>
      <c r="K48" s="189">
        <v>0</v>
      </c>
      <c r="L48" s="189">
        <v>0</v>
      </c>
      <c r="M48" s="189">
        <v>0</v>
      </c>
      <c r="N48" s="189">
        <v>0</v>
      </c>
      <c r="O48" s="189">
        <v>0</v>
      </c>
      <c r="P48" s="189">
        <v>0</v>
      </c>
      <c r="Q48" s="189">
        <v>0</v>
      </c>
      <c r="R48" s="189">
        <v>0</v>
      </c>
      <c r="S48" s="189">
        <v>0</v>
      </c>
      <c r="T48" s="189">
        <v>0</v>
      </c>
      <c r="U48" s="189">
        <v>0</v>
      </c>
      <c r="V48" s="189">
        <v>0</v>
      </c>
      <c r="W48" s="189">
        <v>0</v>
      </c>
      <c r="X48" s="189">
        <v>0</v>
      </c>
      <c r="Y48" s="189">
        <v>1215</v>
      </c>
      <c r="Z48" s="189">
        <v>1219</v>
      </c>
      <c r="AA48" s="189">
        <v>1311</v>
      </c>
      <c r="AB48" s="189">
        <v>1344</v>
      </c>
      <c r="AC48" s="190">
        <v>1352</v>
      </c>
      <c r="AD48" s="190">
        <f>1437+992</f>
        <v>2429</v>
      </c>
      <c r="AE48" s="190">
        <v>1437</v>
      </c>
      <c r="AF48" s="190">
        <v>1438</v>
      </c>
      <c r="AG48" s="190">
        <v>1437</v>
      </c>
      <c r="AH48" s="190">
        <v>1437</v>
      </c>
      <c r="AI48" s="190">
        <v>1437</v>
      </c>
      <c r="AJ48" s="191">
        <v>2638</v>
      </c>
      <c r="AK48" s="191">
        <v>3438</v>
      </c>
      <c r="AL48" s="191">
        <v>3401</v>
      </c>
      <c r="AM48" s="191">
        <v>4404</v>
      </c>
      <c r="AN48" s="191">
        <v>4767</v>
      </c>
      <c r="AO48" s="191">
        <v>4785</v>
      </c>
      <c r="AP48" s="191">
        <v>6284</v>
      </c>
      <c r="AQ48" s="191">
        <v>6284</v>
      </c>
      <c r="AR48" s="191">
        <v>6312</v>
      </c>
      <c r="AS48" s="192">
        <v>6307</v>
      </c>
      <c r="AT48" s="192">
        <v>6301</v>
      </c>
      <c r="AU48" s="192">
        <v>6325</v>
      </c>
      <c r="AV48" s="192">
        <v>6352</v>
      </c>
    </row>
    <row r="49" spans="1:48" ht="15" thickBot="1">
      <c r="A49" s="173" t="s">
        <v>713</v>
      </c>
      <c r="B49" s="174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90"/>
      <c r="AD49" s="190"/>
      <c r="AE49" s="190">
        <v>963</v>
      </c>
      <c r="AF49" s="190">
        <v>933</v>
      </c>
      <c r="AG49" s="190">
        <v>903</v>
      </c>
      <c r="AH49" s="190">
        <v>874</v>
      </c>
      <c r="AI49" s="190">
        <v>844</v>
      </c>
      <c r="AJ49" s="191">
        <v>815</v>
      </c>
      <c r="AK49" s="191">
        <v>545</v>
      </c>
      <c r="AL49" s="191">
        <v>504</v>
      </c>
      <c r="AM49" s="191">
        <v>463</v>
      </c>
      <c r="AN49" s="191"/>
      <c r="AO49" s="191">
        <v>0</v>
      </c>
      <c r="AP49" s="191"/>
      <c r="AQ49" s="191"/>
      <c r="AR49" s="191"/>
      <c r="AS49" s="192"/>
      <c r="AT49" s="192"/>
      <c r="AU49" s="192"/>
      <c r="AV49" s="192"/>
    </row>
    <row r="50" spans="1:48" ht="15" thickBot="1">
      <c r="A50" s="177" t="s">
        <v>714</v>
      </c>
      <c r="B50" s="170"/>
      <c r="C50" s="178">
        <f t="shared" ref="C50:AD50" si="7">C28+C8</f>
        <v>2451141</v>
      </c>
      <c r="D50" s="178">
        <f t="shared" si="7"/>
        <v>2257637</v>
      </c>
      <c r="E50" s="178">
        <f t="shared" si="7"/>
        <v>2468160</v>
      </c>
      <c r="F50" s="178">
        <f t="shared" si="7"/>
        <v>2390881</v>
      </c>
      <c r="G50" s="178">
        <f t="shared" si="7"/>
        <v>2391937</v>
      </c>
      <c r="H50" s="178">
        <f t="shared" si="7"/>
        <v>2212865</v>
      </c>
      <c r="I50" s="178">
        <f t="shared" si="7"/>
        <v>2506340</v>
      </c>
      <c r="J50" s="178">
        <f t="shared" si="7"/>
        <v>3000101</v>
      </c>
      <c r="K50" s="178">
        <f t="shared" si="7"/>
        <v>3097377</v>
      </c>
      <c r="L50" s="178">
        <f t="shared" si="7"/>
        <v>3607043</v>
      </c>
      <c r="M50" s="178">
        <f t="shared" si="7"/>
        <v>3689169</v>
      </c>
      <c r="N50" s="178">
        <f t="shared" si="7"/>
        <v>3686144</v>
      </c>
      <c r="O50" s="178">
        <f t="shared" si="7"/>
        <v>3827163</v>
      </c>
      <c r="P50" s="178">
        <f t="shared" si="7"/>
        <v>4012260</v>
      </c>
      <c r="Q50" s="178">
        <f t="shared" si="7"/>
        <v>4202299</v>
      </c>
      <c r="R50" s="178">
        <f t="shared" si="7"/>
        <v>4203091</v>
      </c>
      <c r="S50" s="178">
        <f t="shared" si="7"/>
        <v>4261615</v>
      </c>
      <c r="T50" s="178">
        <f t="shared" si="7"/>
        <v>4387277</v>
      </c>
      <c r="U50" s="178">
        <f t="shared" si="7"/>
        <v>4710699</v>
      </c>
      <c r="V50" s="178">
        <f t="shared" si="7"/>
        <v>6186325</v>
      </c>
      <c r="W50" s="178">
        <f t="shared" si="7"/>
        <v>6271181</v>
      </c>
      <c r="X50" s="178">
        <f t="shared" si="7"/>
        <v>6381717</v>
      </c>
      <c r="Y50" s="178">
        <f t="shared" si="7"/>
        <v>7475393</v>
      </c>
      <c r="Z50" s="178">
        <f t="shared" si="7"/>
        <v>7934302</v>
      </c>
      <c r="AA50" s="178">
        <f t="shared" si="7"/>
        <v>8082328</v>
      </c>
      <c r="AB50" s="178">
        <f t="shared" si="7"/>
        <v>8445300</v>
      </c>
      <c r="AC50" s="178">
        <f t="shared" si="7"/>
        <v>8658749</v>
      </c>
      <c r="AD50" s="178">
        <f t="shared" si="7"/>
        <v>10245198</v>
      </c>
      <c r="AE50" s="178">
        <v>10034281</v>
      </c>
      <c r="AF50" s="178">
        <v>10431402</v>
      </c>
      <c r="AG50" s="178">
        <f t="shared" ref="AG50:AR50" si="8">AG28+AG8</f>
        <v>10653439</v>
      </c>
      <c r="AH50" s="178">
        <f t="shared" si="8"/>
        <v>11666770</v>
      </c>
      <c r="AI50" s="178">
        <f t="shared" si="8"/>
        <v>11366760</v>
      </c>
      <c r="AJ50" s="178">
        <f t="shared" si="8"/>
        <v>12005714</v>
      </c>
      <c r="AK50" s="178">
        <f t="shared" si="8"/>
        <v>13712956.22497</v>
      </c>
      <c r="AL50" s="178">
        <f t="shared" si="8"/>
        <v>16075283.978800001</v>
      </c>
      <c r="AM50" s="178">
        <f t="shared" si="8"/>
        <v>21519607</v>
      </c>
      <c r="AN50" s="178">
        <f t="shared" si="8"/>
        <v>21487005</v>
      </c>
      <c r="AO50" s="178">
        <f t="shared" si="8"/>
        <v>22046886</v>
      </c>
      <c r="AP50" s="178">
        <f t="shared" si="8"/>
        <v>22386347</v>
      </c>
      <c r="AQ50" s="178">
        <f t="shared" si="8"/>
        <v>22386347</v>
      </c>
      <c r="AR50" s="178">
        <f t="shared" si="8"/>
        <v>23403654</v>
      </c>
      <c r="AS50" s="178">
        <f>AS28+AS8</f>
        <v>24449220</v>
      </c>
      <c r="AT50" s="178">
        <f>AT28+AT8</f>
        <v>26035163</v>
      </c>
      <c r="AU50" s="178">
        <f>AU28+AU8</f>
        <v>24324976</v>
      </c>
      <c r="AV50" s="178">
        <f>AV28+AV8</f>
        <v>24870119</v>
      </c>
    </row>
    <row r="51" spans="1:48">
      <c r="A51" s="173"/>
      <c r="B51" s="174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N51" s="198"/>
      <c r="AO51" s="198"/>
      <c r="AP51" s="198"/>
      <c r="AQ51" s="198"/>
      <c r="AR51" s="198"/>
      <c r="AS51" s="198"/>
      <c r="AT51" s="198"/>
      <c r="AU51" s="198"/>
      <c r="AV51" s="198"/>
    </row>
    <row r="52" spans="1:48" ht="15" thickBot="1">
      <c r="A52" s="5" t="s">
        <v>715</v>
      </c>
      <c r="B52" s="168"/>
      <c r="C52" s="528" t="str">
        <f t="shared" ref="C52:X52" si="9">C7</f>
        <v>1T13</v>
      </c>
      <c r="D52" s="528" t="str">
        <f t="shared" si="9"/>
        <v>2T13</v>
      </c>
      <c r="E52" s="528" t="str">
        <f t="shared" si="9"/>
        <v>3T13</v>
      </c>
      <c r="F52" s="528" t="str">
        <f t="shared" si="9"/>
        <v>4T13</v>
      </c>
      <c r="G52" s="528" t="str">
        <f t="shared" si="9"/>
        <v>1T14</v>
      </c>
      <c r="H52" s="528" t="str">
        <f t="shared" si="9"/>
        <v>2T14</v>
      </c>
      <c r="I52" s="528" t="str">
        <f t="shared" si="9"/>
        <v>3T14</v>
      </c>
      <c r="J52" s="528" t="str">
        <f t="shared" si="9"/>
        <v>4T14</v>
      </c>
      <c r="K52" s="528" t="str">
        <f t="shared" si="9"/>
        <v>1T15</v>
      </c>
      <c r="L52" s="528" t="str">
        <f t="shared" si="9"/>
        <v>2T15</v>
      </c>
      <c r="M52" s="528" t="str">
        <f t="shared" si="9"/>
        <v>3T15</v>
      </c>
      <c r="N52" s="528" t="str">
        <f t="shared" si="9"/>
        <v>4T15</v>
      </c>
      <c r="O52" s="528" t="str">
        <f t="shared" si="9"/>
        <v>1T16</v>
      </c>
      <c r="P52" s="528" t="str">
        <f t="shared" si="9"/>
        <v>2T16</v>
      </c>
      <c r="Q52" s="528" t="str">
        <f t="shared" si="9"/>
        <v>3T16</v>
      </c>
      <c r="R52" s="528" t="str">
        <f t="shared" si="9"/>
        <v>4T16</v>
      </c>
      <c r="S52" s="528" t="str">
        <f t="shared" si="9"/>
        <v>1T17</v>
      </c>
      <c r="T52" s="528" t="str">
        <f t="shared" si="9"/>
        <v>2T17</v>
      </c>
      <c r="U52" s="528" t="str">
        <f t="shared" si="9"/>
        <v>3T17</v>
      </c>
      <c r="V52" s="528" t="str">
        <f t="shared" si="9"/>
        <v>4T17</v>
      </c>
      <c r="W52" s="528" t="str">
        <f t="shared" si="9"/>
        <v>1T18</v>
      </c>
      <c r="X52" s="528" t="str">
        <f t="shared" si="9"/>
        <v>2T18</v>
      </c>
      <c r="Y52" s="528" t="s">
        <v>31</v>
      </c>
      <c r="Z52" s="528" t="s">
        <v>32</v>
      </c>
      <c r="AA52" s="528" t="s">
        <v>33</v>
      </c>
      <c r="AB52" s="528" t="s">
        <v>34</v>
      </c>
      <c r="AC52" s="564" t="s">
        <v>35</v>
      </c>
      <c r="AD52" s="564" t="s">
        <v>36</v>
      </c>
      <c r="AE52" s="564" t="str">
        <f t="shared" ref="AE52:AR52" si="10">AE7</f>
        <v>1T20</v>
      </c>
      <c r="AF52" s="564" t="str">
        <f t="shared" si="10"/>
        <v>2T20</v>
      </c>
      <c r="AG52" s="564" t="str">
        <f t="shared" si="10"/>
        <v>3T20</v>
      </c>
      <c r="AH52" s="564" t="str">
        <f t="shared" si="10"/>
        <v>4T20</v>
      </c>
      <c r="AI52" s="564" t="str">
        <f t="shared" si="10"/>
        <v>1T21</v>
      </c>
      <c r="AJ52" s="564" t="str">
        <f t="shared" si="10"/>
        <v>2T21</v>
      </c>
      <c r="AK52" s="564" t="str">
        <f t="shared" si="10"/>
        <v>3T21</v>
      </c>
      <c r="AL52" s="564" t="str">
        <f t="shared" si="10"/>
        <v>4T21</v>
      </c>
      <c r="AM52" s="564" t="str">
        <f t="shared" si="10"/>
        <v>1T22</v>
      </c>
      <c r="AN52" s="564" t="str">
        <f t="shared" si="10"/>
        <v>2T22</v>
      </c>
      <c r="AO52" s="564" t="str">
        <f t="shared" si="10"/>
        <v>3T22</v>
      </c>
      <c r="AP52" s="564" t="str">
        <f t="shared" si="10"/>
        <v>4T22</v>
      </c>
      <c r="AQ52" s="564" t="str">
        <f t="shared" si="10"/>
        <v>1T23</v>
      </c>
      <c r="AR52" s="564" t="str">
        <f t="shared" si="10"/>
        <v>2T23</v>
      </c>
      <c r="AS52" s="564" t="s">
        <v>51</v>
      </c>
      <c r="AT52" s="564" t="s">
        <v>52</v>
      </c>
      <c r="AU52" s="564" t="s">
        <v>53</v>
      </c>
      <c r="AV52" s="564" t="s">
        <v>54</v>
      </c>
    </row>
    <row r="53" spans="1:48" ht="15" thickBot="1">
      <c r="A53" s="169" t="s">
        <v>690</v>
      </c>
      <c r="B53" s="170"/>
      <c r="C53" s="171">
        <f t="shared" ref="C53:AD53" si="11">SUM(C54:C68)</f>
        <v>69175</v>
      </c>
      <c r="D53" s="171">
        <f t="shared" si="11"/>
        <v>61473</v>
      </c>
      <c r="E53" s="171">
        <f t="shared" si="11"/>
        <v>67735</v>
      </c>
      <c r="F53" s="171">
        <f t="shared" si="11"/>
        <v>36658</v>
      </c>
      <c r="G53" s="171">
        <f t="shared" si="11"/>
        <v>22507</v>
      </c>
      <c r="H53" s="171">
        <f t="shared" si="11"/>
        <v>29700</v>
      </c>
      <c r="I53" s="171">
        <f t="shared" si="11"/>
        <v>34840</v>
      </c>
      <c r="J53" s="171">
        <f t="shared" si="11"/>
        <v>163684</v>
      </c>
      <c r="K53" s="171">
        <f t="shared" si="11"/>
        <v>165015</v>
      </c>
      <c r="L53" s="171">
        <f t="shared" si="11"/>
        <v>167704</v>
      </c>
      <c r="M53" s="171">
        <f t="shared" si="11"/>
        <v>173409</v>
      </c>
      <c r="N53" s="171">
        <f t="shared" si="11"/>
        <v>206842</v>
      </c>
      <c r="O53" s="171">
        <f t="shared" si="11"/>
        <v>205873</v>
      </c>
      <c r="P53" s="171">
        <f t="shared" si="11"/>
        <v>207414</v>
      </c>
      <c r="Q53" s="171">
        <f t="shared" si="11"/>
        <v>206638</v>
      </c>
      <c r="R53" s="171">
        <f t="shared" si="11"/>
        <v>179043</v>
      </c>
      <c r="S53" s="171">
        <f t="shared" si="11"/>
        <v>186001</v>
      </c>
      <c r="T53" s="171">
        <f t="shared" si="11"/>
        <v>180338</v>
      </c>
      <c r="U53" s="171">
        <f t="shared" si="11"/>
        <v>192581</v>
      </c>
      <c r="V53" s="171">
        <f t="shared" si="11"/>
        <v>583031</v>
      </c>
      <c r="W53" s="171">
        <f t="shared" si="11"/>
        <v>601970</v>
      </c>
      <c r="X53" s="171">
        <f t="shared" si="11"/>
        <v>594745</v>
      </c>
      <c r="Y53" s="171">
        <f t="shared" si="11"/>
        <v>1437919</v>
      </c>
      <c r="Z53" s="171">
        <f t="shared" si="11"/>
        <v>1073438</v>
      </c>
      <c r="AA53" s="171">
        <f t="shared" si="11"/>
        <v>1100575</v>
      </c>
      <c r="AB53" s="171">
        <f t="shared" si="11"/>
        <v>1091805</v>
      </c>
      <c r="AC53" s="171">
        <f t="shared" si="11"/>
        <v>756029</v>
      </c>
      <c r="AD53" s="171">
        <f t="shared" si="11"/>
        <v>864797</v>
      </c>
      <c r="AE53" s="171">
        <v>873341</v>
      </c>
      <c r="AF53" s="171">
        <v>873026</v>
      </c>
      <c r="AG53" s="171">
        <f t="shared" ref="AG53:AN53" si="12">SUM(AG54:AG68)</f>
        <v>358274</v>
      </c>
      <c r="AH53" s="171">
        <f t="shared" si="12"/>
        <v>605880</v>
      </c>
      <c r="AI53" s="171">
        <f t="shared" si="12"/>
        <v>580434</v>
      </c>
      <c r="AJ53" s="171">
        <f t="shared" si="12"/>
        <v>830340</v>
      </c>
      <c r="AK53" s="171">
        <f t="shared" si="12"/>
        <v>747053</v>
      </c>
      <c r="AL53" s="171">
        <f t="shared" si="12"/>
        <v>37998</v>
      </c>
      <c r="AM53" s="171">
        <f t="shared" si="12"/>
        <v>779574</v>
      </c>
      <c r="AN53" s="171">
        <f t="shared" si="12"/>
        <v>776133</v>
      </c>
      <c r="AO53" s="171">
        <f t="shared" ref="AO53:AV53" si="13">SUM(AO54:AO68)</f>
        <v>864783</v>
      </c>
      <c r="AP53" s="171">
        <f t="shared" si="13"/>
        <v>1030629</v>
      </c>
      <c r="AQ53" s="171">
        <f t="shared" si="13"/>
        <v>1034035</v>
      </c>
      <c r="AR53" s="171">
        <f t="shared" si="13"/>
        <v>141639</v>
      </c>
      <c r="AS53" s="171">
        <f t="shared" si="13"/>
        <v>165469</v>
      </c>
      <c r="AT53" s="171">
        <f t="shared" si="13"/>
        <v>705360</v>
      </c>
      <c r="AU53" s="171">
        <f t="shared" si="13"/>
        <v>606960</v>
      </c>
      <c r="AV53" s="171">
        <f t="shared" si="13"/>
        <v>19374</v>
      </c>
    </row>
    <row r="54" spans="1:48">
      <c r="A54" s="182" t="s">
        <v>716</v>
      </c>
      <c r="B54" s="183"/>
      <c r="C54" s="189">
        <v>612</v>
      </c>
      <c r="D54" s="189">
        <v>710</v>
      </c>
      <c r="E54" s="189">
        <v>250</v>
      </c>
      <c r="F54" s="189">
        <v>212</v>
      </c>
      <c r="G54" s="189">
        <v>376</v>
      </c>
      <c r="H54" s="189">
        <v>249</v>
      </c>
      <c r="I54" s="189">
        <v>263</v>
      </c>
      <c r="J54" s="189">
        <v>158</v>
      </c>
      <c r="K54" s="189">
        <v>269</v>
      </c>
      <c r="L54" s="189">
        <v>305</v>
      </c>
      <c r="M54" s="189">
        <v>310</v>
      </c>
      <c r="N54" s="189">
        <v>305</v>
      </c>
      <c r="O54" s="189">
        <v>395</v>
      </c>
      <c r="P54" s="189">
        <v>427</v>
      </c>
      <c r="Q54" s="189">
        <v>434</v>
      </c>
      <c r="R54" s="189">
        <v>702</v>
      </c>
      <c r="S54" s="189">
        <v>926</v>
      </c>
      <c r="T54" s="189">
        <v>1154</v>
      </c>
      <c r="U54" s="189">
        <v>532</v>
      </c>
      <c r="V54" s="189">
        <v>1178</v>
      </c>
      <c r="W54" s="189">
        <v>704</v>
      </c>
      <c r="X54" s="189">
        <v>2032</v>
      </c>
      <c r="Y54" s="189">
        <v>1667</v>
      </c>
      <c r="Z54" s="189">
        <v>993</v>
      </c>
      <c r="AA54" s="189">
        <v>536</v>
      </c>
      <c r="AB54" s="189">
        <v>612</v>
      </c>
      <c r="AC54" s="190">
        <v>639</v>
      </c>
      <c r="AD54" s="190">
        <v>2081</v>
      </c>
      <c r="AE54" s="190">
        <v>1134</v>
      </c>
      <c r="AF54" s="190">
        <v>1479</v>
      </c>
      <c r="AG54" s="190">
        <v>1958</v>
      </c>
      <c r="AH54" s="190">
        <v>33007</v>
      </c>
      <c r="AI54" s="190">
        <v>1125</v>
      </c>
      <c r="AJ54" s="191">
        <v>1297</v>
      </c>
      <c r="AK54" s="191">
        <v>1768</v>
      </c>
      <c r="AL54" s="191">
        <v>2957</v>
      </c>
      <c r="AM54" s="191">
        <v>3697</v>
      </c>
      <c r="AN54" s="191">
        <v>1780</v>
      </c>
      <c r="AO54" s="191">
        <v>1254</v>
      </c>
      <c r="AP54" s="191">
        <v>2655</v>
      </c>
      <c r="AQ54" s="191">
        <v>2655</v>
      </c>
      <c r="AR54" s="191">
        <v>4175</v>
      </c>
      <c r="AS54" s="192">
        <v>3306</v>
      </c>
      <c r="AT54" s="192">
        <v>3796</v>
      </c>
      <c r="AU54" s="192">
        <v>14077</v>
      </c>
      <c r="AV54" s="192">
        <v>5486</v>
      </c>
    </row>
    <row r="55" spans="1:48">
      <c r="A55" s="182" t="s">
        <v>717</v>
      </c>
      <c r="B55" s="183"/>
      <c r="C55" s="189">
        <v>377</v>
      </c>
      <c r="D55" s="189">
        <v>250</v>
      </c>
      <c r="E55" s="189">
        <v>241</v>
      </c>
      <c r="F55" s="189">
        <v>127</v>
      </c>
      <c r="G55" s="189">
        <v>390</v>
      </c>
      <c r="H55" s="189">
        <v>157</v>
      </c>
      <c r="I55" s="189">
        <v>186</v>
      </c>
      <c r="J55" s="189">
        <v>178</v>
      </c>
      <c r="K55" s="189">
        <v>2316</v>
      </c>
      <c r="L55" s="189">
        <v>179</v>
      </c>
      <c r="M55" s="189">
        <v>181</v>
      </c>
      <c r="N55" s="189">
        <v>223</v>
      </c>
      <c r="O55" s="189">
        <v>2602</v>
      </c>
      <c r="P55" s="189">
        <v>131</v>
      </c>
      <c r="Q55" s="189">
        <v>106</v>
      </c>
      <c r="R55" s="189">
        <v>489</v>
      </c>
      <c r="S55" s="189">
        <v>570</v>
      </c>
      <c r="T55" s="189">
        <v>795</v>
      </c>
      <c r="U55" s="189">
        <v>1083</v>
      </c>
      <c r="V55" s="189">
        <v>1063</v>
      </c>
      <c r="W55" s="189">
        <v>838</v>
      </c>
      <c r="X55" s="189">
        <v>703</v>
      </c>
      <c r="Y55" s="189">
        <v>717</v>
      </c>
      <c r="Z55" s="189">
        <v>712</v>
      </c>
      <c r="AA55" s="189">
        <v>876</v>
      </c>
      <c r="AB55" s="189">
        <v>794</v>
      </c>
      <c r="AC55" s="190">
        <v>848</v>
      </c>
      <c r="AD55" s="190">
        <v>722</v>
      </c>
      <c r="AE55" s="190">
        <v>827</v>
      </c>
      <c r="AF55" s="190">
        <v>906</v>
      </c>
      <c r="AG55" s="190">
        <v>725</v>
      </c>
      <c r="AH55" s="190">
        <v>304</v>
      </c>
      <c r="AI55" s="190">
        <v>405</v>
      </c>
      <c r="AJ55" s="191">
        <v>453</v>
      </c>
      <c r="AK55" s="191">
        <v>550</v>
      </c>
      <c r="AL55" s="191">
        <v>547</v>
      </c>
      <c r="AM55" s="191">
        <v>546</v>
      </c>
      <c r="AN55" s="191">
        <v>714</v>
      </c>
      <c r="AO55" s="191">
        <v>880</v>
      </c>
      <c r="AP55" s="191">
        <v>643</v>
      </c>
      <c r="AQ55" s="191">
        <v>643</v>
      </c>
      <c r="AR55" s="191">
        <v>866</v>
      </c>
      <c r="AS55" s="192">
        <v>1065</v>
      </c>
      <c r="AT55" s="192">
        <v>888</v>
      </c>
      <c r="AU55" s="192">
        <v>1350</v>
      </c>
      <c r="AV55" s="192">
        <v>1374</v>
      </c>
    </row>
    <row r="56" spans="1:48">
      <c r="A56" s="173" t="s">
        <v>718</v>
      </c>
      <c r="B56" s="174"/>
      <c r="C56" s="189">
        <v>0</v>
      </c>
      <c r="D56" s="189">
        <v>0</v>
      </c>
      <c r="E56" s="189">
        <v>0</v>
      </c>
      <c r="F56" s="189">
        <v>0</v>
      </c>
      <c r="G56" s="189">
        <v>0</v>
      </c>
      <c r="H56" s="189">
        <v>0</v>
      </c>
      <c r="I56" s="189">
        <v>0</v>
      </c>
      <c r="J56" s="189">
        <v>0</v>
      </c>
      <c r="K56" s="189">
        <v>0</v>
      </c>
      <c r="L56" s="189">
        <v>0</v>
      </c>
      <c r="M56" s="189">
        <v>0</v>
      </c>
      <c r="N56" s="189">
        <v>0</v>
      </c>
      <c r="O56" s="189">
        <v>0</v>
      </c>
      <c r="P56" s="189">
        <v>0</v>
      </c>
      <c r="Q56" s="189">
        <v>0</v>
      </c>
      <c r="R56" s="189">
        <v>0</v>
      </c>
      <c r="S56" s="189">
        <v>0</v>
      </c>
      <c r="T56" s="189">
        <v>0</v>
      </c>
      <c r="U56" s="189">
        <v>0</v>
      </c>
      <c r="V56" s="189">
        <v>310447</v>
      </c>
      <c r="W56" s="189">
        <v>315831</v>
      </c>
      <c r="X56" s="189">
        <v>320496</v>
      </c>
      <c r="Y56" s="189">
        <v>1147081</v>
      </c>
      <c r="Z56" s="189">
        <v>834166</v>
      </c>
      <c r="AA56" s="189">
        <v>847802</v>
      </c>
      <c r="AB56" s="189">
        <v>861827</v>
      </c>
      <c r="AC56" s="190">
        <v>500674</v>
      </c>
      <c r="AD56" s="190">
        <v>507358</v>
      </c>
      <c r="AE56" s="190">
        <v>512906</v>
      </c>
      <c r="AF56" s="190">
        <v>516991</v>
      </c>
      <c r="AG56" s="190"/>
      <c r="AH56" s="190"/>
      <c r="AI56" s="190"/>
      <c r="AJ56" s="191"/>
      <c r="AK56" s="191"/>
      <c r="AL56" s="191"/>
      <c r="AN56" s="191"/>
      <c r="AO56" s="191"/>
      <c r="AP56" s="191">
        <v>501404</v>
      </c>
      <c r="AQ56" s="191">
        <v>501404</v>
      </c>
      <c r="AR56" s="191">
        <v>0</v>
      </c>
      <c r="AS56" s="192"/>
      <c r="AT56" s="192"/>
      <c r="AU56" s="192"/>
      <c r="AV56" s="192"/>
    </row>
    <row r="57" spans="1:48">
      <c r="A57" s="173" t="s">
        <v>719</v>
      </c>
      <c r="B57" s="174"/>
      <c r="C57" s="189">
        <v>0</v>
      </c>
      <c r="D57" s="189">
        <v>0</v>
      </c>
      <c r="E57" s="189">
        <v>0</v>
      </c>
      <c r="F57" s="189">
        <v>0</v>
      </c>
      <c r="G57" s="189">
        <v>0</v>
      </c>
      <c r="H57" s="189">
        <v>0</v>
      </c>
      <c r="I57" s="189">
        <v>0</v>
      </c>
      <c r="J57" s="189">
        <v>0</v>
      </c>
      <c r="K57" s="189">
        <v>0</v>
      </c>
      <c r="L57" s="189">
        <v>0</v>
      </c>
      <c r="M57" s="189">
        <v>0</v>
      </c>
      <c r="N57" s="189">
        <v>0</v>
      </c>
      <c r="O57" s="189">
        <v>0</v>
      </c>
      <c r="P57" s="189">
        <v>0</v>
      </c>
      <c r="Q57" s="189">
        <v>0</v>
      </c>
      <c r="R57" s="189">
        <v>0</v>
      </c>
      <c r="S57" s="189">
        <v>0</v>
      </c>
      <c r="T57" s="189">
        <v>0</v>
      </c>
      <c r="U57" s="189">
        <v>0</v>
      </c>
      <c r="V57" s="189">
        <v>3269</v>
      </c>
      <c r="W57" s="189">
        <v>18561</v>
      </c>
      <c r="X57" s="189">
        <v>10220</v>
      </c>
      <c r="Y57" s="189">
        <v>24976</v>
      </c>
      <c r="Z57" s="189">
        <v>14112</v>
      </c>
      <c r="AA57" s="189">
        <v>37348</v>
      </c>
      <c r="AB57" s="189">
        <v>17861</v>
      </c>
      <c r="AC57" s="190">
        <v>42009</v>
      </c>
      <c r="AD57" s="190">
        <v>11622</v>
      </c>
      <c r="AE57" s="190">
        <v>14199</v>
      </c>
      <c r="AF57" s="190">
        <v>7385</v>
      </c>
      <c r="AG57" s="190">
        <v>12997</v>
      </c>
      <c r="AH57" s="190">
        <v>3161</v>
      </c>
      <c r="AI57" s="190">
        <v>8448</v>
      </c>
      <c r="AJ57" s="191">
        <v>7993</v>
      </c>
      <c r="AK57" s="191">
        <v>17090</v>
      </c>
      <c r="AL57" s="191">
        <v>12247</v>
      </c>
      <c r="AM57" s="191">
        <v>103167</v>
      </c>
      <c r="AN57" s="191">
        <v>108881</v>
      </c>
      <c r="AO57" s="191">
        <v>142446</v>
      </c>
      <c r="AP57" s="191">
        <v>125480</v>
      </c>
      <c r="AQ57" s="191">
        <v>125480</v>
      </c>
      <c r="AR57" s="191">
        <v>122855</v>
      </c>
      <c r="AS57" s="192">
        <v>140447</v>
      </c>
      <c r="AT57" s="192">
        <v>96672</v>
      </c>
      <c r="AU57" s="192">
        <v>65619</v>
      </c>
      <c r="AV57" s="192">
        <v>4279</v>
      </c>
    </row>
    <row r="58" spans="1:48">
      <c r="A58" s="173" t="s">
        <v>721</v>
      </c>
      <c r="B58" s="174"/>
      <c r="C58" s="189">
        <v>689</v>
      </c>
      <c r="D58" s="189">
        <v>125</v>
      </c>
      <c r="E58" s="189">
        <v>258</v>
      </c>
      <c r="F58" s="189">
        <v>72</v>
      </c>
      <c r="G58" s="189">
        <v>254</v>
      </c>
      <c r="H58" s="189">
        <v>71</v>
      </c>
      <c r="I58" s="189">
        <v>79</v>
      </c>
      <c r="J58" s="189">
        <v>94</v>
      </c>
      <c r="K58" s="189">
        <v>1672</v>
      </c>
      <c r="L58" s="189">
        <v>77</v>
      </c>
      <c r="M58" s="189">
        <v>436</v>
      </c>
      <c r="N58" s="189">
        <v>483</v>
      </c>
      <c r="O58" s="189">
        <v>3068</v>
      </c>
      <c r="P58" s="189">
        <v>2151</v>
      </c>
      <c r="Q58" s="189">
        <v>3143</v>
      </c>
      <c r="R58" s="189">
        <v>4013</v>
      </c>
      <c r="S58" s="189">
        <v>4915</v>
      </c>
      <c r="T58" s="189">
        <v>5097</v>
      </c>
      <c r="U58" s="189">
        <v>3742</v>
      </c>
      <c r="V58" s="189">
        <v>3851</v>
      </c>
      <c r="W58" s="189">
        <v>3021</v>
      </c>
      <c r="X58" s="189">
        <v>2870</v>
      </c>
      <c r="Y58" s="189">
        <v>2774</v>
      </c>
      <c r="Z58" s="189">
        <v>2769</v>
      </c>
      <c r="AA58" s="189">
        <v>2612</v>
      </c>
      <c r="AB58" s="189">
        <v>2586</v>
      </c>
      <c r="AC58" s="190">
        <v>2634</v>
      </c>
      <c r="AD58" s="190">
        <v>2761</v>
      </c>
      <c r="AE58" s="190">
        <v>2635</v>
      </c>
      <c r="AF58" s="190">
        <v>3168</v>
      </c>
      <c r="AG58" s="190">
        <v>2946</v>
      </c>
      <c r="AH58" s="190">
        <v>2763</v>
      </c>
      <c r="AI58" s="190">
        <v>2718</v>
      </c>
      <c r="AJ58" s="191">
        <v>2663</v>
      </c>
      <c r="AK58" s="191">
        <v>3213</v>
      </c>
      <c r="AL58" s="191">
        <v>3644</v>
      </c>
      <c r="AM58" s="191">
        <v>3022</v>
      </c>
      <c r="AN58" s="191">
        <v>2316</v>
      </c>
      <c r="AO58" s="191">
        <v>878</v>
      </c>
      <c r="AP58" s="191">
        <v>2221</v>
      </c>
      <c r="AQ58" s="191">
        <v>2221</v>
      </c>
      <c r="AR58" s="191">
        <v>2116</v>
      </c>
      <c r="AS58" s="192">
        <v>7434</v>
      </c>
      <c r="AT58" s="192">
        <v>5251</v>
      </c>
      <c r="AU58" s="192">
        <v>2091</v>
      </c>
      <c r="AV58" s="192">
        <v>2314</v>
      </c>
    </row>
    <row r="59" spans="1:48">
      <c r="A59" s="173" t="s">
        <v>771</v>
      </c>
      <c r="B59" s="174"/>
      <c r="C59" s="189">
        <v>198</v>
      </c>
      <c r="D59" s="189">
        <v>9</v>
      </c>
      <c r="E59" s="189">
        <v>5247</v>
      </c>
      <c r="F59" s="189">
        <v>11772</v>
      </c>
      <c r="G59" s="189">
        <v>3123</v>
      </c>
      <c r="H59" s="189">
        <v>8197</v>
      </c>
      <c r="I59" s="189">
        <v>12837</v>
      </c>
      <c r="J59" s="189">
        <v>7209</v>
      </c>
      <c r="K59" s="189">
        <v>8040</v>
      </c>
      <c r="L59" s="189">
        <v>13404</v>
      </c>
      <c r="M59" s="189">
        <v>17491</v>
      </c>
      <c r="N59" s="189">
        <v>10637</v>
      </c>
      <c r="O59" s="189">
        <v>6643</v>
      </c>
      <c r="P59" s="189">
        <v>10378</v>
      </c>
      <c r="Q59" s="189">
        <v>7466</v>
      </c>
      <c r="R59" s="189">
        <v>0</v>
      </c>
      <c r="S59" s="189">
        <v>4978</v>
      </c>
      <c r="T59" s="189">
        <v>3724</v>
      </c>
      <c r="U59" s="189">
        <v>629</v>
      </c>
      <c r="V59" s="189">
        <v>5443</v>
      </c>
      <c r="W59" s="189">
        <v>3227</v>
      </c>
      <c r="X59" s="189">
        <v>3272</v>
      </c>
      <c r="Y59" s="189">
        <v>3233</v>
      </c>
      <c r="Z59" s="189">
        <v>3249</v>
      </c>
      <c r="AA59" s="189">
        <v>3229</v>
      </c>
      <c r="AB59" s="189">
        <v>3236</v>
      </c>
      <c r="AC59" s="190">
        <v>3241</v>
      </c>
      <c r="AD59" s="190">
        <v>41</v>
      </c>
      <c r="AE59" s="190">
        <v>17</v>
      </c>
      <c r="AF59" s="190">
        <v>19</v>
      </c>
      <c r="AG59" s="190">
        <v>11</v>
      </c>
      <c r="AH59" s="190">
        <v>61</v>
      </c>
      <c r="AI59" s="190">
        <v>30</v>
      </c>
      <c r="AJ59" s="191">
        <v>16</v>
      </c>
      <c r="AK59" s="191">
        <v>88</v>
      </c>
      <c r="AL59" s="191">
        <v>116</v>
      </c>
      <c r="AM59" s="191">
        <v>88</v>
      </c>
      <c r="AN59" s="191">
        <v>16</v>
      </c>
      <c r="AO59" s="191">
        <v>12</v>
      </c>
      <c r="AP59" s="191">
        <v>42</v>
      </c>
      <c r="AQ59" s="191">
        <v>42</v>
      </c>
      <c r="AR59" s="191">
        <v>24</v>
      </c>
      <c r="AS59" s="192">
        <v>5</v>
      </c>
      <c r="AT59" s="192">
        <v>30</v>
      </c>
      <c r="AU59" s="192">
        <v>74</v>
      </c>
      <c r="AV59" s="192">
        <v>44</v>
      </c>
    </row>
    <row r="60" spans="1:48">
      <c r="A60" s="173" t="s">
        <v>723</v>
      </c>
      <c r="B60" s="174"/>
      <c r="C60" s="189">
        <v>33829</v>
      </c>
      <c r="D60" s="189">
        <v>33829</v>
      </c>
      <c r="E60" s="189">
        <v>33829</v>
      </c>
      <c r="F60" s="189">
        <v>16399</v>
      </c>
      <c r="G60" s="189">
        <v>16399</v>
      </c>
      <c r="H60" s="189">
        <v>17958</v>
      </c>
      <c r="I60" s="189">
        <v>17958</v>
      </c>
      <c r="J60" s="189">
        <v>151565</v>
      </c>
      <c r="K60" s="189">
        <v>151565</v>
      </c>
      <c r="L60" s="189">
        <v>151565</v>
      </c>
      <c r="M60" s="189">
        <v>151565</v>
      </c>
      <c r="N60" s="189">
        <v>191943</v>
      </c>
      <c r="O60" s="189">
        <v>191943</v>
      </c>
      <c r="P60" s="189">
        <v>191943</v>
      </c>
      <c r="Q60" s="189">
        <v>191943</v>
      </c>
      <c r="R60" s="189">
        <v>169288</v>
      </c>
      <c r="S60" s="189">
        <v>169288</v>
      </c>
      <c r="T60" s="189">
        <v>169284</v>
      </c>
      <c r="U60" s="189">
        <v>169284</v>
      </c>
      <c r="V60" s="189">
        <v>234834</v>
      </c>
      <c r="W60" s="189">
        <v>234679</v>
      </c>
      <c r="X60" s="189">
        <v>234679</v>
      </c>
      <c r="Y60" s="189">
        <v>234679</v>
      </c>
      <c r="Z60" s="189">
        <v>190701</v>
      </c>
      <c r="AA60" s="189">
        <v>190490</v>
      </c>
      <c r="AB60" s="189">
        <v>190490</v>
      </c>
      <c r="AC60" s="190">
        <v>190491</v>
      </c>
      <c r="AD60" s="190">
        <v>322581</v>
      </c>
      <c r="AE60" s="190">
        <v>322469</v>
      </c>
      <c r="AF60" s="190">
        <v>322469</v>
      </c>
      <c r="AG60" s="190">
        <v>322469</v>
      </c>
      <c r="AH60" s="190">
        <v>547597</v>
      </c>
      <c r="AI60" s="190">
        <v>547565</v>
      </c>
      <c r="AJ60" s="191">
        <v>707099</v>
      </c>
      <c r="AK60" s="191">
        <v>707054</v>
      </c>
      <c r="AL60" s="191"/>
      <c r="AM60" s="191">
        <v>648864</v>
      </c>
      <c r="AN60" s="191">
        <v>648864</v>
      </c>
      <c r="AO60" s="191">
        <v>704041</v>
      </c>
      <c r="AP60" s="191">
        <v>381207</v>
      </c>
      <c r="AQ60" s="191">
        <v>384613</v>
      </c>
      <c r="AR60" s="191">
        <v>42</v>
      </c>
      <c r="AS60" s="192">
        <v>42</v>
      </c>
      <c r="AT60" s="192">
        <v>583934</v>
      </c>
      <c r="AU60" s="192">
        <v>507356</v>
      </c>
      <c r="AV60" s="192">
        <v>72</v>
      </c>
    </row>
    <row r="61" spans="1:48">
      <c r="A61" s="173" t="s">
        <v>725</v>
      </c>
      <c r="B61" s="174"/>
      <c r="C61" s="189">
        <v>0</v>
      </c>
      <c r="D61" s="189">
        <v>0</v>
      </c>
      <c r="E61" s="189">
        <v>0</v>
      </c>
      <c r="F61" s="189">
        <v>0</v>
      </c>
      <c r="G61" s="189">
        <v>0</v>
      </c>
      <c r="H61" s="189">
        <v>0</v>
      </c>
      <c r="I61" s="189">
        <v>0</v>
      </c>
      <c r="J61" s="189">
        <v>0</v>
      </c>
      <c r="K61" s="189">
        <v>0</v>
      </c>
      <c r="L61" s="189">
        <v>0</v>
      </c>
      <c r="M61" s="189">
        <v>0</v>
      </c>
      <c r="N61" s="189">
        <v>0</v>
      </c>
      <c r="O61" s="189">
        <v>0</v>
      </c>
      <c r="P61" s="189">
        <v>0</v>
      </c>
      <c r="Q61" s="189">
        <v>0</v>
      </c>
      <c r="R61" s="189">
        <v>0</v>
      </c>
      <c r="S61" s="189">
        <v>0</v>
      </c>
      <c r="T61" s="189">
        <v>0</v>
      </c>
      <c r="U61" s="189">
        <v>0</v>
      </c>
      <c r="V61" s="189">
        <v>0</v>
      </c>
      <c r="W61" s="189">
        <v>0</v>
      </c>
      <c r="X61" s="189">
        <v>0</v>
      </c>
      <c r="Y61" s="189">
        <v>0</v>
      </c>
      <c r="Z61" s="189">
        <v>0</v>
      </c>
      <c r="AA61" s="189"/>
      <c r="AB61" s="189"/>
      <c r="AC61" s="190"/>
      <c r="AD61" s="190"/>
      <c r="AE61" s="190"/>
      <c r="AF61" s="190"/>
      <c r="AG61" s="190"/>
      <c r="AH61" s="190"/>
      <c r="AI61" s="190"/>
      <c r="AJ61" s="191"/>
      <c r="AK61" s="191"/>
      <c r="AL61" s="191"/>
      <c r="AN61" s="191"/>
      <c r="AO61" s="191"/>
      <c r="AP61" s="191"/>
      <c r="AQ61" s="191"/>
      <c r="AR61" s="191"/>
      <c r="AS61" s="192"/>
      <c r="AT61" s="192"/>
      <c r="AU61" s="192"/>
      <c r="AV61" s="192"/>
    </row>
    <row r="62" spans="1:48">
      <c r="A62" s="173" t="s">
        <v>727</v>
      </c>
      <c r="B62" s="174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90">
        <v>15493</v>
      </c>
      <c r="AD62" s="190">
        <v>17466</v>
      </c>
      <c r="AE62" s="190">
        <v>19065</v>
      </c>
      <c r="AF62" s="190">
        <v>20451</v>
      </c>
      <c r="AG62" s="190">
        <v>17026</v>
      </c>
      <c r="AH62" s="190">
        <v>18848</v>
      </c>
      <c r="AI62" s="190">
        <v>19994</v>
      </c>
      <c r="AJ62" s="191">
        <v>16156</v>
      </c>
      <c r="AK62" s="191"/>
      <c r="AL62" s="191">
        <v>18328</v>
      </c>
      <c r="AM62" s="191">
        <v>20033</v>
      </c>
      <c r="AN62" s="191">
        <v>13560</v>
      </c>
      <c r="AO62" s="191">
        <v>15267</v>
      </c>
      <c r="AP62" s="191">
        <v>16973</v>
      </c>
      <c r="AQ62" s="191">
        <v>16973</v>
      </c>
      <c r="AR62" s="191">
        <v>11558</v>
      </c>
      <c r="AS62" s="192">
        <v>13168</v>
      </c>
      <c r="AT62" s="192">
        <v>14778</v>
      </c>
      <c r="AU62" s="192">
        <v>16386</v>
      </c>
      <c r="AV62" s="192">
        <v>5797</v>
      </c>
    </row>
    <row r="63" spans="1:48">
      <c r="A63" s="173" t="s">
        <v>701</v>
      </c>
      <c r="B63" s="174"/>
      <c r="C63" s="189">
        <v>0</v>
      </c>
      <c r="D63" s="189">
        <v>0</v>
      </c>
      <c r="E63" s="189">
        <v>0</v>
      </c>
      <c r="F63" s="189">
        <v>0</v>
      </c>
      <c r="G63" s="189">
        <v>0</v>
      </c>
      <c r="H63" s="189">
        <v>0</v>
      </c>
      <c r="I63" s="189">
        <v>0</v>
      </c>
      <c r="J63" s="189">
        <v>0</v>
      </c>
      <c r="K63" s="189">
        <v>0</v>
      </c>
      <c r="L63" s="189">
        <v>0</v>
      </c>
      <c r="M63" s="189">
        <v>0</v>
      </c>
      <c r="N63" s="189">
        <v>0</v>
      </c>
      <c r="O63" s="189">
        <v>0</v>
      </c>
      <c r="P63" s="189">
        <v>0</v>
      </c>
      <c r="Q63" s="189">
        <v>0</v>
      </c>
      <c r="R63" s="189">
        <v>0</v>
      </c>
      <c r="S63" s="189">
        <v>0</v>
      </c>
      <c r="T63" s="189">
        <v>0</v>
      </c>
      <c r="U63" s="189">
        <v>0</v>
      </c>
      <c r="V63" s="189">
        <v>0</v>
      </c>
      <c r="W63" s="189">
        <v>0</v>
      </c>
      <c r="X63" s="189">
        <v>0</v>
      </c>
      <c r="Y63" s="189">
        <v>0</v>
      </c>
      <c r="Z63" s="189">
        <v>0</v>
      </c>
      <c r="AA63" s="189"/>
      <c r="AB63" s="189"/>
      <c r="AJ63" s="191">
        <v>94528</v>
      </c>
      <c r="AK63" s="191">
        <v>17122</v>
      </c>
      <c r="AL63" s="191"/>
      <c r="AN63" s="191"/>
      <c r="AO63" s="191"/>
      <c r="AP63" s="191"/>
      <c r="AQ63" s="191"/>
      <c r="AR63" s="191"/>
      <c r="AS63" s="192"/>
      <c r="AT63" s="192"/>
      <c r="AU63" s="192"/>
      <c r="AV63" s="192"/>
    </row>
    <row r="64" spans="1:48">
      <c r="A64" s="173" t="s">
        <v>785</v>
      </c>
      <c r="B64" s="174"/>
      <c r="C64" s="189">
        <v>0</v>
      </c>
      <c r="D64" s="189">
        <v>0</v>
      </c>
      <c r="E64" s="189">
        <v>0</v>
      </c>
      <c r="F64" s="189">
        <v>0</v>
      </c>
      <c r="G64" s="189">
        <v>0</v>
      </c>
      <c r="H64" s="189">
        <v>0</v>
      </c>
      <c r="I64" s="189">
        <v>0</v>
      </c>
      <c r="J64" s="189">
        <v>0</v>
      </c>
      <c r="K64" s="189">
        <v>0</v>
      </c>
      <c r="L64" s="189">
        <v>0</v>
      </c>
      <c r="M64" s="189">
        <v>0</v>
      </c>
      <c r="N64" s="189">
        <v>0</v>
      </c>
      <c r="O64" s="189">
        <v>0</v>
      </c>
      <c r="P64" s="189">
        <v>0</v>
      </c>
      <c r="Q64" s="189">
        <v>0</v>
      </c>
      <c r="R64" s="189">
        <v>0</v>
      </c>
      <c r="S64" s="189">
        <v>0</v>
      </c>
      <c r="T64" s="189">
        <v>0</v>
      </c>
      <c r="U64" s="189">
        <v>0</v>
      </c>
      <c r="V64" s="189">
        <v>0</v>
      </c>
      <c r="W64" s="189">
        <v>0</v>
      </c>
      <c r="X64" s="189">
        <v>0</v>
      </c>
      <c r="Y64" s="189">
        <v>0</v>
      </c>
      <c r="Z64" s="189">
        <v>0</v>
      </c>
      <c r="AA64" s="189"/>
      <c r="AB64" s="189"/>
      <c r="AC64" s="190"/>
      <c r="AD64" s="190"/>
      <c r="AE64" s="190"/>
      <c r="AF64" s="190"/>
      <c r="AG64" s="190"/>
      <c r="AH64" s="190"/>
      <c r="AI64" s="190"/>
      <c r="AJ64" s="191"/>
      <c r="AK64" s="191"/>
      <c r="AL64" s="191"/>
      <c r="AN64" s="191"/>
      <c r="AO64" s="191"/>
      <c r="AP64" s="191"/>
      <c r="AQ64" s="191"/>
      <c r="AR64" s="191"/>
      <c r="AS64" s="192"/>
      <c r="AT64" s="192"/>
      <c r="AU64" s="192"/>
      <c r="AV64" s="192"/>
    </row>
    <row r="65" spans="1:48">
      <c r="A65" s="173" t="s">
        <v>833</v>
      </c>
      <c r="B65" s="174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190"/>
      <c r="AE65" s="190"/>
      <c r="AF65" s="190"/>
      <c r="AG65" s="190"/>
      <c r="AH65" s="190"/>
      <c r="AI65" s="190"/>
      <c r="AJ65" s="191"/>
      <c r="AK65" s="191"/>
      <c r="AL65" s="191"/>
      <c r="AN65" s="191"/>
      <c r="AO65" s="191"/>
      <c r="AP65" s="191"/>
      <c r="AQ65" s="191"/>
      <c r="AR65" s="191"/>
      <c r="AS65" s="192"/>
      <c r="AT65" s="192"/>
      <c r="AU65" s="192"/>
      <c r="AV65" s="192"/>
    </row>
    <row r="66" spans="1:48">
      <c r="A66" s="173" t="s">
        <v>724</v>
      </c>
      <c r="B66" s="174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90"/>
      <c r="AD66" s="190"/>
      <c r="AE66" s="190"/>
      <c r="AF66" s="190"/>
      <c r="AG66" s="190"/>
      <c r="AH66" s="190"/>
      <c r="AI66" s="190"/>
      <c r="AJ66" s="191"/>
      <c r="AK66" s="191"/>
      <c r="AL66" s="191"/>
      <c r="AN66" s="191"/>
      <c r="AO66" s="191"/>
      <c r="AP66" s="191"/>
      <c r="AQ66" s="191"/>
      <c r="AR66" s="191"/>
      <c r="AS66" s="192"/>
      <c r="AT66" s="192"/>
      <c r="AU66" s="192"/>
      <c r="AV66" s="192"/>
    </row>
    <row r="67" spans="1:48">
      <c r="A67" s="173" t="s">
        <v>729</v>
      </c>
      <c r="B67" s="174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90"/>
      <c r="AD67" s="190"/>
      <c r="AE67" s="190"/>
      <c r="AF67" s="190"/>
      <c r="AG67" s="190"/>
      <c r="AH67" s="190"/>
      <c r="AI67" s="190"/>
      <c r="AJ67" s="191"/>
      <c r="AK67" s="191"/>
      <c r="AL67" s="191"/>
      <c r="AN67" s="191"/>
      <c r="AO67" s="191"/>
      <c r="AP67" s="191"/>
      <c r="AQ67" s="191"/>
      <c r="AR67" s="191"/>
      <c r="AS67" s="192"/>
      <c r="AT67" s="192"/>
      <c r="AU67" s="192"/>
      <c r="AV67" s="192"/>
    </row>
    <row r="68" spans="1:48" ht="15" thickBot="1">
      <c r="A68" s="173" t="s">
        <v>730</v>
      </c>
      <c r="B68" s="174"/>
      <c r="C68" s="189">
        <v>33470</v>
      </c>
      <c r="D68" s="189">
        <v>26550</v>
      </c>
      <c r="E68" s="189">
        <v>27910</v>
      </c>
      <c r="F68" s="189">
        <v>8076</v>
      </c>
      <c r="G68" s="189">
        <v>1965</v>
      </c>
      <c r="H68" s="189">
        <v>3068</v>
      </c>
      <c r="I68" s="189">
        <v>3517</v>
      </c>
      <c r="J68" s="189">
        <v>4480</v>
      </c>
      <c r="K68" s="189">
        <v>1153</v>
      </c>
      <c r="L68" s="189">
        <v>2174</v>
      </c>
      <c r="M68" s="189">
        <v>3426</v>
      </c>
      <c r="N68" s="189">
        <v>3251</v>
      </c>
      <c r="O68" s="189">
        <v>1222</v>
      </c>
      <c r="P68" s="189">
        <v>2384</v>
      </c>
      <c r="Q68" s="189">
        <v>3546</v>
      </c>
      <c r="R68" s="189">
        <v>4551</v>
      </c>
      <c r="S68" s="189">
        <v>5324</v>
      </c>
      <c r="T68" s="189">
        <v>284</v>
      </c>
      <c r="U68" s="189">
        <v>17311</v>
      </c>
      <c r="V68" s="189">
        <v>22946</v>
      </c>
      <c r="W68" s="189">
        <v>25109</v>
      </c>
      <c r="X68" s="189">
        <v>20473</v>
      </c>
      <c r="Y68" s="189">
        <v>22792</v>
      </c>
      <c r="Z68" s="189">
        <v>26736</v>
      </c>
      <c r="AA68" s="189">
        <v>17682</v>
      </c>
      <c r="AB68" s="189">
        <f>14384+15</f>
        <v>14399</v>
      </c>
      <c r="AC68" s="190"/>
      <c r="AD68" s="190">
        <f>150+15</f>
        <v>165</v>
      </c>
      <c r="AE68" s="190">
        <v>89</v>
      </c>
      <c r="AF68" s="190">
        <v>158</v>
      </c>
      <c r="AG68" s="190">
        <v>142</v>
      </c>
      <c r="AH68" s="190">
        <v>139</v>
      </c>
      <c r="AI68" s="190">
        <v>149</v>
      </c>
      <c r="AJ68" s="191">
        <v>135</v>
      </c>
      <c r="AK68" s="191">
        <v>168</v>
      </c>
      <c r="AL68" s="191">
        <v>159</v>
      </c>
      <c r="AM68" s="191">
        <v>157</v>
      </c>
      <c r="AN68" s="191">
        <v>2</v>
      </c>
      <c r="AO68" s="191">
        <v>5</v>
      </c>
      <c r="AP68" s="191">
        <v>4</v>
      </c>
      <c r="AQ68" s="191">
        <v>4</v>
      </c>
      <c r="AR68" s="191">
        <v>3</v>
      </c>
      <c r="AS68" s="192">
        <v>2</v>
      </c>
      <c r="AT68" s="192">
        <v>11</v>
      </c>
      <c r="AU68" s="192">
        <v>7</v>
      </c>
      <c r="AV68" s="192">
        <v>8</v>
      </c>
    </row>
    <row r="69" spans="1:48" ht="15" thickBot="1">
      <c r="A69" s="177" t="s">
        <v>706</v>
      </c>
      <c r="B69" s="170"/>
      <c r="C69" s="178">
        <f t="shared" ref="C69:AE69" si="14">SUM(C71:C82)</f>
        <v>50</v>
      </c>
      <c r="D69" s="178">
        <f t="shared" si="14"/>
        <v>50</v>
      </c>
      <c r="E69" s="178">
        <f t="shared" si="14"/>
        <v>50</v>
      </c>
      <c r="F69" s="178">
        <f t="shared" si="14"/>
        <v>50</v>
      </c>
      <c r="G69" s="178">
        <f t="shared" si="14"/>
        <v>50</v>
      </c>
      <c r="H69" s="178">
        <f t="shared" si="14"/>
        <v>50</v>
      </c>
      <c r="I69" s="178">
        <f t="shared" si="14"/>
        <v>50</v>
      </c>
      <c r="J69" s="178">
        <f t="shared" si="14"/>
        <v>50</v>
      </c>
      <c r="K69" s="178">
        <f t="shared" si="14"/>
        <v>50</v>
      </c>
      <c r="L69" s="178">
        <f t="shared" si="14"/>
        <v>50</v>
      </c>
      <c r="M69" s="178">
        <f t="shared" si="14"/>
        <v>50</v>
      </c>
      <c r="N69" s="178">
        <f t="shared" si="14"/>
        <v>50</v>
      </c>
      <c r="O69" s="178">
        <f t="shared" si="14"/>
        <v>50</v>
      </c>
      <c r="P69" s="178">
        <f t="shared" si="14"/>
        <v>50</v>
      </c>
      <c r="Q69" s="178">
        <f t="shared" si="14"/>
        <v>50</v>
      </c>
      <c r="R69" s="178">
        <f t="shared" si="14"/>
        <v>50</v>
      </c>
      <c r="S69" s="178">
        <f t="shared" si="14"/>
        <v>50</v>
      </c>
      <c r="T69" s="178">
        <f t="shared" si="14"/>
        <v>1583</v>
      </c>
      <c r="U69" s="178">
        <f t="shared" si="14"/>
        <v>1118</v>
      </c>
      <c r="V69" s="178">
        <f t="shared" si="14"/>
        <v>817209</v>
      </c>
      <c r="W69" s="178">
        <f t="shared" si="14"/>
        <v>817818</v>
      </c>
      <c r="X69" s="178">
        <f t="shared" si="14"/>
        <v>813276</v>
      </c>
      <c r="Y69" s="178">
        <f t="shared" si="14"/>
        <v>815580</v>
      </c>
      <c r="Z69" s="178">
        <f t="shared" si="14"/>
        <v>1264831</v>
      </c>
      <c r="AA69" s="178">
        <f t="shared" si="14"/>
        <v>1266289</v>
      </c>
      <c r="AB69" s="178">
        <f t="shared" si="14"/>
        <v>1267795</v>
      </c>
      <c r="AC69" s="178">
        <f t="shared" si="14"/>
        <v>1266925</v>
      </c>
      <c r="AD69" s="178">
        <f t="shared" si="14"/>
        <v>1269524</v>
      </c>
      <c r="AE69" s="178">
        <f t="shared" si="14"/>
        <v>575635</v>
      </c>
      <c r="AF69" s="178">
        <v>575221</v>
      </c>
      <c r="AG69" s="178">
        <f t="shared" ref="AG69:AR69" si="15">SUM(AG71:AG82)</f>
        <v>576608</v>
      </c>
      <c r="AH69" s="178">
        <f t="shared" si="15"/>
        <v>598500</v>
      </c>
      <c r="AI69" s="178">
        <f t="shared" si="15"/>
        <v>606770</v>
      </c>
      <c r="AJ69" s="178">
        <f t="shared" si="15"/>
        <v>605854</v>
      </c>
      <c r="AK69" s="178">
        <f t="shared" si="15"/>
        <v>1024780</v>
      </c>
      <c r="AL69" s="178">
        <f t="shared" si="15"/>
        <v>2632061</v>
      </c>
      <c r="AM69" s="178">
        <f t="shared" si="15"/>
        <v>4658832</v>
      </c>
      <c r="AN69" s="178">
        <f t="shared" si="15"/>
        <v>4806288</v>
      </c>
      <c r="AO69" s="178">
        <f t="shared" si="15"/>
        <v>4898973</v>
      </c>
      <c r="AP69" s="178">
        <f t="shared" si="15"/>
        <v>4741365</v>
      </c>
      <c r="AQ69" s="178">
        <f t="shared" si="15"/>
        <v>4741366</v>
      </c>
      <c r="AR69" s="178">
        <f t="shared" si="15"/>
        <v>4671566</v>
      </c>
      <c r="AS69" s="178">
        <f>SUM(AS71:AS82)</f>
        <v>4709823</v>
      </c>
      <c r="AT69" s="178">
        <f>SUM(AT71:AT82)</f>
        <v>4313138</v>
      </c>
      <c r="AU69" s="178">
        <f>SUM(AU71:AU82)</f>
        <v>2322023</v>
      </c>
      <c r="AV69" s="178">
        <f>SUM(AV71:AV82)</f>
        <v>2384122</v>
      </c>
    </row>
    <row r="70" spans="1:48">
      <c r="A70" s="173" t="s">
        <v>716</v>
      </c>
      <c r="B70" s="17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N70" s="199"/>
      <c r="AO70" s="199"/>
      <c r="AP70" s="199"/>
      <c r="AQ70" s="199"/>
      <c r="AR70" s="199"/>
      <c r="AS70" s="200"/>
      <c r="AT70" s="200"/>
      <c r="AU70" s="200"/>
      <c r="AV70" s="200"/>
    </row>
    <row r="71" spans="1:48">
      <c r="A71" s="173" t="s">
        <v>718</v>
      </c>
      <c r="B71" s="174"/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/>
      <c r="AA71" s="201"/>
      <c r="AB71" s="201"/>
      <c r="AC71" s="202"/>
      <c r="AD71" s="202"/>
      <c r="AE71" s="202"/>
      <c r="AF71" s="202"/>
      <c r="AG71" s="202"/>
      <c r="AH71" s="202"/>
      <c r="AI71" s="202"/>
      <c r="AJ71" s="203"/>
      <c r="AK71" s="203"/>
      <c r="AL71" s="203"/>
      <c r="AN71" s="203"/>
      <c r="AO71" s="203"/>
      <c r="AP71" s="203"/>
      <c r="AQ71" s="203"/>
      <c r="AR71" s="203"/>
      <c r="AS71" s="204"/>
      <c r="AT71" s="204"/>
      <c r="AU71" s="204"/>
      <c r="AV71" s="204"/>
    </row>
    <row r="72" spans="1:48">
      <c r="A72" s="173" t="s">
        <v>719</v>
      </c>
      <c r="B72" s="174"/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800195</v>
      </c>
      <c r="W72" s="201">
        <v>801318</v>
      </c>
      <c r="X72" s="201">
        <v>796776</v>
      </c>
      <c r="Y72" s="201">
        <v>799080</v>
      </c>
      <c r="Z72" s="201">
        <v>1248331</v>
      </c>
      <c r="AA72" s="201">
        <v>1249789</v>
      </c>
      <c r="AB72" s="201">
        <v>1251295</v>
      </c>
      <c r="AC72" s="202">
        <v>1250425</v>
      </c>
      <c r="AD72" s="202">
        <v>1252232</v>
      </c>
      <c r="AE72" s="202">
        <v>558321</v>
      </c>
      <c r="AF72" s="202">
        <v>557999</v>
      </c>
      <c r="AG72" s="202">
        <v>559420</v>
      </c>
      <c r="AH72" s="202">
        <v>562926</v>
      </c>
      <c r="AI72" s="202">
        <v>566063</v>
      </c>
      <c r="AJ72" s="203">
        <v>568539</v>
      </c>
      <c r="AK72" s="203">
        <v>572207</v>
      </c>
      <c r="AL72" s="203">
        <v>2436140</v>
      </c>
      <c r="AM72" s="203">
        <v>4424046</v>
      </c>
      <c r="AN72" s="203">
        <v>4426538</v>
      </c>
      <c r="AO72" s="203">
        <v>4427526</v>
      </c>
      <c r="AP72" s="203">
        <v>4428580</v>
      </c>
      <c r="AQ72" s="203">
        <v>4428580</v>
      </c>
      <c r="AR72" s="203">
        <v>4430687</v>
      </c>
      <c r="AS72" s="204">
        <v>4431741</v>
      </c>
      <c r="AT72" s="204">
        <v>3984321</v>
      </c>
      <c r="AU72" s="204">
        <v>1985301</v>
      </c>
      <c r="AV72" s="204">
        <v>1986281</v>
      </c>
    </row>
    <row r="73" spans="1:48">
      <c r="A73" s="173" t="s">
        <v>721</v>
      </c>
      <c r="B73" s="174"/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/>
      <c r="AA73" s="201"/>
      <c r="AB73" s="201"/>
      <c r="AC73" s="202"/>
      <c r="AD73" s="202"/>
      <c r="AE73" s="202"/>
      <c r="AF73" s="202"/>
      <c r="AG73" s="202"/>
      <c r="AH73" s="202"/>
      <c r="AI73" s="202"/>
      <c r="AJ73" s="203"/>
      <c r="AK73" s="203"/>
      <c r="AL73" s="203"/>
      <c r="AN73" s="203"/>
      <c r="AO73" s="203"/>
      <c r="AP73" s="203"/>
      <c r="AQ73" s="203"/>
      <c r="AR73" s="203"/>
      <c r="AS73" s="204"/>
      <c r="AT73" s="204"/>
      <c r="AU73" s="204"/>
      <c r="AV73" s="204"/>
    </row>
    <row r="74" spans="1:48">
      <c r="A74" s="173" t="s">
        <v>875</v>
      </c>
      <c r="B74" s="174"/>
      <c r="C74" s="201">
        <v>50</v>
      </c>
      <c r="D74" s="201">
        <v>50</v>
      </c>
      <c r="E74" s="201">
        <v>50</v>
      </c>
      <c r="F74" s="201">
        <v>50</v>
      </c>
      <c r="G74" s="201">
        <v>50</v>
      </c>
      <c r="H74" s="201">
        <v>50</v>
      </c>
      <c r="I74" s="201">
        <v>50</v>
      </c>
      <c r="J74" s="201">
        <v>50</v>
      </c>
      <c r="K74" s="201">
        <v>50</v>
      </c>
      <c r="L74" s="201">
        <v>50</v>
      </c>
      <c r="M74" s="201">
        <v>50</v>
      </c>
      <c r="N74" s="201">
        <v>50</v>
      </c>
      <c r="O74" s="201">
        <v>50</v>
      </c>
      <c r="P74" s="201">
        <v>50</v>
      </c>
      <c r="Q74" s="201">
        <v>50</v>
      </c>
      <c r="R74" s="201">
        <v>50</v>
      </c>
      <c r="S74" s="201">
        <v>50</v>
      </c>
      <c r="T74" s="201">
        <v>50</v>
      </c>
      <c r="U74" s="201">
        <v>50</v>
      </c>
      <c r="V74" s="201">
        <v>50</v>
      </c>
      <c r="W74" s="201">
        <v>50</v>
      </c>
      <c r="X74" s="201">
        <v>50</v>
      </c>
      <c r="Y74" s="201">
        <v>50</v>
      </c>
      <c r="Z74" s="201">
        <v>50</v>
      </c>
      <c r="AA74" s="201">
        <v>50</v>
      </c>
      <c r="AB74" s="201">
        <v>50</v>
      </c>
      <c r="AC74" s="202">
        <v>50</v>
      </c>
      <c r="AD74" s="202">
        <v>50</v>
      </c>
      <c r="AE74" s="202">
        <v>50</v>
      </c>
      <c r="AF74" s="202">
        <v>50</v>
      </c>
      <c r="AG74" s="202">
        <v>50</v>
      </c>
      <c r="AH74" s="202">
        <v>50</v>
      </c>
      <c r="AI74" s="202">
        <v>50</v>
      </c>
      <c r="AJ74" s="203">
        <v>50</v>
      </c>
      <c r="AK74" s="203">
        <v>50</v>
      </c>
      <c r="AL74" s="203">
        <v>140515</v>
      </c>
      <c r="AM74" s="203">
        <v>153859</v>
      </c>
      <c r="AN74" s="203">
        <v>167388</v>
      </c>
      <c r="AO74" s="203">
        <v>180695</v>
      </c>
      <c r="AP74" s="203">
        <v>199006</v>
      </c>
      <c r="AQ74" s="203">
        <v>199006</v>
      </c>
      <c r="AR74" s="203">
        <v>80760</v>
      </c>
      <c r="AS74" s="204">
        <v>62145</v>
      </c>
      <c r="AT74" s="204">
        <v>75135</v>
      </c>
      <c r="AU74" s="204">
        <v>38859</v>
      </c>
      <c r="AV74" s="204">
        <v>64729</v>
      </c>
    </row>
    <row r="75" spans="1:48">
      <c r="A75" s="173" t="s">
        <v>785</v>
      </c>
      <c r="B75" s="174"/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/>
      <c r="AA75" s="201"/>
      <c r="AB75" s="201"/>
      <c r="AC75" s="202"/>
      <c r="AD75" s="202"/>
      <c r="AE75" s="202"/>
      <c r="AF75" s="202"/>
      <c r="AG75" s="202"/>
      <c r="AH75" s="202"/>
      <c r="AI75" s="202"/>
      <c r="AJ75" s="203"/>
      <c r="AK75" s="203"/>
      <c r="AL75" s="203"/>
      <c r="AN75" s="203"/>
      <c r="AO75" s="203"/>
      <c r="AP75" s="203"/>
      <c r="AQ75" s="203"/>
      <c r="AR75" s="203"/>
      <c r="AS75" s="204"/>
      <c r="AT75" s="204"/>
      <c r="AU75" s="204"/>
      <c r="AV75" s="204"/>
    </row>
    <row r="76" spans="1:48">
      <c r="A76" s="173" t="s">
        <v>876</v>
      </c>
      <c r="B76" s="174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2"/>
      <c r="AD76" s="202"/>
      <c r="AE76" s="202"/>
      <c r="AF76" s="202"/>
      <c r="AG76" s="202"/>
      <c r="AH76" s="202"/>
      <c r="AI76" s="202"/>
      <c r="AJ76" s="203"/>
      <c r="AK76" s="203">
        <v>414666</v>
      </c>
      <c r="AL76" s="203">
        <v>17039</v>
      </c>
      <c r="AM76" s="203">
        <v>41656</v>
      </c>
      <c r="AN76" s="203">
        <v>172692</v>
      </c>
      <c r="AO76" s="203">
        <v>256129</v>
      </c>
      <c r="AP76" s="203">
        <v>78369</v>
      </c>
      <c r="AQ76" s="203">
        <v>78369</v>
      </c>
      <c r="AR76" s="203">
        <v>121489</v>
      </c>
      <c r="AS76" s="204">
        <v>174842</v>
      </c>
      <c r="AT76" s="204">
        <v>225202</v>
      </c>
      <c r="AU76" s="204">
        <v>270682</v>
      </c>
      <c r="AV76" s="204">
        <v>309885</v>
      </c>
    </row>
    <row r="77" spans="1:48">
      <c r="A77" s="173" t="s">
        <v>760</v>
      </c>
      <c r="B77" s="174"/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/>
      <c r="AA77" s="201"/>
      <c r="AB77" s="201"/>
      <c r="AC77" s="202"/>
      <c r="AD77" s="202"/>
      <c r="AE77" s="202"/>
      <c r="AF77" s="202"/>
      <c r="AG77" s="202"/>
      <c r="AH77" s="202"/>
      <c r="AI77" s="202"/>
      <c r="AJ77" s="203"/>
      <c r="AK77" s="203"/>
      <c r="AL77" s="203"/>
      <c r="AN77" s="203"/>
      <c r="AO77" s="203"/>
      <c r="AP77" s="203"/>
      <c r="AQ77" s="203"/>
      <c r="AR77" s="203"/>
      <c r="AS77" s="204"/>
      <c r="AT77" s="204"/>
      <c r="AU77" s="204"/>
      <c r="AV77" s="204"/>
    </row>
    <row r="78" spans="1:48">
      <c r="A78" s="173" t="s">
        <v>833</v>
      </c>
      <c r="B78" s="174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2"/>
      <c r="AD78" s="202"/>
      <c r="AE78" s="202"/>
      <c r="AF78" s="202"/>
      <c r="AG78" s="202"/>
      <c r="AH78" s="202"/>
      <c r="AI78" s="202"/>
      <c r="AJ78" s="203"/>
      <c r="AK78" s="203"/>
      <c r="AL78" s="203"/>
      <c r="AN78" s="203"/>
      <c r="AO78" s="203"/>
      <c r="AP78" s="203"/>
      <c r="AQ78" s="203"/>
      <c r="AR78" s="203"/>
      <c r="AS78" s="204"/>
      <c r="AT78" s="204"/>
      <c r="AU78" s="204"/>
      <c r="AV78" s="204"/>
    </row>
    <row r="79" spans="1:48">
      <c r="A79" s="173" t="s">
        <v>729</v>
      </c>
      <c r="B79" s="174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2"/>
      <c r="AD79" s="202"/>
      <c r="AE79" s="202"/>
      <c r="AF79" s="202"/>
      <c r="AG79" s="202"/>
      <c r="AH79" s="202"/>
      <c r="AI79" s="202"/>
      <c r="AJ79" s="203"/>
      <c r="AK79" s="203"/>
      <c r="AL79" s="203"/>
      <c r="AN79" s="203"/>
      <c r="AO79" s="203"/>
      <c r="AP79" s="203"/>
      <c r="AQ79" s="203"/>
      <c r="AR79" s="203"/>
      <c r="AS79" s="204"/>
      <c r="AT79" s="204"/>
      <c r="AU79" s="204"/>
      <c r="AV79" s="204"/>
    </row>
    <row r="80" spans="1:48">
      <c r="A80" s="173" t="s">
        <v>877</v>
      </c>
      <c r="B80" s="174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2"/>
      <c r="AD80" s="202"/>
      <c r="AE80" s="202"/>
      <c r="AF80" s="202"/>
      <c r="AG80" s="202"/>
      <c r="AH80" s="202"/>
      <c r="AI80" s="202"/>
      <c r="AJ80" s="203"/>
      <c r="AK80" s="203"/>
      <c r="AL80" s="203"/>
      <c r="AN80" s="203"/>
      <c r="AO80" s="203"/>
      <c r="AP80" s="203"/>
      <c r="AQ80" s="203"/>
      <c r="AR80" s="203"/>
      <c r="AS80" s="204"/>
      <c r="AT80" s="204"/>
      <c r="AU80" s="204"/>
      <c r="AV80" s="204"/>
    </row>
    <row r="81" spans="1:48">
      <c r="A81" s="173" t="s">
        <v>775</v>
      </c>
      <c r="B81" s="174"/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/>
      <c r="AA81" s="201"/>
      <c r="AB81" s="201"/>
      <c r="AC81" s="202"/>
      <c r="AD81" s="202"/>
      <c r="AE81" s="202"/>
      <c r="AF81" s="202"/>
      <c r="AG81" s="202"/>
      <c r="AH81" s="202"/>
      <c r="AI81" s="202"/>
      <c r="AJ81" s="203"/>
      <c r="AK81" s="203"/>
      <c r="AL81" s="203"/>
      <c r="AN81" s="203"/>
      <c r="AO81" s="203"/>
      <c r="AP81" s="203"/>
      <c r="AQ81" s="203"/>
      <c r="AR81" s="203"/>
      <c r="AS81" s="204"/>
      <c r="AT81" s="204"/>
      <c r="AU81" s="204"/>
      <c r="AV81" s="204"/>
    </row>
    <row r="82" spans="1:48" ht="15" thickBot="1">
      <c r="A82" s="173" t="s">
        <v>730</v>
      </c>
      <c r="B82" s="174"/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1533</v>
      </c>
      <c r="U82" s="201">
        <v>1068</v>
      </c>
      <c r="V82" s="201">
        <v>16964</v>
      </c>
      <c r="W82" s="201">
        <v>16450</v>
      </c>
      <c r="X82" s="201">
        <v>16450</v>
      </c>
      <c r="Y82" s="201">
        <v>16450</v>
      </c>
      <c r="Z82" s="201">
        <v>16450</v>
      </c>
      <c r="AA82" s="201">
        <v>16450</v>
      </c>
      <c r="AB82" s="201">
        <v>16450</v>
      </c>
      <c r="AC82" s="202">
        <v>16450</v>
      </c>
      <c r="AD82" s="202">
        <f>16450+792</f>
        <v>17242</v>
      </c>
      <c r="AE82" s="202">
        <v>17264</v>
      </c>
      <c r="AF82" s="202">
        <v>17172</v>
      </c>
      <c r="AG82" s="202">
        <v>17138</v>
      </c>
      <c r="AH82" s="202">
        <v>35524</v>
      </c>
      <c r="AI82" s="202">
        <v>40657</v>
      </c>
      <c r="AJ82" s="205">
        <v>37265</v>
      </c>
      <c r="AK82" s="205">
        <v>37857</v>
      </c>
      <c r="AL82" s="205">
        <v>38367</v>
      </c>
      <c r="AM82" s="205">
        <v>39271</v>
      </c>
      <c r="AN82" s="205">
        <v>39670</v>
      </c>
      <c r="AO82" s="205">
        <v>34623</v>
      </c>
      <c r="AP82" s="205">
        <v>35410</v>
      </c>
      <c r="AQ82" s="205">
        <v>35411</v>
      </c>
      <c r="AR82" s="205">
        <v>38630</v>
      </c>
      <c r="AS82" s="206">
        <v>41095</v>
      </c>
      <c r="AT82" s="206">
        <v>28480</v>
      </c>
      <c r="AU82" s="206">
        <v>27181</v>
      </c>
      <c r="AV82" s="206">
        <v>23227</v>
      </c>
    </row>
    <row r="83" spans="1:48" ht="15" thickBot="1">
      <c r="A83" s="186" t="s">
        <v>733</v>
      </c>
      <c r="B83" s="170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  <c r="AA83" s="207"/>
      <c r="AB83" s="207"/>
      <c r="AC83" s="208"/>
      <c r="AD83" s="208"/>
      <c r="AE83" s="208"/>
      <c r="AF83" s="208"/>
      <c r="AG83" s="208"/>
      <c r="AH83" s="208"/>
      <c r="AI83" s="208"/>
      <c r="AJ83" s="209"/>
      <c r="AK83" s="209"/>
      <c r="AL83" s="209"/>
      <c r="AM83" s="209"/>
      <c r="AN83" s="209"/>
      <c r="AO83" s="209"/>
      <c r="AP83" s="209"/>
      <c r="AQ83" s="209"/>
      <c r="AR83" s="209"/>
      <c r="AS83" s="207"/>
      <c r="AT83" s="207"/>
      <c r="AU83" s="207"/>
      <c r="AV83" s="207"/>
    </row>
    <row r="84" spans="1:48" ht="15" thickBot="1">
      <c r="A84" s="177" t="s">
        <v>734</v>
      </c>
      <c r="B84" s="170"/>
      <c r="C84" s="178">
        <f t="shared" ref="C84:AB84" si="16">SUM(C85:C90)</f>
        <v>2383306</v>
      </c>
      <c r="D84" s="178">
        <f t="shared" si="16"/>
        <v>2197504</v>
      </c>
      <c r="E84" s="178">
        <f t="shared" si="16"/>
        <v>2270987</v>
      </c>
      <c r="F84" s="178">
        <f t="shared" si="16"/>
        <v>2356806</v>
      </c>
      <c r="G84" s="178">
        <f t="shared" si="16"/>
        <v>2372013</v>
      </c>
      <c r="H84" s="178">
        <f t="shared" si="16"/>
        <v>2185748</v>
      </c>
      <c r="I84" s="178">
        <f t="shared" si="16"/>
        <v>2474083</v>
      </c>
      <c r="J84" s="178">
        <f t="shared" si="16"/>
        <v>2848199</v>
      </c>
      <c r="K84" s="178">
        <f t="shared" si="16"/>
        <v>2944143</v>
      </c>
      <c r="L84" s="178">
        <f t="shared" si="16"/>
        <v>3451120</v>
      </c>
      <c r="M84" s="178">
        <f t="shared" si="16"/>
        <v>3527541</v>
      </c>
      <c r="N84" s="178">
        <f t="shared" si="16"/>
        <v>3475202</v>
      </c>
      <c r="O84" s="178">
        <f t="shared" si="16"/>
        <v>3617190</v>
      </c>
      <c r="P84" s="178">
        <f t="shared" si="16"/>
        <v>3800746</v>
      </c>
      <c r="Q84" s="178">
        <f t="shared" si="16"/>
        <v>3991561</v>
      </c>
      <c r="R84" s="178">
        <f t="shared" si="16"/>
        <v>4024527</v>
      </c>
      <c r="S84" s="178">
        <f t="shared" si="16"/>
        <v>4076093</v>
      </c>
      <c r="T84" s="178">
        <f t="shared" si="16"/>
        <v>4205885</v>
      </c>
      <c r="U84" s="178">
        <f t="shared" si="16"/>
        <v>4517529</v>
      </c>
      <c r="V84" s="178">
        <f t="shared" si="16"/>
        <v>4788711</v>
      </c>
      <c r="W84" s="178">
        <f t="shared" si="16"/>
        <v>4854019</v>
      </c>
      <c r="X84" s="178">
        <f t="shared" si="16"/>
        <v>4976322</v>
      </c>
      <c r="Y84" s="178">
        <f t="shared" si="16"/>
        <v>5224520</v>
      </c>
      <c r="Z84" s="178">
        <f t="shared" si="16"/>
        <v>5624086</v>
      </c>
      <c r="AA84" s="178">
        <f t="shared" si="16"/>
        <v>5856441</v>
      </c>
      <c r="AB84" s="178">
        <f t="shared" si="16"/>
        <v>6117736</v>
      </c>
      <c r="AC84" s="197">
        <v>6635795</v>
      </c>
      <c r="AD84" s="178">
        <f>SUM(AD85:AD90)</f>
        <v>8110877</v>
      </c>
      <c r="AE84" s="178">
        <f>SUM(AE85:AE90)</f>
        <v>8585305</v>
      </c>
      <c r="AF84" s="178">
        <v>8983155</v>
      </c>
      <c r="AG84" s="178">
        <f>SUM(AG85:AG90)</f>
        <v>9718557</v>
      </c>
      <c r="AH84" s="178">
        <f t="shared" ref="AH84:AR84" si="17">SUM(AH85:AH92)</f>
        <v>10344083</v>
      </c>
      <c r="AI84" s="178">
        <f t="shared" si="17"/>
        <v>10179556</v>
      </c>
      <c r="AJ84" s="178">
        <f t="shared" si="17"/>
        <v>10569520</v>
      </c>
      <c r="AK84" s="178">
        <f t="shared" si="17"/>
        <v>11941123</v>
      </c>
      <c r="AL84" s="178">
        <f t="shared" si="17"/>
        <v>13405225</v>
      </c>
      <c r="AM84" s="178">
        <f t="shared" si="17"/>
        <v>16081201</v>
      </c>
      <c r="AN84" s="178">
        <f t="shared" si="17"/>
        <v>15904584</v>
      </c>
      <c r="AO84" s="178">
        <f t="shared" si="17"/>
        <v>16283130</v>
      </c>
      <c r="AP84" s="178">
        <f t="shared" si="17"/>
        <v>16614353</v>
      </c>
      <c r="AQ84" s="178">
        <f t="shared" si="17"/>
        <v>16610946</v>
      </c>
      <c r="AR84" s="178">
        <f t="shared" si="17"/>
        <v>18590449</v>
      </c>
      <c r="AS84" s="178">
        <f>SUM(AS85:AS92)</f>
        <v>19573928</v>
      </c>
      <c r="AT84" s="178">
        <f>SUM(AT85:AT92)</f>
        <v>21016665</v>
      </c>
      <c r="AU84" s="178">
        <f>SUM(AU85:AU92)</f>
        <v>21395993</v>
      </c>
      <c r="AV84" s="178">
        <f>SUM(AV85:AV92)</f>
        <v>22466623</v>
      </c>
    </row>
    <row r="85" spans="1:48">
      <c r="A85" s="173" t="s">
        <v>735</v>
      </c>
      <c r="B85" s="174"/>
      <c r="C85" s="189">
        <v>1977276</v>
      </c>
      <c r="D85" s="189">
        <v>1977276</v>
      </c>
      <c r="E85" s="189">
        <v>1977276</v>
      </c>
      <c r="F85" s="189">
        <v>1977276</v>
      </c>
      <c r="G85" s="189">
        <v>1977276</v>
      </c>
      <c r="H85" s="189">
        <v>1977276</v>
      </c>
      <c r="I85" s="189">
        <v>1977276</v>
      </c>
      <c r="J85" s="189">
        <v>1977276</v>
      </c>
      <c r="K85" s="189">
        <v>1977276</v>
      </c>
      <c r="L85" s="189">
        <v>1977276</v>
      </c>
      <c r="M85" s="189">
        <v>1979453</v>
      </c>
      <c r="N85" s="189">
        <v>1980214</v>
      </c>
      <c r="O85" s="189">
        <v>1980237</v>
      </c>
      <c r="P85" s="189">
        <v>1981985</v>
      </c>
      <c r="Q85" s="189">
        <v>1981985</v>
      </c>
      <c r="R85" s="189">
        <v>1981985</v>
      </c>
      <c r="S85" s="189">
        <v>1982335</v>
      </c>
      <c r="T85" s="189">
        <v>2227021</v>
      </c>
      <c r="U85" s="189">
        <v>2227021</v>
      </c>
      <c r="V85" s="189">
        <v>2227021</v>
      </c>
      <c r="W85" s="189">
        <v>2227021</v>
      </c>
      <c r="X85" s="189">
        <v>2375354</v>
      </c>
      <c r="Y85" s="189">
        <v>2375354</v>
      </c>
      <c r="Z85" s="189">
        <v>2375354</v>
      </c>
      <c r="AA85" s="189">
        <v>2394929</v>
      </c>
      <c r="AB85" s="189">
        <f>2735580-52143</f>
        <v>2683437</v>
      </c>
      <c r="AC85" s="190">
        <v>2739133</v>
      </c>
      <c r="AD85" s="190">
        <v>2741931</v>
      </c>
      <c r="AE85" s="190">
        <v>2741931</v>
      </c>
      <c r="AF85" s="190">
        <v>2742270</v>
      </c>
      <c r="AG85" s="190">
        <v>3489736</v>
      </c>
      <c r="AH85" s="190">
        <v>3489736</v>
      </c>
      <c r="AI85" s="190">
        <v>3489736</v>
      </c>
      <c r="AJ85" s="191">
        <v>4655287</v>
      </c>
      <c r="AK85" s="191">
        <v>4655287</v>
      </c>
      <c r="AL85" s="191">
        <v>4655287</v>
      </c>
      <c r="AM85" s="191">
        <v>7437570</v>
      </c>
      <c r="AN85" s="191">
        <v>8872296</v>
      </c>
      <c r="AO85" s="191">
        <v>8872296</v>
      </c>
      <c r="AP85" s="191">
        <v>8872296</v>
      </c>
      <c r="AQ85" s="191">
        <v>8872296</v>
      </c>
      <c r="AR85" s="191">
        <v>8890946</v>
      </c>
      <c r="AS85" s="192">
        <v>9276102</v>
      </c>
      <c r="AT85" s="192">
        <v>9308724</v>
      </c>
      <c r="AU85" s="192">
        <v>9309111</v>
      </c>
      <c r="AV85" s="192">
        <v>9382975</v>
      </c>
    </row>
    <row r="86" spans="1:48">
      <c r="A86" s="173" t="s">
        <v>796</v>
      </c>
      <c r="B86" s="174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90"/>
      <c r="AD86" s="190"/>
      <c r="AE86" s="190"/>
      <c r="AF86" s="190"/>
      <c r="AG86" s="190"/>
      <c r="AH86" s="190"/>
      <c r="AI86" s="190"/>
      <c r="AJ86" s="191"/>
      <c r="AK86" s="191"/>
      <c r="AL86" s="191"/>
      <c r="AM86" s="191"/>
      <c r="AN86" s="191"/>
      <c r="AO86" s="191"/>
      <c r="AP86" s="191">
        <v>7147</v>
      </c>
      <c r="AQ86" s="191">
        <v>7147</v>
      </c>
      <c r="AR86" s="191">
        <v>367574</v>
      </c>
      <c r="AS86" s="192">
        <v>0</v>
      </c>
      <c r="AT86" s="192"/>
      <c r="AU86" s="192"/>
      <c r="AV86" s="192">
        <v>457272</v>
      </c>
    </row>
    <row r="87" spans="1:48">
      <c r="A87" s="173" t="s">
        <v>738</v>
      </c>
      <c r="B87" s="174"/>
      <c r="C87" s="189">
        <v>-27083</v>
      </c>
      <c r="D87" s="189">
        <v>-22262</v>
      </c>
      <c r="E87" s="189">
        <v>-22262</v>
      </c>
      <c r="F87" s="189">
        <v>-22262</v>
      </c>
      <c r="G87" s="189">
        <v>-22262</v>
      </c>
      <c r="H87" s="189">
        <v>-22262</v>
      </c>
      <c r="I87" s="189">
        <v>-22262</v>
      </c>
      <c r="J87" s="189">
        <v>-22262</v>
      </c>
      <c r="K87" s="189">
        <v>-22262</v>
      </c>
      <c r="L87" s="189">
        <v>-22262</v>
      </c>
      <c r="M87" s="189">
        <v>-22262</v>
      </c>
      <c r="N87" s="189">
        <v>-22262</v>
      </c>
      <c r="O87" s="189">
        <v>-22262</v>
      </c>
      <c r="P87" s="189">
        <v>-22262</v>
      </c>
      <c r="Q87" s="189">
        <v>-22262</v>
      </c>
      <c r="R87" s="189">
        <v>-22262</v>
      </c>
      <c r="S87" s="189">
        <v>-22262</v>
      </c>
      <c r="T87" s="189">
        <v>-22262</v>
      </c>
      <c r="U87" s="189">
        <v>-22262</v>
      </c>
      <c r="V87" s="189">
        <v>-22262</v>
      </c>
      <c r="W87" s="189">
        <v>-22262</v>
      </c>
      <c r="X87" s="189">
        <v>-22262</v>
      </c>
      <c r="Y87" s="189">
        <v>-22262</v>
      </c>
      <c r="Z87" s="189">
        <v>-22262</v>
      </c>
      <c r="AA87" s="189">
        <v>-22262</v>
      </c>
      <c r="AB87" s="189">
        <v>-22262</v>
      </c>
      <c r="AC87" s="190">
        <v>-22262</v>
      </c>
      <c r="AD87" s="190">
        <v>-154911</v>
      </c>
      <c r="AE87" s="190">
        <v>-145494</v>
      </c>
      <c r="AF87" s="190">
        <v>-154352</v>
      </c>
      <c r="AG87" s="190">
        <v>-160445</v>
      </c>
      <c r="AH87" s="190">
        <v>-252843</v>
      </c>
      <c r="AI87" s="190">
        <v>-295828</v>
      </c>
      <c r="AJ87" s="191">
        <v>-264023</v>
      </c>
      <c r="AK87" s="191">
        <v>-300485</v>
      </c>
      <c r="AL87" s="191">
        <v>-272001</v>
      </c>
      <c r="AM87" s="191">
        <v>-315485</v>
      </c>
      <c r="AN87" s="191">
        <v>-376656</v>
      </c>
      <c r="AO87" s="191">
        <v>-411971</v>
      </c>
      <c r="AP87" s="191">
        <v>-55699</v>
      </c>
      <c r="AQ87" s="191">
        <v>-55699</v>
      </c>
      <c r="AR87" s="191">
        <v>-215008</v>
      </c>
      <c r="AS87" s="192">
        <v>6265</v>
      </c>
      <c r="AT87" s="192">
        <v>-120988</v>
      </c>
      <c r="AU87" s="192">
        <v>-110122</v>
      </c>
      <c r="AV87" s="192">
        <v>-80280</v>
      </c>
    </row>
    <row r="88" spans="1:48">
      <c r="A88" s="173" t="s">
        <v>765</v>
      </c>
      <c r="B88" s="174"/>
      <c r="C88" s="201">
        <v>457706</v>
      </c>
      <c r="D88" s="201">
        <v>311412</v>
      </c>
      <c r="E88" s="201">
        <v>444963</v>
      </c>
      <c r="F88" s="201">
        <v>498543</v>
      </c>
      <c r="G88" s="201">
        <v>498543</v>
      </c>
      <c r="H88" s="201">
        <v>496984</v>
      </c>
      <c r="I88" s="201">
        <v>502339</v>
      </c>
      <c r="J88" s="201">
        <v>987118</v>
      </c>
      <c r="K88" s="201">
        <v>903760</v>
      </c>
      <c r="L88" s="201">
        <v>910624</v>
      </c>
      <c r="M88" s="201">
        <v>912906</v>
      </c>
      <c r="N88" s="201">
        <v>1517250</v>
      </c>
      <c r="O88" s="201">
        <v>1520412</v>
      </c>
      <c r="P88" s="201">
        <v>1523435</v>
      </c>
      <c r="Q88" s="201">
        <v>1525528</v>
      </c>
      <c r="R88" s="201">
        <v>2064804</v>
      </c>
      <c r="S88" s="201">
        <v>2066537</v>
      </c>
      <c r="T88" s="201">
        <v>1824556</v>
      </c>
      <c r="U88" s="201">
        <v>1824518</v>
      </c>
      <c r="V88" s="201">
        <v>2583952</v>
      </c>
      <c r="W88" s="201">
        <v>2584679</v>
      </c>
      <c r="X88" s="201">
        <v>2437550</v>
      </c>
      <c r="Y88" s="201">
        <v>2437719</v>
      </c>
      <c r="Z88" s="201">
        <v>3270994</v>
      </c>
      <c r="AA88" s="201">
        <v>3270994</v>
      </c>
      <c r="AB88" s="201">
        <v>2901705</v>
      </c>
      <c r="AC88" s="202">
        <v>2849562</v>
      </c>
      <c r="AD88" s="202">
        <f>529934+4993923</f>
        <v>5523857</v>
      </c>
      <c r="AE88" s="202">
        <v>5536703</v>
      </c>
      <c r="AF88" s="202">
        <v>5549549</v>
      </c>
      <c r="AG88" s="202">
        <v>4815621</v>
      </c>
      <c r="AH88" s="202">
        <v>7138924</v>
      </c>
      <c r="AI88" s="202">
        <v>7264427</v>
      </c>
      <c r="AJ88" s="203">
        <v>5947305</v>
      </c>
      <c r="AK88" s="203">
        <v>5955694</v>
      </c>
      <c r="AL88" s="203">
        <v>5970137</v>
      </c>
      <c r="AM88" s="203">
        <v>9021765</v>
      </c>
      <c r="AN88" s="203">
        <v>7593743</v>
      </c>
      <c r="AO88" s="203">
        <v>7551496</v>
      </c>
      <c r="AP88" s="203">
        <v>8245816</v>
      </c>
      <c r="AQ88" s="203">
        <v>8242409</v>
      </c>
      <c r="AR88" s="203">
        <v>8241848</v>
      </c>
      <c r="AS88" s="204">
        <v>8241848</v>
      </c>
      <c r="AT88" s="204">
        <v>9848680</v>
      </c>
      <c r="AU88" s="204">
        <v>9810127</v>
      </c>
      <c r="AV88" s="204">
        <v>9801242</v>
      </c>
    </row>
    <row r="89" spans="1:48">
      <c r="A89" s="173" t="s">
        <v>764</v>
      </c>
      <c r="B89" s="174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2"/>
      <c r="AD89" s="202"/>
      <c r="AE89" s="202"/>
      <c r="AF89" s="202"/>
      <c r="AG89" s="202"/>
      <c r="AH89" s="202"/>
      <c r="AI89" s="202"/>
      <c r="AJ89" s="203"/>
      <c r="AK89" s="203"/>
      <c r="AL89" s="203"/>
      <c r="AM89" s="203"/>
      <c r="AN89" s="203"/>
      <c r="AO89" s="203"/>
      <c r="AP89" s="203">
        <v>187518</v>
      </c>
      <c r="AQ89" s="203">
        <v>187518</v>
      </c>
      <c r="AR89" s="203">
        <v>1266429</v>
      </c>
      <c r="AS89" s="204">
        <v>1278937</v>
      </c>
      <c r="AT89" s="204">
        <v>2095380</v>
      </c>
      <c r="AU89" s="204">
        <v>2107432</v>
      </c>
      <c r="AV89" s="204">
        <v>2147251</v>
      </c>
    </row>
    <row r="90" spans="1:48">
      <c r="A90" s="173" t="s">
        <v>739</v>
      </c>
      <c r="B90" s="174"/>
      <c r="C90" s="201">
        <v>-24593</v>
      </c>
      <c r="D90" s="201">
        <v>-68922</v>
      </c>
      <c r="E90" s="201">
        <v>-128990</v>
      </c>
      <c r="F90" s="201">
        <v>-96751</v>
      </c>
      <c r="G90" s="201">
        <v>-81544</v>
      </c>
      <c r="H90" s="201">
        <v>-266250</v>
      </c>
      <c r="I90" s="201">
        <v>16730</v>
      </c>
      <c r="J90" s="201">
        <v>-93933</v>
      </c>
      <c r="K90" s="201">
        <v>85369</v>
      </c>
      <c r="L90" s="201">
        <v>585482</v>
      </c>
      <c r="M90" s="201">
        <v>657444</v>
      </c>
      <c r="N90" s="201">
        <v>0</v>
      </c>
      <c r="O90" s="201">
        <v>138803</v>
      </c>
      <c r="P90" s="201">
        <v>317588</v>
      </c>
      <c r="Q90" s="201">
        <v>506310</v>
      </c>
      <c r="R90" s="201">
        <v>0</v>
      </c>
      <c r="S90" s="201">
        <v>49483</v>
      </c>
      <c r="T90" s="201">
        <v>176570</v>
      </c>
      <c r="U90" s="201">
        <v>488252</v>
      </c>
      <c r="V90" s="201">
        <v>0</v>
      </c>
      <c r="W90" s="201">
        <v>64581</v>
      </c>
      <c r="X90" s="201">
        <v>185680</v>
      </c>
      <c r="Y90" s="201">
        <v>433709</v>
      </c>
      <c r="Z90" s="201" t="s">
        <v>371</v>
      </c>
      <c r="AA90" s="201">
        <v>212780</v>
      </c>
      <c r="AB90" s="201">
        <f>554856</f>
        <v>554856</v>
      </c>
      <c r="AC90" s="202">
        <v>1103399</v>
      </c>
      <c r="AD90" s="202"/>
      <c r="AE90" s="202">
        <v>452165</v>
      </c>
      <c r="AF90" s="202">
        <v>845688</v>
      </c>
      <c r="AG90" s="202">
        <v>1573645</v>
      </c>
      <c r="AH90" s="202"/>
      <c r="AI90" s="202">
        <v>353226</v>
      </c>
      <c r="AJ90" s="203">
        <v>862956</v>
      </c>
      <c r="AK90" s="203">
        <v>2273352</v>
      </c>
      <c r="AL90" s="203">
        <v>3694527</v>
      </c>
      <c r="AM90" s="203">
        <v>580076</v>
      </c>
      <c r="AN90" s="203">
        <v>457926</v>
      </c>
      <c r="AO90" s="203"/>
      <c r="AP90" s="203"/>
      <c r="AQ90" s="203"/>
      <c r="AR90" s="203">
        <v>0</v>
      </c>
      <c r="AS90" s="204"/>
      <c r="AT90" s="204"/>
      <c r="AU90" s="204"/>
      <c r="AV90" s="204"/>
    </row>
    <row r="91" spans="1:48">
      <c r="A91" s="173" t="s">
        <v>878</v>
      </c>
      <c r="B91" s="174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2"/>
      <c r="AD91" s="202"/>
      <c r="AE91" s="202"/>
      <c r="AF91" s="202"/>
      <c r="AG91" s="202"/>
      <c r="AH91" s="202"/>
      <c r="AI91" s="202"/>
      <c r="AJ91" s="203"/>
      <c r="AK91" s="203"/>
      <c r="AL91" s="203"/>
      <c r="AM91" s="203"/>
      <c r="AN91" s="203"/>
      <c r="AO91" s="203">
        <v>914034</v>
      </c>
      <c r="AP91" s="203"/>
      <c r="AQ91" s="203"/>
      <c r="AR91" s="203">
        <v>681385</v>
      </c>
      <c r="AS91" s="204">
        <v>1401408</v>
      </c>
      <c r="AT91" s="204">
        <v>-115131</v>
      </c>
      <c r="AU91" s="204">
        <v>279445</v>
      </c>
      <c r="AV91" s="204">
        <v>787919</v>
      </c>
    </row>
    <row r="92" spans="1:48" ht="15" thickBot="1">
      <c r="A92" s="173" t="s">
        <v>879</v>
      </c>
      <c r="B92" s="174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2"/>
      <c r="AD92" s="202"/>
      <c r="AE92" s="202"/>
      <c r="AF92" s="202"/>
      <c r="AG92" s="202"/>
      <c r="AH92" s="202">
        <v>-31734</v>
      </c>
      <c r="AI92" s="202">
        <v>-632005</v>
      </c>
      <c r="AJ92" s="203">
        <v>-632005</v>
      </c>
      <c r="AK92" s="203">
        <v>-642725</v>
      </c>
      <c r="AL92" s="203">
        <v>-642725</v>
      </c>
      <c r="AM92" s="203">
        <v>-642725</v>
      </c>
      <c r="AN92" s="203">
        <v>-642725</v>
      </c>
      <c r="AO92" s="203">
        <v>-642725</v>
      </c>
      <c r="AP92" s="203">
        <v>-642725</v>
      </c>
      <c r="AQ92" s="203">
        <v>-642725</v>
      </c>
      <c r="AR92" s="203">
        <v>-642725</v>
      </c>
      <c r="AS92" s="204">
        <v>-630632</v>
      </c>
      <c r="AT92" s="204"/>
      <c r="AU92" s="204">
        <v>0</v>
      </c>
      <c r="AV92" s="204">
        <v>-29756</v>
      </c>
    </row>
    <row r="93" spans="1:48" ht="15" thickBot="1">
      <c r="A93" s="177" t="s">
        <v>740</v>
      </c>
      <c r="B93" s="170"/>
      <c r="C93" s="178">
        <f>C84+C69+C53</f>
        <v>2452531</v>
      </c>
      <c r="D93" s="178">
        <f t="shared" ref="D93:AD93" si="18">D84+D69+D53</f>
        <v>2259027</v>
      </c>
      <c r="E93" s="178">
        <f t="shared" si="18"/>
        <v>2338772</v>
      </c>
      <c r="F93" s="178">
        <f t="shared" si="18"/>
        <v>2393514</v>
      </c>
      <c r="G93" s="178">
        <f t="shared" si="18"/>
        <v>2394570</v>
      </c>
      <c r="H93" s="178">
        <f t="shared" si="18"/>
        <v>2215498</v>
      </c>
      <c r="I93" s="178">
        <f t="shared" si="18"/>
        <v>2508973</v>
      </c>
      <c r="J93" s="178">
        <f t="shared" si="18"/>
        <v>3011933</v>
      </c>
      <c r="K93" s="178">
        <f t="shared" si="18"/>
        <v>3109208</v>
      </c>
      <c r="L93" s="178">
        <f t="shared" si="18"/>
        <v>3618874</v>
      </c>
      <c r="M93" s="178">
        <f t="shared" si="18"/>
        <v>3701000</v>
      </c>
      <c r="N93" s="178">
        <f t="shared" si="18"/>
        <v>3682094</v>
      </c>
      <c r="O93" s="178">
        <f t="shared" si="18"/>
        <v>3823113</v>
      </c>
      <c r="P93" s="178">
        <f t="shared" si="18"/>
        <v>4008210</v>
      </c>
      <c r="Q93" s="178">
        <f t="shared" si="18"/>
        <v>4198249</v>
      </c>
      <c r="R93" s="178">
        <f t="shared" si="18"/>
        <v>4203620</v>
      </c>
      <c r="S93" s="178">
        <f t="shared" si="18"/>
        <v>4262144</v>
      </c>
      <c r="T93" s="178">
        <f t="shared" si="18"/>
        <v>4387806</v>
      </c>
      <c r="U93" s="178">
        <f t="shared" si="18"/>
        <v>4711228</v>
      </c>
      <c r="V93" s="178">
        <f t="shared" si="18"/>
        <v>6188951</v>
      </c>
      <c r="W93" s="178">
        <f t="shared" si="18"/>
        <v>6273807</v>
      </c>
      <c r="X93" s="178">
        <f t="shared" si="18"/>
        <v>6384343</v>
      </c>
      <c r="Y93" s="178">
        <f t="shared" si="18"/>
        <v>7478019</v>
      </c>
      <c r="Z93" s="178">
        <f t="shared" si="18"/>
        <v>7962355</v>
      </c>
      <c r="AA93" s="178">
        <f t="shared" si="18"/>
        <v>8223305</v>
      </c>
      <c r="AB93" s="178">
        <f t="shared" si="18"/>
        <v>8477336</v>
      </c>
      <c r="AC93" s="178">
        <f t="shared" si="18"/>
        <v>8658749</v>
      </c>
      <c r="AD93" s="178">
        <f t="shared" si="18"/>
        <v>10245198</v>
      </c>
      <c r="AE93" s="178">
        <f>AE84+AE69+AE53</f>
        <v>10034281</v>
      </c>
      <c r="AF93" s="178">
        <v>10431402</v>
      </c>
      <c r="AG93" s="178">
        <f t="shared" ref="AG93:AR93" si="19">AG84+AG69+AG53</f>
        <v>10653439</v>
      </c>
      <c r="AH93" s="178">
        <f t="shared" si="19"/>
        <v>11548463</v>
      </c>
      <c r="AI93" s="178">
        <f t="shared" si="19"/>
        <v>11366760</v>
      </c>
      <c r="AJ93" s="178">
        <f t="shared" si="19"/>
        <v>12005714</v>
      </c>
      <c r="AK93" s="178">
        <f t="shared" si="19"/>
        <v>13712956</v>
      </c>
      <c r="AL93" s="178">
        <f t="shared" si="19"/>
        <v>16075284</v>
      </c>
      <c r="AM93" s="178">
        <f t="shared" si="19"/>
        <v>21519607</v>
      </c>
      <c r="AN93" s="178">
        <f t="shared" si="19"/>
        <v>21487005</v>
      </c>
      <c r="AO93" s="178">
        <f t="shared" si="19"/>
        <v>22046886</v>
      </c>
      <c r="AP93" s="178">
        <f t="shared" si="19"/>
        <v>22386347</v>
      </c>
      <c r="AQ93" s="178">
        <f t="shared" si="19"/>
        <v>22386347</v>
      </c>
      <c r="AR93" s="178">
        <f t="shared" si="19"/>
        <v>23403654</v>
      </c>
      <c r="AS93" s="178">
        <f>AS84+AS69+AS53</f>
        <v>24449220</v>
      </c>
      <c r="AT93" s="178">
        <f>AT84+AT69+AT53</f>
        <v>26035163</v>
      </c>
      <c r="AU93" s="178">
        <f>AU84+AU69+AU53</f>
        <v>24324976</v>
      </c>
      <c r="AV93" s="178">
        <f>AV84+AV69+AV53</f>
        <v>24870119</v>
      </c>
    </row>
    <row r="94" spans="1:48"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>
        <f>AG93-AG50</f>
        <v>0</v>
      </c>
      <c r="AH94" s="111">
        <f>AH93-AH50</f>
        <v>-118307</v>
      </c>
      <c r="AI94" s="111">
        <f>AI93-AI50</f>
        <v>0</v>
      </c>
      <c r="AJ94" s="111"/>
      <c r="AK94" s="111"/>
      <c r="AL94" s="210"/>
      <c r="AM94" s="210">
        <f t="shared" ref="AM94:AP94" si="20">AM93-AM50</f>
        <v>0</v>
      </c>
      <c r="AN94" s="210">
        <f t="shared" si="20"/>
        <v>0</v>
      </c>
      <c r="AO94" s="210">
        <f t="shared" si="20"/>
        <v>0</v>
      </c>
      <c r="AP94" s="210">
        <f t="shared" si="20"/>
        <v>0</v>
      </c>
      <c r="AQ94" s="210">
        <f t="shared" ref="AQ94:AV94" si="21">AQ93-AQ50</f>
        <v>0</v>
      </c>
      <c r="AR94" s="210">
        <f t="shared" si="21"/>
        <v>0</v>
      </c>
      <c r="AS94" s="210">
        <f t="shared" si="21"/>
        <v>0</v>
      </c>
      <c r="AT94" s="210">
        <f t="shared" si="21"/>
        <v>0</v>
      </c>
      <c r="AU94" s="210">
        <f t="shared" si="21"/>
        <v>0</v>
      </c>
      <c r="AV94" s="210">
        <f t="shared" si="21"/>
        <v>0</v>
      </c>
    </row>
    <row r="95" spans="1:48"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48">
      <c r="AA96" s="111"/>
      <c r="AB96" s="111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AM52:AT52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79998168889431442"/>
  </sheetPr>
  <dimension ref="B6:AV46"/>
  <sheetViews>
    <sheetView zoomScale="85" zoomScaleNormal="85" workbookViewId="0">
      <pane xSplit="2" ySplit="6" topLeftCell="AJ7" activePane="bottomRight" state="frozen"/>
      <selection pane="topRight" activeCell="G18" sqref="G18"/>
      <selection pane="bottomLeft" activeCell="G18" sqref="G18"/>
      <selection pane="bottomRight" activeCell="AV47" sqref="AV47"/>
    </sheetView>
  </sheetViews>
  <sheetFormatPr defaultColWidth="9.1796875" defaultRowHeight="14.5" outlineLevelCol="1"/>
  <cols>
    <col min="1" max="1" width="9.1796875" style="37"/>
    <col min="2" max="2" width="31.81640625" style="37" customWidth="1"/>
    <col min="3" max="26" width="9.1796875" style="37" hidden="1" customWidth="1" outlineLevel="1"/>
    <col min="27" max="27" width="9.1796875" style="37" customWidth="1" collapsed="1"/>
    <col min="28" max="42" width="9.1796875" style="37" customWidth="1"/>
    <col min="43" max="48" width="9" style="37" customWidth="1"/>
    <col min="49" max="16384" width="9.1796875" style="37"/>
  </cols>
  <sheetData>
    <row r="6" spans="2:48">
      <c r="B6" s="533" t="s">
        <v>120</v>
      </c>
      <c r="C6" s="129" t="s">
        <v>9</v>
      </c>
      <c r="D6" s="129" t="s">
        <v>10</v>
      </c>
      <c r="E6" s="129" t="s">
        <v>11</v>
      </c>
      <c r="F6" s="129" t="s">
        <v>12</v>
      </c>
      <c r="G6" s="129" t="s">
        <v>13</v>
      </c>
      <c r="H6" s="129" t="s">
        <v>14</v>
      </c>
      <c r="I6" s="129" t="s">
        <v>15</v>
      </c>
      <c r="J6" s="129" t="s">
        <v>16</v>
      </c>
      <c r="K6" s="129" t="s">
        <v>17</v>
      </c>
      <c r="L6" s="129" t="s">
        <v>18</v>
      </c>
      <c r="M6" s="129" t="s">
        <v>19</v>
      </c>
      <c r="N6" s="129" t="s">
        <v>20</v>
      </c>
      <c r="O6" s="129" t="s">
        <v>21</v>
      </c>
      <c r="P6" s="129" t="s">
        <v>22</v>
      </c>
      <c r="Q6" s="129" t="s">
        <v>23</v>
      </c>
      <c r="R6" s="129" t="s">
        <v>24</v>
      </c>
      <c r="S6" s="129" t="s">
        <v>25</v>
      </c>
      <c r="T6" s="129" t="s">
        <v>26</v>
      </c>
      <c r="U6" s="129" t="s">
        <v>27</v>
      </c>
      <c r="V6" s="129" t="s">
        <v>28</v>
      </c>
      <c r="W6" s="129" t="s">
        <v>29</v>
      </c>
      <c r="X6" s="129" t="s">
        <v>30</v>
      </c>
      <c r="Y6" s="129" t="s">
        <v>31</v>
      </c>
      <c r="Z6" s="129" t="s">
        <v>32</v>
      </c>
      <c r="AA6" s="129" t="s">
        <v>33</v>
      </c>
      <c r="AB6" s="129" t="s">
        <v>34</v>
      </c>
      <c r="AC6" s="129" t="s">
        <v>35</v>
      </c>
      <c r="AD6" s="129" t="s">
        <v>36</v>
      </c>
      <c r="AE6" s="129" t="s">
        <v>37</v>
      </c>
      <c r="AF6" s="129" t="s">
        <v>38</v>
      </c>
      <c r="AG6" s="129" t="s">
        <v>39</v>
      </c>
      <c r="AH6" s="129" t="s">
        <v>40</v>
      </c>
      <c r="AI6" s="129" t="s">
        <v>41</v>
      </c>
      <c r="AJ6" s="129" t="s">
        <v>42</v>
      </c>
      <c r="AK6" s="129" t="s">
        <v>43</v>
      </c>
      <c r="AL6" s="129" t="s">
        <v>44</v>
      </c>
      <c r="AM6" s="129" t="s">
        <v>45</v>
      </c>
      <c r="AN6" s="129" t="s">
        <v>46</v>
      </c>
      <c r="AO6" s="129" t="s">
        <v>47</v>
      </c>
      <c r="AP6" s="129" t="s">
        <v>48</v>
      </c>
      <c r="AQ6" s="129" t="s">
        <v>49</v>
      </c>
      <c r="AR6" s="129" t="s">
        <v>50</v>
      </c>
      <c r="AS6" s="129" t="s">
        <v>51</v>
      </c>
      <c r="AT6" s="129" t="s">
        <v>52</v>
      </c>
      <c r="AU6" s="129" t="s">
        <v>53</v>
      </c>
      <c r="AV6" s="129" t="s">
        <v>54</v>
      </c>
    </row>
    <row r="7" spans="2:48">
      <c r="B7" s="37" t="s">
        <v>121</v>
      </c>
      <c r="C7" s="262">
        <v>21.5</v>
      </c>
      <c r="D7" s="262">
        <v>20.100000000000001</v>
      </c>
      <c r="E7" s="262">
        <v>19.2</v>
      </c>
      <c r="F7" s="262">
        <v>18.850000000000001</v>
      </c>
      <c r="G7" s="262">
        <v>16.100000000000001</v>
      </c>
      <c r="H7" s="262">
        <v>16.100000000000001</v>
      </c>
      <c r="I7" s="262">
        <v>16.5</v>
      </c>
      <c r="J7" s="262">
        <v>17</v>
      </c>
      <c r="K7" s="262">
        <v>17.100000000000001</v>
      </c>
      <c r="L7" s="262">
        <v>16.7</v>
      </c>
      <c r="M7" s="262">
        <v>16</v>
      </c>
      <c r="N7" s="262">
        <v>15.28</v>
      </c>
      <c r="O7" s="262">
        <v>14.486805930629799</v>
      </c>
      <c r="P7" s="262">
        <v>14.469143699285866</v>
      </c>
      <c r="Q7" s="262">
        <v>14.05212997553472</v>
      </c>
      <c r="R7" s="262">
        <v>14.2160810915931</v>
      </c>
      <c r="S7" s="262">
        <v>15.243970098536501</v>
      </c>
      <c r="T7" s="262">
        <v>14.71</v>
      </c>
      <c r="U7" s="262">
        <v>14.17</v>
      </c>
      <c r="V7" s="262">
        <v>13.27</v>
      </c>
      <c r="W7" s="262">
        <v>13.17</v>
      </c>
      <c r="X7" s="262">
        <v>14.1</v>
      </c>
      <c r="Y7" s="262">
        <v>14.27</v>
      </c>
      <c r="Z7" s="262">
        <v>13.99</v>
      </c>
      <c r="AA7" s="262">
        <v>13.73</v>
      </c>
      <c r="AB7" s="262">
        <v>13.55</v>
      </c>
      <c r="AC7" s="262">
        <v>13.42</v>
      </c>
      <c r="AD7" s="262">
        <v>13.69</v>
      </c>
      <c r="AE7" s="262">
        <v>13</v>
      </c>
      <c r="AF7" s="262">
        <v>13.9</v>
      </c>
      <c r="AG7" s="262">
        <v>13.870000000000001</v>
      </c>
      <c r="AH7" s="262">
        <v>13.370064601433477</v>
      </c>
      <c r="AI7" s="262">
        <v>18.38494487842754</v>
      </c>
      <c r="AJ7" s="262">
        <v>19.7</v>
      </c>
      <c r="AK7" s="262">
        <v>23.4</v>
      </c>
      <c r="AL7" s="262">
        <v>29.2</v>
      </c>
      <c r="AM7" s="262">
        <v>29.3</v>
      </c>
      <c r="AN7" s="262">
        <v>29.8</v>
      </c>
      <c r="AO7" s="262">
        <v>28.34</v>
      </c>
      <c r="AP7" s="262">
        <v>24.649107999999998</v>
      </c>
      <c r="AQ7" s="262">
        <v>20.318995000000001</v>
      </c>
      <c r="AR7" s="262">
        <v>17.336359999999999</v>
      </c>
      <c r="AS7" s="262">
        <v>15.45</v>
      </c>
      <c r="AT7" s="262">
        <v>14.025035000000001</v>
      </c>
      <c r="AU7" s="262">
        <v>13.76</v>
      </c>
      <c r="AV7" s="262">
        <v>14.17</v>
      </c>
    </row>
    <row r="8" spans="2:48">
      <c r="B8" s="263" t="s">
        <v>122</v>
      </c>
      <c r="C8" s="264">
        <v>25.19</v>
      </c>
      <c r="D8" s="264">
        <v>25.19</v>
      </c>
      <c r="E8" s="264">
        <v>25.19</v>
      </c>
      <c r="F8" s="264">
        <v>25.19</v>
      </c>
      <c r="G8" s="264">
        <v>23.37</v>
      </c>
      <c r="H8" s="264">
        <v>23.37</v>
      </c>
      <c r="I8" s="264">
        <v>23.37</v>
      </c>
      <c r="J8" s="264">
        <v>23.37</v>
      </c>
      <c r="K8" s="264">
        <v>21.68</v>
      </c>
      <c r="L8" s="264">
        <v>21.68</v>
      </c>
      <c r="M8" s="264">
        <v>21.68</v>
      </c>
      <c r="N8" s="264">
        <v>21.68</v>
      </c>
      <c r="O8" s="264">
        <v>19.920000000000002</v>
      </c>
      <c r="P8" s="264">
        <v>19.920000000000002</v>
      </c>
      <c r="Q8" s="264">
        <v>19.920000000000002</v>
      </c>
      <c r="R8" s="264">
        <v>19.920000000000002</v>
      </c>
      <c r="S8" s="264">
        <v>18.579999999999998</v>
      </c>
      <c r="T8" s="264">
        <v>18.579999999999998</v>
      </c>
      <c r="U8" s="264">
        <v>18.579999999999998</v>
      </c>
      <c r="V8" s="264">
        <v>18.579999999999998</v>
      </c>
      <c r="W8" s="264">
        <v>18.04</v>
      </c>
      <c r="X8" s="264">
        <v>18.04</v>
      </c>
      <c r="Y8" s="264">
        <v>18.04</v>
      </c>
      <c r="Z8" s="264">
        <v>18.04</v>
      </c>
      <c r="AA8" s="264">
        <v>17.329999999999998</v>
      </c>
      <c r="AB8" s="264">
        <v>17.329999999999998</v>
      </c>
      <c r="AC8" s="264">
        <v>17.329999999999998</v>
      </c>
      <c r="AD8" s="264">
        <v>17.329999999999998</v>
      </c>
      <c r="AE8" s="264">
        <v>17.399999999999999</v>
      </c>
      <c r="AF8" s="264">
        <v>17.399999999999999</v>
      </c>
      <c r="AG8" s="264">
        <v>17.399999999999999</v>
      </c>
      <c r="AH8" s="264">
        <v>17.399999999999999</v>
      </c>
      <c r="AI8" s="264">
        <v>16.079999999999998</v>
      </c>
      <c r="AJ8" s="264">
        <v>16.079999999999998</v>
      </c>
      <c r="AK8" s="264">
        <v>16.079999999999998</v>
      </c>
      <c r="AL8" s="264">
        <v>16.075905041593739</v>
      </c>
      <c r="AM8" s="264">
        <v>15.43614064142894</v>
      </c>
      <c r="AN8" s="264">
        <v>15.43614064142894</v>
      </c>
      <c r="AO8" s="264">
        <v>15.44</v>
      </c>
      <c r="AP8" s="264">
        <v>15.44</v>
      </c>
      <c r="AQ8" s="264">
        <v>14.89</v>
      </c>
      <c r="AR8" s="264">
        <v>14.89</v>
      </c>
      <c r="AS8" s="264">
        <v>14.89</v>
      </c>
      <c r="AT8" s="264">
        <v>14.91</v>
      </c>
      <c r="AU8" s="264">
        <v>14.2</v>
      </c>
      <c r="AV8" s="264">
        <v>14.19</v>
      </c>
    </row>
    <row r="9" spans="2:48">
      <c r="B9" s="37" t="s">
        <v>123</v>
      </c>
      <c r="C9" s="262">
        <v>11.2</v>
      </c>
      <c r="D9" s="262">
        <v>10.9</v>
      </c>
      <c r="E9" s="262">
        <v>10.6</v>
      </c>
      <c r="F9" s="262">
        <v>10.88</v>
      </c>
      <c r="G9" s="262">
        <v>10.5</v>
      </c>
      <c r="H9" s="262">
        <v>10.7</v>
      </c>
      <c r="I9" s="262">
        <v>10.9</v>
      </c>
      <c r="J9" s="262">
        <v>11.01</v>
      </c>
      <c r="K9" s="262">
        <v>10.4</v>
      </c>
      <c r="L9" s="262">
        <v>9.6</v>
      </c>
      <c r="M9" s="262">
        <v>9.1999999999999993</v>
      </c>
      <c r="N9" s="262">
        <v>8.9499999999999993</v>
      </c>
      <c r="O9" s="262">
        <v>8.2031768457874428</v>
      </c>
      <c r="P9" s="262">
        <v>7.8082298675503017</v>
      </c>
      <c r="Q9" s="262">
        <v>7.5914781062703183</v>
      </c>
      <c r="R9" s="262">
        <v>7.5098640072322915</v>
      </c>
      <c r="S9" s="262">
        <v>7.8081811812480382</v>
      </c>
      <c r="T9" s="262">
        <v>7.6</v>
      </c>
      <c r="U9" s="262">
        <v>7.2</v>
      </c>
      <c r="V9" s="262">
        <v>7.13</v>
      </c>
      <c r="W9" s="262">
        <v>7.24</v>
      </c>
      <c r="X9" s="262">
        <v>7.46</v>
      </c>
      <c r="Y9" s="262">
        <v>7.5</v>
      </c>
      <c r="Z9" s="262">
        <v>6.93</v>
      </c>
      <c r="AA9" s="262">
        <v>6.67</v>
      </c>
      <c r="AB9" s="262">
        <v>6.53</v>
      </c>
      <c r="AC9" s="262">
        <v>6.4</v>
      </c>
      <c r="AD9" s="262">
        <v>6.55</v>
      </c>
      <c r="AE9" s="262">
        <v>5.5</v>
      </c>
      <c r="AF9" s="262">
        <v>5.8</v>
      </c>
      <c r="AG9" s="262">
        <v>6.11</v>
      </c>
      <c r="AH9" s="262">
        <v>5.938055526074967</v>
      </c>
      <c r="AI9" s="262">
        <v>7.2629540626711755</v>
      </c>
      <c r="AJ9" s="262">
        <v>7.6987975923315393</v>
      </c>
      <c r="AK9" s="262">
        <v>8.73</v>
      </c>
      <c r="AL9" s="262">
        <v>9.67</v>
      </c>
      <c r="AM9" s="262">
        <v>9.59</v>
      </c>
      <c r="AN9" s="262">
        <v>9.5500000000000007</v>
      </c>
      <c r="AO9" s="262">
        <v>9.1300000000000008</v>
      </c>
      <c r="AP9" s="262">
        <v>8.5662870000000009</v>
      </c>
      <c r="AQ9" s="262">
        <v>7.4811120000000004</v>
      </c>
      <c r="AR9" s="262">
        <v>6.8422429999999999</v>
      </c>
      <c r="AS9" s="262">
        <v>6.3998689999999998</v>
      </c>
      <c r="AT9" s="262">
        <v>5.9861849999999999</v>
      </c>
      <c r="AU9" s="262">
        <v>6.09</v>
      </c>
      <c r="AV9" s="262">
        <v>6.1</v>
      </c>
    </row>
    <row r="10" spans="2:48">
      <c r="B10" s="263" t="s">
        <v>124</v>
      </c>
      <c r="C10" s="264">
        <v>18.420000000000002</v>
      </c>
      <c r="D10" s="264">
        <v>18.420000000000002</v>
      </c>
      <c r="E10" s="264">
        <v>18.420000000000002</v>
      </c>
      <c r="F10" s="264">
        <v>18.420000000000002</v>
      </c>
      <c r="G10" s="264">
        <v>16.71</v>
      </c>
      <c r="H10" s="264">
        <v>16.71</v>
      </c>
      <c r="I10" s="264">
        <v>16.71</v>
      </c>
      <c r="J10" s="264">
        <v>16.71</v>
      </c>
      <c r="K10" s="264">
        <v>15.03</v>
      </c>
      <c r="L10" s="264">
        <v>15.03</v>
      </c>
      <c r="M10" s="264">
        <v>15.03</v>
      </c>
      <c r="N10" s="264">
        <v>15.03</v>
      </c>
      <c r="O10" s="264">
        <v>13.35</v>
      </c>
      <c r="P10" s="264">
        <v>13.35</v>
      </c>
      <c r="Q10" s="264">
        <v>13.35</v>
      </c>
      <c r="R10" s="264">
        <v>13.35</v>
      </c>
      <c r="S10" s="264">
        <v>11.95</v>
      </c>
      <c r="T10" s="264">
        <v>11.95</v>
      </c>
      <c r="U10" s="264">
        <v>11.95</v>
      </c>
      <c r="V10" s="264">
        <v>11.95</v>
      </c>
      <c r="W10" s="264">
        <v>11.47</v>
      </c>
      <c r="X10" s="264">
        <v>11.47</v>
      </c>
      <c r="Y10" s="264">
        <v>11.47</v>
      </c>
      <c r="Z10" s="264">
        <v>11.47</v>
      </c>
      <c r="AA10" s="264">
        <v>10.8</v>
      </c>
      <c r="AB10" s="264">
        <v>10.8</v>
      </c>
      <c r="AC10" s="264">
        <v>10.8</v>
      </c>
      <c r="AD10" s="264">
        <v>10.8</v>
      </c>
      <c r="AE10" s="264">
        <v>10.8</v>
      </c>
      <c r="AF10" s="264">
        <v>10.8</v>
      </c>
      <c r="AG10" s="264">
        <v>10.8</v>
      </c>
      <c r="AH10" s="264">
        <v>10.8</v>
      </c>
      <c r="AI10" s="264">
        <v>9.6999999999999993</v>
      </c>
      <c r="AJ10" s="264">
        <v>9.6999999999999993</v>
      </c>
      <c r="AK10" s="264">
        <v>9.6999999999999993</v>
      </c>
      <c r="AL10" s="264">
        <v>9.6999999999999993</v>
      </c>
      <c r="AM10" s="264">
        <v>9.3260438396384533</v>
      </c>
      <c r="AN10" s="264">
        <v>9.3260438396384533</v>
      </c>
      <c r="AO10" s="264">
        <v>9.3260438396384533</v>
      </c>
      <c r="AP10" s="264">
        <v>9.3260438396384533</v>
      </c>
      <c r="AQ10" s="264">
        <v>8.68</v>
      </c>
      <c r="AR10" s="264">
        <v>8.68</v>
      </c>
      <c r="AS10" s="264">
        <v>8.68</v>
      </c>
      <c r="AT10" s="264">
        <v>8.68</v>
      </c>
      <c r="AU10" s="264">
        <v>8.2799999999999994</v>
      </c>
      <c r="AV10" s="264">
        <v>8.2799999999999994</v>
      </c>
    </row>
    <row r="12" spans="2:48">
      <c r="B12" s="533" t="s">
        <v>125</v>
      </c>
      <c r="C12" s="129" t="s">
        <v>9</v>
      </c>
      <c r="D12" s="129" t="s">
        <v>10</v>
      </c>
      <c r="E12" s="129" t="s">
        <v>11</v>
      </c>
      <c r="F12" s="129" t="s">
        <v>12</v>
      </c>
      <c r="G12" s="129" t="s">
        <v>13</v>
      </c>
      <c r="H12" s="129" t="s">
        <v>14</v>
      </c>
      <c r="I12" s="129" t="s">
        <v>15</v>
      </c>
      <c r="J12" s="129" t="s">
        <v>16</v>
      </c>
      <c r="K12" s="129" t="s">
        <v>17</v>
      </c>
      <c r="L12" s="129" t="s">
        <v>18</v>
      </c>
      <c r="M12" s="129" t="s">
        <v>19</v>
      </c>
      <c r="N12" s="129" t="s">
        <v>20</v>
      </c>
      <c r="O12" s="129" t="s">
        <v>21</v>
      </c>
      <c r="P12" s="129" t="s">
        <v>22</v>
      </c>
      <c r="Q12" s="129" t="s">
        <v>23</v>
      </c>
      <c r="R12" s="129" t="s">
        <v>24</v>
      </c>
      <c r="S12" s="129" t="s">
        <v>25</v>
      </c>
      <c r="T12" s="129" t="s">
        <v>26</v>
      </c>
      <c r="U12" s="129" t="s">
        <v>27</v>
      </c>
      <c r="V12" s="129" t="s">
        <v>28</v>
      </c>
      <c r="W12" s="129" t="s">
        <v>29</v>
      </c>
      <c r="X12" s="129" t="s">
        <v>30</v>
      </c>
      <c r="Y12" s="129" t="s">
        <v>31</v>
      </c>
      <c r="Z12" s="129" t="s">
        <v>32</v>
      </c>
      <c r="AA12" s="129" t="str">
        <f t="shared" ref="AA12:AO12" si="0">AA6</f>
        <v>1T19</v>
      </c>
      <c r="AB12" s="129" t="str">
        <f t="shared" si="0"/>
        <v>2T19</v>
      </c>
      <c r="AC12" s="129" t="str">
        <f t="shared" si="0"/>
        <v>3T19</v>
      </c>
      <c r="AD12" s="129" t="str">
        <f t="shared" si="0"/>
        <v>4T19</v>
      </c>
      <c r="AE12" s="129" t="str">
        <f t="shared" si="0"/>
        <v>1T20</v>
      </c>
      <c r="AF12" s="129" t="str">
        <f t="shared" si="0"/>
        <v>2T20</v>
      </c>
      <c r="AG12" s="129" t="str">
        <f t="shared" si="0"/>
        <v>3T20</v>
      </c>
      <c r="AH12" s="129" t="str">
        <f t="shared" si="0"/>
        <v>4T20</v>
      </c>
      <c r="AI12" s="129" t="str">
        <f t="shared" si="0"/>
        <v>1T21</v>
      </c>
      <c r="AJ12" s="129" t="str">
        <f t="shared" si="0"/>
        <v>2T21</v>
      </c>
      <c r="AK12" s="129" t="str">
        <f t="shared" si="0"/>
        <v>3T21</v>
      </c>
      <c r="AL12" s="129" t="str">
        <f t="shared" si="0"/>
        <v>4T21</v>
      </c>
      <c r="AM12" s="129" t="str">
        <f t="shared" si="0"/>
        <v>1T22</v>
      </c>
      <c r="AN12" s="129" t="str">
        <f t="shared" si="0"/>
        <v>2T22</v>
      </c>
      <c r="AO12" s="129" t="str">
        <f t="shared" si="0"/>
        <v>3T22</v>
      </c>
      <c r="AP12" s="129" t="str">
        <f t="shared" ref="AP12:AV12" si="1">AP6</f>
        <v>4T22</v>
      </c>
      <c r="AQ12" s="129" t="str">
        <f t="shared" si="1"/>
        <v>1T23</v>
      </c>
      <c r="AR12" s="129" t="str">
        <f t="shared" si="1"/>
        <v>2T23</v>
      </c>
      <c r="AS12" s="129" t="str">
        <f t="shared" si="1"/>
        <v>3T23</v>
      </c>
      <c r="AT12" s="129" t="str">
        <f t="shared" si="1"/>
        <v>4T23</v>
      </c>
      <c r="AU12" s="129" t="str">
        <f t="shared" si="1"/>
        <v>1T24</v>
      </c>
      <c r="AV12" s="129" t="str">
        <f t="shared" si="1"/>
        <v>2T24</v>
      </c>
    </row>
    <row r="13" spans="2:48">
      <c r="B13" s="37" t="s">
        <v>121</v>
      </c>
      <c r="C13" s="262">
        <v>94.1</v>
      </c>
      <c r="D13" s="262">
        <v>86.5</v>
      </c>
      <c r="E13" s="262">
        <v>82.7</v>
      </c>
      <c r="F13" s="262">
        <v>73.5</v>
      </c>
      <c r="G13" s="262">
        <v>64.81</v>
      </c>
      <c r="H13" s="262">
        <v>56.73</v>
      </c>
      <c r="I13" s="262">
        <v>50.24</v>
      </c>
      <c r="J13" s="262">
        <v>49</v>
      </c>
      <c r="K13" s="262">
        <v>47</v>
      </c>
      <c r="L13" s="262">
        <v>44.8</v>
      </c>
      <c r="M13" s="262">
        <v>41.9</v>
      </c>
      <c r="N13" s="262">
        <v>37.93</v>
      </c>
      <c r="O13" s="262">
        <v>33.871086327764566</v>
      </c>
      <c r="P13" s="262">
        <v>31.584083501325953</v>
      </c>
      <c r="Q13" s="262">
        <v>31.141642842774431</v>
      </c>
      <c r="R13" s="262">
        <v>29.508494414344732</v>
      </c>
      <c r="S13" s="262">
        <v>29.158883648446533</v>
      </c>
      <c r="T13" s="262">
        <v>28.40809637484951</v>
      </c>
      <c r="U13" s="262">
        <v>27.891261758690423</v>
      </c>
      <c r="V13" s="262">
        <v>27.434743050570464</v>
      </c>
      <c r="W13" s="262">
        <v>26.650000000000002</v>
      </c>
      <c r="X13" s="262">
        <v>25.301715586065779</v>
      </c>
      <c r="Y13" s="262">
        <v>24.2</v>
      </c>
      <c r="Z13" s="262">
        <v>24.36</v>
      </c>
      <c r="AA13" s="262">
        <v>23.08</v>
      </c>
      <c r="AB13" s="262">
        <v>23.18</v>
      </c>
      <c r="AC13" s="262">
        <v>23.27</v>
      </c>
      <c r="AD13" s="262">
        <v>21.83</v>
      </c>
      <c r="AE13" s="262">
        <v>21.887396045877374</v>
      </c>
      <c r="AF13" s="262">
        <v>20.604533168134523</v>
      </c>
      <c r="AG13" s="262">
        <v>21.32</v>
      </c>
      <c r="AH13" s="262">
        <v>20.149999999999999</v>
      </c>
      <c r="AI13" s="262">
        <v>19.54</v>
      </c>
      <c r="AJ13" s="262">
        <v>20.5</v>
      </c>
      <c r="AK13" s="262">
        <v>20.7</v>
      </c>
      <c r="AL13" s="262">
        <v>22.2</v>
      </c>
      <c r="AM13" s="262">
        <v>21.770000000000003</v>
      </c>
      <c r="AN13" s="262">
        <v>21.4</v>
      </c>
      <c r="AO13" s="262">
        <v>19.89</v>
      </c>
      <c r="AP13" s="262">
        <v>18.753382999999999</v>
      </c>
      <c r="AQ13" s="262">
        <v>18.452047</v>
      </c>
      <c r="AR13" s="262">
        <v>17.414349000000001</v>
      </c>
      <c r="AS13" s="262">
        <v>17</v>
      </c>
      <c r="AT13" s="262">
        <v>16.86</v>
      </c>
      <c r="AU13" s="262">
        <v>17.07</v>
      </c>
      <c r="AV13" s="262">
        <v>18.16</v>
      </c>
    </row>
    <row r="14" spans="2:48">
      <c r="B14" s="263" t="s">
        <v>122</v>
      </c>
      <c r="C14" s="264" t="s">
        <v>126</v>
      </c>
      <c r="D14" s="264" t="s">
        <v>126</v>
      </c>
      <c r="E14" s="264" t="s">
        <v>126</v>
      </c>
      <c r="F14" s="264" t="s">
        <v>126</v>
      </c>
      <c r="G14" s="264">
        <v>33.950000000000003</v>
      </c>
      <c r="H14" s="264">
        <v>33.950000000000003</v>
      </c>
      <c r="I14" s="264">
        <v>33.950000000000003</v>
      </c>
      <c r="J14" s="264">
        <v>33.950000000000003</v>
      </c>
      <c r="K14" s="264" t="s">
        <v>127</v>
      </c>
      <c r="L14" s="264" t="s">
        <v>127</v>
      </c>
      <c r="M14" s="264" t="s">
        <v>127</v>
      </c>
      <c r="N14" s="264" t="s">
        <v>127</v>
      </c>
      <c r="O14" s="264">
        <v>30.59</v>
      </c>
      <c r="P14" s="264">
        <v>30.59</v>
      </c>
      <c r="Q14" s="264">
        <v>30.59</v>
      </c>
      <c r="R14" s="264">
        <v>30.59</v>
      </c>
      <c r="S14" s="264">
        <v>29.93</v>
      </c>
      <c r="T14" s="264">
        <v>29.93</v>
      </c>
      <c r="U14" s="264">
        <v>29.93</v>
      </c>
      <c r="V14" s="264">
        <v>29.93</v>
      </c>
      <c r="W14" s="264">
        <v>29.170558090214612</v>
      </c>
      <c r="X14" s="264">
        <v>29.170558090214612</v>
      </c>
      <c r="Y14" s="264">
        <v>29.170558090214612</v>
      </c>
      <c r="Z14" s="264">
        <v>29.170558090214612</v>
      </c>
      <c r="AA14" s="264">
        <v>28.5</v>
      </c>
      <c r="AB14" s="264">
        <v>28.5</v>
      </c>
      <c r="AC14" s="264">
        <v>28.5</v>
      </c>
      <c r="AD14" s="264">
        <v>28.5</v>
      </c>
      <c r="AE14" s="264">
        <v>27.56</v>
      </c>
      <c r="AF14" s="264">
        <v>27.56</v>
      </c>
      <c r="AG14" s="264">
        <v>27.56</v>
      </c>
      <c r="AH14" s="264">
        <v>27.56</v>
      </c>
      <c r="AI14" s="264">
        <v>26.22</v>
      </c>
      <c r="AJ14" s="264">
        <v>26.22</v>
      </c>
      <c r="AK14" s="264">
        <v>26.22</v>
      </c>
      <c r="AL14" s="264">
        <v>26.219206528258329</v>
      </c>
      <c r="AM14" s="264">
        <v>24.532530658390282</v>
      </c>
      <c r="AN14" s="264">
        <v>24.5</v>
      </c>
      <c r="AO14" s="264">
        <v>24.532530658390282</v>
      </c>
      <c r="AP14" s="264">
        <v>24.6</v>
      </c>
      <c r="AQ14" s="264">
        <v>23.06</v>
      </c>
      <c r="AR14" s="264">
        <v>23.06</v>
      </c>
      <c r="AS14" s="264">
        <v>23.06</v>
      </c>
      <c r="AT14" s="264">
        <v>23.11</v>
      </c>
      <c r="AU14" s="264">
        <v>22.39</v>
      </c>
      <c r="AV14" s="264">
        <v>22.42</v>
      </c>
    </row>
    <row r="15" spans="2:48">
      <c r="B15" s="37" t="s">
        <v>123</v>
      </c>
      <c r="C15" s="262">
        <v>47.7</v>
      </c>
      <c r="D15" s="262">
        <v>45.5</v>
      </c>
      <c r="E15" s="262">
        <v>41.7</v>
      </c>
      <c r="F15" s="262">
        <v>38</v>
      </c>
      <c r="G15" s="262">
        <v>34.89</v>
      </c>
      <c r="H15" s="262">
        <v>31.54</v>
      </c>
      <c r="I15" s="262">
        <v>30.34</v>
      </c>
      <c r="J15" s="262">
        <v>30</v>
      </c>
      <c r="K15" s="262">
        <v>28.9</v>
      </c>
      <c r="L15" s="262">
        <v>26.6</v>
      </c>
      <c r="M15" s="262">
        <v>24.7</v>
      </c>
      <c r="N15" s="262">
        <v>22.38</v>
      </c>
      <c r="O15" s="262">
        <v>21.349288136543588</v>
      </c>
      <c r="P15" s="262">
        <v>21.302182081725569</v>
      </c>
      <c r="Q15" s="262">
        <v>21.690064067335022</v>
      </c>
      <c r="R15" s="262">
        <v>20.390464998793743</v>
      </c>
      <c r="S15" s="262">
        <v>19.837356025301052</v>
      </c>
      <c r="T15" s="262">
        <v>19.445496496259057</v>
      </c>
      <c r="U15" s="262">
        <v>18.130640873336027</v>
      </c>
      <c r="V15" s="262">
        <v>17.82718100415785</v>
      </c>
      <c r="W15" s="262">
        <v>17.23</v>
      </c>
      <c r="X15" s="262">
        <v>16.125236447109256</v>
      </c>
      <c r="Y15" s="262">
        <v>15.6</v>
      </c>
      <c r="Z15" s="262">
        <v>15.55</v>
      </c>
      <c r="AA15" s="262">
        <v>14.46</v>
      </c>
      <c r="AB15" s="262">
        <v>14.09</v>
      </c>
      <c r="AC15" s="262">
        <v>13.46</v>
      </c>
      <c r="AD15" s="262">
        <v>12.22</v>
      </c>
      <c r="AE15" s="262">
        <v>11.695485335824616</v>
      </c>
      <c r="AF15" s="262">
        <v>11.032772914637931</v>
      </c>
      <c r="AG15" s="262">
        <v>11.270000000000001</v>
      </c>
      <c r="AH15" s="262">
        <v>10.819999999999999</v>
      </c>
      <c r="AI15" s="262">
        <v>10.770000000000001</v>
      </c>
      <c r="AJ15" s="262">
        <v>11.2</v>
      </c>
      <c r="AK15" s="262">
        <v>11.3</v>
      </c>
      <c r="AL15" s="262">
        <v>11.88</v>
      </c>
      <c r="AM15" s="262">
        <v>11.54</v>
      </c>
      <c r="AN15" s="262">
        <v>10.76</v>
      </c>
      <c r="AO15" s="262">
        <v>9.99</v>
      </c>
      <c r="AP15" s="262">
        <v>9.2803590000000007</v>
      </c>
      <c r="AQ15" s="262">
        <v>9.1077270000000006</v>
      </c>
      <c r="AR15" s="262">
        <v>8.7153949999999991</v>
      </c>
      <c r="AS15" s="262">
        <v>8.4764090000000003</v>
      </c>
      <c r="AT15" s="262">
        <v>8.3000000000000007</v>
      </c>
      <c r="AU15" s="262">
        <v>8.01</v>
      </c>
      <c r="AV15" s="262">
        <v>8.0299999999999994</v>
      </c>
    </row>
    <row r="16" spans="2:48">
      <c r="B16" s="263" t="s">
        <v>124</v>
      </c>
      <c r="C16" s="264" t="s">
        <v>128</v>
      </c>
      <c r="D16" s="264" t="s">
        <v>128</v>
      </c>
      <c r="E16" s="264" t="s">
        <v>128</v>
      </c>
      <c r="F16" s="264" t="s">
        <v>128</v>
      </c>
      <c r="G16" s="264" t="s">
        <v>129</v>
      </c>
      <c r="H16" s="264" t="s">
        <v>129</v>
      </c>
      <c r="I16" s="264" t="s">
        <v>129</v>
      </c>
      <c r="J16" s="264" t="s">
        <v>129</v>
      </c>
      <c r="K16" s="264" t="s">
        <v>130</v>
      </c>
      <c r="L16" s="264" t="s">
        <v>130</v>
      </c>
      <c r="M16" s="264" t="s">
        <v>130</v>
      </c>
      <c r="N16" s="264" t="s">
        <v>130</v>
      </c>
      <c r="O16" s="264">
        <v>28.96</v>
      </c>
      <c r="P16" s="264">
        <v>28.96</v>
      </c>
      <c r="Q16" s="264">
        <v>28.96</v>
      </c>
      <c r="R16" s="264">
        <v>28.96</v>
      </c>
      <c r="S16" s="264">
        <v>27.22</v>
      </c>
      <c r="T16" s="264">
        <v>27.22</v>
      </c>
      <c r="U16" s="264">
        <v>27.22</v>
      </c>
      <c r="V16" s="264">
        <v>27.22</v>
      </c>
      <c r="W16" s="264">
        <v>25.063654432926185</v>
      </c>
      <c r="X16" s="264">
        <v>25.063654432926185</v>
      </c>
      <c r="Y16" s="264">
        <v>25.063654432926185</v>
      </c>
      <c r="Z16" s="264">
        <v>25.063654432926185</v>
      </c>
      <c r="AA16" s="264">
        <v>23.35</v>
      </c>
      <c r="AB16" s="264">
        <v>23.35</v>
      </c>
      <c r="AC16" s="264">
        <v>23.35</v>
      </c>
      <c r="AD16" s="264">
        <v>23.35</v>
      </c>
      <c r="AE16" s="264">
        <v>22.16</v>
      </c>
      <c r="AF16" s="264">
        <v>22.16</v>
      </c>
      <c r="AG16" s="264">
        <v>22.16</v>
      </c>
      <c r="AH16" s="264">
        <v>22.16</v>
      </c>
      <c r="AI16" s="264">
        <v>20.73</v>
      </c>
      <c r="AJ16" s="264">
        <v>20.73</v>
      </c>
      <c r="AK16" s="264">
        <v>20.73</v>
      </c>
      <c r="AL16" s="264">
        <v>20.73</v>
      </c>
      <c r="AM16" s="264">
        <v>19.110607478990993</v>
      </c>
      <c r="AN16" s="264">
        <v>19.100000000000001</v>
      </c>
      <c r="AO16" s="264">
        <v>19.110607478990993</v>
      </c>
      <c r="AP16" s="264">
        <v>19.110607478990993</v>
      </c>
      <c r="AQ16" s="264">
        <v>17.670000000000002</v>
      </c>
      <c r="AR16" s="264">
        <v>17.670000000000002</v>
      </c>
      <c r="AS16" s="264">
        <v>17.670000000000002</v>
      </c>
      <c r="AT16" s="264">
        <v>17.72</v>
      </c>
      <c r="AU16" s="264">
        <v>16.809999999999999</v>
      </c>
      <c r="AV16" s="264">
        <v>16.809999999999999</v>
      </c>
    </row>
    <row r="18" spans="2:48">
      <c r="B18" s="533" t="s">
        <v>131</v>
      </c>
      <c r="C18" s="129" t="s">
        <v>9</v>
      </c>
      <c r="D18" s="129" t="s">
        <v>10</v>
      </c>
      <c r="E18" s="129" t="s">
        <v>11</v>
      </c>
      <c r="F18" s="129" t="s">
        <v>12</v>
      </c>
      <c r="G18" s="129" t="s">
        <v>13</v>
      </c>
      <c r="H18" s="129" t="s">
        <v>14</v>
      </c>
      <c r="I18" s="129" t="s">
        <v>15</v>
      </c>
      <c r="J18" s="129" t="s">
        <v>16</v>
      </c>
      <c r="K18" s="129" t="s">
        <v>17</v>
      </c>
      <c r="L18" s="129" t="s">
        <v>18</v>
      </c>
      <c r="M18" s="129" t="s">
        <v>19</v>
      </c>
      <c r="N18" s="129" t="s">
        <v>20</v>
      </c>
      <c r="O18" s="129" t="s">
        <v>21</v>
      </c>
      <c r="P18" s="129" t="s">
        <v>22</v>
      </c>
      <c r="Q18" s="129" t="s">
        <v>23</v>
      </c>
      <c r="R18" s="129" t="s">
        <v>24</v>
      </c>
      <c r="S18" s="129" t="s">
        <v>25</v>
      </c>
      <c r="T18" s="129" t="s">
        <v>26</v>
      </c>
      <c r="U18" s="129" t="s">
        <v>27</v>
      </c>
      <c r="V18" s="129" t="s">
        <v>28</v>
      </c>
      <c r="W18" s="129" t="s">
        <v>29</v>
      </c>
      <c r="X18" s="129" t="s">
        <v>30</v>
      </c>
      <c r="Y18" s="129" t="s">
        <v>31</v>
      </c>
      <c r="Z18" s="129" t="s">
        <v>32</v>
      </c>
      <c r="AA18" s="129" t="str">
        <f t="shared" ref="AA18:AO18" si="2">AA12</f>
        <v>1T19</v>
      </c>
      <c r="AB18" s="129" t="str">
        <f t="shared" si="2"/>
        <v>2T19</v>
      </c>
      <c r="AC18" s="129" t="str">
        <f t="shared" si="2"/>
        <v>3T19</v>
      </c>
      <c r="AD18" s="129" t="str">
        <f t="shared" si="2"/>
        <v>4T19</v>
      </c>
      <c r="AE18" s="129" t="str">
        <f t="shared" si="2"/>
        <v>1T20</v>
      </c>
      <c r="AF18" s="129" t="str">
        <f t="shared" si="2"/>
        <v>2T20</v>
      </c>
      <c r="AG18" s="129" t="str">
        <f t="shared" si="2"/>
        <v>3T20</v>
      </c>
      <c r="AH18" s="129" t="str">
        <f t="shared" si="2"/>
        <v>4T20</v>
      </c>
      <c r="AI18" s="129" t="str">
        <f t="shared" si="2"/>
        <v>1T21</v>
      </c>
      <c r="AJ18" s="129" t="str">
        <f t="shared" si="2"/>
        <v>2T21</v>
      </c>
      <c r="AK18" s="129" t="str">
        <f t="shared" si="2"/>
        <v>3T21</v>
      </c>
      <c r="AL18" s="129" t="str">
        <f t="shared" si="2"/>
        <v>4T21</v>
      </c>
      <c r="AM18" s="129" t="str">
        <f t="shared" si="2"/>
        <v>1T22</v>
      </c>
      <c r="AN18" s="129" t="str">
        <f t="shared" si="2"/>
        <v>2T22</v>
      </c>
      <c r="AO18" s="129" t="str">
        <f t="shared" si="2"/>
        <v>3T22</v>
      </c>
      <c r="AP18" s="129" t="str">
        <f t="shared" ref="AP18:AV18" si="3">AP12</f>
        <v>4T22</v>
      </c>
      <c r="AQ18" s="129" t="str">
        <f t="shared" si="3"/>
        <v>1T23</v>
      </c>
      <c r="AR18" s="129" t="str">
        <f t="shared" si="3"/>
        <v>2T23</v>
      </c>
      <c r="AS18" s="129" t="str">
        <f t="shared" si="3"/>
        <v>3T23</v>
      </c>
      <c r="AT18" s="129" t="str">
        <f t="shared" si="3"/>
        <v>4T23</v>
      </c>
      <c r="AU18" s="129" t="str">
        <f t="shared" si="3"/>
        <v>1T24</v>
      </c>
      <c r="AV18" s="129" t="str">
        <f t="shared" si="3"/>
        <v>2T24</v>
      </c>
    </row>
    <row r="19" spans="2:48">
      <c r="B19" s="37" t="s">
        <v>121</v>
      </c>
      <c r="C19" s="262">
        <v>28.237978284633634</v>
      </c>
      <c r="D19" s="262">
        <v>28.447366739078007</v>
      </c>
      <c r="E19" s="262">
        <v>30.172589576164654</v>
      </c>
      <c r="F19" s="262">
        <v>29.769421224226484</v>
      </c>
      <c r="G19" s="262">
        <v>34.402926198816886</v>
      </c>
      <c r="H19" s="262">
        <v>33.576350004493527</v>
      </c>
      <c r="I19" s="262">
        <v>33.842655202120113</v>
      </c>
      <c r="J19" s="262">
        <v>32.939732207933616</v>
      </c>
      <c r="K19" s="262">
        <v>31.071843211823094</v>
      </c>
      <c r="L19" s="262">
        <v>30.302345919538951</v>
      </c>
      <c r="M19" s="262">
        <v>26.624486682976762</v>
      </c>
      <c r="N19" s="262">
        <v>26.22369345721383</v>
      </c>
      <c r="O19" s="262">
        <v>25.30294826106622</v>
      </c>
      <c r="P19" s="262">
        <v>24.297860739516487</v>
      </c>
      <c r="Q19" s="262">
        <v>23.869516459325713</v>
      </c>
      <c r="R19" s="262">
        <v>23.388433334451562</v>
      </c>
      <c r="S19" s="262">
        <v>22.014487976002972</v>
      </c>
      <c r="T19" s="262">
        <v>22.170957386106895</v>
      </c>
      <c r="U19" s="262">
        <v>22.281582182852961</v>
      </c>
      <c r="V19" s="262">
        <v>21.885000000000002</v>
      </c>
      <c r="W19" s="262">
        <v>22.623652640746013</v>
      </c>
      <c r="X19" s="262">
        <v>22.41356041243214</v>
      </c>
      <c r="Y19" s="262">
        <v>22.970268419383231</v>
      </c>
      <c r="Z19" s="262">
        <v>23.56</v>
      </c>
      <c r="AA19" s="262">
        <v>27.89</v>
      </c>
      <c r="AB19" s="262">
        <v>31.03</v>
      </c>
      <c r="AC19" s="262">
        <v>32.28</v>
      </c>
      <c r="AD19" s="262">
        <v>34.9</v>
      </c>
      <c r="AE19" s="262">
        <v>34.6</v>
      </c>
      <c r="AF19" s="262">
        <v>33.4</v>
      </c>
      <c r="AG19" s="262">
        <v>30.419999999999995</v>
      </c>
      <c r="AH19" s="262">
        <v>27.569999999999997</v>
      </c>
      <c r="AI19" s="262">
        <v>27.490000000000002</v>
      </c>
      <c r="AJ19" s="262">
        <v>20</v>
      </c>
      <c r="AK19" s="262">
        <v>27.6</v>
      </c>
      <c r="AL19" s="262">
        <v>29.4</v>
      </c>
      <c r="AM19" s="262">
        <v>26.883188810978716</v>
      </c>
      <c r="AN19" s="262">
        <v>27.1</v>
      </c>
      <c r="AO19" s="262">
        <v>26.2</v>
      </c>
      <c r="AP19" s="262">
        <v>24.489025000000002</v>
      </c>
      <c r="AQ19" s="262">
        <v>23.319597999999999</v>
      </c>
      <c r="AR19" s="262">
        <v>23.060801999999999</v>
      </c>
      <c r="AS19" s="262">
        <v>23.57</v>
      </c>
      <c r="AT19" s="262">
        <v>24.036584000000001</v>
      </c>
      <c r="AU19" s="262">
        <v>23.41</v>
      </c>
      <c r="AV19" s="262">
        <v>24.27</v>
      </c>
    </row>
    <row r="20" spans="2:48">
      <c r="B20" s="263" t="s">
        <v>122</v>
      </c>
      <c r="C20" s="264">
        <v>24.62</v>
      </c>
      <c r="D20" s="264">
        <v>24.62</v>
      </c>
      <c r="E20" s="264">
        <v>24.62</v>
      </c>
      <c r="F20" s="264">
        <v>24.62</v>
      </c>
      <c r="G20" s="264">
        <v>23.71</v>
      </c>
      <c r="H20" s="264">
        <v>23.71</v>
      </c>
      <c r="I20" s="264">
        <v>23.71</v>
      </c>
      <c r="J20" s="264">
        <v>23.71</v>
      </c>
      <c r="K20" s="264">
        <v>22.23</v>
      </c>
      <c r="L20" s="264">
        <v>22.23</v>
      </c>
      <c r="M20" s="264">
        <v>22.23</v>
      </c>
      <c r="N20" s="264">
        <v>22.23</v>
      </c>
      <c r="O20" s="264">
        <v>20.55</v>
      </c>
      <c r="P20" s="264">
        <v>20.55</v>
      </c>
      <c r="Q20" s="264">
        <v>20.55</v>
      </c>
      <c r="R20" s="264">
        <v>20.55</v>
      </c>
      <c r="S20" s="264">
        <v>19.170000000000002</v>
      </c>
      <c r="T20" s="264">
        <v>19.170000000000002</v>
      </c>
      <c r="U20" s="264">
        <v>19.170000000000002</v>
      </c>
      <c r="V20" s="264">
        <v>19.170000000000002</v>
      </c>
      <c r="W20" s="264">
        <v>20.67</v>
      </c>
      <c r="X20" s="264">
        <v>20.67</v>
      </c>
      <c r="Y20" s="264">
        <v>20.67</v>
      </c>
      <c r="Z20" s="264">
        <v>20.67</v>
      </c>
      <c r="AA20" s="264">
        <v>20.67</v>
      </c>
      <c r="AB20" s="264">
        <v>20.67</v>
      </c>
      <c r="AC20" s="264">
        <v>20.67</v>
      </c>
      <c r="AD20" s="264">
        <v>20.67</v>
      </c>
      <c r="AE20" s="264">
        <v>20.8</v>
      </c>
      <c r="AF20" s="264">
        <v>20.8</v>
      </c>
      <c r="AG20" s="264">
        <v>20.8</v>
      </c>
      <c r="AH20" s="264">
        <v>20.8</v>
      </c>
      <c r="AI20" s="264">
        <v>20.82</v>
      </c>
      <c r="AJ20" s="264">
        <v>20.8</v>
      </c>
      <c r="AK20" s="264">
        <v>20.8</v>
      </c>
      <c r="AL20" s="264">
        <v>20.823908929041046</v>
      </c>
      <c r="AM20" s="264">
        <v>20.84</v>
      </c>
      <c r="AN20" s="264">
        <v>20.84</v>
      </c>
      <c r="AO20" s="264">
        <v>20.84</v>
      </c>
      <c r="AP20" s="264">
        <v>20.84</v>
      </c>
      <c r="AQ20" s="264">
        <v>20.87</v>
      </c>
      <c r="AR20" s="264">
        <v>20.87</v>
      </c>
      <c r="AS20" s="264">
        <v>20.87</v>
      </c>
      <c r="AT20" s="264">
        <v>20.89</v>
      </c>
      <c r="AU20" s="264">
        <v>19.95</v>
      </c>
      <c r="AV20" s="264">
        <v>19.95</v>
      </c>
    </row>
    <row r="21" spans="2:48">
      <c r="B21" s="37" t="s">
        <v>123</v>
      </c>
      <c r="C21" s="262">
        <v>24.611190840550115</v>
      </c>
      <c r="D21" s="262">
        <v>24.204537290587297</v>
      </c>
      <c r="E21" s="262">
        <v>24.663704609545164</v>
      </c>
      <c r="F21" s="262">
        <v>23.336174529942824</v>
      </c>
      <c r="G21" s="262">
        <v>22.91737944108759</v>
      </c>
      <c r="H21" s="262">
        <v>22.312153749393296</v>
      </c>
      <c r="I21" s="262">
        <v>21.097804582135787</v>
      </c>
      <c r="J21" s="262">
        <v>20.571607910546824</v>
      </c>
      <c r="K21" s="262">
        <v>20.780015626182749</v>
      </c>
      <c r="L21" s="262">
        <v>20.36339737147933</v>
      </c>
      <c r="M21" s="262">
        <v>19.680847136189335</v>
      </c>
      <c r="N21" s="262">
        <v>19.902543904520535</v>
      </c>
      <c r="O21" s="262">
        <v>18.888842430941757</v>
      </c>
      <c r="P21" s="262">
        <v>17.980702082752071</v>
      </c>
      <c r="Q21" s="262">
        <v>17.209293004805925</v>
      </c>
      <c r="R21" s="262">
        <v>16.406619251133392</v>
      </c>
      <c r="S21" s="262">
        <v>16.2454708747991</v>
      </c>
      <c r="T21" s="262">
        <v>15.537006723312741</v>
      </c>
      <c r="U21" s="262">
        <v>15.175217758305092</v>
      </c>
      <c r="V21" s="262">
        <v>14.696566817084292</v>
      </c>
      <c r="W21" s="262">
        <v>14.114908323607214</v>
      </c>
      <c r="X21" s="262">
        <v>14.185241032065287</v>
      </c>
      <c r="Y21" s="262">
        <v>14.262357137533742</v>
      </c>
      <c r="Z21" s="262">
        <v>14.1</v>
      </c>
      <c r="AA21" s="262">
        <v>13.3</v>
      </c>
      <c r="AB21" s="262">
        <v>13.55</v>
      </c>
      <c r="AC21" s="262">
        <v>13.57</v>
      </c>
      <c r="AD21" s="262">
        <v>13.1</v>
      </c>
      <c r="AE21" s="262">
        <v>13.7</v>
      </c>
      <c r="AF21" s="262">
        <v>13.6</v>
      </c>
      <c r="AG21" s="262">
        <v>13.3</v>
      </c>
      <c r="AH21" s="262">
        <v>12.780000000000001</v>
      </c>
      <c r="AI21" s="262">
        <v>13.389999999999999</v>
      </c>
      <c r="AJ21" s="262">
        <v>12.8</v>
      </c>
      <c r="AK21" s="262">
        <v>12.8</v>
      </c>
      <c r="AL21" s="262">
        <v>13.7</v>
      </c>
      <c r="AM21" s="262">
        <v>12.64</v>
      </c>
      <c r="AN21" s="262">
        <v>12.84</v>
      </c>
      <c r="AO21" s="262">
        <v>12.46</v>
      </c>
      <c r="AP21" s="262">
        <v>10.980454</v>
      </c>
      <c r="AQ21" s="262">
        <v>9.8845100000000006</v>
      </c>
      <c r="AR21" s="262">
        <v>9.4718710000000002</v>
      </c>
      <c r="AS21" s="262">
        <v>9.26586</v>
      </c>
      <c r="AT21" s="262">
        <v>9.1424880000000002</v>
      </c>
      <c r="AU21" s="262">
        <v>8.65</v>
      </c>
      <c r="AV21" s="262">
        <v>8.3699999999999992</v>
      </c>
    </row>
    <row r="22" spans="2:48">
      <c r="B22" s="263" t="s">
        <v>124</v>
      </c>
      <c r="C22" s="264">
        <v>18.47</v>
      </c>
      <c r="D22" s="264">
        <v>18.47</v>
      </c>
      <c r="E22" s="264">
        <v>18.47</v>
      </c>
      <c r="F22" s="264">
        <v>18.47</v>
      </c>
      <c r="G22" s="264">
        <v>17.54</v>
      </c>
      <c r="H22" s="264">
        <v>17.54</v>
      </c>
      <c r="I22" s="264">
        <v>17.54</v>
      </c>
      <c r="J22" s="264">
        <v>17.54</v>
      </c>
      <c r="K22" s="264">
        <v>15.79</v>
      </c>
      <c r="L22" s="264">
        <v>15.79</v>
      </c>
      <c r="M22" s="264">
        <v>15.79</v>
      </c>
      <c r="N22" s="264">
        <v>15.79</v>
      </c>
      <c r="O22" s="264">
        <v>14.05</v>
      </c>
      <c r="P22" s="264">
        <v>14.05</v>
      </c>
      <c r="Q22" s="264">
        <v>14.05</v>
      </c>
      <c r="R22" s="264">
        <v>14.05</v>
      </c>
      <c r="S22" s="264">
        <v>12.43</v>
      </c>
      <c r="T22" s="264">
        <v>12.43</v>
      </c>
      <c r="U22" s="264">
        <v>12.43</v>
      </c>
      <c r="V22" s="264">
        <v>12.43</v>
      </c>
      <c r="W22" s="264">
        <v>13.99</v>
      </c>
      <c r="X22" s="264">
        <v>13.99</v>
      </c>
      <c r="Y22" s="264">
        <v>13.99</v>
      </c>
      <c r="Z22" s="264">
        <v>13.99</v>
      </c>
      <c r="AA22" s="264">
        <v>13.99</v>
      </c>
      <c r="AB22" s="264">
        <v>13.99</v>
      </c>
      <c r="AC22" s="264">
        <v>13.99</v>
      </c>
      <c r="AD22" s="264">
        <v>13.99</v>
      </c>
      <c r="AE22" s="264">
        <v>14.1</v>
      </c>
      <c r="AF22" s="264">
        <v>14.1</v>
      </c>
      <c r="AG22" s="264">
        <v>14.1</v>
      </c>
      <c r="AH22" s="264">
        <v>14.1</v>
      </c>
      <c r="AI22" s="264">
        <v>14.09</v>
      </c>
      <c r="AJ22" s="264">
        <v>14.1</v>
      </c>
      <c r="AK22" s="264">
        <v>14.1</v>
      </c>
      <c r="AL22" s="264">
        <v>14.1</v>
      </c>
      <c r="AM22" s="264">
        <v>14.12</v>
      </c>
      <c r="AN22" s="264">
        <v>14.12</v>
      </c>
      <c r="AO22" s="264">
        <v>14.12</v>
      </c>
      <c r="AP22" s="264">
        <v>14.12</v>
      </c>
      <c r="AQ22" s="264">
        <v>14.16</v>
      </c>
      <c r="AR22" s="264">
        <v>14.16</v>
      </c>
      <c r="AS22" s="264">
        <v>14.16</v>
      </c>
      <c r="AT22" s="264">
        <v>14.16</v>
      </c>
      <c r="AU22" s="264">
        <v>13.2</v>
      </c>
      <c r="AV22" s="264">
        <v>13.19</v>
      </c>
    </row>
    <row r="24" spans="2:48">
      <c r="B24" s="533" t="s">
        <v>132</v>
      </c>
      <c r="C24" s="129" t="s">
        <v>9</v>
      </c>
      <c r="D24" s="129" t="s">
        <v>10</v>
      </c>
      <c r="E24" s="129" t="s">
        <v>11</v>
      </c>
      <c r="F24" s="129" t="s">
        <v>12</v>
      </c>
      <c r="G24" s="129" t="s">
        <v>13</v>
      </c>
      <c r="H24" s="129" t="s">
        <v>14</v>
      </c>
      <c r="I24" s="129" t="s">
        <v>15</v>
      </c>
      <c r="J24" s="129" t="s">
        <v>16</v>
      </c>
      <c r="K24" s="129" t="s">
        <v>17</v>
      </c>
      <c r="L24" s="129" t="s">
        <v>18</v>
      </c>
      <c r="M24" s="129" t="s">
        <v>19</v>
      </c>
      <c r="N24" s="129" t="s">
        <v>20</v>
      </c>
      <c r="O24" s="129" t="s">
        <v>21</v>
      </c>
      <c r="P24" s="129" t="s">
        <v>22</v>
      </c>
      <c r="Q24" s="129" t="s">
        <v>23</v>
      </c>
      <c r="R24" s="129" t="s">
        <v>24</v>
      </c>
      <c r="S24" s="129" t="s">
        <v>25</v>
      </c>
      <c r="T24" s="129" t="s">
        <v>26</v>
      </c>
      <c r="U24" s="129" t="s">
        <v>27</v>
      </c>
      <c r="V24" s="129" t="s">
        <v>28</v>
      </c>
      <c r="W24" s="129" t="s">
        <v>29</v>
      </c>
      <c r="X24" s="129" t="s">
        <v>30</v>
      </c>
      <c r="Y24" s="129" t="s">
        <v>31</v>
      </c>
      <c r="Z24" s="129" t="s">
        <v>32</v>
      </c>
      <c r="AA24" s="129" t="str">
        <f t="shared" ref="AA24:AO24" si="4">AA18</f>
        <v>1T19</v>
      </c>
      <c r="AB24" s="129" t="str">
        <f t="shared" si="4"/>
        <v>2T19</v>
      </c>
      <c r="AC24" s="129" t="str">
        <f t="shared" si="4"/>
        <v>3T19</v>
      </c>
      <c r="AD24" s="129" t="str">
        <f t="shared" si="4"/>
        <v>4T19</v>
      </c>
      <c r="AE24" s="129" t="str">
        <f t="shared" si="4"/>
        <v>1T20</v>
      </c>
      <c r="AF24" s="129" t="str">
        <f t="shared" si="4"/>
        <v>2T20</v>
      </c>
      <c r="AG24" s="129" t="str">
        <f t="shared" si="4"/>
        <v>3T20</v>
      </c>
      <c r="AH24" s="129" t="str">
        <f t="shared" si="4"/>
        <v>4T20</v>
      </c>
      <c r="AI24" s="129" t="str">
        <f t="shared" si="4"/>
        <v>1T21</v>
      </c>
      <c r="AJ24" s="129" t="str">
        <f t="shared" si="4"/>
        <v>2T21</v>
      </c>
      <c r="AK24" s="129" t="str">
        <f t="shared" si="4"/>
        <v>3T21</v>
      </c>
      <c r="AL24" s="129" t="str">
        <f t="shared" si="4"/>
        <v>4T21</v>
      </c>
      <c r="AM24" s="129" t="str">
        <f t="shared" si="4"/>
        <v>1T22</v>
      </c>
      <c r="AN24" s="129" t="str">
        <f t="shared" si="4"/>
        <v>2T22</v>
      </c>
      <c r="AO24" s="129" t="str">
        <f t="shared" si="4"/>
        <v>3T22</v>
      </c>
      <c r="AP24" s="129" t="str">
        <f t="shared" ref="AP24:AV24" si="5">AP18</f>
        <v>4T22</v>
      </c>
      <c r="AQ24" s="129" t="str">
        <f t="shared" si="5"/>
        <v>1T23</v>
      </c>
      <c r="AR24" s="129" t="str">
        <f t="shared" si="5"/>
        <v>2T23</v>
      </c>
      <c r="AS24" s="129" t="str">
        <f t="shared" si="5"/>
        <v>3T23</v>
      </c>
      <c r="AT24" s="129" t="str">
        <f t="shared" si="5"/>
        <v>4T23</v>
      </c>
      <c r="AU24" s="129" t="str">
        <f t="shared" si="5"/>
        <v>1T24</v>
      </c>
      <c r="AV24" s="129" t="str">
        <f t="shared" si="5"/>
        <v>2T24</v>
      </c>
    </row>
    <row r="25" spans="2:48">
      <c r="B25" s="37" t="s">
        <v>121</v>
      </c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62"/>
      <c r="T25" s="262"/>
      <c r="U25" s="262"/>
      <c r="V25" s="262"/>
      <c r="W25" s="262">
        <v>23</v>
      </c>
      <c r="X25" s="262">
        <v>23.29</v>
      </c>
      <c r="Y25" s="262">
        <v>21.96</v>
      </c>
      <c r="Z25" s="262">
        <v>66.12</v>
      </c>
      <c r="AA25" s="262">
        <v>63.21</v>
      </c>
      <c r="AB25" s="262">
        <v>55.38</v>
      </c>
      <c r="AC25" s="262">
        <v>52.7</v>
      </c>
      <c r="AD25" s="262">
        <v>38.68</v>
      </c>
      <c r="AE25" s="262">
        <v>26.7</v>
      </c>
      <c r="AF25" s="262">
        <v>23.9</v>
      </c>
      <c r="AG25" s="262">
        <v>21.750000000000004</v>
      </c>
      <c r="AH25" s="262">
        <v>19.28</v>
      </c>
      <c r="AI25" s="262">
        <v>17.410000000000004</v>
      </c>
      <c r="AJ25" s="262">
        <v>18.600000000000001</v>
      </c>
      <c r="AK25" s="262">
        <v>20</v>
      </c>
      <c r="AL25" s="262">
        <v>23.8</v>
      </c>
      <c r="AM25" s="262">
        <v>24.973839805711993</v>
      </c>
      <c r="AN25" s="262">
        <v>23.6</v>
      </c>
      <c r="AO25" s="262">
        <v>22.2</v>
      </c>
      <c r="AP25" s="262">
        <v>18.75</v>
      </c>
      <c r="AQ25" s="262">
        <v>17.491996</v>
      </c>
      <c r="AR25" s="262">
        <v>16.239135000000001</v>
      </c>
      <c r="AS25" s="262">
        <v>16.144390000000001</v>
      </c>
      <c r="AT25" s="262">
        <v>16.314530999999999</v>
      </c>
      <c r="AU25" s="262">
        <v>17.34</v>
      </c>
      <c r="AV25" s="262">
        <v>17.73</v>
      </c>
    </row>
    <row r="26" spans="2:48">
      <c r="B26" s="263" t="s">
        <v>122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>
        <v>15.53</v>
      </c>
      <c r="AC26" s="264">
        <v>15.53</v>
      </c>
      <c r="AD26" s="264">
        <v>15.53</v>
      </c>
      <c r="AE26" s="264">
        <v>15.5</v>
      </c>
      <c r="AF26" s="264">
        <v>15.5</v>
      </c>
      <c r="AG26" s="264">
        <v>15.5</v>
      </c>
      <c r="AH26" s="264">
        <v>15.5</v>
      </c>
      <c r="AI26" s="264">
        <v>15.51</v>
      </c>
      <c r="AJ26" s="264">
        <v>15.5</v>
      </c>
      <c r="AK26" s="264">
        <v>15.5</v>
      </c>
      <c r="AL26" s="264">
        <v>15.50860564450827</v>
      </c>
      <c r="AM26" s="264">
        <v>15.53</v>
      </c>
      <c r="AN26" s="264">
        <v>15.5</v>
      </c>
      <c r="AO26" s="264">
        <v>15.53</v>
      </c>
      <c r="AP26" s="264">
        <v>15.53</v>
      </c>
      <c r="AQ26" s="264">
        <v>15.52</v>
      </c>
      <c r="AR26" s="264">
        <v>15.52</v>
      </c>
      <c r="AS26" s="264">
        <v>15.52</v>
      </c>
      <c r="AT26" s="264">
        <v>15.53</v>
      </c>
      <c r="AU26" s="264">
        <v>15.52</v>
      </c>
      <c r="AV26" s="264">
        <v>15.52</v>
      </c>
    </row>
    <row r="27" spans="2:48">
      <c r="B27" s="37" t="s">
        <v>123</v>
      </c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>
        <v>16.29</v>
      </c>
      <c r="X27" s="262">
        <v>15.97</v>
      </c>
      <c r="Y27" s="262">
        <v>15.09</v>
      </c>
      <c r="Z27" s="262">
        <v>19.100000000000001</v>
      </c>
      <c r="AA27" s="262">
        <v>19.3</v>
      </c>
      <c r="AB27" s="262">
        <v>18.989999999999998</v>
      </c>
      <c r="AC27" s="262">
        <v>18.14</v>
      </c>
      <c r="AD27" s="262">
        <v>16.309999999999999</v>
      </c>
      <c r="AE27" s="262">
        <v>12.4</v>
      </c>
      <c r="AF27" s="262">
        <v>11.5</v>
      </c>
      <c r="AG27" s="262">
        <v>11.16</v>
      </c>
      <c r="AH27" s="262">
        <v>9.5500000000000007</v>
      </c>
      <c r="AI27" s="262">
        <v>9.36</v>
      </c>
      <c r="AJ27" s="262">
        <v>9.1499999999999986</v>
      </c>
      <c r="AK27" s="262">
        <v>9.5</v>
      </c>
      <c r="AL27" s="262">
        <v>10.16</v>
      </c>
      <c r="AM27" s="262">
        <v>10.3</v>
      </c>
      <c r="AN27" s="262">
        <v>9.6300000000000008</v>
      </c>
      <c r="AO27" s="262">
        <v>8.64</v>
      </c>
      <c r="AP27" s="262">
        <v>7.7967620000000002</v>
      </c>
      <c r="AQ27" s="262">
        <v>7.2372319999999997</v>
      </c>
      <c r="AR27" s="262">
        <v>6.9369949999999996</v>
      </c>
      <c r="AS27" s="262">
        <v>7.0188579999999998</v>
      </c>
      <c r="AT27" s="262">
        <v>7.07</v>
      </c>
      <c r="AU27" s="262">
        <v>7.06</v>
      </c>
      <c r="AV27" s="262">
        <v>6.85</v>
      </c>
    </row>
    <row r="28" spans="2:48">
      <c r="B28" s="263" t="s">
        <v>124</v>
      </c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64"/>
      <c r="AB28" s="264">
        <v>13.04</v>
      </c>
      <c r="AC28" s="264">
        <v>13.04</v>
      </c>
      <c r="AD28" s="264">
        <v>13.04</v>
      </c>
      <c r="AE28" s="264">
        <v>12.9</v>
      </c>
      <c r="AF28" s="264">
        <v>12.9</v>
      </c>
      <c r="AG28" s="264">
        <v>12.9</v>
      </c>
      <c r="AH28" s="264">
        <v>12.9</v>
      </c>
      <c r="AI28" s="264">
        <v>12.96</v>
      </c>
      <c r="AJ28" s="264">
        <v>12.9</v>
      </c>
      <c r="AK28" s="264">
        <v>12.9</v>
      </c>
      <c r="AL28" s="264">
        <v>12.9</v>
      </c>
      <c r="AM28" s="264">
        <v>12.97</v>
      </c>
      <c r="AN28" s="264">
        <v>13</v>
      </c>
      <c r="AO28" s="264">
        <v>12.97</v>
      </c>
      <c r="AP28" s="264">
        <v>12.97</v>
      </c>
      <c r="AQ28" s="264">
        <v>12.96</v>
      </c>
      <c r="AR28" s="264">
        <v>12.96</v>
      </c>
      <c r="AS28" s="264">
        <v>12.96</v>
      </c>
      <c r="AT28" s="264">
        <v>12.96</v>
      </c>
      <c r="AU28" s="264">
        <v>12.94</v>
      </c>
      <c r="AV28" s="264">
        <v>12.94</v>
      </c>
    </row>
    <row r="30" spans="2:48">
      <c r="B30" s="533" t="s">
        <v>133</v>
      </c>
      <c r="C30" s="129" t="s">
        <v>9</v>
      </c>
      <c r="D30" s="129" t="s">
        <v>10</v>
      </c>
      <c r="E30" s="129" t="s">
        <v>11</v>
      </c>
      <c r="F30" s="129" t="s">
        <v>12</v>
      </c>
      <c r="G30" s="129" t="s">
        <v>13</v>
      </c>
      <c r="H30" s="129" t="s">
        <v>14</v>
      </c>
      <c r="I30" s="129" t="s">
        <v>15</v>
      </c>
      <c r="J30" s="129" t="s">
        <v>16</v>
      </c>
      <c r="K30" s="129" t="s">
        <v>17</v>
      </c>
      <c r="L30" s="129" t="s">
        <v>18</v>
      </c>
      <c r="M30" s="129" t="s">
        <v>19</v>
      </c>
      <c r="N30" s="129" t="s">
        <v>20</v>
      </c>
      <c r="O30" s="129" t="s">
        <v>21</v>
      </c>
      <c r="P30" s="129" t="s">
        <v>22</v>
      </c>
      <c r="Q30" s="129" t="s">
        <v>23</v>
      </c>
      <c r="R30" s="129" t="s">
        <v>24</v>
      </c>
      <c r="S30" s="129" t="s">
        <v>25</v>
      </c>
      <c r="T30" s="129" t="s">
        <v>26</v>
      </c>
      <c r="U30" s="129" t="s">
        <v>27</v>
      </c>
      <c r="V30" s="129" t="s">
        <v>28</v>
      </c>
      <c r="W30" s="129" t="s">
        <v>29</v>
      </c>
      <c r="X30" s="129" t="s">
        <v>30</v>
      </c>
      <c r="Y30" s="129" t="s">
        <v>31</v>
      </c>
      <c r="Z30" s="129" t="s">
        <v>32</v>
      </c>
      <c r="AA30" s="129" t="str">
        <f t="shared" ref="AA30:AO30" si="6">AA24</f>
        <v>1T19</v>
      </c>
      <c r="AB30" s="129" t="str">
        <f t="shared" si="6"/>
        <v>2T19</v>
      </c>
      <c r="AC30" s="129" t="str">
        <f t="shared" si="6"/>
        <v>3T19</v>
      </c>
      <c r="AD30" s="129" t="str">
        <f t="shared" si="6"/>
        <v>4T19</v>
      </c>
      <c r="AE30" s="129" t="str">
        <f t="shared" si="6"/>
        <v>1T20</v>
      </c>
      <c r="AF30" s="129" t="str">
        <f t="shared" si="6"/>
        <v>2T20</v>
      </c>
      <c r="AG30" s="129" t="str">
        <f t="shared" si="6"/>
        <v>3T20</v>
      </c>
      <c r="AH30" s="129" t="str">
        <f t="shared" si="6"/>
        <v>4T20</v>
      </c>
      <c r="AI30" s="129" t="str">
        <f t="shared" si="6"/>
        <v>1T21</v>
      </c>
      <c r="AJ30" s="129" t="str">
        <f t="shared" si="6"/>
        <v>2T21</v>
      </c>
      <c r="AK30" s="129" t="str">
        <f t="shared" si="6"/>
        <v>3T21</v>
      </c>
      <c r="AL30" s="129" t="str">
        <f t="shared" si="6"/>
        <v>4T21</v>
      </c>
      <c r="AM30" s="129" t="str">
        <f t="shared" si="6"/>
        <v>1T22</v>
      </c>
      <c r="AN30" s="129" t="str">
        <f t="shared" si="6"/>
        <v>2T22</v>
      </c>
      <c r="AO30" s="129" t="str">
        <f t="shared" si="6"/>
        <v>3T22</v>
      </c>
      <c r="AP30" s="129" t="str">
        <f t="shared" ref="AP30:AV30" si="7">AP24</f>
        <v>4T22</v>
      </c>
      <c r="AQ30" s="129" t="str">
        <f t="shared" si="7"/>
        <v>1T23</v>
      </c>
      <c r="AR30" s="129" t="str">
        <f t="shared" si="7"/>
        <v>2T23</v>
      </c>
      <c r="AS30" s="129" t="str">
        <f t="shared" si="7"/>
        <v>3T23</v>
      </c>
      <c r="AT30" s="129" t="str">
        <f t="shared" si="7"/>
        <v>4T23</v>
      </c>
      <c r="AU30" s="129" t="str">
        <f t="shared" si="7"/>
        <v>1T24</v>
      </c>
      <c r="AV30" s="129" t="str">
        <f t="shared" si="7"/>
        <v>2T24</v>
      </c>
    </row>
    <row r="31" spans="2:48">
      <c r="B31" s="37" t="s">
        <v>121</v>
      </c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262"/>
      <c r="Z31" s="262"/>
      <c r="AA31" s="262"/>
      <c r="AB31" s="262"/>
      <c r="AC31" s="262"/>
      <c r="AD31" s="262"/>
      <c r="AE31" s="262"/>
      <c r="AF31" s="262"/>
      <c r="AG31" s="262"/>
      <c r="AH31" s="262">
        <v>27.51</v>
      </c>
      <c r="AI31" s="262">
        <v>20.57</v>
      </c>
      <c r="AJ31" s="262">
        <v>20.440000000000001</v>
      </c>
      <c r="AK31" s="262">
        <v>10</v>
      </c>
      <c r="AL31" s="262">
        <v>18.05</v>
      </c>
      <c r="AM31" s="262">
        <v>17.470000000000002</v>
      </c>
      <c r="AN31" s="262">
        <v>17.5</v>
      </c>
      <c r="AO31" s="262">
        <v>17.809999999999999</v>
      </c>
      <c r="AP31" s="262">
        <v>17.797744000000002</v>
      </c>
      <c r="AQ31" s="262">
        <v>17.185178000000001</v>
      </c>
      <c r="AR31" s="262">
        <v>16.636935000000001</v>
      </c>
      <c r="AS31" s="262">
        <v>16.82</v>
      </c>
      <c r="AT31" s="262">
        <v>17.770206999999999</v>
      </c>
      <c r="AU31" s="262">
        <v>18.96</v>
      </c>
      <c r="AV31" s="262">
        <v>19.28</v>
      </c>
    </row>
    <row r="32" spans="2:48">
      <c r="B32" s="263" t="s">
        <v>122</v>
      </c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>
        <v>9.9</v>
      </c>
      <c r="AI32" s="264">
        <v>9.9</v>
      </c>
      <c r="AJ32" s="264">
        <v>9.9</v>
      </c>
      <c r="AK32" s="264">
        <v>9.9</v>
      </c>
      <c r="AL32" s="264">
        <v>9.2906908888637449</v>
      </c>
      <c r="AM32" s="264">
        <v>9.2906908888637449</v>
      </c>
      <c r="AN32" s="264">
        <v>9.3000000000000007</v>
      </c>
      <c r="AO32" s="264">
        <v>9.2906908888637449</v>
      </c>
      <c r="AP32" s="264">
        <v>9.2906908888637449</v>
      </c>
      <c r="AQ32" s="264">
        <v>8.73</v>
      </c>
      <c r="AR32" s="264">
        <v>8.73</v>
      </c>
      <c r="AS32" s="264">
        <v>8.73</v>
      </c>
      <c r="AT32" s="264">
        <v>8.7200000000000006</v>
      </c>
      <c r="AU32" s="264">
        <v>8.42</v>
      </c>
      <c r="AV32" s="264">
        <v>8.41</v>
      </c>
    </row>
    <row r="33" spans="2:48">
      <c r="B33" s="37" t="s">
        <v>123</v>
      </c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  <c r="AA33" s="262"/>
      <c r="AB33" s="262"/>
      <c r="AC33" s="262"/>
      <c r="AD33" s="262"/>
      <c r="AE33" s="262"/>
      <c r="AF33" s="262"/>
      <c r="AG33" s="262"/>
      <c r="AH33" s="262">
        <v>12.77</v>
      </c>
      <c r="AI33" s="262">
        <v>10.4</v>
      </c>
      <c r="AJ33" s="262">
        <v>10.28</v>
      </c>
      <c r="AK33" s="262">
        <v>9.9</v>
      </c>
      <c r="AL33" s="262">
        <v>9.7100000000000009</v>
      </c>
      <c r="AM33" s="262">
        <v>8.9400000000000013</v>
      </c>
      <c r="AN33" s="262">
        <v>8.69</v>
      </c>
      <c r="AO33" s="262">
        <v>8.4600000000000009</v>
      </c>
      <c r="AP33" s="262">
        <v>8.4700000000000006</v>
      </c>
      <c r="AQ33" s="262">
        <v>8.6597919999999995</v>
      </c>
      <c r="AR33" s="262">
        <v>8.6422629999999998</v>
      </c>
      <c r="AS33" s="262">
        <v>8.1133019999999991</v>
      </c>
      <c r="AT33" s="262">
        <v>7.742534</v>
      </c>
      <c r="AU33" s="262">
        <v>7.67</v>
      </c>
      <c r="AV33" s="262">
        <v>7.4</v>
      </c>
    </row>
    <row r="34" spans="2:48">
      <c r="B34" s="263" t="s">
        <v>124</v>
      </c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>
        <v>7.69</v>
      </c>
      <c r="AI34" s="264">
        <v>7.69</v>
      </c>
      <c r="AJ34" s="264">
        <v>7.69</v>
      </c>
      <c r="AK34" s="264">
        <v>7.69</v>
      </c>
      <c r="AL34" s="264">
        <v>6.9824899242935583</v>
      </c>
      <c r="AM34" s="264">
        <v>6.9824899242935583</v>
      </c>
      <c r="AN34" s="264">
        <v>7</v>
      </c>
      <c r="AO34" s="264">
        <v>6.9824899242935583</v>
      </c>
      <c r="AP34" s="264">
        <v>6.9824899242935583</v>
      </c>
      <c r="AQ34" s="264">
        <v>6.36</v>
      </c>
      <c r="AR34" s="264">
        <v>6.36</v>
      </c>
      <c r="AS34" s="264">
        <v>6.36</v>
      </c>
      <c r="AT34" s="264">
        <v>6.35</v>
      </c>
      <c r="AU34" s="264">
        <v>5.99</v>
      </c>
      <c r="AV34" s="264">
        <v>5.99</v>
      </c>
    </row>
    <row r="36" spans="2:48">
      <c r="B36" s="533" t="s">
        <v>134</v>
      </c>
      <c r="C36" s="129" t="s">
        <v>9</v>
      </c>
      <c r="D36" s="129" t="s">
        <v>10</v>
      </c>
      <c r="E36" s="129" t="s">
        <v>11</v>
      </c>
      <c r="F36" s="129" t="s">
        <v>12</v>
      </c>
      <c r="G36" s="129" t="s">
        <v>13</v>
      </c>
      <c r="H36" s="129" t="s">
        <v>14</v>
      </c>
      <c r="I36" s="129" t="s">
        <v>15</v>
      </c>
      <c r="J36" s="129" t="s">
        <v>16</v>
      </c>
      <c r="K36" s="129" t="s">
        <v>17</v>
      </c>
      <c r="L36" s="129" t="s">
        <v>18</v>
      </c>
      <c r="M36" s="129" t="s">
        <v>19</v>
      </c>
      <c r="N36" s="129" t="s">
        <v>20</v>
      </c>
      <c r="O36" s="129" t="s">
        <v>21</v>
      </c>
      <c r="P36" s="129" t="s">
        <v>22</v>
      </c>
      <c r="Q36" s="129" t="s">
        <v>23</v>
      </c>
      <c r="R36" s="129" t="s">
        <v>24</v>
      </c>
      <c r="S36" s="129" t="s">
        <v>25</v>
      </c>
      <c r="T36" s="129" t="s">
        <v>26</v>
      </c>
      <c r="U36" s="129" t="s">
        <v>27</v>
      </c>
      <c r="V36" s="129" t="s">
        <v>28</v>
      </c>
      <c r="W36" s="129" t="s">
        <v>29</v>
      </c>
      <c r="X36" s="129" t="s">
        <v>30</v>
      </c>
      <c r="Y36" s="129" t="s">
        <v>31</v>
      </c>
      <c r="Z36" s="129" t="s">
        <v>32</v>
      </c>
      <c r="AA36" s="129" t="str">
        <f t="shared" ref="AA36:AO36" si="8">AA30</f>
        <v>1T19</v>
      </c>
      <c r="AB36" s="129" t="str">
        <f t="shared" si="8"/>
        <v>2T19</v>
      </c>
      <c r="AC36" s="129" t="str">
        <f t="shared" si="8"/>
        <v>3T19</v>
      </c>
      <c r="AD36" s="129" t="str">
        <f t="shared" si="8"/>
        <v>4T19</v>
      </c>
      <c r="AE36" s="129" t="str">
        <f t="shared" si="8"/>
        <v>1T20</v>
      </c>
      <c r="AF36" s="129" t="str">
        <f t="shared" si="8"/>
        <v>2T20</v>
      </c>
      <c r="AG36" s="129" t="str">
        <f t="shared" si="8"/>
        <v>3T20</v>
      </c>
      <c r="AH36" s="129" t="str">
        <f t="shared" si="8"/>
        <v>4T20</v>
      </c>
      <c r="AI36" s="129" t="str">
        <f t="shared" si="8"/>
        <v>1T21</v>
      </c>
      <c r="AJ36" s="129" t="str">
        <f t="shared" si="8"/>
        <v>2T21</v>
      </c>
      <c r="AK36" s="129" t="str">
        <f t="shared" si="8"/>
        <v>3T21</v>
      </c>
      <c r="AL36" s="129" t="str">
        <f t="shared" si="8"/>
        <v>4T21</v>
      </c>
      <c r="AM36" s="129" t="str">
        <f t="shared" si="8"/>
        <v>1T22</v>
      </c>
      <c r="AN36" s="129" t="str">
        <f t="shared" si="8"/>
        <v>2T22</v>
      </c>
      <c r="AO36" s="129" t="str">
        <f t="shared" si="8"/>
        <v>3T22</v>
      </c>
      <c r="AP36" s="129" t="str">
        <f t="shared" ref="AP36:AV36" si="9">AP30</f>
        <v>4T22</v>
      </c>
      <c r="AQ36" s="129" t="str">
        <f t="shared" si="9"/>
        <v>1T23</v>
      </c>
      <c r="AR36" s="129" t="str">
        <f t="shared" si="9"/>
        <v>2T23</v>
      </c>
      <c r="AS36" s="129" t="str">
        <f t="shared" si="9"/>
        <v>3T23</v>
      </c>
      <c r="AT36" s="129" t="str">
        <f t="shared" si="9"/>
        <v>4T23</v>
      </c>
      <c r="AU36" s="129" t="str">
        <f t="shared" si="9"/>
        <v>1T24</v>
      </c>
      <c r="AV36" s="129" t="str">
        <f t="shared" si="9"/>
        <v>2T24</v>
      </c>
    </row>
    <row r="37" spans="2:48">
      <c r="B37" s="37" t="s">
        <v>121</v>
      </c>
      <c r="C37" s="262"/>
      <c r="D37" s="262"/>
      <c r="E37" s="262"/>
      <c r="F37" s="262"/>
      <c r="G37" s="262"/>
      <c r="H37" s="262"/>
      <c r="I37" s="262"/>
      <c r="J37" s="262"/>
      <c r="K37" s="262"/>
      <c r="L37" s="262"/>
      <c r="M37" s="262"/>
      <c r="N37" s="262"/>
      <c r="O37" s="262"/>
      <c r="P37" s="262"/>
      <c r="Q37" s="262"/>
      <c r="R37" s="262"/>
      <c r="S37" s="262"/>
      <c r="T37" s="262"/>
      <c r="U37" s="262"/>
      <c r="V37" s="262"/>
      <c r="W37" s="262"/>
      <c r="X37" s="262"/>
      <c r="Y37" s="262"/>
      <c r="Z37" s="262"/>
      <c r="AA37" s="262"/>
      <c r="AB37" s="262"/>
      <c r="AC37" s="262"/>
      <c r="AD37" s="262"/>
      <c r="AE37" s="262"/>
      <c r="AF37" s="262"/>
      <c r="AG37" s="262"/>
      <c r="AH37" s="262">
        <v>43.98</v>
      </c>
      <c r="AI37" s="262">
        <v>43.13</v>
      </c>
      <c r="AJ37" s="262">
        <v>36.5</v>
      </c>
      <c r="AK37" s="262">
        <v>32.96</v>
      </c>
      <c r="AL37" s="262">
        <v>36.6</v>
      </c>
      <c r="AM37" s="262">
        <v>39.299999999999997</v>
      </c>
      <c r="AN37" s="262">
        <v>45.3</v>
      </c>
      <c r="AO37" s="262">
        <v>46.52</v>
      </c>
      <c r="AP37" s="262">
        <v>44.097278000000003</v>
      </c>
      <c r="AQ37" s="262">
        <v>41.9</v>
      </c>
      <c r="AR37" s="262">
        <v>37.590000000000003</v>
      </c>
      <c r="AS37" s="262">
        <v>36.369999999999997</v>
      </c>
      <c r="AT37" s="262">
        <v>33.049999999999997</v>
      </c>
      <c r="AU37" s="262">
        <v>31.37</v>
      </c>
      <c r="AV37" s="262">
        <v>34.36</v>
      </c>
    </row>
    <row r="38" spans="2:48">
      <c r="B38" s="263" t="s">
        <v>122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>
        <v>45.55</v>
      </c>
      <c r="AI38" s="264">
        <v>45.55</v>
      </c>
      <c r="AJ38" s="264">
        <v>45.55</v>
      </c>
      <c r="AK38" s="264">
        <v>45.55</v>
      </c>
      <c r="AL38" s="264">
        <v>45.55</v>
      </c>
      <c r="AM38" s="264">
        <v>45.03</v>
      </c>
      <c r="AN38" s="264">
        <v>45.03</v>
      </c>
      <c r="AO38" s="264">
        <v>45.03</v>
      </c>
      <c r="AP38" s="264">
        <v>45.03</v>
      </c>
      <c r="AQ38" s="264">
        <v>45.05</v>
      </c>
      <c r="AR38" s="264">
        <v>45.05</v>
      </c>
      <c r="AS38" s="264">
        <v>45.05</v>
      </c>
      <c r="AT38" s="264">
        <v>45.18</v>
      </c>
      <c r="AU38" s="264">
        <v>45.63</v>
      </c>
      <c r="AV38" s="264">
        <v>45.73</v>
      </c>
    </row>
    <row r="39" spans="2:48">
      <c r="B39" s="37" t="s">
        <v>123</v>
      </c>
      <c r="C39" s="262"/>
      <c r="D39" s="262"/>
      <c r="E39" s="262"/>
      <c r="F39" s="262"/>
      <c r="G39" s="262"/>
      <c r="H39" s="262"/>
      <c r="I39" s="262"/>
      <c r="J39" s="262"/>
      <c r="K39" s="262"/>
      <c r="L39" s="262"/>
      <c r="M39" s="262"/>
      <c r="N39" s="262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>
        <v>16.97</v>
      </c>
      <c r="AI39" s="262">
        <v>18.36</v>
      </c>
      <c r="AJ39" s="262">
        <v>18.100000000000001</v>
      </c>
      <c r="AK39" s="262">
        <v>17.47</v>
      </c>
      <c r="AL39" s="262">
        <v>19.059999999999999</v>
      </c>
      <c r="AM39" s="262">
        <v>19.899999999999999</v>
      </c>
      <c r="AN39" s="262">
        <v>21.24</v>
      </c>
      <c r="AO39" s="262">
        <v>21.31</v>
      </c>
      <c r="AP39" s="262">
        <v>19.713104000000001</v>
      </c>
      <c r="AQ39" s="262">
        <v>19.09</v>
      </c>
      <c r="AR39" s="262">
        <v>17.440000000000001</v>
      </c>
      <c r="AS39" s="262">
        <v>16.43</v>
      </c>
      <c r="AT39" s="262">
        <v>15.13</v>
      </c>
      <c r="AU39" s="262">
        <v>14.09</v>
      </c>
      <c r="AV39" s="262">
        <v>14.37</v>
      </c>
    </row>
    <row r="40" spans="2:48">
      <c r="B40" s="263" t="s">
        <v>124</v>
      </c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>
        <v>30.37</v>
      </c>
      <c r="AI40" s="264">
        <v>30.37</v>
      </c>
      <c r="AJ40" s="264">
        <v>30.37</v>
      </c>
      <c r="AK40" s="264">
        <v>30.37</v>
      </c>
      <c r="AL40" s="264">
        <v>30.37</v>
      </c>
      <c r="AM40" s="264">
        <v>30.15</v>
      </c>
      <c r="AN40" s="264">
        <v>30.15</v>
      </c>
      <c r="AO40" s="264">
        <v>30.15</v>
      </c>
      <c r="AP40" s="264">
        <v>30.15</v>
      </c>
      <c r="AQ40" s="264">
        <v>30.19</v>
      </c>
      <c r="AR40" s="264">
        <v>30.19</v>
      </c>
      <c r="AS40" s="264">
        <v>30.19</v>
      </c>
      <c r="AT40" s="264">
        <v>30.38</v>
      </c>
      <c r="AU40" s="264">
        <v>30.62</v>
      </c>
      <c r="AV40" s="264">
        <v>30.62</v>
      </c>
    </row>
    <row r="42" spans="2:48">
      <c r="B42" s="533" t="s">
        <v>135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29" t="str">
        <f t="shared" ref="AA42:AO42" si="10">AA36</f>
        <v>1T19</v>
      </c>
      <c r="AB42" s="129" t="str">
        <f t="shared" si="10"/>
        <v>2T19</v>
      </c>
      <c r="AC42" s="129" t="str">
        <f t="shared" si="10"/>
        <v>3T19</v>
      </c>
      <c r="AD42" s="129" t="str">
        <f t="shared" si="10"/>
        <v>4T19</v>
      </c>
      <c r="AE42" s="129" t="str">
        <f t="shared" si="10"/>
        <v>1T20</v>
      </c>
      <c r="AF42" s="129" t="str">
        <f t="shared" si="10"/>
        <v>2T20</v>
      </c>
      <c r="AG42" s="129" t="str">
        <f t="shared" si="10"/>
        <v>3T20</v>
      </c>
      <c r="AH42" s="129" t="str">
        <f t="shared" si="10"/>
        <v>4T20</v>
      </c>
      <c r="AI42" s="129" t="str">
        <f t="shared" si="10"/>
        <v>1T21</v>
      </c>
      <c r="AJ42" s="129" t="str">
        <f t="shared" si="10"/>
        <v>2T21</v>
      </c>
      <c r="AK42" s="129" t="str">
        <f t="shared" si="10"/>
        <v>3T21</v>
      </c>
      <c r="AL42" s="129" t="str">
        <f t="shared" si="10"/>
        <v>4T21</v>
      </c>
      <c r="AM42" s="129" t="str">
        <f t="shared" si="10"/>
        <v>1T22</v>
      </c>
      <c r="AN42" s="129" t="str">
        <f t="shared" si="10"/>
        <v>2T22</v>
      </c>
      <c r="AO42" s="129" t="str">
        <f t="shared" si="10"/>
        <v>3T22</v>
      </c>
      <c r="AP42" s="129" t="str">
        <f t="shared" ref="AP42:AV42" si="11">AP36</f>
        <v>4T22</v>
      </c>
      <c r="AQ42" s="129" t="str">
        <f t="shared" si="11"/>
        <v>1T23</v>
      </c>
      <c r="AR42" s="129" t="str">
        <f t="shared" si="11"/>
        <v>2T23</v>
      </c>
      <c r="AS42" s="129" t="str">
        <f t="shared" si="11"/>
        <v>3T23</v>
      </c>
      <c r="AT42" s="129" t="str">
        <f t="shared" si="11"/>
        <v>4T23</v>
      </c>
      <c r="AU42" s="129" t="str">
        <f t="shared" si="11"/>
        <v>1T24</v>
      </c>
      <c r="AV42" s="129" t="str">
        <f t="shared" si="11"/>
        <v>2T24</v>
      </c>
    </row>
    <row r="43" spans="2:48">
      <c r="B43" s="37" t="s">
        <v>121</v>
      </c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>
        <v>18.59</v>
      </c>
      <c r="AN43" s="262">
        <v>20.97</v>
      </c>
      <c r="AO43" s="262">
        <v>20.79</v>
      </c>
      <c r="AP43" s="262">
        <v>22.551036</v>
      </c>
      <c r="AQ43" s="262">
        <v>20.627461</v>
      </c>
      <c r="AR43" s="262">
        <v>19.986566</v>
      </c>
      <c r="AS43" s="262">
        <v>20.399999999999999</v>
      </c>
      <c r="AT43" s="262">
        <v>21.575942999999999</v>
      </c>
      <c r="AU43" s="262">
        <v>20.71</v>
      </c>
      <c r="AV43" s="262">
        <v>20.09</v>
      </c>
    </row>
    <row r="44" spans="2:48">
      <c r="B44" s="263" t="s">
        <v>122</v>
      </c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>
        <v>12.11</v>
      </c>
      <c r="AN44" s="264">
        <v>12.11</v>
      </c>
      <c r="AO44" s="264">
        <v>12.11</v>
      </c>
      <c r="AP44" s="264">
        <v>12.11</v>
      </c>
      <c r="AQ44" s="264">
        <v>11.45</v>
      </c>
      <c r="AR44" s="264">
        <v>11.45</v>
      </c>
      <c r="AS44" s="264">
        <v>11.45</v>
      </c>
      <c r="AT44" s="264">
        <v>11.45</v>
      </c>
      <c r="AU44" s="264">
        <v>11.43</v>
      </c>
      <c r="AV44" s="264">
        <v>11.43</v>
      </c>
    </row>
    <row r="45" spans="2:48">
      <c r="B45" s="37" t="s">
        <v>123</v>
      </c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>
        <v>8.33</v>
      </c>
      <c r="AN45" s="262">
        <v>9.02</v>
      </c>
      <c r="AO45" s="262">
        <v>9.3800000000000008</v>
      </c>
      <c r="AP45" s="262">
        <v>10.346477</v>
      </c>
      <c r="AQ45" s="262">
        <v>10.52243</v>
      </c>
      <c r="AR45" s="262">
        <v>10.368285999999999</v>
      </c>
      <c r="AS45" s="262">
        <v>10.554701</v>
      </c>
      <c r="AT45" s="262">
        <v>11.162501000000001</v>
      </c>
      <c r="AU45" s="262">
        <v>10.37</v>
      </c>
      <c r="AV45" s="262">
        <v>9.93</v>
      </c>
    </row>
    <row r="46" spans="2:48">
      <c r="B46" s="263" t="s">
        <v>124</v>
      </c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>
        <v>8.56</v>
      </c>
      <c r="AN46" s="264">
        <v>8.56</v>
      </c>
      <c r="AO46" s="264">
        <v>8.56</v>
      </c>
      <c r="AP46" s="264">
        <v>8.56</v>
      </c>
      <c r="AQ46" s="264">
        <v>7.79</v>
      </c>
      <c r="AR46" s="264">
        <v>7.79</v>
      </c>
      <c r="AS46" s="264">
        <v>7.79</v>
      </c>
      <c r="AT46" s="264">
        <v>7.79</v>
      </c>
      <c r="AU46" s="264">
        <v>7.74</v>
      </c>
      <c r="AV46" s="264">
        <v>7.73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9" tint="0.79998168889431442"/>
  </sheetPr>
  <dimension ref="A5:AW112"/>
  <sheetViews>
    <sheetView showGridLines="0" zoomScale="70" zoomScaleNormal="70" workbookViewId="0">
      <pane xSplit="1" ySplit="7" topLeftCell="B8" activePane="bottomRight" state="frozen"/>
      <selection pane="topRight" activeCell="S9" sqref="S9"/>
      <selection pane="bottomLeft" activeCell="S9" sqref="S9"/>
      <selection pane="bottomRight" activeCell="AV16" sqref="AV16"/>
    </sheetView>
  </sheetViews>
  <sheetFormatPr defaultColWidth="9.1796875" defaultRowHeight="14.5" outlineLevelCol="1"/>
  <cols>
    <col min="1" max="1" width="47.54296875" style="37" bestFit="1" customWidth="1"/>
    <col min="2" max="2" width="0.54296875" customWidth="1"/>
    <col min="3" max="3" width="12.54296875" style="37" hidden="1" customWidth="1" outlineLevel="1"/>
    <col min="4" max="29" width="12.7265625" style="37" hidden="1" customWidth="1" outlineLevel="1"/>
    <col min="30" max="38" width="13" style="37" hidden="1" customWidth="1" outlineLevel="1"/>
    <col min="39" max="39" width="13" style="37" customWidth="1" collapsed="1"/>
    <col min="40" max="48" width="13" style="37" customWidth="1"/>
    <col min="49" max="49" width="10.54296875" style="37" bestFit="1" customWidth="1"/>
    <col min="50" max="16384" width="9.1796875" style="37"/>
  </cols>
  <sheetData>
    <row r="5" spans="1:48">
      <c r="AT5" s="111"/>
      <c r="AU5" s="111"/>
      <c r="AV5" s="111"/>
    </row>
    <row r="6" spans="1:48">
      <c r="A6" s="41" t="s">
        <v>663</v>
      </c>
      <c r="B6" s="166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</row>
    <row r="7" spans="1:48" ht="15" thickBot="1">
      <c r="A7" s="5" t="s">
        <v>689</v>
      </c>
      <c r="B7" s="168"/>
      <c r="C7" s="528" t="s">
        <v>9</v>
      </c>
      <c r="D7" s="528" t="s">
        <v>10</v>
      </c>
      <c r="E7" s="528" t="s">
        <v>11</v>
      </c>
      <c r="F7" s="528" t="s">
        <v>12</v>
      </c>
      <c r="G7" s="528" t="s">
        <v>13</v>
      </c>
      <c r="H7" s="528" t="s">
        <v>14</v>
      </c>
      <c r="I7" s="528" t="s">
        <v>15</v>
      </c>
      <c r="J7" s="528" t="s">
        <v>16</v>
      </c>
      <c r="K7" s="528" t="s">
        <v>17</v>
      </c>
      <c r="L7" s="528" t="s">
        <v>18</v>
      </c>
      <c r="M7" s="528" t="s">
        <v>19</v>
      </c>
      <c r="N7" s="528" t="s">
        <v>20</v>
      </c>
      <c r="O7" s="528" t="s">
        <v>21</v>
      </c>
      <c r="P7" s="528" t="s">
        <v>22</v>
      </c>
      <c r="Q7" s="528" t="s">
        <v>23</v>
      </c>
      <c r="R7" s="528" t="s">
        <v>24</v>
      </c>
      <c r="S7" s="528" t="s">
        <v>25</v>
      </c>
      <c r="T7" s="528" t="s">
        <v>26</v>
      </c>
      <c r="U7" s="528" t="s">
        <v>27</v>
      </c>
      <c r="V7" s="528" t="s">
        <v>28</v>
      </c>
      <c r="W7" s="528" t="s">
        <v>29</v>
      </c>
      <c r="X7" s="528" t="s">
        <v>30</v>
      </c>
      <c r="Y7" s="528" t="s">
        <v>31</v>
      </c>
      <c r="Z7" s="528" t="s">
        <v>32</v>
      </c>
      <c r="AA7" s="528" t="s">
        <v>33</v>
      </c>
      <c r="AB7" s="528" t="s">
        <v>34</v>
      </c>
      <c r="AC7" s="528" t="s">
        <v>35</v>
      </c>
      <c r="AD7" s="528" t="s">
        <v>36</v>
      </c>
      <c r="AE7" s="528" t="s">
        <v>37</v>
      </c>
      <c r="AF7" s="528" t="s">
        <v>38</v>
      </c>
      <c r="AG7" s="528" t="s">
        <v>39</v>
      </c>
      <c r="AH7" s="528" t="s">
        <v>40</v>
      </c>
      <c r="AI7" s="528" t="s">
        <v>41</v>
      </c>
      <c r="AJ7" s="528" t="s">
        <v>42</v>
      </c>
      <c r="AK7" s="528" t="s">
        <v>43</v>
      </c>
      <c r="AL7" s="528" t="s">
        <v>44</v>
      </c>
      <c r="AM7" s="528" t="s">
        <v>45</v>
      </c>
      <c r="AN7" s="528" t="s">
        <v>46</v>
      </c>
      <c r="AO7" s="528" t="s">
        <v>47</v>
      </c>
      <c r="AP7" s="528" t="s">
        <v>48</v>
      </c>
      <c r="AQ7" s="528" t="s">
        <v>49</v>
      </c>
      <c r="AR7" s="528" t="s">
        <v>50</v>
      </c>
      <c r="AS7" s="528" t="s">
        <v>51</v>
      </c>
      <c r="AT7" s="528" t="s">
        <v>52</v>
      </c>
      <c r="AU7" s="528" t="s">
        <v>53</v>
      </c>
      <c r="AV7" s="528" t="s">
        <v>54</v>
      </c>
    </row>
    <row r="8" spans="1:48" ht="15" thickBot="1">
      <c r="A8" s="169" t="s">
        <v>690</v>
      </c>
      <c r="B8" s="170"/>
      <c r="C8" s="171">
        <f t="shared" ref="C8:AR8" si="0">SUM(C9:C25)</f>
        <v>3126393</v>
      </c>
      <c r="D8" s="171">
        <f t="shared" si="0"/>
        <v>3022295.6456099995</v>
      </c>
      <c r="E8" s="171">
        <f t="shared" si="0"/>
        <v>3085208.50031</v>
      </c>
      <c r="F8" s="171">
        <f t="shared" si="0"/>
        <v>3081193.5890200003</v>
      </c>
      <c r="G8" s="171">
        <f t="shared" si="0"/>
        <v>3163844.6078599999</v>
      </c>
      <c r="H8" s="171">
        <f t="shared" si="0"/>
        <v>3082525.8452100004</v>
      </c>
      <c r="I8" s="171">
        <f t="shared" si="0"/>
        <v>3377786.7399645038</v>
      </c>
      <c r="J8" s="171">
        <f t="shared" si="0"/>
        <v>4387669.45682</v>
      </c>
      <c r="K8" s="171">
        <f t="shared" si="0"/>
        <v>4083000</v>
      </c>
      <c r="L8" s="171">
        <f t="shared" si="0"/>
        <v>4322000</v>
      </c>
      <c r="M8" s="171">
        <f t="shared" si="0"/>
        <v>4965458</v>
      </c>
      <c r="N8" s="171">
        <f t="shared" si="0"/>
        <v>5156657</v>
      </c>
      <c r="O8" s="171">
        <f t="shared" si="0"/>
        <v>4907099</v>
      </c>
      <c r="P8" s="171">
        <f t="shared" si="0"/>
        <v>4857391</v>
      </c>
      <c r="Q8" s="171">
        <f t="shared" si="0"/>
        <v>4819523</v>
      </c>
      <c r="R8" s="171">
        <f t="shared" si="0"/>
        <v>5927532</v>
      </c>
      <c r="S8" s="171">
        <f t="shared" si="0"/>
        <v>5387885.94307</v>
      </c>
      <c r="T8" s="171">
        <f t="shared" si="0"/>
        <v>5372703</v>
      </c>
      <c r="U8" s="171">
        <f t="shared" si="0"/>
        <v>5826887</v>
      </c>
      <c r="V8" s="171">
        <f t="shared" si="0"/>
        <v>7494200</v>
      </c>
      <c r="W8" s="171">
        <f t="shared" si="0"/>
        <v>7177241</v>
      </c>
      <c r="X8" s="171">
        <f t="shared" si="0"/>
        <v>7492629</v>
      </c>
      <c r="Y8" s="171">
        <f t="shared" si="0"/>
        <v>8384221</v>
      </c>
      <c r="Z8" s="171">
        <f t="shared" si="0"/>
        <v>9429564</v>
      </c>
      <c r="AA8" s="171">
        <f t="shared" si="0"/>
        <v>9749312</v>
      </c>
      <c r="AB8" s="171">
        <f t="shared" si="0"/>
        <v>10430437</v>
      </c>
      <c r="AC8" s="171">
        <f t="shared" si="0"/>
        <v>9745929</v>
      </c>
      <c r="AD8" s="171">
        <f t="shared" si="0"/>
        <v>11419027</v>
      </c>
      <c r="AE8" s="171">
        <f t="shared" si="0"/>
        <v>11643903</v>
      </c>
      <c r="AF8" s="171">
        <f t="shared" si="0"/>
        <v>12596389</v>
      </c>
      <c r="AG8" s="171">
        <f t="shared" si="0"/>
        <v>13537813</v>
      </c>
      <c r="AH8" s="171">
        <f t="shared" si="0"/>
        <v>14645300</v>
      </c>
      <c r="AI8" s="171">
        <f t="shared" si="0"/>
        <v>14161312</v>
      </c>
      <c r="AJ8" s="172">
        <f t="shared" si="0"/>
        <v>15745207</v>
      </c>
      <c r="AK8" s="172">
        <f t="shared" si="0"/>
        <v>19718254</v>
      </c>
      <c r="AL8" s="172">
        <f t="shared" si="0"/>
        <v>21690029</v>
      </c>
      <c r="AM8" s="172">
        <f t="shared" si="0"/>
        <v>19295782</v>
      </c>
      <c r="AN8" s="172">
        <f t="shared" si="0"/>
        <v>19586661</v>
      </c>
      <c r="AO8" s="172">
        <f t="shared" si="0"/>
        <v>18243740</v>
      </c>
      <c r="AP8" s="172">
        <f t="shared" si="0"/>
        <v>21689299</v>
      </c>
      <c r="AQ8" s="172">
        <f t="shared" si="0"/>
        <v>22942333</v>
      </c>
      <c r="AR8" s="172">
        <f t="shared" si="0"/>
        <v>23417042</v>
      </c>
      <c r="AS8" s="172">
        <f>SUM(AS9:AS25)</f>
        <v>23859945.00891</v>
      </c>
      <c r="AT8" s="172">
        <f>SUM(AT9:AT27)</f>
        <v>27952916</v>
      </c>
      <c r="AU8" s="172">
        <f>SUM(AU9:AU27)</f>
        <v>23394889</v>
      </c>
      <c r="AV8" s="172">
        <f>SUM(AV9:AV27)</f>
        <v>27800747</v>
      </c>
    </row>
    <row r="9" spans="1:48">
      <c r="A9" s="173" t="s">
        <v>691</v>
      </c>
      <c r="B9" s="174"/>
      <c r="C9" s="175">
        <v>478216</v>
      </c>
      <c r="D9" s="175">
        <v>245780</v>
      </c>
      <c r="E9" s="175">
        <v>228085</v>
      </c>
      <c r="F9" s="175">
        <v>350884.51566999999</v>
      </c>
      <c r="G9" s="175">
        <v>344026</v>
      </c>
      <c r="H9" s="175">
        <v>532989.93324000004</v>
      </c>
      <c r="I9" s="175">
        <v>389847</v>
      </c>
      <c r="J9" s="175">
        <v>280098</v>
      </c>
      <c r="K9" s="175">
        <v>368000</v>
      </c>
      <c r="L9" s="175">
        <v>285000</v>
      </c>
      <c r="M9" s="175">
        <v>452000</v>
      </c>
      <c r="N9" s="175">
        <v>398000</v>
      </c>
      <c r="O9" s="175">
        <v>404000</v>
      </c>
      <c r="P9" s="175">
        <v>418089.30923999992</v>
      </c>
      <c r="Q9" s="175">
        <v>415911</v>
      </c>
      <c r="R9" s="175">
        <v>920784</v>
      </c>
      <c r="S9" s="175">
        <v>944000</v>
      </c>
      <c r="T9" s="175">
        <v>896729</v>
      </c>
      <c r="U9" s="175">
        <v>928321</v>
      </c>
      <c r="V9" s="175">
        <v>4098600.0000000005</v>
      </c>
      <c r="W9" s="175">
        <v>4099792.9999999995</v>
      </c>
      <c r="X9" s="175">
        <v>4438850</v>
      </c>
      <c r="Y9" s="175">
        <v>4753614</v>
      </c>
      <c r="Z9" s="175">
        <v>4743990</v>
      </c>
      <c r="AA9" s="175">
        <v>4991303</v>
      </c>
      <c r="AB9" s="175">
        <v>4402984</v>
      </c>
      <c r="AC9" s="175">
        <v>4275954</v>
      </c>
      <c r="AD9" s="175">
        <v>1785203</v>
      </c>
      <c r="AE9" s="175">
        <v>3257369</v>
      </c>
      <c r="AF9" s="175">
        <v>619121</v>
      </c>
      <c r="AG9" s="175">
        <v>3311664</v>
      </c>
      <c r="AH9" s="175">
        <v>2219546</v>
      </c>
      <c r="AI9" s="175">
        <v>2491021</v>
      </c>
      <c r="AJ9" s="175">
        <v>4205024</v>
      </c>
      <c r="AK9" s="175">
        <v>3778086</v>
      </c>
      <c r="AL9" s="175">
        <v>2996589</v>
      </c>
      <c r="AM9" s="175">
        <v>1990351</v>
      </c>
      <c r="AN9" s="175">
        <v>3830698</v>
      </c>
      <c r="AO9" s="175">
        <v>2885828</v>
      </c>
      <c r="AP9" s="175">
        <v>3166362</v>
      </c>
      <c r="AQ9" s="175">
        <v>4321115</v>
      </c>
      <c r="AR9" s="175">
        <v>5243983</v>
      </c>
      <c r="AS9" s="175">
        <v>5575524</v>
      </c>
      <c r="AT9" s="175">
        <v>4829157</v>
      </c>
      <c r="AU9" s="175">
        <v>3344024</v>
      </c>
      <c r="AV9" s="175">
        <v>2607560</v>
      </c>
    </row>
    <row r="10" spans="1:48">
      <c r="A10" s="173" t="s">
        <v>692</v>
      </c>
      <c r="B10" s="174"/>
      <c r="C10" s="175">
        <v>957500</v>
      </c>
      <c r="D10" s="175">
        <v>1273886</v>
      </c>
      <c r="E10" s="175">
        <v>1364529</v>
      </c>
      <c r="F10" s="175">
        <v>1262132</v>
      </c>
      <c r="G10" s="175">
        <v>1002053.8224599999</v>
      </c>
      <c r="H10" s="175">
        <v>830137</v>
      </c>
      <c r="I10" s="175">
        <v>842725.95521450404</v>
      </c>
      <c r="J10" s="175">
        <v>1683565</v>
      </c>
      <c r="K10" s="175">
        <v>1348000</v>
      </c>
      <c r="L10" s="175">
        <v>1551000</v>
      </c>
      <c r="M10" s="175">
        <v>1838000</v>
      </c>
      <c r="N10" s="175">
        <v>2083000</v>
      </c>
      <c r="O10" s="175">
        <v>2040000</v>
      </c>
      <c r="P10" s="175">
        <v>1908449.6907600001</v>
      </c>
      <c r="Q10" s="175">
        <v>1630801</v>
      </c>
      <c r="R10" s="175">
        <v>2137135</v>
      </c>
      <c r="S10" s="175">
        <v>1786869</v>
      </c>
      <c r="T10" s="175">
        <v>1628482</v>
      </c>
      <c r="U10" s="175">
        <v>1732997</v>
      </c>
      <c r="V10" s="175">
        <v>74793</v>
      </c>
      <c r="W10" s="175">
        <v>522</v>
      </c>
      <c r="X10" s="175">
        <v>522</v>
      </c>
      <c r="Y10" s="175">
        <v>0</v>
      </c>
      <c r="Z10" s="175">
        <v>0</v>
      </c>
      <c r="AA10" s="175">
        <v>1374</v>
      </c>
      <c r="AB10" s="175">
        <v>1129310</v>
      </c>
      <c r="AC10" s="175">
        <v>449776</v>
      </c>
      <c r="AD10" s="175">
        <v>4043717</v>
      </c>
      <c r="AE10" s="175">
        <v>2344913</v>
      </c>
      <c r="AF10" s="175">
        <v>5362258</v>
      </c>
      <c r="AG10" s="175">
        <v>3706309</v>
      </c>
      <c r="AH10" s="175">
        <v>5397283</v>
      </c>
      <c r="AI10" s="175">
        <v>4323636</v>
      </c>
      <c r="AJ10" s="175">
        <v>3916445</v>
      </c>
      <c r="AK10" s="175">
        <v>5842542</v>
      </c>
      <c r="AL10" s="175">
        <v>7374627</v>
      </c>
      <c r="AM10" s="175">
        <v>6392369</v>
      </c>
      <c r="AN10" s="175">
        <v>6003005</v>
      </c>
      <c r="AO10" s="175">
        <v>4916487</v>
      </c>
      <c r="AP10" s="175">
        <v>4714434</v>
      </c>
      <c r="AQ10" s="175">
        <v>4624025</v>
      </c>
      <c r="AR10" s="175">
        <v>4343351</v>
      </c>
      <c r="AS10" s="175">
        <v>3722217</v>
      </c>
      <c r="AT10" s="175">
        <v>7408530</v>
      </c>
      <c r="AU10" s="175">
        <v>5651825</v>
      </c>
      <c r="AV10" s="175">
        <v>9369821</v>
      </c>
    </row>
    <row r="11" spans="1:48">
      <c r="A11" s="173" t="s">
        <v>693</v>
      </c>
      <c r="B11" s="174"/>
      <c r="C11" s="175">
        <v>923464</v>
      </c>
      <c r="D11" s="175">
        <v>919440</v>
      </c>
      <c r="E11" s="175">
        <v>978071</v>
      </c>
      <c r="F11" s="175">
        <v>1006085</v>
      </c>
      <c r="G11" s="175">
        <v>1026473.9999999999</v>
      </c>
      <c r="H11" s="175">
        <v>1086698.77831</v>
      </c>
      <c r="I11" s="175">
        <v>1272674.2632500001</v>
      </c>
      <c r="J11" s="175">
        <v>1382874.45682</v>
      </c>
      <c r="K11" s="175">
        <v>1517000</v>
      </c>
      <c r="L11" s="175">
        <v>1605000</v>
      </c>
      <c r="M11" s="175">
        <v>1764000</v>
      </c>
      <c r="N11" s="175">
        <v>1983000</v>
      </c>
      <c r="O11" s="175">
        <v>1860000</v>
      </c>
      <c r="P11" s="175">
        <v>1938558</v>
      </c>
      <c r="Q11" s="175">
        <v>2211925</v>
      </c>
      <c r="R11" s="175">
        <v>2292104</v>
      </c>
      <c r="S11" s="175">
        <v>2043000</v>
      </c>
      <c r="T11" s="175">
        <v>2132731</v>
      </c>
      <c r="U11" s="175">
        <v>2322915</v>
      </c>
      <c r="V11" s="175">
        <v>2439478</v>
      </c>
      <c r="W11" s="175">
        <v>2154711</v>
      </c>
      <c r="X11" s="175">
        <v>2221911</v>
      </c>
      <c r="Y11" s="175">
        <v>2425352</v>
      </c>
      <c r="Z11" s="175">
        <v>2938037</v>
      </c>
      <c r="AA11" s="175">
        <v>3255199</v>
      </c>
      <c r="AB11" s="175">
        <v>3293725</v>
      </c>
      <c r="AC11" s="175">
        <v>3333569</v>
      </c>
      <c r="AD11" s="175">
        <v>3503757</v>
      </c>
      <c r="AE11" s="175">
        <v>2911796</v>
      </c>
      <c r="AF11" s="175">
        <v>3327841</v>
      </c>
      <c r="AG11" s="175">
        <v>3408250</v>
      </c>
      <c r="AH11" s="175">
        <v>3589317</v>
      </c>
      <c r="AI11" s="175">
        <v>3451455</v>
      </c>
      <c r="AJ11" s="175">
        <v>3542658</v>
      </c>
      <c r="AK11" s="175">
        <v>4733642</v>
      </c>
      <c r="AL11" s="175">
        <v>5476221</v>
      </c>
      <c r="AM11" s="175">
        <v>5665092</v>
      </c>
      <c r="AN11" s="175">
        <v>5363516</v>
      </c>
      <c r="AO11" s="175">
        <v>5715160</v>
      </c>
      <c r="AP11" s="175">
        <v>7689205</v>
      </c>
      <c r="AQ11" s="175">
        <v>7885231</v>
      </c>
      <c r="AR11" s="175">
        <v>7757822</v>
      </c>
      <c r="AS11" s="175">
        <v>8414708.0089100003</v>
      </c>
      <c r="AT11" s="175">
        <v>8414799</v>
      </c>
      <c r="AU11" s="175">
        <v>8526671</v>
      </c>
      <c r="AV11" s="175">
        <v>8387185</v>
      </c>
    </row>
    <row r="12" spans="1:48">
      <c r="A12" s="173" t="s">
        <v>695</v>
      </c>
      <c r="B12" s="174"/>
      <c r="C12" s="175">
        <v>0</v>
      </c>
      <c r="D12" s="175">
        <v>0</v>
      </c>
      <c r="E12" s="175">
        <v>0</v>
      </c>
      <c r="F12" s="175">
        <v>0</v>
      </c>
      <c r="G12" s="175">
        <v>0</v>
      </c>
      <c r="H12" s="175">
        <v>0</v>
      </c>
      <c r="I12" s="175">
        <v>0</v>
      </c>
      <c r="J12" s="175">
        <v>0</v>
      </c>
      <c r="K12" s="175">
        <v>0</v>
      </c>
      <c r="L12" s="175">
        <v>0</v>
      </c>
      <c r="M12" s="175">
        <v>0</v>
      </c>
      <c r="N12" s="175">
        <v>0</v>
      </c>
      <c r="O12" s="175">
        <v>0</v>
      </c>
      <c r="P12" s="175">
        <v>0</v>
      </c>
      <c r="Q12" s="175">
        <v>0</v>
      </c>
      <c r="R12" s="175">
        <v>3947</v>
      </c>
      <c r="S12" s="175">
        <v>591.41438000000005</v>
      </c>
      <c r="T12" s="175">
        <v>53645</v>
      </c>
      <c r="U12" s="175">
        <v>2511</v>
      </c>
      <c r="V12" s="175">
        <v>8763</v>
      </c>
      <c r="W12" s="175">
        <v>1844</v>
      </c>
      <c r="X12" s="175">
        <v>7973</v>
      </c>
      <c r="Y12" s="175">
        <v>542</v>
      </c>
      <c r="Z12" s="175">
        <v>18769</v>
      </c>
      <c r="AA12" s="175">
        <v>20448</v>
      </c>
      <c r="AB12" s="175">
        <v>16474</v>
      </c>
      <c r="AC12" s="175">
        <v>23210</v>
      </c>
      <c r="AD12" s="175">
        <v>1291</v>
      </c>
      <c r="AE12" s="175">
        <v>2328</v>
      </c>
      <c r="AF12" s="175">
        <v>2674</v>
      </c>
      <c r="AG12" s="175">
        <v>1337</v>
      </c>
      <c r="AH12" s="175"/>
      <c r="AI12" s="175"/>
      <c r="AJ12" s="175"/>
      <c r="AK12" s="175"/>
      <c r="AL12" s="175"/>
      <c r="AM12" s="175"/>
      <c r="AN12" s="175"/>
      <c r="AO12" s="175"/>
      <c r="AP12" s="175">
        <v>0</v>
      </c>
      <c r="AQ12" s="175"/>
      <c r="AR12" s="175"/>
      <c r="AS12" s="175"/>
      <c r="AT12" s="175"/>
      <c r="AU12" s="175"/>
      <c r="AV12" s="175"/>
    </row>
    <row r="13" spans="1:48">
      <c r="A13" s="173" t="s">
        <v>698</v>
      </c>
      <c r="B13" s="174"/>
      <c r="C13" s="175">
        <v>195721</v>
      </c>
      <c r="D13" s="175">
        <v>143090.76061999999</v>
      </c>
      <c r="E13" s="175">
        <v>132547</v>
      </c>
      <c r="F13" s="175">
        <v>94346</v>
      </c>
      <c r="G13" s="175">
        <v>156034</v>
      </c>
      <c r="H13" s="175">
        <v>205813</v>
      </c>
      <c r="I13" s="175">
        <v>199979</v>
      </c>
      <c r="J13" s="175">
        <v>236701</v>
      </c>
      <c r="K13" s="175">
        <v>231000</v>
      </c>
      <c r="L13" s="175">
        <v>219000</v>
      </c>
      <c r="M13" s="175">
        <v>195000</v>
      </c>
      <c r="N13" s="175">
        <v>221000</v>
      </c>
      <c r="O13" s="175">
        <v>169000</v>
      </c>
      <c r="P13" s="175">
        <v>157211</v>
      </c>
      <c r="Q13" s="175">
        <v>161676</v>
      </c>
      <c r="R13" s="175">
        <v>64738</v>
      </c>
      <c r="S13" s="175">
        <v>40440.792009999997</v>
      </c>
      <c r="T13" s="175">
        <v>42355</v>
      </c>
      <c r="U13" s="175">
        <v>41546</v>
      </c>
      <c r="V13" s="175">
        <v>77895</v>
      </c>
      <c r="W13" s="175">
        <v>69708</v>
      </c>
      <c r="X13" s="175">
        <v>54533</v>
      </c>
      <c r="Y13" s="175">
        <v>75704</v>
      </c>
      <c r="Z13" s="175">
        <v>63380</v>
      </c>
      <c r="AA13" s="175">
        <v>51725</v>
      </c>
      <c r="AB13" s="175">
        <v>36820</v>
      </c>
      <c r="AC13" s="175">
        <v>36970</v>
      </c>
      <c r="AD13" s="175">
        <v>36376</v>
      </c>
      <c r="AE13" s="175">
        <v>46949</v>
      </c>
      <c r="AF13" s="175">
        <v>20403</v>
      </c>
      <c r="AG13" s="175">
        <v>39208</v>
      </c>
      <c r="AH13" s="175">
        <v>29855</v>
      </c>
      <c r="AI13" s="175">
        <v>26777</v>
      </c>
      <c r="AJ13" s="175">
        <v>41873</v>
      </c>
      <c r="AK13" s="175">
        <v>61541</v>
      </c>
      <c r="AL13" s="175">
        <v>63197</v>
      </c>
      <c r="AM13" s="175">
        <v>51714</v>
      </c>
      <c r="AN13" s="175">
        <v>67519</v>
      </c>
      <c r="AO13" s="175">
        <v>75992</v>
      </c>
      <c r="AP13" s="175">
        <v>84236</v>
      </c>
      <c r="AQ13" s="175">
        <v>64362</v>
      </c>
      <c r="AR13" s="175">
        <v>56798</v>
      </c>
      <c r="AS13" s="175">
        <v>69329</v>
      </c>
      <c r="AT13" s="175">
        <v>64777</v>
      </c>
      <c r="AU13" s="175">
        <v>61014</v>
      </c>
      <c r="AV13" s="175">
        <v>58158</v>
      </c>
    </row>
    <row r="14" spans="1:48">
      <c r="A14" s="173" t="s">
        <v>781</v>
      </c>
      <c r="B14" s="174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>
        <v>365462</v>
      </c>
      <c r="AE14" s="175">
        <v>371989</v>
      </c>
      <c r="AF14" s="175">
        <v>410166</v>
      </c>
      <c r="AG14" s="175">
        <v>429077</v>
      </c>
      <c r="AH14" s="175">
        <v>518041.00000000006</v>
      </c>
      <c r="AI14" s="175">
        <v>514922</v>
      </c>
      <c r="AJ14" s="175">
        <v>536245</v>
      </c>
      <c r="AK14" s="175">
        <v>550459</v>
      </c>
      <c r="AL14" s="175">
        <v>605958</v>
      </c>
      <c r="AM14" s="175">
        <v>533701</v>
      </c>
      <c r="AN14" s="175">
        <v>551792</v>
      </c>
      <c r="AO14" s="175">
        <v>603687</v>
      </c>
      <c r="AP14" s="175">
        <v>656979</v>
      </c>
      <c r="AQ14" s="175">
        <v>616134</v>
      </c>
      <c r="AR14" s="175">
        <v>661726</v>
      </c>
      <c r="AS14" s="175">
        <v>618309</v>
      </c>
      <c r="AT14" s="175">
        <v>723654</v>
      </c>
      <c r="AU14" s="175">
        <v>741054</v>
      </c>
      <c r="AV14" s="175">
        <v>803652</v>
      </c>
    </row>
    <row r="15" spans="1:48">
      <c r="A15" s="173" t="s">
        <v>774</v>
      </c>
      <c r="B15" s="174"/>
      <c r="C15" s="175">
        <v>0</v>
      </c>
      <c r="D15" s="175">
        <v>0</v>
      </c>
      <c r="E15" s="175">
        <v>0</v>
      </c>
      <c r="F15" s="175">
        <v>0</v>
      </c>
      <c r="G15" s="175">
        <v>0</v>
      </c>
      <c r="H15" s="175">
        <v>0</v>
      </c>
      <c r="I15" s="175">
        <v>0</v>
      </c>
      <c r="J15" s="175">
        <v>342000</v>
      </c>
      <c r="K15" s="175">
        <v>160000</v>
      </c>
      <c r="L15" s="175">
        <v>100000</v>
      </c>
      <c r="M15" s="175">
        <v>132000</v>
      </c>
      <c r="N15" s="175">
        <v>0</v>
      </c>
      <c r="O15" s="175">
        <v>0</v>
      </c>
      <c r="P15" s="175">
        <v>7865</v>
      </c>
      <c r="Q15" s="175">
        <v>0</v>
      </c>
      <c r="R15" s="175">
        <v>0</v>
      </c>
      <c r="S15" s="175">
        <v>0</v>
      </c>
      <c r="T15" s="175">
        <v>0</v>
      </c>
      <c r="U15" s="175">
        <v>136570</v>
      </c>
      <c r="V15" s="175">
        <v>100414</v>
      </c>
      <c r="W15" s="175">
        <v>69249</v>
      </c>
      <c r="X15" s="175">
        <v>8622</v>
      </c>
      <c r="Y15" s="175">
        <v>355625</v>
      </c>
      <c r="Z15" s="175">
        <v>464505</v>
      </c>
      <c r="AA15" s="175">
        <v>250608</v>
      </c>
      <c r="AB15" s="175">
        <v>110645</v>
      </c>
      <c r="AC15" s="175">
        <v>246720</v>
      </c>
      <c r="AD15" s="175">
        <v>231463</v>
      </c>
      <c r="AE15" s="175">
        <v>113185</v>
      </c>
      <c r="AF15" s="175">
        <v>141484</v>
      </c>
      <c r="AG15" s="175">
        <v>49743</v>
      </c>
      <c r="AH15" s="175"/>
      <c r="AI15" s="175">
        <v>188426</v>
      </c>
      <c r="AJ15" s="175">
        <v>56862</v>
      </c>
      <c r="AK15" s="175">
        <v>696262</v>
      </c>
      <c r="AL15" s="175">
        <v>698729</v>
      </c>
      <c r="AM15" s="175">
        <v>343889</v>
      </c>
      <c r="AN15" s="175">
        <v>182461</v>
      </c>
      <c r="AO15" s="175">
        <v>298217</v>
      </c>
      <c r="AP15" s="175">
        <v>394179</v>
      </c>
      <c r="AQ15" s="175">
        <v>267077</v>
      </c>
      <c r="AR15" s="175">
        <v>270643</v>
      </c>
      <c r="AS15" s="175">
        <v>211791</v>
      </c>
      <c r="AT15" s="175">
        <v>97933</v>
      </c>
      <c r="AU15" s="175">
        <v>36504</v>
      </c>
      <c r="AV15" s="175">
        <v>79436</v>
      </c>
    </row>
    <row r="16" spans="1:48">
      <c r="A16" s="173" t="s">
        <v>699</v>
      </c>
      <c r="B16" s="174"/>
      <c r="C16" s="175">
        <v>23911</v>
      </c>
      <c r="D16" s="175">
        <v>113988.78245</v>
      </c>
      <c r="E16" s="175">
        <v>22973.779849999999</v>
      </c>
      <c r="F16" s="175">
        <v>24165</v>
      </c>
      <c r="G16" s="175">
        <v>22567.785400000001</v>
      </c>
      <c r="H16" s="175">
        <v>22475.577880000001</v>
      </c>
      <c r="I16" s="175">
        <v>21294.34204</v>
      </c>
      <c r="J16" s="175">
        <v>20037</v>
      </c>
      <c r="K16" s="175">
        <v>20000</v>
      </c>
      <c r="L16" s="175">
        <v>24000</v>
      </c>
      <c r="M16" s="175">
        <v>25000</v>
      </c>
      <c r="N16" s="175">
        <v>25000</v>
      </c>
      <c r="O16" s="175">
        <v>26000</v>
      </c>
      <c r="P16" s="175">
        <v>32192</v>
      </c>
      <c r="Q16" s="175">
        <v>31917</v>
      </c>
      <c r="R16" s="175">
        <v>31839</v>
      </c>
      <c r="S16" s="175">
        <v>34605.136699999995</v>
      </c>
      <c r="T16" s="175">
        <v>37526</v>
      </c>
      <c r="U16" s="175">
        <v>22042</v>
      </c>
      <c r="V16" s="175">
        <v>15245</v>
      </c>
      <c r="W16" s="175">
        <v>14390</v>
      </c>
      <c r="X16" s="175">
        <v>6793</v>
      </c>
      <c r="Y16" s="175">
        <v>6627</v>
      </c>
      <c r="Z16" s="175">
        <v>4068</v>
      </c>
      <c r="AA16" s="175">
        <v>4374</v>
      </c>
      <c r="AB16" s="175">
        <v>4609</v>
      </c>
      <c r="AC16" s="175">
        <v>3111</v>
      </c>
      <c r="AD16" s="175">
        <v>3052</v>
      </c>
      <c r="AE16" s="175">
        <v>3264</v>
      </c>
      <c r="AF16" s="175">
        <v>2941</v>
      </c>
      <c r="AG16" s="175">
        <v>5113</v>
      </c>
      <c r="AH16" s="175">
        <v>3567</v>
      </c>
      <c r="AI16" s="175">
        <v>3806</v>
      </c>
      <c r="AJ16" s="175">
        <v>4105</v>
      </c>
      <c r="AK16" s="175">
        <v>3983</v>
      </c>
      <c r="AL16" s="175">
        <v>4025</v>
      </c>
      <c r="AM16" s="175">
        <v>4209</v>
      </c>
      <c r="AN16" s="175">
        <v>5142</v>
      </c>
      <c r="AO16" s="175">
        <v>7410</v>
      </c>
      <c r="AP16" s="175">
        <v>5711</v>
      </c>
      <c r="AQ16" s="175">
        <v>5545</v>
      </c>
      <c r="AR16" s="175">
        <v>9351</v>
      </c>
      <c r="AS16" s="175">
        <v>10127</v>
      </c>
      <c r="AT16" s="175">
        <v>11386</v>
      </c>
      <c r="AU16" s="175">
        <v>11346</v>
      </c>
      <c r="AV16" s="175">
        <v>12776</v>
      </c>
    </row>
    <row r="17" spans="1:48">
      <c r="A17" s="173" t="s">
        <v>701</v>
      </c>
      <c r="B17" s="174"/>
      <c r="C17" s="175">
        <v>0</v>
      </c>
      <c r="D17" s="175">
        <v>0</v>
      </c>
      <c r="E17" s="175">
        <v>0</v>
      </c>
      <c r="F17" s="175">
        <v>0</v>
      </c>
      <c r="G17" s="175">
        <v>0</v>
      </c>
      <c r="H17" s="175">
        <v>0</v>
      </c>
      <c r="I17" s="175">
        <v>0</v>
      </c>
      <c r="J17" s="175">
        <v>65000</v>
      </c>
      <c r="K17" s="175">
        <v>0</v>
      </c>
      <c r="L17" s="175">
        <v>0</v>
      </c>
      <c r="M17" s="175">
        <v>79000</v>
      </c>
      <c r="N17" s="175">
        <v>53000</v>
      </c>
      <c r="O17" s="175">
        <v>0</v>
      </c>
      <c r="P17" s="175">
        <v>0</v>
      </c>
      <c r="Q17" s="175">
        <v>0</v>
      </c>
      <c r="R17" s="175">
        <v>1242</v>
      </c>
      <c r="S17" s="175">
        <v>0</v>
      </c>
      <c r="T17" s="175">
        <v>0</v>
      </c>
      <c r="U17" s="175">
        <v>0</v>
      </c>
      <c r="V17" s="175">
        <v>0</v>
      </c>
      <c r="W17" s="175">
        <v>0</v>
      </c>
      <c r="X17" s="175">
        <v>0</v>
      </c>
      <c r="Y17" s="175">
        <v>0</v>
      </c>
      <c r="Z17" s="175">
        <v>0</v>
      </c>
      <c r="AA17" s="175">
        <v>0</v>
      </c>
      <c r="AB17" s="175">
        <v>0</v>
      </c>
      <c r="AC17" s="175">
        <v>18676</v>
      </c>
      <c r="AD17" s="175">
        <v>17554</v>
      </c>
      <c r="AE17" s="175">
        <v>19405</v>
      </c>
      <c r="AF17" s="175">
        <v>21682</v>
      </c>
      <c r="AG17" s="175">
        <v>17724</v>
      </c>
      <c r="AH17" s="175">
        <v>100600</v>
      </c>
      <c r="AI17" s="175">
        <v>184410</v>
      </c>
      <c r="AJ17" s="175">
        <v>226157</v>
      </c>
      <c r="AK17" s="175">
        <v>317633</v>
      </c>
      <c r="AL17" s="175">
        <v>293020</v>
      </c>
      <c r="AM17" s="175">
        <v>119248</v>
      </c>
      <c r="AN17" s="175">
        <v>119134</v>
      </c>
      <c r="AO17" s="175">
        <v>93423</v>
      </c>
      <c r="AP17" s="175">
        <v>88972</v>
      </c>
      <c r="AQ17" s="175">
        <v>73483</v>
      </c>
      <c r="AR17" s="175">
        <v>0</v>
      </c>
      <c r="AS17" s="175">
        <v>34455</v>
      </c>
      <c r="AT17" s="175">
        <v>7607</v>
      </c>
      <c r="AU17" s="175">
        <v>4884</v>
      </c>
      <c r="AV17" s="175">
        <v>219089</v>
      </c>
    </row>
    <row r="18" spans="1:48">
      <c r="A18" s="173" t="s">
        <v>702</v>
      </c>
      <c r="B18" s="174"/>
      <c r="C18" s="175">
        <v>24758</v>
      </c>
      <c r="D18" s="175">
        <v>24739.267300000003</v>
      </c>
      <c r="E18" s="175">
        <v>24113.46744</v>
      </c>
      <c r="F18" s="175">
        <v>24258</v>
      </c>
      <c r="G18" s="175">
        <v>26299</v>
      </c>
      <c r="H18" s="175">
        <v>30363.516780000002</v>
      </c>
      <c r="I18" s="175">
        <v>29237.179459999999</v>
      </c>
      <c r="J18" s="175">
        <v>20912</v>
      </c>
      <c r="K18" s="175">
        <v>23000</v>
      </c>
      <c r="L18" s="175">
        <v>17000</v>
      </c>
      <c r="M18" s="175">
        <v>14000</v>
      </c>
      <c r="N18" s="175">
        <v>11000</v>
      </c>
      <c r="O18" s="175">
        <v>11000</v>
      </c>
      <c r="P18" s="175">
        <v>18327</v>
      </c>
      <c r="Q18" s="175">
        <v>23869</v>
      </c>
      <c r="R18" s="175">
        <v>19987</v>
      </c>
      <c r="S18" s="175">
        <v>19971.599980000003</v>
      </c>
      <c r="T18" s="175">
        <v>16858</v>
      </c>
      <c r="U18" s="175">
        <v>15534</v>
      </c>
      <c r="V18" s="175">
        <v>15934</v>
      </c>
      <c r="W18" s="175">
        <v>17597</v>
      </c>
      <c r="X18" s="175">
        <v>21796</v>
      </c>
      <c r="Y18" s="175">
        <v>17426</v>
      </c>
      <c r="Z18" s="175">
        <v>25305</v>
      </c>
      <c r="AA18" s="175">
        <v>32756</v>
      </c>
      <c r="AB18" s="175">
        <v>31990</v>
      </c>
      <c r="AC18" s="175">
        <v>28040</v>
      </c>
      <c r="AD18" s="175">
        <v>31895</v>
      </c>
      <c r="AE18" s="175">
        <v>36578</v>
      </c>
      <c r="AF18" s="175">
        <v>43361</v>
      </c>
      <c r="AG18" s="175">
        <v>51728</v>
      </c>
      <c r="AH18" s="175">
        <v>47264</v>
      </c>
      <c r="AI18" s="175">
        <v>61687</v>
      </c>
      <c r="AJ18" s="175">
        <v>95942</v>
      </c>
      <c r="AK18" s="175">
        <v>141925</v>
      </c>
      <c r="AL18" s="175">
        <v>203710</v>
      </c>
      <c r="AM18" s="175">
        <v>235510</v>
      </c>
      <c r="AN18" s="175">
        <v>236219</v>
      </c>
      <c r="AO18" s="175">
        <v>260759</v>
      </c>
      <c r="AP18" s="175">
        <v>278860</v>
      </c>
      <c r="AQ18" s="175">
        <v>254069</v>
      </c>
      <c r="AR18" s="175">
        <v>219777</v>
      </c>
      <c r="AS18" s="175">
        <v>226376</v>
      </c>
      <c r="AT18" s="175">
        <v>135608</v>
      </c>
      <c r="AU18" s="175">
        <v>135328</v>
      </c>
      <c r="AV18" s="175">
        <v>146079</v>
      </c>
    </row>
    <row r="19" spans="1:48">
      <c r="A19" s="173" t="s">
        <v>703</v>
      </c>
      <c r="B19" s="174"/>
      <c r="C19" s="175">
        <v>120594</v>
      </c>
      <c r="D19" s="175">
        <v>126799.61318</v>
      </c>
      <c r="E19" s="175">
        <v>144432.25302</v>
      </c>
      <c r="F19" s="175">
        <v>167720.07335000002</v>
      </c>
      <c r="G19" s="175">
        <v>138726</v>
      </c>
      <c r="H19" s="175">
        <v>181790.03900000002</v>
      </c>
      <c r="I19" s="175">
        <v>171095</v>
      </c>
      <c r="J19" s="175">
        <v>186108</v>
      </c>
      <c r="K19" s="175">
        <v>171000</v>
      </c>
      <c r="L19" s="175">
        <v>192000</v>
      </c>
      <c r="M19" s="175">
        <v>114504</v>
      </c>
      <c r="N19" s="175">
        <v>94874</v>
      </c>
      <c r="O19" s="175">
        <v>93997</v>
      </c>
      <c r="P19" s="175">
        <v>81899</v>
      </c>
      <c r="Q19" s="175">
        <v>52874</v>
      </c>
      <c r="R19" s="175">
        <v>105000</v>
      </c>
      <c r="S19" s="175">
        <v>121408</v>
      </c>
      <c r="T19" s="175">
        <v>124999</v>
      </c>
      <c r="U19" s="175">
        <v>109295</v>
      </c>
      <c r="V19" s="175">
        <v>117137</v>
      </c>
      <c r="W19" s="175">
        <v>119661</v>
      </c>
      <c r="X19" s="175">
        <v>119880</v>
      </c>
      <c r="Y19" s="175">
        <v>122278</v>
      </c>
      <c r="Z19" s="175">
        <v>155400</v>
      </c>
      <c r="AA19" s="175">
        <v>167847</v>
      </c>
      <c r="AB19" s="175">
        <v>186135</v>
      </c>
      <c r="AC19" s="175">
        <v>161658</v>
      </c>
      <c r="AD19" s="175">
        <v>256066</v>
      </c>
      <c r="AE19" s="175">
        <v>1074326</v>
      </c>
      <c r="AF19" s="175">
        <v>1170253</v>
      </c>
      <c r="AG19" s="175">
        <v>1093211</v>
      </c>
      <c r="AH19" s="175">
        <v>1240973</v>
      </c>
      <c r="AI19" s="175">
        <v>1080208</v>
      </c>
      <c r="AJ19" s="175">
        <v>1066839</v>
      </c>
      <c r="AK19" s="175">
        <v>1377162</v>
      </c>
      <c r="AL19" s="175">
        <v>1215975</v>
      </c>
      <c r="AM19" s="175">
        <v>1407366</v>
      </c>
      <c r="AN19" s="175">
        <v>705567</v>
      </c>
      <c r="AO19" s="175">
        <v>598436</v>
      </c>
      <c r="AP19" s="175">
        <v>1426692</v>
      </c>
      <c r="AQ19" s="175">
        <v>1396476</v>
      </c>
      <c r="AR19" s="175">
        <v>1374133</v>
      </c>
      <c r="AS19" s="175">
        <v>1453666</v>
      </c>
      <c r="AT19" s="175">
        <v>1700574</v>
      </c>
      <c r="AU19" s="175">
        <v>1393391</v>
      </c>
      <c r="AV19" s="175">
        <v>1344719</v>
      </c>
    </row>
    <row r="20" spans="1:48">
      <c r="A20" s="173" t="s">
        <v>704</v>
      </c>
      <c r="B20" s="174"/>
      <c r="C20" s="175">
        <v>0</v>
      </c>
      <c r="D20" s="175">
        <v>0</v>
      </c>
      <c r="E20" s="175">
        <v>0</v>
      </c>
      <c r="F20" s="175">
        <v>0</v>
      </c>
      <c r="G20" s="175">
        <v>0</v>
      </c>
      <c r="H20" s="175">
        <v>0</v>
      </c>
      <c r="I20" s="175">
        <v>0</v>
      </c>
      <c r="J20" s="175">
        <v>0</v>
      </c>
      <c r="K20" s="175">
        <v>0</v>
      </c>
      <c r="L20" s="175">
        <v>0</v>
      </c>
      <c r="M20" s="175">
        <v>89954</v>
      </c>
      <c r="N20" s="175">
        <v>116783</v>
      </c>
      <c r="O20" s="175">
        <v>126102</v>
      </c>
      <c r="P20" s="175">
        <v>128941</v>
      </c>
      <c r="Q20" s="175">
        <v>103140</v>
      </c>
      <c r="R20" s="175">
        <v>127909</v>
      </c>
      <c r="S20" s="175">
        <v>100000</v>
      </c>
      <c r="T20" s="175">
        <v>105330</v>
      </c>
      <c r="U20" s="175">
        <v>101159</v>
      </c>
      <c r="V20" s="175">
        <v>156064</v>
      </c>
      <c r="W20" s="175">
        <v>158718</v>
      </c>
      <c r="X20" s="175">
        <v>158839</v>
      </c>
      <c r="Y20" s="175">
        <v>159839</v>
      </c>
      <c r="Z20" s="175">
        <v>188028</v>
      </c>
      <c r="AA20" s="175">
        <v>223256</v>
      </c>
      <c r="AB20" s="175">
        <v>179179</v>
      </c>
      <c r="AC20" s="175">
        <v>181012</v>
      </c>
      <c r="AD20" s="175">
        <v>143132</v>
      </c>
      <c r="AE20" s="175">
        <v>154809</v>
      </c>
      <c r="AF20" s="175">
        <v>185887</v>
      </c>
      <c r="AG20" s="175">
        <v>176869</v>
      </c>
      <c r="AH20" s="175">
        <v>195413</v>
      </c>
      <c r="AI20" s="175">
        <v>201505</v>
      </c>
      <c r="AJ20" s="175">
        <v>238658</v>
      </c>
      <c r="AK20" s="175">
        <v>283996</v>
      </c>
      <c r="AL20" s="175">
        <v>305935</v>
      </c>
      <c r="AM20" s="175">
        <v>379795</v>
      </c>
      <c r="AN20" s="175">
        <v>454057</v>
      </c>
      <c r="AO20" s="175">
        <v>503839</v>
      </c>
      <c r="AP20" s="175">
        <v>612529</v>
      </c>
      <c r="AQ20" s="175">
        <v>678483</v>
      </c>
      <c r="AR20" s="175">
        <v>777304</v>
      </c>
      <c r="AS20" s="175">
        <v>877382</v>
      </c>
      <c r="AT20" s="175">
        <v>725430</v>
      </c>
      <c r="AU20" s="175">
        <v>780684</v>
      </c>
      <c r="AV20" s="175">
        <v>923565</v>
      </c>
    </row>
    <row r="21" spans="1:48">
      <c r="A21" s="173" t="s">
        <v>747</v>
      </c>
      <c r="B21" s="174"/>
      <c r="C21" s="175">
        <v>170091</v>
      </c>
      <c r="D21" s="175">
        <v>13112.22206</v>
      </c>
      <c r="E21" s="175">
        <v>18759</v>
      </c>
      <c r="F21" s="175">
        <v>5721</v>
      </c>
      <c r="G21" s="175">
        <v>285115</v>
      </c>
      <c r="H21" s="175">
        <v>0</v>
      </c>
      <c r="I21" s="175">
        <v>255353</v>
      </c>
      <c r="J21" s="175">
        <v>0</v>
      </c>
      <c r="K21" s="175">
        <v>59000</v>
      </c>
      <c r="L21" s="175">
        <v>100000</v>
      </c>
      <c r="M21" s="175">
        <v>53000</v>
      </c>
      <c r="N21" s="175">
        <v>0</v>
      </c>
      <c r="O21" s="175">
        <v>0</v>
      </c>
      <c r="P21" s="175">
        <v>0</v>
      </c>
      <c r="Q21" s="175">
        <v>0</v>
      </c>
      <c r="R21" s="175">
        <v>0</v>
      </c>
      <c r="S21" s="175">
        <v>0</v>
      </c>
      <c r="T21" s="175">
        <v>0</v>
      </c>
      <c r="U21" s="175">
        <v>0</v>
      </c>
      <c r="V21" s="175">
        <v>0</v>
      </c>
      <c r="W21" s="175">
        <v>0</v>
      </c>
      <c r="X21" s="175">
        <v>0</v>
      </c>
      <c r="Y21" s="175">
        <v>0</v>
      </c>
      <c r="Z21" s="175">
        <v>0</v>
      </c>
      <c r="AA21" s="175">
        <v>0</v>
      </c>
      <c r="AB21" s="175">
        <v>0</v>
      </c>
      <c r="AC21" s="175">
        <v>0</v>
      </c>
      <c r="AD21" s="175"/>
      <c r="AE21" s="175">
        <v>0</v>
      </c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</row>
    <row r="22" spans="1:48">
      <c r="A22" s="173" t="s">
        <v>823</v>
      </c>
      <c r="B22" s="174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>
        <v>93826</v>
      </c>
    </row>
    <row r="23" spans="1:48">
      <c r="A23" s="173" t="s">
        <v>805</v>
      </c>
      <c r="B23" s="174"/>
      <c r="C23" s="175">
        <v>232138</v>
      </c>
      <c r="D23" s="175">
        <v>161459</v>
      </c>
      <c r="E23" s="175">
        <v>171698</v>
      </c>
      <c r="F23" s="175">
        <v>145882</v>
      </c>
      <c r="G23" s="175">
        <v>162549</v>
      </c>
      <c r="H23" s="175">
        <v>192258</v>
      </c>
      <c r="I23" s="175">
        <v>195581</v>
      </c>
      <c r="J23" s="175">
        <v>170374</v>
      </c>
      <c r="K23" s="175">
        <v>186000</v>
      </c>
      <c r="L23" s="175">
        <v>229000</v>
      </c>
      <c r="M23" s="175">
        <v>209000</v>
      </c>
      <c r="N23" s="175">
        <v>171000</v>
      </c>
      <c r="O23" s="175">
        <v>177000</v>
      </c>
      <c r="P23" s="175">
        <v>165859</v>
      </c>
      <c r="Q23" s="175">
        <v>187410</v>
      </c>
      <c r="R23" s="175">
        <v>222847</v>
      </c>
      <c r="S23" s="175">
        <v>297000</v>
      </c>
      <c r="T23" s="175">
        <v>334047.99999999977</v>
      </c>
      <c r="U23" s="175">
        <v>413997</v>
      </c>
      <c r="V23" s="175">
        <v>389877</v>
      </c>
      <c r="W23" s="175">
        <v>471048</v>
      </c>
      <c r="X23" s="175">
        <v>452910</v>
      </c>
      <c r="Y23" s="175">
        <v>467214</v>
      </c>
      <c r="Z23" s="175">
        <v>828082</v>
      </c>
      <c r="AA23" s="175">
        <v>750422</v>
      </c>
      <c r="AB23" s="175">
        <v>1038566</v>
      </c>
      <c r="AC23" s="175">
        <v>987233.00000000012</v>
      </c>
      <c r="AD23" s="175">
        <v>295192</v>
      </c>
      <c r="AE23" s="175">
        <v>595214</v>
      </c>
      <c r="AF23" s="175">
        <v>576533</v>
      </c>
      <c r="AG23" s="175">
        <v>538028</v>
      </c>
      <c r="AH23" s="175">
        <v>587078</v>
      </c>
      <c r="AI23" s="175">
        <v>559377</v>
      </c>
      <c r="AJ23" s="175">
        <v>617999</v>
      </c>
      <c r="AK23" s="175">
        <v>785339</v>
      </c>
      <c r="AL23" s="175">
        <v>1051710</v>
      </c>
      <c r="AM23" s="175">
        <v>911351</v>
      </c>
      <c r="AN23" s="175">
        <v>824544</v>
      </c>
      <c r="AO23" s="175">
        <v>844780</v>
      </c>
      <c r="AP23" s="175">
        <v>1133164</v>
      </c>
      <c r="AQ23" s="175">
        <v>1333090</v>
      </c>
      <c r="AR23" s="175">
        <v>1211600</v>
      </c>
      <c r="AS23" s="175">
        <v>1117337</v>
      </c>
      <c r="AT23" s="175">
        <v>1312505</v>
      </c>
      <c r="AU23" s="175">
        <v>1303979</v>
      </c>
      <c r="AV23" s="175">
        <v>1355950</v>
      </c>
    </row>
    <row r="24" spans="1:48">
      <c r="A24" s="173" t="s">
        <v>880</v>
      </c>
      <c r="B24" s="174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>
        <v>699692</v>
      </c>
      <c r="AE24" s="175">
        <v>708900</v>
      </c>
      <c r="AF24" s="175">
        <v>708906</v>
      </c>
      <c r="AG24" s="175">
        <v>708900</v>
      </c>
      <c r="AH24" s="175">
        <v>708900</v>
      </c>
      <c r="AI24" s="175">
        <v>1074082</v>
      </c>
      <c r="AJ24" s="175">
        <v>1196400</v>
      </c>
      <c r="AK24" s="175">
        <v>1145684</v>
      </c>
      <c r="AL24" s="175">
        <v>1394297</v>
      </c>
      <c r="AM24" s="175">
        <v>1261187</v>
      </c>
      <c r="AN24" s="175">
        <v>1243007</v>
      </c>
      <c r="AO24" s="175">
        <v>1439722</v>
      </c>
      <c r="AP24" s="175">
        <v>1437976</v>
      </c>
      <c r="AQ24" s="175">
        <v>1423243</v>
      </c>
      <c r="AR24" s="175">
        <v>1490554</v>
      </c>
      <c r="AS24" s="175">
        <v>1528724</v>
      </c>
      <c r="AT24" s="175">
        <v>1388395</v>
      </c>
      <c r="AU24" s="175">
        <v>1348920</v>
      </c>
      <c r="AV24" s="175">
        <v>1138545</v>
      </c>
    </row>
    <row r="25" spans="1:48">
      <c r="A25" s="173" t="s">
        <v>802</v>
      </c>
      <c r="B25" s="174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>
        <v>5175</v>
      </c>
      <c r="AE25" s="175">
        <v>2878</v>
      </c>
      <c r="AF25" s="175">
        <v>2879</v>
      </c>
      <c r="AG25" s="175">
        <v>652</v>
      </c>
      <c r="AH25" s="175">
        <v>7463</v>
      </c>
      <c r="AI25" s="175"/>
      <c r="AJ25" s="175"/>
      <c r="AK25" s="175"/>
      <c r="AL25" s="175">
        <v>6036</v>
      </c>
      <c r="AM25" s="175"/>
      <c r="AN25" s="175">
        <v>0</v>
      </c>
      <c r="AO25" s="175"/>
      <c r="AP25" s="175"/>
      <c r="AQ25" s="175"/>
      <c r="AR25" s="175"/>
      <c r="AS25" s="175"/>
      <c r="AT25" s="175"/>
      <c r="AU25" s="175"/>
      <c r="AV25" s="175"/>
    </row>
    <row r="26" spans="1:48">
      <c r="A26" s="173" t="s">
        <v>840</v>
      </c>
      <c r="B26" s="174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>
        <v>55265</v>
      </c>
      <c r="AV26" s="175"/>
    </row>
    <row r="27" spans="1:48" ht="15" thickBot="1">
      <c r="A27" s="176" t="s">
        <v>843</v>
      </c>
      <c r="B27" s="174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>
        <v>1132561</v>
      </c>
      <c r="AU27" s="175"/>
      <c r="AV27" s="175">
        <v>1260386</v>
      </c>
    </row>
    <row r="28" spans="1:48" ht="15" thickBot="1">
      <c r="A28" s="177" t="s">
        <v>706</v>
      </c>
      <c r="B28" s="170"/>
      <c r="C28" s="178">
        <f t="shared" ref="C28:AR28" si="1">C29+C45</f>
        <v>5963969</v>
      </c>
      <c r="D28" s="178">
        <f t="shared" si="1"/>
        <v>6022677.28113</v>
      </c>
      <c r="E28" s="178">
        <f t="shared" si="1"/>
        <v>6018277.4416199997</v>
      </c>
      <c r="F28" s="178">
        <f t="shared" si="1"/>
        <v>6022304.4732399993</v>
      </c>
      <c r="G28" s="178">
        <f t="shared" si="1"/>
        <v>6127789.3569799997</v>
      </c>
      <c r="H28" s="178">
        <f t="shared" si="1"/>
        <v>6220697.6342000011</v>
      </c>
      <c r="I28" s="178">
        <f t="shared" si="1"/>
        <v>6401520.2126000002</v>
      </c>
      <c r="J28" s="178">
        <f t="shared" si="1"/>
        <v>6882198</v>
      </c>
      <c r="K28" s="178">
        <f t="shared" si="1"/>
        <v>7219800</v>
      </c>
      <c r="L28" s="178">
        <f t="shared" si="1"/>
        <v>7304000</v>
      </c>
      <c r="M28" s="178">
        <f t="shared" si="1"/>
        <v>7321987</v>
      </c>
      <c r="N28" s="178">
        <f t="shared" si="1"/>
        <v>7429008</v>
      </c>
      <c r="O28" s="178">
        <f t="shared" si="1"/>
        <v>7566478</v>
      </c>
      <c r="P28" s="178">
        <f t="shared" si="1"/>
        <v>7814328.7713900004</v>
      </c>
      <c r="Q28" s="178">
        <f t="shared" si="1"/>
        <v>8036071</v>
      </c>
      <c r="R28" s="178">
        <f t="shared" si="1"/>
        <v>8291988</v>
      </c>
      <c r="S28" s="178">
        <f t="shared" si="1"/>
        <v>8514416.0312599987</v>
      </c>
      <c r="T28" s="178">
        <f t="shared" si="1"/>
        <v>8968971</v>
      </c>
      <c r="U28" s="178">
        <f t="shared" si="1"/>
        <v>9246086</v>
      </c>
      <c r="V28" s="178">
        <f t="shared" si="1"/>
        <v>9994251</v>
      </c>
      <c r="W28" s="178">
        <f t="shared" si="1"/>
        <v>10208792</v>
      </c>
      <c r="X28" s="178">
        <f t="shared" si="1"/>
        <v>10856283</v>
      </c>
      <c r="Y28" s="178">
        <f t="shared" si="1"/>
        <v>11014834</v>
      </c>
      <c r="Z28" s="178">
        <f t="shared" si="1"/>
        <v>16076432</v>
      </c>
      <c r="AA28" s="178">
        <f t="shared" si="1"/>
        <v>20995163</v>
      </c>
      <c r="AB28" s="178">
        <f t="shared" si="1"/>
        <v>22291303</v>
      </c>
      <c r="AC28" s="178">
        <f t="shared" si="1"/>
        <v>24126085</v>
      </c>
      <c r="AD28" s="178">
        <f t="shared" si="1"/>
        <v>26111068</v>
      </c>
      <c r="AE28" s="178">
        <f t="shared" si="1"/>
        <v>27813877</v>
      </c>
      <c r="AF28" s="178">
        <f t="shared" si="1"/>
        <v>27906647</v>
      </c>
      <c r="AG28" s="178">
        <f t="shared" si="1"/>
        <v>28598197</v>
      </c>
      <c r="AH28" s="178">
        <f t="shared" si="1"/>
        <v>29478720</v>
      </c>
      <c r="AI28" s="178">
        <f t="shared" si="1"/>
        <v>28137002</v>
      </c>
      <c r="AJ28" s="179">
        <f t="shared" si="1"/>
        <v>27756069</v>
      </c>
      <c r="AK28" s="179">
        <f t="shared" si="1"/>
        <v>35845589</v>
      </c>
      <c r="AL28" s="179">
        <f t="shared" si="1"/>
        <v>40024271</v>
      </c>
      <c r="AM28" s="179">
        <f t="shared" si="1"/>
        <v>51324993</v>
      </c>
      <c r="AN28" s="179">
        <f t="shared" si="1"/>
        <v>51822638</v>
      </c>
      <c r="AO28" s="179">
        <f t="shared" si="1"/>
        <v>52663502</v>
      </c>
      <c r="AP28" s="179">
        <f t="shared" si="1"/>
        <v>68928098</v>
      </c>
      <c r="AQ28" s="179">
        <f t="shared" si="1"/>
        <v>69892316</v>
      </c>
      <c r="AR28" s="179">
        <f t="shared" si="1"/>
        <v>72284535</v>
      </c>
      <c r="AS28" s="179">
        <f>AS29+AS45</f>
        <v>74915465</v>
      </c>
      <c r="AT28" s="179">
        <f>AT29+AT45</f>
        <v>75690537</v>
      </c>
      <c r="AU28" s="179">
        <f>AU29+AU45</f>
        <v>77061614</v>
      </c>
      <c r="AV28" s="179">
        <f>AV29+AV45</f>
        <v>77297661</v>
      </c>
    </row>
    <row r="29" spans="1:48" ht="15" thickBot="1">
      <c r="A29" s="177" t="s">
        <v>748</v>
      </c>
      <c r="B29" s="170"/>
      <c r="C29" s="178">
        <f t="shared" ref="C29:AR29" si="2">SUM(C30:C44)</f>
        <v>1873719</v>
      </c>
      <c r="D29" s="178">
        <f t="shared" si="2"/>
        <v>1969023.28113</v>
      </c>
      <c r="E29" s="178">
        <f t="shared" si="2"/>
        <v>1831423.91233</v>
      </c>
      <c r="F29" s="178">
        <f t="shared" si="2"/>
        <v>1833970.6775700001</v>
      </c>
      <c r="G29" s="178">
        <f t="shared" si="2"/>
        <v>1896358.56461</v>
      </c>
      <c r="H29" s="178">
        <f t="shared" si="2"/>
        <v>2047391.66481</v>
      </c>
      <c r="I29" s="178">
        <f t="shared" si="2"/>
        <v>2048292.65974</v>
      </c>
      <c r="J29" s="178">
        <f t="shared" si="2"/>
        <v>2583874</v>
      </c>
      <c r="K29" s="178">
        <f t="shared" si="2"/>
        <v>2889800</v>
      </c>
      <c r="L29" s="178">
        <f t="shared" si="2"/>
        <v>2988000</v>
      </c>
      <c r="M29" s="178">
        <f t="shared" si="2"/>
        <v>3033987</v>
      </c>
      <c r="N29" s="178">
        <f t="shared" si="2"/>
        <v>3212008</v>
      </c>
      <c r="O29" s="178">
        <f t="shared" si="2"/>
        <v>3167378</v>
      </c>
      <c r="P29" s="178">
        <f t="shared" si="2"/>
        <v>3170747</v>
      </c>
      <c r="Q29" s="178">
        <f t="shared" si="2"/>
        <v>3287094</v>
      </c>
      <c r="R29" s="178">
        <f t="shared" si="2"/>
        <v>3538270</v>
      </c>
      <c r="S29" s="178">
        <f t="shared" si="2"/>
        <v>3793339.2581200004</v>
      </c>
      <c r="T29" s="178">
        <f t="shared" si="2"/>
        <v>4043552</v>
      </c>
      <c r="U29" s="178">
        <f t="shared" si="2"/>
        <v>4182037</v>
      </c>
      <c r="V29" s="178">
        <f t="shared" si="2"/>
        <v>4630681</v>
      </c>
      <c r="W29" s="178">
        <f t="shared" si="2"/>
        <v>4822628</v>
      </c>
      <c r="X29" s="178">
        <f t="shared" si="2"/>
        <v>5376899</v>
      </c>
      <c r="Y29" s="178">
        <f t="shared" si="2"/>
        <v>5520995</v>
      </c>
      <c r="Z29" s="178">
        <f t="shared" si="2"/>
        <v>7603891</v>
      </c>
      <c r="AA29" s="178">
        <f t="shared" si="2"/>
        <v>9806511</v>
      </c>
      <c r="AB29" s="178">
        <f t="shared" si="2"/>
        <v>9908588</v>
      </c>
      <c r="AC29" s="178">
        <f t="shared" si="2"/>
        <v>9616239</v>
      </c>
      <c r="AD29" s="178">
        <f t="shared" si="2"/>
        <v>9389195</v>
      </c>
      <c r="AE29" s="178">
        <f t="shared" si="2"/>
        <v>10132404</v>
      </c>
      <c r="AF29" s="178">
        <f t="shared" si="2"/>
        <v>9563033</v>
      </c>
      <c r="AG29" s="178">
        <f t="shared" si="2"/>
        <v>9755087</v>
      </c>
      <c r="AH29" s="178">
        <f t="shared" si="2"/>
        <v>10026868</v>
      </c>
      <c r="AI29" s="178">
        <f t="shared" si="2"/>
        <v>9134104</v>
      </c>
      <c r="AJ29" s="178">
        <f t="shared" si="2"/>
        <v>8719042</v>
      </c>
      <c r="AK29" s="178">
        <f t="shared" si="2"/>
        <v>11301313</v>
      </c>
      <c r="AL29" s="178">
        <f t="shared" si="2"/>
        <v>12937159</v>
      </c>
      <c r="AM29" s="178">
        <f t="shared" si="2"/>
        <v>12912710</v>
      </c>
      <c r="AN29" s="178">
        <f t="shared" si="2"/>
        <v>13446651</v>
      </c>
      <c r="AO29" s="178">
        <f t="shared" si="2"/>
        <v>13387085</v>
      </c>
      <c r="AP29" s="178">
        <f t="shared" si="2"/>
        <v>19644177</v>
      </c>
      <c r="AQ29" s="178">
        <f t="shared" si="2"/>
        <v>20126473</v>
      </c>
      <c r="AR29" s="178">
        <f t="shared" si="2"/>
        <v>21266924</v>
      </c>
      <c r="AS29" s="178">
        <f>SUM(AS30:AS44)</f>
        <v>21833830</v>
      </c>
      <c r="AT29" s="178">
        <f>SUM(AT30:AT44)</f>
        <v>22163546</v>
      </c>
      <c r="AU29" s="178">
        <f>SUM(AU30:AU44)</f>
        <v>22895962</v>
      </c>
      <c r="AV29" s="178">
        <f>SUM(AV30:AV44)</f>
        <v>24225307</v>
      </c>
    </row>
    <row r="30" spans="1:48">
      <c r="A30" s="173" t="s">
        <v>692</v>
      </c>
      <c r="B30" s="17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75">
        <v>126756</v>
      </c>
      <c r="AE30" s="175">
        <v>133855</v>
      </c>
      <c r="AF30" s="175">
        <v>135504</v>
      </c>
      <c r="AG30" s="175">
        <v>117700</v>
      </c>
      <c r="AH30" s="175">
        <v>119576</v>
      </c>
      <c r="AI30" s="175">
        <v>120025</v>
      </c>
      <c r="AJ30" s="175">
        <v>113530</v>
      </c>
      <c r="AK30" s="175">
        <v>114721</v>
      </c>
      <c r="AL30" s="175">
        <v>116363</v>
      </c>
      <c r="AM30" s="175">
        <v>506910</v>
      </c>
      <c r="AN30" s="175">
        <v>565039</v>
      </c>
      <c r="AO30" s="175">
        <v>506013</v>
      </c>
      <c r="AP30" s="175">
        <v>538139</v>
      </c>
      <c r="AQ30" s="175">
        <v>566204</v>
      </c>
      <c r="AR30" s="175">
        <v>597122</v>
      </c>
      <c r="AS30" s="175">
        <v>641626</v>
      </c>
      <c r="AT30" s="175">
        <v>557220</v>
      </c>
      <c r="AU30" s="175">
        <v>564348</v>
      </c>
      <c r="AV30" s="175">
        <v>647200</v>
      </c>
    </row>
    <row r="31" spans="1:48">
      <c r="A31" s="173" t="s">
        <v>693</v>
      </c>
      <c r="B31" s="174"/>
      <c r="C31" s="175">
        <v>89501</v>
      </c>
      <c r="D31" s="175">
        <v>89750</v>
      </c>
      <c r="E31" s="175">
        <v>112147</v>
      </c>
      <c r="F31" s="175">
        <v>116124</v>
      </c>
      <c r="G31" s="175">
        <v>128652.99999999999</v>
      </c>
      <c r="H31" s="175">
        <v>132390.97686</v>
      </c>
      <c r="I31" s="175">
        <v>163991</v>
      </c>
      <c r="J31" s="175">
        <v>191871</v>
      </c>
      <c r="K31" s="175">
        <v>206000</v>
      </c>
      <c r="L31" s="175">
        <v>226000</v>
      </c>
      <c r="M31" s="175">
        <v>245000</v>
      </c>
      <c r="N31" s="175">
        <v>278000</v>
      </c>
      <c r="O31" s="175">
        <v>347000</v>
      </c>
      <c r="P31" s="175">
        <v>382157</v>
      </c>
      <c r="Q31" s="175">
        <v>346554</v>
      </c>
      <c r="R31" s="175">
        <v>372004</v>
      </c>
      <c r="S31" s="175">
        <v>397757.32198999985</v>
      </c>
      <c r="T31" s="175">
        <v>456408</v>
      </c>
      <c r="U31" s="175">
        <v>513246.99999999994</v>
      </c>
      <c r="V31" s="175">
        <v>613431</v>
      </c>
      <c r="W31" s="175">
        <v>619570</v>
      </c>
      <c r="X31" s="175">
        <v>718140</v>
      </c>
      <c r="Y31" s="175">
        <v>718538</v>
      </c>
      <c r="Z31" s="175">
        <v>968035</v>
      </c>
      <c r="AA31" s="175">
        <v>1219083</v>
      </c>
      <c r="AB31" s="175">
        <v>1226907</v>
      </c>
      <c r="AC31" s="175">
        <v>1252066</v>
      </c>
      <c r="AD31" s="175">
        <v>882598</v>
      </c>
      <c r="AE31" s="175">
        <v>1348774</v>
      </c>
      <c r="AF31" s="175">
        <v>898807</v>
      </c>
      <c r="AG31" s="175">
        <v>890285</v>
      </c>
      <c r="AH31" s="175">
        <v>967527</v>
      </c>
      <c r="AI31" s="175">
        <v>940195</v>
      </c>
      <c r="AJ31" s="175">
        <v>998406</v>
      </c>
      <c r="AK31" s="175">
        <v>1158690</v>
      </c>
      <c r="AL31" s="175">
        <v>1221295</v>
      </c>
      <c r="AM31" s="175">
        <v>1236509</v>
      </c>
      <c r="AN31" s="175">
        <v>1104278</v>
      </c>
      <c r="AO31" s="175">
        <v>1054648</v>
      </c>
      <c r="AP31" s="175">
        <v>1048922</v>
      </c>
      <c r="AQ31" s="175">
        <v>1177310</v>
      </c>
      <c r="AR31" s="175">
        <v>927204</v>
      </c>
      <c r="AS31" s="175">
        <v>921079</v>
      </c>
      <c r="AT31" s="175">
        <v>857872</v>
      </c>
      <c r="AU31" s="175">
        <v>824320</v>
      </c>
      <c r="AV31" s="175">
        <v>786686</v>
      </c>
    </row>
    <row r="32" spans="1:48">
      <c r="A32" s="173" t="s">
        <v>781</v>
      </c>
      <c r="B32" s="174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>
        <v>6591</v>
      </c>
      <c r="AE32" s="175">
        <v>6591</v>
      </c>
      <c r="AF32" s="175">
        <v>6591</v>
      </c>
      <c r="AG32" s="175">
        <v>6591</v>
      </c>
      <c r="AH32" s="175">
        <v>32774</v>
      </c>
      <c r="AI32" s="175">
        <v>25686</v>
      </c>
      <c r="AJ32" s="175">
        <v>25686</v>
      </c>
      <c r="AK32" s="175">
        <v>25649</v>
      </c>
      <c r="AL32" s="175">
        <v>19076</v>
      </c>
      <c r="AM32" s="175">
        <v>19076</v>
      </c>
      <c r="AN32" s="175">
        <v>19076</v>
      </c>
      <c r="AO32" s="175">
        <v>18889</v>
      </c>
      <c r="AP32" s="175">
        <v>54235</v>
      </c>
      <c r="AQ32" s="175">
        <v>53555</v>
      </c>
      <c r="AR32" s="175">
        <v>53555</v>
      </c>
      <c r="AS32" s="175">
        <v>53213</v>
      </c>
      <c r="AT32" s="175">
        <v>91654</v>
      </c>
      <c r="AU32" s="175">
        <v>91664</v>
      </c>
      <c r="AV32" s="175">
        <v>86041</v>
      </c>
    </row>
    <row r="33" spans="1:48">
      <c r="A33" s="173" t="s">
        <v>774</v>
      </c>
      <c r="B33" s="174"/>
      <c r="C33" s="175">
        <v>0</v>
      </c>
      <c r="D33" s="175">
        <v>0</v>
      </c>
      <c r="E33" s="175">
        <v>0</v>
      </c>
      <c r="F33" s="175">
        <v>0</v>
      </c>
      <c r="G33" s="175">
        <v>0</v>
      </c>
      <c r="H33" s="175">
        <v>0</v>
      </c>
      <c r="I33" s="175">
        <v>0</v>
      </c>
      <c r="J33" s="175">
        <v>380854</v>
      </c>
      <c r="K33" s="175">
        <v>227000</v>
      </c>
      <c r="L33" s="175">
        <v>184000</v>
      </c>
      <c r="M33" s="175">
        <v>69000</v>
      </c>
      <c r="N33" s="175">
        <v>0</v>
      </c>
      <c r="O33" s="175">
        <v>0</v>
      </c>
      <c r="P33" s="175">
        <v>0</v>
      </c>
      <c r="Q33" s="175">
        <v>0</v>
      </c>
      <c r="R33" s="175">
        <v>0</v>
      </c>
      <c r="S33" s="175">
        <v>0</v>
      </c>
      <c r="T33" s="175">
        <v>95660</v>
      </c>
      <c r="U33" s="175">
        <v>63090</v>
      </c>
      <c r="V33" s="175">
        <v>120021</v>
      </c>
      <c r="W33" s="175">
        <v>181770</v>
      </c>
      <c r="X33" s="175">
        <v>331854</v>
      </c>
      <c r="Y33" s="175">
        <v>91392</v>
      </c>
      <c r="Z33" s="175">
        <v>303393</v>
      </c>
      <c r="AA33" s="175">
        <v>1659431</v>
      </c>
      <c r="AB33" s="175">
        <v>1658935</v>
      </c>
      <c r="AC33" s="175">
        <v>1500820</v>
      </c>
      <c r="AD33" s="175">
        <v>865227</v>
      </c>
      <c r="AE33" s="175">
        <v>940056</v>
      </c>
      <c r="AF33" s="175">
        <v>835297</v>
      </c>
      <c r="AG33" s="175">
        <v>1016965</v>
      </c>
      <c r="AH33" s="175">
        <v>1185784</v>
      </c>
      <c r="AI33" s="175">
        <v>36113</v>
      </c>
      <c r="AJ33" s="175">
        <v>21636</v>
      </c>
      <c r="AK33" s="175">
        <v>151818</v>
      </c>
      <c r="AL33" s="175">
        <v>697926</v>
      </c>
      <c r="AM33" s="175">
        <v>327296</v>
      </c>
      <c r="AN33" s="175">
        <v>46360</v>
      </c>
      <c r="AO33" s="175">
        <v>81615</v>
      </c>
      <c r="AP33" s="175">
        <v>61921</v>
      </c>
      <c r="AQ33" s="175">
        <v>23276</v>
      </c>
      <c r="AR33" s="175">
        <v>4467</v>
      </c>
      <c r="AS33" s="175">
        <v>37837</v>
      </c>
      <c r="AT33" s="175">
        <v>16277</v>
      </c>
      <c r="AU33" s="175">
        <v>20735</v>
      </c>
      <c r="AV33" s="175">
        <v>67546</v>
      </c>
    </row>
    <row r="34" spans="1:48">
      <c r="A34" s="173" t="s">
        <v>698</v>
      </c>
      <c r="B34" s="174"/>
      <c r="C34" s="175">
        <v>0</v>
      </c>
      <c r="D34" s="175">
        <v>0</v>
      </c>
      <c r="E34" s="175">
        <v>0</v>
      </c>
      <c r="F34" s="175">
        <v>0</v>
      </c>
      <c r="G34" s="175">
        <v>0</v>
      </c>
      <c r="H34" s="175">
        <v>0</v>
      </c>
      <c r="I34" s="175">
        <v>0</v>
      </c>
      <c r="J34" s="175">
        <v>0</v>
      </c>
      <c r="K34" s="175">
        <v>0</v>
      </c>
      <c r="L34" s="175">
        <v>0</v>
      </c>
      <c r="M34" s="175">
        <v>0</v>
      </c>
      <c r="N34" s="175">
        <v>0</v>
      </c>
      <c r="O34" s="175">
        <v>0</v>
      </c>
      <c r="P34" s="175">
        <v>0</v>
      </c>
      <c r="Q34" s="175">
        <v>0</v>
      </c>
      <c r="R34" s="175">
        <v>93306</v>
      </c>
      <c r="S34" s="175">
        <v>93911.052370000005</v>
      </c>
      <c r="T34" s="175">
        <v>88495</v>
      </c>
      <c r="U34" s="175">
        <v>87718</v>
      </c>
      <c r="V34" s="175">
        <v>101311</v>
      </c>
      <c r="W34" s="175">
        <v>101514</v>
      </c>
      <c r="X34" s="175">
        <v>101565</v>
      </c>
      <c r="Y34" s="175">
        <v>101709</v>
      </c>
      <c r="Z34" s="175">
        <v>107838</v>
      </c>
      <c r="AA34" s="175">
        <v>108833</v>
      </c>
      <c r="AB34" s="175">
        <v>105352</v>
      </c>
      <c r="AC34" s="175">
        <v>105340</v>
      </c>
      <c r="AD34" s="175"/>
      <c r="AE34" s="175">
        <v>0</v>
      </c>
      <c r="AF34" s="175"/>
      <c r="AG34" s="175"/>
      <c r="AH34" s="175"/>
      <c r="AI34" s="175"/>
      <c r="AJ34" s="175"/>
      <c r="AK34" s="175"/>
      <c r="AL34" s="175"/>
      <c r="AM34" s="175"/>
      <c r="AN34" s="175" t="s">
        <v>371</v>
      </c>
      <c r="AO34" s="175"/>
      <c r="AP34" s="175"/>
      <c r="AQ34" s="175"/>
      <c r="AR34" s="175"/>
      <c r="AS34" s="175"/>
      <c r="AT34" s="175"/>
      <c r="AU34" s="175"/>
      <c r="AV34" s="175"/>
    </row>
    <row r="35" spans="1:48">
      <c r="A35" s="173" t="s">
        <v>749</v>
      </c>
      <c r="B35" s="174"/>
      <c r="C35" s="175">
        <v>212704</v>
      </c>
      <c r="D35" s="175">
        <f>216519.65842+5</f>
        <v>216524.65841999999</v>
      </c>
      <c r="E35" s="175">
        <f>231332-14</f>
        <v>231318</v>
      </c>
      <c r="F35" s="175">
        <v>185689</v>
      </c>
      <c r="G35" s="175">
        <f>186813+2</f>
        <v>186815</v>
      </c>
      <c r="H35" s="175">
        <v>188774</v>
      </c>
      <c r="I35" s="175">
        <v>178568</v>
      </c>
      <c r="J35" s="175">
        <v>113255</v>
      </c>
      <c r="K35" s="175">
        <v>83000</v>
      </c>
      <c r="L35" s="175">
        <v>69000</v>
      </c>
      <c r="M35" s="175">
        <v>37000</v>
      </c>
      <c r="N35" s="175">
        <f>66000+144-30</f>
        <v>66114</v>
      </c>
      <c r="O35" s="175">
        <f>59000+28</f>
        <v>59028</v>
      </c>
      <c r="P35" s="175">
        <v>86396</v>
      </c>
      <c r="Q35" s="175">
        <v>85961</v>
      </c>
      <c r="R35" s="175">
        <v>65284.000000000007</v>
      </c>
      <c r="S35" s="175">
        <f>53879.8794+217</f>
        <v>54096.879399999998</v>
      </c>
      <c r="T35" s="175">
        <v>40440</v>
      </c>
      <c r="U35" s="175">
        <v>23809</v>
      </c>
      <c r="V35" s="175">
        <f>8466-1</f>
        <v>8465</v>
      </c>
      <c r="W35" s="175">
        <v>29171</v>
      </c>
      <c r="X35" s="175">
        <v>8898</v>
      </c>
      <c r="Y35" s="175">
        <v>27720</v>
      </c>
      <c r="Z35" s="175">
        <v>9056</v>
      </c>
      <c r="AA35" s="175">
        <v>32134</v>
      </c>
      <c r="AB35" s="175">
        <v>18631</v>
      </c>
      <c r="AC35" s="175">
        <v>18378</v>
      </c>
      <c r="AD35" s="175">
        <v>85120</v>
      </c>
      <c r="AE35" s="175">
        <v>85120</v>
      </c>
      <c r="AF35" s="175">
        <v>85120</v>
      </c>
      <c r="AG35" s="175">
        <v>85120</v>
      </c>
      <c r="AH35" s="175">
        <v>85120</v>
      </c>
      <c r="AI35" s="175">
        <v>121825</v>
      </c>
      <c r="AJ35" s="175">
        <v>91688</v>
      </c>
      <c r="AK35" s="175">
        <v>67971</v>
      </c>
      <c r="AL35" s="175">
        <v>85120</v>
      </c>
      <c r="AM35" s="175">
        <v>74350</v>
      </c>
      <c r="AN35" s="175">
        <v>69351</v>
      </c>
      <c r="AO35" s="175">
        <v>85120</v>
      </c>
      <c r="AP35" s="175">
        <v>85120</v>
      </c>
      <c r="AQ35" s="175">
        <v>20444</v>
      </c>
      <c r="AR35" s="175">
        <v>20444</v>
      </c>
      <c r="AS35" s="175">
        <v>20444</v>
      </c>
      <c r="AT35" s="175">
        <v>20444</v>
      </c>
      <c r="AU35" s="175">
        <v>20444</v>
      </c>
      <c r="AV35" s="175">
        <v>402238</v>
      </c>
    </row>
    <row r="36" spans="1:48">
      <c r="A36" s="173" t="s">
        <v>699</v>
      </c>
      <c r="B36" s="174"/>
      <c r="C36" s="175">
        <v>191651</v>
      </c>
      <c r="D36" s="175">
        <v>214874</v>
      </c>
      <c r="E36" s="175">
        <v>169864</v>
      </c>
      <c r="F36" s="175">
        <f>139559+5</f>
        <v>139564</v>
      </c>
      <c r="G36" s="175">
        <v>105210</v>
      </c>
      <c r="H36" s="175">
        <f>110082.2695+3</f>
        <v>110085.26949999999</v>
      </c>
      <c r="I36" s="175">
        <f>113263+89</f>
        <v>113352</v>
      </c>
      <c r="J36" s="175">
        <f>136156+386</f>
        <v>136542</v>
      </c>
      <c r="K36" s="175">
        <f>141000-200</f>
        <v>140800</v>
      </c>
      <c r="L36" s="175">
        <v>147000</v>
      </c>
      <c r="M36" s="175">
        <v>145000</v>
      </c>
      <c r="N36" s="175">
        <v>151000</v>
      </c>
      <c r="O36" s="175">
        <v>156000</v>
      </c>
      <c r="P36" s="175">
        <v>157846</v>
      </c>
      <c r="Q36" s="175">
        <v>163200</v>
      </c>
      <c r="R36" s="175">
        <v>165018</v>
      </c>
      <c r="S36" s="175">
        <v>168894.00524</v>
      </c>
      <c r="T36" s="175">
        <v>172792</v>
      </c>
      <c r="U36" s="175">
        <v>189750</v>
      </c>
      <c r="V36" s="175">
        <v>141566</v>
      </c>
      <c r="W36" s="175">
        <v>159874</v>
      </c>
      <c r="X36" s="175">
        <v>159495</v>
      </c>
      <c r="Y36" s="175">
        <v>159957</v>
      </c>
      <c r="Z36" s="175">
        <v>148206</v>
      </c>
      <c r="AA36" s="175">
        <v>261409</v>
      </c>
      <c r="AB36" s="175">
        <v>287511</v>
      </c>
      <c r="AC36" s="175">
        <v>304926</v>
      </c>
      <c r="AD36" s="175">
        <v>299175</v>
      </c>
      <c r="AE36" s="175">
        <v>304371</v>
      </c>
      <c r="AF36" s="175">
        <v>271177</v>
      </c>
      <c r="AG36" s="175">
        <v>250929</v>
      </c>
      <c r="AH36" s="175">
        <v>250284</v>
      </c>
      <c r="AI36" s="175">
        <v>258131</v>
      </c>
      <c r="AJ36" s="175">
        <v>262341</v>
      </c>
      <c r="AK36" s="175">
        <v>413950</v>
      </c>
      <c r="AL36" s="175">
        <v>470060</v>
      </c>
      <c r="AM36" s="175">
        <v>477252</v>
      </c>
      <c r="AN36" s="175">
        <v>469463</v>
      </c>
      <c r="AO36" s="175">
        <v>492594</v>
      </c>
      <c r="AP36" s="175">
        <v>653611</v>
      </c>
      <c r="AQ36" s="175">
        <v>671862</v>
      </c>
      <c r="AR36" s="175">
        <v>701796</v>
      </c>
      <c r="AS36" s="175">
        <v>717937</v>
      </c>
      <c r="AT36" s="175">
        <v>716105</v>
      </c>
      <c r="AU36" s="175">
        <v>798797</v>
      </c>
      <c r="AV36" s="175">
        <v>823359</v>
      </c>
    </row>
    <row r="37" spans="1:48">
      <c r="A37" s="173" t="s">
        <v>701</v>
      </c>
      <c r="B37" s="174"/>
      <c r="C37" s="175">
        <v>0</v>
      </c>
      <c r="D37" s="175">
        <v>0</v>
      </c>
      <c r="E37" s="175">
        <v>0</v>
      </c>
      <c r="F37" s="175">
        <v>0</v>
      </c>
      <c r="G37" s="175">
        <v>0</v>
      </c>
      <c r="H37" s="175">
        <v>0</v>
      </c>
      <c r="I37" s="175">
        <v>0</v>
      </c>
      <c r="J37" s="175">
        <v>8860</v>
      </c>
      <c r="K37" s="175">
        <v>178000</v>
      </c>
      <c r="L37" s="175">
        <v>182000</v>
      </c>
      <c r="M37" s="175">
        <f>254000+142</f>
        <v>254142</v>
      </c>
      <c r="N37" s="175">
        <v>274000</v>
      </c>
      <c r="O37" s="175">
        <v>83000</v>
      </c>
      <c r="P37" s="175">
        <v>25727</v>
      </c>
      <c r="Q37" s="175">
        <v>18833</v>
      </c>
      <c r="R37" s="175">
        <v>0</v>
      </c>
      <c r="S37" s="175">
        <v>0</v>
      </c>
      <c r="T37" s="175">
        <v>48624</v>
      </c>
      <c r="U37" s="175">
        <v>21600</v>
      </c>
      <c r="V37" s="175">
        <v>48720</v>
      </c>
      <c r="W37" s="175">
        <v>42809</v>
      </c>
      <c r="X37" s="175">
        <v>125211</v>
      </c>
      <c r="Y37" s="175">
        <v>180355</v>
      </c>
      <c r="Z37" s="175">
        <v>142451</v>
      </c>
      <c r="AA37" s="175">
        <v>153959</v>
      </c>
      <c r="AB37" s="175">
        <v>0</v>
      </c>
      <c r="AC37" s="175">
        <v>59321</v>
      </c>
      <c r="AD37" s="175">
        <v>43001</v>
      </c>
      <c r="AE37" s="175">
        <v>415876</v>
      </c>
      <c r="AF37" s="175">
        <v>492346</v>
      </c>
      <c r="AG37" s="175">
        <v>551836</v>
      </c>
      <c r="AH37" s="175">
        <v>295161</v>
      </c>
      <c r="AI37" s="175">
        <v>368055</v>
      </c>
      <c r="AJ37" s="175">
        <v>100872</v>
      </c>
      <c r="AK37" s="175">
        <v>112214</v>
      </c>
      <c r="AL37" s="175">
        <v>540603</v>
      </c>
      <c r="AM37" s="175">
        <v>505784</v>
      </c>
      <c r="AN37" s="175">
        <v>494317</v>
      </c>
      <c r="AO37" s="175">
        <v>534124</v>
      </c>
      <c r="AP37" s="175">
        <v>589564</v>
      </c>
      <c r="AQ37" s="175">
        <v>294043</v>
      </c>
      <c r="AR37" s="175">
        <v>237531</v>
      </c>
      <c r="AS37" s="175">
        <v>189392</v>
      </c>
      <c r="AT37" s="175">
        <v>220986</v>
      </c>
      <c r="AU37" s="175">
        <v>123580</v>
      </c>
      <c r="AV37" s="175">
        <v>311592</v>
      </c>
    </row>
    <row r="38" spans="1:48">
      <c r="A38" s="173" t="s">
        <v>703</v>
      </c>
      <c r="B38" s="174"/>
      <c r="C38" s="175">
        <v>139995</v>
      </c>
      <c r="D38" s="175">
        <v>121572.43463</v>
      </c>
      <c r="E38" s="175">
        <v>120641</v>
      </c>
      <c r="F38" s="175">
        <v>92750</v>
      </c>
      <c r="G38" s="175">
        <v>95481</v>
      </c>
      <c r="H38" s="175">
        <v>115664</v>
      </c>
      <c r="I38" s="175">
        <v>129407.99999999999</v>
      </c>
      <c r="J38" s="175">
        <v>123297</v>
      </c>
      <c r="K38" s="175">
        <v>123000</v>
      </c>
      <c r="L38" s="175">
        <v>116000</v>
      </c>
      <c r="M38" s="175">
        <v>79269</v>
      </c>
      <c r="N38" s="175">
        <v>88233</v>
      </c>
      <c r="O38" s="175">
        <v>98700</v>
      </c>
      <c r="P38" s="175">
        <v>113004</v>
      </c>
      <c r="Q38" s="175">
        <v>120681</v>
      </c>
      <c r="R38" s="175">
        <v>130636</v>
      </c>
      <c r="S38" s="175">
        <v>133502.45671000003</v>
      </c>
      <c r="T38" s="175">
        <v>127229</v>
      </c>
      <c r="U38" s="175">
        <v>124226</v>
      </c>
      <c r="V38" s="175">
        <v>130747.00000000001</v>
      </c>
      <c r="W38" s="175">
        <v>128068.00000000001</v>
      </c>
      <c r="X38" s="175">
        <v>128467.99999999999</v>
      </c>
      <c r="Y38" s="175">
        <v>126312</v>
      </c>
      <c r="Z38" s="175">
        <v>1316325</v>
      </c>
      <c r="AA38" s="175">
        <v>1363651</v>
      </c>
      <c r="AB38" s="175">
        <v>1375554</v>
      </c>
      <c r="AC38" s="175">
        <v>1670888</v>
      </c>
      <c r="AD38" s="175">
        <v>1633437</v>
      </c>
      <c r="AE38" s="175">
        <v>1742356</v>
      </c>
      <c r="AF38" s="175">
        <v>1641102</v>
      </c>
      <c r="AG38" s="175">
        <v>1468122</v>
      </c>
      <c r="AH38" s="175">
        <v>984483</v>
      </c>
      <c r="AI38" s="175">
        <v>778230</v>
      </c>
      <c r="AJ38" s="175">
        <v>573547</v>
      </c>
      <c r="AK38" s="175">
        <v>952707</v>
      </c>
      <c r="AL38" s="175">
        <v>972804</v>
      </c>
      <c r="AM38" s="175">
        <v>646737</v>
      </c>
      <c r="AN38" s="175">
        <v>1021537</v>
      </c>
      <c r="AO38" s="175">
        <v>1209196</v>
      </c>
      <c r="AP38" s="175">
        <v>3491238</v>
      </c>
      <c r="AQ38" s="175">
        <v>3355293</v>
      </c>
      <c r="AR38" s="175">
        <v>3366680</v>
      </c>
      <c r="AS38" s="175">
        <v>3176136</v>
      </c>
      <c r="AT38" s="175">
        <v>2746025</v>
      </c>
      <c r="AU38" s="175">
        <v>2960037</v>
      </c>
      <c r="AV38" s="175">
        <v>3004561</v>
      </c>
    </row>
    <row r="39" spans="1:48">
      <c r="A39" s="173" t="s">
        <v>704</v>
      </c>
      <c r="B39" s="174"/>
      <c r="C39" s="175">
        <v>0</v>
      </c>
      <c r="D39" s="175">
        <v>19114</v>
      </c>
      <c r="E39" s="175">
        <v>34763</v>
      </c>
      <c r="F39" s="175">
        <v>31098.67757</v>
      </c>
      <c r="G39" s="175">
        <v>42179</v>
      </c>
      <c r="H39" s="175">
        <v>48457.67757</v>
      </c>
      <c r="I39" s="175">
        <v>23086.67757</v>
      </c>
      <c r="J39" s="175">
        <v>0</v>
      </c>
      <c r="K39" s="175">
        <v>0</v>
      </c>
      <c r="L39" s="175">
        <v>0</v>
      </c>
      <c r="M39" s="175">
        <v>38776</v>
      </c>
      <c r="N39" s="175">
        <v>39661</v>
      </c>
      <c r="O39" s="175">
        <v>39650</v>
      </c>
      <c r="P39" s="175">
        <v>40998</v>
      </c>
      <c r="Q39" s="175">
        <v>41940</v>
      </c>
      <c r="R39" s="175">
        <v>42833</v>
      </c>
      <c r="S39" s="175">
        <v>43664.228780000005</v>
      </c>
      <c r="T39" s="175">
        <v>44412</v>
      </c>
      <c r="U39" s="175">
        <v>45278</v>
      </c>
      <c r="V39" s="175">
        <v>45561</v>
      </c>
      <c r="W39" s="175">
        <v>45866</v>
      </c>
      <c r="X39" s="175">
        <v>46417</v>
      </c>
      <c r="Y39" s="175">
        <v>46830</v>
      </c>
      <c r="Z39" s="175">
        <v>53205</v>
      </c>
      <c r="AA39" s="175">
        <v>47798</v>
      </c>
      <c r="AB39" s="175">
        <v>0</v>
      </c>
      <c r="AC39" s="175">
        <v>47939</v>
      </c>
      <c r="AD39" s="175">
        <v>90340</v>
      </c>
      <c r="AE39" s="175">
        <v>82345</v>
      </c>
      <c r="AF39" s="175">
        <v>83222</v>
      </c>
      <c r="AG39" s="175">
        <v>82636</v>
      </c>
      <c r="AH39" s="175">
        <v>89012</v>
      </c>
      <c r="AI39" s="175">
        <v>83247</v>
      </c>
      <c r="AJ39" s="175">
        <v>83247</v>
      </c>
      <c r="AK39" s="175">
        <v>80850</v>
      </c>
      <c r="AL39" s="175">
        <v>117237</v>
      </c>
      <c r="AM39" s="175">
        <v>117237</v>
      </c>
      <c r="AN39" s="175">
        <v>115858</v>
      </c>
      <c r="AO39" s="175">
        <v>115858</v>
      </c>
      <c r="AP39" s="175">
        <v>115858</v>
      </c>
      <c r="AQ39" s="175">
        <v>115858</v>
      </c>
      <c r="AR39" s="175">
        <v>99265</v>
      </c>
      <c r="AS39" s="175">
        <v>99265</v>
      </c>
      <c r="AT39" s="175">
        <v>260806</v>
      </c>
      <c r="AU39" s="175">
        <v>257996</v>
      </c>
      <c r="AV39" s="175">
        <v>256198</v>
      </c>
    </row>
    <row r="40" spans="1:48">
      <c r="A40" s="173" t="s">
        <v>732</v>
      </c>
      <c r="B40" s="174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>
        <v>1080802</v>
      </c>
      <c r="AL40" s="175">
        <v>939618</v>
      </c>
      <c r="AM40" s="175">
        <v>948160</v>
      </c>
      <c r="AN40" s="175">
        <v>919855</v>
      </c>
      <c r="AO40" s="175">
        <v>901483</v>
      </c>
      <c r="AP40" s="175">
        <v>2277811</v>
      </c>
      <c r="AQ40" s="175">
        <v>2252976</v>
      </c>
      <c r="AR40" s="175">
        <v>2422896</v>
      </c>
      <c r="AS40" s="175">
        <v>2532449</v>
      </c>
      <c r="AT40" s="175">
        <v>2729099</v>
      </c>
      <c r="AU40" s="175">
        <v>2733002</v>
      </c>
      <c r="AV40" s="175">
        <v>2649143</v>
      </c>
    </row>
    <row r="41" spans="1:48">
      <c r="A41" s="173" t="s">
        <v>823</v>
      </c>
      <c r="B41" s="174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>
        <v>46207</v>
      </c>
    </row>
    <row r="42" spans="1:48">
      <c r="A42" s="173" t="s">
        <v>805</v>
      </c>
      <c r="B42" s="174"/>
      <c r="C42" s="175">
        <v>45596</v>
      </c>
      <c r="D42" s="175">
        <v>74676</v>
      </c>
      <c r="E42" s="175">
        <v>105630.91233000001</v>
      </c>
      <c r="F42" s="175">
        <v>73002</v>
      </c>
      <c r="G42" s="175">
        <v>71975.564610000001</v>
      </c>
      <c r="H42" s="175">
        <v>74043.819659999892</v>
      </c>
      <c r="I42" s="175">
        <v>84428</v>
      </c>
      <c r="J42" s="175">
        <v>63222</v>
      </c>
      <c r="K42" s="175">
        <v>74000</v>
      </c>
      <c r="L42" s="175">
        <v>71000</v>
      </c>
      <c r="M42" s="175">
        <v>86400</v>
      </c>
      <c r="N42" s="175">
        <v>86000</v>
      </c>
      <c r="O42" s="175">
        <v>80000</v>
      </c>
      <c r="P42" s="175">
        <v>75833</v>
      </c>
      <c r="Q42" s="175">
        <v>74196</v>
      </c>
      <c r="R42" s="175">
        <v>66965</v>
      </c>
      <c r="S42" s="175">
        <v>62618.27034000001</v>
      </c>
      <c r="T42" s="175">
        <v>73027</v>
      </c>
      <c r="U42" s="175">
        <v>83408</v>
      </c>
      <c r="V42" s="175">
        <v>196237</v>
      </c>
      <c r="W42" s="175">
        <v>82109</v>
      </c>
      <c r="X42" s="175">
        <v>96273</v>
      </c>
      <c r="Y42" s="175">
        <v>109523</v>
      </c>
      <c r="Z42" s="175">
        <f>367931+20886</f>
        <v>388817</v>
      </c>
      <c r="AA42" s="175">
        <v>149335.00000000003</v>
      </c>
      <c r="AB42" s="175">
        <v>201270</v>
      </c>
      <c r="AC42" s="175">
        <v>107818.00000000001</v>
      </c>
      <c r="AD42" s="175">
        <f>389340</f>
        <v>389340</v>
      </c>
      <c r="AE42" s="175">
        <v>52416</v>
      </c>
      <c r="AF42" s="175">
        <v>55987</v>
      </c>
      <c r="AG42" s="175">
        <v>44091</v>
      </c>
      <c r="AH42" s="175">
        <v>328019</v>
      </c>
      <c r="AI42" s="175">
        <v>302937</v>
      </c>
      <c r="AJ42" s="175">
        <v>285625</v>
      </c>
      <c r="AK42" s="175">
        <v>249982</v>
      </c>
      <c r="AL42" s="175">
        <v>213258</v>
      </c>
      <c r="AM42" s="175">
        <v>190107</v>
      </c>
      <c r="AN42" s="175">
        <v>205961</v>
      </c>
      <c r="AO42" s="175">
        <v>108675</v>
      </c>
      <c r="AP42" s="175">
        <v>660538</v>
      </c>
      <c r="AQ42" s="175">
        <v>626932</v>
      </c>
      <c r="AR42" s="175">
        <v>1084954</v>
      </c>
      <c r="AS42" s="175">
        <v>1120062</v>
      </c>
      <c r="AT42" s="175">
        <v>891230</v>
      </c>
      <c r="AU42" s="175">
        <v>906027</v>
      </c>
      <c r="AV42" s="175">
        <v>911582</v>
      </c>
    </row>
    <row r="43" spans="1:48">
      <c r="A43" s="173" t="s">
        <v>707</v>
      </c>
      <c r="B43" s="174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>
        <v>22065</v>
      </c>
      <c r="AE43" s="175">
        <v>22065</v>
      </c>
      <c r="AF43" s="175">
        <v>22065</v>
      </c>
      <c r="AG43" s="175">
        <v>22065</v>
      </c>
      <c r="AH43" s="175">
        <v>23206</v>
      </c>
      <c r="AI43" s="175">
        <v>23206</v>
      </c>
      <c r="AJ43" s="175">
        <v>23206</v>
      </c>
      <c r="AK43" s="175">
        <v>23206</v>
      </c>
      <c r="AL43" s="175">
        <v>29144</v>
      </c>
      <c r="AM43" s="175">
        <v>29144</v>
      </c>
      <c r="AN43" s="175">
        <v>29246</v>
      </c>
      <c r="AO43" s="175">
        <v>29246</v>
      </c>
      <c r="AP43" s="175">
        <v>32616</v>
      </c>
      <c r="AQ43" s="175">
        <v>33176</v>
      </c>
      <c r="AR43" s="175">
        <v>33735</v>
      </c>
      <c r="AS43" s="175">
        <v>35056</v>
      </c>
      <c r="AT43" s="175">
        <v>30756</v>
      </c>
      <c r="AU43" s="175">
        <v>31561</v>
      </c>
      <c r="AV43" s="175">
        <v>32366</v>
      </c>
    </row>
    <row r="44" spans="1:48" ht="15" thickBot="1">
      <c r="A44" s="173" t="s">
        <v>708</v>
      </c>
      <c r="B44" s="174"/>
      <c r="C44" s="175">
        <v>1194272</v>
      </c>
      <c r="D44" s="175">
        <v>1232512.18808</v>
      </c>
      <c r="E44" s="175">
        <v>1057060</v>
      </c>
      <c r="F44" s="175">
        <v>1195743</v>
      </c>
      <c r="G44" s="175">
        <v>1266045</v>
      </c>
      <c r="H44" s="175">
        <v>1377975.9212199999</v>
      </c>
      <c r="I44" s="175">
        <v>1355458.98217</v>
      </c>
      <c r="J44" s="175">
        <v>1565973</v>
      </c>
      <c r="K44" s="175">
        <v>1858000</v>
      </c>
      <c r="L44" s="175">
        <v>1993000</v>
      </c>
      <c r="M44" s="175">
        <v>2079400</v>
      </c>
      <c r="N44" s="175">
        <v>2229000</v>
      </c>
      <c r="O44" s="175">
        <v>2304000</v>
      </c>
      <c r="P44" s="175">
        <v>2288786</v>
      </c>
      <c r="Q44" s="175">
        <v>2435729</v>
      </c>
      <c r="R44" s="175">
        <v>2602224</v>
      </c>
      <c r="S44" s="175">
        <v>2838895.0432900004</v>
      </c>
      <c r="T44" s="175">
        <v>2896465</v>
      </c>
      <c r="U44" s="175">
        <v>3029911</v>
      </c>
      <c r="V44" s="175">
        <v>3224622</v>
      </c>
      <c r="W44" s="175">
        <v>3431877</v>
      </c>
      <c r="X44" s="175">
        <v>3660578</v>
      </c>
      <c r="Y44" s="175">
        <v>3958659</v>
      </c>
      <c r="Z44" s="175">
        <v>4166565</v>
      </c>
      <c r="AA44" s="175">
        <v>4810878</v>
      </c>
      <c r="AB44" s="175">
        <v>5034428</v>
      </c>
      <c r="AC44" s="175">
        <v>4548743</v>
      </c>
      <c r="AD44" s="175">
        <v>4945545</v>
      </c>
      <c r="AE44" s="175">
        <v>4998579</v>
      </c>
      <c r="AF44" s="175">
        <v>5035815</v>
      </c>
      <c r="AG44" s="175">
        <v>5218747</v>
      </c>
      <c r="AH44" s="175">
        <v>5665922</v>
      </c>
      <c r="AI44" s="175">
        <v>6076454</v>
      </c>
      <c r="AJ44" s="175">
        <v>6139258</v>
      </c>
      <c r="AK44" s="175">
        <v>6868753</v>
      </c>
      <c r="AL44" s="175">
        <v>7514655</v>
      </c>
      <c r="AM44" s="175">
        <v>7834148</v>
      </c>
      <c r="AN44" s="175">
        <v>8386310</v>
      </c>
      <c r="AO44" s="175">
        <v>8249624</v>
      </c>
      <c r="AP44" s="175">
        <v>10034604</v>
      </c>
      <c r="AQ44" s="175">
        <v>10935544</v>
      </c>
      <c r="AR44" s="175">
        <v>11717275</v>
      </c>
      <c r="AS44" s="175">
        <v>12289334</v>
      </c>
      <c r="AT44" s="175">
        <v>13025072</v>
      </c>
      <c r="AU44" s="175">
        <v>13563451</v>
      </c>
      <c r="AV44" s="175">
        <v>14200588</v>
      </c>
    </row>
    <row r="45" spans="1:48" ht="15" thickBot="1">
      <c r="A45" s="177" t="s">
        <v>752</v>
      </c>
      <c r="B45" s="170"/>
      <c r="C45" s="178">
        <f>SUM(C46:C49)</f>
        <v>4090250</v>
      </c>
      <c r="D45" s="178">
        <f t="shared" ref="D45:AC45" si="3">SUM(D46:D49)</f>
        <v>4053654</v>
      </c>
      <c r="E45" s="178">
        <f t="shared" si="3"/>
        <v>4186853.5292899995</v>
      </c>
      <c r="F45" s="178">
        <f t="shared" si="3"/>
        <v>4188333.7956699994</v>
      </c>
      <c r="G45" s="178">
        <f t="shared" si="3"/>
        <v>4231430.7923699999</v>
      </c>
      <c r="H45" s="178">
        <f t="shared" si="3"/>
        <v>4173305.9693900007</v>
      </c>
      <c r="I45" s="178">
        <f t="shared" si="3"/>
        <v>4353227.5528600002</v>
      </c>
      <c r="J45" s="178">
        <f t="shared" si="3"/>
        <v>4298324</v>
      </c>
      <c r="K45" s="178">
        <f t="shared" si="3"/>
        <v>4330000</v>
      </c>
      <c r="L45" s="178">
        <f t="shared" si="3"/>
        <v>4316000</v>
      </c>
      <c r="M45" s="178">
        <f t="shared" si="3"/>
        <v>4288000</v>
      </c>
      <c r="N45" s="178">
        <f t="shared" si="3"/>
        <v>4217000</v>
      </c>
      <c r="O45" s="178">
        <f t="shared" si="3"/>
        <v>4399100</v>
      </c>
      <c r="P45" s="178">
        <f t="shared" si="3"/>
        <v>4643581.7713900004</v>
      </c>
      <c r="Q45" s="178">
        <f t="shared" si="3"/>
        <v>4748977</v>
      </c>
      <c r="R45" s="178">
        <f t="shared" si="3"/>
        <v>4753718</v>
      </c>
      <c r="S45" s="178">
        <f t="shared" si="3"/>
        <v>4721076.7731399974</v>
      </c>
      <c r="T45" s="178">
        <f t="shared" si="3"/>
        <v>4925419</v>
      </c>
      <c r="U45" s="178">
        <f t="shared" si="3"/>
        <v>5064049</v>
      </c>
      <c r="V45" s="178">
        <f t="shared" si="3"/>
        <v>5363570</v>
      </c>
      <c r="W45" s="178">
        <f t="shared" si="3"/>
        <v>5386164</v>
      </c>
      <c r="X45" s="178">
        <f t="shared" si="3"/>
        <v>5479384</v>
      </c>
      <c r="Y45" s="178">
        <f t="shared" si="3"/>
        <v>5493839</v>
      </c>
      <c r="Z45" s="178">
        <f t="shared" si="3"/>
        <v>8472541</v>
      </c>
      <c r="AA45" s="178">
        <f t="shared" si="3"/>
        <v>11188652</v>
      </c>
      <c r="AB45" s="178">
        <f t="shared" si="3"/>
        <v>12382715</v>
      </c>
      <c r="AC45" s="178">
        <f t="shared" si="3"/>
        <v>14509846</v>
      </c>
      <c r="AD45" s="178">
        <f>SUM(AD46:AD49)</f>
        <v>16721873</v>
      </c>
      <c r="AE45" s="178">
        <f t="shared" ref="AE45:AR45" si="4">SUM(AE46:AE51)</f>
        <v>17681473</v>
      </c>
      <c r="AF45" s="178">
        <f t="shared" si="4"/>
        <v>18343614</v>
      </c>
      <c r="AG45" s="178">
        <f t="shared" si="4"/>
        <v>18843110</v>
      </c>
      <c r="AH45" s="178">
        <f t="shared" si="4"/>
        <v>19451852</v>
      </c>
      <c r="AI45" s="178">
        <f t="shared" si="4"/>
        <v>19002898</v>
      </c>
      <c r="AJ45" s="178">
        <f t="shared" si="4"/>
        <v>19037027</v>
      </c>
      <c r="AK45" s="178">
        <f t="shared" si="4"/>
        <v>24544276</v>
      </c>
      <c r="AL45" s="178">
        <f t="shared" si="4"/>
        <v>27087112</v>
      </c>
      <c r="AM45" s="178">
        <f t="shared" si="4"/>
        <v>38412283</v>
      </c>
      <c r="AN45" s="178">
        <f t="shared" si="4"/>
        <v>38375987</v>
      </c>
      <c r="AO45" s="178">
        <f t="shared" si="4"/>
        <v>39276417</v>
      </c>
      <c r="AP45" s="178">
        <f t="shared" si="4"/>
        <v>49283921</v>
      </c>
      <c r="AQ45" s="178">
        <f t="shared" si="4"/>
        <v>49765843</v>
      </c>
      <c r="AR45" s="178">
        <f t="shared" si="4"/>
        <v>51017611</v>
      </c>
      <c r="AS45" s="178">
        <f>SUM(AS46:AS51)</f>
        <v>53081635</v>
      </c>
      <c r="AT45" s="178">
        <f>SUM(AT46:AT51)</f>
        <v>53526991</v>
      </c>
      <c r="AU45" s="178">
        <f>SUM(AU46:AU51)</f>
        <v>54165652</v>
      </c>
      <c r="AV45" s="178">
        <f>SUM(AV46:AV51)</f>
        <v>53072354</v>
      </c>
    </row>
    <row r="46" spans="1:48">
      <c r="A46" s="173" t="s">
        <v>709</v>
      </c>
      <c r="B46" s="174"/>
      <c r="C46" s="175">
        <v>71130</v>
      </c>
      <c r="D46" s="175">
        <v>71238</v>
      </c>
      <c r="E46" s="175">
        <v>73433</v>
      </c>
      <c r="F46" s="175">
        <v>70893.795669999905</v>
      </c>
      <c r="G46" s="175">
        <v>74989.792369999908</v>
      </c>
      <c r="H46" s="175">
        <v>77085.969390000202</v>
      </c>
      <c r="I46" s="175">
        <v>78032.552859999894</v>
      </c>
      <c r="J46" s="175">
        <v>77464</v>
      </c>
      <c r="K46" s="175">
        <v>87000</v>
      </c>
      <c r="L46" s="175">
        <v>87000</v>
      </c>
      <c r="M46" s="175">
        <v>86000</v>
      </c>
      <c r="N46" s="175">
        <v>86000</v>
      </c>
      <c r="O46" s="175">
        <v>93100</v>
      </c>
      <c r="P46" s="175">
        <v>96558.753790000454</v>
      </c>
      <c r="Q46" s="175">
        <v>97303</v>
      </c>
      <c r="R46" s="175">
        <v>96322</v>
      </c>
      <c r="S46" s="175">
        <v>110674.32479999999</v>
      </c>
      <c r="T46" s="175">
        <v>103037</v>
      </c>
      <c r="U46" s="175">
        <v>101892</v>
      </c>
      <c r="V46" s="175">
        <v>422063</v>
      </c>
      <c r="W46" s="175">
        <v>437123</v>
      </c>
      <c r="X46" s="175">
        <v>448933</v>
      </c>
      <c r="Y46" s="175">
        <v>468939</v>
      </c>
      <c r="Z46" s="175">
        <f>118530+13528</f>
        <v>132058</v>
      </c>
      <c r="AA46" s="175">
        <v>125769</v>
      </c>
      <c r="AB46" s="175">
        <v>123389</v>
      </c>
      <c r="AC46" s="175">
        <v>124578</v>
      </c>
      <c r="AD46" s="175">
        <f>122217+14557</f>
        <v>136774</v>
      </c>
      <c r="AE46" s="175">
        <v>127931</v>
      </c>
      <c r="AF46" s="175">
        <v>133438</v>
      </c>
      <c r="AG46" s="175">
        <v>135107</v>
      </c>
      <c r="AH46" s="175">
        <v>130024</v>
      </c>
      <c r="AI46" s="175">
        <v>157893</v>
      </c>
      <c r="AJ46" s="175">
        <v>169108</v>
      </c>
      <c r="AK46" s="175">
        <v>184620</v>
      </c>
      <c r="AL46" s="175">
        <v>293258</v>
      </c>
      <c r="AM46" s="175">
        <v>153824</v>
      </c>
      <c r="AN46" s="175">
        <v>27490</v>
      </c>
      <c r="AO46" s="175">
        <v>27561</v>
      </c>
      <c r="AP46" s="175">
        <v>27047</v>
      </c>
      <c r="AQ46" s="175">
        <v>26534</v>
      </c>
      <c r="AR46" s="175">
        <v>24483</v>
      </c>
      <c r="AS46" s="175">
        <v>24640</v>
      </c>
      <c r="AT46" s="175">
        <v>24546</v>
      </c>
      <c r="AU46" s="175">
        <v>23646</v>
      </c>
      <c r="AV46" s="175">
        <v>22884</v>
      </c>
    </row>
    <row r="47" spans="1:48">
      <c r="A47" s="173" t="s">
        <v>710</v>
      </c>
      <c r="B47" s="174"/>
      <c r="C47" s="175">
        <v>0</v>
      </c>
      <c r="D47" s="175">
        <v>0</v>
      </c>
      <c r="E47" s="175">
        <v>0</v>
      </c>
      <c r="F47" s="175">
        <v>0</v>
      </c>
      <c r="G47" s="175">
        <v>0</v>
      </c>
      <c r="H47" s="175">
        <v>0</v>
      </c>
      <c r="I47" s="175">
        <v>0</v>
      </c>
      <c r="J47" s="175">
        <v>0</v>
      </c>
      <c r="K47" s="175">
        <v>0</v>
      </c>
      <c r="L47" s="175">
        <v>0</v>
      </c>
      <c r="M47" s="175">
        <v>0</v>
      </c>
      <c r="N47" s="175">
        <v>0</v>
      </c>
      <c r="O47" s="175">
        <v>0</v>
      </c>
      <c r="P47" s="175">
        <v>0</v>
      </c>
      <c r="Q47" s="175">
        <v>0</v>
      </c>
      <c r="R47" s="175">
        <v>0</v>
      </c>
      <c r="S47" s="175">
        <v>0</v>
      </c>
      <c r="T47" s="175">
        <v>0</v>
      </c>
      <c r="U47" s="175">
        <v>83809</v>
      </c>
      <c r="V47" s="175">
        <v>0</v>
      </c>
      <c r="W47" s="175">
        <v>63845</v>
      </c>
      <c r="X47" s="175">
        <v>86737</v>
      </c>
      <c r="Y47" s="175">
        <v>159486</v>
      </c>
      <c r="Z47" s="175">
        <v>2290132</v>
      </c>
      <c r="AA47" s="175">
        <v>469630</v>
      </c>
      <c r="AB47" s="175">
        <v>441334</v>
      </c>
      <c r="AC47" s="175">
        <v>415256</v>
      </c>
      <c r="AD47" s="175">
        <v>7544552</v>
      </c>
      <c r="AE47" s="175">
        <v>0</v>
      </c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</row>
    <row r="48" spans="1:48">
      <c r="A48" s="173" t="s">
        <v>770</v>
      </c>
      <c r="B48" s="174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>
        <v>14937</v>
      </c>
      <c r="AF48" s="175">
        <v>15187</v>
      </c>
      <c r="AG48" s="175">
        <v>17303</v>
      </c>
      <c r="AH48" s="175">
        <v>19258</v>
      </c>
      <c r="AI48" s="175">
        <v>21441</v>
      </c>
      <c r="AJ48" s="175">
        <v>23476</v>
      </c>
      <c r="AK48" s="175">
        <v>147103</v>
      </c>
      <c r="AL48" s="175">
        <v>106415</v>
      </c>
      <c r="AM48" s="175">
        <v>5160427</v>
      </c>
      <c r="AN48" s="175">
        <v>5054834</v>
      </c>
      <c r="AO48" s="175">
        <v>5011946</v>
      </c>
      <c r="AP48" s="175">
        <v>4984105</v>
      </c>
      <c r="AQ48" s="175">
        <v>4953194</v>
      </c>
      <c r="AR48" s="175">
        <v>5725632</v>
      </c>
      <c r="AS48" s="175">
        <v>6765166.0666699996</v>
      </c>
      <c r="AT48" s="175">
        <v>7349631.9573499998</v>
      </c>
      <c r="AU48" s="175">
        <v>7544369.3711799998</v>
      </c>
      <c r="AV48" s="175">
        <v>7621975</v>
      </c>
    </row>
    <row r="49" spans="1:49">
      <c r="A49" s="173" t="s">
        <v>711</v>
      </c>
      <c r="B49" s="174"/>
      <c r="C49" s="175">
        <v>4019120</v>
      </c>
      <c r="D49" s="175">
        <v>3982416</v>
      </c>
      <c r="E49" s="175">
        <v>4113420.5292899995</v>
      </c>
      <c r="F49" s="175">
        <v>4117439.9999999995</v>
      </c>
      <c r="G49" s="175">
        <v>4156441</v>
      </c>
      <c r="H49" s="175">
        <v>4096220.0000000005</v>
      </c>
      <c r="I49" s="175">
        <v>4275195</v>
      </c>
      <c r="J49" s="175">
        <v>4220860</v>
      </c>
      <c r="K49" s="175">
        <v>4243000</v>
      </c>
      <c r="L49" s="175">
        <v>4229000</v>
      </c>
      <c r="M49" s="175">
        <v>4202000</v>
      </c>
      <c r="N49" s="175">
        <v>4131000</v>
      </c>
      <c r="O49" s="175">
        <v>4306000</v>
      </c>
      <c r="P49" s="175">
        <v>4547023.0175999999</v>
      </c>
      <c r="Q49" s="175">
        <v>4651674</v>
      </c>
      <c r="R49" s="175">
        <v>4657396</v>
      </c>
      <c r="S49" s="175">
        <v>4610402.4483399978</v>
      </c>
      <c r="T49" s="175">
        <v>4822382</v>
      </c>
      <c r="U49" s="175">
        <v>4878348</v>
      </c>
      <c r="V49" s="175">
        <v>4941507</v>
      </c>
      <c r="W49" s="175">
        <v>4885196</v>
      </c>
      <c r="X49" s="175">
        <v>4943714</v>
      </c>
      <c r="Y49" s="175">
        <v>4865414</v>
      </c>
      <c r="Z49" s="175">
        <v>6050351</v>
      </c>
      <c r="AA49" s="175">
        <v>10593253</v>
      </c>
      <c r="AB49" s="175">
        <v>11817992</v>
      </c>
      <c r="AC49" s="175">
        <v>13970012</v>
      </c>
      <c r="AD49" s="175">
        <f>9007974+32573</f>
        <v>9040547</v>
      </c>
      <c r="AE49" s="175">
        <v>8910703</v>
      </c>
      <c r="AF49" s="175">
        <v>8915586</v>
      </c>
      <c r="AG49" s="175">
        <v>8889864</v>
      </c>
      <c r="AH49" s="175">
        <v>8908853</v>
      </c>
      <c r="AI49" s="175">
        <v>8822084</v>
      </c>
      <c r="AJ49" s="175">
        <v>8804685</v>
      </c>
      <c r="AK49" s="175">
        <v>13565792</v>
      </c>
      <c r="AL49" s="175">
        <v>15836076</v>
      </c>
      <c r="AM49" s="175">
        <v>21771016</v>
      </c>
      <c r="AN49" s="175">
        <v>21388140</v>
      </c>
      <c r="AO49" s="175">
        <v>21540854</v>
      </c>
      <c r="AP49" s="175">
        <v>29245320</v>
      </c>
      <c r="AQ49" s="175">
        <v>29371085</v>
      </c>
      <c r="AR49" s="175">
        <v>31092795</v>
      </c>
      <c r="AS49" s="175">
        <v>31200192.933329999</v>
      </c>
      <c r="AT49" s="175">
        <v>14183377</v>
      </c>
      <c r="AU49" s="175">
        <v>31277749.628819998</v>
      </c>
      <c r="AV49" s="175">
        <v>31436223</v>
      </c>
    </row>
    <row r="50" spans="1:49">
      <c r="A50" s="173" t="s">
        <v>782</v>
      </c>
      <c r="B50" s="174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>
        <v>8595623</v>
      </c>
      <c r="AF50" s="175">
        <v>9248893</v>
      </c>
      <c r="AG50" s="175">
        <v>9771870</v>
      </c>
      <c r="AH50" s="175">
        <v>10364313</v>
      </c>
      <c r="AI50" s="175">
        <v>9974493</v>
      </c>
      <c r="AJ50" s="175">
        <v>10016945</v>
      </c>
      <c r="AK50" s="175">
        <v>10591374</v>
      </c>
      <c r="AL50" s="175">
        <v>10798381</v>
      </c>
      <c r="AM50" s="175">
        <v>11197886</v>
      </c>
      <c r="AN50" s="175">
        <v>11782831</v>
      </c>
      <c r="AO50" s="175">
        <v>12579834</v>
      </c>
      <c r="AP50" s="175">
        <v>14872245</v>
      </c>
      <c r="AQ50" s="175">
        <v>15270039</v>
      </c>
      <c r="AR50" s="175">
        <v>14038039</v>
      </c>
      <c r="AS50" s="175">
        <v>14961501</v>
      </c>
      <c r="AT50" s="175">
        <v>31447954.042649999</v>
      </c>
      <c r="AU50" s="175">
        <v>14797628</v>
      </c>
      <c r="AV50" s="175">
        <v>13474839</v>
      </c>
    </row>
    <row r="51" spans="1:49" ht="15" thickBot="1">
      <c r="A51" s="173" t="s">
        <v>713</v>
      </c>
      <c r="B51" s="174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>
        <v>32279.000000000004</v>
      </c>
      <c r="AF51" s="175">
        <v>30510</v>
      </c>
      <c r="AG51" s="175">
        <v>28966</v>
      </c>
      <c r="AH51" s="175">
        <v>29404</v>
      </c>
      <c r="AI51" s="175">
        <v>26987</v>
      </c>
      <c r="AJ51" s="175">
        <v>22813</v>
      </c>
      <c r="AK51" s="175">
        <v>55387</v>
      </c>
      <c r="AL51" s="175">
        <v>52982</v>
      </c>
      <c r="AM51" s="175">
        <v>129130</v>
      </c>
      <c r="AN51" s="175">
        <v>122692</v>
      </c>
      <c r="AO51" s="175">
        <v>116222</v>
      </c>
      <c r="AP51" s="175">
        <v>155204</v>
      </c>
      <c r="AQ51" s="175">
        <v>144991</v>
      </c>
      <c r="AR51" s="175">
        <v>136662</v>
      </c>
      <c r="AS51" s="175">
        <v>130135</v>
      </c>
      <c r="AT51" s="175">
        <v>521482</v>
      </c>
      <c r="AU51" s="175">
        <v>522259</v>
      </c>
      <c r="AV51" s="175">
        <v>516433</v>
      </c>
    </row>
    <row r="52" spans="1:49" ht="15" thickBot="1">
      <c r="A52" s="177" t="s">
        <v>714</v>
      </c>
      <c r="B52" s="170"/>
      <c r="C52" s="178">
        <f t="shared" ref="C52:AD52" si="5">C28+C8</f>
        <v>9090362</v>
      </c>
      <c r="D52" s="178">
        <f t="shared" si="5"/>
        <v>9044972.92674</v>
      </c>
      <c r="E52" s="178">
        <f t="shared" si="5"/>
        <v>9103485.9419299997</v>
      </c>
      <c r="F52" s="178">
        <f t="shared" si="5"/>
        <v>9103498.06226</v>
      </c>
      <c r="G52" s="178">
        <f t="shared" si="5"/>
        <v>9291633.9648399986</v>
      </c>
      <c r="H52" s="178">
        <f t="shared" si="5"/>
        <v>9303223.479410002</v>
      </c>
      <c r="I52" s="178">
        <f t="shared" si="5"/>
        <v>9779306.952564504</v>
      </c>
      <c r="J52" s="178">
        <f t="shared" si="5"/>
        <v>11269867.45682</v>
      </c>
      <c r="K52" s="178">
        <f t="shared" si="5"/>
        <v>11302800</v>
      </c>
      <c r="L52" s="178">
        <f t="shared" si="5"/>
        <v>11626000</v>
      </c>
      <c r="M52" s="178">
        <f t="shared" si="5"/>
        <v>12287445</v>
      </c>
      <c r="N52" s="178">
        <f t="shared" si="5"/>
        <v>12585665</v>
      </c>
      <c r="O52" s="178">
        <f t="shared" si="5"/>
        <v>12473577</v>
      </c>
      <c r="P52" s="178">
        <f t="shared" si="5"/>
        <v>12671719.77139</v>
      </c>
      <c r="Q52" s="178">
        <f t="shared" si="5"/>
        <v>12855594</v>
      </c>
      <c r="R52" s="178">
        <f t="shared" si="5"/>
        <v>14219520</v>
      </c>
      <c r="S52" s="178">
        <f t="shared" si="5"/>
        <v>13902301.974329999</v>
      </c>
      <c r="T52" s="178">
        <f t="shared" si="5"/>
        <v>14341674</v>
      </c>
      <c r="U52" s="178">
        <f t="shared" si="5"/>
        <v>15072973</v>
      </c>
      <c r="V52" s="178">
        <f t="shared" si="5"/>
        <v>17488451</v>
      </c>
      <c r="W52" s="178">
        <f t="shared" si="5"/>
        <v>17386033</v>
      </c>
      <c r="X52" s="178">
        <f t="shared" si="5"/>
        <v>18348912</v>
      </c>
      <c r="Y52" s="178">
        <f t="shared" si="5"/>
        <v>19399055</v>
      </c>
      <c r="Z52" s="178">
        <f t="shared" si="5"/>
        <v>25505996</v>
      </c>
      <c r="AA52" s="178">
        <f t="shared" si="5"/>
        <v>30744475</v>
      </c>
      <c r="AB52" s="178">
        <f t="shared" si="5"/>
        <v>32721740</v>
      </c>
      <c r="AC52" s="178">
        <f t="shared" si="5"/>
        <v>33872014</v>
      </c>
      <c r="AD52" s="178">
        <f t="shared" si="5"/>
        <v>37530095</v>
      </c>
      <c r="AE52" s="178">
        <v>39457780</v>
      </c>
      <c r="AF52" s="178">
        <f t="shared" ref="AF52:AR52" si="6">AF28+AF8</f>
        <v>40503036</v>
      </c>
      <c r="AG52" s="178">
        <f t="shared" si="6"/>
        <v>42136010</v>
      </c>
      <c r="AH52" s="178">
        <f t="shared" si="6"/>
        <v>44124020</v>
      </c>
      <c r="AI52" s="178">
        <f t="shared" si="6"/>
        <v>42298314</v>
      </c>
      <c r="AJ52" s="178">
        <f t="shared" si="6"/>
        <v>43501276</v>
      </c>
      <c r="AK52" s="178">
        <f t="shared" si="6"/>
        <v>55563843</v>
      </c>
      <c r="AL52" s="178">
        <f t="shared" si="6"/>
        <v>61714300</v>
      </c>
      <c r="AM52" s="178">
        <f t="shared" si="6"/>
        <v>70620775</v>
      </c>
      <c r="AN52" s="178">
        <f t="shared" si="6"/>
        <v>71409299</v>
      </c>
      <c r="AO52" s="178">
        <f t="shared" si="6"/>
        <v>70907242</v>
      </c>
      <c r="AP52" s="178">
        <f t="shared" si="6"/>
        <v>90617397</v>
      </c>
      <c r="AQ52" s="178">
        <f t="shared" si="6"/>
        <v>92834649</v>
      </c>
      <c r="AR52" s="178">
        <f t="shared" si="6"/>
        <v>95701577</v>
      </c>
      <c r="AS52" s="178">
        <f>AS28+AS8</f>
        <v>98775410.00891</v>
      </c>
      <c r="AT52" s="178">
        <f>AT28+AT8</f>
        <v>103643453</v>
      </c>
      <c r="AU52" s="178">
        <f>AU28+AU8</f>
        <v>100456503</v>
      </c>
      <c r="AV52" s="178">
        <f>AV28+AV8</f>
        <v>105098408</v>
      </c>
      <c r="AW52" s="111"/>
    </row>
    <row r="53" spans="1:49">
      <c r="A53" s="173"/>
      <c r="B53" s="174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</row>
    <row r="54" spans="1:49" ht="15" thickBot="1">
      <c r="A54" s="5" t="s">
        <v>715</v>
      </c>
      <c r="B54" s="168"/>
      <c r="C54" s="528" t="str">
        <f t="shared" ref="C54:X54" si="7">C7</f>
        <v>1T13</v>
      </c>
      <c r="D54" s="528" t="str">
        <f t="shared" si="7"/>
        <v>2T13</v>
      </c>
      <c r="E54" s="528" t="str">
        <f t="shared" si="7"/>
        <v>3T13</v>
      </c>
      <c r="F54" s="528" t="str">
        <f t="shared" si="7"/>
        <v>4T13</v>
      </c>
      <c r="G54" s="528" t="str">
        <f t="shared" si="7"/>
        <v>1T14</v>
      </c>
      <c r="H54" s="528" t="str">
        <f t="shared" si="7"/>
        <v>2T14</v>
      </c>
      <c r="I54" s="528" t="str">
        <f t="shared" si="7"/>
        <v>3T14</v>
      </c>
      <c r="J54" s="528" t="str">
        <f t="shared" si="7"/>
        <v>4T14</v>
      </c>
      <c r="K54" s="528" t="str">
        <f t="shared" si="7"/>
        <v>1T15</v>
      </c>
      <c r="L54" s="528" t="str">
        <f t="shared" si="7"/>
        <v>2T15</v>
      </c>
      <c r="M54" s="528" t="str">
        <f t="shared" si="7"/>
        <v>3T15</v>
      </c>
      <c r="N54" s="528" t="str">
        <f t="shared" si="7"/>
        <v>4T15</v>
      </c>
      <c r="O54" s="528" t="str">
        <f t="shared" si="7"/>
        <v>1T16</v>
      </c>
      <c r="P54" s="528" t="str">
        <f t="shared" si="7"/>
        <v>2T16</v>
      </c>
      <c r="Q54" s="528" t="str">
        <f t="shared" si="7"/>
        <v>3T16</v>
      </c>
      <c r="R54" s="528" t="str">
        <f t="shared" si="7"/>
        <v>4T16</v>
      </c>
      <c r="S54" s="528" t="str">
        <f t="shared" si="7"/>
        <v>1T17</v>
      </c>
      <c r="T54" s="528" t="str">
        <f t="shared" si="7"/>
        <v>2T17</v>
      </c>
      <c r="U54" s="528" t="str">
        <f t="shared" si="7"/>
        <v>3T17</v>
      </c>
      <c r="V54" s="528" t="str">
        <f t="shared" si="7"/>
        <v>4T17</v>
      </c>
      <c r="W54" s="528" t="str">
        <f t="shared" si="7"/>
        <v>1T18</v>
      </c>
      <c r="X54" s="528" t="str">
        <f t="shared" si="7"/>
        <v>2T18</v>
      </c>
      <c r="Y54" s="528" t="s">
        <v>31</v>
      </c>
      <c r="Z54" s="528" t="str">
        <f>Z7</f>
        <v>4T18</v>
      </c>
      <c r="AA54" s="528" t="str">
        <f>AA7</f>
        <v>1T19</v>
      </c>
      <c r="AB54" s="528" t="s">
        <v>34</v>
      </c>
      <c r="AC54" s="528" t="s">
        <v>35</v>
      </c>
      <c r="AD54" s="528" t="s">
        <v>36</v>
      </c>
      <c r="AE54" s="528" t="s">
        <v>37</v>
      </c>
      <c r="AF54" s="528" t="s">
        <v>38</v>
      </c>
      <c r="AG54" s="528" t="s">
        <v>39</v>
      </c>
      <c r="AH54" s="528" t="s">
        <v>40</v>
      </c>
      <c r="AI54" s="528" t="s">
        <v>41</v>
      </c>
      <c r="AJ54" s="528" t="s">
        <v>42</v>
      </c>
      <c r="AK54" s="528" t="s">
        <v>43</v>
      </c>
      <c r="AL54" s="528" t="s">
        <v>44</v>
      </c>
      <c r="AM54" s="528" t="s">
        <v>45</v>
      </c>
      <c r="AN54" s="528" t="s">
        <v>46</v>
      </c>
      <c r="AO54" s="528" t="s">
        <v>47</v>
      </c>
      <c r="AP54" s="528" t="str">
        <f>AP7</f>
        <v>4T22</v>
      </c>
      <c r="AQ54" s="528" t="str">
        <f>AQ7</f>
        <v>1T23</v>
      </c>
      <c r="AR54" s="528" t="s">
        <v>50</v>
      </c>
      <c r="AS54" s="528" t="s">
        <v>51</v>
      </c>
      <c r="AT54" s="528" t="s">
        <v>52</v>
      </c>
      <c r="AU54" s="528" t="s">
        <v>53</v>
      </c>
      <c r="AV54" s="528" t="s">
        <v>881</v>
      </c>
    </row>
    <row r="55" spans="1:49" ht="15" thickBot="1">
      <c r="A55" s="169" t="s">
        <v>690</v>
      </c>
      <c r="B55" s="170"/>
      <c r="C55" s="171">
        <f t="shared" ref="C55:AD55" si="8">SUM(C56:C78)</f>
        <v>2244015</v>
      </c>
      <c r="D55" s="171">
        <f t="shared" si="8"/>
        <v>2025399.92273</v>
      </c>
      <c r="E55" s="171">
        <f t="shared" si="8"/>
        <v>1999309.0804099999</v>
      </c>
      <c r="F55" s="171">
        <f t="shared" si="8"/>
        <v>1688931.1133099999</v>
      </c>
      <c r="G55" s="171">
        <f t="shared" si="8"/>
        <v>2038148.4354499998</v>
      </c>
      <c r="H55" s="171">
        <f t="shared" si="8"/>
        <v>2618186.4297000002</v>
      </c>
      <c r="I55" s="171">
        <f t="shared" si="8"/>
        <v>3016928.8521199999</v>
      </c>
      <c r="J55" s="171">
        <f t="shared" si="8"/>
        <v>3152614</v>
      </c>
      <c r="K55" s="171">
        <f t="shared" si="8"/>
        <v>2432000</v>
      </c>
      <c r="L55" s="171">
        <f t="shared" si="8"/>
        <v>2519000</v>
      </c>
      <c r="M55" s="171">
        <f t="shared" si="8"/>
        <v>2928445</v>
      </c>
      <c r="N55" s="171">
        <f t="shared" si="8"/>
        <v>3131265</v>
      </c>
      <c r="O55" s="171">
        <f t="shared" si="8"/>
        <v>2918077</v>
      </c>
      <c r="P55" s="171">
        <f t="shared" si="8"/>
        <v>2856094</v>
      </c>
      <c r="Q55" s="171">
        <f t="shared" si="8"/>
        <v>2813819</v>
      </c>
      <c r="R55" s="171">
        <f t="shared" si="8"/>
        <v>3416305</v>
      </c>
      <c r="S55" s="171">
        <f t="shared" si="8"/>
        <v>2895516</v>
      </c>
      <c r="T55" s="171">
        <f t="shared" si="8"/>
        <v>3206544</v>
      </c>
      <c r="U55" s="171">
        <f t="shared" si="8"/>
        <v>3869041</v>
      </c>
      <c r="V55" s="171">
        <f t="shared" si="8"/>
        <v>4074346</v>
      </c>
      <c r="W55" s="171">
        <f t="shared" si="8"/>
        <v>3894613</v>
      </c>
      <c r="X55" s="171">
        <f t="shared" si="8"/>
        <v>3741117</v>
      </c>
      <c r="Y55" s="171">
        <f t="shared" si="8"/>
        <v>4852269</v>
      </c>
      <c r="Z55" s="171">
        <f t="shared" si="8"/>
        <v>6442384</v>
      </c>
      <c r="AA55" s="171">
        <f t="shared" si="8"/>
        <v>7276814</v>
      </c>
      <c r="AB55" s="171">
        <f t="shared" si="8"/>
        <v>6357435</v>
      </c>
      <c r="AC55" s="171">
        <f t="shared" si="8"/>
        <v>5780703</v>
      </c>
      <c r="AD55" s="171">
        <f t="shared" si="8"/>
        <v>6154422</v>
      </c>
      <c r="AE55" s="171">
        <v>7024753.0000000009</v>
      </c>
      <c r="AF55" s="171">
        <f t="shared" ref="AF55:AR55" si="9">SUM(AF56:AF78)</f>
        <v>7657205</v>
      </c>
      <c r="AG55" s="171">
        <f t="shared" si="9"/>
        <v>7669013</v>
      </c>
      <c r="AH55" s="171">
        <f t="shared" si="9"/>
        <v>8709938</v>
      </c>
      <c r="AI55" s="171">
        <f t="shared" si="9"/>
        <v>7093572</v>
      </c>
      <c r="AJ55" s="171">
        <f t="shared" si="9"/>
        <v>7977453</v>
      </c>
      <c r="AK55" s="171">
        <f t="shared" si="9"/>
        <v>12216041</v>
      </c>
      <c r="AL55" s="171">
        <f t="shared" si="9"/>
        <v>12989443</v>
      </c>
      <c r="AM55" s="171">
        <f t="shared" si="9"/>
        <v>11328579</v>
      </c>
      <c r="AN55" s="171">
        <f t="shared" si="9"/>
        <v>11333978</v>
      </c>
      <c r="AO55" s="171">
        <f t="shared" si="9"/>
        <v>11823452</v>
      </c>
      <c r="AP55" s="171">
        <f t="shared" si="9"/>
        <v>22099849</v>
      </c>
      <c r="AQ55" s="171">
        <f t="shared" si="9"/>
        <v>14695037</v>
      </c>
      <c r="AR55" s="171">
        <f t="shared" si="9"/>
        <v>16942206</v>
      </c>
      <c r="AS55" s="171">
        <f>SUM(AS56:AS78)</f>
        <v>20065547.00891</v>
      </c>
      <c r="AT55" s="171">
        <f>SUM(AT56:AT79)</f>
        <v>18821460</v>
      </c>
      <c r="AU55" s="171">
        <f>SUM(AU56:AU79)</f>
        <v>17188494</v>
      </c>
      <c r="AV55" s="171">
        <f>SUM(AV56:AV79)</f>
        <v>17995744</v>
      </c>
    </row>
    <row r="56" spans="1:49">
      <c r="A56" s="182" t="s">
        <v>716</v>
      </c>
      <c r="B56" s="183"/>
      <c r="C56" s="175">
        <v>844636</v>
      </c>
      <c r="D56" s="175">
        <v>677427</v>
      </c>
      <c r="E56" s="175">
        <v>613159.13676000002</v>
      </c>
      <c r="F56" s="175">
        <v>674713.65411999996</v>
      </c>
      <c r="G56" s="175">
        <v>927672.34642999992</v>
      </c>
      <c r="H56" s="175">
        <v>967287.74704000005</v>
      </c>
      <c r="I56" s="175">
        <v>1045203.8521199999</v>
      </c>
      <c r="J56" s="175">
        <v>1139843</v>
      </c>
      <c r="K56" s="175">
        <v>963000</v>
      </c>
      <c r="L56" s="175">
        <v>953000</v>
      </c>
      <c r="M56" s="175">
        <v>870000</v>
      </c>
      <c r="N56" s="175">
        <v>935000</v>
      </c>
      <c r="O56" s="175">
        <v>822000</v>
      </c>
      <c r="P56" s="175">
        <v>767744</v>
      </c>
      <c r="Q56" s="175">
        <v>825561</v>
      </c>
      <c r="R56" s="175">
        <v>943283</v>
      </c>
      <c r="S56" s="175">
        <v>728104</v>
      </c>
      <c r="T56" s="175">
        <v>860759</v>
      </c>
      <c r="U56" s="175">
        <v>1045631.0000000001</v>
      </c>
      <c r="V56" s="175">
        <v>1185038</v>
      </c>
      <c r="W56" s="175">
        <v>965602</v>
      </c>
      <c r="X56" s="175">
        <v>982392</v>
      </c>
      <c r="Y56" s="175">
        <v>1128892</v>
      </c>
      <c r="Z56" s="175">
        <v>1539306</v>
      </c>
      <c r="AA56" s="175">
        <v>1956154</v>
      </c>
      <c r="AB56" s="175">
        <v>1600040</v>
      </c>
      <c r="AC56" s="175">
        <v>1653102</v>
      </c>
      <c r="AD56" s="175">
        <v>1969016</v>
      </c>
      <c r="AE56" s="175">
        <v>1697189</v>
      </c>
      <c r="AF56" s="175">
        <v>1621729</v>
      </c>
      <c r="AG56" s="175">
        <v>1725508</v>
      </c>
      <c r="AH56" s="175">
        <v>2263294</v>
      </c>
      <c r="AI56" s="175">
        <v>1720981</v>
      </c>
      <c r="AJ56" s="175">
        <v>1723360</v>
      </c>
      <c r="AK56" s="175">
        <v>2921833</v>
      </c>
      <c r="AL56" s="175">
        <v>4107754</v>
      </c>
      <c r="AM56" s="175">
        <v>2465671</v>
      </c>
      <c r="AN56" s="175">
        <v>3025768</v>
      </c>
      <c r="AO56" s="175">
        <v>2944558</v>
      </c>
      <c r="AP56" s="175">
        <v>4397501</v>
      </c>
      <c r="AQ56" s="175">
        <v>3809181</v>
      </c>
      <c r="AR56" s="175">
        <v>4189984</v>
      </c>
      <c r="AS56" s="175">
        <v>4239380</v>
      </c>
      <c r="AT56" s="175">
        <v>4809010</v>
      </c>
      <c r="AU56" s="175">
        <v>4162947</v>
      </c>
      <c r="AV56" s="175">
        <v>4354636</v>
      </c>
    </row>
    <row r="57" spans="1:49">
      <c r="A57" s="182" t="s">
        <v>882</v>
      </c>
      <c r="B57" s="183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>
        <v>331953</v>
      </c>
      <c r="AQ57" s="175">
        <v>370139</v>
      </c>
      <c r="AR57" s="175">
        <v>346784</v>
      </c>
      <c r="AS57" s="175">
        <v>284863</v>
      </c>
      <c r="AT57" s="175">
        <v>369172</v>
      </c>
      <c r="AU57" s="175">
        <v>308402</v>
      </c>
      <c r="AV57" s="175">
        <v>360631</v>
      </c>
    </row>
    <row r="58" spans="1:49">
      <c r="A58" s="182" t="s">
        <v>717</v>
      </c>
      <c r="B58" s="183"/>
      <c r="C58" s="175">
        <v>32709.000000000004</v>
      </c>
      <c r="D58" s="175">
        <v>26956.784970000001</v>
      </c>
      <c r="E58" s="175">
        <v>30568.437759999997</v>
      </c>
      <c r="F58" s="175">
        <v>43278</v>
      </c>
      <c r="G58" s="175">
        <v>33115.284659999998</v>
      </c>
      <c r="H58" s="175">
        <v>40107.861550000001</v>
      </c>
      <c r="I58" s="175">
        <v>48476</v>
      </c>
      <c r="J58" s="175">
        <v>29773</v>
      </c>
      <c r="K58" s="175">
        <v>47000</v>
      </c>
      <c r="L58" s="175">
        <v>44000</v>
      </c>
      <c r="M58" s="175">
        <v>55000</v>
      </c>
      <c r="N58" s="175">
        <v>34000</v>
      </c>
      <c r="O58" s="175">
        <v>45000</v>
      </c>
      <c r="P58" s="175">
        <v>37118</v>
      </c>
      <c r="Q58" s="175">
        <v>39710</v>
      </c>
      <c r="R58" s="175">
        <v>33330</v>
      </c>
      <c r="S58" s="175">
        <v>36840</v>
      </c>
      <c r="T58" s="175">
        <v>43681</v>
      </c>
      <c r="U58" s="175">
        <v>48581</v>
      </c>
      <c r="V58" s="175">
        <v>40071</v>
      </c>
      <c r="W58" s="175">
        <v>45943</v>
      </c>
      <c r="X58" s="175">
        <v>45710</v>
      </c>
      <c r="Y58" s="175">
        <v>54663</v>
      </c>
      <c r="Z58" s="175">
        <v>88063</v>
      </c>
      <c r="AA58" s="175">
        <v>111639</v>
      </c>
      <c r="AB58" s="175">
        <v>103615</v>
      </c>
      <c r="AC58" s="175">
        <v>112266</v>
      </c>
      <c r="AD58" s="175">
        <v>60940</v>
      </c>
      <c r="AE58" s="175">
        <v>63880</v>
      </c>
      <c r="AF58" s="175">
        <v>80441</v>
      </c>
      <c r="AG58" s="175">
        <v>86178</v>
      </c>
      <c r="AH58" s="175">
        <v>63962</v>
      </c>
      <c r="AI58" s="175">
        <v>60349</v>
      </c>
      <c r="AJ58" s="175">
        <v>65581</v>
      </c>
      <c r="AK58" s="175">
        <v>315975</v>
      </c>
      <c r="AL58" s="175">
        <v>192689</v>
      </c>
      <c r="AM58" s="175">
        <v>193292</v>
      </c>
      <c r="AN58" s="175">
        <v>203729</v>
      </c>
      <c r="AO58" s="175">
        <v>207841</v>
      </c>
      <c r="AP58" s="184">
        <v>236985</v>
      </c>
      <c r="AQ58" s="175">
        <v>239472</v>
      </c>
      <c r="AR58" s="175">
        <v>235045</v>
      </c>
      <c r="AS58" s="175">
        <v>237133</v>
      </c>
      <c r="AT58" s="175">
        <v>205953</v>
      </c>
      <c r="AU58" s="175">
        <v>223439</v>
      </c>
      <c r="AV58" s="175">
        <v>196565</v>
      </c>
    </row>
    <row r="59" spans="1:49">
      <c r="A59" s="173" t="s">
        <v>707</v>
      </c>
      <c r="B59" s="183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>
        <f>82790</f>
        <v>82790</v>
      </c>
      <c r="AL59" s="175">
        <v>80064</v>
      </c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</row>
    <row r="60" spans="1:49">
      <c r="A60" s="173" t="s">
        <v>755</v>
      </c>
      <c r="B60" s="174"/>
      <c r="C60" s="175">
        <v>610477</v>
      </c>
      <c r="D60" s="175">
        <v>562242</v>
      </c>
      <c r="E60" s="175">
        <v>549619</v>
      </c>
      <c r="F60" s="175">
        <v>169234</v>
      </c>
      <c r="G60" s="175">
        <v>275233</v>
      </c>
      <c r="H60" s="175">
        <v>840945.96925999993</v>
      </c>
      <c r="I60" s="175">
        <v>1122255</v>
      </c>
      <c r="J60" s="175">
        <v>959855</v>
      </c>
      <c r="K60" s="175">
        <v>398000</v>
      </c>
      <c r="L60" s="175">
        <v>452000</v>
      </c>
      <c r="M60" s="175">
        <v>785000</v>
      </c>
      <c r="N60" s="175">
        <v>805000</v>
      </c>
      <c r="O60" s="175">
        <v>703000</v>
      </c>
      <c r="P60" s="175">
        <v>685660</v>
      </c>
      <c r="Q60" s="175">
        <v>539895</v>
      </c>
      <c r="R60" s="175">
        <v>868211</v>
      </c>
      <c r="S60" s="175">
        <v>723443</v>
      </c>
      <c r="T60" s="175">
        <v>876350</v>
      </c>
      <c r="U60" s="175">
        <v>913024</v>
      </c>
      <c r="V60" s="175">
        <v>984578</v>
      </c>
      <c r="W60" s="175">
        <v>1054186</v>
      </c>
      <c r="X60" s="175">
        <v>744338</v>
      </c>
      <c r="Y60" s="175">
        <v>1589460</v>
      </c>
      <c r="Z60" s="175">
        <v>2298405</v>
      </c>
      <c r="AA60" s="175">
        <v>2356338</v>
      </c>
      <c r="AB60" s="175">
        <v>1898670</v>
      </c>
      <c r="AC60" s="175">
        <v>1469923</v>
      </c>
      <c r="AD60" s="175">
        <v>1742280</v>
      </c>
      <c r="AE60" s="175">
        <v>2455771</v>
      </c>
      <c r="AF60" s="175">
        <v>2675864</v>
      </c>
      <c r="AG60" s="175">
        <v>2030816</v>
      </c>
      <c r="AH60" s="175">
        <v>2229290</v>
      </c>
      <c r="AI60" s="175">
        <v>1743490</v>
      </c>
      <c r="AJ60" s="175">
        <v>2171746</v>
      </c>
      <c r="AK60" s="175">
        <v>2923087</v>
      </c>
      <c r="AL60" s="175">
        <v>2626566</v>
      </c>
      <c r="AM60" s="175">
        <v>2178388</v>
      </c>
      <c r="AN60" s="175">
        <v>1952551</v>
      </c>
      <c r="AO60" s="175">
        <v>1765820</v>
      </c>
      <c r="AP60" s="175">
        <v>9402827</v>
      </c>
      <c r="AQ60" s="175">
        <v>2726972</v>
      </c>
      <c r="AR60" s="175">
        <v>2603064</v>
      </c>
      <c r="AS60" s="175">
        <v>4664016</v>
      </c>
      <c r="AT60" s="175">
        <v>3774590</v>
      </c>
      <c r="AU60" s="175">
        <v>4215720</v>
      </c>
      <c r="AV60" s="175">
        <v>4453464</v>
      </c>
    </row>
    <row r="61" spans="1:49">
      <c r="A61" s="173" t="s">
        <v>719</v>
      </c>
      <c r="B61" s="174"/>
      <c r="C61" s="175">
        <v>10154</v>
      </c>
      <c r="D61" s="175">
        <v>102</v>
      </c>
      <c r="E61" s="175">
        <v>5432</v>
      </c>
      <c r="F61" s="175">
        <v>5974</v>
      </c>
      <c r="G61" s="175">
        <v>11680</v>
      </c>
      <c r="H61" s="175">
        <v>163</v>
      </c>
      <c r="I61" s="175">
        <v>6314</v>
      </c>
      <c r="J61" s="175">
        <v>10861</v>
      </c>
      <c r="K61" s="175">
        <v>24000</v>
      </c>
      <c r="L61" s="175">
        <v>40000</v>
      </c>
      <c r="M61" s="175">
        <v>55000</v>
      </c>
      <c r="N61" s="175">
        <v>47000</v>
      </c>
      <c r="O61" s="175">
        <v>62000</v>
      </c>
      <c r="P61" s="175">
        <v>40332</v>
      </c>
      <c r="Q61" s="175">
        <v>55979</v>
      </c>
      <c r="R61" s="175">
        <v>118740</v>
      </c>
      <c r="S61" s="175">
        <v>161707</v>
      </c>
      <c r="T61" s="175">
        <v>211208</v>
      </c>
      <c r="U61" s="175">
        <v>247229</v>
      </c>
      <c r="V61" s="175">
        <v>213812</v>
      </c>
      <c r="W61" s="175">
        <v>243589</v>
      </c>
      <c r="X61" s="175">
        <v>255031</v>
      </c>
      <c r="Y61" s="175">
        <v>301314</v>
      </c>
      <c r="Z61" s="175">
        <v>505464</v>
      </c>
      <c r="AA61" s="175">
        <v>565878</v>
      </c>
      <c r="AB61" s="175">
        <v>550859</v>
      </c>
      <c r="AC61" s="175">
        <v>565308</v>
      </c>
      <c r="AD61" s="175">
        <v>144283</v>
      </c>
      <c r="AE61" s="175">
        <v>170730</v>
      </c>
      <c r="AF61" s="175">
        <v>87773</v>
      </c>
      <c r="AG61" s="175">
        <v>126070</v>
      </c>
      <c r="AH61" s="175">
        <v>883076</v>
      </c>
      <c r="AI61" s="175">
        <v>940297</v>
      </c>
      <c r="AJ61" s="175">
        <v>1254429</v>
      </c>
      <c r="AK61" s="175">
        <v>1810996</v>
      </c>
      <c r="AL61" s="175">
        <v>961010</v>
      </c>
      <c r="AM61" s="175">
        <v>1198354</v>
      </c>
      <c r="AN61" s="175">
        <v>1700092</v>
      </c>
      <c r="AO61" s="175">
        <v>1104205</v>
      </c>
      <c r="AP61" s="175">
        <v>1406261</v>
      </c>
      <c r="AQ61" s="175">
        <v>1634070</v>
      </c>
      <c r="AR61" s="175">
        <v>3045234</v>
      </c>
      <c r="AS61" s="175">
        <v>3252339</v>
      </c>
      <c r="AT61" s="175">
        <v>1487352</v>
      </c>
      <c r="AU61" s="175">
        <v>1435919</v>
      </c>
      <c r="AV61" s="175">
        <v>1195270</v>
      </c>
    </row>
    <row r="62" spans="1:49">
      <c r="A62" s="173" t="s">
        <v>883</v>
      </c>
      <c r="B62" s="174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>
        <v>10077</v>
      </c>
      <c r="AE62" s="175">
        <v>43372</v>
      </c>
      <c r="AF62" s="175">
        <v>64361</v>
      </c>
      <c r="AG62" s="175">
        <v>708158</v>
      </c>
      <c r="AH62" s="175">
        <v>753702</v>
      </c>
      <c r="AI62" s="175">
        <v>242653</v>
      </c>
      <c r="AJ62" s="175">
        <v>213555</v>
      </c>
      <c r="AK62" s="175">
        <v>50</v>
      </c>
      <c r="AL62" s="175">
        <v>0</v>
      </c>
      <c r="AM62" s="175">
        <v>37196</v>
      </c>
      <c r="AN62" s="175"/>
      <c r="AO62" s="175">
        <v>288597</v>
      </c>
      <c r="AP62" s="175">
        <v>195764</v>
      </c>
      <c r="AQ62" s="175">
        <v>225782</v>
      </c>
      <c r="AR62" s="175">
        <v>819435</v>
      </c>
      <c r="AS62" s="175">
        <v>1004702</v>
      </c>
      <c r="AT62" s="175">
        <v>479822</v>
      </c>
      <c r="AU62" s="175">
        <v>915161</v>
      </c>
      <c r="AV62" s="175">
        <v>1446918</v>
      </c>
    </row>
    <row r="63" spans="1:49">
      <c r="A63" s="173" t="s">
        <v>721</v>
      </c>
      <c r="B63" s="174"/>
      <c r="C63" s="175">
        <v>223989</v>
      </c>
      <c r="D63" s="175">
        <v>226646</v>
      </c>
      <c r="E63" s="175">
        <v>245215</v>
      </c>
      <c r="F63" s="175">
        <v>254314.45918999999</v>
      </c>
      <c r="G63" s="175">
        <v>294689</v>
      </c>
      <c r="H63" s="175">
        <v>251250</v>
      </c>
      <c r="I63" s="175">
        <v>273205</v>
      </c>
      <c r="J63" s="175">
        <v>282900</v>
      </c>
      <c r="K63" s="175">
        <v>215000</v>
      </c>
      <c r="L63" s="175">
        <v>243000</v>
      </c>
      <c r="M63" s="175">
        <v>273636</v>
      </c>
      <c r="N63" s="175">
        <v>312421</v>
      </c>
      <c r="O63" s="175">
        <v>276881</v>
      </c>
      <c r="P63" s="175">
        <v>298206</v>
      </c>
      <c r="Q63" s="175">
        <v>290981</v>
      </c>
      <c r="R63" s="175">
        <v>357041</v>
      </c>
      <c r="S63" s="175">
        <v>342129</v>
      </c>
      <c r="T63" s="175">
        <v>381218</v>
      </c>
      <c r="U63" s="175">
        <v>428388</v>
      </c>
      <c r="V63" s="175">
        <v>476712</v>
      </c>
      <c r="W63" s="175">
        <v>444850</v>
      </c>
      <c r="X63" s="175">
        <v>489446</v>
      </c>
      <c r="Y63" s="175">
        <v>510574</v>
      </c>
      <c r="Z63" s="175">
        <v>601139</v>
      </c>
      <c r="AA63" s="175">
        <v>664996</v>
      </c>
      <c r="AB63" s="175">
        <v>654061</v>
      </c>
      <c r="AC63" s="175">
        <v>638688</v>
      </c>
      <c r="AD63" s="175">
        <v>564352</v>
      </c>
      <c r="AE63" s="175">
        <v>463760</v>
      </c>
      <c r="AF63" s="175">
        <v>551186</v>
      </c>
      <c r="AG63" s="175">
        <v>560219</v>
      </c>
      <c r="AH63" s="175">
        <v>596074</v>
      </c>
      <c r="AI63" s="175">
        <v>439064</v>
      </c>
      <c r="AJ63" s="175">
        <v>431088</v>
      </c>
      <c r="AK63" s="175">
        <v>849296</v>
      </c>
      <c r="AL63" s="175">
        <v>1161032</v>
      </c>
      <c r="AM63" s="175">
        <v>1173684</v>
      </c>
      <c r="AN63" s="175">
        <v>1131594</v>
      </c>
      <c r="AO63" s="175">
        <v>1074083</v>
      </c>
      <c r="AP63" s="175">
        <v>1229154</v>
      </c>
      <c r="AQ63" s="175">
        <v>1268795</v>
      </c>
      <c r="AR63" s="175">
        <v>1231314</v>
      </c>
      <c r="AS63" s="175">
        <v>1184208</v>
      </c>
      <c r="AT63" s="175">
        <v>1093205</v>
      </c>
      <c r="AU63" s="175">
        <v>1056304</v>
      </c>
      <c r="AV63" s="175">
        <v>1202011</v>
      </c>
    </row>
    <row r="64" spans="1:49">
      <c r="A64" s="173" t="s">
        <v>722</v>
      </c>
      <c r="B64" s="174"/>
      <c r="C64" s="175">
        <v>0</v>
      </c>
      <c r="D64" s="175">
        <v>0</v>
      </c>
      <c r="E64" s="175">
        <v>0</v>
      </c>
      <c r="F64" s="175">
        <v>0</v>
      </c>
      <c r="G64" s="175">
        <v>0</v>
      </c>
      <c r="H64" s="175">
        <v>0</v>
      </c>
      <c r="I64" s="175">
        <v>0</v>
      </c>
      <c r="J64" s="175">
        <v>0</v>
      </c>
      <c r="K64" s="175">
        <v>0</v>
      </c>
      <c r="L64" s="175">
        <v>0</v>
      </c>
      <c r="M64" s="175">
        <v>25809</v>
      </c>
      <c r="N64" s="175">
        <v>18444</v>
      </c>
      <c r="O64" s="175">
        <v>22696</v>
      </c>
      <c r="P64" s="175">
        <v>15386</v>
      </c>
      <c r="Q64" s="175">
        <v>14145</v>
      </c>
      <c r="R64" s="175">
        <v>9306</v>
      </c>
      <c r="S64" s="175">
        <v>12468</v>
      </c>
      <c r="T64" s="175">
        <v>8763</v>
      </c>
      <c r="U64" s="175">
        <v>13807</v>
      </c>
      <c r="V64" s="175">
        <v>23384</v>
      </c>
      <c r="W64" s="175">
        <v>8374</v>
      </c>
      <c r="X64" s="175">
        <v>11967</v>
      </c>
      <c r="Y64" s="175">
        <v>20850</v>
      </c>
      <c r="Z64" s="175">
        <v>105367</v>
      </c>
      <c r="AA64" s="175">
        <v>107296</v>
      </c>
      <c r="AB64" s="175">
        <v>40031</v>
      </c>
      <c r="AC64" s="175">
        <v>51310</v>
      </c>
      <c r="AD64" s="175">
        <v>100793</v>
      </c>
      <c r="AE64" s="175">
        <v>65486.000000000007</v>
      </c>
      <c r="AF64" s="175">
        <v>112491</v>
      </c>
      <c r="AG64" s="175">
        <v>84881</v>
      </c>
      <c r="AH64" s="175">
        <v>169208</v>
      </c>
      <c r="AI64" s="175">
        <v>103273</v>
      </c>
      <c r="AJ64" s="175">
        <v>215516</v>
      </c>
      <c r="AK64" s="175">
        <v>193588</v>
      </c>
      <c r="AL64" s="175">
        <v>216541</v>
      </c>
      <c r="AM64" s="175">
        <v>510567</v>
      </c>
      <c r="AN64" s="175">
        <v>445492</v>
      </c>
      <c r="AO64" s="175">
        <v>442405</v>
      </c>
      <c r="AP64" s="175">
        <v>343418</v>
      </c>
      <c r="AQ64" s="175">
        <v>371120</v>
      </c>
      <c r="AR64" s="175">
        <v>480363</v>
      </c>
      <c r="AS64" s="175">
        <v>616172</v>
      </c>
      <c r="AT64" s="175">
        <v>132698</v>
      </c>
      <c r="AU64" s="175">
        <v>160650</v>
      </c>
      <c r="AV64" s="175">
        <v>207501</v>
      </c>
    </row>
    <row r="65" spans="1:48">
      <c r="A65" s="173" t="s">
        <v>723</v>
      </c>
      <c r="B65" s="174"/>
      <c r="C65" s="175">
        <v>91601</v>
      </c>
      <c r="D65" s="175">
        <v>90877.137759999998</v>
      </c>
      <c r="E65" s="175">
        <v>90872.368050000005</v>
      </c>
      <c r="F65" s="175">
        <v>42107</v>
      </c>
      <c r="G65" s="175">
        <v>29888.804360000002</v>
      </c>
      <c r="H65" s="175">
        <v>31506</v>
      </c>
      <c r="I65" s="175">
        <v>31506</v>
      </c>
      <c r="J65" s="175">
        <v>176840</v>
      </c>
      <c r="K65" s="175">
        <v>180000</v>
      </c>
      <c r="L65" s="175">
        <v>174000</v>
      </c>
      <c r="M65" s="175">
        <v>174000</v>
      </c>
      <c r="N65" s="175">
        <v>218000</v>
      </c>
      <c r="O65" s="175">
        <v>217000</v>
      </c>
      <c r="P65" s="175">
        <v>250561</v>
      </c>
      <c r="Q65" s="175">
        <v>250561</v>
      </c>
      <c r="R65" s="175">
        <v>195910</v>
      </c>
      <c r="S65" s="175">
        <v>200238</v>
      </c>
      <c r="T65" s="175">
        <v>243141</v>
      </c>
      <c r="U65" s="175">
        <v>243075</v>
      </c>
      <c r="V65" s="175">
        <v>263976</v>
      </c>
      <c r="W65" s="175">
        <v>260702</v>
      </c>
      <c r="X65" s="175">
        <v>324016</v>
      </c>
      <c r="Y65" s="175">
        <v>324016</v>
      </c>
      <c r="Z65" s="175">
        <v>240729</v>
      </c>
      <c r="AA65" s="175">
        <v>240518</v>
      </c>
      <c r="AB65" s="175">
        <v>190953</v>
      </c>
      <c r="AC65" s="175">
        <v>190954</v>
      </c>
      <c r="AD65" s="175">
        <v>341119</v>
      </c>
      <c r="AE65" s="175">
        <v>341007</v>
      </c>
      <c r="AF65" s="175">
        <v>316626</v>
      </c>
      <c r="AG65" s="175">
        <v>326818</v>
      </c>
      <c r="AH65" s="175">
        <v>601510</v>
      </c>
      <c r="AI65" s="175">
        <v>591963</v>
      </c>
      <c r="AJ65" s="175">
        <v>720269</v>
      </c>
      <c r="AK65" s="175">
        <v>720423</v>
      </c>
      <c r="AL65" s="175">
        <v>771321</v>
      </c>
      <c r="AM65" s="175">
        <v>771227</v>
      </c>
      <c r="AN65" s="175">
        <v>716162</v>
      </c>
      <c r="AO65" s="175">
        <v>716813</v>
      </c>
      <c r="AP65" s="175">
        <v>468800</v>
      </c>
      <c r="AQ65" s="175">
        <v>464661</v>
      </c>
      <c r="AR65" s="175">
        <v>104734</v>
      </c>
      <c r="AS65" s="175">
        <v>228212</v>
      </c>
      <c r="AT65" s="175">
        <v>1291982</v>
      </c>
      <c r="AU65" s="175">
        <v>807530</v>
      </c>
      <c r="AV65" s="175">
        <v>294029</v>
      </c>
    </row>
    <row r="66" spans="1:48">
      <c r="A66" s="173" t="s">
        <v>872</v>
      </c>
      <c r="B66" s="174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>
        <v>34353</v>
      </c>
      <c r="AQ66" s="175"/>
      <c r="AR66" s="175"/>
      <c r="AS66" s="175"/>
      <c r="AT66" s="175"/>
      <c r="AU66" s="175"/>
      <c r="AV66" s="175"/>
    </row>
    <row r="67" spans="1:48">
      <c r="A67" s="173" t="s">
        <v>725</v>
      </c>
      <c r="B67" s="174"/>
      <c r="C67" s="175">
        <v>33280</v>
      </c>
      <c r="D67" s="175">
        <v>20401</v>
      </c>
      <c r="E67" s="175">
        <v>21656.897789999999</v>
      </c>
      <c r="F67" s="175">
        <v>32749.000000000004</v>
      </c>
      <c r="G67" s="175">
        <v>23680</v>
      </c>
      <c r="H67" s="175">
        <v>21508.851849999999</v>
      </c>
      <c r="I67" s="175">
        <v>23849</v>
      </c>
      <c r="J67" s="175">
        <v>30848</v>
      </c>
      <c r="K67" s="175">
        <v>29000</v>
      </c>
      <c r="L67" s="175">
        <v>16000</v>
      </c>
      <c r="M67" s="175">
        <v>16000</v>
      </c>
      <c r="N67" s="175">
        <v>17000</v>
      </c>
      <c r="O67" s="175">
        <v>58000</v>
      </c>
      <c r="P67" s="175">
        <v>22753</v>
      </c>
      <c r="Q67" s="175">
        <v>19996</v>
      </c>
      <c r="R67" s="175">
        <v>42102</v>
      </c>
      <c r="S67" s="175">
        <v>36509</v>
      </c>
      <c r="T67" s="175">
        <v>24301</v>
      </c>
      <c r="U67" s="175">
        <v>25789</v>
      </c>
      <c r="V67" s="175">
        <v>24480</v>
      </c>
      <c r="W67" s="175">
        <v>22620</v>
      </c>
      <c r="X67" s="175">
        <v>22047</v>
      </c>
      <c r="Y67" s="175">
        <v>22770</v>
      </c>
      <c r="Z67" s="175">
        <v>46562</v>
      </c>
      <c r="AA67" s="175">
        <v>100922</v>
      </c>
      <c r="AB67" s="175">
        <v>102990</v>
      </c>
      <c r="AC67" s="175">
        <v>74064</v>
      </c>
      <c r="AD67" s="175">
        <v>79326</v>
      </c>
      <c r="AE67" s="175">
        <v>65766</v>
      </c>
      <c r="AF67" s="175">
        <v>67863</v>
      </c>
      <c r="AG67" s="175">
        <v>87159</v>
      </c>
      <c r="AH67" s="175">
        <v>83867</v>
      </c>
      <c r="AI67" s="175">
        <v>84843</v>
      </c>
      <c r="AJ67" s="175">
        <v>88213</v>
      </c>
      <c r="AK67" s="175">
        <v>78564</v>
      </c>
      <c r="AL67" s="175">
        <v>89889</v>
      </c>
      <c r="AM67" s="175">
        <v>87005</v>
      </c>
      <c r="AN67" s="175">
        <v>82239</v>
      </c>
      <c r="AO67" s="175">
        <v>88972</v>
      </c>
      <c r="AP67" s="175">
        <v>154807</v>
      </c>
      <c r="AQ67" s="175">
        <v>151093</v>
      </c>
      <c r="AR67" s="175">
        <v>168951</v>
      </c>
      <c r="AS67" s="175">
        <v>167284</v>
      </c>
      <c r="AT67" s="175">
        <v>198179</v>
      </c>
      <c r="AU67" s="175">
        <v>207520</v>
      </c>
      <c r="AV67" s="175">
        <v>195753</v>
      </c>
    </row>
    <row r="68" spans="1:48">
      <c r="A68" s="173" t="s">
        <v>724</v>
      </c>
      <c r="B68" s="174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>
        <v>272806</v>
      </c>
      <c r="AE68" s="175">
        <v>286040</v>
      </c>
      <c r="AF68" s="175">
        <v>294525</v>
      </c>
      <c r="AG68" s="175">
        <v>271679</v>
      </c>
      <c r="AH68" s="175">
        <v>286397</v>
      </c>
      <c r="AI68" s="175">
        <v>373931</v>
      </c>
      <c r="AJ68" s="175">
        <v>338382</v>
      </c>
      <c r="AK68" s="175">
        <v>562068</v>
      </c>
      <c r="AL68" s="175">
        <v>477696</v>
      </c>
      <c r="AM68" s="175">
        <v>508545</v>
      </c>
      <c r="AN68" s="175">
        <v>448642</v>
      </c>
      <c r="AO68" s="175">
        <v>445201</v>
      </c>
      <c r="AP68" s="175">
        <v>566210</v>
      </c>
      <c r="AQ68" s="175">
        <v>547259</v>
      </c>
      <c r="AR68" s="175">
        <v>567013</v>
      </c>
      <c r="AS68" s="175">
        <v>533800</v>
      </c>
      <c r="AT68" s="175">
        <v>617800</v>
      </c>
      <c r="AU68" s="175">
        <v>596942</v>
      </c>
      <c r="AV68" s="175">
        <v>587930</v>
      </c>
    </row>
    <row r="69" spans="1:48">
      <c r="A69" s="173" t="s">
        <v>727</v>
      </c>
      <c r="B69" s="174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>
        <v>132664</v>
      </c>
      <c r="AE69" s="175">
        <v>152877</v>
      </c>
      <c r="AF69" s="175">
        <v>109989</v>
      </c>
      <c r="AG69" s="175">
        <v>107730</v>
      </c>
      <c r="AH69" s="175">
        <v>127076</v>
      </c>
      <c r="AI69" s="175">
        <v>144554</v>
      </c>
      <c r="AJ69" s="175">
        <v>96815</v>
      </c>
      <c r="AK69" s="175">
        <v>118896</v>
      </c>
      <c r="AL69" s="175">
        <v>140497</v>
      </c>
      <c r="AM69" s="175">
        <v>152896</v>
      </c>
      <c r="AN69" s="175">
        <v>96200</v>
      </c>
      <c r="AO69" s="175">
        <v>120186</v>
      </c>
      <c r="AP69" s="175">
        <v>148764</v>
      </c>
      <c r="AQ69" s="175">
        <v>91298</v>
      </c>
      <c r="AR69" s="175">
        <v>90619</v>
      </c>
      <c r="AS69" s="175">
        <v>122984</v>
      </c>
      <c r="AT69" s="175">
        <v>152172</v>
      </c>
      <c r="AU69" s="175">
        <v>88349</v>
      </c>
      <c r="AV69" s="175">
        <v>78852</v>
      </c>
    </row>
    <row r="70" spans="1:48">
      <c r="A70" s="173" t="s">
        <v>833</v>
      </c>
      <c r="B70" s="174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>
        <v>0</v>
      </c>
      <c r="AM70" s="175"/>
      <c r="AN70" s="175"/>
      <c r="AO70" s="175">
        <v>49606</v>
      </c>
      <c r="AP70" s="175">
        <v>56919</v>
      </c>
      <c r="AQ70" s="175">
        <v>56049</v>
      </c>
      <c r="AR70" s="175">
        <v>58708</v>
      </c>
      <c r="AS70" s="175">
        <v>61598</v>
      </c>
      <c r="AT70" s="175">
        <v>49625</v>
      </c>
      <c r="AU70" s="175">
        <v>52309</v>
      </c>
      <c r="AV70" s="175">
        <v>47841</v>
      </c>
    </row>
    <row r="71" spans="1:48">
      <c r="A71" s="173" t="s">
        <v>884</v>
      </c>
      <c r="B71" s="174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>
        <v>34512</v>
      </c>
      <c r="AM71" s="175"/>
      <c r="AN71" s="175"/>
      <c r="AO71" s="175">
        <v>29055</v>
      </c>
      <c r="AP71" s="175">
        <v>43829</v>
      </c>
      <c r="AQ71" s="175">
        <v>29579</v>
      </c>
      <c r="AR71" s="175">
        <v>40677</v>
      </c>
      <c r="AS71" s="175">
        <v>57572</v>
      </c>
      <c r="AT71" s="175">
        <v>65509</v>
      </c>
      <c r="AU71" s="175">
        <v>77357</v>
      </c>
      <c r="AV71" s="175">
        <v>85446</v>
      </c>
    </row>
    <row r="72" spans="1:48">
      <c r="A72" s="173" t="s">
        <v>701</v>
      </c>
      <c r="B72" s="174"/>
      <c r="C72" s="175">
        <v>0</v>
      </c>
      <c r="D72" s="175">
        <v>0</v>
      </c>
      <c r="E72" s="175">
        <v>0</v>
      </c>
      <c r="F72" s="175">
        <v>0</v>
      </c>
      <c r="G72" s="175">
        <v>0</v>
      </c>
      <c r="H72" s="175">
        <v>0</v>
      </c>
      <c r="I72" s="175">
        <v>0</v>
      </c>
      <c r="J72" s="175">
        <v>0</v>
      </c>
      <c r="K72" s="175">
        <v>58000</v>
      </c>
      <c r="L72" s="175">
        <v>82000</v>
      </c>
      <c r="M72" s="175">
        <v>18000</v>
      </c>
      <c r="N72" s="175">
        <v>0</v>
      </c>
      <c r="O72" s="175">
        <v>31000</v>
      </c>
      <c r="P72" s="175">
        <v>84735</v>
      </c>
      <c r="Q72" s="175">
        <v>53584</v>
      </c>
      <c r="R72" s="175">
        <v>0</v>
      </c>
      <c r="S72" s="175">
        <v>18132.999999999996</v>
      </c>
      <c r="T72" s="175">
        <v>0</v>
      </c>
      <c r="U72" s="175">
        <v>0</v>
      </c>
      <c r="V72" s="175">
        <v>19946</v>
      </c>
      <c r="W72" s="175">
        <v>13625</v>
      </c>
      <c r="X72" s="175">
        <v>26877</v>
      </c>
      <c r="Y72" s="175">
        <v>21516</v>
      </c>
      <c r="Z72" s="175">
        <v>14915</v>
      </c>
      <c r="AA72" s="175">
        <v>19393</v>
      </c>
      <c r="AB72" s="175">
        <v>13635</v>
      </c>
      <c r="AC72" s="175">
        <v>0</v>
      </c>
      <c r="AD72" s="175"/>
      <c r="AE72" s="175">
        <v>0</v>
      </c>
      <c r="AF72" s="175"/>
      <c r="AG72" s="175"/>
      <c r="AH72" s="175"/>
      <c r="AI72" s="175"/>
      <c r="AJ72" s="175">
        <v>94742</v>
      </c>
      <c r="AK72" s="175">
        <v>16</v>
      </c>
      <c r="AL72" s="175">
        <v>5116</v>
      </c>
      <c r="AM72" s="175">
        <v>33261</v>
      </c>
      <c r="AN72" s="175">
        <v>1812</v>
      </c>
      <c r="AO72" s="175">
        <v>1514</v>
      </c>
      <c r="AP72" s="175">
        <v>41775</v>
      </c>
      <c r="AQ72" s="175">
        <v>133851</v>
      </c>
      <c r="AR72" s="175">
        <v>226001</v>
      </c>
      <c r="AS72" s="175">
        <v>105811</v>
      </c>
      <c r="AT72" s="175">
        <v>104914</v>
      </c>
      <c r="AU72" s="175">
        <v>78338</v>
      </c>
      <c r="AV72" s="175">
        <v>2934</v>
      </c>
    </row>
    <row r="73" spans="1:48">
      <c r="A73" s="173" t="s">
        <v>885</v>
      </c>
      <c r="B73" s="174"/>
      <c r="C73" s="175">
        <v>32451</v>
      </c>
      <c r="D73" s="175">
        <v>41536</v>
      </c>
      <c r="E73" s="175">
        <v>31731.24005</v>
      </c>
      <c r="F73" s="175">
        <v>39775</v>
      </c>
      <c r="G73" s="175">
        <v>31931</v>
      </c>
      <c r="H73" s="175">
        <v>24868</v>
      </c>
      <c r="I73" s="175">
        <v>13735</v>
      </c>
      <c r="J73" s="175">
        <v>51728</v>
      </c>
      <c r="K73" s="175">
        <v>46000</v>
      </c>
      <c r="L73" s="175">
        <v>38000</v>
      </c>
      <c r="M73" s="175">
        <v>132500</v>
      </c>
      <c r="N73" s="175">
        <v>135000</v>
      </c>
      <c r="O73" s="175">
        <v>138000</v>
      </c>
      <c r="P73" s="175">
        <v>125926</v>
      </c>
      <c r="Q73" s="175">
        <v>97486</v>
      </c>
      <c r="R73" s="175">
        <v>86222</v>
      </c>
      <c r="S73" s="175">
        <v>75874</v>
      </c>
      <c r="T73" s="175">
        <v>73991</v>
      </c>
      <c r="U73" s="175">
        <v>73369</v>
      </c>
      <c r="V73" s="175">
        <v>53954</v>
      </c>
      <c r="W73" s="175">
        <v>50338</v>
      </c>
      <c r="X73" s="175">
        <v>57385</v>
      </c>
      <c r="Y73" s="175">
        <v>52880</v>
      </c>
      <c r="Z73" s="175">
        <v>47236</v>
      </c>
      <c r="AA73" s="175">
        <v>172983</v>
      </c>
      <c r="AB73" s="175">
        <v>127295</v>
      </c>
      <c r="AC73" s="175">
        <v>52691</v>
      </c>
      <c r="AD73" s="175">
        <v>254775</v>
      </c>
      <c r="AE73" s="175">
        <v>252484</v>
      </c>
      <c r="AF73" s="175">
        <v>242648</v>
      </c>
      <c r="AG73" s="175">
        <v>209302</v>
      </c>
      <c r="AH73" s="175">
        <v>215811</v>
      </c>
      <c r="AI73" s="175">
        <v>220139</v>
      </c>
      <c r="AJ73" s="175">
        <v>120662</v>
      </c>
      <c r="AK73" s="175">
        <v>184399</v>
      </c>
      <c r="AL73" s="175">
        <v>526133</v>
      </c>
      <c r="AM73" s="175">
        <v>517241</v>
      </c>
      <c r="AN73" s="175">
        <v>505858</v>
      </c>
      <c r="AO73" s="175">
        <v>559596</v>
      </c>
      <c r="AP73" s="175">
        <v>601291</v>
      </c>
      <c r="AQ73" s="175">
        <v>607112</v>
      </c>
      <c r="AR73" s="175">
        <v>599671</v>
      </c>
      <c r="AS73" s="175">
        <v>583348</v>
      </c>
      <c r="AT73" s="175">
        <v>648839</v>
      </c>
      <c r="AU73" s="175">
        <v>621409</v>
      </c>
      <c r="AV73" s="175">
        <v>653894</v>
      </c>
    </row>
    <row r="74" spans="1:48">
      <c r="A74" s="185" t="s">
        <v>729</v>
      </c>
      <c r="B74" s="174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>
        <v>538739</v>
      </c>
      <c r="AF74" s="175">
        <v>983133</v>
      </c>
      <c r="AG74" s="175">
        <v>903854</v>
      </c>
      <c r="AH74" s="175"/>
      <c r="AI74" s="175"/>
      <c r="AJ74" s="175"/>
      <c r="AK74" s="175">
        <v>728927</v>
      </c>
      <c r="AL74" s="175">
        <v>719648</v>
      </c>
      <c r="AM74" s="175">
        <v>453523</v>
      </c>
      <c r="AN74" s="175">
        <v>200091</v>
      </c>
      <c r="AO74" s="175">
        <v>1068105</v>
      </c>
      <c r="AP74" s="175">
        <v>1235312</v>
      </c>
      <c r="AQ74" s="175">
        <v>726397</v>
      </c>
      <c r="AR74" s="175">
        <v>538074</v>
      </c>
      <c r="AS74" s="175">
        <v>1064647</v>
      </c>
      <c r="AT74" s="175">
        <v>1140393</v>
      </c>
      <c r="AU74" s="175">
        <v>761651</v>
      </c>
      <c r="AV74" s="175">
        <v>392935</v>
      </c>
    </row>
    <row r="75" spans="1:48">
      <c r="A75" s="185" t="s">
        <v>731</v>
      </c>
      <c r="B75" s="174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>
        <v>25875</v>
      </c>
      <c r="AM75" s="175"/>
      <c r="AN75" s="175"/>
      <c r="AO75" s="175">
        <v>18177</v>
      </c>
      <c r="AP75" s="175">
        <v>29643</v>
      </c>
      <c r="AQ75" s="175">
        <v>26155</v>
      </c>
      <c r="AR75" s="175">
        <v>23719</v>
      </c>
      <c r="AS75" s="175">
        <v>16543</v>
      </c>
      <c r="AT75" s="175">
        <v>15566</v>
      </c>
      <c r="AU75" s="175">
        <v>13353</v>
      </c>
      <c r="AV75" s="175">
        <v>11656</v>
      </c>
    </row>
    <row r="76" spans="1:48">
      <c r="A76" s="185" t="s">
        <v>886</v>
      </c>
      <c r="B76" s="174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  <c r="AM76" s="175"/>
      <c r="AN76" s="175"/>
      <c r="AO76" s="175"/>
      <c r="AP76" s="175"/>
      <c r="AQ76" s="175"/>
      <c r="AR76" s="175">
        <v>81079</v>
      </c>
      <c r="AS76" s="175">
        <v>61262</v>
      </c>
      <c r="AT76" s="175">
        <v>11692</v>
      </c>
      <c r="AU76" s="175">
        <v>40757</v>
      </c>
      <c r="AV76" s="175">
        <v>82921</v>
      </c>
    </row>
    <row r="77" spans="1:48">
      <c r="A77" s="185" t="s">
        <v>707</v>
      </c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  <c r="AM77" s="175">
        <v>69699</v>
      </c>
      <c r="AN77" s="175"/>
      <c r="AO77" s="175">
        <v>42822</v>
      </c>
      <c r="AP77" s="175">
        <v>72111</v>
      </c>
      <c r="AQ77" s="175">
        <v>61463</v>
      </c>
      <c r="AR77" s="175">
        <v>81428</v>
      </c>
      <c r="AS77" s="175">
        <v>79725</v>
      </c>
      <c r="AT77" s="175">
        <v>86125</v>
      </c>
      <c r="AU77" s="175">
        <v>90554</v>
      </c>
      <c r="AV77" s="175">
        <v>92407</v>
      </c>
    </row>
    <row r="78" spans="1:48">
      <c r="A78" s="173" t="s">
        <v>730</v>
      </c>
      <c r="B78" s="174"/>
      <c r="C78" s="175">
        <v>364718</v>
      </c>
      <c r="D78" s="175">
        <v>379212</v>
      </c>
      <c r="E78" s="175">
        <v>411055</v>
      </c>
      <c r="F78" s="175">
        <v>426786</v>
      </c>
      <c r="G78" s="175">
        <v>410259</v>
      </c>
      <c r="H78" s="175">
        <v>440549</v>
      </c>
      <c r="I78" s="175">
        <v>452385</v>
      </c>
      <c r="J78" s="175">
        <v>469966</v>
      </c>
      <c r="K78" s="175">
        <v>472000</v>
      </c>
      <c r="L78" s="175">
        <v>477000</v>
      </c>
      <c r="M78" s="175">
        <v>523500</v>
      </c>
      <c r="N78" s="175">
        <v>609400</v>
      </c>
      <c r="O78" s="175">
        <v>542500</v>
      </c>
      <c r="P78" s="175">
        <v>527673</v>
      </c>
      <c r="Q78" s="175">
        <v>625921</v>
      </c>
      <c r="R78" s="175">
        <v>762160</v>
      </c>
      <c r="S78" s="175">
        <v>560071</v>
      </c>
      <c r="T78" s="175">
        <v>483132.00000000006</v>
      </c>
      <c r="U78" s="175">
        <v>830148</v>
      </c>
      <c r="V78" s="175">
        <v>788395</v>
      </c>
      <c r="W78" s="175">
        <v>784784</v>
      </c>
      <c r="X78" s="175">
        <v>781908</v>
      </c>
      <c r="Y78" s="175">
        <v>825334</v>
      </c>
      <c r="Z78" s="175">
        <v>955198</v>
      </c>
      <c r="AA78" s="175">
        <v>980697</v>
      </c>
      <c r="AB78" s="175">
        <v>1075286</v>
      </c>
      <c r="AC78" s="175">
        <v>972396.99999999988</v>
      </c>
      <c r="AD78" s="175">
        <v>481991</v>
      </c>
      <c r="AE78" s="175">
        <v>427652</v>
      </c>
      <c r="AF78" s="175">
        <v>448576</v>
      </c>
      <c r="AG78" s="175">
        <v>440641</v>
      </c>
      <c r="AH78" s="175">
        <v>436671</v>
      </c>
      <c r="AI78" s="175">
        <v>428035</v>
      </c>
      <c r="AJ78" s="175">
        <v>443095</v>
      </c>
      <c r="AK78" s="175">
        <v>725133</v>
      </c>
      <c r="AL78" s="175">
        <v>853100</v>
      </c>
      <c r="AM78" s="175">
        <v>978030</v>
      </c>
      <c r="AN78" s="175">
        <v>823748</v>
      </c>
      <c r="AO78" s="175">
        <v>855896</v>
      </c>
      <c r="AP78" s="175">
        <v>1102172</v>
      </c>
      <c r="AQ78" s="175">
        <v>1154589</v>
      </c>
      <c r="AR78" s="175">
        <v>1410309</v>
      </c>
      <c r="AS78" s="175">
        <v>1499948.0089100001</v>
      </c>
      <c r="AT78" s="175">
        <v>1295743</v>
      </c>
      <c r="AU78" s="175">
        <v>1273883</v>
      </c>
      <c r="AV78" s="175">
        <v>1327831</v>
      </c>
    </row>
    <row r="79" spans="1:48" ht="15" thickBot="1">
      <c r="A79" s="173" t="s">
        <v>851</v>
      </c>
      <c r="B79" s="174"/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175"/>
      <c r="AN79" s="175"/>
      <c r="AO79" s="175"/>
      <c r="AP79" s="175"/>
      <c r="AQ79" s="175"/>
      <c r="AR79" s="175"/>
      <c r="AS79" s="175"/>
      <c r="AT79" s="175">
        <v>791119</v>
      </c>
      <c r="AU79" s="175"/>
      <c r="AV79" s="175">
        <v>724319</v>
      </c>
    </row>
    <row r="80" spans="1:48" ht="15" thickBot="1">
      <c r="A80" s="177" t="s">
        <v>706</v>
      </c>
      <c r="B80" s="170"/>
      <c r="C80" s="178">
        <f t="shared" ref="C80:Z80" si="10">SUM(C82:C98)</f>
        <v>4123157</v>
      </c>
      <c r="D80" s="178">
        <f t="shared" si="10"/>
        <v>4354661.4501700001</v>
      </c>
      <c r="E80" s="178">
        <f t="shared" si="10"/>
        <v>4222971.7516600005</v>
      </c>
      <c r="F80" s="178">
        <f t="shared" si="10"/>
        <v>4566921</v>
      </c>
      <c r="G80" s="178">
        <f t="shared" si="10"/>
        <v>4375158</v>
      </c>
      <c r="H80" s="178">
        <f t="shared" si="10"/>
        <v>4006384.5581899998</v>
      </c>
      <c r="I80" s="178">
        <f t="shared" si="10"/>
        <v>3750361</v>
      </c>
      <c r="J80" s="178">
        <f t="shared" si="10"/>
        <v>4671729</v>
      </c>
      <c r="K80" s="178">
        <f t="shared" si="10"/>
        <v>5307400</v>
      </c>
      <c r="L80" s="178">
        <f t="shared" si="10"/>
        <v>4968000</v>
      </c>
      <c r="M80" s="178">
        <f t="shared" si="10"/>
        <v>5114000</v>
      </c>
      <c r="N80" s="178">
        <f t="shared" si="10"/>
        <v>5225400</v>
      </c>
      <c r="O80" s="178">
        <f t="shared" si="10"/>
        <v>5155500</v>
      </c>
      <c r="P80" s="178">
        <f t="shared" si="10"/>
        <v>5222746</v>
      </c>
      <c r="Q80" s="178">
        <f t="shared" si="10"/>
        <v>5209385</v>
      </c>
      <c r="R80" s="178">
        <f t="shared" si="10"/>
        <v>5931529</v>
      </c>
      <c r="S80" s="178">
        <f t="shared" si="10"/>
        <v>6072878</v>
      </c>
      <c r="T80" s="178">
        <f t="shared" si="10"/>
        <v>6075671</v>
      </c>
      <c r="U80" s="178">
        <f t="shared" si="10"/>
        <v>5758683</v>
      </c>
      <c r="V80" s="178">
        <f t="shared" si="10"/>
        <v>7666001</v>
      </c>
      <c r="W80" s="178">
        <f t="shared" si="10"/>
        <v>7651339</v>
      </c>
      <c r="X80" s="178">
        <f t="shared" si="10"/>
        <v>8665230</v>
      </c>
      <c r="Y80" s="178">
        <f t="shared" si="10"/>
        <v>8293976</v>
      </c>
      <c r="Z80" s="178">
        <f t="shared" si="10"/>
        <v>12510741</v>
      </c>
      <c r="AA80" s="178">
        <f t="shared" ref="AA80:AN80" si="11">SUM(AA81:AA98)</f>
        <v>16732253</v>
      </c>
      <c r="AB80" s="178">
        <f t="shared" si="11"/>
        <v>19272853</v>
      </c>
      <c r="AC80" s="178">
        <f t="shared" si="11"/>
        <v>20382085</v>
      </c>
      <c r="AD80" s="178">
        <f t="shared" si="11"/>
        <v>21602301</v>
      </c>
      <c r="AE80" s="178">
        <f t="shared" si="11"/>
        <v>22122768</v>
      </c>
      <c r="AF80" s="178">
        <f t="shared" si="11"/>
        <v>22087393</v>
      </c>
      <c r="AG80" s="178">
        <f t="shared" si="11"/>
        <v>22855767</v>
      </c>
      <c r="AH80" s="178">
        <f t="shared" si="11"/>
        <v>23135595</v>
      </c>
      <c r="AI80" s="178">
        <f t="shared" si="11"/>
        <v>23114241</v>
      </c>
      <c r="AJ80" s="178">
        <f t="shared" si="11"/>
        <v>23054084</v>
      </c>
      <c r="AK80" s="178">
        <f t="shared" si="11"/>
        <v>29460766</v>
      </c>
      <c r="AL80" s="178">
        <f t="shared" si="11"/>
        <v>34120385</v>
      </c>
      <c r="AM80" s="178">
        <f t="shared" si="11"/>
        <v>41271711</v>
      </c>
      <c r="AN80" s="178">
        <f t="shared" si="11"/>
        <v>42347758</v>
      </c>
      <c r="AO80" s="178">
        <f t="shared" ref="AO80:AV80" si="12">SUM(AO81:AO98)</f>
        <v>40799987</v>
      </c>
      <c r="AP80" s="178">
        <f t="shared" si="12"/>
        <v>49950568</v>
      </c>
      <c r="AQ80" s="178">
        <f t="shared" si="12"/>
        <v>57272289</v>
      </c>
      <c r="AR80" s="178">
        <f t="shared" si="12"/>
        <v>56926546</v>
      </c>
      <c r="AS80" s="178">
        <f t="shared" si="12"/>
        <v>55785073</v>
      </c>
      <c r="AT80" s="178">
        <f t="shared" si="12"/>
        <v>60210411</v>
      </c>
      <c r="AU80" s="178">
        <f t="shared" si="12"/>
        <v>57568817</v>
      </c>
      <c r="AV80" s="178">
        <f t="shared" si="12"/>
        <v>60178558</v>
      </c>
    </row>
    <row r="81" spans="1:48">
      <c r="A81" s="173" t="s">
        <v>716</v>
      </c>
      <c r="B81" s="174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>
        <v>178699</v>
      </c>
      <c r="AM81" s="175"/>
      <c r="AN81" s="175"/>
      <c r="AO81" s="175">
        <v>10381</v>
      </c>
      <c r="AP81" s="175">
        <v>330514</v>
      </c>
      <c r="AQ81" s="175">
        <v>367647</v>
      </c>
      <c r="AR81" s="175">
        <v>253447</v>
      </c>
      <c r="AS81" s="175">
        <v>223866</v>
      </c>
      <c r="AT81" s="175">
        <v>194811</v>
      </c>
      <c r="AU81" s="175">
        <v>169892</v>
      </c>
      <c r="AV81" s="175">
        <v>131280</v>
      </c>
    </row>
    <row r="82" spans="1:48">
      <c r="A82" s="173" t="s">
        <v>718</v>
      </c>
      <c r="B82" s="174"/>
      <c r="C82" s="175">
        <v>1955566</v>
      </c>
      <c r="D82" s="175">
        <v>2224087.4501700001</v>
      </c>
      <c r="E82" s="175">
        <v>2250948.1379300002</v>
      </c>
      <c r="F82" s="175">
        <v>2756344</v>
      </c>
      <c r="G82" s="175">
        <v>2580857</v>
      </c>
      <c r="H82" s="175">
        <v>2207948.6227299999</v>
      </c>
      <c r="I82" s="175">
        <v>2073186.0000000002</v>
      </c>
      <c r="J82" s="175">
        <v>2897754</v>
      </c>
      <c r="K82" s="175">
        <v>3515000</v>
      </c>
      <c r="L82" s="175">
        <v>2383000</v>
      </c>
      <c r="M82" s="175">
        <v>2472500</v>
      </c>
      <c r="N82" s="175">
        <v>2587000</v>
      </c>
      <c r="O82" s="175">
        <v>2481000</v>
      </c>
      <c r="P82" s="175">
        <v>2460817</v>
      </c>
      <c r="Q82" s="175">
        <v>2387520</v>
      </c>
      <c r="R82" s="175">
        <v>2217653</v>
      </c>
      <c r="S82" s="175">
        <v>2127559</v>
      </c>
      <c r="T82" s="175">
        <v>2244885</v>
      </c>
      <c r="U82" s="175">
        <v>2188779</v>
      </c>
      <c r="V82" s="175">
        <v>2978665</v>
      </c>
      <c r="W82" s="175">
        <v>3091474</v>
      </c>
      <c r="X82" s="175">
        <v>3451145</v>
      </c>
      <c r="Y82" s="175">
        <v>2980090</v>
      </c>
      <c r="Z82" s="175">
        <v>4561426</v>
      </c>
      <c r="AA82" s="175">
        <v>7783567</v>
      </c>
      <c r="AB82" s="175">
        <v>8793636</v>
      </c>
      <c r="AC82" s="175">
        <v>9034897</v>
      </c>
      <c r="AD82" s="175">
        <v>9362674</v>
      </c>
      <c r="AE82" s="175">
        <v>9737786</v>
      </c>
      <c r="AF82" s="175">
        <v>9916061</v>
      </c>
      <c r="AG82" s="175">
        <v>10206488</v>
      </c>
      <c r="AH82" s="175">
        <v>10558285</v>
      </c>
      <c r="AI82" s="175">
        <v>10287923</v>
      </c>
      <c r="AJ82" s="175">
        <v>9698825</v>
      </c>
      <c r="AK82" s="175">
        <v>11454837</v>
      </c>
      <c r="AL82" s="175">
        <v>12174889</v>
      </c>
      <c r="AM82" s="175">
        <v>15361893</v>
      </c>
      <c r="AN82" s="175">
        <v>15692437</v>
      </c>
      <c r="AO82" s="175">
        <v>15206741</v>
      </c>
      <c r="AP82" s="175">
        <v>17103172</v>
      </c>
      <c r="AQ82" s="175">
        <v>17088076</v>
      </c>
      <c r="AR82" s="175">
        <v>17649476</v>
      </c>
      <c r="AS82" s="175">
        <v>17607599</v>
      </c>
      <c r="AT82" s="175">
        <v>18034095</v>
      </c>
      <c r="AU82" s="175">
        <v>17310460</v>
      </c>
      <c r="AV82" s="175">
        <v>17034117</v>
      </c>
    </row>
    <row r="83" spans="1:48">
      <c r="A83" s="173" t="s">
        <v>719</v>
      </c>
      <c r="B83" s="174"/>
      <c r="C83" s="175">
        <v>287473</v>
      </c>
      <c r="D83" s="175">
        <v>290038</v>
      </c>
      <c r="E83" s="175">
        <v>291044.25643000001</v>
      </c>
      <c r="F83" s="175">
        <v>294085</v>
      </c>
      <c r="G83" s="175">
        <v>298513</v>
      </c>
      <c r="H83" s="175">
        <v>302268.42418999999</v>
      </c>
      <c r="I83" s="175">
        <v>303827</v>
      </c>
      <c r="J83" s="175">
        <v>506423</v>
      </c>
      <c r="K83" s="175">
        <v>514000</v>
      </c>
      <c r="L83" s="175">
        <v>486000</v>
      </c>
      <c r="M83" s="175">
        <v>489000</v>
      </c>
      <c r="N83" s="175">
        <v>495000</v>
      </c>
      <c r="O83" s="175">
        <v>502000</v>
      </c>
      <c r="P83" s="175">
        <v>473007</v>
      </c>
      <c r="Q83" s="175">
        <v>577049</v>
      </c>
      <c r="R83" s="175">
        <v>1629727</v>
      </c>
      <c r="S83" s="175">
        <v>1640891</v>
      </c>
      <c r="T83" s="175">
        <v>1530397</v>
      </c>
      <c r="U83" s="175">
        <v>1553856</v>
      </c>
      <c r="V83" s="175">
        <v>2793186</v>
      </c>
      <c r="W83" s="175">
        <v>2808166</v>
      </c>
      <c r="X83" s="175">
        <v>3408576</v>
      </c>
      <c r="Y83" s="175">
        <v>3426579</v>
      </c>
      <c r="Z83" s="175">
        <v>4170885</v>
      </c>
      <c r="AA83" s="175">
        <v>4373674</v>
      </c>
      <c r="AB83" s="175">
        <v>5527073</v>
      </c>
      <c r="AC83" s="175">
        <v>5545922</v>
      </c>
      <c r="AD83" s="175">
        <v>5559184</v>
      </c>
      <c r="AE83" s="175">
        <v>4892169</v>
      </c>
      <c r="AF83" s="175">
        <v>4865379</v>
      </c>
      <c r="AG83" s="175">
        <v>4882355</v>
      </c>
      <c r="AH83" s="175">
        <v>4117327</v>
      </c>
      <c r="AI83" s="175">
        <v>4116306</v>
      </c>
      <c r="AJ83" s="175">
        <v>4645098</v>
      </c>
      <c r="AK83" s="175">
        <v>5692387</v>
      </c>
      <c r="AL83" s="175">
        <v>9640470</v>
      </c>
      <c r="AM83" s="175">
        <v>12820204</v>
      </c>
      <c r="AN83" s="175">
        <v>13318223</v>
      </c>
      <c r="AO83" s="175">
        <v>13055299</v>
      </c>
      <c r="AP83" s="175">
        <v>13271265</v>
      </c>
      <c r="AQ83" s="175">
        <v>20284600</v>
      </c>
      <c r="AR83" s="175">
        <v>19870117</v>
      </c>
      <c r="AS83" s="175">
        <v>19661161</v>
      </c>
      <c r="AT83" s="175">
        <v>23156107</v>
      </c>
      <c r="AU83" s="175">
        <v>21240154</v>
      </c>
      <c r="AV83" s="175">
        <v>24854933</v>
      </c>
    </row>
    <row r="84" spans="1:48">
      <c r="A84" s="173" t="s">
        <v>883</v>
      </c>
      <c r="B84" s="174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>
        <v>195699</v>
      </c>
      <c r="AD84" s="175">
        <v>132374</v>
      </c>
      <c r="AE84" s="175">
        <v>102646</v>
      </c>
      <c r="AF84" s="175">
        <v>196923</v>
      </c>
      <c r="AG84" s="175">
        <v>478473</v>
      </c>
      <c r="AH84" s="175">
        <v>170307</v>
      </c>
      <c r="AI84" s="175">
        <v>329878</v>
      </c>
      <c r="AJ84" s="175">
        <v>277532</v>
      </c>
      <c r="AK84" s="175">
        <v>49614</v>
      </c>
      <c r="AL84" s="175">
        <v>36592</v>
      </c>
      <c r="AM84" s="175">
        <v>36972</v>
      </c>
      <c r="AN84" s="175">
        <v>296068</v>
      </c>
      <c r="AO84" s="175">
        <v>534266</v>
      </c>
      <c r="AP84" s="175">
        <v>690667</v>
      </c>
      <c r="AQ84" s="175">
        <v>765191</v>
      </c>
      <c r="AR84" s="175">
        <v>441384</v>
      </c>
      <c r="AS84" s="175">
        <v>422793</v>
      </c>
      <c r="AT84" s="175">
        <v>972444</v>
      </c>
      <c r="AU84" s="175">
        <v>835236</v>
      </c>
      <c r="AV84" s="175">
        <v>538522</v>
      </c>
    </row>
    <row r="85" spans="1:48">
      <c r="A85" s="173" t="s">
        <v>724</v>
      </c>
      <c r="B85" s="174"/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>
        <v>192812</v>
      </c>
      <c r="AF85" s="175">
        <v>198148</v>
      </c>
      <c r="AG85" s="175">
        <v>204208</v>
      </c>
      <c r="AH85" s="175">
        <v>220345</v>
      </c>
      <c r="AI85" s="175">
        <v>151537</v>
      </c>
      <c r="AJ85" s="175">
        <v>159980</v>
      </c>
      <c r="AK85" s="175">
        <v>206732</v>
      </c>
      <c r="AL85" s="175">
        <v>88336</v>
      </c>
      <c r="AM85" s="175">
        <v>77177</v>
      </c>
      <c r="AN85" s="175">
        <v>122663</v>
      </c>
      <c r="AO85" s="175">
        <v>135687</v>
      </c>
      <c r="AP85" s="175">
        <v>208546</v>
      </c>
      <c r="AQ85" s="175">
        <v>250785</v>
      </c>
      <c r="AR85" s="175">
        <v>270019</v>
      </c>
      <c r="AS85" s="175">
        <v>302281</v>
      </c>
      <c r="AT85" s="175">
        <v>201211</v>
      </c>
      <c r="AU85" s="175">
        <v>235799</v>
      </c>
      <c r="AV85" s="175">
        <v>268958</v>
      </c>
    </row>
    <row r="86" spans="1:48">
      <c r="A86" s="173" t="s">
        <v>721</v>
      </c>
      <c r="B86" s="174"/>
      <c r="C86" s="175">
        <v>416398</v>
      </c>
      <c r="D86" s="175">
        <v>389738</v>
      </c>
      <c r="E86" s="175">
        <v>356998.35730000003</v>
      </c>
      <c r="F86" s="175">
        <v>333813</v>
      </c>
      <c r="G86" s="175">
        <v>313898</v>
      </c>
      <c r="H86" s="175">
        <v>293598.63336000004</v>
      </c>
      <c r="I86" s="175">
        <v>228865</v>
      </c>
      <c r="J86" s="175">
        <v>108660.00000000001</v>
      </c>
      <c r="K86" s="175">
        <f>(71+44)*1000</f>
        <v>115000</v>
      </c>
      <c r="L86" s="175">
        <v>250000</v>
      </c>
      <c r="M86" s="175">
        <v>296000</v>
      </c>
      <c r="N86" s="175">
        <v>193000</v>
      </c>
      <c r="O86" s="175">
        <v>226000</v>
      </c>
      <c r="P86" s="175">
        <v>244102</v>
      </c>
      <c r="Q86" s="175">
        <v>259414</v>
      </c>
      <c r="R86" s="175">
        <v>275711</v>
      </c>
      <c r="S86" s="175">
        <v>265131</v>
      </c>
      <c r="T86" s="175">
        <v>315664</v>
      </c>
      <c r="U86" s="175">
        <v>38164</v>
      </c>
      <c r="V86" s="175">
        <v>38236</v>
      </c>
      <c r="W86" s="175">
        <v>38140</v>
      </c>
      <c r="X86" s="175">
        <v>291036</v>
      </c>
      <c r="Y86" s="175">
        <v>347004</v>
      </c>
      <c r="Z86" s="175">
        <v>1755157</v>
      </c>
      <c r="AA86" s="175">
        <v>2375857</v>
      </c>
      <c r="AB86" s="175">
        <v>2672811</v>
      </c>
      <c r="AC86" s="175">
        <v>3241910.0000000005</v>
      </c>
      <c r="AD86" s="175">
        <v>4107805</v>
      </c>
      <c r="AE86" s="175">
        <v>2766352.0000000005</v>
      </c>
      <c r="AF86" s="175">
        <v>2890675</v>
      </c>
      <c r="AG86" s="175">
        <v>3034637</v>
      </c>
      <c r="AH86" s="175">
        <v>234365</v>
      </c>
      <c r="AI86" s="175">
        <v>223427</v>
      </c>
      <c r="AJ86" s="175">
        <v>213804</v>
      </c>
      <c r="AK86" s="175">
        <v>2455969</v>
      </c>
      <c r="AL86" s="175">
        <v>2517663</v>
      </c>
      <c r="AM86" s="175">
        <v>2512361</v>
      </c>
      <c r="AN86" s="175">
        <v>2552281</v>
      </c>
      <c r="AO86" s="175">
        <v>2587795</v>
      </c>
      <c r="AP86" s="175">
        <v>2689205</v>
      </c>
      <c r="AQ86" s="175">
        <v>2733738</v>
      </c>
      <c r="AR86" s="175">
        <v>2759112</v>
      </c>
      <c r="AS86" s="175">
        <v>2884697</v>
      </c>
      <c r="AT86" s="175">
        <v>2913172</v>
      </c>
      <c r="AU86" s="175">
        <v>2921533</v>
      </c>
      <c r="AV86" s="175">
        <v>2968186</v>
      </c>
    </row>
    <row r="87" spans="1:48">
      <c r="A87" s="173" t="s">
        <v>885</v>
      </c>
      <c r="B87" s="174"/>
      <c r="C87" s="175">
        <v>758804</v>
      </c>
      <c r="D87" s="175">
        <v>755517</v>
      </c>
      <c r="E87" s="175">
        <v>638086</v>
      </c>
      <c r="F87" s="175">
        <v>637524</v>
      </c>
      <c r="G87" s="175">
        <v>636712</v>
      </c>
      <c r="H87" s="175">
        <v>644082.87790999992</v>
      </c>
      <c r="I87" s="175">
        <v>576906</v>
      </c>
      <c r="J87" s="175">
        <v>546245</v>
      </c>
      <c r="K87" s="175">
        <v>558000</v>
      </c>
      <c r="L87" s="175">
        <v>558000</v>
      </c>
      <c r="M87" s="175">
        <v>464000</v>
      </c>
      <c r="N87" s="175">
        <v>470000</v>
      </c>
      <c r="O87" s="175">
        <v>421000</v>
      </c>
      <c r="P87" s="175">
        <v>424415</v>
      </c>
      <c r="Q87" s="175">
        <v>453046</v>
      </c>
      <c r="R87" s="175">
        <v>455527</v>
      </c>
      <c r="S87" s="175">
        <v>468185</v>
      </c>
      <c r="T87" s="175">
        <v>460436</v>
      </c>
      <c r="U87" s="175">
        <v>462517</v>
      </c>
      <c r="V87" s="175">
        <v>425089</v>
      </c>
      <c r="W87" s="175">
        <v>437426</v>
      </c>
      <c r="X87" s="175">
        <v>434247</v>
      </c>
      <c r="Y87" s="175">
        <v>436321</v>
      </c>
      <c r="Z87" s="175">
        <v>763046</v>
      </c>
      <c r="AA87" s="175">
        <v>860191</v>
      </c>
      <c r="AB87" s="175">
        <v>885698</v>
      </c>
      <c r="AC87" s="175">
        <v>897829</v>
      </c>
      <c r="AD87" s="175">
        <v>1037472</v>
      </c>
      <c r="AE87" s="175">
        <v>1023253</v>
      </c>
      <c r="AF87" s="175">
        <v>1025010</v>
      </c>
      <c r="AG87" s="175">
        <v>1022219</v>
      </c>
      <c r="AH87" s="175">
        <v>991184</v>
      </c>
      <c r="AI87" s="175">
        <v>989854</v>
      </c>
      <c r="AJ87" s="175">
        <v>993808</v>
      </c>
      <c r="AK87" s="175">
        <v>1789295</v>
      </c>
      <c r="AL87" s="175">
        <v>1608790</v>
      </c>
      <c r="AM87" s="175">
        <v>1613867</v>
      </c>
      <c r="AN87" s="175">
        <v>1611910</v>
      </c>
      <c r="AO87" s="175">
        <v>1535396</v>
      </c>
      <c r="AP87" s="175">
        <v>5337621</v>
      </c>
      <c r="AQ87" s="175">
        <v>5407751</v>
      </c>
      <c r="AR87" s="175">
        <v>5397558</v>
      </c>
      <c r="AS87" s="175">
        <v>5337173</v>
      </c>
      <c r="AT87" s="175">
        <v>5141478</v>
      </c>
      <c r="AU87" s="175">
        <v>5256431</v>
      </c>
      <c r="AV87" s="175">
        <v>5125361</v>
      </c>
    </row>
    <row r="88" spans="1:48">
      <c r="A88" s="173" t="s">
        <v>884</v>
      </c>
      <c r="B88" s="174"/>
      <c r="C88" s="175">
        <v>410221</v>
      </c>
      <c r="D88" s="175">
        <v>406602</v>
      </c>
      <c r="E88" s="175">
        <v>408596</v>
      </c>
      <c r="F88" s="175">
        <v>332620</v>
      </c>
      <c r="G88" s="175">
        <v>310144</v>
      </c>
      <c r="H88" s="175">
        <v>291916</v>
      </c>
      <c r="I88" s="175">
        <v>270388</v>
      </c>
      <c r="J88" s="175">
        <v>256230.00000000003</v>
      </c>
      <c r="K88" s="175">
        <v>236000</v>
      </c>
      <c r="L88" s="175">
        <v>908000</v>
      </c>
      <c r="M88" s="175">
        <v>974000</v>
      </c>
      <c r="N88" s="175">
        <v>996000</v>
      </c>
      <c r="O88" s="175">
        <v>979000</v>
      </c>
      <c r="P88" s="175">
        <v>958578</v>
      </c>
      <c r="Q88" s="175">
        <v>963593</v>
      </c>
      <c r="R88" s="175">
        <v>912337</v>
      </c>
      <c r="S88" s="175">
        <v>921221</v>
      </c>
      <c r="T88" s="175">
        <v>939841</v>
      </c>
      <c r="U88" s="175">
        <v>947371</v>
      </c>
      <c r="V88" s="175">
        <v>965523</v>
      </c>
      <c r="W88" s="175">
        <v>785034</v>
      </c>
      <c r="X88" s="175">
        <v>810385</v>
      </c>
      <c r="Y88" s="175">
        <v>812987</v>
      </c>
      <c r="Z88" s="175">
        <v>814254</v>
      </c>
      <c r="AA88" s="175">
        <v>834797</v>
      </c>
      <c r="AB88" s="175">
        <v>854924</v>
      </c>
      <c r="AC88" s="175">
        <v>866691</v>
      </c>
      <c r="AD88" s="175">
        <v>849624</v>
      </c>
      <c r="AE88" s="175">
        <v>860377</v>
      </c>
      <c r="AF88" s="175">
        <v>872327</v>
      </c>
      <c r="AG88" s="175">
        <v>824697</v>
      </c>
      <c r="AH88" s="175">
        <v>930606</v>
      </c>
      <c r="AI88" s="175">
        <v>955938</v>
      </c>
      <c r="AJ88" s="175">
        <v>976355</v>
      </c>
      <c r="AK88" s="175">
        <v>876838</v>
      </c>
      <c r="AL88" s="175">
        <v>894782</v>
      </c>
      <c r="AM88" s="175">
        <v>905626</v>
      </c>
      <c r="AN88" s="175">
        <v>915335</v>
      </c>
      <c r="AO88" s="175">
        <v>913325</v>
      </c>
      <c r="AP88" s="175">
        <v>905743</v>
      </c>
      <c r="AQ88" s="175">
        <v>905155</v>
      </c>
      <c r="AR88" s="175">
        <v>893166</v>
      </c>
      <c r="AS88" s="175">
        <v>883608</v>
      </c>
      <c r="AT88" s="175">
        <v>886004</v>
      </c>
      <c r="AU88" s="175">
        <v>883146</v>
      </c>
      <c r="AV88" s="175">
        <v>884479</v>
      </c>
    </row>
    <row r="89" spans="1:48">
      <c r="A89" s="173" t="s">
        <v>707</v>
      </c>
      <c r="B89" s="174"/>
      <c r="C89" s="175">
        <v>33964</v>
      </c>
      <c r="D89" s="175">
        <v>33965</v>
      </c>
      <c r="E89" s="175">
        <v>33965</v>
      </c>
      <c r="F89" s="175">
        <v>25533</v>
      </c>
      <c r="G89" s="175">
        <v>25533</v>
      </c>
      <c r="H89" s="175">
        <v>25533</v>
      </c>
      <c r="I89" s="175">
        <v>25533</v>
      </c>
      <c r="J89" s="175">
        <v>49000</v>
      </c>
      <c r="K89" s="175">
        <v>48000</v>
      </c>
      <c r="L89" s="175">
        <v>48000</v>
      </c>
      <c r="M89" s="175">
        <v>48000</v>
      </c>
      <c r="N89" s="175">
        <v>37000</v>
      </c>
      <c r="O89" s="175">
        <v>37000</v>
      </c>
      <c r="P89" s="175">
        <v>32396</v>
      </c>
      <c r="Q89" s="175">
        <v>32396</v>
      </c>
      <c r="R89" s="175">
        <v>38412</v>
      </c>
      <c r="S89" s="175">
        <v>38412</v>
      </c>
      <c r="T89" s="175">
        <v>38412</v>
      </c>
      <c r="U89" s="175">
        <v>38412</v>
      </c>
      <c r="V89" s="175">
        <v>43216</v>
      </c>
      <c r="W89" s="175">
        <v>43216</v>
      </c>
      <c r="X89" s="175">
        <v>43216</v>
      </c>
      <c r="Y89" s="175">
        <v>43216</v>
      </c>
      <c r="Z89" s="175">
        <v>43740</v>
      </c>
      <c r="AA89" s="175">
        <v>77476</v>
      </c>
      <c r="AB89" s="175">
        <v>77473</v>
      </c>
      <c r="AC89" s="175">
        <v>77473</v>
      </c>
      <c r="AD89" s="175">
        <v>139562</v>
      </c>
      <c r="AE89" s="175">
        <v>139562</v>
      </c>
      <c r="AF89" s="175">
        <v>139562</v>
      </c>
      <c r="AG89" s="175">
        <v>139562</v>
      </c>
      <c r="AH89" s="175">
        <v>150598</v>
      </c>
      <c r="AI89" s="175">
        <v>162396</v>
      </c>
      <c r="AJ89" s="175">
        <v>162396</v>
      </c>
      <c r="AK89" s="175">
        <v>1163909</v>
      </c>
      <c r="AL89" s="175">
        <v>1081835</v>
      </c>
      <c r="AM89" s="175">
        <v>1103112</v>
      </c>
      <c r="AN89" s="175">
        <v>1130398</v>
      </c>
      <c r="AO89" s="175">
        <v>1149229</v>
      </c>
      <c r="AP89" s="175">
        <v>1112845</v>
      </c>
      <c r="AQ89" s="175">
        <v>1133672</v>
      </c>
      <c r="AR89" s="175">
        <v>1124262</v>
      </c>
      <c r="AS89" s="175">
        <v>1135017</v>
      </c>
      <c r="AT89" s="175">
        <v>1319963</v>
      </c>
      <c r="AU89" s="175">
        <v>1322912</v>
      </c>
      <c r="AV89" s="175">
        <v>1329923</v>
      </c>
    </row>
    <row r="90" spans="1:48">
      <c r="A90" s="173" t="s">
        <v>887</v>
      </c>
      <c r="B90" s="174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>
        <v>258810.99999999997</v>
      </c>
      <c r="AF90" s="175">
        <v>257885</v>
      </c>
      <c r="AG90" s="175">
        <v>267016</v>
      </c>
      <c r="AH90" s="175">
        <v>266358</v>
      </c>
      <c r="AI90" s="175">
        <v>277007</v>
      </c>
      <c r="AJ90" s="175">
        <v>439053</v>
      </c>
      <c r="AK90" s="175"/>
      <c r="AL90" s="175"/>
      <c r="AM90" s="175"/>
      <c r="AN90" s="175"/>
      <c r="AO90" s="175"/>
      <c r="AP90" s="175"/>
      <c r="AQ90" s="175"/>
      <c r="AR90" s="175"/>
      <c r="AS90" s="175"/>
      <c r="AT90" s="175"/>
      <c r="AU90" s="175"/>
      <c r="AV90" s="175"/>
    </row>
    <row r="91" spans="1:48">
      <c r="A91" s="173" t="s">
        <v>732</v>
      </c>
      <c r="B91" s="174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>
        <v>1915750</v>
      </c>
      <c r="AI91" s="175">
        <v>2006608</v>
      </c>
      <c r="AJ91" s="175">
        <v>1984664</v>
      </c>
      <c r="AK91" s="175">
        <v>2081084</v>
      </c>
      <c r="AL91" s="175">
        <v>2366195</v>
      </c>
      <c r="AM91" s="175">
        <v>2579799</v>
      </c>
      <c r="AN91" s="175">
        <v>2474274</v>
      </c>
      <c r="AO91" s="175">
        <v>2450077</v>
      </c>
      <c r="AP91" s="175">
        <v>2493928</v>
      </c>
      <c r="AQ91" s="175">
        <v>2421364</v>
      </c>
      <c r="AR91" s="175">
        <v>2411959</v>
      </c>
      <c r="AS91" s="175">
        <v>2524950</v>
      </c>
      <c r="AT91" s="175">
        <v>2640491</v>
      </c>
      <c r="AU91" s="175">
        <v>2713904</v>
      </c>
      <c r="AV91" s="175">
        <v>2712196</v>
      </c>
    </row>
    <row r="92" spans="1:48">
      <c r="A92" s="173" t="s">
        <v>833</v>
      </c>
      <c r="B92" s="174"/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>
        <v>984845</v>
      </c>
      <c r="AI92" s="175">
        <v>1008934</v>
      </c>
      <c r="AJ92" s="175">
        <v>1032731</v>
      </c>
      <c r="AK92" s="175">
        <v>1053758</v>
      </c>
      <c r="AL92" s="175">
        <v>1084678</v>
      </c>
      <c r="AM92" s="175">
        <v>1110889</v>
      </c>
      <c r="AN92" s="175">
        <v>997297</v>
      </c>
      <c r="AO92" s="175">
        <v>1095244</v>
      </c>
      <c r="AP92" s="175">
        <v>1117292</v>
      </c>
      <c r="AQ92" s="175">
        <v>1149542</v>
      </c>
      <c r="AR92" s="175">
        <v>1168169</v>
      </c>
      <c r="AS92" s="175">
        <v>1197097</v>
      </c>
      <c r="AT92" s="175">
        <v>1096910</v>
      </c>
      <c r="AU92" s="175">
        <v>1119125</v>
      </c>
      <c r="AV92" s="175">
        <v>1017132</v>
      </c>
    </row>
    <row r="93" spans="1:48">
      <c r="A93" s="173" t="s">
        <v>729</v>
      </c>
      <c r="B93" s="174"/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>
        <v>1751622</v>
      </c>
      <c r="AF93" s="175">
        <v>1321944</v>
      </c>
      <c r="AG93" s="175">
        <v>1410247</v>
      </c>
      <c r="AH93" s="175">
        <v>2321392</v>
      </c>
      <c r="AI93" s="175">
        <v>2327176</v>
      </c>
      <c r="AJ93" s="175">
        <v>2187405</v>
      </c>
      <c r="AK93" s="175">
        <v>2243456</v>
      </c>
      <c r="AL93" s="175">
        <v>2057700</v>
      </c>
      <c r="AM93" s="175">
        <v>2103294</v>
      </c>
      <c r="AN93" s="175">
        <v>2308318</v>
      </c>
      <c r="AO93" s="175">
        <v>1257773</v>
      </c>
      <c r="AP93" s="175">
        <v>3717709</v>
      </c>
      <c r="AQ93" s="175">
        <v>3693783</v>
      </c>
      <c r="AR93" s="175">
        <v>3301058</v>
      </c>
      <c r="AS93" s="175">
        <v>2402532</v>
      </c>
      <c r="AT93" s="175">
        <v>2077303</v>
      </c>
      <c r="AU93" s="175">
        <v>2125546</v>
      </c>
      <c r="AV93" s="175">
        <v>2092525</v>
      </c>
    </row>
    <row r="94" spans="1:48">
      <c r="A94" s="173" t="s">
        <v>888</v>
      </c>
      <c r="B94" s="174"/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  <c r="AI94" s="175"/>
      <c r="AJ94" s="175"/>
      <c r="AK94" s="175"/>
      <c r="AL94" s="175">
        <v>0</v>
      </c>
      <c r="AM94" s="175"/>
      <c r="AN94" s="175"/>
      <c r="AO94" s="175">
        <v>0</v>
      </c>
      <c r="AP94" s="175"/>
      <c r="AQ94" s="175"/>
      <c r="AR94" s="175"/>
      <c r="AS94" s="175"/>
      <c r="AT94" s="175"/>
      <c r="AU94" s="175"/>
      <c r="AV94" s="175"/>
    </row>
    <row r="95" spans="1:48">
      <c r="A95" s="173" t="s">
        <v>701</v>
      </c>
      <c r="B95" s="174"/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>
        <v>46767</v>
      </c>
      <c r="AM95" s="175"/>
      <c r="AN95" s="175"/>
      <c r="AO95" s="175">
        <v>239745</v>
      </c>
      <c r="AP95" s="175">
        <v>282486</v>
      </c>
      <c r="AQ95" s="175">
        <v>369881</v>
      </c>
      <c r="AR95" s="175">
        <v>514111</v>
      </c>
      <c r="AS95" s="175">
        <v>369780</v>
      </c>
      <c r="AT95" s="175">
        <v>441696</v>
      </c>
      <c r="AU95" s="175">
        <v>283834</v>
      </c>
      <c r="AV95" s="175">
        <v>44477</v>
      </c>
    </row>
    <row r="96" spans="1:48">
      <c r="A96" s="173" t="s">
        <v>886</v>
      </c>
      <c r="B96" s="174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5"/>
      <c r="AQ96" s="175"/>
      <c r="AR96" s="175">
        <v>130186</v>
      </c>
      <c r="AS96" s="175">
        <v>99472</v>
      </c>
      <c r="AT96" s="175">
        <v>24739</v>
      </c>
      <c r="AU96" s="175">
        <v>14824</v>
      </c>
      <c r="AV96" s="175">
        <v>25208</v>
      </c>
    </row>
    <row r="97" spans="1:48">
      <c r="A97" s="173" t="s">
        <v>730</v>
      </c>
      <c r="B97" s="174"/>
      <c r="C97" s="175">
        <v>260731</v>
      </c>
      <c r="D97" s="175">
        <v>254714</v>
      </c>
      <c r="E97" s="175">
        <v>243334</v>
      </c>
      <c r="F97" s="175">
        <v>187002</v>
      </c>
      <c r="G97" s="175">
        <v>209501</v>
      </c>
      <c r="H97" s="175">
        <v>241037</v>
      </c>
      <c r="I97" s="175">
        <v>271656</v>
      </c>
      <c r="J97" s="175">
        <v>307417</v>
      </c>
      <c r="K97" s="175">
        <v>321400</v>
      </c>
      <c r="L97" s="175">
        <v>335000</v>
      </c>
      <c r="M97" s="175">
        <v>370500</v>
      </c>
      <c r="N97" s="175">
        <v>447400</v>
      </c>
      <c r="O97" s="175">
        <v>509500</v>
      </c>
      <c r="P97" s="175">
        <v>629431</v>
      </c>
      <c r="Q97" s="175">
        <v>536367</v>
      </c>
      <c r="R97" s="175">
        <v>402162</v>
      </c>
      <c r="S97" s="175">
        <v>611479</v>
      </c>
      <c r="T97" s="175">
        <v>546036</v>
      </c>
      <c r="U97" s="175">
        <v>529584</v>
      </c>
      <c r="V97" s="175">
        <v>422086</v>
      </c>
      <c r="W97" s="175">
        <v>447883</v>
      </c>
      <c r="X97" s="175">
        <v>226625</v>
      </c>
      <c r="Y97" s="175">
        <v>247779</v>
      </c>
      <c r="Z97" s="175">
        <v>402233</v>
      </c>
      <c r="AA97" s="175">
        <v>426691</v>
      </c>
      <c r="AB97" s="175">
        <v>461238</v>
      </c>
      <c r="AC97" s="175">
        <v>521664</v>
      </c>
      <c r="AD97" s="175">
        <f>387168+7094</f>
        <v>394262</v>
      </c>
      <c r="AE97" s="175">
        <v>375355</v>
      </c>
      <c r="AF97" s="175">
        <v>381185</v>
      </c>
      <c r="AG97" s="175">
        <v>367156</v>
      </c>
      <c r="AH97" s="175">
        <v>256517</v>
      </c>
      <c r="AI97" s="175">
        <v>260593</v>
      </c>
      <c r="AJ97" s="175">
        <v>266286</v>
      </c>
      <c r="AK97" s="175">
        <v>333002</v>
      </c>
      <c r="AL97" s="175">
        <v>311254</v>
      </c>
      <c r="AM97" s="175">
        <v>960339</v>
      </c>
      <c r="AN97" s="175">
        <v>846400</v>
      </c>
      <c r="AO97" s="175">
        <v>549952</v>
      </c>
      <c r="AP97" s="175">
        <v>599343</v>
      </c>
      <c r="AQ97" s="175">
        <v>615749</v>
      </c>
      <c r="AR97" s="175">
        <v>661315</v>
      </c>
      <c r="AS97" s="175">
        <v>651883</v>
      </c>
      <c r="AT97" s="175">
        <v>1021243</v>
      </c>
      <c r="AU97" s="175">
        <v>1040833</v>
      </c>
      <c r="AV97" s="175">
        <v>1057053</v>
      </c>
    </row>
    <row r="98" spans="1:48" ht="15" thickBot="1">
      <c r="A98" s="173" t="s">
        <v>731</v>
      </c>
      <c r="B98" s="174"/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>
        <v>19344</v>
      </c>
      <c r="AE98" s="175">
        <v>22023</v>
      </c>
      <c r="AF98" s="175">
        <v>22294</v>
      </c>
      <c r="AG98" s="175">
        <v>18709</v>
      </c>
      <c r="AH98" s="175">
        <v>17716</v>
      </c>
      <c r="AI98" s="175">
        <v>16664</v>
      </c>
      <c r="AJ98" s="175">
        <v>16147</v>
      </c>
      <c r="AK98" s="175">
        <v>59885</v>
      </c>
      <c r="AL98" s="175">
        <v>31735</v>
      </c>
      <c r="AM98" s="175">
        <v>86178</v>
      </c>
      <c r="AN98" s="175">
        <v>82154</v>
      </c>
      <c r="AO98" s="175">
        <v>79077</v>
      </c>
      <c r="AP98" s="175">
        <v>90232</v>
      </c>
      <c r="AQ98" s="175">
        <v>85355</v>
      </c>
      <c r="AR98" s="175">
        <v>81207</v>
      </c>
      <c r="AS98" s="175">
        <v>81164</v>
      </c>
      <c r="AT98" s="175">
        <v>88744</v>
      </c>
      <c r="AU98" s="175">
        <v>95188</v>
      </c>
      <c r="AV98" s="175">
        <v>94208</v>
      </c>
    </row>
    <row r="99" spans="1:48" ht="15" thickBot="1">
      <c r="A99" s="186" t="s">
        <v>733</v>
      </c>
      <c r="B99" s="170"/>
      <c r="C99" s="178">
        <v>341274</v>
      </c>
      <c r="D99" s="178">
        <v>468797.69704999897</v>
      </c>
      <c r="E99" s="178">
        <v>480829.57929000002</v>
      </c>
      <c r="F99" s="178">
        <v>493473.65370999998</v>
      </c>
      <c r="G99" s="178">
        <v>508947</v>
      </c>
      <c r="H99" s="178">
        <v>495538.39843</v>
      </c>
      <c r="I99" s="178">
        <v>540568</v>
      </c>
      <c r="J99" s="178">
        <v>609158</v>
      </c>
      <c r="K99" s="178">
        <v>631000</v>
      </c>
      <c r="L99" s="178">
        <v>700000</v>
      </c>
      <c r="M99" s="178">
        <v>730000</v>
      </c>
      <c r="N99" s="178">
        <v>750000</v>
      </c>
      <c r="O99" s="178">
        <v>779000</v>
      </c>
      <c r="P99" s="178">
        <v>788084</v>
      </c>
      <c r="Q99" s="178">
        <v>836779</v>
      </c>
      <c r="R99" s="178">
        <v>847688</v>
      </c>
      <c r="S99" s="178">
        <v>857914</v>
      </c>
      <c r="T99" s="178">
        <v>854103</v>
      </c>
      <c r="U99" s="178">
        <v>928249</v>
      </c>
      <c r="V99" s="178">
        <v>962019</v>
      </c>
      <c r="W99" s="178">
        <v>988688</v>
      </c>
      <c r="X99" s="178">
        <v>968869</v>
      </c>
      <c r="Y99" s="178">
        <v>1030915.9999999999</v>
      </c>
      <c r="Z99" s="178">
        <v>956839</v>
      </c>
      <c r="AA99" s="178">
        <v>1019944</v>
      </c>
      <c r="AB99" s="178">
        <v>1005752</v>
      </c>
      <c r="AC99" s="178">
        <v>1073431</v>
      </c>
      <c r="AD99" s="178">
        <v>1662495</v>
      </c>
      <c r="AE99" s="178">
        <v>1737162</v>
      </c>
      <c r="AF99" s="178">
        <v>1775283</v>
      </c>
      <c r="AG99" s="178">
        <v>1892673</v>
      </c>
      <c r="AH99" s="178">
        <v>1816097</v>
      </c>
      <c r="AI99" s="178">
        <v>1910945</v>
      </c>
      <c r="AJ99" s="178">
        <v>1951547</v>
      </c>
      <c r="AK99" s="178">
        <v>1945793.7750300001</v>
      </c>
      <c r="AL99" s="178">
        <v>1848111</v>
      </c>
      <c r="AM99" s="178">
        <v>1939284.2124271924</v>
      </c>
      <c r="AN99" s="178">
        <v>1926307.8941017031</v>
      </c>
      <c r="AO99" s="178">
        <v>2000673</v>
      </c>
      <c r="AP99" s="178">
        <v>1952627</v>
      </c>
      <c r="AQ99" s="178">
        <v>3106423</v>
      </c>
      <c r="AR99" s="178">
        <v>3242376</v>
      </c>
      <c r="AS99" s="178">
        <v>3350862</v>
      </c>
      <c r="AT99" s="178">
        <v>3594917</v>
      </c>
      <c r="AU99" s="178">
        <v>4303199</v>
      </c>
      <c r="AV99" s="178">
        <v>4457483</v>
      </c>
    </row>
    <row r="100" spans="1:48" ht="15" thickBot="1">
      <c r="A100" s="177" t="s">
        <v>734</v>
      </c>
      <c r="B100" s="170"/>
      <c r="C100" s="178">
        <f t="shared" ref="C100:M100" si="13">SUM(C101:C106)</f>
        <v>2381916</v>
      </c>
      <c r="D100" s="178">
        <f t="shared" si="13"/>
        <v>2196114.0274999999</v>
      </c>
      <c r="E100" s="178">
        <f t="shared" si="13"/>
        <v>2400375.2762099998</v>
      </c>
      <c r="F100" s="178">
        <f t="shared" si="13"/>
        <v>2354171.9656600002</v>
      </c>
      <c r="G100" s="178">
        <f t="shared" si="13"/>
        <v>2369380.4613600001</v>
      </c>
      <c r="H100" s="178">
        <f t="shared" si="13"/>
        <v>2183114.4080699999</v>
      </c>
      <c r="I100" s="178">
        <f t="shared" si="13"/>
        <v>2471449.1239100001</v>
      </c>
      <c r="J100" s="178">
        <f t="shared" si="13"/>
        <v>2836366</v>
      </c>
      <c r="K100" s="178">
        <f t="shared" si="13"/>
        <v>2932400</v>
      </c>
      <c r="L100" s="178">
        <f t="shared" si="13"/>
        <v>3439000</v>
      </c>
      <c r="M100" s="178">
        <f t="shared" si="13"/>
        <v>3515000</v>
      </c>
      <c r="N100" s="178">
        <f>SUM(N101:N106)</f>
        <v>3479000</v>
      </c>
      <c r="O100" s="178">
        <f t="shared" ref="O100:Z100" si="14">SUM(O101:O106)</f>
        <v>3621000</v>
      </c>
      <c r="P100" s="178">
        <f t="shared" si="14"/>
        <v>3804796</v>
      </c>
      <c r="Q100" s="178">
        <f t="shared" si="14"/>
        <v>3995611</v>
      </c>
      <c r="R100" s="178">
        <f t="shared" si="14"/>
        <v>4023998</v>
      </c>
      <c r="S100" s="178">
        <f t="shared" si="14"/>
        <v>4075994</v>
      </c>
      <c r="T100" s="178">
        <f t="shared" si="14"/>
        <v>4205356</v>
      </c>
      <c r="U100" s="178">
        <f t="shared" si="14"/>
        <v>4517000</v>
      </c>
      <c r="V100" s="178">
        <f t="shared" si="14"/>
        <v>4786085</v>
      </c>
      <c r="W100" s="178">
        <f t="shared" si="14"/>
        <v>4851393</v>
      </c>
      <c r="X100" s="178">
        <f t="shared" si="14"/>
        <v>4973696</v>
      </c>
      <c r="Y100" s="178">
        <f t="shared" si="14"/>
        <v>5221894</v>
      </c>
      <c r="Z100" s="178">
        <f t="shared" si="14"/>
        <v>5596032</v>
      </c>
      <c r="AA100" s="178">
        <f t="shared" ref="AA100:AS100" si="15">SUM(AA101:AA109)</f>
        <v>5715464</v>
      </c>
      <c r="AB100" s="178">
        <f t="shared" si="15"/>
        <v>6085700</v>
      </c>
      <c r="AC100" s="178">
        <f t="shared" si="15"/>
        <v>6635795</v>
      </c>
      <c r="AD100" s="178">
        <f t="shared" si="15"/>
        <v>8110877</v>
      </c>
      <c r="AE100" s="178">
        <f t="shared" si="15"/>
        <v>8573097</v>
      </c>
      <c r="AF100" s="178">
        <f t="shared" si="15"/>
        <v>8983155</v>
      </c>
      <c r="AG100" s="178">
        <f t="shared" si="15"/>
        <v>9718557</v>
      </c>
      <c r="AH100" s="178">
        <f t="shared" si="15"/>
        <v>10462390</v>
      </c>
      <c r="AI100" s="178">
        <f t="shared" si="15"/>
        <v>10179556</v>
      </c>
      <c r="AJ100" s="178">
        <f t="shared" si="15"/>
        <v>10569520</v>
      </c>
      <c r="AK100" s="178">
        <f t="shared" si="15"/>
        <v>11941123</v>
      </c>
      <c r="AL100" s="178">
        <f t="shared" si="15"/>
        <v>12756361</v>
      </c>
      <c r="AM100" s="178">
        <f t="shared" si="15"/>
        <v>16081201</v>
      </c>
      <c r="AN100" s="178">
        <f t="shared" si="15"/>
        <v>15801255</v>
      </c>
      <c r="AO100" s="178">
        <f t="shared" si="15"/>
        <v>16283130</v>
      </c>
      <c r="AP100" s="178">
        <f t="shared" si="15"/>
        <v>16614353</v>
      </c>
      <c r="AQ100" s="178">
        <f t="shared" si="15"/>
        <v>17760900</v>
      </c>
      <c r="AR100" s="178">
        <f t="shared" si="15"/>
        <v>18590449</v>
      </c>
      <c r="AS100" s="178">
        <f t="shared" si="15"/>
        <v>19573928</v>
      </c>
      <c r="AT100" s="178">
        <f t="shared" ref="AT100:AU100" si="16">SUM(AT101:AT109)</f>
        <v>21016665</v>
      </c>
      <c r="AU100" s="178">
        <f t="shared" si="16"/>
        <v>21395993</v>
      </c>
      <c r="AV100" s="178">
        <f t="shared" ref="AV100" si="17">SUM(AV101:AV109)</f>
        <v>22466623</v>
      </c>
    </row>
    <row r="101" spans="1:48">
      <c r="A101" s="173" t="s">
        <v>762</v>
      </c>
      <c r="B101" s="174"/>
      <c r="C101" s="175">
        <v>1977276</v>
      </c>
      <c r="D101" s="175">
        <v>1977276</v>
      </c>
      <c r="E101" s="175">
        <v>1977276</v>
      </c>
      <c r="F101" s="175">
        <v>1977276.4613600001</v>
      </c>
      <c r="G101" s="175">
        <v>1977276.4613600001</v>
      </c>
      <c r="H101" s="175">
        <v>1977276.4613600001</v>
      </c>
      <c r="I101" s="175">
        <v>1977276</v>
      </c>
      <c r="J101" s="175">
        <v>1977276</v>
      </c>
      <c r="K101" s="175">
        <v>1977000</v>
      </c>
      <c r="L101" s="175">
        <v>1977000</v>
      </c>
      <c r="M101" s="175">
        <v>1979000</v>
      </c>
      <c r="N101" s="175">
        <v>1980000</v>
      </c>
      <c r="O101" s="175">
        <v>1980000</v>
      </c>
      <c r="P101" s="175">
        <v>1981985</v>
      </c>
      <c r="Q101" s="175">
        <v>1981985</v>
      </c>
      <c r="R101" s="175">
        <v>1981985</v>
      </c>
      <c r="S101" s="175">
        <v>1981985</v>
      </c>
      <c r="T101" s="175">
        <v>2227021</v>
      </c>
      <c r="U101" s="175">
        <v>2227021</v>
      </c>
      <c r="V101" s="175">
        <v>2227021</v>
      </c>
      <c r="W101" s="175">
        <v>2227021</v>
      </c>
      <c r="X101" s="175">
        <v>2227491</v>
      </c>
      <c r="Y101" s="175">
        <v>2375354</v>
      </c>
      <c r="Z101" s="175">
        <v>2375354</v>
      </c>
      <c r="AA101" s="175">
        <v>2394929</v>
      </c>
      <c r="AB101" s="175">
        <v>2735580</v>
      </c>
      <c r="AC101" s="175">
        <v>2739133</v>
      </c>
      <c r="AD101" s="175">
        <v>2741931</v>
      </c>
      <c r="AE101" s="175">
        <v>2741931</v>
      </c>
      <c r="AF101" s="175">
        <v>2742270</v>
      </c>
      <c r="AG101" s="175">
        <v>3489736</v>
      </c>
      <c r="AH101" s="175">
        <v>3489736</v>
      </c>
      <c r="AI101" s="175">
        <v>3489736</v>
      </c>
      <c r="AJ101" s="175">
        <v>4655287</v>
      </c>
      <c r="AK101" s="175">
        <v>4655287</v>
      </c>
      <c r="AL101" s="175">
        <v>4655287</v>
      </c>
      <c r="AM101" s="175">
        <v>7437570</v>
      </c>
      <c r="AN101" s="175">
        <v>8872296</v>
      </c>
      <c r="AO101" s="175">
        <v>8872296</v>
      </c>
      <c r="AP101" s="175">
        <v>8872296</v>
      </c>
      <c r="AQ101" s="175">
        <v>8879443</v>
      </c>
      <c r="AR101" s="175">
        <v>8890946</v>
      </c>
      <c r="AS101" s="175">
        <v>9276102</v>
      </c>
      <c r="AT101" s="175">
        <v>9308724</v>
      </c>
      <c r="AU101" s="175">
        <v>9309111</v>
      </c>
      <c r="AV101" s="175">
        <v>9382975</v>
      </c>
    </row>
    <row r="102" spans="1:48">
      <c r="A102" s="173" t="s">
        <v>889</v>
      </c>
      <c r="B102" s="174"/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5"/>
      <c r="AH102" s="175"/>
      <c r="AI102" s="175"/>
      <c r="AJ102" s="175"/>
      <c r="AK102" s="175"/>
      <c r="AL102" s="175"/>
      <c r="AM102" s="175"/>
      <c r="AN102" s="175"/>
      <c r="AO102" s="175"/>
      <c r="AP102" s="175"/>
      <c r="AQ102" s="175"/>
      <c r="AR102" s="175"/>
      <c r="AS102" s="175"/>
      <c r="AT102" s="175"/>
      <c r="AU102" s="175"/>
      <c r="AV102" s="175">
        <v>0</v>
      </c>
    </row>
    <row r="103" spans="1:48">
      <c r="A103" s="173" t="s">
        <v>738</v>
      </c>
      <c r="B103" s="174"/>
      <c r="C103" s="175">
        <v>-27083</v>
      </c>
      <c r="D103" s="175">
        <v>-22262</v>
      </c>
      <c r="E103" s="175">
        <v>-22262</v>
      </c>
      <c r="F103" s="175">
        <v>-22262.789120000001</v>
      </c>
      <c r="G103" s="175">
        <v>-22262</v>
      </c>
      <c r="H103" s="175">
        <v>-22263</v>
      </c>
      <c r="I103" s="175">
        <v>-22263</v>
      </c>
      <c r="J103" s="175">
        <v>-22263</v>
      </c>
      <c r="K103" s="175">
        <v>-22000</v>
      </c>
      <c r="L103" s="175">
        <v>-22000</v>
      </c>
      <c r="M103" s="175">
        <v>-22000</v>
      </c>
      <c r="N103" s="175">
        <v>-22000</v>
      </c>
      <c r="O103" s="175">
        <v>-22000</v>
      </c>
      <c r="P103" s="175">
        <v>-22263</v>
      </c>
      <c r="Q103" s="175">
        <v>-22262</v>
      </c>
      <c r="R103" s="175">
        <v>-22262</v>
      </c>
      <c r="S103" s="175">
        <v>-22262</v>
      </c>
      <c r="T103" s="175">
        <v>-22262</v>
      </c>
      <c r="U103" s="175">
        <v>-22262</v>
      </c>
      <c r="V103" s="175">
        <v>-22262</v>
      </c>
      <c r="W103" s="175">
        <v>-22262</v>
      </c>
      <c r="X103" s="175">
        <v>-22262</v>
      </c>
      <c r="Y103" s="175">
        <v>-22262</v>
      </c>
      <c r="Z103" s="175">
        <v>-22262</v>
      </c>
      <c r="AA103" s="175">
        <v>-22262</v>
      </c>
      <c r="AB103" s="175">
        <v>-22262</v>
      </c>
      <c r="AC103" s="175">
        <v>-22262</v>
      </c>
      <c r="AD103" s="175">
        <v>529933</v>
      </c>
      <c r="AE103" s="175">
        <v>-145494</v>
      </c>
      <c r="AF103" s="175">
        <v>-154352</v>
      </c>
      <c r="AG103" s="175">
        <v>-160445</v>
      </c>
      <c r="AH103" s="175">
        <v>-252843</v>
      </c>
      <c r="AI103" s="175">
        <v>-295828</v>
      </c>
      <c r="AJ103" s="175">
        <v>-264023</v>
      </c>
      <c r="AK103" s="175">
        <v>-300485</v>
      </c>
      <c r="AL103" s="175">
        <v>-272001</v>
      </c>
      <c r="AM103" s="175"/>
      <c r="AN103" s="175"/>
      <c r="AO103" s="175">
        <v>-411971</v>
      </c>
      <c r="AP103" s="175">
        <v>-55699</v>
      </c>
      <c r="AQ103" s="175">
        <v>-146291</v>
      </c>
      <c r="AR103" s="175">
        <v>-215008</v>
      </c>
      <c r="AS103" s="175">
        <v>6265</v>
      </c>
      <c r="AT103" s="175">
        <v>-120988</v>
      </c>
      <c r="AU103" s="175">
        <v>-110122</v>
      </c>
      <c r="AV103" s="175">
        <v>-80280</v>
      </c>
    </row>
    <row r="104" spans="1:48">
      <c r="A104" s="173" t="s">
        <v>764</v>
      </c>
      <c r="B104" s="174"/>
      <c r="C104" s="175">
        <v>457706</v>
      </c>
      <c r="D104" s="175">
        <v>311412</v>
      </c>
      <c r="E104" s="175">
        <v>311412</v>
      </c>
      <c r="F104" s="175">
        <v>497299</v>
      </c>
      <c r="G104" s="175">
        <v>498543</v>
      </c>
      <c r="H104" s="175">
        <v>496984</v>
      </c>
      <c r="I104" s="175">
        <v>502339</v>
      </c>
      <c r="J104" s="175">
        <v>894428</v>
      </c>
      <c r="K104" s="175">
        <v>904400</v>
      </c>
      <c r="L104" s="175">
        <v>911000</v>
      </c>
      <c r="M104" s="175">
        <v>913000</v>
      </c>
      <c r="N104" s="175">
        <v>1517000</v>
      </c>
      <c r="O104" s="175">
        <v>1520000</v>
      </c>
      <c r="P104" s="175">
        <v>1523436</v>
      </c>
      <c r="Q104" s="175">
        <v>1525528</v>
      </c>
      <c r="R104" s="175">
        <v>2064804</v>
      </c>
      <c r="S104" s="175">
        <v>2067400</v>
      </c>
      <c r="T104" s="175">
        <v>1824556</v>
      </c>
      <c r="U104" s="175">
        <v>1824518</v>
      </c>
      <c r="V104" s="175">
        <v>2583952</v>
      </c>
      <c r="W104" s="175">
        <v>2584679</v>
      </c>
      <c r="X104" s="175">
        <v>2585413</v>
      </c>
      <c r="Y104" s="175">
        <v>2437719</v>
      </c>
      <c r="Z104" s="175">
        <v>3270994</v>
      </c>
      <c r="AA104" s="175">
        <v>3270994</v>
      </c>
      <c r="AB104" s="175">
        <v>2849563</v>
      </c>
      <c r="AC104" s="175">
        <v>2849562</v>
      </c>
      <c r="AD104" s="175">
        <v>4993924</v>
      </c>
      <c r="AE104" s="175">
        <v>5536702.9999999991</v>
      </c>
      <c r="AF104" s="175">
        <v>5549549</v>
      </c>
      <c r="AG104" s="175">
        <v>4815621</v>
      </c>
      <c r="AH104" s="175">
        <v>7257231</v>
      </c>
      <c r="AI104" s="175">
        <v>7264427</v>
      </c>
      <c r="AJ104" s="175">
        <v>5947305</v>
      </c>
      <c r="AK104" s="175">
        <v>5955694</v>
      </c>
      <c r="AL104" s="175">
        <v>155745</v>
      </c>
      <c r="AM104" s="175">
        <v>9021765</v>
      </c>
      <c r="AN104" s="175">
        <v>7538567</v>
      </c>
      <c r="AO104" s="175">
        <v>181343</v>
      </c>
      <c r="AP104" s="175">
        <v>187518</v>
      </c>
      <c r="AQ104" s="175">
        <v>1260971</v>
      </c>
      <c r="AR104" s="175">
        <v>1266429</v>
      </c>
      <c r="AS104" s="175">
        <v>1278937</v>
      </c>
      <c r="AT104" s="175">
        <v>2095380</v>
      </c>
      <c r="AU104" s="175">
        <v>2107432</v>
      </c>
      <c r="AV104" s="175">
        <v>2147251</v>
      </c>
    </row>
    <row r="105" spans="1:48">
      <c r="A105" s="173" t="s">
        <v>777</v>
      </c>
      <c r="B105" s="174"/>
      <c r="C105" s="175">
        <v>-1390</v>
      </c>
      <c r="D105" s="175">
        <v>-1390</v>
      </c>
      <c r="E105" s="175">
        <v>-1390</v>
      </c>
      <c r="F105" s="175">
        <v>-1389.38851</v>
      </c>
      <c r="G105" s="175">
        <v>-2633</v>
      </c>
      <c r="H105" s="175">
        <v>-2633</v>
      </c>
      <c r="I105" s="175">
        <v>-2633</v>
      </c>
      <c r="J105" s="175">
        <v>-13075</v>
      </c>
      <c r="K105" s="175">
        <v>-12000</v>
      </c>
      <c r="L105" s="175">
        <v>-12000</v>
      </c>
      <c r="M105" s="175">
        <v>-12000</v>
      </c>
      <c r="N105" s="175">
        <v>4000</v>
      </c>
      <c r="O105" s="175">
        <v>4000</v>
      </c>
      <c r="P105" s="175">
        <v>4050</v>
      </c>
      <c r="Q105" s="175">
        <v>4050</v>
      </c>
      <c r="R105" s="175">
        <v>-529</v>
      </c>
      <c r="S105" s="175">
        <v>-529</v>
      </c>
      <c r="T105" s="175">
        <v>-529</v>
      </c>
      <c r="U105" s="175">
        <v>-529</v>
      </c>
      <c r="V105" s="175">
        <v>-2626</v>
      </c>
      <c r="W105" s="175">
        <v>-2626</v>
      </c>
      <c r="X105" s="175">
        <v>-2626</v>
      </c>
      <c r="Y105" s="175">
        <v>-2626</v>
      </c>
      <c r="Z105" s="175">
        <v>-28054</v>
      </c>
      <c r="AA105" s="175">
        <v>-140977</v>
      </c>
      <c r="AB105" s="175">
        <v>-32034.999999999996</v>
      </c>
      <c r="AC105" s="175">
        <v>-34037</v>
      </c>
      <c r="AD105" s="175">
        <v>-22262</v>
      </c>
      <c r="AE105" s="175">
        <v>0</v>
      </c>
      <c r="AF105" s="175"/>
      <c r="AG105" s="175"/>
      <c r="AH105" s="175"/>
      <c r="AI105" s="175"/>
      <c r="AJ105" s="175"/>
      <c r="AK105" s="175"/>
      <c r="AL105" s="175"/>
      <c r="AM105" s="175">
        <v>-315485</v>
      </c>
      <c r="AN105" s="175">
        <v>-376656</v>
      </c>
      <c r="AO105" s="175"/>
      <c r="AP105" s="175"/>
      <c r="AQ105" s="175"/>
      <c r="AR105" s="175"/>
      <c r="AS105" s="175"/>
      <c r="AT105" s="175"/>
      <c r="AU105" s="175"/>
      <c r="AV105" s="175"/>
    </row>
    <row r="106" spans="1:48">
      <c r="A106" s="173" t="s">
        <v>765</v>
      </c>
      <c r="B106" s="174"/>
      <c r="C106" s="175">
        <v>-24593</v>
      </c>
      <c r="D106" s="175">
        <v>-68921.972500000091</v>
      </c>
      <c r="E106" s="175">
        <v>135339.27621000001</v>
      </c>
      <c r="F106" s="175">
        <v>-96751.318069999994</v>
      </c>
      <c r="G106" s="175">
        <v>-81544</v>
      </c>
      <c r="H106" s="175">
        <v>-266250.05329000001</v>
      </c>
      <c r="I106" s="175">
        <v>16730.123909999998</v>
      </c>
      <c r="J106" s="175">
        <v>0</v>
      </c>
      <c r="K106" s="175">
        <v>85000</v>
      </c>
      <c r="L106" s="175">
        <v>585000</v>
      </c>
      <c r="M106" s="175">
        <v>657000</v>
      </c>
      <c r="N106" s="175">
        <v>0</v>
      </c>
      <c r="O106" s="175">
        <v>139000</v>
      </c>
      <c r="P106" s="175">
        <v>317588</v>
      </c>
      <c r="Q106" s="175">
        <v>506310</v>
      </c>
      <c r="R106" s="175">
        <v>0</v>
      </c>
      <c r="S106" s="175">
        <v>49400</v>
      </c>
      <c r="T106" s="175">
        <v>176570</v>
      </c>
      <c r="U106" s="175">
        <v>488252</v>
      </c>
      <c r="V106" s="175">
        <v>0</v>
      </c>
      <c r="W106" s="175">
        <v>64581</v>
      </c>
      <c r="X106" s="175">
        <v>185680</v>
      </c>
      <c r="Y106" s="175">
        <v>433709</v>
      </c>
      <c r="Z106" s="175"/>
      <c r="AA106" s="175">
        <v>212780</v>
      </c>
      <c r="AB106" s="175">
        <v>554854</v>
      </c>
      <c r="AC106" s="175">
        <v>1103399</v>
      </c>
      <c r="AD106" s="175">
        <v>-132649</v>
      </c>
      <c r="AE106" s="175">
        <v>439957</v>
      </c>
      <c r="AF106" s="175">
        <v>845688</v>
      </c>
      <c r="AG106" s="175">
        <v>1573645</v>
      </c>
      <c r="AH106" s="175"/>
      <c r="AI106" s="175">
        <v>353226</v>
      </c>
      <c r="AJ106" s="175">
        <v>862956</v>
      </c>
      <c r="AK106" s="175">
        <v>2273352</v>
      </c>
      <c r="AL106" s="175">
        <v>8860055</v>
      </c>
      <c r="AM106" s="175">
        <v>580076</v>
      </c>
      <c r="AN106" s="175">
        <v>409773</v>
      </c>
      <c r="AO106" s="175">
        <v>7370153</v>
      </c>
      <c r="AP106" s="175">
        <v>8245816</v>
      </c>
      <c r="AQ106" s="175">
        <v>8245816</v>
      </c>
      <c r="AR106" s="175">
        <v>8241848</v>
      </c>
      <c r="AS106" s="175">
        <v>8241848</v>
      </c>
      <c r="AT106" s="175">
        <v>9848680</v>
      </c>
      <c r="AU106" s="175">
        <v>9810127</v>
      </c>
      <c r="AV106" s="175">
        <v>9801242</v>
      </c>
    </row>
    <row r="107" spans="1:48">
      <c r="A107" s="173" t="s">
        <v>878</v>
      </c>
      <c r="B107" s="174"/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5"/>
      <c r="AK107" s="175"/>
      <c r="AL107" s="175">
        <v>0</v>
      </c>
      <c r="AM107" s="175"/>
      <c r="AN107" s="175"/>
      <c r="AO107" s="175">
        <v>914034</v>
      </c>
      <c r="AP107" s="175">
        <v>0</v>
      </c>
      <c r="AQ107" s="175">
        <v>163686</v>
      </c>
      <c r="AR107" s="175">
        <v>681385</v>
      </c>
      <c r="AS107" s="175">
        <v>1401408</v>
      </c>
      <c r="AT107" s="175">
        <v>-115131</v>
      </c>
      <c r="AU107" s="175">
        <v>279445</v>
      </c>
      <c r="AV107" s="175">
        <v>787919</v>
      </c>
    </row>
    <row r="108" spans="1:48">
      <c r="A108" s="173" t="s">
        <v>879</v>
      </c>
      <c r="B108" s="174"/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>
        <v>-31734</v>
      </c>
      <c r="AI108" s="175">
        <v>-632005</v>
      </c>
      <c r="AJ108" s="175">
        <v>-632005</v>
      </c>
      <c r="AK108" s="175">
        <v>-642725</v>
      </c>
      <c r="AL108" s="175">
        <v>-642725</v>
      </c>
      <c r="AM108" s="175">
        <v>-642725</v>
      </c>
      <c r="AN108" s="175">
        <v>-642725</v>
      </c>
      <c r="AO108" s="175">
        <v>-642725</v>
      </c>
      <c r="AP108" s="175">
        <v>-642725</v>
      </c>
      <c r="AQ108" s="175">
        <v>-642725</v>
      </c>
      <c r="AR108" s="175">
        <v>-642725</v>
      </c>
      <c r="AS108" s="175">
        <v>-630632</v>
      </c>
      <c r="AT108" s="175">
        <v>0</v>
      </c>
      <c r="AU108" s="175"/>
      <c r="AV108" s="175">
        <v>-29756</v>
      </c>
    </row>
    <row r="109" spans="1:48" ht="15" thickBot="1">
      <c r="A109" s="173" t="s">
        <v>796</v>
      </c>
      <c r="B109" s="174"/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  <c r="AH109" s="175"/>
      <c r="AI109" s="175"/>
      <c r="AJ109" s="175"/>
      <c r="AK109" s="175"/>
      <c r="AL109" s="175"/>
      <c r="AM109" s="175"/>
      <c r="AN109" s="175"/>
      <c r="AO109" s="175"/>
      <c r="AP109" s="175">
        <v>7147</v>
      </c>
      <c r="AQ109" s="175"/>
      <c r="AR109" s="175">
        <v>367574</v>
      </c>
      <c r="AS109" s="175">
        <v>0</v>
      </c>
      <c r="AT109" s="175">
        <v>0</v>
      </c>
      <c r="AU109" s="175"/>
      <c r="AV109" s="175">
        <v>457272</v>
      </c>
    </row>
    <row r="110" spans="1:48" ht="15" thickBot="1">
      <c r="A110" s="177" t="s">
        <v>740</v>
      </c>
      <c r="B110" s="170"/>
      <c r="C110" s="178">
        <f t="shared" ref="C110:AS110" si="18">C100+C99+C80+C55</f>
        <v>9090362</v>
      </c>
      <c r="D110" s="178">
        <f t="shared" si="18"/>
        <v>9044973.0974499993</v>
      </c>
      <c r="E110" s="178">
        <f t="shared" si="18"/>
        <v>9103485.6875700001</v>
      </c>
      <c r="F110" s="178">
        <f t="shared" si="18"/>
        <v>9103497.7326800004</v>
      </c>
      <c r="G110" s="178">
        <f t="shared" si="18"/>
        <v>9291633.8968099989</v>
      </c>
      <c r="H110" s="178">
        <f t="shared" si="18"/>
        <v>9303223.7943900004</v>
      </c>
      <c r="I110" s="178">
        <f t="shared" si="18"/>
        <v>9779306.9760299996</v>
      </c>
      <c r="J110" s="178">
        <f t="shared" si="18"/>
        <v>11269867</v>
      </c>
      <c r="K110" s="178">
        <f t="shared" si="18"/>
        <v>11302800</v>
      </c>
      <c r="L110" s="178">
        <f t="shared" si="18"/>
        <v>11626000</v>
      </c>
      <c r="M110" s="178">
        <f t="shared" si="18"/>
        <v>12287445</v>
      </c>
      <c r="N110" s="178">
        <f t="shared" si="18"/>
        <v>12585665</v>
      </c>
      <c r="O110" s="178">
        <f t="shared" si="18"/>
        <v>12473577</v>
      </c>
      <c r="P110" s="178">
        <f t="shared" si="18"/>
        <v>12671720</v>
      </c>
      <c r="Q110" s="178">
        <f t="shared" si="18"/>
        <v>12855594</v>
      </c>
      <c r="R110" s="178">
        <f t="shared" si="18"/>
        <v>14219520</v>
      </c>
      <c r="S110" s="178">
        <f t="shared" si="18"/>
        <v>13902302</v>
      </c>
      <c r="T110" s="178">
        <f t="shared" si="18"/>
        <v>14341674</v>
      </c>
      <c r="U110" s="178">
        <f t="shared" si="18"/>
        <v>15072973</v>
      </c>
      <c r="V110" s="178">
        <f t="shared" si="18"/>
        <v>17488451</v>
      </c>
      <c r="W110" s="178">
        <f t="shared" si="18"/>
        <v>17386033</v>
      </c>
      <c r="X110" s="178">
        <f t="shared" si="18"/>
        <v>18348912</v>
      </c>
      <c r="Y110" s="178">
        <f t="shared" si="18"/>
        <v>19399055</v>
      </c>
      <c r="Z110" s="178">
        <f t="shared" si="18"/>
        <v>25505996</v>
      </c>
      <c r="AA110" s="178">
        <f t="shared" si="18"/>
        <v>30744475</v>
      </c>
      <c r="AB110" s="178">
        <f t="shared" si="18"/>
        <v>32721740</v>
      </c>
      <c r="AC110" s="178">
        <f t="shared" si="18"/>
        <v>33872014</v>
      </c>
      <c r="AD110" s="178">
        <f t="shared" si="18"/>
        <v>37530095</v>
      </c>
      <c r="AE110" s="178">
        <f t="shared" si="18"/>
        <v>39457780</v>
      </c>
      <c r="AF110" s="178">
        <f t="shared" si="18"/>
        <v>40503036</v>
      </c>
      <c r="AG110" s="178">
        <f t="shared" si="18"/>
        <v>42136010</v>
      </c>
      <c r="AH110" s="178">
        <f t="shared" si="18"/>
        <v>44124020</v>
      </c>
      <c r="AI110" s="178">
        <f t="shared" si="18"/>
        <v>42298314</v>
      </c>
      <c r="AJ110" s="178">
        <f t="shared" si="18"/>
        <v>43552604</v>
      </c>
      <c r="AK110" s="178">
        <f t="shared" si="18"/>
        <v>55563723.775030002</v>
      </c>
      <c r="AL110" s="178">
        <f t="shared" si="18"/>
        <v>61714300</v>
      </c>
      <c r="AM110" s="178">
        <f t="shared" si="18"/>
        <v>70620775.212427199</v>
      </c>
      <c r="AN110" s="178">
        <f t="shared" si="18"/>
        <v>71409298.894101709</v>
      </c>
      <c r="AO110" s="178">
        <f t="shared" si="18"/>
        <v>70907242</v>
      </c>
      <c r="AP110" s="178">
        <f t="shared" si="18"/>
        <v>90617397</v>
      </c>
      <c r="AQ110" s="178">
        <f t="shared" si="18"/>
        <v>92834649</v>
      </c>
      <c r="AR110" s="178">
        <f t="shared" si="18"/>
        <v>95701577</v>
      </c>
      <c r="AS110" s="178">
        <f t="shared" si="18"/>
        <v>98775410.00891</v>
      </c>
      <c r="AT110" s="178">
        <f t="shared" ref="AT110:AU110" si="19">AT100+AT99+AT80+AT55</f>
        <v>103643453</v>
      </c>
      <c r="AU110" s="178">
        <f t="shared" si="19"/>
        <v>100456503</v>
      </c>
      <c r="AV110" s="178">
        <f t="shared" ref="AV110" si="20">AV100+AV99+AV80+AV55</f>
        <v>105098408</v>
      </c>
    </row>
    <row r="111" spans="1:48" s="187" customFormat="1" ht="12">
      <c r="B111" s="3"/>
      <c r="C111" s="188"/>
      <c r="D111" s="188"/>
      <c r="E111" s="188"/>
      <c r="F111" s="188"/>
      <c r="G111" s="188"/>
      <c r="H111" s="188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>
        <f t="shared" ref="AM111:AS111" si="21">AM110-AM52</f>
        <v>0.21242719888687134</v>
      </c>
      <c r="AN111" s="188">
        <f t="shared" si="21"/>
        <v>-0.10589829087257385</v>
      </c>
      <c r="AO111" s="188">
        <f t="shared" si="21"/>
        <v>0</v>
      </c>
      <c r="AP111" s="188">
        <f t="shared" si="21"/>
        <v>0</v>
      </c>
      <c r="AQ111" s="188">
        <f t="shared" si="21"/>
        <v>0</v>
      </c>
      <c r="AR111" s="188">
        <f t="shared" si="21"/>
        <v>0</v>
      </c>
      <c r="AS111" s="188">
        <f t="shared" si="21"/>
        <v>0</v>
      </c>
      <c r="AT111" s="188">
        <f t="shared" ref="AT111:AU111" si="22">AT110-AT52</f>
        <v>0</v>
      </c>
      <c r="AU111" s="188">
        <f t="shared" si="22"/>
        <v>0</v>
      </c>
      <c r="AV111" s="188">
        <f t="shared" ref="AV111" si="23">AV110-AV52</f>
        <v>0</v>
      </c>
    </row>
    <row r="112" spans="1:48"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AO80:AS80" formulaRange="1"/>
  </ignoredError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002060"/>
  </sheetPr>
  <dimension ref="B4:L8"/>
  <sheetViews>
    <sheetView showGridLines="0" zoomScale="85" zoomScaleNormal="85" workbookViewId="0"/>
  </sheetViews>
  <sheetFormatPr defaultRowHeight="14.5"/>
  <cols>
    <col min="2" max="2" width="1.453125" customWidth="1"/>
    <col min="8" max="8" width="2" customWidth="1"/>
    <col min="13" max="13" width="2" customWidth="1"/>
    <col min="18" max="18" width="2" customWidth="1"/>
    <col min="23" max="23" width="2" customWidth="1"/>
  </cols>
  <sheetData>
    <row r="4" spans="2:12" s="1" customFormat="1" ht="32.5" customHeight="1">
      <c r="B4" s="2" t="s">
        <v>890</v>
      </c>
    </row>
    <row r="8" spans="2:12" ht="30" customHeight="1">
      <c r="D8" s="35" t="s">
        <v>891</v>
      </c>
      <c r="E8" s="36"/>
      <c r="F8" s="36"/>
      <c r="G8" s="36"/>
      <c r="I8" s="35" t="s">
        <v>892</v>
      </c>
      <c r="J8" s="36"/>
      <c r="K8" s="36"/>
      <c r="L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9" tint="0.79998168889431442"/>
  </sheetPr>
  <dimension ref="B1:S140"/>
  <sheetViews>
    <sheetView showGridLines="0" zoomScale="85" zoomScaleNormal="85" workbookViewId="0">
      <pane xSplit="3" ySplit="6" topLeftCell="D7" activePane="bottomRight" state="frozen"/>
      <selection pane="topRight" activeCell="L103" sqref="L103"/>
      <selection pane="bottomLeft" activeCell="L103" sqref="L103"/>
      <selection pane="bottomRight" activeCell="I10" sqref="I10"/>
    </sheetView>
  </sheetViews>
  <sheetFormatPr defaultColWidth="9.1796875" defaultRowHeight="14.5"/>
  <cols>
    <col min="1" max="1" width="9.1796875" style="37"/>
    <col min="2" max="2" width="6.54296875" style="37" customWidth="1"/>
    <col min="3" max="3" width="4.54296875" style="62" customWidth="1"/>
    <col min="4" max="4" width="26.1796875" style="62" bestFit="1" customWidth="1"/>
    <col min="5" max="5" width="14" style="62" customWidth="1"/>
    <col min="6" max="11" width="10.54296875" style="62" customWidth="1"/>
    <col min="12" max="12" width="12.453125" style="62" customWidth="1"/>
    <col min="13" max="19" width="11.7265625" style="37" bestFit="1" customWidth="1"/>
    <col min="20" max="16384" width="9.1796875" style="37"/>
  </cols>
  <sheetData>
    <row r="1" spans="3:12">
      <c r="D1" s="63"/>
    </row>
    <row r="2" spans="3:12">
      <c r="D2" s="63"/>
    </row>
    <row r="3" spans="3:12">
      <c r="D3" s="63"/>
    </row>
    <row r="4" spans="3:12">
      <c r="D4" s="63"/>
    </row>
    <row r="6" spans="3:12" ht="32.15" customHeight="1" thickBot="1">
      <c r="D6" s="569" t="s">
        <v>893</v>
      </c>
      <c r="E6" s="570" t="s">
        <v>894</v>
      </c>
      <c r="F6" s="569">
        <v>2024</v>
      </c>
      <c r="G6" s="569">
        <v>2025</v>
      </c>
      <c r="H6" s="569">
        <v>2026</v>
      </c>
      <c r="I6" s="569" t="s">
        <v>895</v>
      </c>
      <c r="J6" s="569" t="s">
        <v>896</v>
      </c>
      <c r="K6" s="569" t="s">
        <v>897</v>
      </c>
      <c r="L6" s="569" t="s">
        <v>160</v>
      </c>
    </row>
    <row r="7" spans="3:12" ht="23.15" customHeight="1" thickBot="1">
      <c r="C7" s="64"/>
      <c r="D7" s="65" t="s">
        <v>898</v>
      </c>
      <c r="E7" s="66"/>
      <c r="F7" s="67"/>
      <c r="G7" s="67"/>
      <c r="H7" s="67"/>
      <c r="I7" s="67"/>
      <c r="J7" s="67"/>
      <c r="K7" s="67"/>
      <c r="L7" s="68"/>
    </row>
    <row r="8" spans="3:12" ht="15" customHeight="1">
      <c r="C8" s="762" t="s">
        <v>67</v>
      </c>
      <c r="D8" s="69" t="s">
        <v>899</v>
      </c>
      <c r="E8" s="70">
        <v>1.1180000000000001</v>
      </c>
      <c r="F8" s="71">
        <v>0</v>
      </c>
      <c r="G8" s="71">
        <v>0</v>
      </c>
      <c r="H8" s="71">
        <v>0</v>
      </c>
      <c r="I8" s="71">
        <v>0</v>
      </c>
      <c r="J8" s="71">
        <v>0</v>
      </c>
      <c r="K8" s="71">
        <v>0</v>
      </c>
      <c r="L8" s="72">
        <f t="shared" ref="L8:L13" si="0">SUM(F8:K8)</f>
        <v>0</v>
      </c>
    </row>
    <row r="9" spans="3:12">
      <c r="C9" s="762"/>
      <c r="D9" s="69" t="s">
        <v>900</v>
      </c>
      <c r="E9" s="73" t="s">
        <v>901</v>
      </c>
      <c r="F9" s="71">
        <v>24.259006544874918</v>
      </c>
      <c r="G9" s="71">
        <v>1104.58</v>
      </c>
      <c r="H9" s="71">
        <v>450</v>
      </c>
      <c r="I9" s="71">
        <v>900</v>
      </c>
      <c r="J9" s="71">
        <v>0</v>
      </c>
      <c r="K9" s="71">
        <v>0</v>
      </c>
      <c r="L9" s="72">
        <f t="shared" si="0"/>
        <v>2478.8390065448748</v>
      </c>
    </row>
    <row r="10" spans="3:12">
      <c r="C10" s="762"/>
      <c r="D10" s="69" t="s">
        <v>902</v>
      </c>
      <c r="E10" s="74" t="s">
        <v>903</v>
      </c>
      <c r="F10" s="71">
        <v>164.08396827286205</v>
      </c>
      <c r="G10" s="71">
        <v>320.34257923649511</v>
      </c>
      <c r="H10" s="71">
        <v>319.79176708068616</v>
      </c>
      <c r="I10" s="71">
        <v>1045.8653891847653</v>
      </c>
      <c r="J10" s="71">
        <v>534.27442165283856</v>
      </c>
      <c r="K10" s="71">
        <v>0</v>
      </c>
      <c r="L10" s="72">
        <f t="shared" si="0"/>
        <v>2384.3581254276469</v>
      </c>
    </row>
    <row r="11" spans="3:12">
      <c r="C11" s="762"/>
      <c r="D11" s="69" t="s">
        <v>904</v>
      </c>
      <c r="E11" s="75" t="s">
        <v>905</v>
      </c>
      <c r="F11" s="71">
        <v>0.70060799373233595</v>
      </c>
      <c r="G11" s="71">
        <v>0</v>
      </c>
      <c r="H11" s="71">
        <v>0</v>
      </c>
      <c r="I11" s="71">
        <v>275.92170272767459</v>
      </c>
      <c r="J11" s="71">
        <v>0</v>
      </c>
      <c r="K11" s="71">
        <v>0</v>
      </c>
      <c r="L11" s="72">
        <f t="shared" si="0"/>
        <v>276.6223107214069</v>
      </c>
    </row>
    <row r="12" spans="3:12">
      <c r="C12" s="762"/>
      <c r="D12" s="69" t="s">
        <v>906</v>
      </c>
      <c r="E12" s="76" t="s">
        <v>907</v>
      </c>
      <c r="F12" s="71">
        <v>20.517562985222249</v>
      </c>
      <c r="G12" s="71">
        <v>33.912319320000002</v>
      </c>
      <c r="H12" s="71">
        <v>33.912319320000009</v>
      </c>
      <c r="I12" s="71">
        <v>27.821646340000001</v>
      </c>
      <c r="J12" s="71">
        <v>0</v>
      </c>
      <c r="K12" s="71">
        <v>0</v>
      </c>
      <c r="L12" s="72">
        <f t="shared" si="0"/>
        <v>116.16384796522226</v>
      </c>
    </row>
    <row r="13" spans="3:12">
      <c r="C13" s="762"/>
      <c r="D13" s="69" t="s">
        <v>908</v>
      </c>
      <c r="E13" s="74" t="s">
        <v>371</v>
      </c>
      <c r="F13" s="71">
        <v>-0.72826647999999994</v>
      </c>
      <c r="G13" s="71">
        <v>-8.6186359099999983</v>
      </c>
      <c r="H13" s="71">
        <v>-5.9661518499999993</v>
      </c>
      <c r="I13" s="71">
        <v>-32.97521175</v>
      </c>
      <c r="J13" s="71">
        <v>-2.0378777700000006</v>
      </c>
      <c r="K13" s="71">
        <v>0</v>
      </c>
      <c r="L13" s="72">
        <f t="shared" si="0"/>
        <v>-50.326143760000001</v>
      </c>
    </row>
    <row r="14" spans="3:12" ht="15" customHeight="1">
      <c r="C14" s="77"/>
      <c r="D14" s="565" t="s">
        <v>909</v>
      </c>
      <c r="E14" s="568"/>
      <c r="F14" s="567">
        <f t="shared" ref="F14:K14" si="1">SUM(F8:F13)</f>
        <v>208.83287931669156</v>
      </c>
      <c r="G14" s="567">
        <f t="shared" si="1"/>
        <v>1450.2162626464951</v>
      </c>
      <c r="H14" s="567">
        <f t="shared" si="1"/>
        <v>797.7379345506863</v>
      </c>
      <c r="I14" s="567">
        <f t="shared" si="1"/>
        <v>2216.6335265024395</v>
      </c>
      <c r="J14" s="567">
        <f t="shared" si="1"/>
        <v>532.23654388283853</v>
      </c>
      <c r="K14" s="567">
        <f t="shared" si="1"/>
        <v>0</v>
      </c>
      <c r="L14" s="647">
        <f>SUM(L8:L13)</f>
        <v>5205.6571468991506</v>
      </c>
    </row>
    <row r="15" spans="3:12" ht="15" customHeight="1" thickBot="1">
      <c r="C15" s="77"/>
      <c r="D15" s="78"/>
      <c r="E15" s="78"/>
      <c r="F15" s="79"/>
      <c r="G15" s="79"/>
      <c r="H15" s="79"/>
      <c r="I15" s="79"/>
      <c r="J15" s="79"/>
      <c r="K15" s="79"/>
      <c r="L15" s="648"/>
    </row>
    <row r="16" spans="3:12" ht="15" thickBot="1">
      <c r="C16" s="762" t="s">
        <v>55</v>
      </c>
      <c r="D16" s="65" t="s">
        <v>898</v>
      </c>
      <c r="E16" s="66"/>
      <c r="F16" s="67"/>
      <c r="G16" s="67"/>
      <c r="H16" s="67"/>
      <c r="I16" s="67"/>
      <c r="J16" s="67"/>
      <c r="K16" s="67"/>
      <c r="L16" s="68"/>
    </row>
    <row r="17" spans="3:13" ht="15" customHeight="1">
      <c r="C17" s="762"/>
      <c r="D17" s="69" t="s">
        <v>910</v>
      </c>
      <c r="E17" s="75" t="s">
        <v>911</v>
      </c>
      <c r="F17" s="71">
        <v>25.627722540429058</v>
      </c>
      <c r="G17" s="71">
        <v>639.20955326938224</v>
      </c>
      <c r="H17" s="71">
        <v>100</v>
      </c>
      <c r="I17" s="71">
        <v>700</v>
      </c>
      <c r="J17" s="71">
        <v>0</v>
      </c>
      <c r="K17" s="71">
        <v>0</v>
      </c>
      <c r="L17" s="72">
        <f>SUM(F17:K17)</f>
        <v>1464.8372758098112</v>
      </c>
    </row>
    <row r="18" spans="3:13">
      <c r="C18" s="762"/>
      <c r="D18" s="69" t="s">
        <v>902</v>
      </c>
      <c r="E18" s="80" t="s">
        <v>912</v>
      </c>
      <c r="F18" s="71">
        <v>94.117003981683084</v>
      </c>
      <c r="G18" s="71">
        <v>168.27741859125786</v>
      </c>
      <c r="H18" s="71">
        <v>167.73933029900195</v>
      </c>
      <c r="I18" s="71">
        <v>1227.8231300216414</v>
      </c>
      <c r="J18" s="71">
        <v>430.00314926999999</v>
      </c>
      <c r="K18" s="71">
        <v>0</v>
      </c>
      <c r="L18" s="72">
        <f>SUM(F18:K18)</f>
        <v>2087.9600321635844</v>
      </c>
    </row>
    <row r="19" spans="3:13">
      <c r="C19" s="762"/>
      <c r="D19" s="69" t="s">
        <v>906</v>
      </c>
      <c r="E19" s="81">
        <v>0.06</v>
      </c>
      <c r="F19" s="71">
        <v>1.3781385600000002</v>
      </c>
      <c r="G19" s="71">
        <v>2.27427804</v>
      </c>
      <c r="H19" s="71">
        <v>0</v>
      </c>
      <c r="I19" s="71">
        <v>0</v>
      </c>
      <c r="J19" s="71">
        <v>0</v>
      </c>
      <c r="K19" s="71">
        <v>0</v>
      </c>
      <c r="L19" s="72">
        <f>SUM(F19:K19)</f>
        <v>3.6524166000000005</v>
      </c>
    </row>
    <row r="20" spans="3:13">
      <c r="C20" s="762"/>
      <c r="D20" s="69" t="s">
        <v>908</v>
      </c>
      <c r="E20" s="82" t="s">
        <v>371</v>
      </c>
      <c r="F20" s="71">
        <v>-0.997950795625</v>
      </c>
      <c r="G20" s="71">
        <v>-1.99590159125</v>
      </c>
      <c r="H20" s="71">
        <v>-1.99590159125</v>
      </c>
      <c r="I20" s="71">
        <v>-12.794459456249999</v>
      </c>
      <c r="J20" s="71">
        <v>-4.0275402500000004</v>
      </c>
      <c r="K20" s="71">
        <v>0</v>
      </c>
      <c r="L20" s="72">
        <f>SUM(F20:K20)</f>
        <v>-21.811753684374999</v>
      </c>
    </row>
    <row r="21" spans="3:13" ht="12.75" customHeight="1">
      <c r="C21" s="83"/>
      <c r="D21" s="565" t="s">
        <v>913</v>
      </c>
      <c r="E21" s="568"/>
      <c r="F21" s="567">
        <f t="shared" ref="F21:K21" si="2">SUM(F17:F20)</f>
        <v>120.12491428648714</v>
      </c>
      <c r="G21" s="567">
        <f t="shared" si="2"/>
        <v>807.76534830939011</v>
      </c>
      <c r="H21" s="567">
        <f t="shared" si="2"/>
        <v>265.74342870775195</v>
      </c>
      <c r="I21" s="567">
        <f t="shared" si="2"/>
        <v>1915.0286705653914</v>
      </c>
      <c r="J21" s="567">
        <f t="shared" si="2"/>
        <v>425.97560901999998</v>
      </c>
      <c r="K21" s="567">
        <f t="shared" si="2"/>
        <v>0</v>
      </c>
      <c r="L21" s="647">
        <f>SUM(L17:L20)</f>
        <v>3534.6379708890204</v>
      </c>
    </row>
    <row r="22" spans="3:13" ht="15" customHeight="1" thickBot="1">
      <c r="C22" s="84"/>
      <c r="D22" s="85"/>
      <c r="E22" s="86"/>
      <c r="F22" s="640"/>
      <c r="G22" s="640"/>
      <c r="H22" s="640"/>
      <c r="I22" s="640"/>
      <c r="J22" s="640"/>
      <c r="K22" s="640"/>
      <c r="L22" s="649"/>
    </row>
    <row r="23" spans="3:13" ht="15" thickBot="1">
      <c r="C23" s="762" t="s">
        <v>69</v>
      </c>
      <c r="D23" s="65" t="s">
        <v>898</v>
      </c>
      <c r="E23" s="66"/>
      <c r="F23" s="67"/>
      <c r="G23" s="67"/>
      <c r="H23" s="67"/>
      <c r="I23" s="67"/>
      <c r="J23" s="67"/>
      <c r="K23" s="67"/>
      <c r="L23" s="68"/>
    </row>
    <row r="24" spans="3:13" ht="15" customHeight="1">
      <c r="C24" s="762"/>
      <c r="D24" s="69" t="s">
        <v>900</v>
      </c>
      <c r="E24" s="75" t="s">
        <v>914</v>
      </c>
      <c r="F24" s="71">
        <v>531.92277452050575</v>
      </c>
      <c r="G24" s="71">
        <v>547.45888338016664</v>
      </c>
      <c r="H24" s="71">
        <v>1053.5965654000001</v>
      </c>
      <c r="I24" s="71">
        <v>0</v>
      </c>
      <c r="J24" s="71">
        <v>0</v>
      </c>
      <c r="K24" s="71">
        <v>0</v>
      </c>
      <c r="L24" s="72">
        <f>SUM(F24:K24)</f>
        <v>2132.9782233006727</v>
      </c>
    </row>
    <row r="25" spans="3:13">
      <c r="C25" s="762"/>
      <c r="D25" s="69" t="s">
        <v>902</v>
      </c>
      <c r="E25" s="80" t="s">
        <v>915</v>
      </c>
      <c r="F25" s="71">
        <v>38.106148463367809</v>
      </c>
      <c r="G25" s="71">
        <v>72.824559015220615</v>
      </c>
      <c r="H25" s="71">
        <v>72.82456943044123</v>
      </c>
      <c r="I25" s="71">
        <v>582.59655544352984</v>
      </c>
      <c r="J25" s="71">
        <v>377.80386979714058</v>
      </c>
      <c r="K25" s="71">
        <v>0</v>
      </c>
      <c r="L25" s="72">
        <f>SUM(F25:K25)</f>
        <v>1144.1557021497001</v>
      </c>
    </row>
    <row r="26" spans="3:13">
      <c r="C26" s="762"/>
      <c r="D26" s="69" t="s">
        <v>906</v>
      </c>
      <c r="E26" s="74" t="s">
        <v>916</v>
      </c>
      <c r="F26" s="71">
        <v>14.856236953706521</v>
      </c>
      <c r="G26" s="71">
        <v>24.650367933433373</v>
      </c>
      <c r="H26" s="71">
        <v>25.882886330105055</v>
      </c>
      <c r="I26" s="71">
        <v>259.51642456492618</v>
      </c>
      <c r="J26" s="71">
        <v>505.03825587776061</v>
      </c>
      <c r="K26" s="71">
        <v>269.02576070609211</v>
      </c>
      <c r="L26" s="72">
        <f>SUM(F26:K26)</f>
        <v>1098.9699323660238</v>
      </c>
    </row>
    <row r="27" spans="3:13">
      <c r="C27" s="762"/>
      <c r="D27" s="69" t="s">
        <v>908</v>
      </c>
      <c r="E27" s="81" t="s">
        <v>371</v>
      </c>
      <c r="F27" s="71">
        <v>-1.0200599999999999E-3</v>
      </c>
      <c r="G27" s="71">
        <v>-33.655080959999985</v>
      </c>
      <c r="H27" s="71">
        <v>-22.437400679999993</v>
      </c>
      <c r="I27" s="71">
        <v>-179.49920543999997</v>
      </c>
      <c r="J27" s="71">
        <v>-224.36465570999997</v>
      </c>
      <c r="K27" s="71">
        <v>-86.002214479999978</v>
      </c>
      <c r="L27" s="72">
        <f>SUM(F27:K27)</f>
        <v>-545.95957732999989</v>
      </c>
      <c r="M27" s="634"/>
    </row>
    <row r="28" spans="3:13" ht="15" customHeight="1">
      <c r="C28" s="84"/>
      <c r="D28" s="565" t="s">
        <v>917</v>
      </c>
      <c r="E28" s="568"/>
      <c r="F28" s="567">
        <f t="shared" ref="F28:K28" si="3">SUM(F24:F27)</f>
        <v>584.8841398775802</v>
      </c>
      <c r="G28" s="567">
        <f t="shared" si="3"/>
        <v>611.27872936882068</v>
      </c>
      <c r="H28" s="567">
        <f t="shared" si="3"/>
        <v>1129.8666204805465</v>
      </c>
      <c r="I28" s="567">
        <f t="shared" si="3"/>
        <v>662.61377456845605</v>
      </c>
      <c r="J28" s="567">
        <f t="shared" si="3"/>
        <v>658.47746996490116</v>
      </c>
      <c r="K28" s="567">
        <f t="shared" si="3"/>
        <v>183.02354622609215</v>
      </c>
      <c r="L28" s="647">
        <f>SUM(L24:L27)</f>
        <v>3830.1442804863973</v>
      </c>
    </row>
    <row r="29" spans="3:13" ht="15" customHeight="1" thickBot="1">
      <c r="C29" s="84"/>
      <c r="D29" s="85"/>
      <c r="E29" s="86"/>
      <c r="F29" s="640"/>
      <c r="G29" s="640"/>
      <c r="H29" s="640"/>
      <c r="I29" s="640"/>
      <c r="J29" s="640"/>
      <c r="K29" s="640"/>
      <c r="L29" s="649"/>
    </row>
    <row r="30" spans="3:13" ht="15" thickBot="1">
      <c r="C30" s="763" t="s">
        <v>71</v>
      </c>
      <c r="D30" s="65" t="s">
        <v>898</v>
      </c>
      <c r="E30" s="66"/>
      <c r="F30" s="67"/>
      <c r="G30" s="67"/>
      <c r="H30" s="67"/>
      <c r="I30" s="67"/>
      <c r="J30" s="67"/>
      <c r="K30" s="67"/>
      <c r="L30" s="68"/>
    </row>
    <row r="31" spans="3:13" ht="15" customHeight="1">
      <c r="C31" s="763"/>
      <c r="D31" s="69" t="s">
        <v>899</v>
      </c>
      <c r="E31" s="88" t="s">
        <v>918</v>
      </c>
      <c r="F31" s="71">
        <v>0</v>
      </c>
      <c r="G31" s="71">
        <v>0</v>
      </c>
      <c r="H31" s="71">
        <v>0</v>
      </c>
      <c r="I31" s="71">
        <v>0</v>
      </c>
      <c r="J31" s="71">
        <v>0</v>
      </c>
      <c r="K31" s="71">
        <v>0</v>
      </c>
      <c r="L31" s="72">
        <f>SUM(F31:K31)</f>
        <v>0</v>
      </c>
    </row>
    <row r="32" spans="3:13">
      <c r="C32" s="763"/>
      <c r="D32" s="69" t="s">
        <v>900</v>
      </c>
      <c r="E32" s="88" t="s">
        <v>919</v>
      </c>
      <c r="F32" s="71">
        <v>25.355516669999524</v>
      </c>
      <c r="G32" s="71">
        <v>499.20977733061193</v>
      </c>
      <c r="H32" s="71">
        <v>338.94642382000001</v>
      </c>
      <c r="I32" s="71">
        <v>308.67439553999998</v>
      </c>
      <c r="J32" s="71">
        <v>0</v>
      </c>
      <c r="K32" s="71">
        <v>0</v>
      </c>
      <c r="L32" s="72">
        <f>SUM(F32:K32)</f>
        <v>1172.1861133606114</v>
      </c>
    </row>
    <row r="33" spans="3:12">
      <c r="C33" s="763"/>
      <c r="D33" s="69" t="s">
        <v>920</v>
      </c>
      <c r="E33" s="89" t="s">
        <v>921</v>
      </c>
      <c r="F33" s="71">
        <v>26.123992524686823</v>
      </c>
      <c r="G33" s="71">
        <v>49.899768161940948</v>
      </c>
      <c r="H33" s="71">
        <v>49.899768188713523</v>
      </c>
      <c r="I33" s="71">
        <v>399.19814550970818</v>
      </c>
      <c r="J33" s="71">
        <v>261.08994652400361</v>
      </c>
      <c r="K33" s="71">
        <v>0</v>
      </c>
      <c r="L33" s="72">
        <f>SUM(F33:K33)</f>
        <v>786.21162090905307</v>
      </c>
    </row>
    <row r="34" spans="3:12">
      <c r="C34" s="763"/>
      <c r="D34" s="69" t="s">
        <v>922</v>
      </c>
      <c r="E34" s="89" t="s">
        <v>923</v>
      </c>
      <c r="F34" s="71">
        <v>0</v>
      </c>
      <c r="G34" s="71">
        <v>0</v>
      </c>
      <c r="H34" s="71">
        <v>0</v>
      </c>
      <c r="I34" s="71">
        <v>0</v>
      </c>
      <c r="J34" s="71">
        <v>0</v>
      </c>
      <c r="K34" s="71">
        <v>0</v>
      </c>
      <c r="L34" s="72">
        <f>SUM(F34:K34)</f>
        <v>0</v>
      </c>
    </row>
    <row r="35" spans="3:12">
      <c r="C35" s="763"/>
      <c r="D35" s="69" t="s">
        <v>908</v>
      </c>
      <c r="E35" s="90" t="s">
        <v>371</v>
      </c>
      <c r="F35" s="71">
        <v>-0.16357824000000001</v>
      </c>
      <c r="G35" s="71">
        <v>-0.32715648000000003</v>
      </c>
      <c r="H35" s="71">
        <v>-0.32715648000000003</v>
      </c>
      <c r="I35" s="71">
        <v>-2.5634481</v>
      </c>
      <c r="J35" s="71">
        <v>-2.3496280000000001E-2</v>
      </c>
      <c r="K35" s="71">
        <v>0</v>
      </c>
      <c r="L35" s="72">
        <f>SUM(F35:K35)</f>
        <v>-3.4048355799999999</v>
      </c>
    </row>
    <row r="36" spans="3:12" ht="15" customHeight="1">
      <c r="C36" s="91"/>
      <c r="D36" s="565" t="s">
        <v>924</v>
      </c>
      <c r="E36" s="568"/>
      <c r="F36" s="567">
        <f t="shared" ref="F36:K36" si="4">SUM(F31:F35)</f>
        <v>51.315930954686344</v>
      </c>
      <c r="G36" s="567">
        <f t="shared" si="4"/>
        <v>548.78238901255293</v>
      </c>
      <c r="H36" s="567">
        <f t="shared" si="4"/>
        <v>388.51903552871352</v>
      </c>
      <c r="I36" s="567">
        <f t="shared" si="4"/>
        <v>705.3090929497082</v>
      </c>
      <c r="J36" s="567">
        <f t="shared" si="4"/>
        <v>261.06645024400359</v>
      </c>
      <c r="K36" s="567">
        <f t="shared" si="4"/>
        <v>0</v>
      </c>
      <c r="L36" s="647">
        <f>SUM(L31:L35)</f>
        <v>1954.9928986896643</v>
      </c>
    </row>
    <row r="37" spans="3:12" ht="15" customHeight="1" thickBot="1">
      <c r="C37" s="92"/>
      <c r="D37" s="93"/>
      <c r="E37" s="86"/>
      <c r="F37" s="640"/>
      <c r="G37" s="640"/>
      <c r="H37" s="640"/>
      <c r="I37" s="640"/>
      <c r="J37" s="640"/>
      <c r="K37" s="640"/>
      <c r="L37" s="649"/>
    </row>
    <row r="38" spans="3:12" ht="15" thickBot="1">
      <c r="C38" s="763" t="s">
        <v>925</v>
      </c>
      <c r="D38" s="65" t="s">
        <v>898</v>
      </c>
      <c r="E38" s="66"/>
      <c r="F38" s="67"/>
      <c r="G38" s="67"/>
      <c r="H38" s="67"/>
      <c r="I38" s="67"/>
      <c r="J38" s="67"/>
      <c r="K38" s="67"/>
      <c r="L38" s="68"/>
    </row>
    <row r="39" spans="3:12" ht="15" customHeight="1">
      <c r="C39" s="763"/>
      <c r="D39" s="69" t="s">
        <v>900</v>
      </c>
      <c r="E39" s="88" t="s">
        <v>926</v>
      </c>
      <c r="F39" s="71">
        <v>664.78789915300297</v>
      </c>
      <c r="G39" s="71">
        <v>300</v>
      </c>
      <c r="H39" s="71">
        <v>366.27480000000003</v>
      </c>
      <c r="I39" s="71">
        <v>2651.5145213350002</v>
      </c>
      <c r="J39" s="71">
        <v>125.20096188500001</v>
      </c>
      <c r="K39" s="71">
        <v>0</v>
      </c>
      <c r="L39" s="72">
        <f>SUM(F39:K39)</f>
        <v>4107.7781823730029</v>
      </c>
    </row>
    <row r="40" spans="3:12">
      <c r="C40" s="763"/>
      <c r="D40" s="69" t="s">
        <v>902</v>
      </c>
      <c r="E40" s="89" t="s">
        <v>927</v>
      </c>
      <c r="F40" s="71">
        <v>20.92427500197757</v>
      </c>
      <c r="G40" s="71">
        <v>15.927300255848413</v>
      </c>
      <c r="H40" s="71">
        <v>15.927300255848413</v>
      </c>
      <c r="I40" s="71">
        <v>671.27753226678738</v>
      </c>
      <c r="J40" s="71">
        <v>31.854600511696827</v>
      </c>
      <c r="K40" s="71">
        <v>0</v>
      </c>
      <c r="L40" s="72">
        <f>SUM(F40:K40)</f>
        <v>755.91100829215861</v>
      </c>
    </row>
    <row r="41" spans="3:12">
      <c r="C41" s="763"/>
      <c r="D41" s="69" t="s">
        <v>908</v>
      </c>
      <c r="E41" s="90" t="s">
        <v>371</v>
      </c>
      <c r="F41" s="71">
        <v>-1.1375398725518644</v>
      </c>
      <c r="G41" s="71">
        <v>-2.2750797451037292</v>
      </c>
      <c r="H41" s="71">
        <v>-2.2750797451037292</v>
      </c>
      <c r="I41" s="71">
        <v>-8.1618783741556804</v>
      </c>
      <c r="J41" s="71">
        <v>-10.395890476415092</v>
      </c>
      <c r="K41" s="71">
        <v>0</v>
      </c>
      <c r="L41" s="72">
        <f>SUM(F41:K41)</f>
        <v>-24.245468213330096</v>
      </c>
    </row>
    <row r="42" spans="3:12" ht="15" customHeight="1">
      <c r="C42" s="91"/>
      <c r="D42" s="565" t="s">
        <v>928</v>
      </c>
      <c r="E42" s="568"/>
      <c r="F42" s="567">
        <f t="shared" ref="F42:K42" si="5">SUM(F39:F41)</f>
        <v>684.57463428242863</v>
      </c>
      <c r="G42" s="567">
        <f t="shared" si="5"/>
        <v>313.65222051074471</v>
      </c>
      <c r="H42" s="567">
        <f t="shared" si="5"/>
        <v>379.92702051074474</v>
      </c>
      <c r="I42" s="567">
        <f t="shared" si="5"/>
        <v>3314.6301752276318</v>
      </c>
      <c r="J42" s="567">
        <f t="shared" si="5"/>
        <v>146.65967192028174</v>
      </c>
      <c r="K42" s="567">
        <f t="shared" si="5"/>
        <v>0</v>
      </c>
      <c r="L42" s="647">
        <f>SUM(L39:L41)</f>
        <v>4839.4437224518315</v>
      </c>
    </row>
    <row r="43" spans="3:12" ht="15" customHeight="1" thickBot="1">
      <c r="C43" s="92"/>
      <c r="D43" s="93"/>
      <c r="E43" s="86"/>
      <c r="F43" s="640"/>
      <c r="G43" s="640"/>
      <c r="H43" s="640"/>
      <c r="I43" s="640"/>
      <c r="J43" s="640"/>
      <c r="K43" s="640"/>
      <c r="L43" s="649"/>
    </row>
    <row r="44" spans="3:12" ht="15" thickBot="1">
      <c r="C44" s="761" t="s">
        <v>929</v>
      </c>
      <c r="D44" s="65" t="s">
        <v>898</v>
      </c>
      <c r="E44" s="66"/>
      <c r="F44" s="67"/>
      <c r="G44" s="67"/>
      <c r="H44" s="67"/>
      <c r="I44" s="67"/>
      <c r="J44" s="67"/>
      <c r="K44" s="67"/>
      <c r="L44" s="68"/>
    </row>
    <row r="45" spans="3:12" ht="15" customHeight="1">
      <c r="C45" s="761"/>
      <c r="D45" s="69" t="s">
        <v>900</v>
      </c>
      <c r="E45" s="94" t="s">
        <v>930</v>
      </c>
      <c r="F45" s="71">
        <v>54.721073728075893</v>
      </c>
      <c r="G45" s="71">
        <v>381.16102072123397</v>
      </c>
      <c r="H45" s="71">
        <v>653.8422995536281</v>
      </c>
      <c r="I45" s="71">
        <v>887.24732999999992</v>
      </c>
      <c r="J45" s="71">
        <v>0</v>
      </c>
      <c r="K45" s="71">
        <v>0</v>
      </c>
      <c r="L45" s="72">
        <f>SUM(F45:K45)</f>
        <v>1976.9717240029379</v>
      </c>
    </row>
    <row r="46" spans="3:12">
      <c r="C46" s="761"/>
      <c r="D46" s="69" t="s">
        <v>902</v>
      </c>
      <c r="E46" s="95" t="s">
        <v>931</v>
      </c>
      <c r="F46" s="71">
        <v>6.3484285099999997</v>
      </c>
      <c r="G46" s="71">
        <v>0</v>
      </c>
      <c r="H46" s="71">
        <v>0</v>
      </c>
      <c r="I46" s="71">
        <v>408.68802304000002</v>
      </c>
      <c r="J46" s="71">
        <v>0</v>
      </c>
      <c r="K46" s="71">
        <v>0</v>
      </c>
      <c r="L46" s="72">
        <f>SUM(F46:K46)</f>
        <v>415.03645155000004</v>
      </c>
    </row>
    <row r="47" spans="3:12">
      <c r="C47" s="761"/>
      <c r="D47" s="69" t="s">
        <v>908</v>
      </c>
      <c r="E47" s="95" t="s">
        <v>371</v>
      </c>
      <c r="F47" s="71">
        <v>-1.1795779821950338</v>
      </c>
      <c r="G47" s="71">
        <v>-2.3591559643900673</v>
      </c>
      <c r="H47" s="71">
        <v>-2.3177802297537036</v>
      </c>
      <c r="I47" s="71">
        <v>-10.251739973289881</v>
      </c>
      <c r="J47" s="71">
        <v>0</v>
      </c>
      <c r="K47" s="71">
        <v>0</v>
      </c>
      <c r="L47" s="72">
        <f t="shared" ref="L47:L48" si="6">SUM(F47:K47)</f>
        <v>-16.108254149628685</v>
      </c>
    </row>
    <row r="48" spans="3:12" ht="15" thickBot="1">
      <c r="C48" s="761"/>
      <c r="D48" s="565" t="s">
        <v>932</v>
      </c>
      <c r="E48" s="568"/>
      <c r="F48" s="567">
        <f>SUM(F45:F47)</f>
        <v>59.889924255880857</v>
      </c>
      <c r="G48" s="567">
        <f t="shared" ref="G48:K48" si="7">SUM(G45:G47)</f>
        <v>378.80186475684388</v>
      </c>
      <c r="H48" s="567">
        <f t="shared" si="7"/>
        <v>651.52451932387442</v>
      </c>
      <c r="I48" s="567">
        <f t="shared" si="7"/>
        <v>1285.68361306671</v>
      </c>
      <c r="J48" s="567">
        <f t="shared" si="7"/>
        <v>0</v>
      </c>
      <c r="K48" s="567">
        <f t="shared" si="7"/>
        <v>0</v>
      </c>
      <c r="L48" s="647">
        <f t="shared" si="6"/>
        <v>2375.8999214033092</v>
      </c>
    </row>
    <row r="49" spans="3:13" ht="15" customHeight="1" thickBot="1">
      <c r="C49" s="96"/>
      <c r="D49" s="65"/>
      <c r="E49" s="66"/>
      <c r="F49" s="641"/>
      <c r="G49" s="641"/>
      <c r="H49" s="641"/>
      <c r="I49" s="641"/>
      <c r="J49" s="641"/>
      <c r="K49" s="641"/>
      <c r="L49" s="642"/>
    </row>
    <row r="50" spans="3:13" ht="20.5" customHeight="1" thickBot="1">
      <c r="C50" s="96"/>
      <c r="D50" s="93"/>
      <c r="E50" s="86"/>
      <c r="F50" s="87"/>
      <c r="G50" s="87"/>
      <c r="H50" s="87"/>
      <c r="I50" s="87"/>
      <c r="J50" s="87"/>
      <c r="K50" s="87"/>
      <c r="L50" s="650"/>
    </row>
    <row r="51" spans="3:13" ht="15" customHeight="1" thickBot="1">
      <c r="C51" s="761" t="s">
        <v>671</v>
      </c>
      <c r="D51" s="65" t="s">
        <v>898</v>
      </c>
      <c r="E51" s="66"/>
      <c r="F51" s="67"/>
      <c r="G51" s="67"/>
      <c r="H51" s="67"/>
      <c r="I51" s="67"/>
      <c r="J51" s="67"/>
      <c r="K51" s="67"/>
      <c r="L51" s="68"/>
    </row>
    <row r="52" spans="3:13">
      <c r="C52" s="761"/>
      <c r="D52" s="69" t="s">
        <v>900</v>
      </c>
      <c r="E52" s="82" t="s">
        <v>933</v>
      </c>
      <c r="F52" s="71">
        <v>1.5490728599999994</v>
      </c>
      <c r="G52" s="71">
        <v>126.20924892718028</v>
      </c>
      <c r="H52" s="71">
        <v>126.20924892718028</v>
      </c>
      <c r="I52" s="71">
        <v>126.20924892718028</v>
      </c>
      <c r="J52" s="71">
        <v>0</v>
      </c>
      <c r="K52" s="71">
        <v>0</v>
      </c>
      <c r="L52" s="72">
        <f>SUM(F52:K52)</f>
        <v>380.17681964154087</v>
      </c>
    </row>
    <row r="53" spans="3:13">
      <c r="C53" s="761"/>
      <c r="D53" s="69" t="s">
        <v>920</v>
      </c>
      <c r="E53" s="82" t="s">
        <v>934</v>
      </c>
      <c r="F53" s="71">
        <v>0.39080845999999991</v>
      </c>
      <c r="G53" s="71">
        <v>0</v>
      </c>
      <c r="H53" s="71">
        <v>0</v>
      </c>
      <c r="I53" s="71">
        <v>218.1397944432</v>
      </c>
      <c r="J53" s="71">
        <v>417.84059257000007</v>
      </c>
      <c r="K53" s="71">
        <v>527.00145987400003</v>
      </c>
      <c r="L53" s="72">
        <f>SUM(F53:K53)</f>
        <v>1163.3726553472002</v>
      </c>
    </row>
    <row r="54" spans="3:13">
      <c r="C54" s="761"/>
      <c r="D54" s="69" t="s">
        <v>908</v>
      </c>
      <c r="E54" s="95" t="s">
        <v>935</v>
      </c>
      <c r="F54" s="71">
        <v>-0.11123030811948731</v>
      </c>
      <c r="G54" s="71">
        <v>-1.439802926884175</v>
      </c>
      <c r="H54" s="71">
        <v>-0.22246061623897465</v>
      </c>
      <c r="I54" s="71">
        <v>-1.7796849299117969</v>
      </c>
      <c r="J54" s="71">
        <v>-2.2246061623897462</v>
      </c>
      <c r="K54" s="71">
        <v>-1.6239768789815412</v>
      </c>
      <c r="L54" s="72">
        <f>SUM(F54:K54)</f>
        <v>-7.4017618225257209</v>
      </c>
    </row>
    <row r="55" spans="3:13" ht="15" customHeight="1">
      <c r="C55" s="96"/>
      <c r="D55" s="565" t="s">
        <v>932</v>
      </c>
      <c r="E55" s="568"/>
      <c r="F55" s="567">
        <f t="shared" ref="F55:L55" si="8">SUM(F52:F54)</f>
        <v>1.8286510118805119</v>
      </c>
      <c r="G55" s="567">
        <f t="shared" si="8"/>
        <v>124.76944600029611</v>
      </c>
      <c r="H55" s="567">
        <f t="shared" si="8"/>
        <v>125.98678831094131</v>
      </c>
      <c r="I55" s="567">
        <f t="shared" si="8"/>
        <v>342.56935844046848</v>
      </c>
      <c r="J55" s="567">
        <f t="shared" si="8"/>
        <v>415.61598640761031</v>
      </c>
      <c r="K55" s="567">
        <f t="shared" si="8"/>
        <v>525.37748299501845</v>
      </c>
      <c r="L55" s="647">
        <f t="shared" si="8"/>
        <v>1536.1477131662155</v>
      </c>
    </row>
    <row r="56" spans="3:13" ht="20.5" customHeight="1" thickBot="1">
      <c r="C56" s="96"/>
      <c r="D56" s="93"/>
      <c r="E56" s="86"/>
      <c r="F56" s="640"/>
      <c r="G56" s="640"/>
      <c r="H56" s="640"/>
      <c r="I56" s="640"/>
      <c r="J56" s="640"/>
      <c r="K56" s="640"/>
      <c r="L56" s="649"/>
    </row>
    <row r="57" spans="3:13" ht="15" customHeight="1" thickBot="1">
      <c r="C57" s="763" t="s">
        <v>936</v>
      </c>
      <c r="D57" s="65" t="s">
        <v>898</v>
      </c>
      <c r="E57" s="66"/>
      <c r="F57" s="67"/>
      <c r="G57" s="67"/>
      <c r="H57" s="67"/>
      <c r="I57" s="67"/>
      <c r="J57" s="67"/>
      <c r="K57" s="67"/>
      <c r="L57" s="68"/>
    </row>
    <row r="58" spans="3:13">
      <c r="C58" s="763"/>
      <c r="D58" s="97" t="s">
        <v>900</v>
      </c>
      <c r="E58" s="94">
        <v>1.4500000000000001E-2</v>
      </c>
      <c r="F58" s="71" t="s">
        <v>371</v>
      </c>
      <c r="G58" s="71">
        <v>0</v>
      </c>
      <c r="H58" s="71">
        <v>0</v>
      </c>
      <c r="I58" s="71">
        <v>0</v>
      </c>
      <c r="J58" s="71">
        <v>0</v>
      </c>
      <c r="K58" s="71">
        <v>0</v>
      </c>
      <c r="L58" s="72">
        <f>SUM(F58:K58)</f>
        <v>0</v>
      </c>
    </row>
    <row r="59" spans="3:13">
      <c r="C59" s="763"/>
      <c r="D59" s="97" t="s">
        <v>920</v>
      </c>
      <c r="E59" s="94" t="s">
        <v>937</v>
      </c>
      <c r="F59" s="71">
        <v>209.0235505172775</v>
      </c>
      <c r="G59" s="71">
        <v>287.22159181730228</v>
      </c>
      <c r="H59" s="71">
        <v>294.23763755276076</v>
      </c>
      <c r="I59" s="71">
        <v>2613.6742074316539</v>
      </c>
      <c r="J59" s="71">
        <v>1776.3637797800002</v>
      </c>
      <c r="K59" s="71">
        <v>0</v>
      </c>
      <c r="L59" s="72">
        <f>SUM(F59:K59)</f>
        <v>5180.5207670989948</v>
      </c>
    </row>
    <row r="60" spans="3:13">
      <c r="C60" s="763"/>
      <c r="D60" s="97" t="s">
        <v>908</v>
      </c>
      <c r="E60" s="94" t="s">
        <v>935</v>
      </c>
      <c r="F60" s="71">
        <v>-2.5125597500000003</v>
      </c>
      <c r="G60" s="71">
        <v>-4.33100241</v>
      </c>
      <c r="H60" s="71">
        <v>-4.3318513700000008</v>
      </c>
      <c r="I60" s="71">
        <v>-33.51243041</v>
      </c>
      <c r="J60" s="71">
        <v>-9.4868459400000003</v>
      </c>
      <c r="K60" s="71">
        <v>0</v>
      </c>
      <c r="L60" s="72">
        <f>SUM(F60:K60)</f>
        <v>-54.174689880000003</v>
      </c>
    </row>
    <row r="61" spans="3:13" ht="20.5" customHeight="1">
      <c r="C61" s="92"/>
      <c r="D61" s="565" t="s">
        <v>938</v>
      </c>
      <c r="E61" s="568"/>
      <c r="F61" s="567">
        <f t="shared" ref="F61:L61" si="9">SUM(F58:F60)</f>
        <v>206.51099076727749</v>
      </c>
      <c r="G61" s="567">
        <f t="shared" si="9"/>
        <v>282.89058940730229</v>
      </c>
      <c r="H61" s="567">
        <f t="shared" si="9"/>
        <v>289.90578618276078</v>
      </c>
      <c r="I61" s="567">
        <f t="shared" si="9"/>
        <v>2580.161777021654</v>
      </c>
      <c r="J61" s="567">
        <f t="shared" si="9"/>
        <v>1766.8769338400002</v>
      </c>
      <c r="K61" s="567">
        <f t="shared" si="9"/>
        <v>0</v>
      </c>
      <c r="L61" s="647">
        <f t="shared" si="9"/>
        <v>5126.3460772189947</v>
      </c>
      <c r="M61" s="639"/>
    </row>
    <row r="62" spans="3:13" ht="15" customHeight="1" thickBot="1">
      <c r="C62" s="92"/>
      <c r="D62" s="85"/>
      <c r="E62" s="86"/>
      <c r="F62" s="640"/>
      <c r="G62" s="640"/>
      <c r="H62" s="640"/>
      <c r="I62" s="640"/>
      <c r="J62" s="640"/>
      <c r="K62" s="640"/>
      <c r="L62" s="649"/>
    </row>
    <row r="63" spans="3:13" ht="15" customHeight="1" thickBot="1">
      <c r="C63" s="763" t="s">
        <v>939</v>
      </c>
      <c r="D63" s="65" t="s">
        <v>898</v>
      </c>
      <c r="E63" s="66"/>
      <c r="F63" s="67"/>
      <c r="G63" s="67"/>
      <c r="H63" s="67"/>
      <c r="I63" s="67"/>
      <c r="J63" s="67"/>
      <c r="K63" s="67"/>
      <c r="L63" s="68"/>
    </row>
    <row r="64" spans="3:13" ht="15" customHeight="1">
      <c r="C64" s="763"/>
      <c r="D64" s="69" t="s">
        <v>900</v>
      </c>
      <c r="E64" s="82" t="s">
        <v>940</v>
      </c>
      <c r="F64" s="71">
        <v>0.19000000059321601</v>
      </c>
      <c r="G64" s="71">
        <v>27</v>
      </c>
      <c r="H64" s="71">
        <v>27</v>
      </c>
      <c r="I64" s="71">
        <v>27</v>
      </c>
      <c r="J64" s="71">
        <v>0</v>
      </c>
      <c r="K64" s="71">
        <v>0</v>
      </c>
      <c r="L64" s="72">
        <f>SUM(F64:K64)</f>
        <v>81.190000000593216</v>
      </c>
    </row>
    <row r="65" spans="2:19" ht="15" customHeight="1">
      <c r="C65" s="763"/>
      <c r="D65" s="37"/>
      <c r="E65" s="82"/>
      <c r="F65" s="37"/>
      <c r="G65" s="37"/>
      <c r="H65" s="37"/>
      <c r="I65" s="37"/>
      <c r="J65" s="37"/>
      <c r="K65" s="37"/>
      <c r="L65" s="72">
        <f>SUM(F65:K65)</f>
        <v>0</v>
      </c>
    </row>
    <row r="66" spans="2:19" ht="15" customHeight="1">
      <c r="C66" s="763"/>
      <c r="D66" s="565"/>
      <c r="E66" s="568"/>
      <c r="F66" s="567">
        <f>SUM(F64:F65)</f>
        <v>0.19000000059321601</v>
      </c>
      <c r="G66" s="567">
        <f t="shared" ref="G66:K66" si="10">SUM(G64:G65)</f>
        <v>27</v>
      </c>
      <c r="H66" s="567">
        <f t="shared" si="10"/>
        <v>27</v>
      </c>
      <c r="I66" s="567">
        <f t="shared" si="10"/>
        <v>27</v>
      </c>
      <c r="J66" s="567">
        <f t="shared" si="10"/>
        <v>0</v>
      </c>
      <c r="K66" s="567">
        <f t="shared" si="10"/>
        <v>0</v>
      </c>
      <c r="L66" s="647">
        <f>SUM(L64:L65)</f>
        <v>81.190000000593216</v>
      </c>
    </row>
    <row r="67" spans="2:19" ht="15" customHeight="1" thickBot="1">
      <c r="C67" s="92"/>
      <c r="D67" s="85"/>
      <c r="E67" s="86"/>
      <c r="F67" s="640"/>
      <c r="G67" s="640"/>
      <c r="H67" s="640"/>
      <c r="I67" s="640"/>
      <c r="J67" s="640"/>
      <c r="K67" s="640"/>
      <c r="L67" s="649"/>
    </row>
    <row r="68" spans="2:19" ht="15" thickBot="1">
      <c r="C68" s="761" t="s">
        <v>941</v>
      </c>
      <c r="D68" s="65" t="s">
        <v>898</v>
      </c>
      <c r="E68" s="66"/>
      <c r="F68" s="67"/>
      <c r="G68" s="67"/>
      <c r="H68" s="67"/>
      <c r="I68" s="67"/>
      <c r="J68" s="67"/>
      <c r="K68" s="67"/>
      <c r="L68" s="68"/>
    </row>
    <row r="69" spans="2:19">
      <c r="C69" s="761"/>
      <c r="D69" s="97" t="s">
        <v>900</v>
      </c>
      <c r="E69" s="98" t="s">
        <v>942</v>
      </c>
      <c r="F69" s="71">
        <v>136.01835782817699</v>
      </c>
      <c r="G69" s="71">
        <v>2.8221960000000001E-2</v>
      </c>
      <c r="H69" s="71">
        <v>2.8221960000000001E-2</v>
      </c>
      <c r="I69" s="71">
        <v>0.21401652999999987</v>
      </c>
      <c r="J69" s="71">
        <v>0</v>
      </c>
      <c r="K69" s="71">
        <v>0</v>
      </c>
      <c r="L69" s="72">
        <f>SUM(F69:K69)</f>
        <v>136.28881827817699</v>
      </c>
    </row>
    <row r="70" spans="2:19">
      <c r="C70" s="761"/>
      <c r="D70" s="97" t="s">
        <v>920</v>
      </c>
      <c r="E70" s="99" t="s">
        <v>943</v>
      </c>
      <c r="F70" s="71">
        <v>0</v>
      </c>
      <c r="G70" s="71">
        <v>0</v>
      </c>
      <c r="H70" s="71">
        <v>0</v>
      </c>
      <c r="I70" s="71">
        <v>0</v>
      </c>
      <c r="J70" s="71">
        <v>0</v>
      </c>
      <c r="K70" s="71">
        <v>0</v>
      </c>
      <c r="L70" s="72">
        <f>SUM(F70:K70)</f>
        <v>0</v>
      </c>
    </row>
    <row r="71" spans="2:19" ht="20.5" customHeight="1">
      <c r="C71" s="96"/>
      <c r="D71" s="565" t="s">
        <v>944</v>
      </c>
      <c r="E71" s="568"/>
      <c r="F71" s="567">
        <f t="shared" ref="F71:K71" si="11">SUM(F69:F70)</f>
        <v>136.01835782817699</v>
      </c>
      <c r="G71" s="567">
        <f t="shared" si="11"/>
        <v>2.8221960000000001E-2</v>
      </c>
      <c r="H71" s="567">
        <f t="shared" si="11"/>
        <v>2.8221960000000001E-2</v>
      </c>
      <c r="I71" s="567">
        <f t="shared" si="11"/>
        <v>0.21401652999999987</v>
      </c>
      <c r="J71" s="567">
        <f t="shared" si="11"/>
        <v>0</v>
      </c>
      <c r="K71" s="567">
        <f t="shared" si="11"/>
        <v>0</v>
      </c>
      <c r="L71" s="647">
        <f>SUM(L69:L70)</f>
        <v>136.28881827817699</v>
      </c>
    </row>
    <row r="72" spans="2:19" ht="15" customHeight="1" thickBot="1">
      <c r="C72" s="96"/>
      <c r="F72" s="644"/>
      <c r="G72" s="644"/>
      <c r="H72" s="644"/>
      <c r="I72" s="644"/>
      <c r="J72" s="644"/>
      <c r="K72" s="644"/>
      <c r="L72" s="652"/>
    </row>
    <row r="73" spans="2:19" ht="15" thickBot="1">
      <c r="C73" s="761" t="s">
        <v>945</v>
      </c>
      <c r="D73" s="65" t="s">
        <v>898</v>
      </c>
      <c r="E73" s="66"/>
      <c r="F73" s="67"/>
      <c r="G73" s="67"/>
      <c r="H73" s="67"/>
      <c r="I73" s="67"/>
      <c r="J73" s="67"/>
      <c r="K73" s="67"/>
      <c r="L73" s="68"/>
    </row>
    <row r="74" spans="2:19">
      <c r="C74" s="761"/>
      <c r="D74" s="69" t="s">
        <v>900</v>
      </c>
      <c r="E74" s="94" t="s">
        <v>946</v>
      </c>
      <c r="F74" s="71">
        <v>21.322269724563178</v>
      </c>
      <c r="G74" s="71">
        <v>0</v>
      </c>
      <c r="H74" s="71">
        <v>19.426524565106998</v>
      </c>
      <c r="I74" s="71">
        <v>0</v>
      </c>
      <c r="J74" s="71">
        <v>0</v>
      </c>
      <c r="K74" s="71">
        <v>0</v>
      </c>
      <c r="L74" s="72">
        <f>SUM(F74:K74)</f>
        <v>40.748794289670172</v>
      </c>
    </row>
    <row r="75" spans="2:19" s="62" customFormat="1">
      <c r="B75" s="37"/>
      <c r="C75" s="761"/>
      <c r="D75" s="69" t="s">
        <v>908</v>
      </c>
      <c r="E75" s="95" t="s">
        <v>371</v>
      </c>
      <c r="F75" s="71">
        <v>0</v>
      </c>
      <c r="G75" s="71">
        <v>0</v>
      </c>
      <c r="H75" s="71">
        <v>0</v>
      </c>
      <c r="I75" s="71">
        <v>0</v>
      </c>
      <c r="J75" s="71">
        <v>0</v>
      </c>
      <c r="K75" s="71">
        <v>0</v>
      </c>
      <c r="L75" s="72">
        <f>SUM(F75:K75)</f>
        <v>0</v>
      </c>
      <c r="M75" s="37"/>
      <c r="N75" s="37"/>
      <c r="O75" s="37"/>
      <c r="P75" s="37"/>
      <c r="Q75" s="37"/>
      <c r="R75" s="37"/>
      <c r="S75" s="37"/>
    </row>
    <row r="76" spans="2:19">
      <c r="C76" s="764"/>
      <c r="D76" s="565" t="s">
        <v>947</v>
      </c>
      <c r="E76" s="568"/>
      <c r="F76" s="567">
        <f t="shared" ref="F76:L76" si="12">SUM(F74:F75)</f>
        <v>21.322269724563178</v>
      </c>
      <c r="G76" s="567">
        <f t="shared" si="12"/>
        <v>0</v>
      </c>
      <c r="H76" s="567">
        <f t="shared" si="12"/>
        <v>19.426524565106998</v>
      </c>
      <c r="I76" s="567">
        <f t="shared" si="12"/>
        <v>0</v>
      </c>
      <c r="J76" s="567">
        <f t="shared" si="12"/>
        <v>0</v>
      </c>
      <c r="K76" s="567">
        <f t="shared" si="12"/>
        <v>0</v>
      </c>
      <c r="L76" s="647">
        <f t="shared" si="12"/>
        <v>40.748794289670172</v>
      </c>
    </row>
    <row r="77" spans="2:19" s="62" customFormat="1" ht="15" customHeight="1">
      <c r="B77" s="37"/>
      <c r="C77" s="764"/>
      <c r="D77" s="85"/>
      <c r="E77" s="86"/>
      <c r="F77" s="640"/>
      <c r="G77" s="640"/>
      <c r="H77" s="640"/>
      <c r="I77" s="640"/>
      <c r="J77" s="640"/>
      <c r="K77" s="640"/>
      <c r="L77" s="649"/>
      <c r="M77" s="37"/>
      <c r="N77" s="37"/>
      <c r="O77" s="37"/>
      <c r="P77" s="37"/>
      <c r="Q77" s="37"/>
      <c r="R77" s="37"/>
      <c r="S77" s="37"/>
    </row>
    <row r="78" spans="2:19" s="62" customFormat="1" ht="15" thickBot="1">
      <c r="B78" s="37"/>
      <c r="C78" s="764"/>
      <c r="D78" s="85"/>
      <c r="E78" s="86"/>
      <c r="F78" s="87"/>
      <c r="G78" s="87"/>
      <c r="H78" s="87"/>
      <c r="I78" s="87"/>
      <c r="J78" s="87"/>
      <c r="K78" s="87"/>
      <c r="L78" s="650"/>
      <c r="M78" s="37"/>
      <c r="N78" s="37"/>
      <c r="O78" s="37"/>
      <c r="P78" s="37"/>
      <c r="Q78" s="37"/>
      <c r="R78" s="37"/>
      <c r="S78" s="37"/>
    </row>
    <row r="79" spans="2:19" s="62" customFormat="1" ht="15" thickBot="1">
      <c r="B79" s="37"/>
      <c r="C79" s="763" t="s">
        <v>668</v>
      </c>
      <c r="D79" s="65" t="s">
        <v>898</v>
      </c>
      <c r="E79" s="66"/>
      <c r="F79" s="67"/>
      <c r="G79" s="67"/>
      <c r="H79" s="67"/>
      <c r="I79" s="67"/>
      <c r="J79" s="67"/>
      <c r="K79" s="67"/>
      <c r="L79" s="68"/>
      <c r="M79" s="37"/>
      <c r="N79" s="37"/>
      <c r="O79" s="37"/>
      <c r="P79" s="37"/>
      <c r="Q79" s="37"/>
      <c r="R79" s="37"/>
      <c r="S79" s="37"/>
    </row>
    <row r="80" spans="2:19" s="62" customFormat="1">
      <c r="B80" s="37"/>
      <c r="C80" s="763"/>
      <c r="D80" s="69" t="s">
        <v>900</v>
      </c>
      <c r="E80" s="100" t="s">
        <v>948</v>
      </c>
      <c r="F80" s="71">
        <v>567.03237211999999</v>
      </c>
      <c r="G80" s="71">
        <v>0</v>
      </c>
      <c r="H80" s="71">
        <v>0</v>
      </c>
      <c r="I80" s="71">
        <v>0</v>
      </c>
      <c r="J80" s="71">
        <v>0</v>
      </c>
      <c r="K80" s="71">
        <v>0</v>
      </c>
      <c r="L80" s="72">
        <f>SUM(F80:K80)</f>
        <v>567.03237211999999</v>
      </c>
      <c r="M80" s="37"/>
      <c r="N80" s="37"/>
      <c r="O80" s="37"/>
      <c r="P80" s="37"/>
      <c r="Q80" s="37"/>
      <c r="R80" s="37"/>
      <c r="S80" s="37"/>
    </row>
    <row r="81" spans="2:19" s="62" customFormat="1">
      <c r="B81" s="37"/>
      <c r="C81" s="763"/>
      <c r="D81" s="69" t="s">
        <v>920</v>
      </c>
      <c r="E81" s="88" t="s">
        <v>949</v>
      </c>
      <c r="F81" s="71">
        <v>153.41031095166664</v>
      </c>
      <c r="G81" s="71">
        <v>237.51916663223841</v>
      </c>
      <c r="H81" s="71">
        <v>244.55386697514354</v>
      </c>
      <c r="I81" s="71">
        <v>1797.2480463782049</v>
      </c>
      <c r="J81" s="71">
        <v>1257.26834507844</v>
      </c>
      <c r="K81" s="71">
        <v>65.157317534306571</v>
      </c>
      <c r="L81" s="72">
        <f>SUM(F81:K81)</f>
        <v>3755.1570535499995</v>
      </c>
      <c r="M81" s="37"/>
      <c r="N81" s="37"/>
      <c r="O81" s="37"/>
      <c r="P81" s="37"/>
      <c r="Q81" s="37"/>
      <c r="R81" s="37"/>
      <c r="S81" s="37"/>
    </row>
    <row r="82" spans="2:19">
      <c r="C82" s="763"/>
      <c r="D82" s="69" t="s">
        <v>950</v>
      </c>
      <c r="E82" s="89" t="s">
        <v>951</v>
      </c>
      <c r="F82" s="71">
        <v>50.959168701095209</v>
      </c>
      <c r="G82" s="71">
        <v>98.682835066896899</v>
      </c>
      <c r="H82" s="71">
        <v>102.44258211160336</v>
      </c>
      <c r="I82" s="71">
        <v>719.65293611259517</v>
      </c>
      <c r="J82" s="71">
        <v>0</v>
      </c>
      <c r="K82" s="71">
        <v>0</v>
      </c>
      <c r="L82" s="72">
        <f>SUM(F82:K82)</f>
        <v>971.73752199219064</v>
      </c>
    </row>
    <row r="83" spans="2:19">
      <c r="C83" s="763"/>
      <c r="D83" s="69" t="s">
        <v>906</v>
      </c>
      <c r="E83" s="89" t="s">
        <v>952</v>
      </c>
      <c r="F83" s="71">
        <v>13.508776253333334</v>
      </c>
      <c r="G83" s="71">
        <v>26.669278663533376</v>
      </c>
      <c r="H83" s="71">
        <v>27.127517733733406</v>
      </c>
      <c r="I83" s="71">
        <v>220.91155644102798</v>
      </c>
      <c r="J83" s="71">
        <v>171.69165270697695</v>
      </c>
      <c r="K83" s="71">
        <v>34.338330541395386</v>
      </c>
      <c r="L83" s="72">
        <f>SUM(F83:K83)</f>
        <v>494.2471123400004</v>
      </c>
    </row>
    <row r="84" spans="2:19">
      <c r="C84" s="763"/>
      <c r="D84" s="69" t="s">
        <v>908</v>
      </c>
      <c r="E84" s="90" t="s">
        <v>371</v>
      </c>
      <c r="F84" s="71">
        <v>-4.6636158999999999</v>
      </c>
      <c r="G84" s="71">
        <v>-8.4523267353855065</v>
      </c>
      <c r="H84" s="71">
        <v>-8.4523265507710121</v>
      </c>
      <c r="I84" s="71">
        <v>-57.365014892741868</v>
      </c>
      <c r="J84" s="71">
        <v>-36.877333485985275</v>
      </c>
      <c r="K84" s="71">
        <v>-0.95394534511627804</v>
      </c>
      <c r="L84" s="72">
        <f>SUM(F84:K84)</f>
        <v>-116.76456290999995</v>
      </c>
    </row>
    <row r="85" spans="2:19" ht="15" customHeight="1">
      <c r="C85" s="92"/>
      <c r="D85" s="565" t="s">
        <v>953</v>
      </c>
      <c r="E85" s="568"/>
      <c r="F85" s="567">
        <f t="shared" ref="F85:K85" si="13">SUM(F80:F84)</f>
        <v>780.24701212609511</v>
      </c>
      <c r="G85" s="567">
        <f t="shared" si="13"/>
        <v>354.41895362728314</v>
      </c>
      <c r="H85" s="567">
        <f t="shared" si="13"/>
        <v>365.67164026970926</v>
      </c>
      <c r="I85" s="567">
        <f t="shared" si="13"/>
        <v>2680.4475240390861</v>
      </c>
      <c r="J85" s="567">
        <f t="shared" si="13"/>
        <v>1392.0826642994318</v>
      </c>
      <c r="K85" s="567">
        <f t="shared" si="13"/>
        <v>98.541702730585669</v>
      </c>
      <c r="L85" s="647">
        <f>SUM(L80:L84)</f>
        <v>5671.4094970921906</v>
      </c>
    </row>
    <row r="86" spans="2:19">
      <c r="C86" s="92"/>
      <c r="D86" s="101"/>
      <c r="E86" s="101"/>
      <c r="F86" s="645"/>
      <c r="G86" s="645"/>
      <c r="H86" s="645"/>
      <c r="I86" s="645"/>
      <c r="J86" s="645"/>
      <c r="K86" s="645"/>
      <c r="L86" s="653"/>
    </row>
    <row r="87" spans="2:19" ht="15" thickBot="1">
      <c r="C87" s="92"/>
      <c r="D87" s="101"/>
      <c r="E87" s="101"/>
      <c r="F87" s="101"/>
      <c r="G87" s="101"/>
      <c r="H87" s="101"/>
      <c r="I87" s="101"/>
      <c r="J87" s="101"/>
      <c r="K87" s="79"/>
      <c r="L87" s="651"/>
    </row>
    <row r="88" spans="2:19" ht="15" thickBot="1">
      <c r="C88" s="763" t="s">
        <v>954</v>
      </c>
      <c r="D88" s="65" t="s">
        <v>898</v>
      </c>
      <c r="E88" s="66"/>
      <c r="F88" s="67"/>
      <c r="G88" s="67"/>
      <c r="H88" s="67"/>
      <c r="I88" s="67"/>
      <c r="J88" s="67"/>
      <c r="K88" s="67"/>
      <c r="L88" s="68"/>
    </row>
    <row r="89" spans="2:19">
      <c r="C89" s="763"/>
      <c r="D89" s="69" t="s">
        <v>900</v>
      </c>
      <c r="E89" s="100" t="s">
        <v>955</v>
      </c>
      <c r="F89" s="71">
        <v>321.16779211097401</v>
      </c>
      <c r="G89" s="71">
        <v>0</v>
      </c>
      <c r="H89" s="71">
        <v>4228.6715097799997</v>
      </c>
      <c r="I89" s="71">
        <v>4334.6123305946448</v>
      </c>
      <c r="J89" s="71">
        <v>476.18094977535588</v>
      </c>
      <c r="K89" s="71">
        <v>0</v>
      </c>
      <c r="L89" s="72">
        <f>SUM(F89:K89)</f>
        <v>9360.6325822609761</v>
      </c>
    </row>
    <row r="90" spans="2:19">
      <c r="C90" s="763"/>
      <c r="D90" s="69" t="s">
        <v>920</v>
      </c>
      <c r="E90" s="102" t="s">
        <v>956</v>
      </c>
      <c r="F90" s="71">
        <v>31.350366600000001</v>
      </c>
      <c r="G90" s="71">
        <v>0</v>
      </c>
      <c r="H90" s="71">
        <v>0</v>
      </c>
      <c r="I90" s="71">
        <v>2101.11152469631</v>
      </c>
      <c r="J90" s="71">
        <v>186.27247201368939</v>
      </c>
      <c r="K90" s="71">
        <v>0</v>
      </c>
      <c r="L90" s="72">
        <f>SUM(F90:K90)</f>
        <v>2318.7343633099995</v>
      </c>
    </row>
    <row r="91" spans="2:19">
      <c r="C91" s="763"/>
      <c r="D91" s="69" t="s">
        <v>906</v>
      </c>
      <c r="E91" s="89" t="s">
        <v>957</v>
      </c>
      <c r="F91" s="71">
        <v>7.5329181899999993</v>
      </c>
      <c r="G91" s="71">
        <v>15.5176686</v>
      </c>
      <c r="H91" s="71">
        <v>16.572870059999996</v>
      </c>
      <c r="I91" s="71">
        <v>14.668404080000002</v>
      </c>
      <c r="J91" s="71">
        <v>0</v>
      </c>
      <c r="K91" s="71">
        <v>0</v>
      </c>
      <c r="L91" s="72">
        <f>SUM(F91:K91)</f>
        <v>54.291860929999999</v>
      </c>
    </row>
    <row r="92" spans="2:19">
      <c r="C92" s="763"/>
      <c r="D92" s="69" t="s">
        <v>908</v>
      </c>
      <c r="E92" s="90" t="s">
        <v>935</v>
      </c>
      <c r="F92" s="71">
        <v>-29.063602240000002</v>
      </c>
      <c r="G92" s="71">
        <v>-58.268072439999997</v>
      </c>
      <c r="H92" s="71">
        <v>-26.914216290000002</v>
      </c>
      <c r="I92" s="71">
        <v>-75.888170080000009</v>
      </c>
      <c r="J92" s="71">
        <v>-4.2748092900000012</v>
      </c>
      <c r="K92" s="71">
        <v>0</v>
      </c>
      <c r="L92" s="72">
        <f>SUM(F92:K92)</f>
        <v>-194.40887034000002</v>
      </c>
    </row>
    <row r="93" spans="2:19" ht="15" customHeight="1">
      <c r="C93" s="92"/>
      <c r="D93" s="565" t="s">
        <v>958</v>
      </c>
      <c r="E93" s="568"/>
      <c r="F93" s="567">
        <f t="shared" ref="F93:K93" si="14">SUM(F89:F92)</f>
        <v>330.98747466097399</v>
      </c>
      <c r="G93" s="567">
        <f t="shared" si="14"/>
        <v>-42.750403839999997</v>
      </c>
      <c r="H93" s="567">
        <f t="shared" si="14"/>
        <v>4218.3301635500002</v>
      </c>
      <c r="I93" s="567">
        <f t="shared" si="14"/>
        <v>6374.5040892909547</v>
      </c>
      <c r="J93" s="567">
        <f t="shared" si="14"/>
        <v>658.17861249904524</v>
      </c>
      <c r="K93" s="567">
        <f t="shared" si="14"/>
        <v>0</v>
      </c>
      <c r="L93" s="647">
        <f>SUM(L89:L92)</f>
        <v>11539.249936160975</v>
      </c>
    </row>
    <row r="94" spans="2:19" ht="15" customHeight="1">
      <c r="C94" s="92"/>
      <c r="D94" s="101"/>
      <c r="E94" s="101"/>
      <c r="F94" s="645"/>
      <c r="G94" s="645"/>
      <c r="H94" s="645"/>
      <c r="I94" s="645"/>
      <c r="J94" s="645"/>
      <c r="K94" s="645"/>
      <c r="L94" s="653"/>
    </row>
    <row r="95" spans="2:19" ht="15" customHeight="1" thickBot="1">
      <c r="C95" s="92"/>
      <c r="D95" s="101"/>
      <c r="E95" s="101"/>
      <c r="F95" s="101"/>
      <c r="G95" s="101"/>
      <c r="H95" s="101"/>
      <c r="I95" s="101"/>
      <c r="J95" s="101"/>
      <c r="K95" s="79"/>
      <c r="L95" s="651"/>
    </row>
    <row r="96" spans="2:19" ht="15" thickBot="1">
      <c r="C96" s="761" t="s">
        <v>959</v>
      </c>
      <c r="D96" s="65" t="s">
        <v>898</v>
      </c>
      <c r="E96" s="66"/>
      <c r="F96" s="67"/>
      <c r="G96" s="67"/>
      <c r="H96" s="67"/>
      <c r="I96" s="67"/>
      <c r="J96" s="67"/>
      <c r="K96" s="67"/>
      <c r="L96" s="68"/>
    </row>
    <row r="97" spans="3:12">
      <c r="C97" s="761"/>
      <c r="D97" s="69" t="s">
        <v>900</v>
      </c>
      <c r="E97" s="82" t="s">
        <v>960</v>
      </c>
      <c r="F97" s="71">
        <v>8.1983615899999656</v>
      </c>
      <c r="G97" s="71">
        <v>850</v>
      </c>
      <c r="H97" s="71">
        <v>850</v>
      </c>
      <c r="I97" s="71">
        <v>300</v>
      </c>
      <c r="J97" s="71">
        <v>0</v>
      </c>
      <c r="K97" s="71">
        <v>0</v>
      </c>
      <c r="L97" s="72">
        <f>SUM(F97:K97)</f>
        <v>2008.1983615899999</v>
      </c>
    </row>
    <row r="98" spans="3:12">
      <c r="C98" s="761"/>
      <c r="D98" s="69" t="s">
        <v>908</v>
      </c>
      <c r="E98" s="95" t="s">
        <v>371</v>
      </c>
      <c r="F98" s="71">
        <v>-1.9598431800000002</v>
      </c>
      <c r="G98" s="71">
        <v>-3.9196863600000014</v>
      </c>
      <c r="H98" s="71">
        <v>-3.9196863600000014</v>
      </c>
      <c r="I98" s="71">
        <v>-7.8393729300000023</v>
      </c>
      <c r="J98" s="71">
        <v>0</v>
      </c>
      <c r="K98" s="71">
        <v>0</v>
      </c>
      <c r="L98" s="72">
        <f>SUM(F98:K98)</f>
        <v>-17.638588830000007</v>
      </c>
    </row>
    <row r="99" spans="3:12">
      <c r="C99" s="764"/>
      <c r="D99" s="565" t="s">
        <v>932</v>
      </c>
      <c r="E99" s="568"/>
      <c r="F99" s="567">
        <f t="shared" ref="F99:K99" si="15">SUM(F97:F98)</f>
        <v>6.2385184099999655</v>
      </c>
      <c r="G99" s="567">
        <f t="shared" si="15"/>
        <v>846.08031363999999</v>
      </c>
      <c r="H99" s="567">
        <f t="shared" si="15"/>
        <v>846.08031363999999</v>
      </c>
      <c r="I99" s="567">
        <f t="shared" si="15"/>
        <v>292.16062706999998</v>
      </c>
      <c r="J99" s="567">
        <f t="shared" si="15"/>
        <v>0</v>
      </c>
      <c r="K99" s="567">
        <f t="shared" si="15"/>
        <v>0</v>
      </c>
      <c r="L99" s="647">
        <f>SUM(L97:L98)</f>
        <v>1990.5597727599998</v>
      </c>
    </row>
    <row r="100" spans="3:12">
      <c r="C100" s="764"/>
      <c r="F100" s="643"/>
      <c r="G100" s="643"/>
      <c r="H100" s="643"/>
      <c r="I100" s="643"/>
      <c r="J100" s="643"/>
      <c r="K100" s="643"/>
      <c r="L100" s="651"/>
    </row>
    <row r="101" spans="3:12">
      <c r="C101" s="764"/>
      <c r="D101" s="565" t="s">
        <v>961</v>
      </c>
      <c r="E101" s="566"/>
      <c r="F101" s="567">
        <f>F14+F21+F28+F36+F42+F48+F55+F61+F66+F71+F76+F99+F85+F93</f>
        <v>3192.9656975033149</v>
      </c>
      <c r="G101" s="567">
        <f t="shared" ref="G101:K101" si="16">G14+G21+G28+G36+G42+G48+G55+G61+G66+G71+G76+G99+G85+G93</f>
        <v>5702.9339353997293</v>
      </c>
      <c r="H101" s="567">
        <f t="shared" si="16"/>
        <v>9505.7479975808346</v>
      </c>
      <c r="I101" s="567">
        <f t="shared" si="16"/>
        <v>22396.9562452725</v>
      </c>
      <c r="J101" s="567">
        <f t="shared" si="16"/>
        <v>6257.1699420781124</v>
      </c>
      <c r="K101" s="567">
        <f t="shared" si="16"/>
        <v>806.94273195169626</v>
      </c>
      <c r="L101" s="647">
        <f>SUM(F101:K101)</f>
        <v>47862.716549786193</v>
      </c>
    </row>
    <row r="102" spans="3:12">
      <c r="D102" s="101"/>
      <c r="E102" s="101"/>
      <c r="F102" s="103"/>
      <c r="G102" s="103"/>
      <c r="H102" s="103"/>
      <c r="I102" s="103"/>
      <c r="J102" s="103"/>
      <c r="K102" s="103"/>
      <c r="L102" s="103"/>
    </row>
    <row r="103" spans="3:12">
      <c r="D103" s="104"/>
      <c r="E103" s="104"/>
      <c r="F103" s="105"/>
      <c r="G103" s="105"/>
      <c r="H103" s="105"/>
      <c r="I103" s="105"/>
      <c r="J103" s="105"/>
      <c r="K103" s="105"/>
      <c r="L103" s="105"/>
    </row>
    <row r="104" spans="3:12">
      <c r="C104" s="84"/>
      <c r="D104" s="106"/>
      <c r="H104" s="107"/>
      <c r="I104" s="108"/>
      <c r="J104" s="109"/>
      <c r="K104" s="109"/>
      <c r="L104" s="654"/>
    </row>
    <row r="105" spans="3:12">
      <c r="C105" s="110"/>
      <c r="D105" s="106"/>
      <c r="H105" s="107"/>
      <c r="I105" s="108"/>
      <c r="J105" s="109"/>
      <c r="K105" s="109"/>
      <c r="L105" s="654"/>
    </row>
    <row r="106" spans="3:12">
      <c r="L106" s="651"/>
    </row>
    <row r="107" spans="3:12">
      <c r="D107" s="104"/>
      <c r="E107" s="104"/>
      <c r="L107" s="651"/>
    </row>
    <row r="108" spans="3:12">
      <c r="L108" s="651"/>
    </row>
    <row r="109" spans="3:12">
      <c r="L109" s="651"/>
    </row>
    <row r="110" spans="3:12">
      <c r="L110" s="651"/>
    </row>
    <row r="111" spans="3:12">
      <c r="L111" s="651"/>
    </row>
    <row r="112" spans="3:12">
      <c r="L112" s="651"/>
    </row>
    <row r="113" spans="12:12">
      <c r="L113" s="651"/>
    </row>
    <row r="114" spans="12:12">
      <c r="L114" s="651"/>
    </row>
    <row r="115" spans="12:12">
      <c r="L115" s="651"/>
    </row>
    <row r="116" spans="12:12">
      <c r="L116" s="651"/>
    </row>
    <row r="117" spans="12:12">
      <c r="L117" s="651"/>
    </row>
    <row r="118" spans="12:12">
      <c r="L118" s="651"/>
    </row>
    <row r="119" spans="12:12">
      <c r="L119" s="646"/>
    </row>
    <row r="120" spans="12:12">
      <c r="L120" s="646"/>
    </row>
    <row r="121" spans="12:12">
      <c r="L121" s="646"/>
    </row>
    <row r="122" spans="12:12">
      <c r="L122" s="646"/>
    </row>
    <row r="123" spans="12:12">
      <c r="L123" s="646"/>
    </row>
    <row r="124" spans="12:12">
      <c r="L124" s="646"/>
    </row>
    <row r="125" spans="12:12">
      <c r="L125" s="646"/>
    </row>
    <row r="126" spans="12:12">
      <c r="L126" s="646"/>
    </row>
    <row r="127" spans="12:12">
      <c r="L127" s="646"/>
    </row>
    <row r="128" spans="12:12">
      <c r="L128" s="646"/>
    </row>
    <row r="129" spans="12:12">
      <c r="L129" s="646"/>
    </row>
    <row r="130" spans="12:12">
      <c r="L130" s="646"/>
    </row>
    <row r="131" spans="12:12">
      <c r="L131" s="646"/>
    </row>
    <row r="132" spans="12:12">
      <c r="L132" s="646"/>
    </row>
    <row r="133" spans="12:12">
      <c r="L133" s="646"/>
    </row>
    <row r="134" spans="12:12">
      <c r="L134" s="646"/>
    </row>
    <row r="135" spans="12:12">
      <c r="L135" s="646"/>
    </row>
    <row r="136" spans="12:12">
      <c r="L136" s="646"/>
    </row>
    <row r="137" spans="12:12">
      <c r="L137" s="646"/>
    </row>
    <row r="138" spans="12:12">
      <c r="L138" s="646"/>
    </row>
    <row r="139" spans="12:12">
      <c r="L139" s="646"/>
    </row>
    <row r="140" spans="12:12">
      <c r="L140" s="646"/>
    </row>
  </sheetData>
  <mergeCells count="16">
    <mergeCell ref="C79:C84"/>
    <mergeCell ref="C88:C92"/>
    <mergeCell ref="C96:C98"/>
    <mergeCell ref="C99:C101"/>
    <mergeCell ref="C51:C54"/>
    <mergeCell ref="C57:C60"/>
    <mergeCell ref="C68:C70"/>
    <mergeCell ref="C73:C75"/>
    <mergeCell ref="C76:C78"/>
    <mergeCell ref="C63:C66"/>
    <mergeCell ref="C44:C48"/>
    <mergeCell ref="C8:C13"/>
    <mergeCell ref="C16:C20"/>
    <mergeCell ref="C23:C27"/>
    <mergeCell ref="C30:C35"/>
    <mergeCell ref="C38:C41"/>
  </mergeCells>
  <conditionalFormatting sqref="L104:L105">
    <cfRule type="cellIs" dxfId="1" priority="1" stopIfTrue="1" operator="equal">
      <formula>"não"</formula>
    </cfRule>
    <cfRule type="cellIs" dxfId="0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9" tint="0.79998168889431442"/>
  </sheetPr>
  <dimension ref="C3:S23"/>
  <sheetViews>
    <sheetView showGridLines="0" zoomScaleNormal="100" workbookViewId="0">
      <selection activeCell="D20" sqref="D20"/>
    </sheetView>
  </sheetViews>
  <sheetFormatPr defaultColWidth="9.1796875" defaultRowHeight="14.5"/>
  <cols>
    <col min="1" max="1" width="9.1796875" style="37"/>
    <col min="2" max="2" width="2.54296875" style="37" customWidth="1"/>
    <col min="3" max="3" width="25.81640625" style="37" bestFit="1" customWidth="1"/>
    <col min="4" max="9" width="9.1796875" style="37"/>
    <col min="10" max="10" width="10.81640625" style="37" bestFit="1" customWidth="1"/>
    <col min="11" max="17" width="9.1796875" style="37"/>
    <col min="18" max="18" width="10" style="37" bestFit="1" customWidth="1"/>
    <col min="19" max="16384" width="9.1796875" style="37"/>
  </cols>
  <sheetData>
    <row r="3" spans="3:19">
      <c r="J3" s="111"/>
    </row>
    <row r="4" spans="3:19">
      <c r="J4" s="111"/>
    </row>
    <row r="5" spans="3:19">
      <c r="D5" s="712"/>
      <c r="E5" s="712"/>
      <c r="F5" s="712"/>
      <c r="G5" s="712"/>
      <c r="H5" s="712"/>
      <c r="I5" s="712"/>
      <c r="J5" s="712"/>
      <c r="K5" s="712"/>
      <c r="L5" s="712"/>
      <c r="M5" s="712"/>
      <c r="N5" s="712"/>
      <c r="O5" s="712"/>
      <c r="P5" s="712"/>
      <c r="Q5" s="712"/>
    </row>
    <row r="6" spans="3:19">
      <c r="C6" s="767"/>
      <c r="D6" s="767" t="s">
        <v>55</v>
      </c>
      <c r="E6" s="767" t="s">
        <v>67</v>
      </c>
      <c r="F6" s="765" t="s">
        <v>69</v>
      </c>
      <c r="G6" s="765" t="s">
        <v>71</v>
      </c>
      <c r="H6" s="765" t="s">
        <v>962</v>
      </c>
      <c r="I6" s="765" t="s">
        <v>963</v>
      </c>
      <c r="J6" s="765" t="s">
        <v>668</v>
      </c>
      <c r="K6" s="765" t="s">
        <v>964</v>
      </c>
      <c r="L6" s="765" t="s">
        <v>73</v>
      </c>
      <c r="M6" s="769" t="s">
        <v>75</v>
      </c>
      <c r="N6" s="765" t="s">
        <v>671</v>
      </c>
      <c r="O6" s="765" t="s">
        <v>965</v>
      </c>
      <c r="P6" s="571" t="s">
        <v>966</v>
      </c>
      <c r="Q6" s="571" t="s">
        <v>967</v>
      </c>
      <c r="R6" s="767" t="s">
        <v>676</v>
      </c>
    </row>
    <row r="7" spans="3:19">
      <c r="C7" s="768"/>
      <c r="D7" s="768"/>
      <c r="E7" s="768"/>
      <c r="F7" s="766"/>
      <c r="G7" s="766"/>
      <c r="H7" s="766"/>
      <c r="I7" s="766"/>
      <c r="J7" s="766"/>
      <c r="K7" s="766"/>
      <c r="L7" s="766"/>
      <c r="M7" s="770"/>
      <c r="N7" s="766"/>
      <c r="O7" s="766"/>
      <c r="P7" s="572" t="s">
        <v>5</v>
      </c>
      <c r="Q7" s="572"/>
      <c r="R7" s="768"/>
    </row>
    <row r="8" spans="3:19">
      <c r="C8" s="573" t="s">
        <v>968</v>
      </c>
      <c r="D8" s="574">
        <v>3534638</v>
      </c>
      <c r="E8" s="574">
        <v>5205657.4000000004</v>
      </c>
      <c r="F8" s="574">
        <v>3830144</v>
      </c>
      <c r="G8" s="574">
        <v>1954993.4</v>
      </c>
      <c r="H8" s="574">
        <v>1990560</v>
      </c>
      <c r="I8" s="574">
        <v>5126344</v>
      </c>
      <c r="J8" s="574">
        <v>5671409</v>
      </c>
      <c r="K8" s="574">
        <v>258207.8</v>
      </c>
      <c r="L8" s="574">
        <v>4839444</v>
      </c>
      <c r="M8" s="574">
        <v>2375900</v>
      </c>
      <c r="N8" s="574">
        <v>1536148</v>
      </c>
      <c r="O8" s="574">
        <v>11539248.51</v>
      </c>
      <c r="P8" s="574">
        <v>0</v>
      </c>
      <c r="Q8" s="574">
        <v>0</v>
      </c>
      <c r="R8" s="574">
        <f>SUM(D8:Q8)</f>
        <v>47862694.109999999</v>
      </c>
      <c r="S8" s="634"/>
    </row>
    <row r="9" spans="3:19">
      <c r="C9" s="112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2"/>
    </row>
    <row r="10" spans="3:19">
      <c r="C10" s="114" t="s">
        <v>969</v>
      </c>
      <c r="D10" s="115">
        <v>1139295</v>
      </c>
      <c r="E10" s="115">
        <v>1992723</v>
      </c>
      <c r="F10" s="115">
        <v>959974</v>
      </c>
      <c r="G10" s="115">
        <v>403113</v>
      </c>
      <c r="H10" s="115">
        <v>1442960</v>
      </c>
      <c r="I10" s="115">
        <v>1578103</v>
      </c>
      <c r="J10" s="115">
        <v>1100982</v>
      </c>
      <c r="K10" s="115">
        <v>111752</v>
      </c>
      <c r="L10" s="115">
        <v>1149153</v>
      </c>
      <c r="M10" s="115">
        <v>468960</v>
      </c>
      <c r="N10" s="115">
        <v>49268</v>
      </c>
      <c r="O10" s="115">
        <v>2054829</v>
      </c>
      <c r="P10" s="115">
        <v>5650</v>
      </c>
      <c r="Q10" s="115">
        <v>167819</v>
      </c>
      <c r="R10" s="116">
        <f t="shared" ref="R10:R18" si="0">SUM(D10:Q10)</f>
        <v>12624581</v>
      </c>
    </row>
    <row r="11" spans="3:19">
      <c r="C11" s="117" t="s">
        <v>970</v>
      </c>
      <c r="D11" s="115">
        <v>-422090</v>
      </c>
      <c r="E11" s="115">
        <v>-252569</v>
      </c>
      <c r="F11" s="115">
        <v>-96134</v>
      </c>
      <c r="G11" s="115">
        <v>-67306</v>
      </c>
      <c r="H11" s="115">
        <v>0</v>
      </c>
      <c r="I11" s="115">
        <v>0</v>
      </c>
      <c r="J11" s="115">
        <v>0</v>
      </c>
      <c r="K11" s="115">
        <v>0</v>
      </c>
      <c r="L11" s="115">
        <v>-383860</v>
      </c>
      <c r="M11" s="115">
        <v>143709</v>
      </c>
      <c r="N11" s="115">
        <v>0</v>
      </c>
      <c r="O11" s="115">
        <v>-760208</v>
      </c>
      <c r="P11" s="115">
        <v>0</v>
      </c>
      <c r="Q11" s="115">
        <v>0</v>
      </c>
      <c r="R11" s="118">
        <f t="shared" si="0"/>
        <v>-1838458</v>
      </c>
    </row>
    <row r="12" spans="3:19">
      <c r="C12" s="117" t="s">
        <v>971</v>
      </c>
      <c r="D12" s="115">
        <v>0</v>
      </c>
      <c r="E12" s="115">
        <v>402238</v>
      </c>
      <c r="F12" s="115">
        <v>0</v>
      </c>
      <c r="G12" s="115">
        <v>0</v>
      </c>
      <c r="H12" s="115">
        <v>0</v>
      </c>
      <c r="I12" s="115">
        <v>0</v>
      </c>
      <c r="J12" s="115">
        <v>0</v>
      </c>
      <c r="K12" s="115">
        <v>0</v>
      </c>
      <c r="L12" s="115">
        <v>0</v>
      </c>
      <c r="M12" s="115">
        <v>0</v>
      </c>
      <c r="N12" s="115">
        <v>0</v>
      </c>
      <c r="O12" s="115">
        <v>0</v>
      </c>
      <c r="P12" s="115">
        <v>0</v>
      </c>
      <c r="Q12" s="115">
        <v>0</v>
      </c>
      <c r="R12" s="118">
        <f t="shared" si="0"/>
        <v>402238</v>
      </c>
    </row>
    <row r="13" spans="3:19">
      <c r="C13" s="117" t="s">
        <v>972</v>
      </c>
      <c r="D13" s="115">
        <v>0</v>
      </c>
      <c r="E13" s="115">
        <v>0</v>
      </c>
      <c r="F13" s="115">
        <v>0</v>
      </c>
      <c r="G13" s="115">
        <v>0</v>
      </c>
      <c r="H13" s="115">
        <v>0</v>
      </c>
      <c r="I13" s="115">
        <v>0</v>
      </c>
      <c r="J13" s="115">
        <v>0</v>
      </c>
      <c r="K13" s="115">
        <v>0</v>
      </c>
      <c r="L13" s="115">
        <v>0</v>
      </c>
      <c r="M13" s="115">
        <v>6087</v>
      </c>
      <c r="N13" s="115">
        <v>0</v>
      </c>
      <c r="O13" s="115">
        <v>0</v>
      </c>
      <c r="P13" s="115">
        <v>0</v>
      </c>
      <c r="Q13" s="115">
        <v>0</v>
      </c>
      <c r="R13" s="118">
        <f t="shared" si="0"/>
        <v>6087</v>
      </c>
    </row>
    <row r="14" spans="3:19">
      <c r="C14" s="117" t="s">
        <v>973</v>
      </c>
      <c r="D14" s="115">
        <v>0</v>
      </c>
      <c r="E14" s="115">
        <v>0</v>
      </c>
      <c r="F14" s="115">
        <v>0</v>
      </c>
      <c r="G14" s="115">
        <v>0</v>
      </c>
      <c r="H14" s="115">
        <v>0</v>
      </c>
      <c r="I14" s="115">
        <v>0</v>
      </c>
      <c r="J14" s="115">
        <v>0</v>
      </c>
      <c r="K14" s="115">
        <v>0</v>
      </c>
      <c r="L14" s="115">
        <v>0</v>
      </c>
      <c r="M14" s="115">
        <v>0</v>
      </c>
      <c r="N14" s="115">
        <v>0</v>
      </c>
      <c r="O14" s="115">
        <v>0</v>
      </c>
      <c r="P14" s="115">
        <v>0</v>
      </c>
      <c r="Q14" s="115">
        <v>0</v>
      </c>
      <c r="R14" s="118">
        <f t="shared" si="0"/>
        <v>0</v>
      </c>
    </row>
    <row r="15" spans="3:19">
      <c r="C15" s="62" t="s">
        <v>974</v>
      </c>
      <c r="D15" s="115">
        <v>64227</v>
      </c>
      <c r="E15" s="115">
        <v>80301</v>
      </c>
      <c r="F15" s="115">
        <v>36744</v>
      </c>
      <c r="G15" s="115">
        <v>33483</v>
      </c>
      <c r="H15" s="115">
        <v>0</v>
      </c>
      <c r="I15" s="115">
        <v>0</v>
      </c>
      <c r="J15" s="115">
        <v>0</v>
      </c>
      <c r="K15" s="115">
        <v>0</v>
      </c>
      <c r="L15" s="115">
        <v>9764</v>
      </c>
      <c r="M15" s="115">
        <v>16787</v>
      </c>
      <c r="N15" s="115">
        <v>0</v>
      </c>
      <c r="O15" s="115">
        <v>29333</v>
      </c>
      <c r="P15" s="115">
        <v>0</v>
      </c>
      <c r="Q15" s="115">
        <v>0</v>
      </c>
      <c r="R15" s="118">
        <f t="shared" si="0"/>
        <v>270639</v>
      </c>
    </row>
    <row r="16" spans="3:19">
      <c r="C16" s="117" t="s">
        <v>975</v>
      </c>
      <c r="D16" s="115">
        <v>0</v>
      </c>
      <c r="E16" s="115">
        <v>8239.0142300000007</v>
      </c>
      <c r="F16" s="115">
        <v>0</v>
      </c>
      <c r="G16" s="115">
        <v>0</v>
      </c>
      <c r="H16" s="115">
        <v>0</v>
      </c>
      <c r="I16" s="115">
        <v>0</v>
      </c>
      <c r="J16" s="115">
        <v>0</v>
      </c>
      <c r="K16" s="115">
        <v>0</v>
      </c>
      <c r="L16" s="115">
        <v>0</v>
      </c>
      <c r="M16" s="115">
        <v>0</v>
      </c>
      <c r="N16" s="115">
        <v>0</v>
      </c>
      <c r="O16" s="115">
        <v>0</v>
      </c>
      <c r="P16" s="115">
        <v>0</v>
      </c>
      <c r="Q16" s="115">
        <v>0</v>
      </c>
      <c r="R16" s="118">
        <f t="shared" si="0"/>
        <v>8239.0142300000007</v>
      </c>
    </row>
    <row r="17" spans="3:19">
      <c r="C17" s="119" t="s">
        <v>976</v>
      </c>
      <c r="D17" s="633">
        <v>46166</v>
      </c>
      <c r="E17" s="633">
        <v>9572</v>
      </c>
      <c r="F17" s="633">
        <v>47239</v>
      </c>
      <c r="G17" s="633">
        <v>58336</v>
      </c>
      <c r="H17" s="633">
        <v>190379</v>
      </c>
      <c r="I17" s="633">
        <v>0</v>
      </c>
      <c r="J17" s="633">
        <v>70961</v>
      </c>
      <c r="K17" s="633">
        <v>6743</v>
      </c>
      <c r="L17" s="633">
        <v>94558</v>
      </c>
      <c r="M17" s="633">
        <v>-16822</v>
      </c>
      <c r="N17" s="633">
        <v>0</v>
      </c>
      <c r="O17" s="633">
        <v>-23862</v>
      </c>
      <c r="P17" s="633">
        <v>0</v>
      </c>
      <c r="Q17" s="633">
        <v>0</v>
      </c>
      <c r="R17" s="118">
        <f t="shared" si="0"/>
        <v>483270</v>
      </c>
    </row>
    <row r="18" spans="3:19">
      <c r="C18" s="575" t="s">
        <v>977</v>
      </c>
      <c r="D18" s="632">
        <f t="shared" ref="D18:Q18" si="1">D8-SUM(D10:D17)</f>
        <v>2707040</v>
      </c>
      <c r="E18" s="632">
        <f t="shared" si="1"/>
        <v>2965153.3857700005</v>
      </c>
      <c r="F18" s="632">
        <f t="shared" si="1"/>
        <v>2882321</v>
      </c>
      <c r="G18" s="632">
        <f t="shared" si="1"/>
        <v>1527367.4</v>
      </c>
      <c r="H18" s="632">
        <f t="shared" si="1"/>
        <v>357221</v>
      </c>
      <c r="I18" s="632">
        <f>I8-SUM(I10:I17)</f>
        <v>3548241</v>
      </c>
      <c r="J18" s="632">
        <f t="shared" si="1"/>
        <v>4499466</v>
      </c>
      <c r="K18" s="632">
        <f t="shared" si="1"/>
        <v>139712.79999999999</v>
      </c>
      <c r="L18" s="632">
        <f t="shared" si="1"/>
        <v>3969829</v>
      </c>
      <c r="M18" s="632">
        <f>M8-SUM(M10:M17)</f>
        <v>1757179</v>
      </c>
      <c r="N18" s="632">
        <f t="shared" si="1"/>
        <v>1486880</v>
      </c>
      <c r="O18" s="632">
        <f t="shared" si="1"/>
        <v>10239156.51</v>
      </c>
      <c r="P18" s="632">
        <f t="shared" si="1"/>
        <v>-5650</v>
      </c>
      <c r="Q18" s="632">
        <f t="shared" si="1"/>
        <v>-167819</v>
      </c>
      <c r="R18" s="632">
        <f t="shared" si="0"/>
        <v>35906098.095770001</v>
      </c>
    </row>
    <row r="19" spans="3:19">
      <c r="C19" s="120" t="s">
        <v>978</v>
      </c>
      <c r="D19" s="120">
        <f>65.1%</f>
        <v>0.65099999999999991</v>
      </c>
      <c r="E19" s="120">
        <f>96.5%</f>
        <v>0.96499999999999997</v>
      </c>
      <c r="F19" s="120">
        <f>95%</f>
        <v>0.95</v>
      </c>
      <c r="G19" s="120">
        <v>0.96389999999999998</v>
      </c>
      <c r="H19" s="120">
        <v>1</v>
      </c>
      <c r="I19" s="120">
        <v>1</v>
      </c>
      <c r="J19" s="120">
        <v>1</v>
      </c>
      <c r="K19" s="120">
        <v>1</v>
      </c>
      <c r="L19" s="120">
        <f>95.1%*100%</f>
        <v>0.95099999999999996</v>
      </c>
      <c r="M19" s="120">
        <f>99.9%*100%</f>
        <v>0.99900000000000011</v>
      </c>
      <c r="N19" s="120">
        <v>0.8</v>
      </c>
      <c r="O19" s="120">
        <f>99.9%*100%</f>
        <v>0.99900000000000011</v>
      </c>
      <c r="P19" s="120">
        <v>0.74209999999999998</v>
      </c>
      <c r="Q19" s="120">
        <v>1</v>
      </c>
      <c r="R19" s="120">
        <v>1</v>
      </c>
    </row>
    <row r="20" spans="3:19">
      <c r="C20" s="575" t="s">
        <v>979</v>
      </c>
      <c r="D20" s="574">
        <f>D18*D19</f>
        <v>1762283.0399999998</v>
      </c>
      <c r="E20" s="574">
        <f t="shared" ref="E20:Q20" si="2">E18*E19</f>
        <v>2861373.0172680505</v>
      </c>
      <c r="F20" s="574">
        <f t="shared" si="2"/>
        <v>2738204.9499999997</v>
      </c>
      <c r="G20" s="574">
        <f t="shared" si="2"/>
        <v>1472229.4368599998</v>
      </c>
      <c r="H20" s="574">
        <f t="shared" si="2"/>
        <v>357221</v>
      </c>
      <c r="I20" s="574">
        <f t="shared" si="2"/>
        <v>3548241</v>
      </c>
      <c r="J20" s="574">
        <f t="shared" si="2"/>
        <v>4499466</v>
      </c>
      <c r="K20" s="574">
        <f t="shared" si="2"/>
        <v>139712.79999999999</v>
      </c>
      <c r="L20" s="574">
        <f t="shared" si="2"/>
        <v>3775307.3789999997</v>
      </c>
      <c r="M20" s="574">
        <f>M18*M19</f>
        <v>1755421.8210000002</v>
      </c>
      <c r="N20" s="574">
        <f t="shared" si="2"/>
        <v>1189504</v>
      </c>
      <c r="O20" s="574">
        <f t="shared" si="2"/>
        <v>10228917.353490001</v>
      </c>
      <c r="P20" s="574">
        <f t="shared" si="2"/>
        <v>-4192.8649999999998</v>
      </c>
      <c r="Q20" s="574">
        <f t="shared" si="2"/>
        <v>-167819</v>
      </c>
      <c r="R20" s="574">
        <f>SUM(D20:Q20)</f>
        <v>34155869.932618052</v>
      </c>
      <c r="S20" s="111"/>
    </row>
    <row r="21" spans="3:19">
      <c r="C21" s="62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</row>
    <row r="22" spans="3:19">
      <c r="C22" s="62"/>
      <c r="D22" s="62"/>
      <c r="E22" s="121"/>
      <c r="F22" s="121"/>
      <c r="G22" s="121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122"/>
    </row>
    <row r="23" spans="3:19">
      <c r="C23" s="575" t="s">
        <v>980</v>
      </c>
      <c r="D23" s="574">
        <v>838297.97517064901</v>
      </c>
      <c r="E23" s="574">
        <v>449837.59893195593</v>
      </c>
      <c r="F23" s="574">
        <v>1180929.1321722786</v>
      </c>
      <c r="G23" s="574">
        <v>352247.23678227048</v>
      </c>
      <c r="H23" s="574">
        <v>4278.6758500001151</v>
      </c>
      <c r="I23" s="574">
        <v>531344.67305084923</v>
      </c>
      <c r="J23" s="574">
        <v>896618.72230000061</v>
      </c>
      <c r="K23" s="574">
        <v>157354.73857274032</v>
      </c>
      <c r="L23" s="574">
        <v>691400.74453757133</v>
      </c>
      <c r="M23" s="574">
        <v>318733.88674368581</v>
      </c>
      <c r="N23" s="574">
        <v>127926.66968255422</v>
      </c>
      <c r="O23" s="574">
        <v>0</v>
      </c>
      <c r="P23" s="574">
        <v>0</v>
      </c>
      <c r="Q23" s="574">
        <v>0</v>
      </c>
      <c r="R23" s="574">
        <f>SUM(D23:Q23)</f>
        <v>5548970.0537945563</v>
      </c>
    </row>
  </sheetData>
  <mergeCells count="14">
    <mergeCell ref="N6:N7"/>
    <mergeCell ref="O6:O7"/>
    <mergeCell ref="R6:R7"/>
    <mergeCell ref="I6:I7"/>
    <mergeCell ref="J6:J7"/>
    <mergeCell ref="K6:K7"/>
    <mergeCell ref="L6:L7"/>
    <mergeCell ref="M6:M7"/>
    <mergeCell ref="H6:H7"/>
    <mergeCell ref="C6:C7"/>
    <mergeCell ref="D6:D7"/>
    <mergeCell ref="E6:E7"/>
    <mergeCell ref="F6:F7"/>
    <mergeCell ref="G6:G7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P9:Q9" formulaRange="1"/>
  </ignoredError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9" tint="0.79998168889431442"/>
  </sheetPr>
  <dimension ref="C5:M358"/>
  <sheetViews>
    <sheetView showGridLines="0" zoomScale="85" zoomScaleNormal="85" workbookViewId="0">
      <selection activeCell="F21" sqref="F21"/>
    </sheetView>
  </sheetViews>
  <sheetFormatPr defaultColWidth="9.1796875" defaultRowHeight="14.5"/>
  <cols>
    <col min="1" max="1" width="9.1796875" style="37"/>
    <col min="2" max="2" width="2" style="37" customWidth="1"/>
    <col min="3" max="3" width="19.453125" customWidth="1"/>
    <col min="4" max="4" width="41.1796875" bestFit="1" customWidth="1"/>
    <col min="5" max="5" width="17.453125" bestFit="1" customWidth="1"/>
    <col min="6" max="6" width="16.81640625" bestFit="1" customWidth="1"/>
    <col min="7" max="7" width="7.81640625" customWidth="1"/>
    <col min="8" max="9" width="10.1796875" bestFit="1" customWidth="1"/>
    <col min="10" max="10" width="20.453125" style="601" customWidth="1"/>
    <col min="11" max="11" width="14.453125" style="601" customWidth="1"/>
    <col min="12" max="12" width="17.81640625" style="601" customWidth="1"/>
    <col min="13" max="13" width="17.453125" style="124" bestFit="1" customWidth="1"/>
    <col min="14" max="14" width="12" style="37" bestFit="1" customWidth="1"/>
    <col min="15" max="16384" width="9.1796875" style="37"/>
  </cols>
  <sheetData>
    <row r="5" spans="3:13">
      <c r="J5" s="123" t="s">
        <v>981</v>
      </c>
      <c r="K5" s="123" t="s">
        <v>982</v>
      </c>
    </row>
    <row r="6" spans="3:13">
      <c r="C6" s="125" t="s">
        <v>983</v>
      </c>
    </row>
    <row r="7" spans="3:13" ht="14.5" customHeight="1">
      <c r="C7" s="771" t="s">
        <v>984</v>
      </c>
      <c r="D7" s="771" t="s">
        <v>985</v>
      </c>
      <c r="E7" s="771" t="s">
        <v>986</v>
      </c>
      <c r="F7" s="771" t="s">
        <v>893</v>
      </c>
      <c r="G7" s="771" t="s">
        <v>987</v>
      </c>
      <c r="H7" s="771" t="s">
        <v>988</v>
      </c>
      <c r="I7" s="771" t="s">
        <v>989</v>
      </c>
      <c r="J7" s="771" t="s">
        <v>990</v>
      </c>
      <c r="K7" s="771" t="s">
        <v>991</v>
      </c>
      <c r="L7" s="771" t="s">
        <v>992</v>
      </c>
      <c r="M7" s="773" t="s">
        <v>993</v>
      </c>
    </row>
    <row r="8" spans="3:13">
      <c r="C8" s="772"/>
      <c r="D8" s="772"/>
      <c r="E8" s="772"/>
      <c r="F8" s="772"/>
      <c r="G8" s="772"/>
      <c r="H8" s="772"/>
      <c r="I8" s="772"/>
      <c r="J8" s="772"/>
      <c r="K8" s="772"/>
      <c r="L8" s="772"/>
      <c r="M8" s="771" t="s">
        <v>160</v>
      </c>
    </row>
    <row r="9" spans="3:13">
      <c r="C9" s="597" t="s">
        <v>994</v>
      </c>
      <c r="D9" s="126" t="s">
        <v>995</v>
      </c>
      <c r="E9" s="126" t="s">
        <v>996</v>
      </c>
      <c r="F9" s="300" t="s">
        <v>997</v>
      </c>
      <c r="G9" s="300" t="s">
        <v>998</v>
      </c>
      <c r="H9" s="433">
        <v>41153</v>
      </c>
      <c r="I9" s="433">
        <v>46934</v>
      </c>
      <c r="J9" s="721">
        <v>0.01</v>
      </c>
      <c r="K9" s="713">
        <v>3.7669937011180084</v>
      </c>
      <c r="L9" s="433" t="s">
        <v>999</v>
      </c>
      <c r="M9" s="635">
        <v>8625808.4633925594</v>
      </c>
    </row>
    <row r="10" spans="3:13">
      <c r="C10" s="597" t="s">
        <v>994</v>
      </c>
      <c r="D10" s="126" t="s">
        <v>995</v>
      </c>
      <c r="E10" s="126" t="s">
        <v>1000</v>
      </c>
      <c r="F10" s="300" t="s">
        <v>904</v>
      </c>
      <c r="G10" s="300" t="s">
        <v>998</v>
      </c>
      <c r="H10" s="433">
        <v>41153</v>
      </c>
      <c r="I10" s="433">
        <v>49217</v>
      </c>
      <c r="J10" s="722">
        <v>0.01</v>
      </c>
      <c r="K10" s="713">
        <v>8.5786696690970228</v>
      </c>
      <c r="L10" s="433" t="s">
        <v>1001</v>
      </c>
      <c r="M10" s="635">
        <v>3790026.1789714517</v>
      </c>
    </row>
    <row r="11" spans="3:13">
      <c r="C11" s="597" t="s">
        <v>994</v>
      </c>
      <c r="D11" s="126" t="s">
        <v>995</v>
      </c>
      <c r="E11" s="126" t="s">
        <v>1002</v>
      </c>
      <c r="F11" s="300" t="s">
        <v>904</v>
      </c>
      <c r="G11" s="300" t="s">
        <v>998</v>
      </c>
      <c r="H11" s="433">
        <v>41153</v>
      </c>
      <c r="I11" s="433">
        <v>49217</v>
      </c>
      <c r="J11" s="722">
        <v>0.01</v>
      </c>
      <c r="K11" s="713">
        <v>8.5788996976637772</v>
      </c>
      <c r="L11" s="433" t="s">
        <v>1001</v>
      </c>
      <c r="M11" s="635">
        <v>69309899.650172755</v>
      </c>
    </row>
    <row r="12" spans="3:13">
      <c r="C12" s="597" t="s">
        <v>994</v>
      </c>
      <c r="D12" s="126" t="s">
        <v>995</v>
      </c>
      <c r="E12" s="126" t="s">
        <v>1003</v>
      </c>
      <c r="F12" s="300" t="s">
        <v>904</v>
      </c>
      <c r="G12" s="300" t="s">
        <v>998</v>
      </c>
      <c r="H12" s="433">
        <v>41153</v>
      </c>
      <c r="I12" s="433">
        <v>49217</v>
      </c>
      <c r="J12" s="722">
        <v>0.01</v>
      </c>
      <c r="K12" s="713">
        <v>8.5786697666053442</v>
      </c>
      <c r="L12" s="433" t="s">
        <v>1001</v>
      </c>
      <c r="M12" s="635">
        <v>22755002.190011669</v>
      </c>
    </row>
    <row r="13" spans="3:13">
      <c r="C13" s="597" t="s">
        <v>994</v>
      </c>
      <c r="D13" s="126" t="s">
        <v>995</v>
      </c>
      <c r="E13" s="126" t="s">
        <v>1004</v>
      </c>
      <c r="F13" s="300" t="s">
        <v>904</v>
      </c>
      <c r="G13" s="300" t="s">
        <v>998</v>
      </c>
      <c r="H13" s="433">
        <v>41153</v>
      </c>
      <c r="I13" s="433">
        <v>49217</v>
      </c>
      <c r="J13" s="722">
        <v>0.01</v>
      </c>
      <c r="K13" s="713">
        <v>8.5786696584654134</v>
      </c>
      <c r="L13" s="433" t="s">
        <v>1001</v>
      </c>
      <c r="M13" s="635">
        <v>91982673.964233354</v>
      </c>
    </row>
    <row r="14" spans="3:13">
      <c r="C14" s="597" t="s">
        <v>994</v>
      </c>
      <c r="D14" s="126" t="s">
        <v>995</v>
      </c>
      <c r="E14" s="126" t="s">
        <v>1003</v>
      </c>
      <c r="F14" s="300" t="s">
        <v>904</v>
      </c>
      <c r="G14" s="300" t="s">
        <v>998</v>
      </c>
      <c r="H14" s="433">
        <v>41153</v>
      </c>
      <c r="I14" s="433">
        <v>49217</v>
      </c>
      <c r="J14" s="722">
        <v>0.01</v>
      </c>
      <c r="K14" s="713">
        <v>8.5786696182070958</v>
      </c>
      <c r="L14" s="433" t="s">
        <v>1001</v>
      </c>
      <c r="M14" s="635">
        <v>88784708.808017686</v>
      </c>
    </row>
    <row r="15" spans="3:13">
      <c r="C15" s="597" t="s">
        <v>994</v>
      </c>
      <c r="D15" s="126" t="s">
        <v>995</v>
      </c>
      <c r="E15" s="126" t="s">
        <v>1004</v>
      </c>
      <c r="F15" s="300" t="s">
        <v>997</v>
      </c>
      <c r="G15" s="300" t="s">
        <v>998</v>
      </c>
      <c r="H15" s="433">
        <v>41153</v>
      </c>
      <c r="I15" s="433">
        <v>46265</v>
      </c>
      <c r="J15" s="721">
        <v>0.1</v>
      </c>
      <c r="K15" s="713">
        <v>1.4894635914247272</v>
      </c>
      <c r="L15" s="433" t="s">
        <v>1005</v>
      </c>
      <c r="M15" s="635">
        <v>79592722.428500503</v>
      </c>
    </row>
    <row r="16" spans="3:13">
      <c r="C16" s="597" t="s">
        <v>994</v>
      </c>
      <c r="D16" s="126" t="s">
        <v>1006</v>
      </c>
      <c r="E16" s="126" t="s">
        <v>1007</v>
      </c>
      <c r="F16" s="300" t="s">
        <v>1008</v>
      </c>
      <c r="G16" s="300" t="s">
        <v>1009</v>
      </c>
      <c r="H16" s="433">
        <v>44890</v>
      </c>
      <c r="I16" s="433">
        <v>45986</v>
      </c>
      <c r="J16" s="723">
        <v>1.35E-2</v>
      </c>
      <c r="K16" s="713">
        <v>1.4339669519094767</v>
      </c>
      <c r="L16" s="433" t="s">
        <v>999</v>
      </c>
      <c r="M16" s="635">
        <v>1033586326.4799206</v>
      </c>
    </row>
    <row r="17" spans="3:13">
      <c r="C17" s="597" t="s">
        <v>994</v>
      </c>
      <c r="D17" s="126" t="s">
        <v>1006</v>
      </c>
      <c r="E17" s="126" t="s">
        <v>1007</v>
      </c>
      <c r="F17" s="300" t="s">
        <v>1008</v>
      </c>
      <c r="G17" s="300" t="s">
        <v>1009</v>
      </c>
      <c r="H17" s="433">
        <v>44890</v>
      </c>
      <c r="I17" s="433">
        <v>45986</v>
      </c>
      <c r="J17" s="723">
        <v>1.35E-2</v>
      </c>
      <c r="K17" s="713">
        <v>1.4339669034908689</v>
      </c>
      <c r="L17" s="433" t="s">
        <v>999</v>
      </c>
      <c r="M17" s="635">
        <v>76382033.204954535</v>
      </c>
    </row>
    <row r="18" spans="3:13">
      <c r="C18" s="597" t="s">
        <v>994</v>
      </c>
      <c r="D18" s="126" t="s">
        <v>1010</v>
      </c>
      <c r="E18" s="126" t="s">
        <v>1011</v>
      </c>
      <c r="F18" s="300" t="s">
        <v>997</v>
      </c>
      <c r="G18" s="300" t="s">
        <v>998</v>
      </c>
      <c r="H18" s="433">
        <v>42249</v>
      </c>
      <c r="I18" s="433">
        <v>46575</v>
      </c>
      <c r="J18" s="721">
        <v>0.06</v>
      </c>
      <c r="K18" s="713">
        <v>1.6016297886727342</v>
      </c>
      <c r="L18" s="433" t="s">
        <v>1005</v>
      </c>
      <c r="M18" s="635">
        <v>11734143.009999977</v>
      </c>
    </row>
    <row r="19" spans="3:13">
      <c r="C19" s="597" t="s">
        <v>994</v>
      </c>
      <c r="D19" s="126" t="s">
        <v>1010</v>
      </c>
      <c r="E19" s="126" t="s">
        <v>1011</v>
      </c>
      <c r="F19" s="300" t="s">
        <v>997</v>
      </c>
      <c r="G19" s="300" t="s">
        <v>998</v>
      </c>
      <c r="H19" s="433">
        <v>43454</v>
      </c>
      <c r="I19" s="433">
        <v>47003</v>
      </c>
      <c r="J19" s="721">
        <v>0.06</v>
      </c>
      <c r="K19" s="713">
        <v>2.1911138811322721</v>
      </c>
      <c r="L19" s="433" t="s">
        <v>1005</v>
      </c>
      <c r="M19" s="635">
        <v>16211173.273205828</v>
      </c>
    </row>
    <row r="20" spans="3:13">
      <c r="C20" s="597" t="s">
        <v>994</v>
      </c>
      <c r="D20" s="126" t="s">
        <v>1010</v>
      </c>
      <c r="E20" s="126" t="s">
        <v>1012</v>
      </c>
      <c r="F20" s="300" t="s">
        <v>902</v>
      </c>
      <c r="G20" s="300" t="s">
        <v>998</v>
      </c>
      <c r="H20" s="433">
        <v>43516</v>
      </c>
      <c r="I20" s="433">
        <v>46858</v>
      </c>
      <c r="J20" s="724">
        <v>4.8130439999999997E-2</v>
      </c>
      <c r="K20" s="713">
        <v>1.9832723444878058</v>
      </c>
      <c r="L20" s="433" t="s">
        <v>1005</v>
      </c>
      <c r="M20" s="635">
        <v>872262114.557181</v>
      </c>
    </row>
    <row r="21" spans="3:13">
      <c r="C21" s="597" t="s">
        <v>994</v>
      </c>
      <c r="D21" s="126" t="s">
        <v>1010</v>
      </c>
      <c r="E21" s="126" t="s">
        <v>1012</v>
      </c>
      <c r="F21" s="300" t="s">
        <v>902</v>
      </c>
      <c r="G21" s="300" t="s">
        <v>998</v>
      </c>
      <c r="H21" s="433">
        <v>44285</v>
      </c>
      <c r="I21" s="433">
        <v>46767</v>
      </c>
      <c r="J21" s="724">
        <v>4.1109920000000001E-2</v>
      </c>
      <c r="K21" s="713">
        <v>1.8150472907746815</v>
      </c>
      <c r="L21" s="433" t="s">
        <v>1005</v>
      </c>
      <c r="M21" s="635">
        <v>29856910.555826679</v>
      </c>
    </row>
    <row r="22" spans="3:13">
      <c r="C22" s="597" t="s">
        <v>994</v>
      </c>
      <c r="D22" s="126" t="s">
        <v>1010</v>
      </c>
      <c r="E22" s="126" t="s">
        <v>1012</v>
      </c>
      <c r="F22" s="300" t="s">
        <v>902</v>
      </c>
      <c r="G22" s="300" t="s">
        <v>998</v>
      </c>
      <c r="H22" s="433">
        <v>44285</v>
      </c>
      <c r="I22" s="433">
        <v>51394</v>
      </c>
      <c r="J22" s="724">
        <v>4.1109920000000001E-2</v>
      </c>
      <c r="K22" s="713">
        <v>10.048053409470818</v>
      </c>
      <c r="L22" s="433" t="s">
        <v>1005</v>
      </c>
      <c r="M22" s="635">
        <v>108648475.05774795</v>
      </c>
    </row>
    <row r="23" spans="3:13">
      <c r="C23" s="597" t="s">
        <v>994</v>
      </c>
      <c r="D23" s="126" t="s">
        <v>1010</v>
      </c>
      <c r="E23" s="126" t="s">
        <v>1012</v>
      </c>
      <c r="F23" s="300" t="s">
        <v>902</v>
      </c>
      <c r="G23" s="300" t="s">
        <v>998</v>
      </c>
      <c r="H23" s="433">
        <v>44285</v>
      </c>
      <c r="I23" s="433">
        <v>46767</v>
      </c>
      <c r="J23" s="724">
        <v>4.1109920000000001E-2</v>
      </c>
      <c r="K23" s="713">
        <v>1.8148802116892815</v>
      </c>
      <c r="L23" s="433" t="s">
        <v>1005</v>
      </c>
      <c r="M23" s="635">
        <v>295839347.97582901</v>
      </c>
    </row>
    <row r="24" spans="3:13">
      <c r="C24" s="597" t="s">
        <v>994</v>
      </c>
      <c r="D24" s="126" t="s">
        <v>1010</v>
      </c>
      <c r="E24" s="126" t="s">
        <v>1012</v>
      </c>
      <c r="F24" s="300" t="s">
        <v>902</v>
      </c>
      <c r="G24" s="300" t="s">
        <v>998</v>
      </c>
      <c r="H24" s="433">
        <v>44285</v>
      </c>
      <c r="I24" s="433">
        <v>51394</v>
      </c>
      <c r="J24" s="724">
        <v>4.1109920000000001E-2</v>
      </c>
      <c r="K24" s="713">
        <v>10.048052688994519</v>
      </c>
      <c r="L24" s="433" t="s">
        <v>1005</v>
      </c>
      <c r="M24" s="635">
        <v>1077751277.2810643</v>
      </c>
    </row>
    <row r="25" spans="3:13">
      <c r="C25" s="597" t="s">
        <v>994</v>
      </c>
      <c r="D25" s="126" t="s">
        <v>1013</v>
      </c>
      <c r="E25" s="126" t="s">
        <v>719</v>
      </c>
      <c r="F25" s="300" t="s">
        <v>902</v>
      </c>
      <c r="G25" s="300" t="s">
        <v>998</v>
      </c>
      <c r="H25" s="433">
        <v>42705</v>
      </c>
      <c r="I25" s="433">
        <v>45306</v>
      </c>
      <c r="J25" s="725">
        <v>2.4E-2</v>
      </c>
      <c r="K25" s="713">
        <v>0</v>
      </c>
      <c r="L25" s="433" t="s">
        <v>371</v>
      </c>
      <c r="M25" s="635">
        <v>2.4447217583656311E-9</v>
      </c>
    </row>
    <row r="26" spans="3:13">
      <c r="C26" s="597" t="s">
        <v>994</v>
      </c>
      <c r="D26" s="126" t="s">
        <v>1013</v>
      </c>
      <c r="E26" s="126" t="s">
        <v>719</v>
      </c>
      <c r="F26" s="300" t="s">
        <v>902</v>
      </c>
      <c r="G26" s="300" t="s">
        <v>998</v>
      </c>
      <c r="H26" s="433">
        <v>43007</v>
      </c>
      <c r="I26" s="433">
        <v>45306</v>
      </c>
      <c r="J26" s="725">
        <v>2.4E-2</v>
      </c>
      <c r="K26" s="713">
        <v>0</v>
      </c>
      <c r="L26" s="433" t="s">
        <v>371</v>
      </c>
      <c r="M26" s="635">
        <v>0</v>
      </c>
    </row>
    <row r="27" spans="3:13">
      <c r="C27" s="597" t="s">
        <v>994</v>
      </c>
      <c r="D27" s="126" t="s">
        <v>1013</v>
      </c>
      <c r="E27" s="126" t="s">
        <v>719</v>
      </c>
      <c r="F27" s="300" t="s">
        <v>1014</v>
      </c>
      <c r="G27" s="300" t="s">
        <v>998</v>
      </c>
      <c r="H27" s="433">
        <v>44719</v>
      </c>
      <c r="I27" s="433">
        <v>46888</v>
      </c>
      <c r="J27" s="726">
        <v>1.4E-2</v>
      </c>
      <c r="K27" s="713">
        <v>2.9243230791001933</v>
      </c>
      <c r="L27" s="433" t="s">
        <v>1015</v>
      </c>
      <c r="M27" s="635">
        <v>1368870646.8599999</v>
      </c>
    </row>
    <row r="28" spans="3:13">
      <c r="C28" s="597" t="s">
        <v>994</v>
      </c>
      <c r="D28" s="126" t="s">
        <v>1016</v>
      </c>
      <c r="E28" s="126" t="s">
        <v>1017</v>
      </c>
      <c r="F28" s="300" t="s">
        <v>997</v>
      </c>
      <c r="G28" s="300" t="s">
        <v>998</v>
      </c>
      <c r="H28" s="433">
        <v>43677</v>
      </c>
      <c r="I28" s="433">
        <v>46858</v>
      </c>
      <c r="J28" s="727">
        <v>0</v>
      </c>
      <c r="K28" s="713">
        <v>2.9582385082267542</v>
      </c>
      <c r="L28" s="433" t="s">
        <v>1005</v>
      </c>
      <c r="M28" s="635">
        <v>-639561.33999999985</v>
      </c>
    </row>
    <row r="29" spans="3:13">
      <c r="C29" s="597" t="s">
        <v>994</v>
      </c>
      <c r="D29" s="126" t="s">
        <v>1016</v>
      </c>
      <c r="E29" s="126" t="s">
        <v>1017</v>
      </c>
      <c r="F29" s="300" t="s">
        <v>997</v>
      </c>
      <c r="G29" s="300" t="s">
        <v>998</v>
      </c>
      <c r="H29" s="433">
        <v>44286</v>
      </c>
      <c r="I29" s="433">
        <v>51409</v>
      </c>
      <c r="J29" s="727">
        <v>0</v>
      </c>
      <c r="K29" s="713">
        <v>8.28662495704571</v>
      </c>
      <c r="L29" s="433" t="s">
        <v>1005</v>
      </c>
      <c r="M29" s="635">
        <v>-5759218.4699999932</v>
      </c>
    </row>
    <row r="30" spans="3:13">
      <c r="C30" s="597" t="s">
        <v>994</v>
      </c>
      <c r="D30" s="126" t="s">
        <v>1018</v>
      </c>
      <c r="E30" s="126" t="s">
        <v>1017</v>
      </c>
      <c r="F30" s="300" t="s">
        <v>997</v>
      </c>
      <c r="G30" s="300" t="s">
        <v>998</v>
      </c>
      <c r="H30" s="433">
        <v>43100</v>
      </c>
      <c r="I30" s="433">
        <v>45306</v>
      </c>
      <c r="J30" s="727">
        <v>0</v>
      </c>
      <c r="K30" s="713">
        <v>0</v>
      </c>
      <c r="L30" s="433" t="s">
        <v>1005</v>
      </c>
      <c r="M30" s="635">
        <v>-3.7107383832335472E-10</v>
      </c>
    </row>
    <row r="31" spans="3:13">
      <c r="C31" s="597" t="s">
        <v>994</v>
      </c>
      <c r="D31" s="126" t="s">
        <v>1018</v>
      </c>
      <c r="E31" s="126" t="s">
        <v>1017</v>
      </c>
      <c r="F31" s="300" t="s">
        <v>997</v>
      </c>
      <c r="G31" s="300" t="s">
        <v>998</v>
      </c>
      <c r="H31" s="433">
        <v>44719</v>
      </c>
      <c r="I31" s="433">
        <v>46888</v>
      </c>
      <c r="J31" s="727">
        <v>0</v>
      </c>
      <c r="K31" s="713">
        <v>2.0300236163161469</v>
      </c>
      <c r="L31" s="433" t="s">
        <v>1005</v>
      </c>
      <c r="M31" s="635">
        <v>-3994482.0099999988</v>
      </c>
    </row>
    <row r="32" spans="3:13">
      <c r="C32" s="597" t="s">
        <v>994</v>
      </c>
      <c r="D32" s="126" t="s">
        <v>1016</v>
      </c>
      <c r="E32" s="126" t="s">
        <v>1017</v>
      </c>
      <c r="F32" s="300" t="s">
        <v>997</v>
      </c>
      <c r="G32" s="300" t="s">
        <v>998</v>
      </c>
      <c r="H32" s="433">
        <v>44890</v>
      </c>
      <c r="I32" s="433">
        <v>45986</v>
      </c>
      <c r="J32" s="727">
        <v>0</v>
      </c>
      <c r="K32" s="713">
        <v>0</v>
      </c>
      <c r="L32" s="433" t="s">
        <v>1005</v>
      </c>
      <c r="M32" s="635">
        <v>2.9103830456733704E-11</v>
      </c>
    </row>
    <row r="33" spans="3:13">
      <c r="C33" s="597" t="s">
        <v>994</v>
      </c>
      <c r="D33" s="126" t="s">
        <v>1019</v>
      </c>
      <c r="E33" s="126" t="s">
        <v>1017</v>
      </c>
      <c r="F33" s="300" t="s">
        <v>997</v>
      </c>
      <c r="G33" s="300" t="s">
        <v>998</v>
      </c>
      <c r="H33" s="433">
        <v>42185</v>
      </c>
      <c r="I33" s="433">
        <v>46264</v>
      </c>
      <c r="J33" s="727">
        <v>0</v>
      </c>
      <c r="K33" s="713">
        <v>1.395940105562032</v>
      </c>
      <c r="L33" s="433" t="s">
        <v>1005</v>
      </c>
      <c r="M33" s="635">
        <v>-1721802.4518835442</v>
      </c>
    </row>
    <row r="34" spans="3:13">
      <c r="C34" s="597" t="s">
        <v>994</v>
      </c>
      <c r="D34" s="126" t="s">
        <v>1019</v>
      </c>
      <c r="E34" s="126" t="s">
        <v>1017</v>
      </c>
      <c r="F34" s="300" t="s">
        <v>997</v>
      </c>
      <c r="G34" s="300" t="s">
        <v>998</v>
      </c>
      <c r="H34" s="433">
        <v>42185</v>
      </c>
      <c r="I34" s="433">
        <v>49217</v>
      </c>
      <c r="J34" s="727">
        <v>0</v>
      </c>
      <c r="K34" s="713">
        <v>5.2964766256459468</v>
      </c>
      <c r="L34" s="433" t="s">
        <v>1005</v>
      </c>
      <c r="M34" s="635">
        <v>-11738330.952765595</v>
      </c>
    </row>
    <row r="35" spans="3:13">
      <c r="C35" s="597" t="s">
        <v>994</v>
      </c>
      <c r="D35" s="126" t="s">
        <v>1019</v>
      </c>
      <c r="E35" s="126" t="s">
        <v>1017</v>
      </c>
      <c r="F35" s="300" t="s">
        <v>997</v>
      </c>
      <c r="G35" s="300" t="s">
        <v>998</v>
      </c>
      <c r="H35" s="433">
        <v>42185</v>
      </c>
      <c r="I35" s="433">
        <v>49217</v>
      </c>
      <c r="J35" s="727">
        <v>0</v>
      </c>
      <c r="K35" s="713">
        <v>5.2964768691230546</v>
      </c>
      <c r="L35" s="433" t="s">
        <v>1005</v>
      </c>
      <c r="M35" s="635">
        <v>-9070904.2322603799</v>
      </c>
    </row>
    <row r="36" spans="3:13">
      <c r="C36" s="597" t="s">
        <v>994</v>
      </c>
      <c r="D36" s="126" t="s">
        <v>1019</v>
      </c>
      <c r="E36" s="126" t="s">
        <v>1017</v>
      </c>
      <c r="F36" s="300" t="s">
        <v>997</v>
      </c>
      <c r="G36" s="300" t="s">
        <v>998</v>
      </c>
      <c r="H36" s="433">
        <v>42185</v>
      </c>
      <c r="I36" s="433">
        <v>49219</v>
      </c>
      <c r="J36" s="727">
        <v>0</v>
      </c>
      <c r="K36" s="713">
        <v>5.2964696311279518</v>
      </c>
      <c r="L36" s="433" t="s">
        <v>1005</v>
      </c>
      <c r="M36" s="635">
        <v>-501051.84955411043</v>
      </c>
    </row>
    <row r="37" spans="3:13">
      <c r="C37" s="597" t="s">
        <v>994</v>
      </c>
      <c r="D37" s="126" t="s">
        <v>1019</v>
      </c>
      <c r="E37" s="126" t="s">
        <v>1017</v>
      </c>
      <c r="F37" s="300" t="s">
        <v>997</v>
      </c>
      <c r="G37" s="300" t="s">
        <v>998</v>
      </c>
      <c r="H37" s="433">
        <v>42185</v>
      </c>
      <c r="I37" s="433">
        <v>49217</v>
      </c>
      <c r="J37" s="727">
        <v>0</v>
      </c>
      <c r="K37" s="713">
        <v>5.2964767728999913</v>
      </c>
      <c r="L37" s="433" t="s">
        <v>1005</v>
      </c>
      <c r="M37" s="635">
        <v>-12235505.722237514</v>
      </c>
    </row>
    <row r="38" spans="3:13">
      <c r="C38" s="597" t="s">
        <v>994</v>
      </c>
      <c r="D38" s="126" t="s">
        <v>1019</v>
      </c>
      <c r="E38" s="126" t="s">
        <v>1017</v>
      </c>
      <c r="F38" s="300" t="s">
        <v>997</v>
      </c>
      <c r="G38" s="300" t="s">
        <v>998</v>
      </c>
      <c r="H38" s="433">
        <v>42185</v>
      </c>
      <c r="I38" s="433">
        <v>49219</v>
      </c>
      <c r="J38" s="727">
        <v>0</v>
      </c>
      <c r="K38" s="713">
        <v>5.2964759977665983</v>
      </c>
      <c r="L38" s="433" t="s">
        <v>1005</v>
      </c>
      <c r="M38" s="635">
        <v>-3008272.0510853417</v>
      </c>
    </row>
    <row r="39" spans="3:13">
      <c r="C39" s="597" t="s">
        <v>994</v>
      </c>
      <c r="D39" s="126" t="s">
        <v>1019</v>
      </c>
      <c r="E39" s="126" t="s">
        <v>1017</v>
      </c>
      <c r="F39" s="300" t="s">
        <v>997</v>
      </c>
      <c r="G39" s="300" t="s">
        <v>998</v>
      </c>
      <c r="H39" s="433">
        <v>42185</v>
      </c>
      <c r="I39" s="433">
        <v>46934</v>
      </c>
      <c r="J39" s="727">
        <v>0</v>
      </c>
      <c r="K39" s="713">
        <v>2.2094909415790123</v>
      </c>
      <c r="L39" s="433" t="s">
        <v>1005</v>
      </c>
      <c r="M39" s="635">
        <v>-1657014.3612801614</v>
      </c>
    </row>
    <row r="40" spans="3:13">
      <c r="C40" s="597" t="s">
        <v>1020</v>
      </c>
      <c r="D40" s="126" t="s">
        <v>1010</v>
      </c>
      <c r="E40" s="126" t="s">
        <v>1012</v>
      </c>
      <c r="F40" s="300" t="s">
        <v>902</v>
      </c>
      <c r="G40" s="300" t="s">
        <v>998</v>
      </c>
      <c r="H40" s="433">
        <v>43518</v>
      </c>
      <c r="I40" s="433">
        <v>47618</v>
      </c>
      <c r="J40" s="724">
        <v>4.9469180000000001E-2</v>
      </c>
      <c r="K40" s="713">
        <v>3.03965994491102</v>
      </c>
      <c r="L40" s="433" t="s">
        <v>1005</v>
      </c>
      <c r="M40" s="635">
        <v>555097463.78300083</v>
      </c>
    </row>
    <row r="41" spans="3:13">
      <c r="C41" s="597" t="s">
        <v>1020</v>
      </c>
      <c r="D41" s="126" t="s">
        <v>1010</v>
      </c>
      <c r="E41" s="126" t="s">
        <v>1012</v>
      </c>
      <c r="F41" s="300" t="s">
        <v>902</v>
      </c>
      <c r="G41" s="300" t="s">
        <v>998</v>
      </c>
      <c r="H41" s="433">
        <v>44285</v>
      </c>
      <c r="I41" s="433">
        <v>47529</v>
      </c>
      <c r="J41" s="724">
        <v>4.1109920000000001E-2</v>
      </c>
      <c r="K41" s="713">
        <v>2.9014820669976769</v>
      </c>
      <c r="L41" s="433" t="s">
        <v>1005</v>
      </c>
      <c r="M41" s="635">
        <v>286339141.42073435</v>
      </c>
    </row>
    <row r="42" spans="3:13">
      <c r="C42" s="597" t="s">
        <v>1020</v>
      </c>
      <c r="D42" s="126" t="s">
        <v>1010</v>
      </c>
      <c r="E42" s="126" t="s">
        <v>1012</v>
      </c>
      <c r="F42" s="300" t="s">
        <v>902</v>
      </c>
      <c r="G42" s="300" t="s">
        <v>998</v>
      </c>
      <c r="H42" s="433">
        <v>44285</v>
      </c>
      <c r="I42" s="433">
        <v>51394</v>
      </c>
      <c r="J42" s="724">
        <v>4.1109920000000001E-2</v>
      </c>
      <c r="K42" s="713">
        <v>11.027520505362615</v>
      </c>
      <c r="L42" s="433" t="s">
        <v>1005</v>
      </c>
      <c r="M42" s="635">
        <v>550833914.41999996</v>
      </c>
    </row>
    <row r="43" spans="3:13">
      <c r="C43" s="597" t="s">
        <v>1020</v>
      </c>
      <c r="D43" s="126" t="s">
        <v>1010</v>
      </c>
      <c r="E43" s="126" t="s">
        <v>1012</v>
      </c>
      <c r="F43" s="300" t="s">
        <v>902</v>
      </c>
      <c r="G43" s="300" t="s">
        <v>998</v>
      </c>
      <c r="H43" s="433">
        <v>44916</v>
      </c>
      <c r="I43" s="433">
        <v>47529</v>
      </c>
      <c r="J43" s="728">
        <v>5.9628360000000269E-2</v>
      </c>
      <c r="K43" s="713">
        <v>2.8700233826655071</v>
      </c>
      <c r="L43" s="433" t="s">
        <v>1005</v>
      </c>
      <c r="M43" s="635">
        <v>131869865.37950298</v>
      </c>
    </row>
    <row r="44" spans="3:13">
      <c r="C44" s="597" t="s">
        <v>1020</v>
      </c>
      <c r="D44" s="126" t="s">
        <v>1010</v>
      </c>
      <c r="E44" s="126" t="s">
        <v>1012</v>
      </c>
      <c r="F44" s="300" t="s">
        <v>902</v>
      </c>
      <c r="G44" s="300" t="s">
        <v>998</v>
      </c>
      <c r="H44" s="433">
        <v>44916</v>
      </c>
      <c r="I44" s="433">
        <v>51394</v>
      </c>
      <c r="J44" s="728">
        <v>5.9628360000000269E-2</v>
      </c>
      <c r="K44" s="713">
        <v>10.98778673546961</v>
      </c>
      <c r="L44" s="433" t="s">
        <v>1005</v>
      </c>
      <c r="M44" s="635">
        <v>254436099.10000002</v>
      </c>
    </row>
    <row r="45" spans="3:13">
      <c r="C45" s="597" t="s">
        <v>1020</v>
      </c>
      <c r="D45" s="126" t="s">
        <v>1010</v>
      </c>
      <c r="E45" s="126" t="s">
        <v>1011</v>
      </c>
      <c r="F45" s="300" t="s">
        <v>997</v>
      </c>
      <c r="G45" s="300" t="s">
        <v>998</v>
      </c>
      <c r="H45" s="433">
        <v>42003</v>
      </c>
      <c r="I45" s="433">
        <v>45937</v>
      </c>
      <c r="J45" s="721">
        <v>0.06</v>
      </c>
      <c r="K45" s="713">
        <v>0.71795591529270397</v>
      </c>
      <c r="L45" s="433" t="s">
        <v>1005</v>
      </c>
      <c r="M45" s="635">
        <v>3652415.9999999856</v>
      </c>
    </row>
    <row r="46" spans="3:13">
      <c r="C46" s="597" t="s">
        <v>1020</v>
      </c>
      <c r="D46" s="126" t="s">
        <v>1010</v>
      </c>
      <c r="E46" s="126" t="s">
        <v>1021</v>
      </c>
      <c r="F46" s="300" t="s">
        <v>1014</v>
      </c>
      <c r="G46" s="300" t="s">
        <v>998</v>
      </c>
      <c r="H46" s="433">
        <v>45190</v>
      </c>
      <c r="I46" s="433">
        <v>45921</v>
      </c>
      <c r="J46" s="729">
        <v>-1.6999999999999999E-3</v>
      </c>
      <c r="K46" s="713">
        <v>0.67437299306127696</v>
      </c>
      <c r="L46" s="433" t="s">
        <v>1005</v>
      </c>
      <c r="M46" s="635">
        <v>28295934.343270347</v>
      </c>
    </row>
    <row r="47" spans="3:13">
      <c r="C47" s="597" t="s">
        <v>1020</v>
      </c>
      <c r="D47" s="126" t="s">
        <v>1006</v>
      </c>
      <c r="E47" s="126" t="s">
        <v>1007</v>
      </c>
      <c r="F47" s="300" t="s">
        <v>1008</v>
      </c>
      <c r="G47" s="300" t="s">
        <v>1009</v>
      </c>
      <c r="H47" s="433">
        <v>44246</v>
      </c>
      <c r="I47" s="433">
        <v>45707</v>
      </c>
      <c r="J47" s="729">
        <v>1.6500000000000001E-2</v>
      </c>
      <c r="K47" s="713">
        <v>0.67234766862242801</v>
      </c>
      <c r="L47" s="433" t="s">
        <v>1015</v>
      </c>
      <c r="M47" s="635">
        <v>181461053.23610616</v>
      </c>
    </row>
    <row r="48" spans="3:13">
      <c r="C48" s="597" t="s">
        <v>1020</v>
      </c>
      <c r="D48" s="126" t="s">
        <v>1006</v>
      </c>
      <c r="E48" s="126" t="s">
        <v>1022</v>
      </c>
      <c r="F48" s="300" t="s">
        <v>1008</v>
      </c>
      <c r="G48" s="300" t="s">
        <v>1009</v>
      </c>
      <c r="H48" s="433">
        <v>45247</v>
      </c>
      <c r="I48" s="433">
        <v>45786</v>
      </c>
      <c r="J48" s="729">
        <v>1.29E-2</v>
      </c>
      <c r="K48" s="713">
        <v>0.92616995191549201</v>
      </c>
      <c r="L48" s="433" t="s">
        <v>999</v>
      </c>
      <c r="M48" s="635">
        <v>445698353.16043478</v>
      </c>
    </row>
    <row r="49" spans="3:13">
      <c r="C49" s="597" t="s">
        <v>1020</v>
      </c>
      <c r="D49" s="126" t="s">
        <v>1013</v>
      </c>
      <c r="E49" s="126" t="s">
        <v>719</v>
      </c>
      <c r="F49" s="300" t="s">
        <v>1014</v>
      </c>
      <c r="G49" s="300" t="s">
        <v>998</v>
      </c>
      <c r="H49" s="433">
        <v>44719</v>
      </c>
      <c r="I49" s="433">
        <v>46888</v>
      </c>
      <c r="J49" s="729">
        <v>1.4E-2</v>
      </c>
      <c r="K49" s="713">
        <v>2.924323080086126</v>
      </c>
      <c r="L49" s="433" t="s">
        <v>1015</v>
      </c>
      <c r="M49" s="635">
        <v>304193476.95999998</v>
      </c>
    </row>
    <row r="50" spans="3:13">
      <c r="C50" s="597" t="s">
        <v>1020</v>
      </c>
      <c r="D50" s="126" t="s">
        <v>1013</v>
      </c>
      <c r="E50" s="126" t="s">
        <v>719</v>
      </c>
      <c r="F50" s="300" t="s">
        <v>902</v>
      </c>
      <c r="G50" s="300" t="s">
        <v>998</v>
      </c>
      <c r="H50" s="433">
        <v>45282</v>
      </c>
      <c r="I50" s="433">
        <v>48197</v>
      </c>
      <c r="J50" s="725">
        <v>6.3E-2</v>
      </c>
      <c r="K50" s="713">
        <v>6.5839575008347717</v>
      </c>
      <c r="L50" s="433" t="s">
        <v>1015</v>
      </c>
      <c r="M50" s="635">
        <v>309383547.98099995</v>
      </c>
    </row>
    <row r="51" spans="3:13">
      <c r="C51" s="597" t="s">
        <v>1020</v>
      </c>
      <c r="D51" s="126" t="s">
        <v>1013</v>
      </c>
      <c r="E51" s="126" t="s">
        <v>719</v>
      </c>
      <c r="F51" s="300" t="s">
        <v>1014</v>
      </c>
      <c r="G51" s="300" t="s">
        <v>998</v>
      </c>
      <c r="H51" s="433">
        <v>45436</v>
      </c>
      <c r="I51" s="433">
        <v>47618</v>
      </c>
      <c r="J51" s="729">
        <v>9.4999999999999998E-3</v>
      </c>
      <c r="K51" s="713">
        <v>4.9420171947770237</v>
      </c>
      <c r="L51" s="433" t="s">
        <v>1015</v>
      </c>
      <c r="M51" s="635">
        <v>505188458</v>
      </c>
    </row>
    <row r="52" spans="3:13">
      <c r="C52" s="597" t="s">
        <v>1020</v>
      </c>
      <c r="D52" s="126" t="s">
        <v>1016</v>
      </c>
      <c r="E52" s="126" t="s">
        <v>1017</v>
      </c>
      <c r="F52" s="300" t="s">
        <v>997</v>
      </c>
      <c r="G52" s="300" t="s">
        <v>998</v>
      </c>
      <c r="H52" s="433">
        <v>42124</v>
      </c>
      <c r="I52" s="433">
        <v>44910</v>
      </c>
      <c r="J52" s="727">
        <v>0</v>
      </c>
      <c r="K52" s="713">
        <v>0</v>
      </c>
      <c r="L52" s="433" t="s">
        <v>371</v>
      </c>
      <c r="M52" s="635">
        <v>-3.3469405025243759E-10</v>
      </c>
    </row>
    <row r="53" spans="3:13">
      <c r="C53" s="597" t="s">
        <v>1020</v>
      </c>
      <c r="D53" s="126" t="s">
        <v>1018</v>
      </c>
      <c r="E53" s="126" t="s">
        <v>1017</v>
      </c>
      <c r="F53" s="300" t="s">
        <v>997</v>
      </c>
      <c r="G53" s="300" t="s">
        <v>998</v>
      </c>
      <c r="H53" s="433">
        <v>44719</v>
      </c>
      <c r="I53" s="433">
        <v>46888</v>
      </c>
      <c r="J53" s="727">
        <v>0</v>
      </c>
      <c r="K53" s="713">
        <v>2.0300238298872704</v>
      </c>
      <c r="L53" s="433" t="s">
        <v>1005</v>
      </c>
      <c r="M53" s="635">
        <v>-925076.65000000014</v>
      </c>
    </row>
    <row r="54" spans="3:13">
      <c r="C54" s="597" t="s">
        <v>1020</v>
      </c>
      <c r="D54" s="126" t="s">
        <v>1016</v>
      </c>
      <c r="E54" s="126" t="s">
        <v>1017</v>
      </c>
      <c r="F54" s="300" t="s">
        <v>997</v>
      </c>
      <c r="G54" s="300" t="s">
        <v>998</v>
      </c>
      <c r="H54" s="433">
        <v>44916</v>
      </c>
      <c r="I54" s="433">
        <v>51394</v>
      </c>
      <c r="J54" s="727">
        <v>0</v>
      </c>
      <c r="K54" s="713">
        <v>8.2866243724428887</v>
      </c>
      <c r="L54" s="433" t="s">
        <v>1005</v>
      </c>
      <c r="M54" s="635">
        <v>-8187026.6900000004</v>
      </c>
    </row>
    <row r="55" spans="3:13">
      <c r="C55" s="597" t="s">
        <v>1020</v>
      </c>
      <c r="D55" s="126" t="s">
        <v>1016</v>
      </c>
      <c r="E55" s="126" t="s">
        <v>1017</v>
      </c>
      <c r="F55" s="300" t="s">
        <v>997</v>
      </c>
      <c r="G55" s="300" t="s">
        <v>998</v>
      </c>
      <c r="H55" s="433">
        <v>44285</v>
      </c>
      <c r="I55" s="433">
        <v>45381</v>
      </c>
      <c r="J55" s="727">
        <v>0</v>
      </c>
      <c r="K55" s="713">
        <v>8.2866260879873153</v>
      </c>
      <c r="L55" s="433" t="s">
        <v>1005</v>
      </c>
      <c r="M55" s="635">
        <v>-3195149.9400000013</v>
      </c>
    </row>
    <row r="56" spans="3:13">
      <c r="C56" s="597" t="s">
        <v>1020</v>
      </c>
      <c r="D56" s="126" t="s">
        <v>1018</v>
      </c>
      <c r="E56" s="126" t="s">
        <v>1017</v>
      </c>
      <c r="F56" s="300" t="s">
        <v>997</v>
      </c>
      <c r="G56" s="300" t="s">
        <v>998</v>
      </c>
      <c r="H56" s="433">
        <v>45282</v>
      </c>
      <c r="I56" s="433">
        <v>48197</v>
      </c>
      <c r="J56" s="727">
        <v>0</v>
      </c>
      <c r="K56" s="713">
        <v>3.8478086419754214</v>
      </c>
      <c r="L56" s="433" t="s">
        <v>1005</v>
      </c>
      <c r="M56" s="635">
        <v>-7944527.0408333344</v>
      </c>
    </row>
    <row r="57" spans="3:13">
      <c r="C57" s="597" t="s">
        <v>1020</v>
      </c>
      <c r="D57" s="126" t="s">
        <v>1018</v>
      </c>
      <c r="E57" s="126" t="s">
        <v>1017</v>
      </c>
      <c r="F57" s="300" t="s">
        <v>997</v>
      </c>
      <c r="G57" s="300" t="s">
        <v>998</v>
      </c>
      <c r="H57" s="433">
        <v>45436</v>
      </c>
      <c r="I57" s="433">
        <v>47618</v>
      </c>
      <c r="J57" s="727">
        <v>0</v>
      </c>
      <c r="K57" s="713">
        <v>6.0027777777777978</v>
      </c>
      <c r="L57" s="433"/>
      <c r="M57" s="635">
        <v>-1559973.3699999999</v>
      </c>
    </row>
    <row r="58" spans="3:13">
      <c r="C58" s="597" t="s">
        <v>1023</v>
      </c>
      <c r="D58" s="126" t="s">
        <v>1010</v>
      </c>
      <c r="E58" s="126" t="s">
        <v>1024</v>
      </c>
      <c r="F58" s="300" t="s">
        <v>997</v>
      </c>
      <c r="G58" s="300" t="s">
        <v>998</v>
      </c>
      <c r="H58" s="433">
        <v>43251</v>
      </c>
      <c r="I58" s="433">
        <v>54361</v>
      </c>
      <c r="J58" s="730">
        <v>0.05</v>
      </c>
      <c r="K58" s="713">
        <v>14.734452114691825</v>
      </c>
      <c r="L58" s="433" t="s">
        <v>1005</v>
      </c>
      <c r="M58" s="635">
        <v>1098969932.3162479</v>
      </c>
    </row>
    <row r="59" spans="3:13">
      <c r="C59" s="597" t="s">
        <v>1023</v>
      </c>
      <c r="D59" s="126" t="s">
        <v>1010</v>
      </c>
      <c r="E59" s="126" t="s">
        <v>1012</v>
      </c>
      <c r="F59" s="300" t="s">
        <v>902</v>
      </c>
      <c r="G59" s="300" t="s">
        <v>998</v>
      </c>
      <c r="H59" s="433">
        <v>43822</v>
      </c>
      <c r="I59" s="433">
        <v>51058</v>
      </c>
      <c r="J59" s="731">
        <v>3.9271E-2</v>
      </c>
      <c r="K59" s="713">
        <v>7.8109542067003028</v>
      </c>
      <c r="L59" s="433" t="s">
        <v>1005</v>
      </c>
      <c r="M59" s="635">
        <v>438589932.63563013</v>
      </c>
    </row>
    <row r="60" spans="3:13">
      <c r="C60" s="597" t="s">
        <v>1023</v>
      </c>
      <c r="D60" s="126" t="s">
        <v>1010</v>
      </c>
      <c r="E60" s="126" t="s">
        <v>1012</v>
      </c>
      <c r="F60" s="300" t="s">
        <v>902</v>
      </c>
      <c r="G60" s="300" t="s">
        <v>998</v>
      </c>
      <c r="H60" s="433">
        <v>44224</v>
      </c>
      <c r="I60" s="433">
        <v>51271</v>
      </c>
      <c r="J60" s="724">
        <v>4.4278999999999999E-2</v>
      </c>
      <c r="K60" s="713">
        <v>8.1050922783576116</v>
      </c>
      <c r="L60" s="433" t="s">
        <v>1005</v>
      </c>
      <c r="M60" s="635">
        <v>705565769.75682652</v>
      </c>
    </row>
    <row r="61" spans="3:13">
      <c r="C61" s="597" t="s">
        <v>1023</v>
      </c>
      <c r="D61" s="126" t="s">
        <v>1010</v>
      </c>
      <c r="E61" s="126" t="s">
        <v>1025</v>
      </c>
      <c r="F61" s="300" t="s">
        <v>1014</v>
      </c>
      <c r="G61" s="300" t="s">
        <v>998</v>
      </c>
      <c r="H61" s="433">
        <v>44134</v>
      </c>
      <c r="I61" s="433">
        <v>45574</v>
      </c>
      <c r="J61" s="729">
        <v>1.6500000000000001E-2</v>
      </c>
      <c r="K61" s="713">
        <v>0.34166666666666667</v>
      </c>
      <c r="L61" s="433" t="s">
        <v>999</v>
      </c>
      <c r="M61" s="635">
        <v>217856359.58725065</v>
      </c>
    </row>
    <row r="62" spans="3:13">
      <c r="C62" s="597" t="s">
        <v>1023</v>
      </c>
      <c r="D62" s="126" t="s">
        <v>1010</v>
      </c>
      <c r="E62" s="126" t="s">
        <v>1026</v>
      </c>
      <c r="F62" s="300" t="s">
        <v>1014</v>
      </c>
      <c r="G62" s="300" t="s">
        <v>998</v>
      </c>
      <c r="H62" s="433">
        <v>45471</v>
      </c>
      <c r="I62" s="433">
        <v>46202</v>
      </c>
      <c r="J62" s="729">
        <v>1.0500000000000001E-2</v>
      </c>
      <c r="K62" s="713">
        <v>2.0270944427079787</v>
      </c>
      <c r="L62" s="433" t="s">
        <v>999</v>
      </c>
      <c r="M62" s="635">
        <v>200090150.73656374</v>
      </c>
    </row>
    <row r="63" spans="3:13">
      <c r="C63" s="597" t="s">
        <v>1023</v>
      </c>
      <c r="D63" s="126" t="s">
        <v>1010</v>
      </c>
      <c r="E63" s="126" t="s">
        <v>1027</v>
      </c>
      <c r="F63" s="300" t="s">
        <v>1014</v>
      </c>
      <c r="G63" s="300" t="s">
        <v>998</v>
      </c>
      <c r="H63" s="714">
        <v>44617</v>
      </c>
      <c r="I63" s="433">
        <v>46057</v>
      </c>
      <c r="J63" s="729">
        <v>9.7000000000000003E-3</v>
      </c>
      <c r="K63" s="713">
        <v>1.6325657700349336</v>
      </c>
      <c r="L63" s="433" t="s">
        <v>999</v>
      </c>
      <c r="M63" s="635">
        <v>155785260.48939037</v>
      </c>
    </row>
    <row r="64" spans="3:13">
      <c r="C64" s="597" t="s">
        <v>1023</v>
      </c>
      <c r="D64" s="126" t="s">
        <v>1006</v>
      </c>
      <c r="E64" s="126" t="s">
        <v>1025</v>
      </c>
      <c r="F64" s="300" t="s">
        <v>1008</v>
      </c>
      <c r="G64" s="300" t="s">
        <v>1009</v>
      </c>
      <c r="H64" s="714">
        <v>44902</v>
      </c>
      <c r="I64" s="433">
        <v>46342</v>
      </c>
      <c r="J64" s="729">
        <v>1.6199999999999999E-2</v>
      </c>
      <c r="K64" s="713">
        <v>2.4417629585158767</v>
      </c>
      <c r="L64" s="433" t="s">
        <v>999</v>
      </c>
      <c r="M64" s="635">
        <v>156417221.06579179</v>
      </c>
    </row>
    <row r="65" spans="3:13">
      <c r="C65" s="597" t="s">
        <v>1023</v>
      </c>
      <c r="D65" s="126" t="s">
        <v>1013</v>
      </c>
      <c r="E65" s="126" t="s">
        <v>719</v>
      </c>
      <c r="F65" s="300" t="s">
        <v>1014</v>
      </c>
      <c r="G65" s="300" t="s">
        <v>998</v>
      </c>
      <c r="H65" s="714">
        <v>43460</v>
      </c>
      <c r="I65" s="433">
        <v>46362</v>
      </c>
      <c r="J65" s="729">
        <v>1.37E-2</v>
      </c>
      <c r="K65" s="713">
        <v>2.4102162038608488</v>
      </c>
      <c r="L65" s="433" t="s">
        <v>999</v>
      </c>
      <c r="M65" s="635">
        <v>427101751.34999996</v>
      </c>
    </row>
    <row r="66" spans="3:13">
      <c r="C66" s="597" t="s">
        <v>1023</v>
      </c>
      <c r="D66" s="126" t="s">
        <v>1006</v>
      </c>
      <c r="E66" s="126" t="s">
        <v>1007</v>
      </c>
      <c r="F66" s="300" t="s">
        <v>1008</v>
      </c>
      <c r="G66" s="300" t="s">
        <v>1009</v>
      </c>
      <c r="H66" s="433">
        <v>44312</v>
      </c>
      <c r="I66" s="433">
        <v>46139</v>
      </c>
      <c r="J66" s="729">
        <v>1.77E-2</v>
      </c>
      <c r="K66" s="713">
        <v>1.347402406635168</v>
      </c>
      <c r="L66" s="433" t="s">
        <v>1015</v>
      </c>
      <c r="M66" s="635">
        <v>297042395.30217606</v>
      </c>
    </row>
    <row r="67" spans="3:13">
      <c r="C67" s="597" t="s">
        <v>1023</v>
      </c>
      <c r="D67" s="126" t="s">
        <v>1006</v>
      </c>
      <c r="E67" s="126" t="s">
        <v>1028</v>
      </c>
      <c r="F67" s="300" t="s">
        <v>1008</v>
      </c>
      <c r="G67" s="300" t="s">
        <v>1009</v>
      </c>
      <c r="H67" s="433">
        <v>45226</v>
      </c>
      <c r="I67" s="433">
        <v>45590</v>
      </c>
      <c r="J67" s="729">
        <v>1.2500000000000001E-2</v>
      </c>
      <c r="K67" s="713">
        <v>0.34166666666666667</v>
      </c>
      <c r="L67" s="433" t="s">
        <v>999</v>
      </c>
      <c r="M67" s="635">
        <v>279161022.83933324</v>
      </c>
    </row>
    <row r="68" spans="3:13">
      <c r="C68" s="597" t="s">
        <v>1023</v>
      </c>
      <c r="D68" s="126" t="s">
        <v>1006</v>
      </c>
      <c r="E68" s="126" t="s">
        <v>1028</v>
      </c>
      <c r="F68" s="300" t="s">
        <v>1008</v>
      </c>
      <c r="G68" s="300" t="s">
        <v>1009</v>
      </c>
      <c r="H68" s="714">
        <v>45287</v>
      </c>
      <c r="I68" s="433">
        <v>45684</v>
      </c>
      <c r="J68" s="729">
        <v>1.38E-2</v>
      </c>
      <c r="K68" s="713">
        <v>0.59722222222222221</v>
      </c>
      <c r="L68" s="433" t="s">
        <v>999</v>
      </c>
      <c r="M68" s="635">
        <v>399524061.92999995</v>
      </c>
    </row>
    <row r="69" spans="3:13">
      <c r="C69" s="597" t="s">
        <v>1023</v>
      </c>
      <c r="D69" s="126" t="s">
        <v>1029</v>
      </c>
      <c r="E69" s="126" t="s">
        <v>1017</v>
      </c>
      <c r="F69" s="300" t="s">
        <v>997</v>
      </c>
      <c r="G69" s="300" t="s">
        <v>998</v>
      </c>
      <c r="H69" s="433">
        <v>43251</v>
      </c>
      <c r="I69" s="433">
        <v>54361</v>
      </c>
      <c r="J69" s="727">
        <v>0</v>
      </c>
      <c r="K69" s="713">
        <v>12.417617937943557</v>
      </c>
      <c r="L69" s="433" t="s">
        <v>1005</v>
      </c>
      <c r="M69" s="635">
        <v>-545927105.95713949</v>
      </c>
    </row>
    <row r="70" spans="3:13">
      <c r="C70" s="597" t="s">
        <v>1023</v>
      </c>
      <c r="D70" s="126" t="s">
        <v>1016</v>
      </c>
      <c r="E70" s="126" t="s">
        <v>1017</v>
      </c>
      <c r="F70" s="300" t="s">
        <v>997</v>
      </c>
      <c r="G70" s="300" t="s">
        <v>998</v>
      </c>
      <c r="H70" s="433">
        <v>44224</v>
      </c>
      <c r="I70" s="433">
        <v>51271</v>
      </c>
      <c r="J70" s="727">
        <v>0</v>
      </c>
      <c r="K70" s="713">
        <v>8.1173765997559819</v>
      </c>
      <c r="L70" s="433" t="s">
        <v>1005</v>
      </c>
      <c r="M70" s="635">
        <v>-32471.370000000021</v>
      </c>
    </row>
    <row r="71" spans="3:13">
      <c r="C71" s="597" t="s">
        <v>1023</v>
      </c>
      <c r="D71" s="126" t="s">
        <v>1016</v>
      </c>
      <c r="E71" s="126" t="s">
        <v>1017</v>
      </c>
      <c r="F71" s="300" t="s">
        <v>997</v>
      </c>
      <c r="G71" s="300" t="s">
        <v>998</v>
      </c>
      <c r="H71" s="433">
        <v>45287</v>
      </c>
      <c r="I71" s="433">
        <v>45684</v>
      </c>
      <c r="J71" s="727">
        <v>0</v>
      </c>
      <c r="K71" s="713">
        <v>0</v>
      </c>
      <c r="L71" s="433" t="s">
        <v>371</v>
      </c>
      <c r="M71" s="635">
        <v>-1.5716515481472015E-3</v>
      </c>
    </row>
    <row r="72" spans="3:13">
      <c r="C72" s="597" t="s">
        <v>1030</v>
      </c>
      <c r="D72" s="126" t="s">
        <v>1010</v>
      </c>
      <c r="E72" s="126" t="s">
        <v>1012</v>
      </c>
      <c r="F72" s="300" t="s">
        <v>902</v>
      </c>
      <c r="G72" s="300" t="s">
        <v>998</v>
      </c>
      <c r="H72" s="433">
        <v>44224</v>
      </c>
      <c r="I72" s="433">
        <v>51271</v>
      </c>
      <c r="J72" s="724">
        <v>4.4278999999999999E-2</v>
      </c>
      <c r="K72" s="713">
        <v>8.1050921345100502</v>
      </c>
      <c r="L72" s="433" t="s">
        <v>1005</v>
      </c>
      <c r="M72" s="635">
        <v>544037976.60156</v>
      </c>
    </row>
    <row r="73" spans="3:13">
      <c r="C73" s="597" t="s">
        <v>1030</v>
      </c>
      <c r="D73" s="126" t="s">
        <v>1010</v>
      </c>
      <c r="E73" s="126" t="s">
        <v>1012</v>
      </c>
      <c r="F73" s="300" t="s">
        <v>902</v>
      </c>
      <c r="G73" s="300" t="s">
        <v>998</v>
      </c>
      <c r="H73" s="433">
        <v>43822</v>
      </c>
      <c r="I73" s="433">
        <v>51058</v>
      </c>
      <c r="J73" s="724">
        <v>3.9271E-2</v>
      </c>
      <c r="K73" s="713">
        <v>7.8109538811827708</v>
      </c>
      <c r="L73" s="433" t="s">
        <v>1005</v>
      </c>
      <c r="M73" s="635">
        <v>242173645.12089801</v>
      </c>
    </row>
    <row r="74" spans="3:13">
      <c r="C74" s="597" t="s">
        <v>1030</v>
      </c>
      <c r="D74" s="126" t="s">
        <v>1006</v>
      </c>
      <c r="E74" s="126" t="s">
        <v>1025</v>
      </c>
      <c r="F74" s="300" t="s">
        <v>1008</v>
      </c>
      <c r="G74" s="300" t="s">
        <v>1009</v>
      </c>
      <c r="H74" s="433">
        <v>44860</v>
      </c>
      <c r="I74" s="433">
        <v>46300</v>
      </c>
      <c r="J74" s="732">
        <v>1.6199999999999999E-2</v>
      </c>
      <c r="K74" s="713">
        <v>2.3407633876845364</v>
      </c>
      <c r="L74" s="433" t="s">
        <v>999</v>
      </c>
      <c r="M74" s="635">
        <v>292622063.23821998</v>
      </c>
    </row>
    <row r="75" spans="3:13">
      <c r="C75" s="597" t="s">
        <v>1030</v>
      </c>
      <c r="D75" s="126" t="s">
        <v>1013</v>
      </c>
      <c r="E75" s="126" t="s">
        <v>719</v>
      </c>
      <c r="F75" s="300" t="s">
        <v>1014</v>
      </c>
      <c r="G75" s="300" t="s">
        <v>998</v>
      </c>
      <c r="H75" s="433">
        <v>44862</v>
      </c>
      <c r="I75" s="433">
        <v>46675</v>
      </c>
      <c r="J75" s="733">
        <v>1.635E-2</v>
      </c>
      <c r="K75" s="713">
        <v>3.3114539064218964</v>
      </c>
      <c r="L75" s="433" t="s">
        <v>1001</v>
      </c>
      <c r="M75" s="635">
        <v>204840712.22</v>
      </c>
    </row>
    <row r="76" spans="3:13">
      <c r="C76" s="597" t="s">
        <v>1030</v>
      </c>
      <c r="D76" s="126" t="s">
        <v>1013</v>
      </c>
      <c r="E76" s="126" t="s">
        <v>719</v>
      </c>
      <c r="F76" s="300" t="s">
        <v>1014</v>
      </c>
      <c r="G76" s="300" t="s">
        <v>998</v>
      </c>
      <c r="H76" s="433">
        <v>44862</v>
      </c>
      <c r="I76" s="433">
        <v>49232</v>
      </c>
      <c r="J76" s="732">
        <v>7.4000000000000003E-3</v>
      </c>
      <c r="K76" s="713">
        <v>8.3529455932822714</v>
      </c>
      <c r="L76" s="433" t="s">
        <v>1001</v>
      </c>
      <c r="M76" s="635">
        <v>110066317.56999999</v>
      </c>
    </row>
    <row r="77" spans="3:13">
      <c r="C77" s="597" t="s">
        <v>1030</v>
      </c>
      <c r="D77" s="126" t="s">
        <v>1010</v>
      </c>
      <c r="E77" s="126" t="s">
        <v>1025</v>
      </c>
      <c r="F77" s="300" t="s">
        <v>1014</v>
      </c>
      <c r="G77" s="300" t="s">
        <v>998</v>
      </c>
      <c r="H77" s="433">
        <v>44838</v>
      </c>
      <c r="I77" s="433">
        <v>46279</v>
      </c>
      <c r="J77" s="732">
        <v>1.6199999999999999E-2</v>
      </c>
      <c r="K77" s="713">
        <v>2.28049429769918</v>
      </c>
      <c r="L77" s="433" t="s">
        <v>1031</v>
      </c>
      <c r="M77" s="635">
        <v>50070101.765921772</v>
      </c>
    </row>
    <row r="78" spans="3:13">
      <c r="C78" s="597" t="s">
        <v>1030</v>
      </c>
      <c r="D78" s="126" t="s">
        <v>1006</v>
      </c>
      <c r="E78" s="126" t="s">
        <v>1028</v>
      </c>
      <c r="F78" s="300" t="s">
        <v>1008</v>
      </c>
      <c r="G78" s="300" t="s">
        <v>1009</v>
      </c>
      <c r="H78" s="433">
        <v>45175</v>
      </c>
      <c r="I78" s="433">
        <v>45905</v>
      </c>
      <c r="J78" s="732">
        <v>1.4999999999999999E-2</v>
      </c>
      <c r="K78" s="713">
        <v>1.2146165674541609</v>
      </c>
      <c r="L78" s="433" t="s">
        <v>999</v>
      </c>
      <c r="M78" s="635">
        <v>235817008.96198401</v>
      </c>
    </row>
    <row r="79" spans="3:13">
      <c r="C79" s="597" t="s">
        <v>1030</v>
      </c>
      <c r="D79" s="126" t="s">
        <v>1006</v>
      </c>
      <c r="E79" s="126" t="s">
        <v>1022</v>
      </c>
      <c r="F79" s="300" t="s">
        <v>1008</v>
      </c>
      <c r="G79" s="300" t="s">
        <v>1009</v>
      </c>
      <c r="H79" s="433">
        <v>45237</v>
      </c>
      <c r="I79" s="433">
        <v>45783</v>
      </c>
      <c r="J79" s="732">
        <v>1.29E-2</v>
      </c>
      <c r="K79" s="713">
        <v>0.92579522243617651</v>
      </c>
      <c r="L79" s="433" t="s">
        <v>999</v>
      </c>
      <c r="M79" s="635">
        <v>278769909.60448569</v>
      </c>
    </row>
    <row r="80" spans="3:13">
      <c r="C80" s="597" t="s">
        <v>1030</v>
      </c>
      <c r="D80" s="126" t="s">
        <v>1016</v>
      </c>
      <c r="E80" s="126" t="s">
        <v>1017</v>
      </c>
      <c r="F80" s="300" t="s">
        <v>997</v>
      </c>
      <c r="G80" s="300" t="s">
        <v>998</v>
      </c>
      <c r="H80" s="433">
        <v>43822</v>
      </c>
      <c r="I80" s="433">
        <v>51058</v>
      </c>
      <c r="J80" s="730">
        <v>0</v>
      </c>
      <c r="K80" s="713">
        <v>8.1175194876007986</v>
      </c>
      <c r="L80" s="433" t="s">
        <v>1005</v>
      </c>
      <c r="M80" s="635">
        <v>-69042.76000000014</v>
      </c>
    </row>
    <row r="81" spans="3:13">
      <c r="C81" s="597" t="s">
        <v>1030</v>
      </c>
      <c r="D81" s="126" t="s">
        <v>1018</v>
      </c>
      <c r="E81" s="126" t="s">
        <v>1017</v>
      </c>
      <c r="F81" s="300" t="s">
        <v>997</v>
      </c>
      <c r="G81" s="300" t="s">
        <v>998</v>
      </c>
      <c r="H81" s="433">
        <v>44862</v>
      </c>
      <c r="I81" s="433">
        <v>49232</v>
      </c>
      <c r="J81" s="730">
        <v>0</v>
      </c>
      <c r="K81" s="713">
        <v>5.2852140871098525</v>
      </c>
      <c r="L81" s="433" t="s">
        <v>1005</v>
      </c>
      <c r="M81" s="635">
        <v>-3335792.8199999984</v>
      </c>
    </row>
    <row r="82" spans="3:13">
      <c r="C82" s="597" t="s">
        <v>962</v>
      </c>
      <c r="D82" s="126" t="s">
        <v>1013</v>
      </c>
      <c r="E82" s="126" t="s">
        <v>719</v>
      </c>
      <c r="F82" s="300" t="s">
        <v>1014</v>
      </c>
      <c r="G82" s="300" t="s">
        <v>998</v>
      </c>
      <c r="H82" s="433">
        <v>44545</v>
      </c>
      <c r="I82" s="433">
        <v>46371</v>
      </c>
      <c r="J82" s="732">
        <v>1.55E-2</v>
      </c>
      <c r="K82" s="713">
        <v>2.0240160084515488</v>
      </c>
      <c r="L82" s="433" t="s">
        <v>1015</v>
      </c>
      <c r="M82" s="635">
        <v>1706955109.72</v>
      </c>
    </row>
    <row r="83" spans="3:13">
      <c r="C83" s="597" t="s">
        <v>962</v>
      </c>
      <c r="D83" s="126" t="s">
        <v>1013</v>
      </c>
      <c r="E83" s="126" t="s">
        <v>719</v>
      </c>
      <c r="F83" s="300" t="s">
        <v>1014</v>
      </c>
      <c r="G83" s="300" t="s">
        <v>998</v>
      </c>
      <c r="H83" s="433">
        <v>44545</v>
      </c>
      <c r="I83" s="433">
        <v>47102</v>
      </c>
      <c r="J83" s="732">
        <v>1.7000000000000001E-2</v>
      </c>
      <c r="K83" s="713">
        <v>4.0447060094114935</v>
      </c>
      <c r="L83" s="433" t="s">
        <v>1015</v>
      </c>
      <c r="M83" s="635">
        <v>301243251.87</v>
      </c>
    </row>
    <row r="84" spans="3:13">
      <c r="C84" s="597" t="s">
        <v>962</v>
      </c>
      <c r="D84" s="126" t="s">
        <v>1013</v>
      </c>
      <c r="E84" s="126" t="s">
        <v>719</v>
      </c>
      <c r="F84" s="300" t="s">
        <v>1014</v>
      </c>
      <c r="G84" s="300" t="s">
        <v>998</v>
      </c>
      <c r="H84" s="433">
        <v>44616</v>
      </c>
      <c r="I84" s="433">
        <v>45712</v>
      </c>
      <c r="J84" s="732">
        <v>1.4E-2</v>
      </c>
      <c r="K84" s="713">
        <v>0</v>
      </c>
      <c r="L84" s="433" t="s">
        <v>371</v>
      </c>
      <c r="M84" s="635">
        <v>8.9406967163085938E-8</v>
      </c>
    </row>
    <row r="85" spans="3:13">
      <c r="C85" s="597" t="s">
        <v>962</v>
      </c>
      <c r="D85" s="126" t="s">
        <v>1018</v>
      </c>
      <c r="E85" s="126" t="s">
        <v>1017</v>
      </c>
      <c r="F85" s="300" t="s">
        <v>997</v>
      </c>
      <c r="G85" s="300" t="s">
        <v>998</v>
      </c>
      <c r="H85" s="433">
        <v>44545</v>
      </c>
      <c r="I85" s="433">
        <v>46371</v>
      </c>
      <c r="J85" s="727">
        <v>0</v>
      </c>
      <c r="K85" s="713">
        <v>2.3261317139511446</v>
      </c>
      <c r="L85" s="433" t="s">
        <v>1005</v>
      </c>
      <c r="M85" s="635">
        <v>-17638588.832102902</v>
      </c>
    </row>
    <row r="86" spans="3:13">
      <c r="C86" s="597" t="s">
        <v>962</v>
      </c>
      <c r="D86" s="126" t="s">
        <v>1018</v>
      </c>
      <c r="E86" s="126" t="s">
        <v>1017</v>
      </c>
      <c r="F86" s="300" t="s">
        <v>997</v>
      </c>
      <c r="G86" s="300" t="s">
        <v>998</v>
      </c>
      <c r="H86" s="433">
        <v>43738</v>
      </c>
      <c r="I86" s="433">
        <v>45565</v>
      </c>
      <c r="J86" s="727">
        <v>0</v>
      </c>
      <c r="K86" s="713">
        <v>0</v>
      </c>
      <c r="L86" s="433" t="s">
        <v>371</v>
      </c>
      <c r="M86" s="635">
        <v>0.62000000002444722</v>
      </c>
    </row>
    <row r="87" spans="3:13">
      <c r="C87" s="597" t="s">
        <v>1032</v>
      </c>
      <c r="D87" s="126" t="s">
        <v>1013</v>
      </c>
      <c r="E87" s="126" t="s">
        <v>719</v>
      </c>
      <c r="F87" s="300" t="s">
        <v>902</v>
      </c>
      <c r="G87" s="300" t="s">
        <v>998</v>
      </c>
      <c r="H87" s="433">
        <v>44270</v>
      </c>
      <c r="I87" s="433">
        <v>49749</v>
      </c>
      <c r="J87" s="725">
        <v>4.9173000000000001E-2</v>
      </c>
      <c r="K87" s="713">
        <v>6.2580809167674794</v>
      </c>
      <c r="L87" s="433" t="s">
        <v>1015</v>
      </c>
      <c r="M87" s="635">
        <v>994236257.46000004</v>
      </c>
    </row>
    <row r="88" spans="3:13">
      <c r="C88" s="597" t="s">
        <v>1032</v>
      </c>
      <c r="D88" s="126" t="s">
        <v>1013</v>
      </c>
      <c r="E88" s="126" t="s">
        <v>719</v>
      </c>
      <c r="F88" s="300" t="s">
        <v>902</v>
      </c>
      <c r="G88" s="300" t="s">
        <v>998</v>
      </c>
      <c r="H88" s="433">
        <v>44497</v>
      </c>
      <c r="I88" s="433">
        <v>45611</v>
      </c>
      <c r="J88" s="724">
        <v>5.7678E-2</v>
      </c>
      <c r="K88" s="713">
        <v>0.42499999999999999</v>
      </c>
      <c r="L88" s="433" t="s">
        <v>1015</v>
      </c>
      <c r="M88" s="635">
        <v>76658989.809294984</v>
      </c>
    </row>
    <row r="89" spans="3:13">
      <c r="C89" s="597" t="s">
        <v>1032</v>
      </c>
      <c r="D89" s="126" t="s">
        <v>1006</v>
      </c>
      <c r="E89" s="126" t="s">
        <v>1026</v>
      </c>
      <c r="F89" s="300" t="s">
        <v>1008</v>
      </c>
      <c r="G89" s="300" t="s">
        <v>1009</v>
      </c>
      <c r="H89" s="433">
        <v>45107</v>
      </c>
      <c r="I89" s="433">
        <v>45379</v>
      </c>
      <c r="J89" s="723">
        <v>1.4500000000000001E-2</v>
      </c>
      <c r="K89" s="713">
        <v>0</v>
      </c>
      <c r="L89" s="433" t="s">
        <v>371</v>
      </c>
      <c r="M89" s="635">
        <v>-4.1909515857696533E-9</v>
      </c>
    </row>
    <row r="90" spans="3:13">
      <c r="C90" s="597" t="s">
        <v>1032</v>
      </c>
      <c r="D90" s="126" t="s">
        <v>1018</v>
      </c>
      <c r="E90" s="126" t="s">
        <v>1017</v>
      </c>
      <c r="F90" s="300" t="s">
        <v>997</v>
      </c>
      <c r="G90" s="300" t="s">
        <v>998</v>
      </c>
      <c r="H90" s="433">
        <v>44270</v>
      </c>
      <c r="I90" s="433">
        <v>49749</v>
      </c>
      <c r="J90" s="727">
        <v>0</v>
      </c>
      <c r="K90" s="713">
        <v>6.0038021570596456</v>
      </c>
      <c r="L90" s="433" t="s">
        <v>1005</v>
      </c>
      <c r="M90" s="635">
        <v>-22761952.700000003</v>
      </c>
    </row>
    <row r="91" spans="3:13">
      <c r="C91" s="597" t="s">
        <v>1032</v>
      </c>
      <c r="D91" s="126" t="s">
        <v>1018</v>
      </c>
      <c r="E91" s="126" t="s">
        <v>1017</v>
      </c>
      <c r="F91" s="300" t="s">
        <v>997</v>
      </c>
      <c r="G91" s="300" t="s">
        <v>998</v>
      </c>
      <c r="H91" s="433">
        <v>44497</v>
      </c>
      <c r="I91" s="433">
        <v>45611</v>
      </c>
      <c r="J91" s="727">
        <v>0</v>
      </c>
      <c r="K91" s="713">
        <v>0.23653385501345636</v>
      </c>
      <c r="L91" s="433" t="s">
        <v>1005</v>
      </c>
      <c r="M91" s="635">
        <v>-341130.3</v>
      </c>
    </row>
    <row r="92" spans="3:13">
      <c r="C92" s="597" t="s">
        <v>1033</v>
      </c>
      <c r="D92" s="126" t="s">
        <v>1010</v>
      </c>
      <c r="E92" s="126" t="s">
        <v>1002</v>
      </c>
      <c r="F92" s="300" t="s">
        <v>902</v>
      </c>
      <c r="G92" s="300" t="s">
        <v>998</v>
      </c>
      <c r="H92" s="433">
        <v>43270</v>
      </c>
      <c r="I92" s="433">
        <v>50601</v>
      </c>
      <c r="J92" s="728">
        <v>2.0766E-2</v>
      </c>
      <c r="K92" s="713">
        <v>8.0343354478387479</v>
      </c>
      <c r="L92" s="433" t="s">
        <v>1005</v>
      </c>
      <c r="M92" s="635">
        <v>326094400.03478724</v>
      </c>
    </row>
    <row r="93" spans="3:13">
      <c r="C93" s="597" t="s">
        <v>1033</v>
      </c>
      <c r="D93" s="126" t="s">
        <v>1013</v>
      </c>
      <c r="E93" s="126" t="s">
        <v>719</v>
      </c>
      <c r="F93" s="300" t="s">
        <v>902</v>
      </c>
      <c r="G93" s="300" t="s">
        <v>998</v>
      </c>
      <c r="H93" s="433">
        <v>43500</v>
      </c>
      <c r="I93" s="433">
        <v>48594</v>
      </c>
      <c r="J93" s="724">
        <v>4.8500000000000001E-2</v>
      </c>
      <c r="K93" s="713">
        <v>4.5342620985305988</v>
      </c>
      <c r="L93" s="433" t="s">
        <v>1001</v>
      </c>
      <c r="M93" s="635">
        <v>70298862.890000045</v>
      </c>
    </row>
    <row r="94" spans="3:13">
      <c r="C94" s="597" t="s">
        <v>1033</v>
      </c>
      <c r="D94" s="126" t="s">
        <v>1016</v>
      </c>
      <c r="E94" s="126" t="s">
        <v>1017</v>
      </c>
      <c r="F94" s="300" t="s">
        <v>997</v>
      </c>
      <c r="G94" s="300" t="s">
        <v>998</v>
      </c>
      <c r="H94" s="433">
        <v>44196</v>
      </c>
      <c r="I94" s="433">
        <v>50601</v>
      </c>
      <c r="J94" s="727">
        <v>0</v>
      </c>
      <c r="K94" s="713">
        <v>7.1875267826935261</v>
      </c>
      <c r="L94" s="433" t="s">
        <v>1005</v>
      </c>
      <c r="M94" s="635">
        <v>-1668662.5599999973</v>
      </c>
    </row>
    <row r="95" spans="3:13">
      <c r="C95" s="597" t="s">
        <v>1033</v>
      </c>
      <c r="D95" s="126" t="s">
        <v>1018</v>
      </c>
      <c r="E95" s="126" t="s">
        <v>1017</v>
      </c>
      <c r="F95" s="300" t="s">
        <v>997</v>
      </c>
      <c r="G95" s="300" t="s">
        <v>998</v>
      </c>
      <c r="H95" s="433">
        <v>43738</v>
      </c>
      <c r="I95" s="433">
        <v>48594</v>
      </c>
      <c r="J95" s="727">
        <v>0</v>
      </c>
      <c r="K95" s="713">
        <v>4.3799311654158775</v>
      </c>
      <c r="L95" s="433" t="s">
        <v>1005</v>
      </c>
      <c r="M95" s="635">
        <v>-2009819.0899999999</v>
      </c>
    </row>
    <row r="96" spans="3:13">
      <c r="C96" s="597" t="s">
        <v>1034</v>
      </c>
      <c r="D96" s="126" t="s">
        <v>1010</v>
      </c>
      <c r="E96" s="126" t="s">
        <v>1002</v>
      </c>
      <c r="F96" s="300" t="s">
        <v>902</v>
      </c>
      <c r="G96" s="300" t="s">
        <v>998</v>
      </c>
      <c r="H96" s="433">
        <v>43270</v>
      </c>
      <c r="I96" s="433">
        <v>50601</v>
      </c>
      <c r="J96" s="728">
        <v>2.0766E-2</v>
      </c>
      <c r="K96" s="713">
        <v>8.0054604236419937</v>
      </c>
      <c r="L96" s="433" t="s">
        <v>1005</v>
      </c>
      <c r="M96" s="635">
        <v>331963027.00701964</v>
      </c>
    </row>
    <row r="97" spans="3:13">
      <c r="C97" s="597" t="s">
        <v>1034</v>
      </c>
      <c r="D97" s="126" t="s">
        <v>1013</v>
      </c>
      <c r="E97" s="126" t="s">
        <v>719</v>
      </c>
      <c r="F97" s="300" t="s">
        <v>902</v>
      </c>
      <c r="G97" s="300" t="s">
        <v>998</v>
      </c>
      <c r="H97" s="433">
        <v>43500</v>
      </c>
      <c r="I97" s="433">
        <v>48594</v>
      </c>
      <c r="J97" s="724">
        <v>4.8500000000000001E-2</v>
      </c>
      <c r="K97" s="713">
        <v>4.4237777767184321</v>
      </c>
      <c r="L97" s="433" t="s">
        <v>1001</v>
      </c>
      <c r="M97" s="635">
        <v>58713527.960000001</v>
      </c>
    </row>
    <row r="98" spans="3:13">
      <c r="C98" s="597" t="s">
        <v>1034</v>
      </c>
      <c r="D98" s="126" t="s">
        <v>1018</v>
      </c>
      <c r="E98" s="126" t="s">
        <v>1017</v>
      </c>
      <c r="F98" s="300" t="s">
        <v>997</v>
      </c>
      <c r="G98" s="300" t="s">
        <v>998</v>
      </c>
      <c r="H98" s="433">
        <v>43738</v>
      </c>
      <c r="I98" s="433">
        <v>48594</v>
      </c>
      <c r="J98" s="727">
        <v>0</v>
      </c>
      <c r="K98" s="713">
        <v>4.4169321720193091</v>
      </c>
      <c r="L98" s="433" t="s">
        <v>1005</v>
      </c>
      <c r="M98" s="635">
        <v>-1677139.7599999998</v>
      </c>
    </row>
    <row r="99" spans="3:13">
      <c r="C99" s="597" t="s">
        <v>1034</v>
      </c>
      <c r="D99" s="126" t="s">
        <v>1016</v>
      </c>
      <c r="E99" s="126" t="s">
        <v>1017</v>
      </c>
      <c r="F99" s="300" t="s">
        <v>997</v>
      </c>
      <c r="G99" s="300" t="s">
        <v>998</v>
      </c>
      <c r="H99" s="433">
        <v>44053</v>
      </c>
      <c r="I99" s="433">
        <v>50601</v>
      </c>
      <c r="J99" s="727">
        <v>0</v>
      </c>
      <c r="K99" s="713">
        <v>7.1875277365320773</v>
      </c>
      <c r="L99" s="433" t="s">
        <v>1005</v>
      </c>
      <c r="M99" s="635">
        <v>-1797405.3499999999</v>
      </c>
    </row>
    <row r="100" spans="3:13">
      <c r="C100" s="597" t="s">
        <v>1035</v>
      </c>
      <c r="D100" s="126" t="s">
        <v>1010</v>
      </c>
      <c r="E100" s="126" t="s">
        <v>1002</v>
      </c>
      <c r="F100" s="300" t="s">
        <v>902</v>
      </c>
      <c r="G100" s="300" t="s">
        <v>998</v>
      </c>
      <c r="H100" s="433">
        <v>43270</v>
      </c>
      <c r="I100" s="433">
        <v>50601</v>
      </c>
      <c r="J100" s="728">
        <v>2.0766E-2</v>
      </c>
      <c r="K100" s="713">
        <v>7.9446653947854635</v>
      </c>
      <c r="L100" s="433" t="s">
        <v>1036</v>
      </c>
      <c r="M100" s="635">
        <v>400772990.61366516</v>
      </c>
    </row>
    <row r="101" spans="3:13">
      <c r="C101" s="597" t="s">
        <v>1035</v>
      </c>
      <c r="D101" s="126" t="s">
        <v>1013</v>
      </c>
      <c r="E101" s="126" t="s">
        <v>719</v>
      </c>
      <c r="F101" s="300" t="s">
        <v>902</v>
      </c>
      <c r="G101" s="300" t="s">
        <v>998</v>
      </c>
      <c r="H101" s="433">
        <v>43500</v>
      </c>
      <c r="I101" s="433">
        <v>48594</v>
      </c>
      <c r="J101" s="724">
        <v>4.8000000000000001E-2</v>
      </c>
      <c r="K101" s="713">
        <v>4.6939300442506164</v>
      </c>
      <c r="L101" s="433" t="s">
        <v>1037</v>
      </c>
      <c r="M101" s="635">
        <v>55861104.609999999</v>
      </c>
    </row>
    <row r="102" spans="3:13">
      <c r="C102" s="597" t="s">
        <v>1035</v>
      </c>
      <c r="D102" s="126" t="s">
        <v>1013</v>
      </c>
      <c r="E102" s="126" t="s">
        <v>719</v>
      </c>
      <c r="F102" s="300" t="s">
        <v>902</v>
      </c>
      <c r="G102" s="300" t="s">
        <v>998</v>
      </c>
      <c r="H102" s="433">
        <v>43500</v>
      </c>
      <c r="I102" s="433">
        <v>48959</v>
      </c>
      <c r="J102" s="724">
        <v>4.65E-2</v>
      </c>
      <c r="K102" s="713">
        <v>4.7153023991595751</v>
      </c>
      <c r="L102" s="300" t="s">
        <v>1037</v>
      </c>
      <c r="M102" s="635">
        <v>55538390.350000001</v>
      </c>
    </row>
    <row r="103" spans="3:13">
      <c r="C103" s="597" t="s">
        <v>1035</v>
      </c>
      <c r="D103" s="126" t="s">
        <v>1016</v>
      </c>
      <c r="E103" s="126" t="s">
        <v>1017</v>
      </c>
      <c r="F103" s="300" t="s">
        <v>997</v>
      </c>
      <c r="G103" s="300" t="s">
        <v>998</v>
      </c>
      <c r="H103" s="433">
        <v>44196</v>
      </c>
      <c r="I103" s="433">
        <v>50601</v>
      </c>
      <c r="J103" s="727">
        <v>0</v>
      </c>
      <c r="K103" s="713">
        <v>7.1875247256289088</v>
      </c>
      <c r="L103" s="300" t="s">
        <v>1005</v>
      </c>
      <c r="M103" s="635">
        <v>-2006126.3499999994</v>
      </c>
    </row>
    <row r="104" spans="3:13">
      <c r="C104" s="597" t="s">
        <v>1035</v>
      </c>
      <c r="D104" s="126" t="s">
        <v>1018</v>
      </c>
      <c r="E104" s="126" t="s">
        <v>1017</v>
      </c>
      <c r="F104" s="300" t="s">
        <v>997</v>
      </c>
      <c r="G104" s="300" t="s">
        <v>998</v>
      </c>
      <c r="H104" s="433">
        <v>43500</v>
      </c>
      <c r="I104" s="433">
        <v>48959</v>
      </c>
      <c r="J104" s="727">
        <v>0</v>
      </c>
      <c r="K104" s="713">
        <v>4.9061457650682216</v>
      </c>
      <c r="L104" s="433" t="s">
        <v>1005</v>
      </c>
      <c r="M104" s="635">
        <v>-3520426.8954963009</v>
      </c>
    </row>
    <row r="105" spans="3:13">
      <c r="C105" s="597" t="s">
        <v>1038</v>
      </c>
      <c r="D105" s="126" t="s">
        <v>1010</v>
      </c>
      <c r="E105" s="126" t="s">
        <v>1012</v>
      </c>
      <c r="F105" s="300" t="s">
        <v>902</v>
      </c>
      <c r="G105" s="300" t="s">
        <v>998</v>
      </c>
      <c r="H105" s="433">
        <v>43595</v>
      </c>
      <c r="I105" s="433">
        <v>52215</v>
      </c>
      <c r="J105" s="728">
        <v>5.3199999999999997E-2</v>
      </c>
      <c r="K105" s="713">
        <v>9.4107590675391588</v>
      </c>
      <c r="L105" s="433" t="s">
        <v>1005</v>
      </c>
      <c r="M105" s="635">
        <v>567222847.54696453</v>
      </c>
    </row>
    <row r="106" spans="3:13">
      <c r="C106" s="597" t="s">
        <v>1038</v>
      </c>
      <c r="D106" s="126" t="s">
        <v>1010</v>
      </c>
      <c r="E106" s="126" t="s">
        <v>1012</v>
      </c>
      <c r="F106" s="300" t="s">
        <v>902</v>
      </c>
      <c r="G106" s="300" t="s">
        <v>998</v>
      </c>
      <c r="H106" s="433">
        <v>43595</v>
      </c>
      <c r="I106" s="433">
        <v>52215</v>
      </c>
      <c r="J106" s="728">
        <v>5.3199999999999997E-2</v>
      </c>
      <c r="K106" s="713">
        <v>10.882703435288709</v>
      </c>
      <c r="L106" s="433" t="s">
        <v>1005</v>
      </c>
      <c r="M106" s="635">
        <v>591268495.04237926</v>
      </c>
    </row>
    <row r="107" spans="3:13">
      <c r="C107" s="597" t="s">
        <v>1038</v>
      </c>
      <c r="D107" s="126" t="s">
        <v>1016</v>
      </c>
      <c r="E107" s="126" t="s">
        <v>1017</v>
      </c>
      <c r="F107" s="300" t="s">
        <v>997</v>
      </c>
      <c r="G107" s="300" t="s">
        <v>998</v>
      </c>
      <c r="H107" s="433">
        <v>44196</v>
      </c>
      <c r="I107" s="433">
        <v>52215</v>
      </c>
      <c r="J107" s="727">
        <v>0</v>
      </c>
      <c r="K107" s="713">
        <v>9.428061958777592</v>
      </c>
      <c r="L107" s="433" t="s">
        <v>1005</v>
      </c>
      <c r="M107" s="635">
        <v>-1865314.3199999984</v>
      </c>
    </row>
    <row r="108" spans="3:13">
      <c r="C108" s="597" t="s">
        <v>1039</v>
      </c>
      <c r="D108" s="126" t="s">
        <v>1010</v>
      </c>
      <c r="E108" s="126" t="s">
        <v>1002</v>
      </c>
      <c r="F108" s="300" t="s">
        <v>902</v>
      </c>
      <c r="G108" s="300" t="s">
        <v>998</v>
      </c>
      <c r="H108" s="433">
        <v>43518</v>
      </c>
      <c r="I108" s="433">
        <v>50785</v>
      </c>
      <c r="J108" s="728">
        <v>2.5707000000000001E-2</v>
      </c>
      <c r="K108" s="713">
        <v>8.5961672964013722</v>
      </c>
      <c r="L108" s="433" t="s">
        <v>1005</v>
      </c>
      <c r="M108" s="635">
        <v>328204941.88153112</v>
      </c>
    </row>
    <row r="109" spans="3:13">
      <c r="C109" s="597" t="s">
        <v>1039</v>
      </c>
      <c r="D109" s="126" t="s">
        <v>1013</v>
      </c>
      <c r="E109" s="126" t="s">
        <v>719</v>
      </c>
      <c r="F109" s="300" t="s">
        <v>902</v>
      </c>
      <c r="G109" s="300" t="s">
        <v>998</v>
      </c>
      <c r="H109" s="433">
        <v>43608</v>
      </c>
      <c r="I109" s="433">
        <v>50875</v>
      </c>
      <c r="J109" s="724">
        <v>4.8500000000000001E-2</v>
      </c>
      <c r="K109" s="713">
        <v>9.9797060886829261</v>
      </c>
      <c r="L109" s="300" t="s">
        <v>1001</v>
      </c>
      <c r="M109" s="635">
        <v>87928593.409999996</v>
      </c>
    </row>
    <row r="110" spans="3:13">
      <c r="C110" s="597" t="s">
        <v>1039</v>
      </c>
      <c r="D110" s="126" t="s">
        <v>1016</v>
      </c>
      <c r="E110" s="126" t="s">
        <v>1017</v>
      </c>
      <c r="F110" s="300" t="s">
        <v>997</v>
      </c>
      <c r="G110" s="300" t="s">
        <v>998</v>
      </c>
      <c r="H110" s="433">
        <v>44196</v>
      </c>
      <c r="I110" s="433">
        <v>50785</v>
      </c>
      <c r="J110" s="727">
        <v>0</v>
      </c>
      <c r="K110" s="713">
        <v>7.441202755812669</v>
      </c>
      <c r="L110" s="300" t="s">
        <v>1005</v>
      </c>
      <c r="M110" s="635">
        <v>-1740687.3999999997</v>
      </c>
    </row>
    <row r="111" spans="3:13">
      <c r="C111" s="597" t="s">
        <v>1039</v>
      </c>
      <c r="D111" s="126" t="s">
        <v>1018</v>
      </c>
      <c r="E111" s="126" t="s">
        <v>1017</v>
      </c>
      <c r="F111" s="300" t="s">
        <v>997</v>
      </c>
      <c r="G111" s="300" t="s">
        <v>998</v>
      </c>
      <c r="H111" s="433">
        <v>43738</v>
      </c>
      <c r="I111" s="433">
        <v>50875</v>
      </c>
      <c r="J111" s="727">
        <v>0</v>
      </c>
      <c r="K111" s="713">
        <v>7.5451283027016975</v>
      </c>
      <c r="L111" s="433" t="s">
        <v>1005</v>
      </c>
      <c r="M111" s="635">
        <v>-2910702.6300000008</v>
      </c>
    </row>
    <row r="112" spans="3:13">
      <c r="C112" s="597" t="s">
        <v>1040</v>
      </c>
      <c r="D112" s="126" t="s">
        <v>1010</v>
      </c>
      <c r="E112" s="126" t="s">
        <v>1012</v>
      </c>
      <c r="F112" s="300" t="s">
        <v>902</v>
      </c>
      <c r="G112" s="300" t="s">
        <v>998</v>
      </c>
      <c r="H112" s="433">
        <v>43600</v>
      </c>
      <c r="I112" s="433">
        <v>52215</v>
      </c>
      <c r="J112" s="728">
        <v>4.9285900000000001E-2</v>
      </c>
      <c r="K112" s="713">
        <v>9.4120279218961915</v>
      </c>
      <c r="L112" s="715" t="s">
        <v>1005</v>
      </c>
      <c r="M112" s="635">
        <v>278823096.71052623</v>
      </c>
    </row>
    <row r="113" spans="3:13">
      <c r="C113" s="597" t="s">
        <v>1040</v>
      </c>
      <c r="D113" s="126" t="s">
        <v>1010</v>
      </c>
      <c r="E113" s="126" t="s">
        <v>1012</v>
      </c>
      <c r="F113" s="300" t="s">
        <v>902</v>
      </c>
      <c r="G113" s="300" t="s">
        <v>998</v>
      </c>
      <c r="H113" s="433">
        <v>43600</v>
      </c>
      <c r="I113" s="433">
        <v>52215</v>
      </c>
      <c r="J113" s="728">
        <v>4.9285900000000001E-2</v>
      </c>
      <c r="K113" s="713">
        <v>10.775881340089756</v>
      </c>
      <c r="L113" s="433" t="s">
        <v>1005</v>
      </c>
      <c r="M113" s="635">
        <v>289907935.97898793</v>
      </c>
    </row>
    <row r="114" spans="3:13">
      <c r="C114" s="597" t="s">
        <v>1040</v>
      </c>
      <c r="D114" s="126" t="s">
        <v>1016</v>
      </c>
      <c r="E114" s="126" t="s">
        <v>1017</v>
      </c>
      <c r="F114" s="300" t="s">
        <v>997</v>
      </c>
      <c r="G114" s="300" t="s">
        <v>998</v>
      </c>
      <c r="H114" s="433">
        <v>44196</v>
      </c>
      <c r="I114" s="433">
        <v>52215</v>
      </c>
      <c r="J114" s="727">
        <v>0</v>
      </c>
      <c r="K114" s="713">
        <v>9.428071863499321</v>
      </c>
      <c r="L114" s="433" t="s">
        <v>1005</v>
      </c>
      <c r="M114" s="635">
        <v>-1112764.6500000008</v>
      </c>
    </row>
    <row r="115" spans="3:13">
      <c r="C115" s="597" t="s">
        <v>1041</v>
      </c>
      <c r="D115" s="126" t="s">
        <v>1010</v>
      </c>
      <c r="E115" s="126" t="s">
        <v>1003</v>
      </c>
      <c r="F115" s="300" t="s">
        <v>902</v>
      </c>
      <c r="G115" s="300" t="s">
        <v>998</v>
      </c>
      <c r="H115" s="433">
        <v>43776</v>
      </c>
      <c r="I115" s="433">
        <v>50708</v>
      </c>
      <c r="J115" s="734">
        <v>1.619E-2</v>
      </c>
      <c r="K115" s="713">
        <v>7.4613127415442957</v>
      </c>
      <c r="L115" s="433" t="s">
        <v>1001</v>
      </c>
      <c r="M115" s="635">
        <v>415231786.59323692</v>
      </c>
    </row>
    <row r="116" spans="3:13">
      <c r="C116" s="597" t="s">
        <v>1041</v>
      </c>
      <c r="D116" s="126" t="s">
        <v>1013</v>
      </c>
      <c r="E116" s="126" t="s">
        <v>719</v>
      </c>
      <c r="F116" s="300" t="s">
        <v>902</v>
      </c>
      <c r="G116" s="300" t="s">
        <v>998</v>
      </c>
      <c r="H116" s="433">
        <v>43608</v>
      </c>
      <c r="I116" s="433">
        <v>50875</v>
      </c>
      <c r="J116" s="724">
        <v>4.8500000000000001E-2</v>
      </c>
      <c r="K116" s="713">
        <v>9.9822333157952627</v>
      </c>
      <c r="L116" s="433" t="s">
        <v>1001</v>
      </c>
      <c r="M116" s="635">
        <v>135889644.35999998</v>
      </c>
    </row>
    <row r="117" spans="3:13">
      <c r="C117" s="597" t="s">
        <v>1041</v>
      </c>
      <c r="D117" s="126" t="s">
        <v>1013</v>
      </c>
      <c r="E117" s="126" t="s">
        <v>719</v>
      </c>
      <c r="F117" s="300" t="s">
        <v>902</v>
      </c>
      <c r="G117" s="300" t="s">
        <v>998</v>
      </c>
      <c r="H117" s="433">
        <v>43608</v>
      </c>
      <c r="I117" s="433">
        <v>50875</v>
      </c>
      <c r="J117" s="724">
        <v>4.8500000000000001E-2</v>
      </c>
      <c r="K117" s="713">
        <v>9.9822333209033083</v>
      </c>
      <c r="L117" s="433" t="s">
        <v>1001</v>
      </c>
      <c r="M117" s="635">
        <v>115905873.14</v>
      </c>
    </row>
    <row r="118" spans="3:13">
      <c r="C118" s="597" t="s">
        <v>1041</v>
      </c>
      <c r="D118" s="126" t="s">
        <v>1018</v>
      </c>
      <c r="E118" s="126" t="s">
        <v>1017</v>
      </c>
      <c r="F118" s="300" t="s">
        <v>997</v>
      </c>
      <c r="G118" s="300" t="s">
        <v>998</v>
      </c>
      <c r="H118" s="433">
        <v>43646</v>
      </c>
      <c r="I118" s="433">
        <v>50875</v>
      </c>
      <c r="J118" s="735">
        <v>0</v>
      </c>
      <c r="K118" s="713">
        <v>7.5448657836226429</v>
      </c>
      <c r="L118" s="433" t="s">
        <v>1005</v>
      </c>
      <c r="M118" s="635">
        <v>-7833576.0599999996</v>
      </c>
    </row>
    <row r="119" spans="3:13">
      <c r="C119" s="597" t="s">
        <v>1041</v>
      </c>
      <c r="D119" s="126" t="s">
        <v>1016</v>
      </c>
      <c r="E119" s="126" t="s">
        <v>1017</v>
      </c>
      <c r="F119" s="300" t="s">
        <v>997</v>
      </c>
      <c r="G119" s="300" t="s">
        <v>998</v>
      </c>
      <c r="H119" s="433">
        <v>44196</v>
      </c>
      <c r="I119" s="433">
        <v>50708</v>
      </c>
      <c r="J119" s="735">
        <v>0</v>
      </c>
      <c r="K119" s="713">
        <v>7.314358963067348</v>
      </c>
      <c r="L119" s="433" t="s">
        <v>1005</v>
      </c>
      <c r="M119" s="635">
        <v>-2928981.6400000011</v>
      </c>
    </row>
    <row r="120" spans="3:13">
      <c r="C120" s="597" t="s">
        <v>73</v>
      </c>
      <c r="D120" s="126" t="s">
        <v>1006</v>
      </c>
      <c r="E120" s="126" t="s">
        <v>1042</v>
      </c>
      <c r="F120" s="300" t="s">
        <v>1008</v>
      </c>
      <c r="G120" s="300" t="s">
        <v>1009</v>
      </c>
      <c r="H120" s="433">
        <v>44421</v>
      </c>
      <c r="I120" s="433">
        <v>45517</v>
      </c>
      <c r="J120" s="726">
        <v>1.4500000000000001E-2</v>
      </c>
      <c r="K120" s="713">
        <v>0.17222222222222222</v>
      </c>
      <c r="L120" s="433" t="s">
        <v>999</v>
      </c>
      <c r="M120" s="635">
        <v>266938920.072047</v>
      </c>
    </row>
    <row r="121" spans="3:13">
      <c r="C121" s="716" t="s">
        <v>73</v>
      </c>
      <c r="D121" s="126" t="s">
        <v>1006</v>
      </c>
      <c r="E121" s="126" t="s">
        <v>1022</v>
      </c>
      <c r="F121" s="300" t="s">
        <v>1008</v>
      </c>
      <c r="G121" s="300" t="s">
        <v>1009</v>
      </c>
      <c r="H121" s="433">
        <v>45107</v>
      </c>
      <c r="I121" s="433">
        <v>46414</v>
      </c>
      <c r="J121" s="726">
        <v>1.8499999999999999E-2</v>
      </c>
      <c r="K121" s="713">
        <v>2.4774269322801654</v>
      </c>
      <c r="L121" s="433" t="s">
        <v>1015</v>
      </c>
      <c r="M121" s="635">
        <v>687095671.53566599</v>
      </c>
    </row>
    <row r="122" spans="3:13">
      <c r="C122" s="716" t="s">
        <v>73</v>
      </c>
      <c r="D122" s="126" t="s">
        <v>1006</v>
      </c>
      <c r="E122" s="126" t="s">
        <v>1028</v>
      </c>
      <c r="F122" s="300" t="s">
        <v>1008</v>
      </c>
      <c r="G122" s="300" t="s">
        <v>1009</v>
      </c>
      <c r="H122" s="433">
        <v>45113</v>
      </c>
      <c r="I122" s="433">
        <v>46416</v>
      </c>
      <c r="J122" s="726">
        <v>1.8474999999999998E-2</v>
      </c>
      <c r="K122" s="713">
        <v>2.4644504908562439</v>
      </c>
      <c r="L122" s="433" t="s">
        <v>999</v>
      </c>
      <c r="M122" s="635">
        <v>278183231.10986662</v>
      </c>
    </row>
    <row r="123" spans="3:13">
      <c r="C123" s="716" t="s">
        <v>73</v>
      </c>
      <c r="D123" s="126" t="s">
        <v>1010</v>
      </c>
      <c r="E123" s="126" t="s">
        <v>1043</v>
      </c>
      <c r="F123" s="300" t="s">
        <v>1014</v>
      </c>
      <c r="G123" s="300" t="s">
        <v>998</v>
      </c>
      <c r="H123" s="433">
        <v>44851</v>
      </c>
      <c r="I123" s="433">
        <v>46674</v>
      </c>
      <c r="J123" s="726">
        <v>1.4E-2</v>
      </c>
      <c r="K123" s="713">
        <v>3.3128721746884469</v>
      </c>
      <c r="L123" s="433" t="s">
        <v>999</v>
      </c>
      <c r="M123" s="635">
        <v>409485868.06999999</v>
      </c>
    </row>
    <row r="124" spans="3:13">
      <c r="C124" s="716" t="s">
        <v>73</v>
      </c>
      <c r="D124" s="126" t="s">
        <v>1010</v>
      </c>
      <c r="E124" s="126" t="s">
        <v>1012</v>
      </c>
      <c r="F124" s="300" t="s">
        <v>902</v>
      </c>
      <c r="G124" s="300" t="s">
        <v>998</v>
      </c>
      <c r="H124" s="433">
        <v>45196</v>
      </c>
      <c r="I124" s="433">
        <v>50024</v>
      </c>
      <c r="J124" s="728">
        <v>7.376692E-2</v>
      </c>
      <c r="K124" s="713">
        <v>6.3683442678807394</v>
      </c>
      <c r="L124" s="433" t="s">
        <v>1005</v>
      </c>
      <c r="M124" s="635">
        <v>199597965.2221587</v>
      </c>
    </row>
    <row r="125" spans="3:13">
      <c r="C125" s="716" t="s">
        <v>73</v>
      </c>
      <c r="D125" s="126" t="s">
        <v>1013</v>
      </c>
      <c r="E125" s="126" t="s">
        <v>719</v>
      </c>
      <c r="F125" s="300" t="s">
        <v>1014</v>
      </c>
      <c r="G125" s="300" t="s">
        <v>998</v>
      </c>
      <c r="H125" s="433">
        <v>44427</v>
      </c>
      <c r="I125" s="433">
        <v>46249</v>
      </c>
      <c r="J125" s="726">
        <v>1.4500000000000001E-2</v>
      </c>
      <c r="K125" s="713">
        <v>1.1436376435801221</v>
      </c>
      <c r="L125" s="433" t="s">
        <v>1015</v>
      </c>
      <c r="M125" s="635">
        <v>939350951.13526797</v>
      </c>
    </row>
    <row r="126" spans="3:13">
      <c r="C126" s="716" t="s">
        <v>73</v>
      </c>
      <c r="D126" s="126" t="s">
        <v>1013</v>
      </c>
      <c r="E126" s="126" t="s">
        <v>719</v>
      </c>
      <c r="F126" s="300" t="s">
        <v>902</v>
      </c>
      <c r="G126" s="300" t="s">
        <v>998</v>
      </c>
      <c r="H126" s="433">
        <v>44427</v>
      </c>
      <c r="I126" s="433">
        <v>47376</v>
      </c>
      <c r="J126" s="724">
        <v>5.4399999999999997E-2</v>
      </c>
      <c r="K126" s="713">
        <v>4.6491053042151176</v>
      </c>
      <c r="L126" s="433" t="s">
        <v>1015</v>
      </c>
      <c r="M126" s="635">
        <v>363475269.49000001</v>
      </c>
    </row>
    <row r="127" spans="3:13">
      <c r="C127" s="716" t="s">
        <v>73</v>
      </c>
      <c r="D127" s="126" t="s">
        <v>1013</v>
      </c>
      <c r="E127" s="126" t="s">
        <v>719</v>
      </c>
      <c r="F127" s="300" t="s">
        <v>1014</v>
      </c>
      <c r="G127" s="300" t="s">
        <v>998</v>
      </c>
      <c r="H127" s="433">
        <v>44918</v>
      </c>
      <c r="I127" s="433">
        <v>47467</v>
      </c>
      <c r="J127" s="726">
        <v>1.0800000000000001E-2</v>
      </c>
      <c r="K127" s="713">
        <v>5.5708388958286985</v>
      </c>
      <c r="L127" s="433" t="s">
        <v>999</v>
      </c>
      <c r="M127" s="635">
        <v>269913238.46000004</v>
      </c>
    </row>
    <row r="128" spans="3:13">
      <c r="C128" s="716" t="s">
        <v>73</v>
      </c>
      <c r="D128" s="126" t="s">
        <v>1013</v>
      </c>
      <c r="E128" s="126" t="s">
        <v>719</v>
      </c>
      <c r="F128" s="300" t="s">
        <v>902</v>
      </c>
      <c r="G128" s="300" t="s">
        <v>998</v>
      </c>
      <c r="H128" s="433">
        <v>45147</v>
      </c>
      <c r="I128" s="433">
        <v>47679</v>
      </c>
      <c r="J128" s="724">
        <v>6.5000000000000002E-2</v>
      </c>
      <c r="K128" s="713">
        <v>5.5085778118168998</v>
      </c>
      <c r="L128" s="433" t="s">
        <v>1015</v>
      </c>
      <c r="M128" s="635">
        <v>192837773.58000001</v>
      </c>
    </row>
    <row r="129" spans="3:13">
      <c r="C129" s="716" t="s">
        <v>73</v>
      </c>
      <c r="D129" s="126" t="s">
        <v>1013</v>
      </c>
      <c r="E129" s="126" t="s">
        <v>719</v>
      </c>
      <c r="F129" s="300" t="s">
        <v>1014</v>
      </c>
      <c r="G129" s="300" t="s">
        <v>998</v>
      </c>
      <c r="H129" s="433">
        <v>45280</v>
      </c>
      <c r="I129" s="433">
        <v>47463</v>
      </c>
      <c r="J129" s="726">
        <v>1.6500000000000001E-2</v>
      </c>
      <c r="K129" s="713">
        <v>4.5431667023282793</v>
      </c>
      <c r="L129" s="433" t="s">
        <v>1001</v>
      </c>
      <c r="M129" s="635">
        <v>1005966068.5101551</v>
      </c>
    </row>
    <row r="130" spans="3:13">
      <c r="C130" s="716" t="s">
        <v>73</v>
      </c>
      <c r="D130" s="126" t="s">
        <v>1013</v>
      </c>
      <c r="E130" s="126" t="s">
        <v>719</v>
      </c>
      <c r="F130" s="300" t="s">
        <v>1014</v>
      </c>
      <c r="G130" s="300" t="s">
        <v>998</v>
      </c>
      <c r="H130" s="433">
        <v>45462</v>
      </c>
      <c r="I130" s="433">
        <v>49810</v>
      </c>
      <c r="J130" s="726">
        <v>2.8999999999999998E-3</v>
      </c>
      <c r="K130" s="713">
        <v>10.55086368442254</v>
      </c>
      <c r="L130" s="433" t="s">
        <v>1044</v>
      </c>
      <c r="M130" s="635">
        <v>250844233.48000002</v>
      </c>
    </row>
    <row r="131" spans="3:13">
      <c r="C131" s="716" t="s">
        <v>73</v>
      </c>
      <c r="D131" s="126" t="s">
        <v>1018</v>
      </c>
      <c r="E131" s="126" t="s">
        <v>1017</v>
      </c>
      <c r="F131" s="300" t="s">
        <v>997</v>
      </c>
      <c r="G131" s="300" t="s">
        <v>998</v>
      </c>
      <c r="H131" s="433">
        <v>44427</v>
      </c>
      <c r="I131" s="433">
        <v>46249</v>
      </c>
      <c r="J131" s="727">
        <v>0</v>
      </c>
      <c r="K131" s="713">
        <v>2.6642921146954097</v>
      </c>
      <c r="L131" s="433" t="s">
        <v>1005</v>
      </c>
      <c r="M131" s="635">
        <v>-6728966.5313519631</v>
      </c>
    </row>
    <row r="132" spans="3:13">
      <c r="C132" s="716" t="s">
        <v>73</v>
      </c>
      <c r="D132" s="126" t="s">
        <v>1018</v>
      </c>
      <c r="E132" s="126" t="s">
        <v>1017</v>
      </c>
      <c r="F132" s="300" t="s">
        <v>997</v>
      </c>
      <c r="G132" s="300" t="s">
        <v>998</v>
      </c>
      <c r="H132" s="433">
        <v>45291</v>
      </c>
      <c r="I132" s="433">
        <v>47679</v>
      </c>
      <c r="J132" s="727">
        <v>0</v>
      </c>
      <c r="K132" s="713">
        <v>3.1292617960425964</v>
      </c>
      <c r="L132" s="433" t="s">
        <v>1005</v>
      </c>
      <c r="M132" s="635">
        <v>-9845.0572151898687</v>
      </c>
    </row>
    <row r="133" spans="3:13">
      <c r="C133" s="716" t="s">
        <v>73</v>
      </c>
      <c r="D133" s="126" t="s">
        <v>1018</v>
      </c>
      <c r="E133" s="126" t="s">
        <v>1017</v>
      </c>
      <c r="F133" s="300" t="s">
        <v>997</v>
      </c>
      <c r="G133" s="300" t="s">
        <v>998</v>
      </c>
      <c r="H133" s="433">
        <v>45291</v>
      </c>
      <c r="I133" s="433">
        <v>47463</v>
      </c>
      <c r="J133" s="727">
        <v>0</v>
      </c>
      <c r="K133" s="713">
        <v>2.8334595959596198</v>
      </c>
      <c r="L133" s="433" t="s">
        <v>1005</v>
      </c>
      <c r="M133" s="635">
        <v>-3394140.0074999989</v>
      </c>
    </row>
    <row r="134" spans="3:13">
      <c r="C134" s="716" t="s">
        <v>73</v>
      </c>
      <c r="D134" s="126" t="s">
        <v>1018</v>
      </c>
      <c r="E134" s="126" t="s">
        <v>1017</v>
      </c>
      <c r="F134" s="300" t="s">
        <v>997</v>
      </c>
      <c r="G134" s="300" t="s">
        <v>998</v>
      </c>
      <c r="H134" s="433">
        <v>45462</v>
      </c>
      <c r="I134" s="433">
        <v>49810</v>
      </c>
      <c r="J134" s="727">
        <v>0</v>
      </c>
      <c r="K134" s="713">
        <v>12.091666666666667</v>
      </c>
      <c r="L134" s="433"/>
      <c r="M134" s="635">
        <v>-9687961.6899999995</v>
      </c>
    </row>
    <row r="135" spans="3:13">
      <c r="C135" s="716" t="s">
        <v>73</v>
      </c>
      <c r="D135" s="126" t="s">
        <v>1016</v>
      </c>
      <c r="E135" s="126" t="s">
        <v>1017</v>
      </c>
      <c r="F135" s="300" t="s">
        <v>997</v>
      </c>
      <c r="G135" s="300" t="s">
        <v>998</v>
      </c>
      <c r="H135" s="433">
        <v>45196</v>
      </c>
      <c r="I135" s="433">
        <v>50024</v>
      </c>
      <c r="J135" s="727">
        <v>0</v>
      </c>
      <c r="K135" s="713">
        <v>6.3843333333337799</v>
      </c>
      <c r="L135" s="433" t="s">
        <v>1005</v>
      </c>
      <c r="M135" s="635">
        <v>-4424554.9350943407</v>
      </c>
    </row>
    <row r="136" spans="3:13">
      <c r="C136" s="716" t="s">
        <v>941</v>
      </c>
      <c r="D136" s="126" t="s">
        <v>1010</v>
      </c>
      <c r="E136" s="126" t="s">
        <v>1002</v>
      </c>
      <c r="F136" s="300" t="s">
        <v>902</v>
      </c>
      <c r="G136" s="300" t="s">
        <v>998</v>
      </c>
      <c r="H136" s="433">
        <v>43642</v>
      </c>
      <c r="I136" s="433">
        <v>49140</v>
      </c>
      <c r="J136" s="724">
        <v>1.3010000000000001E-2</v>
      </c>
      <c r="K136" s="713">
        <v>5.034391743386065</v>
      </c>
      <c r="L136" s="433" t="s">
        <v>1005</v>
      </c>
      <c r="M136" s="635">
        <v>291701.88636723114</v>
      </c>
    </row>
    <row r="137" spans="3:13">
      <c r="C137" s="597" t="s">
        <v>941</v>
      </c>
      <c r="D137" s="126" t="s">
        <v>1006</v>
      </c>
      <c r="E137" s="126" t="s">
        <v>1022</v>
      </c>
      <c r="F137" s="300" t="s">
        <v>1008</v>
      </c>
      <c r="G137" s="300" t="s">
        <v>1009</v>
      </c>
      <c r="H137" s="433">
        <v>45281</v>
      </c>
      <c r="I137" s="433">
        <v>45461</v>
      </c>
      <c r="J137" s="723">
        <v>1.12E-2</v>
      </c>
      <c r="K137" s="713">
        <v>0</v>
      </c>
      <c r="L137" s="433" t="s">
        <v>999</v>
      </c>
      <c r="M137" s="635">
        <v>0</v>
      </c>
    </row>
    <row r="138" spans="3:13">
      <c r="C138" s="597" t="s">
        <v>941</v>
      </c>
      <c r="D138" s="126" t="s">
        <v>1010</v>
      </c>
      <c r="E138" s="126" t="s">
        <v>1032</v>
      </c>
      <c r="F138" s="300" t="s">
        <v>1014</v>
      </c>
      <c r="G138" s="300" t="s">
        <v>998</v>
      </c>
      <c r="H138" s="433">
        <v>45324</v>
      </c>
      <c r="I138" s="433">
        <v>45461</v>
      </c>
      <c r="J138" s="723">
        <v>1.4999999999999999E-2</v>
      </c>
      <c r="K138" s="713">
        <v>0</v>
      </c>
      <c r="L138" s="433" t="s">
        <v>999</v>
      </c>
      <c r="M138" s="635">
        <v>0</v>
      </c>
    </row>
    <row r="139" spans="3:13">
      <c r="C139" s="597" t="s">
        <v>941</v>
      </c>
      <c r="D139" s="126" t="s">
        <v>1010</v>
      </c>
      <c r="E139" s="126" t="s">
        <v>1032</v>
      </c>
      <c r="F139" s="300" t="s">
        <v>1014</v>
      </c>
      <c r="G139" s="300" t="s">
        <v>998</v>
      </c>
      <c r="H139" s="433">
        <v>45345</v>
      </c>
      <c r="I139" s="433">
        <v>45461</v>
      </c>
      <c r="J139" s="723">
        <v>1.4999999999999999E-2</v>
      </c>
      <c r="K139" s="713">
        <v>0</v>
      </c>
      <c r="L139" s="433" t="s">
        <v>999</v>
      </c>
      <c r="M139" s="635">
        <v>-5.8207660913467407E-11</v>
      </c>
    </row>
    <row r="140" spans="3:13">
      <c r="C140" s="597" t="s">
        <v>941</v>
      </c>
      <c r="D140" s="126" t="s">
        <v>1010</v>
      </c>
      <c r="E140" s="126" t="s">
        <v>1032</v>
      </c>
      <c r="F140" s="300" t="s">
        <v>1014</v>
      </c>
      <c r="G140" s="300" t="s">
        <v>998</v>
      </c>
      <c r="H140" s="433">
        <v>45377</v>
      </c>
      <c r="I140" s="433">
        <v>45461</v>
      </c>
      <c r="J140" s="723">
        <v>1.4999999999999999E-2</v>
      </c>
      <c r="K140" s="713">
        <v>0</v>
      </c>
      <c r="L140" s="433" t="s">
        <v>999</v>
      </c>
      <c r="M140" s="635">
        <v>0</v>
      </c>
    </row>
    <row r="141" spans="3:13">
      <c r="C141" s="597" t="s">
        <v>941</v>
      </c>
      <c r="D141" s="126" t="s">
        <v>1006</v>
      </c>
      <c r="E141" s="126" t="s">
        <v>1022</v>
      </c>
      <c r="F141" s="300" t="s">
        <v>1008</v>
      </c>
      <c r="G141" s="300" t="s">
        <v>1009</v>
      </c>
      <c r="H141" s="433">
        <v>45461</v>
      </c>
      <c r="I141" s="433">
        <v>45644</v>
      </c>
      <c r="J141" s="723">
        <v>1.12E-2</v>
      </c>
      <c r="K141" s="713">
        <v>0.51111111111111107</v>
      </c>
      <c r="L141" s="433" t="s">
        <v>999</v>
      </c>
      <c r="M141" s="635">
        <v>135997116.4318099</v>
      </c>
    </row>
    <row r="142" spans="3:13">
      <c r="C142" s="597" t="s">
        <v>1045</v>
      </c>
      <c r="D142" s="126" t="s">
        <v>1006</v>
      </c>
      <c r="E142" s="126" t="s">
        <v>1026</v>
      </c>
      <c r="F142" s="300" t="s">
        <v>1008</v>
      </c>
      <c r="G142" s="300" t="s">
        <v>1009</v>
      </c>
      <c r="H142" s="433">
        <v>44558</v>
      </c>
      <c r="I142" s="433">
        <v>46384</v>
      </c>
      <c r="J142" s="723">
        <v>1.7100000000000001E-2</v>
      </c>
      <c r="K142" s="713">
        <v>2.2824023693947919</v>
      </c>
      <c r="L142" s="433" t="s">
        <v>1015</v>
      </c>
      <c r="M142" s="635">
        <v>19434759.080339655</v>
      </c>
    </row>
    <row r="143" spans="3:13">
      <c r="C143" s="597" t="s">
        <v>1045</v>
      </c>
      <c r="D143" s="126" t="s">
        <v>1006</v>
      </c>
      <c r="E143" s="126" t="s">
        <v>1022</v>
      </c>
      <c r="F143" s="300" t="s">
        <v>1008</v>
      </c>
      <c r="G143" s="300" t="s">
        <v>1009</v>
      </c>
      <c r="H143" s="433">
        <v>44754</v>
      </c>
      <c r="I143" s="433">
        <v>45474</v>
      </c>
      <c r="J143" s="723">
        <v>9.4999999999999998E-3</v>
      </c>
      <c r="K143" s="713">
        <v>8.611111111111111E-2</v>
      </c>
      <c r="L143" s="433" t="s">
        <v>999</v>
      </c>
      <c r="M143" s="635">
        <v>21314035.209330559</v>
      </c>
    </row>
    <row r="144" spans="3:13">
      <c r="C144" s="597" t="s">
        <v>1045</v>
      </c>
      <c r="D144" s="126" t="s">
        <v>1016</v>
      </c>
      <c r="E144" s="126" t="s">
        <v>1017</v>
      </c>
      <c r="F144" s="300" t="s">
        <v>997</v>
      </c>
      <c r="G144" s="300" t="s">
        <v>998</v>
      </c>
      <c r="H144" s="433">
        <v>45107</v>
      </c>
      <c r="I144" s="433">
        <v>46384</v>
      </c>
      <c r="J144" s="727">
        <v>0</v>
      </c>
      <c r="K144" s="713">
        <v>2.5388888888888888</v>
      </c>
      <c r="L144" s="433" t="s">
        <v>1005</v>
      </c>
      <c r="M144" s="635">
        <v>-19917</v>
      </c>
    </row>
    <row r="145" spans="3:13">
      <c r="C145" s="597" t="s">
        <v>939</v>
      </c>
      <c r="D145" s="126" t="s">
        <v>1006</v>
      </c>
      <c r="E145" s="126" t="s">
        <v>1026</v>
      </c>
      <c r="F145" s="300" t="s">
        <v>1008</v>
      </c>
      <c r="G145" s="300" t="s">
        <v>1009</v>
      </c>
      <c r="H145" s="433">
        <v>45460</v>
      </c>
      <c r="I145" s="433">
        <v>46555</v>
      </c>
      <c r="J145" s="723">
        <v>1.4800000000000001E-2</v>
      </c>
      <c r="K145" s="713">
        <v>2.0228592386616584</v>
      </c>
      <c r="L145" s="433" t="s">
        <v>1015</v>
      </c>
      <c r="M145" s="635">
        <v>82000397.613917321</v>
      </c>
    </row>
    <row r="146" spans="3:13">
      <c r="C146" s="597" t="s">
        <v>939</v>
      </c>
      <c r="D146" s="126" t="s">
        <v>1016</v>
      </c>
      <c r="E146" s="126" t="s">
        <v>1017</v>
      </c>
      <c r="F146" s="300" t="s">
        <v>997</v>
      </c>
      <c r="G146" s="300" t="s">
        <v>998</v>
      </c>
      <c r="H146" s="433">
        <v>45460</v>
      </c>
      <c r="I146" s="433">
        <v>46555</v>
      </c>
      <c r="J146" s="727"/>
      <c r="K146" s="713">
        <v>1.0999999999999799</v>
      </c>
      <c r="L146" s="433"/>
      <c r="M146" s="635">
        <v>-811111.11</v>
      </c>
    </row>
    <row r="147" spans="3:13">
      <c r="C147" s="597" t="s">
        <v>671</v>
      </c>
      <c r="D147" s="126" t="s">
        <v>1013</v>
      </c>
      <c r="E147" s="126" t="s">
        <v>719</v>
      </c>
      <c r="F147" s="300" t="s">
        <v>1014</v>
      </c>
      <c r="G147" s="300" t="s">
        <v>998</v>
      </c>
      <c r="H147" s="717">
        <v>44550</v>
      </c>
      <c r="I147" s="717">
        <v>46553</v>
      </c>
      <c r="J147" s="732">
        <v>1.55E-2</v>
      </c>
      <c r="K147" s="713">
        <v>2.0215979502616794</v>
      </c>
      <c r="L147" s="433" t="s">
        <v>1044</v>
      </c>
      <c r="M147" s="635">
        <v>380176819.66718</v>
      </c>
    </row>
    <row r="148" spans="3:13">
      <c r="C148" s="597" t="s">
        <v>671</v>
      </c>
      <c r="D148" s="126" t="s">
        <v>1010</v>
      </c>
      <c r="E148" s="126" t="s">
        <v>1004</v>
      </c>
      <c r="F148" s="300" t="s">
        <v>902</v>
      </c>
      <c r="G148" s="300" t="s">
        <v>998</v>
      </c>
      <c r="H148" s="717">
        <v>44924</v>
      </c>
      <c r="I148" s="717">
        <v>54072</v>
      </c>
      <c r="J148" s="728">
        <v>1.6812000000000001E-2</v>
      </c>
      <c r="K148" s="713">
        <v>13.870921344574345</v>
      </c>
      <c r="L148" s="433" t="s">
        <v>1005</v>
      </c>
      <c r="M148" s="635">
        <v>29268246.030000001</v>
      </c>
    </row>
    <row r="149" spans="3:13">
      <c r="C149" s="597" t="s">
        <v>671</v>
      </c>
      <c r="D149" s="126" t="s">
        <v>1010</v>
      </c>
      <c r="E149" s="126" t="s">
        <v>1004</v>
      </c>
      <c r="F149" s="300" t="s">
        <v>902</v>
      </c>
      <c r="G149" s="300" t="s">
        <v>998</v>
      </c>
      <c r="H149" s="717">
        <v>44924</v>
      </c>
      <c r="I149" s="717">
        <v>54072</v>
      </c>
      <c r="J149" s="728">
        <v>2.0549000000000001E-2</v>
      </c>
      <c r="K149" s="713">
        <v>13.868803826984145</v>
      </c>
      <c r="L149" s="433" t="s">
        <v>1005</v>
      </c>
      <c r="M149" s="635">
        <v>106378833.95</v>
      </c>
    </row>
    <row r="150" spans="3:13">
      <c r="C150" s="597" t="s">
        <v>671</v>
      </c>
      <c r="D150" s="126" t="s">
        <v>1013</v>
      </c>
      <c r="E150" s="126" t="s">
        <v>719</v>
      </c>
      <c r="F150" s="300" t="s">
        <v>902</v>
      </c>
      <c r="G150" s="300" t="s">
        <v>998</v>
      </c>
      <c r="H150" s="717">
        <v>45240</v>
      </c>
      <c r="I150" s="717">
        <v>55807</v>
      </c>
      <c r="J150" s="728">
        <v>6.7900000000000002E-2</v>
      </c>
      <c r="K150" s="713">
        <v>17.641899923709712</v>
      </c>
      <c r="L150" s="433" t="s">
        <v>1046</v>
      </c>
      <c r="M150" s="635">
        <v>1027725575.3672</v>
      </c>
    </row>
    <row r="151" spans="3:13">
      <c r="C151" s="597" t="s">
        <v>671</v>
      </c>
      <c r="D151" s="126" t="s">
        <v>1018</v>
      </c>
      <c r="E151" s="126" t="s">
        <v>1017</v>
      </c>
      <c r="F151" s="300" t="s">
        <v>997</v>
      </c>
      <c r="G151" s="300" t="s">
        <v>998</v>
      </c>
      <c r="H151" s="717">
        <v>44550</v>
      </c>
      <c r="I151" s="717">
        <v>45458</v>
      </c>
      <c r="J151" s="736">
        <v>0</v>
      </c>
      <c r="K151" s="713">
        <v>1.1000000000000001</v>
      </c>
      <c r="L151" s="433" t="s">
        <v>1005</v>
      </c>
      <c r="M151" s="635">
        <v>-629417.84903225943</v>
      </c>
    </row>
    <row r="152" spans="3:13">
      <c r="C152" s="597" t="s">
        <v>671</v>
      </c>
      <c r="D152" s="126" t="s">
        <v>1018</v>
      </c>
      <c r="E152" s="126" t="s">
        <v>1017</v>
      </c>
      <c r="F152" s="300" t="s">
        <v>997</v>
      </c>
      <c r="G152" s="300" t="s">
        <v>998</v>
      </c>
      <c r="H152" s="717"/>
      <c r="I152" s="717"/>
      <c r="J152" s="736">
        <v>0</v>
      </c>
      <c r="K152" s="713">
        <v>12.27696525330175</v>
      </c>
      <c r="L152" s="433" t="s">
        <v>1005</v>
      </c>
      <c r="M152" s="635">
        <v>-6183350.0152023137</v>
      </c>
    </row>
    <row r="153" spans="3:13">
      <c r="C153" s="597" t="s">
        <v>671</v>
      </c>
      <c r="D153" s="126" t="s">
        <v>1016</v>
      </c>
      <c r="E153" s="126" t="s">
        <v>1017</v>
      </c>
      <c r="F153" s="300" t="s">
        <v>997</v>
      </c>
      <c r="G153" s="300" t="s">
        <v>998</v>
      </c>
      <c r="H153" s="717">
        <v>44965</v>
      </c>
      <c r="I153" s="717">
        <v>54072</v>
      </c>
      <c r="J153" s="736">
        <v>0</v>
      </c>
      <c r="K153" s="713">
        <v>12.006753042795854</v>
      </c>
      <c r="L153" s="433" t="s">
        <v>1005</v>
      </c>
      <c r="M153" s="635">
        <v>-588993.90667820082</v>
      </c>
    </row>
    <row r="154" spans="3:13">
      <c r="C154" s="597" t="s">
        <v>75</v>
      </c>
      <c r="D154" s="126" t="s">
        <v>1006</v>
      </c>
      <c r="E154" s="126" t="s">
        <v>1007</v>
      </c>
      <c r="F154" s="300" t="s">
        <v>1008</v>
      </c>
      <c r="G154" s="300" t="s">
        <v>1009</v>
      </c>
      <c r="H154" s="717">
        <v>44559</v>
      </c>
      <c r="I154" s="717">
        <v>46385</v>
      </c>
      <c r="J154" s="729">
        <v>1.8499999999999999E-2</v>
      </c>
      <c r="K154" s="713">
        <v>2.0079977464706342</v>
      </c>
      <c r="L154" s="433" t="s">
        <v>1015</v>
      </c>
      <c r="M154" s="635">
        <v>245293705.3123993</v>
      </c>
    </row>
    <row r="155" spans="3:13">
      <c r="C155" s="597" t="s">
        <v>75</v>
      </c>
      <c r="D155" s="126" t="s">
        <v>1006</v>
      </c>
      <c r="E155" s="126" t="s">
        <v>1042</v>
      </c>
      <c r="F155" s="300" t="s">
        <v>1008</v>
      </c>
      <c r="G155" s="300" t="s">
        <v>1009</v>
      </c>
      <c r="H155" s="717">
        <v>44599</v>
      </c>
      <c r="I155" s="717">
        <v>45695</v>
      </c>
      <c r="J155" s="729">
        <v>1.4800000000000001E-2</v>
      </c>
      <c r="K155" s="713">
        <v>0.66901817378653106</v>
      </c>
      <c r="L155" s="433" t="s">
        <v>999</v>
      </c>
      <c r="M155" s="635">
        <v>263154434.80518758</v>
      </c>
    </row>
    <row r="156" spans="3:13">
      <c r="C156" s="597" t="s">
        <v>75</v>
      </c>
      <c r="D156" s="126" t="s">
        <v>1013</v>
      </c>
      <c r="E156" s="126" t="s">
        <v>719</v>
      </c>
      <c r="F156" s="300" t="s">
        <v>1014</v>
      </c>
      <c r="G156" s="300" t="s">
        <v>998</v>
      </c>
      <c r="H156" s="717">
        <v>44560</v>
      </c>
      <c r="I156" s="717">
        <v>46962</v>
      </c>
      <c r="J156" s="737">
        <v>1.7999999999999999E-2</v>
      </c>
      <c r="K156" s="713">
        <v>2.9808470446571946</v>
      </c>
      <c r="L156" s="433" t="s">
        <v>999</v>
      </c>
      <c r="M156" s="635">
        <v>648577511.68000007</v>
      </c>
    </row>
    <row r="157" spans="3:13">
      <c r="C157" s="597" t="s">
        <v>75</v>
      </c>
      <c r="D157" s="126" t="s">
        <v>1006</v>
      </c>
      <c r="E157" s="126" t="s">
        <v>1022</v>
      </c>
      <c r="F157" s="300" t="s">
        <v>1008</v>
      </c>
      <c r="G157" s="300" t="s">
        <v>1009</v>
      </c>
      <c r="H157" s="717">
        <v>44963</v>
      </c>
      <c r="I157" s="717">
        <v>46059</v>
      </c>
      <c r="J157" s="729">
        <v>1.38E-2</v>
      </c>
      <c r="K157" s="713">
        <v>1.6455227484946793</v>
      </c>
      <c r="L157" s="433" t="s">
        <v>999</v>
      </c>
      <c r="M157" s="635">
        <v>204676734.05570626</v>
      </c>
    </row>
    <row r="158" spans="3:13">
      <c r="C158" s="597" t="s">
        <v>75</v>
      </c>
      <c r="D158" s="126" t="s">
        <v>1006</v>
      </c>
      <c r="E158" s="126" t="s">
        <v>1022</v>
      </c>
      <c r="F158" s="300" t="s">
        <v>1008</v>
      </c>
      <c r="G158" s="300" t="s">
        <v>1009</v>
      </c>
      <c r="H158" s="717">
        <v>44963</v>
      </c>
      <c r="I158" s="717">
        <v>46059</v>
      </c>
      <c r="J158" s="729">
        <v>1.38E-2</v>
      </c>
      <c r="K158" s="713">
        <v>1.6455227484946591</v>
      </c>
      <c r="L158" s="433" t="s">
        <v>999</v>
      </c>
      <c r="M158" s="635">
        <v>137821147.58964473</v>
      </c>
    </row>
    <row r="159" spans="3:13">
      <c r="C159" s="718" t="s">
        <v>75</v>
      </c>
      <c r="D159" s="232" t="s">
        <v>1013</v>
      </c>
      <c r="E159" s="719" t="s">
        <v>719</v>
      </c>
      <c r="F159" s="720" t="s">
        <v>902</v>
      </c>
      <c r="G159" s="720" t="s">
        <v>998</v>
      </c>
      <c r="H159" s="717">
        <v>45145</v>
      </c>
      <c r="I159" s="717">
        <v>47679</v>
      </c>
      <c r="J159" s="724">
        <v>6.5000000000000002E-2</v>
      </c>
      <c r="K159" s="713">
        <v>5.508577811567112</v>
      </c>
      <c r="L159" s="717" t="s">
        <v>1015</v>
      </c>
      <c r="M159" s="635">
        <v>208931444.47</v>
      </c>
    </row>
    <row r="160" spans="3:13">
      <c r="C160" s="718" t="s">
        <v>75</v>
      </c>
      <c r="D160" s="232" t="s">
        <v>1013</v>
      </c>
      <c r="E160" s="719" t="s">
        <v>719</v>
      </c>
      <c r="F160" s="720" t="s">
        <v>1014</v>
      </c>
      <c r="G160" s="720" t="s">
        <v>998</v>
      </c>
      <c r="H160" s="717">
        <v>45219</v>
      </c>
      <c r="I160" s="717">
        <v>46294</v>
      </c>
      <c r="J160" s="737">
        <v>1.6E-2</v>
      </c>
      <c r="K160" s="713">
        <v>2.2263764714964256</v>
      </c>
      <c r="L160" s="717" t="s">
        <v>999</v>
      </c>
      <c r="M160" s="635">
        <v>205780013.94</v>
      </c>
    </row>
    <row r="161" spans="3:13">
      <c r="C161" s="718" t="s">
        <v>75</v>
      </c>
      <c r="D161" s="232" t="s">
        <v>1013</v>
      </c>
      <c r="E161" s="719" t="s">
        <v>719</v>
      </c>
      <c r="F161" s="720" t="s">
        <v>902</v>
      </c>
      <c r="G161" s="720" t="s">
        <v>998</v>
      </c>
      <c r="H161" s="717">
        <v>45288</v>
      </c>
      <c r="I161" s="717">
        <v>48928</v>
      </c>
      <c r="J161" s="724">
        <v>6.7500000000000004E-2</v>
      </c>
      <c r="K161" s="713">
        <v>8.6079412090893221</v>
      </c>
      <c r="L161" s="717" t="s">
        <v>1015</v>
      </c>
      <c r="M161" s="635">
        <v>206105007.08000001</v>
      </c>
    </row>
    <row r="162" spans="3:13">
      <c r="C162" s="718" t="s">
        <v>75</v>
      </c>
      <c r="D162" s="232" t="s">
        <v>1013</v>
      </c>
      <c r="E162" s="719" t="s">
        <v>719</v>
      </c>
      <c r="F162" s="720" t="s">
        <v>1014</v>
      </c>
      <c r="G162" s="720" t="s">
        <v>998</v>
      </c>
      <c r="H162" s="717">
        <v>45453</v>
      </c>
      <c r="I162" s="717">
        <v>47252</v>
      </c>
      <c r="J162" s="737">
        <v>1.2E-2</v>
      </c>
      <c r="K162" s="713">
        <v>4.4570328042403462</v>
      </c>
      <c r="L162" s="717" t="s">
        <v>1044</v>
      </c>
      <c r="M162" s="635">
        <v>271668176.62</v>
      </c>
    </row>
    <row r="163" spans="3:13">
      <c r="C163" s="718" t="s">
        <v>75</v>
      </c>
      <c r="D163" s="232" t="s">
        <v>1018</v>
      </c>
      <c r="E163" s="719" t="s">
        <v>1017</v>
      </c>
      <c r="F163" s="720" t="s">
        <v>997</v>
      </c>
      <c r="G163" s="720" t="s">
        <v>998</v>
      </c>
      <c r="H163" s="717">
        <v>45291</v>
      </c>
      <c r="I163" s="717">
        <v>46962</v>
      </c>
      <c r="J163" s="738">
        <v>0</v>
      </c>
      <c r="K163" s="713">
        <v>2.1568888888887767</v>
      </c>
      <c r="L163" s="717" t="s">
        <v>1005</v>
      </c>
      <c r="M163" s="635">
        <v>-2380330.5175202154</v>
      </c>
    </row>
    <row r="164" spans="3:13">
      <c r="C164" s="718" t="s">
        <v>75</v>
      </c>
      <c r="D164" s="232" t="s">
        <v>1018</v>
      </c>
      <c r="E164" s="719" t="s">
        <v>1017</v>
      </c>
      <c r="F164" s="720" t="s">
        <v>997</v>
      </c>
      <c r="G164" s="720" t="s">
        <v>998</v>
      </c>
      <c r="H164" s="717">
        <v>45291</v>
      </c>
      <c r="I164" s="717">
        <v>47679</v>
      </c>
      <c r="J164" s="738">
        <v>0</v>
      </c>
      <c r="K164" s="713">
        <v>3.1292617960425764</v>
      </c>
      <c r="L164" s="717" t="s">
        <v>1005</v>
      </c>
      <c r="M164" s="635">
        <v>-5461680.7497401722</v>
      </c>
    </row>
    <row r="165" spans="3:13">
      <c r="C165" s="718" t="s">
        <v>75</v>
      </c>
      <c r="D165" s="232" t="s">
        <v>1018</v>
      </c>
      <c r="E165" s="719" t="s">
        <v>1017</v>
      </c>
      <c r="F165" s="720" t="s">
        <v>997</v>
      </c>
      <c r="G165" s="720" t="s">
        <v>998</v>
      </c>
      <c r="H165" s="717">
        <v>45291</v>
      </c>
      <c r="I165" s="717">
        <v>46294</v>
      </c>
      <c r="J165" s="738">
        <v>0</v>
      </c>
      <c r="K165" s="713">
        <v>1.1848765432098944</v>
      </c>
      <c r="L165" s="717" t="s">
        <v>1005</v>
      </c>
      <c r="M165" s="635">
        <v>-372381.61172727268</v>
      </c>
    </row>
    <row r="166" spans="3:13">
      <c r="C166" s="718" t="s">
        <v>75</v>
      </c>
      <c r="D166" s="232" t="s">
        <v>1018</v>
      </c>
      <c r="E166" s="719" t="s">
        <v>1017</v>
      </c>
      <c r="F166" s="720" t="s">
        <v>997</v>
      </c>
      <c r="G166" s="720" t="s">
        <v>998</v>
      </c>
      <c r="H166" s="717">
        <v>45291</v>
      </c>
      <c r="I166" s="717">
        <v>48928</v>
      </c>
      <c r="J166" s="738">
        <v>0</v>
      </c>
      <c r="K166" s="713">
        <v>4.8625243664721385</v>
      </c>
      <c r="L166" s="717" t="s">
        <v>1005</v>
      </c>
      <c r="M166" s="635">
        <v>-6883350.0906410273</v>
      </c>
    </row>
    <row r="167" spans="3:13">
      <c r="C167" s="718" t="s">
        <v>75</v>
      </c>
      <c r="D167" s="232" t="s">
        <v>1018</v>
      </c>
      <c r="E167" s="719" t="s">
        <v>1017</v>
      </c>
      <c r="F167" s="720" t="s">
        <v>997</v>
      </c>
      <c r="G167" s="720" t="s">
        <v>998</v>
      </c>
      <c r="H167" s="717">
        <v>45453</v>
      </c>
      <c r="I167" s="717">
        <v>47252</v>
      </c>
      <c r="J167" s="738">
        <v>0</v>
      </c>
      <c r="K167" s="713">
        <v>4.9888888888888889</v>
      </c>
      <c r="L167" s="717"/>
      <c r="M167" s="635">
        <v>-1010511.18</v>
      </c>
    </row>
    <row r="168" spans="3:13">
      <c r="C168" s="718" t="s">
        <v>668</v>
      </c>
      <c r="D168" s="232" t="s">
        <v>1010</v>
      </c>
      <c r="E168" s="719" t="s">
        <v>1012</v>
      </c>
      <c r="F168" s="720" t="s">
        <v>1047</v>
      </c>
      <c r="G168" s="720" t="s">
        <v>998</v>
      </c>
      <c r="H168" s="717">
        <v>43449</v>
      </c>
      <c r="I168" s="717">
        <v>48502</v>
      </c>
      <c r="J168" s="739">
        <v>0</v>
      </c>
      <c r="K168" s="713">
        <v>4.6003688127755797</v>
      </c>
      <c r="L168" s="717"/>
      <c r="M168" s="635">
        <v>798959.1</v>
      </c>
    </row>
    <row r="169" spans="3:13">
      <c r="C169" s="718" t="s">
        <v>668</v>
      </c>
      <c r="D169" s="232" t="s">
        <v>1010</v>
      </c>
      <c r="E169" s="719" t="s">
        <v>1012</v>
      </c>
      <c r="F169" s="720" t="s">
        <v>1047</v>
      </c>
      <c r="G169" s="720" t="s">
        <v>998</v>
      </c>
      <c r="H169" s="717">
        <v>44519</v>
      </c>
      <c r="I169" s="717">
        <v>48714</v>
      </c>
      <c r="J169" s="739">
        <v>0</v>
      </c>
      <c r="K169" s="713">
        <v>4.5571452255529747</v>
      </c>
      <c r="L169" s="717"/>
      <c r="M169" s="635">
        <v>201418.46</v>
      </c>
    </row>
    <row r="170" spans="3:13">
      <c r="C170" s="718" t="s">
        <v>668</v>
      </c>
      <c r="D170" s="232" t="s">
        <v>1010</v>
      </c>
      <c r="E170" s="719" t="s">
        <v>1012</v>
      </c>
      <c r="F170" s="720" t="s">
        <v>1047</v>
      </c>
      <c r="G170" s="720" t="s">
        <v>998</v>
      </c>
      <c r="H170" s="717">
        <v>43084</v>
      </c>
      <c r="I170" s="717">
        <v>47406</v>
      </c>
      <c r="J170" s="739">
        <v>2.0199999999999999E-2</v>
      </c>
      <c r="K170" s="713">
        <v>2.7414727962219332</v>
      </c>
      <c r="L170" s="717"/>
      <c r="M170" s="635">
        <v>6727304.7400000002</v>
      </c>
    </row>
    <row r="171" spans="3:13">
      <c r="C171" s="718" t="s">
        <v>668</v>
      </c>
      <c r="D171" s="232" t="s">
        <v>1010</v>
      </c>
      <c r="E171" s="719" t="s">
        <v>1012</v>
      </c>
      <c r="F171" s="720" t="s">
        <v>1047</v>
      </c>
      <c r="G171" s="720" t="s">
        <v>998</v>
      </c>
      <c r="H171" s="717">
        <v>44883</v>
      </c>
      <c r="I171" s="717">
        <v>48745</v>
      </c>
      <c r="J171" s="739">
        <v>0</v>
      </c>
      <c r="K171" s="713">
        <v>4.9916063445603465</v>
      </c>
      <c r="L171" s="717"/>
      <c r="M171" s="635">
        <v>501702.22219043731</v>
      </c>
    </row>
    <row r="172" spans="3:13">
      <c r="C172" s="718" t="s">
        <v>668</v>
      </c>
      <c r="D172" s="232" t="s">
        <v>1013</v>
      </c>
      <c r="E172" s="719" t="s">
        <v>719</v>
      </c>
      <c r="F172" s="720" t="s">
        <v>902</v>
      </c>
      <c r="G172" s="720" t="s">
        <v>998</v>
      </c>
      <c r="H172" s="717">
        <v>43930</v>
      </c>
      <c r="I172" s="717">
        <v>47467</v>
      </c>
      <c r="J172" s="728">
        <v>7.0599999999999996E-2</v>
      </c>
      <c r="K172" s="713">
        <v>3.1985502290607757</v>
      </c>
      <c r="L172" s="717"/>
      <c r="M172" s="635">
        <v>18209402.690000001</v>
      </c>
    </row>
    <row r="173" spans="3:13">
      <c r="C173" s="718" t="s">
        <v>668</v>
      </c>
      <c r="D173" s="232" t="s">
        <v>1010</v>
      </c>
      <c r="E173" s="719" t="s">
        <v>1012</v>
      </c>
      <c r="F173" s="720" t="s">
        <v>1047</v>
      </c>
      <c r="G173" s="720" t="s">
        <v>998</v>
      </c>
      <c r="H173" s="717">
        <v>43084</v>
      </c>
      <c r="I173" s="717">
        <v>48714</v>
      </c>
      <c r="J173" s="739">
        <v>2.8799999999999999E-2</v>
      </c>
      <c r="K173" s="713">
        <v>4.5528185898671936</v>
      </c>
      <c r="L173" s="717"/>
      <c r="M173" s="635">
        <v>68221792.909999996</v>
      </c>
    </row>
    <row r="174" spans="3:13">
      <c r="C174" s="718" t="s">
        <v>668</v>
      </c>
      <c r="D174" s="232" t="s">
        <v>1010</v>
      </c>
      <c r="E174" s="719" t="s">
        <v>1012</v>
      </c>
      <c r="F174" s="720" t="s">
        <v>1047</v>
      </c>
      <c r="G174" s="720" t="s">
        <v>998</v>
      </c>
      <c r="H174" s="717">
        <v>44545</v>
      </c>
      <c r="I174" s="717">
        <v>48745</v>
      </c>
      <c r="J174" s="739">
        <v>0</v>
      </c>
      <c r="K174" s="713">
        <v>4.914641876491098</v>
      </c>
      <c r="L174" s="717"/>
      <c r="M174" s="635">
        <v>982635.36</v>
      </c>
    </row>
    <row r="175" spans="3:13">
      <c r="C175" s="718" t="s">
        <v>668</v>
      </c>
      <c r="D175" s="232" t="s">
        <v>1010</v>
      </c>
      <c r="E175" s="719" t="s">
        <v>1012</v>
      </c>
      <c r="F175" s="720" t="s">
        <v>1047</v>
      </c>
      <c r="G175" s="720" t="s">
        <v>998</v>
      </c>
      <c r="H175" s="717">
        <v>44454</v>
      </c>
      <c r="I175" s="717">
        <v>48380</v>
      </c>
      <c r="J175" s="739">
        <v>2.6499999999999999E-2</v>
      </c>
      <c r="K175" s="713">
        <v>4.0894448075091834</v>
      </c>
      <c r="L175" s="717"/>
      <c r="M175" s="635">
        <v>42536024.259999998</v>
      </c>
    </row>
    <row r="176" spans="3:13">
      <c r="C176" s="718" t="s">
        <v>668</v>
      </c>
      <c r="D176" s="232" t="s">
        <v>1010</v>
      </c>
      <c r="E176" s="719" t="s">
        <v>1002</v>
      </c>
      <c r="F176" s="720" t="s">
        <v>902</v>
      </c>
      <c r="G176" s="720" t="s">
        <v>998</v>
      </c>
      <c r="H176" s="717">
        <v>43446</v>
      </c>
      <c r="I176" s="717">
        <v>49658</v>
      </c>
      <c r="J176" s="728">
        <v>2.5700000000000001E-2</v>
      </c>
      <c r="K176" s="713">
        <v>6.3574727737707182</v>
      </c>
      <c r="L176" s="717"/>
      <c r="M176" s="635">
        <v>45496053.850000001</v>
      </c>
    </row>
    <row r="177" spans="3:13">
      <c r="C177" s="718" t="s">
        <v>668</v>
      </c>
      <c r="D177" s="232" t="s">
        <v>1010</v>
      </c>
      <c r="E177" s="719" t="s">
        <v>1012</v>
      </c>
      <c r="F177" s="720" t="s">
        <v>1047</v>
      </c>
      <c r="G177" s="720" t="s">
        <v>998</v>
      </c>
      <c r="H177" s="717">
        <v>44545</v>
      </c>
      <c r="I177" s="717">
        <v>48745</v>
      </c>
      <c r="J177" s="739">
        <v>2.5499999999999998E-2</v>
      </c>
      <c r="K177" s="713">
        <v>5.0713410323198538</v>
      </c>
      <c r="L177" s="717"/>
      <c r="M177" s="635">
        <v>67808032.760000005</v>
      </c>
    </row>
    <row r="178" spans="3:13">
      <c r="C178" s="718" t="s">
        <v>668</v>
      </c>
      <c r="D178" s="232" t="s">
        <v>1010</v>
      </c>
      <c r="E178" s="719" t="s">
        <v>1012</v>
      </c>
      <c r="F178" s="720" t="s">
        <v>1047</v>
      </c>
      <c r="G178" s="720" t="s">
        <v>998</v>
      </c>
      <c r="H178" s="717">
        <v>43449</v>
      </c>
      <c r="I178" s="717">
        <v>48502</v>
      </c>
      <c r="J178" s="739">
        <v>2.6499999999999999E-2</v>
      </c>
      <c r="K178" s="713">
        <v>4.7376475641177729</v>
      </c>
      <c r="L178" s="717"/>
      <c r="M178" s="635">
        <v>72549264.25999999</v>
      </c>
    </row>
    <row r="179" spans="3:13">
      <c r="C179" s="718" t="s">
        <v>668</v>
      </c>
      <c r="D179" s="232" t="s">
        <v>1010</v>
      </c>
      <c r="E179" s="719" t="s">
        <v>1002</v>
      </c>
      <c r="F179" s="720" t="s">
        <v>997</v>
      </c>
      <c r="G179" s="720" t="s">
        <v>998</v>
      </c>
      <c r="H179" s="717">
        <v>43431</v>
      </c>
      <c r="I179" s="717">
        <v>48726</v>
      </c>
      <c r="J179" s="740">
        <v>2.5000000000000001E-2</v>
      </c>
      <c r="K179" s="713">
        <v>5.2905742949236201</v>
      </c>
      <c r="L179" s="717"/>
      <c r="M179" s="635">
        <v>24983580.789999999</v>
      </c>
    </row>
    <row r="180" spans="3:13">
      <c r="C180" s="718" t="s">
        <v>668</v>
      </c>
      <c r="D180" s="232" t="s">
        <v>1010</v>
      </c>
      <c r="E180" s="719" t="s">
        <v>1043</v>
      </c>
      <c r="F180" s="720" t="s">
        <v>1014</v>
      </c>
      <c r="G180" s="720" t="s">
        <v>998</v>
      </c>
      <c r="H180" s="717">
        <v>45142</v>
      </c>
      <c r="I180" s="717">
        <v>45492</v>
      </c>
      <c r="J180" s="723">
        <v>1.6E-2</v>
      </c>
      <c r="K180" s="713">
        <v>0</v>
      </c>
      <c r="L180" s="717"/>
      <c r="M180" s="635">
        <v>1.0000000009313226E-2</v>
      </c>
    </row>
    <row r="181" spans="3:13">
      <c r="C181" s="718" t="s">
        <v>668</v>
      </c>
      <c r="D181" s="232" t="s">
        <v>1010</v>
      </c>
      <c r="E181" s="719" t="s">
        <v>1043</v>
      </c>
      <c r="F181" s="720" t="s">
        <v>1014</v>
      </c>
      <c r="G181" s="720" t="s">
        <v>998</v>
      </c>
      <c r="H181" s="717">
        <v>45142</v>
      </c>
      <c r="I181" s="717">
        <v>45492</v>
      </c>
      <c r="J181" s="723">
        <v>1.6E-2</v>
      </c>
      <c r="K181" s="713">
        <v>0</v>
      </c>
      <c r="L181" s="717"/>
      <c r="M181" s="635">
        <v>7.4505805969238281E-9</v>
      </c>
    </row>
    <row r="182" spans="3:13">
      <c r="C182" s="718" t="s">
        <v>668</v>
      </c>
      <c r="D182" s="232" t="s">
        <v>1010</v>
      </c>
      <c r="E182" s="719" t="s">
        <v>1012</v>
      </c>
      <c r="F182" s="720" t="s">
        <v>1047</v>
      </c>
      <c r="G182" s="720" t="s">
        <v>998</v>
      </c>
      <c r="H182" s="717">
        <v>43449</v>
      </c>
      <c r="I182" s="717">
        <v>48502</v>
      </c>
      <c r="J182" s="739">
        <v>2.6499999999999999E-2</v>
      </c>
      <c r="K182" s="713">
        <v>4.7376672228129086</v>
      </c>
      <c r="L182" s="717"/>
      <c r="M182" s="635">
        <v>71114621.580000013</v>
      </c>
    </row>
    <row r="183" spans="3:13">
      <c r="C183" s="718" t="s">
        <v>668</v>
      </c>
      <c r="D183" s="232" t="s">
        <v>1010</v>
      </c>
      <c r="E183" s="719" t="s">
        <v>1012</v>
      </c>
      <c r="F183" s="720" t="s">
        <v>1047</v>
      </c>
      <c r="G183" s="720" t="s">
        <v>998</v>
      </c>
      <c r="H183" s="717">
        <v>43084</v>
      </c>
      <c r="I183" s="717">
        <v>48714</v>
      </c>
      <c r="J183" s="739">
        <v>2.8799999999999999E-2</v>
      </c>
      <c r="K183" s="713">
        <v>4.5528185892757795</v>
      </c>
      <c r="L183" s="717"/>
      <c r="M183" s="635">
        <v>68162887.840000004</v>
      </c>
    </row>
    <row r="184" spans="3:13">
      <c r="C184" s="718" t="s">
        <v>668</v>
      </c>
      <c r="D184" s="232" t="s">
        <v>1010</v>
      </c>
      <c r="E184" s="719" t="s">
        <v>1012</v>
      </c>
      <c r="F184" s="720" t="s">
        <v>1047</v>
      </c>
      <c r="G184" s="720" t="s">
        <v>998</v>
      </c>
      <c r="H184" s="717">
        <v>43084</v>
      </c>
      <c r="I184" s="717">
        <v>48714</v>
      </c>
      <c r="J184" s="739">
        <v>2.8799999999999999E-2</v>
      </c>
      <c r="K184" s="713">
        <v>4.5528185905093572</v>
      </c>
      <c r="L184" s="717"/>
      <c r="M184" s="635">
        <v>72707123.13000001</v>
      </c>
    </row>
    <row r="185" spans="3:13">
      <c r="C185" s="718" t="s">
        <v>668</v>
      </c>
      <c r="D185" s="232" t="s">
        <v>1010</v>
      </c>
      <c r="E185" s="719" t="s">
        <v>1012</v>
      </c>
      <c r="F185" s="720" t="s">
        <v>1047</v>
      </c>
      <c r="G185" s="720" t="s">
        <v>998</v>
      </c>
      <c r="H185" s="717">
        <v>43449</v>
      </c>
      <c r="I185" s="717">
        <v>48714</v>
      </c>
      <c r="J185" s="739">
        <v>0</v>
      </c>
      <c r="K185" s="713">
        <v>4.5571445292247521</v>
      </c>
      <c r="L185" s="717"/>
      <c r="M185" s="635">
        <v>1156030.7300000002</v>
      </c>
    </row>
    <row r="186" spans="3:13">
      <c r="C186" s="718" t="s">
        <v>668</v>
      </c>
      <c r="D186" s="232" t="s">
        <v>1010</v>
      </c>
      <c r="E186" s="719" t="s">
        <v>1012</v>
      </c>
      <c r="F186" s="720" t="s">
        <v>1047</v>
      </c>
      <c r="G186" s="720" t="s">
        <v>998</v>
      </c>
      <c r="H186" s="717">
        <v>44545</v>
      </c>
      <c r="I186" s="717">
        <v>48745</v>
      </c>
      <c r="J186" s="739">
        <v>2.5499999999999998E-2</v>
      </c>
      <c r="K186" s="713">
        <v>5.0713708881807786</v>
      </c>
      <c r="L186" s="717"/>
      <c r="M186" s="635">
        <v>42890080.20000001</v>
      </c>
    </row>
    <row r="187" spans="3:13">
      <c r="C187" s="718" t="s">
        <v>668</v>
      </c>
      <c r="D187" s="232" t="s">
        <v>1010</v>
      </c>
      <c r="E187" s="719" t="s">
        <v>1012</v>
      </c>
      <c r="F187" s="720" t="s">
        <v>997</v>
      </c>
      <c r="G187" s="720" t="s">
        <v>998</v>
      </c>
      <c r="H187" s="717">
        <v>45076</v>
      </c>
      <c r="I187" s="717">
        <v>53676</v>
      </c>
      <c r="J187" s="740">
        <v>7.5700000000000003E-2</v>
      </c>
      <c r="K187" s="713">
        <v>11.453913677566399</v>
      </c>
      <c r="L187" s="717"/>
      <c r="M187" s="635">
        <v>386354322.18000001</v>
      </c>
    </row>
    <row r="188" spans="3:13">
      <c r="C188" s="718" t="s">
        <v>668</v>
      </c>
      <c r="D188" s="232" t="s">
        <v>1013</v>
      </c>
      <c r="E188" s="719" t="s">
        <v>719</v>
      </c>
      <c r="F188" s="720" t="s">
        <v>902</v>
      </c>
      <c r="G188" s="720" t="s">
        <v>998</v>
      </c>
      <c r="H188" s="717">
        <v>44042</v>
      </c>
      <c r="I188" s="717">
        <v>49475</v>
      </c>
      <c r="J188" s="728">
        <v>5.9499999999999997E-2</v>
      </c>
      <c r="K188" s="713">
        <v>6.2632845244288546</v>
      </c>
      <c r="L188" s="717"/>
      <c r="M188" s="635">
        <v>35750980.5</v>
      </c>
    </row>
    <row r="189" spans="3:13">
      <c r="C189" s="718" t="s">
        <v>668</v>
      </c>
      <c r="D189" s="232" t="s">
        <v>1010</v>
      </c>
      <c r="E189" s="719" t="s">
        <v>1043</v>
      </c>
      <c r="F189" s="720" t="s">
        <v>1014</v>
      </c>
      <c r="G189" s="720" t="s">
        <v>998</v>
      </c>
      <c r="H189" s="717">
        <v>45142</v>
      </c>
      <c r="I189" s="717">
        <v>45492</v>
      </c>
      <c r="J189" s="723">
        <v>1.6E-2</v>
      </c>
      <c r="K189" s="713">
        <v>0</v>
      </c>
      <c r="L189" s="717"/>
      <c r="M189" s="635">
        <v>0</v>
      </c>
    </row>
    <row r="190" spans="3:13">
      <c r="C190" s="718" t="s">
        <v>668</v>
      </c>
      <c r="D190" s="232" t="s">
        <v>1010</v>
      </c>
      <c r="E190" s="719" t="s">
        <v>1002</v>
      </c>
      <c r="F190" s="720" t="s">
        <v>902</v>
      </c>
      <c r="G190" s="720" t="s">
        <v>998</v>
      </c>
      <c r="H190" s="717">
        <v>44545</v>
      </c>
      <c r="I190" s="717">
        <v>50145</v>
      </c>
      <c r="J190" s="728">
        <v>2.18E-2</v>
      </c>
      <c r="K190" s="713">
        <v>7.4144510577743654</v>
      </c>
      <c r="L190" s="717"/>
      <c r="M190" s="635">
        <v>90765562.25</v>
      </c>
    </row>
    <row r="191" spans="3:13">
      <c r="C191" s="718" t="s">
        <v>668</v>
      </c>
      <c r="D191" s="232" t="s">
        <v>1010</v>
      </c>
      <c r="E191" s="719" t="s">
        <v>1012</v>
      </c>
      <c r="F191" s="720" t="s">
        <v>1047</v>
      </c>
      <c r="G191" s="720" t="s">
        <v>998</v>
      </c>
      <c r="H191" s="717">
        <v>44545</v>
      </c>
      <c r="I191" s="717">
        <v>47406</v>
      </c>
      <c r="J191" s="739">
        <v>2.0199999999999999E-2</v>
      </c>
      <c r="K191" s="713">
        <v>2.7414548069018769</v>
      </c>
      <c r="L191" s="717"/>
      <c r="M191" s="635">
        <v>13849478.799999999</v>
      </c>
    </row>
    <row r="192" spans="3:13">
      <c r="C192" s="718" t="s">
        <v>668</v>
      </c>
      <c r="D192" s="232" t="s">
        <v>1010</v>
      </c>
      <c r="E192" s="719" t="s">
        <v>1002</v>
      </c>
      <c r="F192" s="720" t="s">
        <v>902</v>
      </c>
      <c r="G192" s="720" t="s">
        <v>998</v>
      </c>
      <c r="H192" s="717">
        <v>44287</v>
      </c>
      <c r="I192" s="717">
        <v>51332</v>
      </c>
      <c r="J192" s="728">
        <v>1.83E-2</v>
      </c>
      <c r="K192" s="713">
        <v>9.0015882382380568</v>
      </c>
      <c r="L192" s="717"/>
      <c r="M192" s="635">
        <v>90481598.74000001</v>
      </c>
    </row>
    <row r="193" spans="3:13">
      <c r="C193" s="718" t="s">
        <v>668</v>
      </c>
      <c r="D193" s="232" t="s">
        <v>1010</v>
      </c>
      <c r="E193" s="719" t="s">
        <v>1012</v>
      </c>
      <c r="F193" s="720" t="s">
        <v>1047</v>
      </c>
      <c r="G193" s="720" t="s">
        <v>998</v>
      </c>
      <c r="H193" s="717">
        <v>44545</v>
      </c>
      <c r="I193" s="717">
        <v>48745</v>
      </c>
      <c r="J193" s="739">
        <v>2.5499999999999998E-2</v>
      </c>
      <c r="K193" s="713">
        <v>5.071341029490072</v>
      </c>
      <c r="L193" s="717"/>
      <c r="M193" s="635">
        <v>48522889.859999999</v>
      </c>
    </row>
    <row r="194" spans="3:13">
      <c r="C194" s="718" t="s">
        <v>668</v>
      </c>
      <c r="D194" s="232" t="s">
        <v>1010</v>
      </c>
      <c r="E194" s="719" t="s">
        <v>1002</v>
      </c>
      <c r="F194" s="720" t="s">
        <v>902</v>
      </c>
      <c r="G194" s="720" t="s">
        <v>998</v>
      </c>
      <c r="H194" s="717">
        <v>43440</v>
      </c>
      <c r="I194" s="717">
        <v>49658</v>
      </c>
      <c r="J194" s="728">
        <v>2.5700000000000001E-2</v>
      </c>
      <c r="K194" s="713">
        <v>6.5500327558332074</v>
      </c>
      <c r="L194" s="717"/>
      <c r="M194" s="635">
        <v>112375953.14999999</v>
      </c>
    </row>
    <row r="195" spans="3:13">
      <c r="C195" s="718" t="s">
        <v>668</v>
      </c>
      <c r="D195" s="232" t="s">
        <v>1010</v>
      </c>
      <c r="E195" s="719" t="s">
        <v>1043</v>
      </c>
      <c r="F195" s="720" t="s">
        <v>1014</v>
      </c>
      <c r="G195" s="720" t="s">
        <v>998</v>
      </c>
      <c r="H195" s="717">
        <v>45191</v>
      </c>
      <c r="I195" s="717">
        <v>45554</v>
      </c>
      <c r="J195" s="723">
        <v>1.6500000000000001E-2</v>
      </c>
      <c r="K195" s="713">
        <v>0</v>
      </c>
      <c r="L195" s="717"/>
      <c r="M195" s="635">
        <v>-1.0000000009313226E-2</v>
      </c>
    </row>
    <row r="196" spans="3:13">
      <c r="C196" s="718" t="s">
        <v>668</v>
      </c>
      <c r="D196" s="232" t="s">
        <v>1010</v>
      </c>
      <c r="E196" s="719" t="s">
        <v>1012</v>
      </c>
      <c r="F196" s="720" t="s">
        <v>1047</v>
      </c>
      <c r="G196" s="720" t="s">
        <v>998</v>
      </c>
      <c r="H196" s="717">
        <v>44545</v>
      </c>
      <c r="I196" s="717">
        <v>48745</v>
      </c>
      <c r="J196" s="739">
        <v>2.5499999999999998E-2</v>
      </c>
      <c r="K196" s="713">
        <v>5.0713679016629811</v>
      </c>
      <c r="L196" s="717"/>
      <c r="M196" s="635">
        <v>2295684.8000000003</v>
      </c>
    </row>
    <row r="197" spans="3:13">
      <c r="C197" s="718" t="s">
        <v>668</v>
      </c>
      <c r="D197" s="232" t="s">
        <v>1010</v>
      </c>
      <c r="E197" s="719" t="s">
        <v>1043</v>
      </c>
      <c r="F197" s="720" t="s">
        <v>1014</v>
      </c>
      <c r="G197" s="720" t="s">
        <v>998</v>
      </c>
      <c r="H197" s="717">
        <v>45191</v>
      </c>
      <c r="I197" s="717">
        <v>45554</v>
      </c>
      <c r="J197" s="723">
        <v>1.6500000000000001E-2</v>
      </c>
      <c r="K197" s="713">
        <v>0</v>
      </c>
      <c r="L197" s="717"/>
      <c r="M197" s="635">
        <v>0</v>
      </c>
    </row>
    <row r="198" spans="3:13">
      <c r="C198" s="718" t="s">
        <v>668</v>
      </c>
      <c r="D198" s="232" t="s">
        <v>1010</v>
      </c>
      <c r="E198" s="719" t="s">
        <v>1012</v>
      </c>
      <c r="F198" s="720" t="s">
        <v>1047</v>
      </c>
      <c r="G198" s="720" t="s">
        <v>998</v>
      </c>
      <c r="H198" s="717">
        <v>44545</v>
      </c>
      <c r="I198" s="717">
        <v>48745</v>
      </c>
      <c r="J198" s="739">
        <v>2.5499999999999998E-2</v>
      </c>
      <c r="K198" s="713">
        <v>5.0713708817908909</v>
      </c>
      <c r="L198" s="717"/>
      <c r="M198" s="635">
        <v>44755061.619999997</v>
      </c>
    </row>
    <row r="199" spans="3:13">
      <c r="C199" s="718" t="s">
        <v>668</v>
      </c>
      <c r="D199" s="232" t="s">
        <v>1010</v>
      </c>
      <c r="E199" s="719" t="s">
        <v>1002</v>
      </c>
      <c r="F199" s="720" t="s">
        <v>902</v>
      </c>
      <c r="G199" s="720" t="s">
        <v>998</v>
      </c>
      <c r="H199" s="717">
        <v>44545</v>
      </c>
      <c r="I199" s="717">
        <v>50359</v>
      </c>
      <c r="J199" s="728">
        <v>2.1100000000000001E-2</v>
      </c>
      <c r="K199" s="713">
        <v>7.6797112348916521</v>
      </c>
      <c r="L199" s="717"/>
      <c r="M199" s="635">
        <v>66179886.960000001</v>
      </c>
    </row>
    <row r="200" spans="3:13">
      <c r="C200" s="718" t="s">
        <v>668</v>
      </c>
      <c r="D200" s="232" t="s">
        <v>1013</v>
      </c>
      <c r="E200" s="719" t="s">
        <v>719</v>
      </c>
      <c r="F200" s="720" t="s">
        <v>902</v>
      </c>
      <c r="G200" s="720" t="s">
        <v>998</v>
      </c>
      <c r="H200" s="717">
        <v>43316</v>
      </c>
      <c r="I200" s="717">
        <v>48426</v>
      </c>
      <c r="J200" s="728">
        <v>7.6399999999999996E-2</v>
      </c>
      <c r="K200" s="713">
        <v>3.6000768338252276</v>
      </c>
      <c r="L200" s="717"/>
      <c r="M200" s="635">
        <v>48720942.809999995</v>
      </c>
    </row>
    <row r="201" spans="3:13">
      <c r="C201" s="718" t="s">
        <v>668</v>
      </c>
      <c r="D201" s="232" t="s">
        <v>1010</v>
      </c>
      <c r="E201" s="719" t="s">
        <v>1003</v>
      </c>
      <c r="F201" s="720" t="s">
        <v>902</v>
      </c>
      <c r="G201" s="720" t="s">
        <v>998</v>
      </c>
      <c r="H201" s="717">
        <v>44295</v>
      </c>
      <c r="I201" s="717">
        <v>51318</v>
      </c>
      <c r="J201" s="728">
        <v>9.5999999999999992E-3</v>
      </c>
      <c r="K201" s="713">
        <v>7.9497635264152144</v>
      </c>
      <c r="L201" s="717"/>
      <c r="M201" s="635">
        <v>61338470.710000001</v>
      </c>
    </row>
    <row r="202" spans="3:13">
      <c r="C202" s="718" t="s">
        <v>668</v>
      </c>
      <c r="D202" s="232" t="s">
        <v>1010</v>
      </c>
      <c r="E202" s="719" t="s">
        <v>1012</v>
      </c>
      <c r="F202" s="720" t="s">
        <v>1047</v>
      </c>
      <c r="G202" s="720" t="s">
        <v>998</v>
      </c>
      <c r="H202" s="717">
        <v>44545</v>
      </c>
      <c r="I202" s="717">
        <v>47406</v>
      </c>
      <c r="J202" s="739">
        <v>2.18E-2</v>
      </c>
      <c r="K202" s="713">
        <v>2.7413208856865618</v>
      </c>
      <c r="L202" s="717"/>
      <c r="M202" s="635">
        <v>4245721.8599999994</v>
      </c>
    </row>
    <row r="203" spans="3:13">
      <c r="C203" s="718" t="s">
        <v>668</v>
      </c>
      <c r="D203" s="232" t="s">
        <v>1010</v>
      </c>
      <c r="E203" s="719" t="s">
        <v>1012</v>
      </c>
      <c r="F203" s="720" t="s">
        <v>1047</v>
      </c>
      <c r="G203" s="720" t="s">
        <v>998</v>
      </c>
      <c r="H203" s="717">
        <v>43084</v>
      </c>
      <c r="I203" s="717">
        <v>47406</v>
      </c>
      <c r="J203" s="739">
        <v>2.0199999999999999E-2</v>
      </c>
      <c r="K203" s="713">
        <v>2.741472784465643</v>
      </c>
      <c r="L203" s="717"/>
      <c r="M203" s="635">
        <v>2403174.6500000004</v>
      </c>
    </row>
    <row r="204" spans="3:13">
      <c r="C204" s="718" t="s">
        <v>668</v>
      </c>
      <c r="D204" s="232" t="s">
        <v>1010</v>
      </c>
      <c r="E204" s="719" t="s">
        <v>1043</v>
      </c>
      <c r="F204" s="720" t="s">
        <v>1014</v>
      </c>
      <c r="G204" s="720" t="s">
        <v>998</v>
      </c>
      <c r="H204" s="717">
        <v>45191</v>
      </c>
      <c r="I204" s="717">
        <v>45554</v>
      </c>
      <c r="J204" s="723">
        <v>1.6500000000000001E-2</v>
      </c>
      <c r="K204" s="713">
        <v>0.25555555555555554</v>
      </c>
      <c r="L204" s="717"/>
      <c r="M204" s="635">
        <v>71376605.219999999</v>
      </c>
    </row>
    <row r="205" spans="3:13">
      <c r="C205" s="718" t="s">
        <v>668</v>
      </c>
      <c r="D205" s="232" t="s">
        <v>1013</v>
      </c>
      <c r="E205" s="719" t="s">
        <v>719</v>
      </c>
      <c r="F205" s="720" t="s">
        <v>902</v>
      </c>
      <c r="G205" s="720" t="s">
        <v>998</v>
      </c>
      <c r="H205" s="717">
        <v>44042</v>
      </c>
      <c r="I205" s="717">
        <v>49475</v>
      </c>
      <c r="J205" s="728">
        <v>5.9499999999999997E-2</v>
      </c>
      <c r="K205" s="713">
        <v>6.0952507946718271</v>
      </c>
      <c r="L205" s="717"/>
      <c r="M205" s="635">
        <v>37329221.490000002</v>
      </c>
    </row>
    <row r="206" spans="3:13">
      <c r="C206" s="718" t="s">
        <v>668</v>
      </c>
      <c r="D206" s="232" t="s">
        <v>1010</v>
      </c>
      <c r="E206" s="719" t="s">
        <v>1043</v>
      </c>
      <c r="F206" s="720" t="s">
        <v>1014</v>
      </c>
      <c r="G206" s="720" t="s">
        <v>998</v>
      </c>
      <c r="H206" s="717">
        <v>45191</v>
      </c>
      <c r="I206" s="717">
        <v>45554</v>
      </c>
      <c r="J206" s="723">
        <v>1.6500000000000001E-2</v>
      </c>
      <c r="K206" s="713">
        <v>0</v>
      </c>
      <c r="L206" s="717"/>
      <c r="M206" s="635">
        <v>-1.0000000009313226E-2</v>
      </c>
    </row>
    <row r="207" spans="3:13">
      <c r="C207" s="718" t="s">
        <v>668</v>
      </c>
      <c r="D207" s="232" t="s">
        <v>1013</v>
      </c>
      <c r="E207" s="719" t="s">
        <v>719</v>
      </c>
      <c r="F207" s="720" t="s">
        <v>902</v>
      </c>
      <c r="G207" s="720" t="s">
        <v>998</v>
      </c>
      <c r="H207" s="717">
        <v>42853</v>
      </c>
      <c r="I207" s="717">
        <v>47771</v>
      </c>
      <c r="J207" s="728">
        <v>0.08</v>
      </c>
      <c r="K207" s="713">
        <v>3.6718663231466859</v>
      </c>
      <c r="L207" s="717"/>
      <c r="M207" s="635">
        <v>190022250.21999997</v>
      </c>
    </row>
    <row r="208" spans="3:13">
      <c r="C208" s="718" t="s">
        <v>668</v>
      </c>
      <c r="D208" s="232" t="s">
        <v>1013</v>
      </c>
      <c r="E208" s="719" t="s">
        <v>719</v>
      </c>
      <c r="F208" s="720" t="s">
        <v>902</v>
      </c>
      <c r="G208" s="720" t="s">
        <v>998</v>
      </c>
      <c r="H208" s="717">
        <v>43997</v>
      </c>
      <c r="I208" s="717">
        <v>47651</v>
      </c>
      <c r="J208" s="728">
        <v>6.9000000000000006E-2</v>
      </c>
      <c r="K208" s="713">
        <v>3.7194391015241006</v>
      </c>
      <c r="L208" s="717"/>
      <c r="M208" s="635">
        <v>221860217.02999997</v>
      </c>
    </row>
    <row r="209" spans="3:13">
      <c r="C209" s="718" t="s">
        <v>668</v>
      </c>
      <c r="D209" s="232" t="s">
        <v>1013</v>
      </c>
      <c r="E209" s="719" t="s">
        <v>719</v>
      </c>
      <c r="F209" s="720" t="s">
        <v>902</v>
      </c>
      <c r="G209" s="720" t="s">
        <v>998</v>
      </c>
      <c r="H209" s="717">
        <v>44224</v>
      </c>
      <c r="I209" s="717">
        <v>47863</v>
      </c>
      <c r="J209" s="728">
        <v>4.7500000000000001E-2</v>
      </c>
      <c r="K209" s="713">
        <v>3.4018577414382891</v>
      </c>
      <c r="L209" s="717"/>
      <c r="M209" s="635">
        <v>94854100.940000013</v>
      </c>
    </row>
    <row r="210" spans="3:13">
      <c r="C210" s="718" t="s">
        <v>668</v>
      </c>
      <c r="D210" s="232" t="s">
        <v>1010</v>
      </c>
      <c r="E210" s="719" t="s">
        <v>1043</v>
      </c>
      <c r="F210" s="720" t="s">
        <v>1014</v>
      </c>
      <c r="G210" s="720" t="s">
        <v>998</v>
      </c>
      <c r="H210" s="717">
        <v>45145</v>
      </c>
      <c r="I210" s="717">
        <v>45492</v>
      </c>
      <c r="J210" s="723">
        <v>1.6E-2</v>
      </c>
      <c r="K210" s="713">
        <v>0</v>
      </c>
      <c r="L210" s="717"/>
      <c r="M210" s="635">
        <v>0</v>
      </c>
    </row>
    <row r="211" spans="3:13">
      <c r="C211" s="718" t="s">
        <v>668</v>
      </c>
      <c r="D211" s="232" t="s">
        <v>1010</v>
      </c>
      <c r="E211" s="719" t="s">
        <v>1002</v>
      </c>
      <c r="F211" s="720" t="s">
        <v>902</v>
      </c>
      <c r="G211" s="720" t="s">
        <v>998</v>
      </c>
      <c r="H211" s="717">
        <v>44545</v>
      </c>
      <c r="I211" s="717">
        <v>50754</v>
      </c>
      <c r="J211" s="728">
        <v>2.5700000000000001E-2</v>
      </c>
      <c r="K211" s="713">
        <v>7.9749593702484267</v>
      </c>
      <c r="L211" s="717"/>
      <c r="M211" s="635">
        <v>115081207.05999999</v>
      </c>
    </row>
    <row r="212" spans="3:13">
      <c r="C212" s="718" t="s">
        <v>668</v>
      </c>
      <c r="D212" s="232" t="s">
        <v>1010</v>
      </c>
      <c r="E212" s="719" t="s">
        <v>1043</v>
      </c>
      <c r="F212" s="720" t="s">
        <v>1014</v>
      </c>
      <c r="G212" s="720" t="s">
        <v>998</v>
      </c>
      <c r="H212" s="717">
        <v>45191</v>
      </c>
      <c r="I212" s="717">
        <v>45554</v>
      </c>
      <c r="J212" s="723">
        <v>1.6500000000000001E-2</v>
      </c>
      <c r="K212" s="713">
        <v>0</v>
      </c>
      <c r="L212" s="717"/>
      <c r="M212" s="635">
        <v>0</v>
      </c>
    </row>
    <row r="213" spans="3:13">
      <c r="C213" s="718" t="s">
        <v>668</v>
      </c>
      <c r="D213" s="232" t="s">
        <v>1010</v>
      </c>
      <c r="E213" s="719" t="s">
        <v>1002</v>
      </c>
      <c r="F213" s="720" t="s">
        <v>902</v>
      </c>
      <c r="G213" s="720" t="s">
        <v>998</v>
      </c>
      <c r="H213" s="717">
        <v>44545</v>
      </c>
      <c r="I213" s="717">
        <v>50145</v>
      </c>
      <c r="J213" s="728">
        <v>2.1100000000000001E-2</v>
      </c>
      <c r="K213" s="713">
        <v>7.3690050193276369</v>
      </c>
      <c r="L213" s="717"/>
      <c r="M213" s="635">
        <v>56424925.829999998</v>
      </c>
    </row>
    <row r="214" spans="3:13">
      <c r="C214" s="718" t="s">
        <v>668</v>
      </c>
      <c r="D214" s="232" t="s">
        <v>1010</v>
      </c>
      <c r="E214" s="719" t="s">
        <v>1012</v>
      </c>
      <c r="F214" s="720" t="s">
        <v>1047</v>
      </c>
      <c r="G214" s="720" t="s">
        <v>998</v>
      </c>
      <c r="H214" s="717">
        <v>43449</v>
      </c>
      <c r="I214" s="717">
        <v>48502</v>
      </c>
      <c r="J214" s="739">
        <v>2.6499999999999999E-2</v>
      </c>
      <c r="K214" s="713">
        <v>4.7376948348063399</v>
      </c>
      <c r="L214" s="717"/>
      <c r="M214" s="635">
        <v>45691698.989999995</v>
      </c>
    </row>
    <row r="215" spans="3:13">
      <c r="C215" s="718" t="s">
        <v>668</v>
      </c>
      <c r="D215" s="232" t="s">
        <v>1010</v>
      </c>
      <c r="E215" s="719" t="s">
        <v>1012</v>
      </c>
      <c r="F215" s="720" t="s">
        <v>1047</v>
      </c>
      <c r="G215" s="720" t="s">
        <v>998</v>
      </c>
      <c r="H215" s="717">
        <v>44484</v>
      </c>
      <c r="I215" s="717">
        <v>48502</v>
      </c>
      <c r="J215" s="739">
        <v>0</v>
      </c>
      <c r="K215" s="713">
        <v>4.6003524238541811</v>
      </c>
      <c r="L215" s="717"/>
      <c r="M215" s="635">
        <v>429508.25</v>
      </c>
    </row>
    <row r="216" spans="3:13">
      <c r="C216" s="718" t="s">
        <v>668</v>
      </c>
      <c r="D216" s="232" t="s">
        <v>1010</v>
      </c>
      <c r="E216" s="719" t="s">
        <v>1012</v>
      </c>
      <c r="F216" s="720" t="s">
        <v>1047</v>
      </c>
      <c r="G216" s="720" t="s">
        <v>998</v>
      </c>
      <c r="H216" s="717">
        <v>43084</v>
      </c>
      <c r="I216" s="717">
        <v>48714</v>
      </c>
      <c r="J216" s="739">
        <v>2.8799999999999999E-2</v>
      </c>
      <c r="K216" s="713">
        <v>4.5528185887051427</v>
      </c>
      <c r="L216" s="717"/>
      <c r="M216" s="635">
        <v>68162245.829999998</v>
      </c>
    </row>
    <row r="217" spans="3:13">
      <c r="C217" s="718" t="s">
        <v>668</v>
      </c>
      <c r="D217" s="232" t="s">
        <v>1013</v>
      </c>
      <c r="E217" s="719" t="s">
        <v>719</v>
      </c>
      <c r="F217" s="720" t="s">
        <v>902</v>
      </c>
      <c r="G217" s="720" t="s">
        <v>998</v>
      </c>
      <c r="H217" s="717">
        <v>43845</v>
      </c>
      <c r="I217" s="717">
        <v>46949</v>
      </c>
      <c r="J217" s="728">
        <v>0.09</v>
      </c>
      <c r="K217" s="713">
        <v>2.4445431116895633</v>
      </c>
      <c r="L217" s="717"/>
      <c r="M217" s="635">
        <v>64592133.940000005</v>
      </c>
    </row>
    <row r="218" spans="3:13">
      <c r="C218" s="718" t="s">
        <v>668</v>
      </c>
      <c r="D218" s="232" t="s">
        <v>1010</v>
      </c>
      <c r="E218" s="719" t="s">
        <v>1043</v>
      </c>
      <c r="F218" s="720" t="s">
        <v>1014</v>
      </c>
      <c r="G218" s="720" t="s">
        <v>998</v>
      </c>
      <c r="H218" s="717">
        <v>45142</v>
      </c>
      <c r="I218" s="717">
        <v>45492</v>
      </c>
      <c r="J218" s="723">
        <v>1.6E-2</v>
      </c>
      <c r="K218" s="713">
        <v>0</v>
      </c>
      <c r="L218" s="717"/>
      <c r="M218" s="635">
        <v>0</v>
      </c>
    </row>
    <row r="219" spans="3:13">
      <c r="C219" s="718" t="s">
        <v>668</v>
      </c>
      <c r="D219" s="232" t="s">
        <v>1010</v>
      </c>
      <c r="E219" s="719" t="s">
        <v>1002</v>
      </c>
      <c r="F219" s="720" t="s">
        <v>902</v>
      </c>
      <c r="G219" s="720" t="s">
        <v>998</v>
      </c>
      <c r="H219" s="717">
        <v>44545</v>
      </c>
      <c r="I219" s="717">
        <v>50479</v>
      </c>
      <c r="J219" s="728">
        <v>2.18E-2</v>
      </c>
      <c r="K219" s="713">
        <v>7.4786202248761482</v>
      </c>
      <c r="L219" s="717"/>
      <c r="M219" s="635">
        <v>65146873.690000005</v>
      </c>
    </row>
    <row r="220" spans="3:13">
      <c r="C220" s="718" t="s">
        <v>668</v>
      </c>
      <c r="D220" s="232" t="s">
        <v>1010</v>
      </c>
      <c r="E220" s="719" t="s">
        <v>1012</v>
      </c>
      <c r="F220" s="720" t="s">
        <v>1047</v>
      </c>
      <c r="G220" s="720" t="s">
        <v>998</v>
      </c>
      <c r="H220" s="717">
        <v>44545</v>
      </c>
      <c r="I220" s="717">
        <v>48745</v>
      </c>
      <c r="J220" s="739">
        <v>2.5499999999999998E-2</v>
      </c>
      <c r="K220" s="713">
        <v>5.0713679420544695</v>
      </c>
      <c r="L220" s="717"/>
      <c r="M220" s="635">
        <v>61754527.279999994</v>
      </c>
    </row>
    <row r="221" spans="3:13">
      <c r="C221" s="718" t="s">
        <v>668</v>
      </c>
      <c r="D221" s="232" t="s">
        <v>1010</v>
      </c>
      <c r="E221" s="719" t="s">
        <v>1012</v>
      </c>
      <c r="F221" s="720" t="s">
        <v>1047</v>
      </c>
      <c r="G221" s="720" t="s">
        <v>998</v>
      </c>
      <c r="H221" s="717">
        <v>43814</v>
      </c>
      <c r="I221" s="717">
        <v>48714</v>
      </c>
      <c r="J221" s="739">
        <v>0</v>
      </c>
      <c r="K221" s="713">
        <v>4.5571446299007219</v>
      </c>
      <c r="L221" s="717"/>
      <c r="M221" s="635">
        <v>579119.14</v>
      </c>
    </row>
    <row r="222" spans="3:13">
      <c r="C222" s="718" t="s">
        <v>668</v>
      </c>
      <c r="D222" s="232" t="s">
        <v>1010</v>
      </c>
      <c r="E222" s="719" t="s">
        <v>1003</v>
      </c>
      <c r="F222" s="720" t="s">
        <v>902</v>
      </c>
      <c r="G222" s="720" t="s">
        <v>998</v>
      </c>
      <c r="H222" s="717">
        <v>44295</v>
      </c>
      <c r="I222" s="717">
        <v>51318</v>
      </c>
      <c r="J222" s="728">
        <v>9.5999999999999992E-3</v>
      </c>
      <c r="K222" s="713">
        <v>7.949796110424237</v>
      </c>
      <c r="L222" s="717"/>
      <c r="M222" s="635">
        <v>99660371.329999998</v>
      </c>
    </row>
    <row r="223" spans="3:13">
      <c r="C223" s="718" t="s">
        <v>668</v>
      </c>
      <c r="D223" s="232" t="s">
        <v>1013</v>
      </c>
      <c r="E223" s="719" t="s">
        <v>719</v>
      </c>
      <c r="F223" s="720" t="s">
        <v>902</v>
      </c>
      <c r="G223" s="720" t="s">
        <v>998</v>
      </c>
      <c r="H223" s="717">
        <v>44279</v>
      </c>
      <c r="I223" s="717">
        <v>49658</v>
      </c>
      <c r="J223" s="728">
        <v>5.2900000000000003E-2</v>
      </c>
      <c r="K223" s="713">
        <v>8.6509690988572814</v>
      </c>
      <c r="L223" s="717"/>
      <c r="M223" s="635">
        <v>126984660.47000001</v>
      </c>
    </row>
    <row r="224" spans="3:13">
      <c r="C224" s="718" t="s">
        <v>668</v>
      </c>
      <c r="D224" s="232" t="s">
        <v>1010</v>
      </c>
      <c r="E224" s="719" t="s">
        <v>1012</v>
      </c>
      <c r="F224" s="720" t="s">
        <v>1047</v>
      </c>
      <c r="G224" s="720" t="s">
        <v>998</v>
      </c>
      <c r="H224" s="717">
        <v>44545</v>
      </c>
      <c r="I224" s="717">
        <v>48745</v>
      </c>
      <c r="J224" s="739">
        <v>2.5499999999999998E-2</v>
      </c>
      <c r="K224" s="713">
        <v>5.0713708826610953</v>
      </c>
      <c r="L224" s="717"/>
      <c r="M224" s="635">
        <v>31602629</v>
      </c>
    </row>
    <row r="225" spans="3:13">
      <c r="C225" s="718" t="s">
        <v>668</v>
      </c>
      <c r="D225" s="232" t="s">
        <v>1010</v>
      </c>
      <c r="E225" s="719" t="s">
        <v>1012</v>
      </c>
      <c r="F225" s="720" t="s">
        <v>1047</v>
      </c>
      <c r="G225" s="720" t="s">
        <v>998</v>
      </c>
      <c r="H225" s="717">
        <v>44454</v>
      </c>
      <c r="I225" s="717">
        <v>48380</v>
      </c>
      <c r="J225" s="739">
        <v>2.6499999999999999E-2</v>
      </c>
      <c r="K225" s="713">
        <v>4.0894584780671313</v>
      </c>
      <c r="L225" s="717"/>
      <c r="M225" s="635">
        <v>29661470.549999997</v>
      </c>
    </row>
    <row r="226" spans="3:13">
      <c r="C226" s="718" t="s">
        <v>668</v>
      </c>
      <c r="D226" s="232" t="s">
        <v>1010</v>
      </c>
      <c r="E226" s="719" t="s">
        <v>1012</v>
      </c>
      <c r="F226" s="720" t="s">
        <v>1047</v>
      </c>
      <c r="G226" s="720" t="s">
        <v>998</v>
      </c>
      <c r="H226" s="717">
        <v>44545</v>
      </c>
      <c r="I226" s="717">
        <v>48745</v>
      </c>
      <c r="J226" s="739">
        <v>0</v>
      </c>
      <c r="K226" s="713">
        <v>4.9146418511804866</v>
      </c>
      <c r="L226" s="717"/>
      <c r="M226" s="635">
        <v>1378888.0000000002</v>
      </c>
    </row>
    <row r="227" spans="3:13">
      <c r="C227" s="718" t="s">
        <v>668</v>
      </c>
      <c r="D227" s="232" t="s">
        <v>1010</v>
      </c>
      <c r="E227" s="719" t="s">
        <v>1043</v>
      </c>
      <c r="F227" s="720" t="s">
        <v>1014</v>
      </c>
      <c r="G227" s="720" t="s">
        <v>998</v>
      </c>
      <c r="H227" s="717">
        <v>45191</v>
      </c>
      <c r="I227" s="717">
        <v>45554</v>
      </c>
      <c r="J227" s="723">
        <v>1.6500000000000001E-2</v>
      </c>
      <c r="K227" s="713">
        <v>0</v>
      </c>
      <c r="L227" s="717"/>
      <c r="M227" s="635">
        <v>0</v>
      </c>
    </row>
    <row r="228" spans="3:13">
      <c r="C228" s="718" t="s">
        <v>668</v>
      </c>
      <c r="D228" s="232" t="s">
        <v>1010</v>
      </c>
      <c r="E228" s="719" t="s">
        <v>1043</v>
      </c>
      <c r="F228" s="720" t="s">
        <v>1014</v>
      </c>
      <c r="G228" s="720" t="s">
        <v>998</v>
      </c>
      <c r="H228" s="717">
        <v>45142</v>
      </c>
      <c r="I228" s="717">
        <v>45492</v>
      </c>
      <c r="J228" s="723">
        <v>1.6E-2</v>
      </c>
      <c r="K228" s="713">
        <v>0</v>
      </c>
      <c r="L228" s="717"/>
      <c r="M228" s="635">
        <v>7.4505805969238281E-9</v>
      </c>
    </row>
    <row r="229" spans="3:13">
      <c r="C229" s="718" t="s">
        <v>668</v>
      </c>
      <c r="D229" s="232" t="s">
        <v>1010</v>
      </c>
      <c r="E229" s="719" t="s">
        <v>1012</v>
      </c>
      <c r="F229" s="720" t="s">
        <v>1047</v>
      </c>
      <c r="G229" s="720" t="s">
        <v>998</v>
      </c>
      <c r="H229" s="717">
        <v>44545</v>
      </c>
      <c r="I229" s="717">
        <v>48502</v>
      </c>
      <c r="J229" s="739">
        <v>0</v>
      </c>
      <c r="K229" s="713">
        <v>4.600368404865832</v>
      </c>
      <c r="L229" s="717"/>
      <c r="M229" s="635">
        <v>133440.74000000002</v>
      </c>
    </row>
    <row r="230" spans="3:13">
      <c r="C230" s="718" t="s">
        <v>668</v>
      </c>
      <c r="D230" s="232" t="s">
        <v>1010</v>
      </c>
      <c r="E230" s="719" t="s">
        <v>1012</v>
      </c>
      <c r="F230" s="720" t="s">
        <v>1047</v>
      </c>
      <c r="G230" s="720" t="s">
        <v>998</v>
      </c>
      <c r="H230" s="717">
        <v>43084</v>
      </c>
      <c r="I230" s="717">
        <v>48714</v>
      </c>
      <c r="J230" s="739">
        <v>2.8799999999999999E-2</v>
      </c>
      <c r="K230" s="713">
        <v>4.5528185905093572</v>
      </c>
      <c r="L230" s="717"/>
      <c r="M230" s="635">
        <v>72707123.13000001</v>
      </c>
    </row>
    <row r="231" spans="3:13">
      <c r="C231" s="718" t="s">
        <v>668</v>
      </c>
      <c r="D231" s="232" t="s">
        <v>1010</v>
      </c>
      <c r="E231" s="719" t="s">
        <v>1002</v>
      </c>
      <c r="F231" s="720" t="s">
        <v>902</v>
      </c>
      <c r="G231" s="720" t="s">
        <v>998</v>
      </c>
      <c r="H231" s="717">
        <v>44545</v>
      </c>
      <c r="I231" s="717">
        <v>50754</v>
      </c>
      <c r="J231" s="728">
        <v>2.5700000000000001E-2</v>
      </c>
      <c r="K231" s="713">
        <v>7.5724810971945367</v>
      </c>
      <c r="L231" s="717"/>
      <c r="M231" s="635">
        <v>72979965.290000007</v>
      </c>
    </row>
    <row r="232" spans="3:13">
      <c r="C232" s="718" t="s">
        <v>668</v>
      </c>
      <c r="D232" s="232" t="s">
        <v>1010</v>
      </c>
      <c r="E232" s="719" t="s">
        <v>1002</v>
      </c>
      <c r="F232" s="720" t="s">
        <v>902</v>
      </c>
      <c r="G232" s="720" t="s">
        <v>998</v>
      </c>
      <c r="H232" s="717">
        <v>44545</v>
      </c>
      <c r="I232" s="717">
        <v>50754</v>
      </c>
      <c r="J232" s="728">
        <v>2.6700000000000002E-2</v>
      </c>
      <c r="K232" s="713">
        <v>8.4649023470463156</v>
      </c>
      <c r="L232" s="717"/>
      <c r="M232" s="635">
        <v>125137979.5</v>
      </c>
    </row>
    <row r="233" spans="3:13">
      <c r="C233" s="718" t="s">
        <v>668</v>
      </c>
      <c r="D233" s="232" t="s">
        <v>1010</v>
      </c>
      <c r="E233" s="719" t="s">
        <v>1012</v>
      </c>
      <c r="F233" s="720" t="s">
        <v>1047</v>
      </c>
      <c r="G233" s="720" t="s">
        <v>998</v>
      </c>
      <c r="H233" s="717">
        <v>44545</v>
      </c>
      <c r="I233" s="717">
        <v>48745</v>
      </c>
      <c r="J233" s="739">
        <v>2.5499999999999998E-2</v>
      </c>
      <c r="K233" s="713">
        <v>5.0713735788514089</v>
      </c>
      <c r="L233" s="717"/>
      <c r="M233" s="635">
        <v>27132527.460000001</v>
      </c>
    </row>
    <row r="234" spans="3:13">
      <c r="C234" s="718" t="s">
        <v>668</v>
      </c>
      <c r="D234" s="232" t="s">
        <v>1013</v>
      </c>
      <c r="E234" s="719" t="s">
        <v>719</v>
      </c>
      <c r="F234" s="720" t="s">
        <v>902</v>
      </c>
      <c r="G234" s="720" t="s">
        <v>998</v>
      </c>
      <c r="H234" s="717">
        <v>44224</v>
      </c>
      <c r="I234" s="717">
        <v>47833</v>
      </c>
      <c r="J234" s="728">
        <v>4.7500000000000001E-2</v>
      </c>
      <c r="K234" s="713">
        <v>3.1228485120159246</v>
      </c>
      <c r="L234" s="717"/>
      <c r="M234" s="635">
        <v>71140575.989999995</v>
      </c>
    </row>
    <row r="235" spans="3:13">
      <c r="C235" s="718" t="s">
        <v>668</v>
      </c>
      <c r="D235" s="232" t="s">
        <v>1010</v>
      </c>
      <c r="E235" s="719" t="s">
        <v>1003</v>
      </c>
      <c r="F235" s="720" t="s">
        <v>902</v>
      </c>
      <c r="G235" s="720" t="s">
        <v>998</v>
      </c>
      <c r="H235" s="717">
        <v>44295</v>
      </c>
      <c r="I235" s="717">
        <v>51318</v>
      </c>
      <c r="J235" s="728">
        <v>9.5999999999999992E-3</v>
      </c>
      <c r="K235" s="713">
        <v>7.9497723318727571</v>
      </c>
      <c r="L235" s="717"/>
      <c r="M235" s="635">
        <v>115426795.51000001</v>
      </c>
    </row>
    <row r="236" spans="3:13">
      <c r="C236" s="718" t="s">
        <v>668</v>
      </c>
      <c r="D236" s="232" t="s">
        <v>1010</v>
      </c>
      <c r="E236" s="719" t="s">
        <v>1002</v>
      </c>
      <c r="F236" s="720" t="s">
        <v>902</v>
      </c>
      <c r="G236" s="720" t="s">
        <v>998</v>
      </c>
      <c r="H236" s="717">
        <v>43444</v>
      </c>
      <c r="I236" s="717">
        <v>49658</v>
      </c>
      <c r="J236" s="728">
        <v>2.5700000000000001E-2</v>
      </c>
      <c r="K236" s="713">
        <v>6.4257612066854763</v>
      </c>
      <c r="L236" s="717"/>
      <c r="M236" s="635">
        <v>98857573.540000007</v>
      </c>
    </row>
    <row r="237" spans="3:13">
      <c r="C237" s="718" t="s">
        <v>668</v>
      </c>
      <c r="D237" s="232" t="s">
        <v>1010</v>
      </c>
      <c r="E237" s="719" t="s">
        <v>1003</v>
      </c>
      <c r="F237" s="720" t="s">
        <v>902</v>
      </c>
      <c r="G237" s="720" t="s">
        <v>998</v>
      </c>
      <c r="H237" s="717">
        <v>44439</v>
      </c>
      <c r="I237" s="717">
        <v>51014</v>
      </c>
      <c r="J237" s="728">
        <v>1.04E-2</v>
      </c>
      <c r="K237" s="713">
        <v>7.7026782425537625</v>
      </c>
      <c r="L237" s="717"/>
      <c r="M237" s="635">
        <v>80231126.519999996</v>
      </c>
    </row>
    <row r="238" spans="3:13">
      <c r="C238" s="718" t="s">
        <v>668</v>
      </c>
      <c r="D238" s="232" t="s">
        <v>1010</v>
      </c>
      <c r="E238" s="719" t="s">
        <v>1043</v>
      </c>
      <c r="F238" s="720" t="s">
        <v>1014</v>
      </c>
      <c r="G238" s="720" t="s">
        <v>998</v>
      </c>
      <c r="H238" s="717">
        <v>45191</v>
      </c>
      <c r="I238" s="717">
        <v>45554</v>
      </c>
      <c r="J238" s="723">
        <v>1.6500000000000001E-2</v>
      </c>
      <c r="K238" s="713">
        <v>0</v>
      </c>
      <c r="L238" s="717"/>
      <c r="M238" s="635">
        <v>-1.0000000009313226E-2</v>
      </c>
    </row>
    <row r="239" spans="3:13">
      <c r="C239" s="718" t="s">
        <v>668</v>
      </c>
      <c r="D239" s="232" t="s">
        <v>1010</v>
      </c>
      <c r="E239" s="719" t="s">
        <v>1002</v>
      </c>
      <c r="F239" s="300" t="s">
        <v>997</v>
      </c>
      <c r="G239" s="720" t="s">
        <v>998</v>
      </c>
      <c r="H239" s="717">
        <v>43431</v>
      </c>
      <c r="I239" s="717">
        <v>48361</v>
      </c>
      <c r="J239" s="740">
        <v>2.5000000000000001E-2</v>
      </c>
      <c r="K239" s="713">
        <v>4.8915969674507629</v>
      </c>
      <c r="L239" s="717"/>
      <c r="M239" s="635">
        <v>35459424.770000003</v>
      </c>
    </row>
    <row r="240" spans="3:13">
      <c r="C240" s="718" t="s">
        <v>668</v>
      </c>
      <c r="D240" s="232" t="s">
        <v>1010</v>
      </c>
      <c r="E240" s="719" t="s">
        <v>1043</v>
      </c>
      <c r="F240" s="300" t="s">
        <v>1014</v>
      </c>
      <c r="G240" s="720" t="s">
        <v>998</v>
      </c>
      <c r="H240" s="717">
        <v>45142</v>
      </c>
      <c r="I240" s="717">
        <v>45492</v>
      </c>
      <c r="J240" s="723">
        <v>1.6E-2</v>
      </c>
      <c r="K240" s="713">
        <v>0</v>
      </c>
      <c r="L240" s="717"/>
      <c r="M240" s="635">
        <v>0</v>
      </c>
    </row>
    <row r="241" spans="3:13">
      <c r="C241" s="718" t="s">
        <v>668</v>
      </c>
      <c r="D241" s="232" t="s">
        <v>1010</v>
      </c>
      <c r="E241" s="719" t="s">
        <v>1012</v>
      </c>
      <c r="F241" s="300" t="s">
        <v>1047</v>
      </c>
      <c r="G241" s="720" t="s">
        <v>998</v>
      </c>
      <c r="H241" s="717">
        <v>44545</v>
      </c>
      <c r="I241" s="717">
        <v>48502</v>
      </c>
      <c r="J241" s="739">
        <v>0</v>
      </c>
      <c r="K241" s="713">
        <v>4.6003661825407312</v>
      </c>
      <c r="L241" s="717"/>
      <c r="M241" s="635">
        <v>74454.48</v>
      </c>
    </row>
    <row r="242" spans="3:13">
      <c r="C242" s="718" t="s">
        <v>668</v>
      </c>
      <c r="D242" s="232" t="s">
        <v>1010</v>
      </c>
      <c r="E242" s="719" t="s">
        <v>1002</v>
      </c>
      <c r="F242" s="300" t="s">
        <v>997</v>
      </c>
      <c r="G242" s="720" t="s">
        <v>998</v>
      </c>
      <c r="H242" s="717">
        <v>43431</v>
      </c>
      <c r="I242" s="717">
        <v>48726</v>
      </c>
      <c r="J242" s="740">
        <v>2.5000000000000001E-2</v>
      </c>
      <c r="K242" s="713">
        <v>5.3623061793691402</v>
      </c>
      <c r="L242" s="717"/>
      <c r="M242" s="635">
        <v>18306230.240000002</v>
      </c>
    </row>
    <row r="243" spans="3:13">
      <c r="C243" s="718" t="s">
        <v>668</v>
      </c>
      <c r="D243" s="223" t="s">
        <v>1010</v>
      </c>
      <c r="E243" s="719" t="s">
        <v>1002</v>
      </c>
      <c r="F243" s="300" t="s">
        <v>902</v>
      </c>
      <c r="G243" s="720" t="s">
        <v>998</v>
      </c>
      <c r="H243" s="717">
        <v>44545</v>
      </c>
      <c r="I243" s="717">
        <v>50328</v>
      </c>
      <c r="J243" s="728">
        <v>2.1100000000000001E-2</v>
      </c>
      <c r="K243" s="713">
        <v>7.8123371853171397</v>
      </c>
      <c r="L243" s="717"/>
      <c r="M243" s="635">
        <v>77511121.61999999</v>
      </c>
    </row>
    <row r="244" spans="3:13">
      <c r="C244" s="718" t="s">
        <v>668</v>
      </c>
      <c r="D244" s="232" t="s">
        <v>1010</v>
      </c>
      <c r="E244" s="719" t="s">
        <v>1002</v>
      </c>
      <c r="F244" s="300" t="s">
        <v>902</v>
      </c>
      <c r="G244" s="720" t="s">
        <v>998</v>
      </c>
      <c r="H244" s="717">
        <v>44545</v>
      </c>
      <c r="I244" s="717">
        <v>50479</v>
      </c>
      <c r="J244" s="728">
        <v>2.18E-2</v>
      </c>
      <c r="K244" s="713">
        <v>8.1491331527466784</v>
      </c>
      <c r="L244" s="717"/>
      <c r="M244" s="635">
        <v>90303089.450000003</v>
      </c>
    </row>
    <row r="245" spans="3:13">
      <c r="C245" s="718" t="s">
        <v>668</v>
      </c>
      <c r="D245" s="232" t="s">
        <v>1010</v>
      </c>
      <c r="E245" s="719" t="s">
        <v>1002</v>
      </c>
      <c r="F245" s="300" t="s">
        <v>997</v>
      </c>
      <c r="G245" s="720" t="s">
        <v>998</v>
      </c>
      <c r="H245" s="717">
        <v>43431</v>
      </c>
      <c r="I245" s="717">
        <v>48361</v>
      </c>
      <c r="J245" s="740">
        <v>2.5000000000000001E-2</v>
      </c>
      <c r="K245" s="713">
        <v>4.7562425672042483</v>
      </c>
      <c r="L245" s="717"/>
      <c r="M245" s="635">
        <v>29143554.359999996</v>
      </c>
    </row>
    <row r="246" spans="3:13">
      <c r="C246" s="718" t="s">
        <v>668</v>
      </c>
      <c r="D246" s="232" t="s">
        <v>1010</v>
      </c>
      <c r="E246" s="719" t="s">
        <v>1003</v>
      </c>
      <c r="F246" s="300" t="s">
        <v>902</v>
      </c>
      <c r="G246" s="720" t="s">
        <v>998</v>
      </c>
      <c r="H246" s="717">
        <v>44409</v>
      </c>
      <c r="I246" s="717">
        <v>50983</v>
      </c>
      <c r="J246" s="728">
        <v>1.04E-2</v>
      </c>
      <c r="K246" s="713">
        <v>7.5864919531682773</v>
      </c>
      <c r="L246" s="717"/>
      <c r="M246" s="635">
        <v>81850474.12999998</v>
      </c>
    </row>
    <row r="247" spans="3:13">
      <c r="C247" s="718" t="s">
        <v>668</v>
      </c>
      <c r="D247" s="223" t="s">
        <v>1010</v>
      </c>
      <c r="E247" s="719" t="s">
        <v>1002</v>
      </c>
      <c r="F247" s="300" t="s">
        <v>1014</v>
      </c>
      <c r="G247" s="720" t="s">
        <v>998</v>
      </c>
      <c r="H247" s="717">
        <v>45288</v>
      </c>
      <c r="I247" s="717">
        <v>45378</v>
      </c>
      <c r="J247" s="723">
        <v>2.18E-2</v>
      </c>
      <c r="K247" s="713">
        <v>0</v>
      </c>
      <c r="L247" s="717"/>
      <c r="M247" s="635">
        <v>-2.0000005315523595E-2</v>
      </c>
    </row>
    <row r="248" spans="3:13">
      <c r="C248" s="718" t="s">
        <v>668</v>
      </c>
      <c r="D248" s="232" t="s">
        <v>1016</v>
      </c>
      <c r="E248" s="719" t="s">
        <v>1017</v>
      </c>
      <c r="F248" s="300" t="s">
        <v>997</v>
      </c>
      <c r="G248" s="720" t="s">
        <v>998</v>
      </c>
      <c r="H248" s="717">
        <v>44742</v>
      </c>
      <c r="I248" s="717">
        <v>48395</v>
      </c>
      <c r="J248" s="741">
        <v>0</v>
      </c>
      <c r="K248" s="713">
        <v>4.1014470094710402</v>
      </c>
      <c r="L248" s="717"/>
      <c r="M248" s="635">
        <v>-60810.590000000004</v>
      </c>
    </row>
    <row r="249" spans="3:13">
      <c r="C249" s="718" t="s">
        <v>668</v>
      </c>
      <c r="D249" s="223" t="s">
        <v>1016</v>
      </c>
      <c r="E249" s="719" t="s">
        <v>1017</v>
      </c>
      <c r="F249" s="300" t="s">
        <v>997</v>
      </c>
      <c r="G249" s="720" t="s">
        <v>998</v>
      </c>
      <c r="H249" s="717">
        <v>45138</v>
      </c>
      <c r="I249" s="717">
        <v>45504</v>
      </c>
      <c r="J249" s="741">
        <v>0</v>
      </c>
      <c r="K249" s="713">
        <v>0</v>
      </c>
      <c r="L249" s="717"/>
      <c r="M249" s="635">
        <v>0</v>
      </c>
    </row>
    <row r="250" spans="3:13">
      <c r="C250" s="718" t="s">
        <v>668</v>
      </c>
      <c r="D250" s="232" t="s">
        <v>1016</v>
      </c>
      <c r="E250" s="719" t="s">
        <v>1017</v>
      </c>
      <c r="F250" s="300" t="s">
        <v>997</v>
      </c>
      <c r="G250" s="720" t="s">
        <v>998</v>
      </c>
      <c r="H250" s="717">
        <v>45138</v>
      </c>
      <c r="I250" s="717">
        <v>45504</v>
      </c>
      <c r="J250" s="741">
        <v>0</v>
      </c>
      <c r="K250" s="713">
        <v>0</v>
      </c>
      <c r="L250" s="717"/>
      <c r="M250" s="635">
        <v>-0.28999999992083758</v>
      </c>
    </row>
    <row r="251" spans="3:13">
      <c r="C251" s="718" t="s">
        <v>668</v>
      </c>
      <c r="D251" s="223" t="s">
        <v>1016</v>
      </c>
      <c r="E251" s="719" t="s">
        <v>1017</v>
      </c>
      <c r="F251" s="300" t="s">
        <v>997</v>
      </c>
      <c r="G251" s="720" t="s">
        <v>998</v>
      </c>
      <c r="H251" s="717">
        <v>44742</v>
      </c>
      <c r="I251" s="717">
        <v>47422</v>
      </c>
      <c r="J251" s="741">
        <v>0</v>
      </c>
      <c r="K251" s="713">
        <v>2.7488718007367829</v>
      </c>
      <c r="L251" s="717"/>
      <c r="M251" s="635">
        <v>-30967.11</v>
      </c>
    </row>
    <row r="252" spans="3:13">
      <c r="C252" s="718" t="s">
        <v>668</v>
      </c>
      <c r="D252" s="232" t="s">
        <v>1018</v>
      </c>
      <c r="E252" s="719" t="s">
        <v>1017</v>
      </c>
      <c r="F252" s="300" t="s">
        <v>997</v>
      </c>
      <c r="G252" s="720" t="s">
        <v>998</v>
      </c>
      <c r="H252" s="717">
        <v>44742</v>
      </c>
      <c r="I252" s="717">
        <v>47483</v>
      </c>
      <c r="J252" s="741">
        <v>0</v>
      </c>
      <c r="K252" s="713">
        <v>2.8334595959595794</v>
      </c>
      <c r="L252" s="717"/>
      <c r="M252" s="635">
        <v>-119472.54</v>
      </c>
    </row>
    <row r="253" spans="3:13">
      <c r="C253" s="718" t="s">
        <v>668</v>
      </c>
      <c r="D253" s="232" t="s">
        <v>1016</v>
      </c>
      <c r="E253" s="719" t="s">
        <v>1017</v>
      </c>
      <c r="F253" s="300" t="s">
        <v>997</v>
      </c>
      <c r="G253" s="720" t="s">
        <v>998</v>
      </c>
      <c r="H253" s="717">
        <v>45191</v>
      </c>
      <c r="I253" s="717">
        <v>45554</v>
      </c>
      <c r="J253" s="741">
        <v>0</v>
      </c>
      <c r="K253" s="713">
        <v>0</v>
      </c>
      <c r="L253" s="717"/>
      <c r="M253" s="635">
        <v>0.41000000002532033</v>
      </c>
    </row>
    <row r="254" spans="3:13">
      <c r="C254" s="718" t="s">
        <v>668</v>
      </c>
      <c r="D254" s="232" t="s">
        <v>1016</v>
      </c>
      <c r="E254" s="719" t="s">
        <v>1017</v>
      </c>
      <c r="F254" s="300" t="s">
        <v>997</v>
      </c>
      <c r="G254" s="720" t="s">
        <v>998</v>
      </c>
      <c r="H254" s="717">
        <v>44742</v>
      </c>
      <c r="I254" s="717">
        <v>48730</v>
      </c>
      <c r="J254" s="741">
        <v>0</v>
      </c>
      <c r="K254" s="713">
        <v>4.5665628245069456</v>
      </c>
      <c r="L254" s="717"/>
      <c r="M254" s="635">
        <v>-2033529.65</v>
      </c>
    </row>
    <row r="255" spans="3:13">
      <c r="C255" s="718" t="s">
        <v>668</v>
      </c>
      <c r="D255" s="232" t="s">
        <v>1016</v>
      </c>
      <c r="E255" s="719" t="s">
        <v>1017</v>
      </c>
      <c r="F255" s="300" t="s">
        <v>997</v>
      </c>
      <c r="G255" s="720" t="s">
        <v>998</v>
      </c>
      <c r="H255" s="717">
        <v>44742</v>
      </c>
      <c r="I255" s="717">
        <v>50374</v>
      </c>
      <c r="J255" s="741">
        <v>0</v>
      </c>
      <c r="K255" s="713">
        <v>6.8493616028212472</v>
      </c>
      <c r="L255" s="717"/>
      <c r="M255" s="635">
        <v>-1175604.2299999997</v>
      </c>
    </row>
    <row r="256" spans="3:13">
      <c r="C256" s="597" t="s">
        <v>668</v>
      </c>
      <c r="D256" s="232" t="s">
        <v>1018</v>
      </c>
      <c r="E256" s="719" t="s">
        <v>1017</v>
      </c>
      <c r="F256" s="300" t="s">
        <v>997</v>
      </c>
      <c r="G256" s="300" t="s">
        <v>998</v>
      </c>
      <c r="H256" s="433">
        <v>44742</v>
      </c>
      <c r="I256" s="433">
        <v>49674</v>
      </c>
      <c r="J256" s="741">
        <v>0</v>
      </c>
      <c r="K256" s="713">
        <v>5.8769726247984888</v>
      </c>
      <c r="L256" s="433"/>
      <c r="M256" s="635">
        <v>-4695094.1900000004</v>
      </c>
    </row>
    <row r="257" spans="3:13">
      <c r="C257" s="718" t="s">
        <v>668</v>
      </c>
      <c r="D257" s="232" t="s">
        <v>1048</v>
      </c>
      <c r="E257" s="719" t="s">
        <v>1017</v>
      </c>
      <c r="F257" s="300" t="s">
        <v>997</v>
      </c>
      <c r="G257" s="720" t="s">
        <v>998</v>
      </c>
      <c r="H257" s="717">
        <v>45077</v>
      </c>
      <c r="I257" s="717">
        <v>53692</v>
      </c>
      <c r="J257" s="741">
        <v>0</v>
      </c>
      <c r="K257" s="713">
        <v>11.457221950440383</v>
      </c>
      <c r="L257" s="717"/>
      <c r="M257" s="635">
        <v>-10731885.4</v>
      </c>
    </row>
    <row r="258" spans="3:13">
      <c r="C258" s="718" t="s">
        <v>668</v>
      </c>
      <c r="D258" s="232" t="s">
        <v>1018</v>
      </c>
      <c r="E258" s="719" t="s">
        <v>1017</v>
      </c>
      <c r="F258" s="300" t="s">
        <v>997</v>
      </c>
      <c r="G258" s="720" t="s">
        <v>998</v>
      </c>
      <c r="H258" s="717">
        <v>44742</v>
      </c>
      <c r="I258" s="717">
        <v>47879</v>
      </c>
      <c r="J258" s="741">
        <v>0</v>
      </c>
      <c r="K258" s="713">
        <v>3.3829816991541519</v>
      </c>
      <c r="L258" s="717"/>
      <c r="M258" s="635">
        <v>-1161508.3900000001</v>
      </c>
    </row>
    <row r="259" spans="3:13">
      <c r="C259" s="718" t="s">
        <v>668</v>
      </c>
      <c r="D259" s="232" t="s">
        <v>1016</v>
      </c>
      <c r="E259" s="719" t="s">
        <v>1017</v>
      </c>
      <c r="F259" s="300" t="s">
        <v>997</v>
      </c>
      <c r="G259" s="720" t="s">
        <v>998</v>
      </c>
      <c r="H259" s="717">
        <v>45138</v>
      </c>
      <c r="I259" s="717">
        <v>45504</v>
      </c>
      <c r="J259" s="741">
        <v>0</v>
      </c>
      <c r="K259" s="713">
        <v>0</v>
      </c>
      <c r="L259" s="717"/>
      <c r="M259" s="635">
        <v>-2.0000000004074536E-2</v>
      </c>
    </row>
    <row r="260" spans="3:13">
      <c r="C260" s="718" t="s">
        <v>668</v>
      </c>
      <c r="D260" s="223" t="s">
        <v>1018</v>
      </c>
      <c r="E260" s="719" t="s">
        <v>1017</v>
      </c>
      <c r="F260" s="300" t="s">
        <v>997</v>
      </c>
      <c r="G260" s="720" t="s">
        <v>998</v>
      </c>
      <c r="H260" s="717">
        <v>44742</v>
      </c>
      <c r="I260" s="717">
        <v>48426</v>
      </c>
      <c r="J260" s="741">
        <v>0</v>
      </c>
      <c r="K260" s="713">
        <v>4.143728525760384</v>
      </c>
      <c r="L260" s="717"/>
      <c r="M260" s="635">
        <v>-370336.06</v>
      </c>
    </row>
    <row r="261" spans="3:13">
      <c r="C261" s="718" t="s">
        <v>668</v>
      </c>
      <c r="D261" s="232" t="s">
        <v>1016</v>
      </c>
      <c r="E261" s="719" t="s">
        <v>1017</v>
      </c>
      <c r="F261" s="300" t="s">
        <v>997</v>
      </c>
      <c r="G261" s="720" t="s">
        <v>998</v>
      </c>
      <c r="H261" s="717">
        <v>44742</v>
      </c>
      <c r="I261" s="717">
        <v>48760</v>
      </c>
      <c r="J261" s="741">
        <v>0</v>
      </c>
      <c r="K261" s="713">
        <v>4.6088220139093314</v>
      </c>
      <c r="L261" s="717"/>
      <c r="M261" s="635">
        <v>-1988050.31</v>
      </c>
    </row>
    <row r="262" spans="3:13">
      <c r="C262" s="718" t="s">
        <v>668</v>
      </c>
      <c r="D262" s="232" t="s">
        <v>1048</v>
      </c>
      <c r="E262" s="719" t="s">
        <v>1017</v>
      </c>
      <c r="F262" s="300" t="s">
        <v>997</v>
      </c>
      <c r="G262" s="720" t="s">
        <v>998</v>
      </c>
      <c r="H262" s="717">
        <v>45191</v>
      </c>
      <c r="I262" s="717">
        <v>45554</v>
      </c>
      <c r="J262" s="741">
        <v>0</v>
      </c>
      <c r="K262" s="713">
        <v>0.25555555555555554</v>
      </c>
      <c r="L262" s="717"/>
      <c r="M262" s="635">
        <v>-403821.15</v>
      </c>
    </row>
    <row r="263" spans="3:13">
      <c r="C263" s="718" t="s">
        <v>668</v>
      </c>
      <c r="D263" s="223" t="s">
        <v>1016</v>
      </c>
      <c r="E263" s="719" t="s">
        <v>1017</v>
      </c>
      <c r="F263" s="300" t="s">
        <v>997</v>
      </c>
      <c r="G263" s="720" t="s">
        <v>998</v>
      </c>
      <c r="H263" s="717">
        <v>44742</v>
      </c>
      <c r="I263" s="717">
        <v>49674</v>
      </c>
      <c r="J263" s="741">
        <v>0</v>
      </c>
      <c r="K263" s="713">
        <v>5.876972672832502</v>
      </c>
      <c r="L263" s="717"/>
      <c r="M263" s="635">
        <v>-316788.46000000002</v>
      </c>
    </row>
    <row r="264" spans="3:13">
      <c r="C264" s="718" t="s">
        <v>668</v>
      </c>
      <c r="D264" s="232" t="s">
        <v>1016</v>
      </c>
      <c r="E264" s="719" t="s">
        <v>1017</v>
      </c>
      <c r="F264" s="300" t="s">
        <v>997</v>
      </c>
      <c r="G264" s="720" t="s">
        <v>998</v>
      </c>
      <c r="H264" s="717">
        <v>45138</v>
      </c>
      <c r="I264" s="717">
        <v>45504</v>
      </c>
      <c r="J264" s="741">
        <v>0</v>
      </c>
      <c r="K264" s="713">
        <v>0</v>
      </c>
      <c r="L264" s="717"/>
      <c r="M264" s="635">
        <v>3.637978807091713E-12</v>
      </c>
    </row>
    <row r="265" spans="3:13">
      <c r="C265" s="718" t="s">
        <v>668</v>
      </c>
      <c r="D265" s="232" t="s">
        <v>1016</v>
      </c>
      <c r="E265" s="719" t="s">
        <v>1017</v>
      </c>
      <c r="F265" s="300" t="s">
        <v>997</v>
      </c>
      <c r="G265" s="720" t="s">
        <v>998</v>
      </c>
      <c r="H265" s="717">
        <v>44742</v>
      </c>
      <c r="I265" s="717">
        <v>50770</v>
      </c>
      <c r="J265" s="741">
        <v>0</v>
      </c>
      <c r="K265" s="713">
        <v>7.3989145363598352</v>
      </c>
      <c r="L265" s="717"/>
      <c r="M265" s="635">
        <v>-242265.76</v>
      </c>
    </row>
    <row r="266" spans="3:13">
      <c r="C266" s="718" t="s">
        <v>668</v>
      </c>
      <c r="D266" s="232" t="s">
        <v>1016</v>
      </c>
      <c r="E266" s="719" t="s">
        <v>1017</v>
      </c>
      <c r="F266" s="300" t="s">
        <v>997</v>
      </c>
      <c r="G266" s="720" t="s">
        <v>998</v>
      </c>
      <c r="H266" s="717">
        <v>45191</v>
      </c>
      <c r="I266" s="717">
        <v>45554</v>
      </c>
      <c r="J266" s="741">
        <v>0</v>
      </c>
      <c r="K266" s="713">
        <v>0</v>
      </c>
      <c r="L266" s="717"/>
      <c r="M266" s="635">
        <v>0.15999999996711267</v>
      </c>
    </row>
    <row r="267" spans="3:13">
      <c r="C267" s="718" t="s">
        <v>668</v>
      </c>
      <c r="D267" s="232" t="s">
        <v>1016</v>
      </c>
      <c r="E267" s="719" t="s">
        <v>1017</v>
      </c>
      <c r="F267" s="300" t="s">
        <v>997</v>
      </c>
      <c r="G267" s="720" t="s">
        <v>998</v>
      </c>
      <c r="H267" s="717">
        <v>45191</v>
      </c>
      <c r="I267" s="717">
        <v>45554</v>
      </c>
      <c r="J267" s="741">
        <v>0</v>
      </c>
      <c r="K267" s="713">
        <v>0</v>
      </c>
      <c r="L267" s="717"/>
      <c r="M267" s="635">
        <v>0.34000000002561137</v>
      </c>
    </row>
    <row r="268" spans="3:13">
      <c r="C268" s="718" t="s">
        <v>668</v>
      </c>
      <c r="D268" s="232" t="s">
        <v>1016</v>
      </c>
      <c r="E268" s="719" t="s">
        <v>1017</v>
      </c>
      <c r="F268" s="300" t="s">
        <v>997</v>
      </c>
      <c r="G268" s="720" t="s">
        <v>998</v>
      </c>
      <c r="H268" s="717">
        <v>44742</v>
      </c>
      <c r="I268" s="717">
        <v>48760</v>
      </c>
      <c r="J268" s="741">
        <v>0</v>
      </c>
      <c r="K268" s="713">
        <v>4.6088220224671907</v>
      </c>
      <c r="L268" s="717"/>
      <c r="M268" s="635">
        <v>-844453.99</v>
      </c>
    </row>
    <row r="269" spans="3:13">
      <c r="C269" s="718" t="s">
        <v>668</v>
      </c>
      <c r="D269" s="232" t="s">
        <v>1018</v>
      </c>
      <c r="E269" s="719" t="s">
        <v>1017</v>
      </c>
      <c r="F269" s="300" t="s">
        <v>997</v>
      </c>
      <c r="G269" s="720" t="s">
        <v>998</v>
      </c>
      <c r="H269" s="717">
        <v>44742</v>
      </c>
      <c r="I269" s="717">
        <v>49490</v>
      </c>
      <c r="J269" s="741">
        <v>0</v>
      </c>
      <c r="K269" s="713">
        <v>5.6233374890603951</v>
      </c>
      <c r="L269" s="717"/>
      <c r="M269" s="635">
        <v>-191304.94</v>
      </c>
    </row>
    <row r="270" spans="3:13">
      <c r="C270" s="718" t="s">
        <v>668</v>
      </c>
      <c r="D270" s="232" t="s">
        <v>1016</v>
      </c>
      <c r="E270" s="719" t="s">
        <v>1017</v>
      </c>
      <c r="F270" s="300" t="s">
        <v>997</v>
      </c>
      <c r="G270" s="720" t="s">
        <v>998</v>
      </c>
      <c r="H270" s="717">
        <v>44742</v>
      </c>
      <c r="I270" s="717">
        <v>47422</v>
      </c>
      <c r="J270" s="741">
        <v>0</v>
      </c>
      <c r="K270" s="713">
        <v>2.7488721641844069</v>
      </c>
      <c r="L270" s="717"/>
      <c r="M270" s="635">
        <v>-13281.989999999998</v>
      </c>
    </row>
    <row r="271" spans="3:13">
      <c r="C271" s="718" t="s">
        <v>668</v>
      </c>
      <c r="D271" s="232" t="s">
        <v>1016</v>
      </c>
      <c r="E271" s="719" t="s">
        <v>1017</v>
      </c>
      <c r="F271" s="300" t="s">
        <v>997</v>
      </c>
      <c r="G271" s="720" t="s">
        <v>998</v>
      </c>
      <c r="H271" s="717">
        <v>44742</v>
      </c>
      <c r="I271" s="717">
        <v>51043</v>
      </c>
      <c r="J271" s="741">
        <v>0</v>
      </c>
      <c r="K271" s="713">
        <v>7.7793109054007399</v>
      </c>
      <c r="L271" s="717"/>
      <c r="M271" s="635">
        <v>-853230.70000000007</v>
      </c>
    </row>
    <row r="272" spans="3:13">
      <c r="C272" s="718" t="s">
        <v>668</v>
      </c>
      <c r="D272" s="232" t="s">
        <v>1018</v>
      </c>
      <c r="E272" s="719" t="s">
        <v>1017</v>
      </c>
      <c r="F272" s="300" t="s">
        <v>997</v>
      </c>
      <c r="G272" s="720" t="s">
        <v>998</v>
      </c>
      <c r="H272" s="717">
        <v>44742</v>
      </c>
      <c r="I272" s="717">
        <v>46965</v>
      </c>
      <c r="J272" s="741">
        <v>0</v>
      </c>
      <c r="K272" s="713">
        <v>2.1145695320618567</v>
      </c>
      <c r="L272" s="717"/>
      <c r="M272" s="635">
        <v>-37578.25</v>
      </c>
    </row>
    <row r="273" spans="3:13">
      <c r="C273" s="718" t="s">
        <v>668</v>
      </c>
      <c r="D273" s="232" t="s">
        <v>1016</v>
      </c>
      <c r="E273" s="719" t="s">
        <v>1017</v>
      </c>
      <c r="F273" s="300" t="s">
        <v>997</v>
      </c>
      <c r="G273" s="720" t="s">
        <v>998</v>
      </c>
      <c r="H273" s="717">
        <v>44742</v>
      </c>
      <c r="I273" s="717">
        <v>48365</v>
      </c>
      <c r="J273" s="741">
        <v>0</v>
      </c>
      <c r="K273" s="713">
        <v>4.0591811768222721</v>
      </c>
      <c r="L273" s="717"/>
      <c r="M273" s="635">
        <v>-104000.04000000001</v>
      </c>
    </row>
    <row r="274" spans="3:13">
      <c r="C274" s="718" t="s">
        <v>668</v>
      </c>
      <c r="D274" s="232" t="s">
        <v>1016</v>
      </c>
      <c r="E274" s="719" t="s">
        <v>1017</v>
      </c>
      <c r="F274" s="300" t="s">
        <v>997</v>
      </c>
      <c r="G274" s="720" t="s">
        <v>998</v>
      </c>
      <c r="H274" s="717">
        <v>44742</v>
      </c>
      <c r="I274" s="717">
        <v>50344</v>
      </c>
      <c r="J274" s="741">
        <v>0</v>
      </c>
      <c r="K274" s="713">
        <v>6.807083350199294</v>
      </c>
      <c r="L274" s="717"/>
      <c r="M274" s="635">
        <v>-1303233.51</v>
      </c>
    </row>
    <row r="275" spans="3:13">
      <c r="C275" s="718" t="s">
        <v>668</v>
      </c>
      <c r="D275" s="232" t="s">
        <v>1016</v>
      </c>
      <c r="E275" s="719" t="s">
        <v>1017</v>
      </c>
      <c r="F275" s="300" t="s">
        <v>997</v>
      </c>
      <c r="G275" s="720" t="s">
        <v>998</v>
      </c>
      <c r="H275" s="717">
        <v>45191</v>
      </c>
      <c r="I275" s="717">
        <v>45554</v>
      </c>
      <c r="J275" s="741">
        <v>0</v>
      </c>
      <c r="K275" s="713">
        <v>0</v>
      </c>
      <c r="L275" s="717"/>
      <c r="M275" s="635">
        <v>0.27999999996973202</v>
      </c>
    </row>
    <row r="276" spans="3:13">
      <c r="C276" s="718" t="s">
        <v>668</v>
      </c>
      <c r="D276" s="223" t="s">
        <v>1016</v>
      </c>
      <c r="E276" s="719" t="s">
        <v>1017</v>
      </c>
      <c r="F276" s="300" t="s">
        <v>997</v>
      </c>
      <c r="G276" s="720" t="s">
        <v>998</v>
      </c>
      <c r="H276" s="717">
        <v>44742</v>
      </c>
      <c r="I276" s="717">
        <v>48730</v>
      </c>
      <c r="J276" s="741">
        <v>0</v>
      </c>
      <c r="K276" s="713">
        <v>4.5665628354837384</v>
      </c>
      <c r="L276" s="717"/>
      <c r="M276" s="635">
        <v>-1886734.3399999999</v>
      </c>
    </row>
    <row r="277" spans="3:13">
      <c r="C277" s="718" t="s">
        <v>668</v>
      </c>
      <c r="D277" s="232" t="s">
        <v>1016</v>
      </c>
      <c r="E277" s="719" t="s">
        <v>1017</v>
      </c>
      <c r="F277" s="300" t="s">
        <v>997</v>
      </c>
      <c r="G277" s="720" t="s">
        <v>998</v>
      </c>
      <c r="H277" s="717">
        <v>44742</v>
      </c>
      <c r="I277" s="717">
        <v>50495</v>
      </c>
      <c r="J277" s="741">
        <v>0</v>
      </c>
      <c r="K277" s="713">
        <v>7.0184679687582401</v>
      </c>
      <c r="L277" s="717"/>
      <c r="M277" s="635">
        <v>-737432.51</v>
      </c>
    </row>
    <row r="278" spans="3:13">
      <c r="C278" s="718" t="s">
        <v>668</v>
      </c>
      <c r="D278" s="223" t="s">
        <v>1016</v>
      </c>
      <c r="E278" s="719" t="s">
        <v>1017</v>
      </c>
      <c r="F278" s="300" t="s">
        <v>997</v>
      </c>
      <c r="G278" s="720" t="s">
        <v>998</v>
      </c>
      <c r="H278" s="717">
        <v>44742</v>
      </c>
      <c r="I278" s="717">
        <v>47422</v>
      </c>
      <c r="J278" s="741">
        <v>0</v>
      </c>
      <c r="K278" s="713">
        <v>2.7488713387470449</v>
      </c>
      <c r="L278" s="717"/>
      <c r="M278" s="635">
        <v>-26829.75</v>
      </c>
    </row>
    <row r="279" spans="3:13">
      <c r="C279" s="718" t="s">
        <v>668</v>
      </c>
      <c r="D279" s="232" t="s">
        <v>1016</v>
      </c>
      <c r="E279" s="719" t="s">
        <v>1017</v>
      </c>
      <c r="F279" s="300" t="s">
        <v>997</v>
      </c>
      <c r="G279" s="720" t="s">
        <v>998</v>
      </c>
      <c r="H279" s="717">
        <v>44742</v>
      </c>
      <c r="I279" s="717">
        <v>48365</v>
      </c>
      <c r="J279" s="741">
        <v>0</v>
      </c>
      <c r="K279" s="713">
        <v>4.0591810879918437</v>
      </c>
      <c r="L279" s="717"/>
      <c r="M279" s="635">
        <v>-110687.94</v>
      </c>
    </row>
    <row r="280" spans="3:13">
      <c r="C280" s="718" t="s">
        <v>668</v>
      </c>
      <c r="D280" s="232" t="s">
        <v>1016</v>
      </c>
      <c r="E280" s="719" t="s">
        <v>1017</v>
      </c>
      <c r="F280" s="300" t="s">
        <v>997</v>
      </c>
      <c r="G280" s="720" t="s">
        <v>998</v>
      </c>
      <c r="H280" s="717">
        <v>44742</v>
      </c>
      <c r="I280" s="717">
        <v>48518</v>
      </c>
      <c r="J280" s="741">
        <v>0</v>
      </c>
      <c r="K280" s="713">
        <v>4.270611724344235</v>
      </c>
      <c r="L280" s="717"/>
      <c r="M280" s="635">
        <v>-46868.389999999992</v>
      </c>
    </row>
    <row r="281" spans="3:13">
      <c r="C281" s="718" t="s">
        <v>668</v>
      </c>
      <c r="D281" s="232" t="s">
        <v>1016</v>
      </c>
      <c r="E281" s="719" t="s">
        <v>1017</v>
      </c>
      <c r="F281" s="300" t="s">
        <v>997</v>
      </c>
      <c r="G281" s="720" t="s">
        <v>998</v>
      </c>
      <c r="H281" s="717">
        <v>44742</v>
      </c>
      <c r="I281" s="717">
        <v>51348</v>
      </c>
      <c r="J281" s="741">
        <v>0</v>
      </c>
      <c r="K281" s="713">
        <v>8.2020581975673235</v>
      </c>
      <c r="L281" s="717"/>
      <c r="M281" s="635">
        <v>-247010.11</v>
      </c>
    </row>
    <row r="282" spans="3:13">
      <c r="C282" s="718" t="s">
        <v>668</v>
      </c>
      <c r="D282" s="232" t="s">
        <v>1016</v>
      </c>
      <c r="E282" s="719" t="s">
        <v>1017</v>
      </c>
      <c r="F282" s="300" t="s">
        <v>997</v>
      </c>
      <c r="G282" s="720" t="s">
        <v>998</v>
      </c>
      <c r="H282" s="717">
        <v>44742</v>
      </c>
      <c r="I282" s="717">
        <v>48760</v>
      </c>
      <c r="J282" s="741">
        <v>0</v>
      </c>
      <c r="K282" s="713">
        <v>4.6088220223655094</v>
      </c>
      <c r="L282" s="717"/>
      <c r="M282" s="635">
        <v>-2577066.96</v>
      </c>
    </row>
    <row r="283" spans="3:13">
      <c r="C283" s="718" t="s">
        <v>668</v>
      </c>
      <c r="D283" s="232" t="s">
        <v>1016</v>
      </c>
      <c r="E283" s="719" t="s">
        <v>1017</v>
      </c>
      <c r="F283" s="300" t="s">
        <v>997</v>
      </c>
      <c r="G283" s="720" t="s">
        <v>998</v>
      </c>
      <c r="H283" s="717">
        <v>44742</v>
      </c>
      <c r="I283" s="717">
        <v>48730</v>
      </c>
      <c r="J283" s="741">
        <v>0</v>
      </c>
      <c r="K283" s="713">
        <v>4.5665628289505751</v>
      </c>
      <c r="L283" s="717"/>
      <c r="M283" s="635">
        <v>-1902185.74</v>
      </c>
    </row>
    <row r="284" spans="3:13">
      <c r="C284" s="718" t="s">
        <v>668</v>
      </c>
      <c r="D284" s="232" t="s">
        <v>1016</v>
      </c>
      <c r="E284" s="719" t="s">
        <v>1017</v>
      </c>
      <c r="F284" s="300" t="s">
        <v>997</v>
      </c>
      <c r="G284" s="720" t="s">
        <v>998</v>
      </c>
      <c r="H284" s="717">
        <v>45138</v>
      </c>
      <c r="I284" s="717">
        <v>45504</v>
      </c>
      <c r="J284" s="741">
        <v>0</v>
      </c>
      <c r="K284" s="713">
        <v>0</v>
      </c>
      <c r="L284" s="717"/>
      <c r="M284" s="635">
        <v>0</v>
      </c>
    </row>
    <row r="285" spans="3:13">
      <c r="C285" s="718" t="s">
        <v>668</v>
      </c>
      <c r="D285" s="232" t="s">
        <v>1018</v>
      </c>
      <c r="E285" s="719" t="s">
        <v>1017</v>
      </c>
      <c r="F285" s="300" t="s">
        <v>997</v>
      </c>
      <c r="G285" s="720" t="s">
        <v>998</v>
      </c>
      <c r="H285" s="717">
        <v>44742</v>
      </c>
      <c r="I285" s="717">
        <v>45504</v>
      </c>
      <c r="J285" s="741">
        <v>0</v>
      </c>
      <c r="K285" s="713">
        <v>8.611111111111111E-2</v>
      </c>
      <c r="L285" s="717"/>
      <c r="M285" s="635">
        <v>-33631.290000000008</v>
      </c>
    </row>
    <row r="286" spans="3:13">
      <c r="C286" s="718" t="s">
        <v>668</v>
      </c>
      <c r="D286" s="232" t="s">
        <v>1016</v>
      </c>
      <c r="E286" s="719" t="s">
        <v>1017</v>
      </c>
      <c r="F286" s="300" t="s">
        <v>997</v>
      </c>
      <c r="G286" s="720" t="s">
        <v>998</v>
      </c>
      <c r="H286" s="717">
        <v>45191</v>
      </c>
      <c r="I286" s="717">
        <v>45554</v>
      </c>
      <c r="J286" s="741">
        <v>0</v>
      </c>
      <c r="K286" s="713">
        <v>0</v>
      </c>
      <c r="L286" s="717"/>
      <c r="M286" s="635">
        <v>0.27999999996973202</v>
      </c>
    </row>
    <row r="287" spans="3:13">
      <c r="C287" s="718" t="s">
        <v>668</v>
      </c>
      <c r="D287" s="232" t="s">
        <v>1018</v>
      </c>
      <c r="E287" s="719" t="s">
        <v>1017</v>
      </c>
      <c r="F287" s="300" t="s">
        <v>997</v>
      </c>
      <c r="G287" s="720" t="s">
        <v>998</v>
      </c>
      <c r="H287" s="717">
        <v>44742</v>
      </c>
      <c r="I287" s="717">
        <v>49490</v>
      </c>
      <c r="J287" s="741">
        <v>0</v>
      </c>
      <c r="K287" s="713">
        <v>5.6233375916819366</v>
      </c>
      <c r="L287" s="717"/>
      <c r="M287" s="635">
        <v>-204548.1</v>
      </c>
    </row>
    <row r="288" spans="3:13">
      <c r="C288" s="718" t="s">
        <v>668</v>
      </c>
      <c r="D288" s="232" t="s">
        <v>1048</v>
      </c>
      <c r="E288" s="719" t="s">
        <v>1017</v>
      </c>
      <c r="F288" s="300" t="s">
        <v>997</v>
      </c>
      <c r="G288" s="720" t="s">
        <v>998</v>
      </c>
      <c r="H288" s="717">
        <v>44742</v>
      </c>
      <c r="I288" s="717">
        <v>48518</v>
      </c>
      <c r="J288" s="741">
        <v>0</v>
      </c>
      <c r="K288" s="713">
        <v>4.270611375312324</v>
      </c>
      <c r="L288" s="717"/>
      <c r="M288" s="635">
        <v>-63991.450000000004</v>
      </c>
    </row>
    <row r="289" spans="3:13">
      <c r="C289" s="718" t="s">
        <v>668</v>
      </c>
      <c r="D289" s="232" t="s">
        <v>1016</v>
      </c>
      <c r="E289" s="719" t="s">
        <v>1017</v>
      </c>
      <c r="F289" s="300" t="s">
        <v>997</v>
      </c>
      <c r="G289" s="720" t="s">
        <v>998</v>
      </c>
      <c r="H289" s="717">
        <v>44742</v>
      </c>
      <c r="I289" s="717">
        <v>49674</v>
      </c>
      <c r="J289" s="741">
        <v>0</v>
      </c>
      <c r="K289" s="713">
        <v>5.8769725211003685</v>
      </c>
      <c r="L289" s="717"/>
      <c r="M289" s="635">
        <v>-171195.98000000004</v>
      </c>
    </row>
    <row r="290" spans="3:13">
      <c r="C290" s="718" t="s">
        <v>668</v>
      </c>
      <c r="D290" s="232" t="s">
        <v>1048</v>
      </c>
      <c r="E290" s="719" t="s">
        <v>1017</v>
      </c>
      <c r="F290" s="300" t="s">
        <v>997</v>
      </c>
      <c r="G290" s="720" t="s">
        <v>998</v>
      </c>
      <c r="H290" s="717">
        <v>44742</v>
      </c>
      <c r="I290" s="717">
        <v>51348</v>
      </c>
      <c r="J290" s="741">
        <v>0</v>
      </c>
      <c r="K290" s="713">
        <v>8.202058106347593</v>
      </c>
      <c r="L290" s="717"/>
      <c r="M290" s="635">
        <v>-381557.11</v>
      </c>
    </row>
    <row r="291" spans="3:13">
      <c r="C291" s="718" t="s">
        <v>668</v>
      </c>
      <c r="D291" s="232" t="s">
        <v>1048</v>
      </c>
      <c r="E291" s="719" t="s">
        <v>1017</v>
      </c>
      <c r="F291" s="300" t="s">
        <v>997</v>
      </c>
      <c r="G291" s="720" t="s">
        <v>998</v>
      </c>
      <c r="H291" s="717">
        <v>45138</v>
      </c>
      <c r="I291" s="717">
        <v>45504</v>
      </c>
      <c r="J291" s="741">
        <v>0</v>
      </c>
      <c r="K291" s="713">
        <v>0</v>
      </c>
      <c r="L291" s="717"/>
      <c r="M291" s="635">
        <v>9.9999999983992893E-3</v>
      </c>
    </row>
    <row r="292" spans="3:13">
      <c r="C292" s="718" t="s">
        <v>668</v>
      </c>
      <c r="D292" s="223" t="s">
        <v>1016</v>
      </c>
      <c r="E292" s="719" t="s">
        <v>1017</v>
      </c>
      <c r="F292" s="300" t="s">
        <v>997</v>
      </c>
      <c r="G292" s="720" t="s">
        <v>998</v>
      </c>
      <c r="H292" s="717">
        <v>44742</v>
      </c>
      <c r="I292" s="717">
        <v>49674</v>
      </c>
      <c r="J292" s="741">
        <v>0</v>
      </c>
      <c r="K292" s="713">
        <v>5.876972688070075</v>
      </c>
      <c r="L292" s="717"/>
      <c r="M292" s="635">
        <v>-240498.38</v>
      </c>
    </row>
    <row r="293" spans="3:13">
      <c r="C293" s="718" t="s">
        <v>668</v>
      </c>
      <c r="D293" s="232" t="s">
        <v>1016</v>
      </c>
      <c r="E293" s="719" t="s">
        <v>1017</v>
      </c>
      <c r="F293" s="300" t="s">
        <v>997</v>
      </c>
      <c r="G293" s="720" t="s">
        <v>998</v>
      </c>
      <c r="H293" s="717">
        <v>44742</v>
      </c>
      <c r="I293" s="717">
        <v>47422</v>
      </c>
      <c r="J293" s="741">
        <v>0</v>
      </c>
      <c r="K293" s="713">
        <v>2.7488715665633006</v>
      </c>
      <c r="L293" s="717"/>
      <c r="M293" s="635">
        <v>-43587.149999999994</v>
      </c>
    </row>
    <row r="294" spans="3:13">
      <c r="C294" s="718" t="s">
        <v>668</v>
      </c>
      <c r="D294" s="232" t="s">
        <v>1016</v>
      </c>
      <c r="E294" s="719" t="s">
        <v>1017</v>
      </c>
      <c r="F294" s="300" t="s">
        <v>997</v>
      </c>
      <c r="G294" s="720" t="s">
        <v>998</v>
      </c>
      <c r="H294" s="717">
        <v>44742</v>
      </c>
      <c r="I294" s="717">
        <v>50770</v>
      </c>
      <c r="J294" s="741">
        <v>0</v>
      </c>
      <c r="K294" s="713">
        <v>7.3989144699765852</v>
      </c>
      <c r="L294" s="717"/>
      <c r="M294" s="635">
        <v>-264855.57</v>
      </c>
    </row>
    <row r="295" spans="3:13">
      <c r="C295" s="718" t="s">
        <v>668</v>
      </c>
      <c r="D295" s="232" t="s">
        <v>1016</v>
      </c>
      <c r="E295" s="719" t="s">
        <v>1017</v>
      </c>
      <c r="F295" s="300" t="s">
        <v>997</v>
      </c>
      <c r="G295" s="720" t="s">
        <v>998</v>
      </c>
      <c r="H295" s="717">
        <v>44742</v>
      </c>
      <c r="I295" s="717">
        <v>48518</v>
      </c>
      <c r="J295" s="741">
        <v>0</v>
      </c>
      <c r="K295" s="713">
        <v>4.2706111889565568</v>
      </c>
      <c r="L295" s="717"/>
      <c r="M295" s="635">
        <v>-65154.509999999995</v>
      </c>
    </row>
    <row r="296" spans="3:13">
      <c r="C296" s="718" t="s">
        <v>668</v>
      </c>
      <c r="D296" s="232" t="s">
        <v>1016</v>
      </c>
      <c r="E296" s="719" t="s">
        <v>1017</v>
      </c>
      <c r="F296" s="300" t="s">
        <v>997</v>
      </c>
      <c r="G296" s="720" t="s">
        <v>998</v>
      </c>
      <c r="H296" s="717">
        <v>44742</v>
      </c>
      <c r="I296" s="717">
        <v>50160</v>
      </c>
      <c r="J296" s="741">
        <v>0</v>
      </c>
      <c r="K296" s="713">
        <v>6.5534271934067876</v>
      </c>
      <c r="L296" s="717"/>
      <c r="M296" s="635">
        <v>-364281.39999999997</v>
      </c>
    </row>
    <row r="297" spans="3:13">
      <c r="C297" s="718" t="s">
        <v>668</v>
      </c>
      <c r="D297" s="232" t="s">
        <v>1016</v>
      </c>
      <c r="E297" s="719" t="s">
        <v>1017</v>
      </c>
      <c r="F297" s="300" t="s">
        <v>997</v>
      </c>
      <c r="G297" s="720" t="s">
        <v>998</v>
      </c>
      <c r="H297" s="717">
        <v>44742</v>
      </c>
      <c r="I297" s="717">
        <v>50160</v>
      </c>
      <c r="J297" s="741">
        <v>0</v>
      </c>
      <c r="K297" s="713">
        <v>6.5534271216670579</v>
      </c>
      <c r="L297" s="717"/>
      <c r="M297" s="635">
        <v>-1250593.4300000002</v>
      </c>
    </row>
    <row r="298" spans="3:13">
      <c r="C298" s="718" t="s">
        <v>668</v>
      </c>
      <c r="D298" s="232" t="s">
        <v>1016</v>
      </c>
      <c r="E298" s="719" t="s">
        <v>1017</v>
      </c>
      <c r="F298" s="300" t="s">
        <v>997</v>
      </c>
      <c r="G298" s="720" t="s">
        <v>998</v>
      </c>
      <c r="H298" s="717">
        <v>45138</v>
      </c>
      <c r="I298" s="717">
        <v>45504</v>
      </c>
      <c r="J298" s="741">
        <v>0</v>
      </c>
      <c r="K298" s="713">
        <v>0</v>
      </c>
      <c r="L298" s="717"/>
      <c r="M298" s="635">
        <v>-2.0000000004074536E-2</v>
      </c>
    </row>
    <row r="299" spans="3:13">
      <c r="C299" s="718" t="s">
        <v>668</v>
      </c>
      <c r="D299" s="232" t="s">
        <v>1016</v>
      </c>
      <c r="E299" s="719" t="s">
        <v>1017</v>
      </c>
      <c r="F299" s="300" t="s">
        <v>997</v>
      </c>
      <c r="G299" s="720" t="s">
        <v>998</v>
      </c>
      <c r="H299" s="717">
        <v>44742</v>
      </c>
      <c r="I299" s="717">
        <v>51348</v>
      </c>
      <c r="J299" s="741">
        <v>0</v>
      </c>
      <c r="K299" s="713">
        <v>8.2020580751445671</v>
      </c>
      <c r="L299" s="717"/>
      <c r="M299" s="635">
        <v>-410305.88</v>
      </c>
    </row>
    <row r="300" spans="3:13">
      <c r="C300" s="718" t="s">
        <v>668</v>
      </c>
      <c r="D300" s="232" t="s">
        <v>1016</v>
      </c>
      <c r="E300" s="719" t="s">
        <v>1017</v>
      </c>
      <c r="F300" s="300" t="s">
        <v>997</v>
      </c>
      <c r="G300" s="720" t="s">
        <v>998</v>
      </c>
      <c r="H300" s="717">
        <v>44742</v>
      </c>
      <c r="I300" s="717">
        <v>48730</v>
      </c>
      <c r="J300" s="741">
        <v>0</v>
      </c>
      <c r="K300" s="713">
        <v>4.5665628499934323</v>
      </c>
      <c r="L300" s="717"/>
      <c r="M300" s="635">
        <v>-132672.16</v>
      </c>
    </row>
    <row r="301" spans="3:13">
      <c r="C301" s="718" t="s">
        <v>668</v>
      </c>
      <c r="D301" s="232" t="s">
        <v>1018</v>
      </c>
      <c r="E301" s="719" t="s">
        <v>1017</v>
      </c>
      <c r="F301" s="300" t="s">
        <v>997</v>
      </c>
      <c r="G301" s="720" t="s">
        <v>998</v>
      </c>
      <c r="H301" s="717">
        <v>44742</v>
      </c>
      <c r="I301" s="717">
        <v>47787</v>
      </c>
      <c r="J301" s="741">
        <v>0</v>
      </c>
      <c r="K301" s="713">
        <v>3.256104124716694</v>
      </c>
      <c r="L301" s="717"/>
      <c r="M301" s="635">
        <v>-20900.71</v>
      </c>
    </row>
    <row r="302" spans="3:13">
      <c r="C302" s="718" t="s">
        <v>668</v>
      </c>
      <c r="D302" s="223" t="s">
        <v>1016</v>
      </c>
      <c r="E302" s="719" t="s">
        <v>1017</v>
      </c>
      <c r="F302" s="300" t="s">
        <v>997</v>
      </c>
      <c r="G302" s="720" t="s">
        <v>998</v>
      </c>
      <c r="H302" s="717">
        <v>44742</v>
      </c>
      <c r="I302" s="717">
        <v>51013</v>
      </c>
      <c r="J302" s="741">
        <v>0</v>
      </c>
      <c r="K302" s="713">
        <v>7.737042129335876</v>
      </c>
      <c r="L302" s="717"/>
      <c r="M302" s="635">
        <v>-881920.29</v>
      </c>
    </row>
    <row r="303" spans="3:13">
      <c r="C303" s="718" t="s">
        <v>668</v>
      </c>
      <c r="D303" s="232" t="s">
        <v>1048</v>
      </c>
      <c r="E303" s="719" t="s">
        <v>1017</v>
      </c>
      <c r="F303" s="300" t="s">
        <v>997</v>
      </c>
      <c r="G303" s="720" t="s">
        <v>998</v>
      </c>
      <c r="H303" s="717">
        <v>44742</v>
      </c>
      <c r="I303" s="717">
        <v>48760</v>
      </c>
      <c r="J303" s="741">
        <v>0</v>
      </c>
      <c r="K303" s="713">
        <v>4.6088219772572199</v>
      </c>
      <c r="L303" s="717"/>
      <c r="M303" s="635">
        <v>-646889.44000000006</v>
      </c>
    </row>
    <row r="304" spans="3:13">
      <c r="C304" s="718" t="s">
        <v>668</v>
      </c>
      <c r="D304" s="232" t="s">
        <v>1016</v>
      </c>
      <c r="E304" s="719" t="s">
        <v>1017</v>
      </c>
      <c r="F304" s="300" t="s">
        <v>997</v>
      </c>
      <c r="G304" s="720" t="s">
        <v>998</v>
      </c>
      <c r="H304" s="717">
        <v>44742</v>
      </c>
      <c r="I304" s="717">
        <v>48730</v>
      </c>
      <c r="J304" s="741">
        <v>0</v>
      </c>
      <c r="K304" s="713">
        <v>4.5665628225016111</v>
      </c>
      <c r="L304" s="717"/>
      <c r="M304" s="635">
        <v>-2951417.19</v>
      </c>
    </row>
    <row r="305" spans="3:13">
      <c r="C305" s="718" t="s">
        <v>668</v>
      </c>
      <c r="D305" s="232" t="s">
        <v>1016</v>
      </c>
      <c r="E305" s="719" t="s">
        <v>1017</v>
      </c>
      <c r="F305" s="300" t="s">
        <v>997</v>
      </c>
      <c r="G305" s="720" t="s">
        <v>998</v>
      </c>
      <c r="H305" s="717">
        <v>44742</v>
      </c>
      <c r="I305" s="717">
        <v>51348</v>
      </c>
      <c r="J305" s="741">
        <v>0</v>
      </c>
      <c r="K305" s="713">
        <v>8.2020581756378501</v>
      </c>
      <c r="L305" s="717"/>
      <c r="M305" s="635">
        <v>-1034873.78</v>
      </c>
    </row>
    <row r="306" spans="3:13">
      <c r="C306" s="718" t="s">
        <v>668</v>
      </c>
      <c r="D306" s="232" t="s">
        <v>1016</v>
      </c>
      <c r="E306" s="719" t="s">
        <v>1017</v>
      </c>
      <c r="F306" s="300" t="s">
        <v>997</v>
      </c>
      <c r="G306" s="720" t="s">
        <v>998</v>
      </c>
      <c r="H306" s="717">
        <v>44742</v>
      </c>
      <c r="I306" s="717">
        <v>48730</v>
      </c>
      <c r="J306" s="741">
        <v>0</v>
      </c>
      <c r="K306" s="713">
        <v>4.5665626886673634</v>
      </c>
      <c r="L306" s="717"/>
      <c r="M306" s="635">
        <v>-127574.54999999999</v>
      </c>
    </row>
    <row r="307" spans="3:13">
      <c r="C307" s="718" t="s">
        <v>668</v>
      </c>
      <c r="D307" s="232" t="s">
        <v>1016</v>
      </c>
      <c r="E307" s="719" t="s">
        <v>1017</v>
      </c>
      <c r="F307" s="300" t="s">
        <v>997</v>
      </c>
      <c r="G307" s="720" t="s">
        <v>998</v>
      </c>
      <c r="H307" s="717">
        <v>44742</v>
      </c>
      <c r="I307" s="717">
        <v>48760</v>
      </c>
      <c r="J307" s="741">
        <v>0</v>
      </c>
      <c r="K307" s="713">
        <v>4.6088219969155233</v>
      </c>
      <c r="L307" s="717"/>
      <c r="M307" s="635">
        <v>-1297512.8500000001</v>
      </c>
    </row>
    <row r="308" spans="3:13">
      <c r="C308" s="718" t="s">
        <v>668</v>
      </c>
      <c r="D308" s="232" t="s">
        <v>1016</v>
      </c>
      <c r="E308" s="719" t="s">
        <v>1017</v>
      </c>
      <c r="F308" s="300" t="s">
        <v>997</v>
      </c>
      <c r="G308" s="720" t="s">
        <v>998</v>
      </c>
      <c r="H308" s="717">
        <v>44742</v>
      </c>
      <c r="I308" s="717">
        <v>50770</v>
      </c>
      <c r="J308" s="741">
        <v>0</v>
      </c>
      <c r="K308" s="713">
        <v>7.3989144051705198</v>
      </c>
      <c r="L308" s="717"/>
      <c r="M308" s="635">
        <v>-191391</v>
      </c>
    </row>
    <row r="309" spans="3:13">
      <c r="C309" s="718" t="s">
        <v>668</v>
      </c>
      <c r="D309" s="232" t="s">
        <v>1016</v>
      </c>
      <c r="E309" s="719" t="s">
        <v>1017</v>
      </c>
      <c r="F309" s="300" t="s">
        <v>997</v>
      </c>
      <c r="G309" s="720" t="s">
        <v>998</v>
      </c>
      <c r="H309" s="717">
        <v>44742</v>
      </c>
      <c r="I309" s="717">
        <v>48760</v>
      </c>
      <c r="J309" s="741">
        <v>0</v>
      </c>
      <c r="K309" s="713">
        <v>4.6088220362159822</v>
      </c>
      <c r="L309" s="717"/>
      <c r="M309" s="635">
        <v>-770251.08</v>
      </c>
    </row>
    <row r="310" spans="3:13">
      <c r="C310" s="718" t="s">
        <v>668</v>
      </c>
      <c r="D310" s="232" t="s">
        <v>1016</v>
      </c>
      <c r="E310" s="719" t="s">
        <v>1017</v>
      </c>
      <c r="F310" s="720" t="s">
        <v>997</v>
      </c>
      <c r="G310" s="720" t="s">
        <v>998</v>
      </c>
      <c r="H310" s="717">
        <v>44742</v>
      </c>
      <c r="I310" s="717">
        <v>48730</v>
      </c>
      <c r="J310" s="741">
        <v>0</v>
      </c>
      <c r="K310" s="713">
        <v>4.5665628096245809</v>
      </c>
      <c r="L310" s="717"/>
      <c r="M310" s="635">
        <v>-1846063.0099999998</v>
      </c>
    </row>
    <row r="311" spans="3:13">
      <c r="C311" s="718" t="s">
        <v>668</v>
      </c>
      <c r="D311" s="232" t="s">
        <v>1018</v>
      </c>
      <c r="E311" s="719" t="s">
        <v>1017</v>
      </c>
      <c r="F311" s="720" t="s">
        <v>997</v>
      </c>
      <c r="G311" s="720" t="s">
        <v>998</v>
      </c>
      <c r="H311" s="717">
        <v>44742</v>
      </c>
      <c r="I311" s="717">
        <v>47664</v>
      </c>
      <c r="J311" s="741">
        <v>0</v>
      </c>
      <c r="K311" s="713">
        <v>3.0869984567901461</v>
      </c>
      <c r="L311" s="717"/>
      <c r="M311" s="635">
        <v>-7340989.0800000001</v>
      </c>
    </row>
    <row r="312" spans="3:13">
      <c r="C312" s="718" t="s">
        <v>668</v>
      </c>
      <c r="D312" s="232" t="s">
        <v>1016</v>
      </c>
      <c r="E312" s="719" t="s">
        <v>1017</v>
      </c>
      <c r="F312" s="720" t="s">
        <v>997</v>
      </c>
      <c r="G312" s="720" t="s">
        <v>998</v>
      </c>
      <c r="H312" s="717">
        <v>44742</v>
      </c>
      <c r="I312" s="717">
        <v>50495</v>
      </c>
      <c r="J312" s="741">
        <v>0</v>
      </c>
      <c r="K312" s="713">
        <v>7.0184680080090001</v>
      </c>
      <c r="L312" s="717"/>
      <c r="M312" s="635">
        <v>-929171.64</v>
      </c>
    </row>
    <row r="313" spans="3:13">
      <c r="C313" s="718" t="s">
        <v>668</v>
      </c>
      <c r="D313" s="232" t="s">
        <v>1016</v>
      </c>
      <c r="E313" s="719" t="s">
        <v>1017</v>
      </c>
      <c r="F313" s="720" t="s">
        <v>997</v>
      </c>
      <c r="G313" s="720" t="s">
        <v>998</v>
      </c>
      <c r="H313" s="717">
        <v>44742</v>
      </c>
      <c r="I313" s="717">
        <v>48760</v>
      </c>
      <c r="J313" s="741">
        <v>0</v>
      </c>
      <c r="K313" s="713">
        <v>4.6091628248438106</v>
      </c>
      <c r="L313" s="717"/>
      <c r="M313" s="635">
        <v>-59.53</v>
      </c>
    </row>
    <row r="314" spans="3:13">
      <c r="C314" s="718" t="s">
        <v>668</v>
      </c>
      <c r="D314" s="232" t="s">
        <v>1048</v>
      </c>
      <c r="E314" s="719" t="s">
        <v>1017</v>
      </c>
      <c r="F314" s="720" t="s">
        <v>997</v>
      </c>
      <c r="G314" s="720" t="s">
        <v>998</v>
      </c>
      <c r="H314" s="717">
        <v>45191</v>
      </c>
      <c r="I314" s="717">
        <v>45554</v>
      </c>
      <c r="J314" s="741">
        <v>0</v>
      </c>
      <c r="K314" s="713">
        <v>0</v>
      </c>
      <c r="L314" s="717"/>
      <c r="M314" s="635">
        <v>0.28000000002793968</v>
      </c>
    </row>
    <row r="315" spans="3:13">
      <c r="C315" s="718" t="s">
        <v>668</v>
      </c>
      <c r="D315" s="232" t="s">
        <v>1016</v>
      </c>
      <c r="E315" s="719" t="s">
        <v>1017</v>
      </c>
      <c r="F315" s="720" t="s">
        <v>997</v>
      </c>
      <c r="G315" s="720" t="s">
        <v>998</v>
      </c>
      <c r="H315" s="717">
        <v>44742</v>
      </c>
      <c r="I315" s="717">
        <v>48395</v>
      </c>
      <c r="J315" s="741">
        <v>0</v>
      </c>
      <c r="K315" s="713">
        <v>4.1014469781079246</v>
      </c>
      <c r="L315" s="717"/>
      <c r="M315" s="635">
        <v>-46350.179999999993</v>
      </c>
    </row>
    <row r="316" spans="3:13">
      <c r="C316" s="718" t="s">
        <v>668</v>
      </c>
      <c r="D316" s="232" t="s">
        <v>1016</v>
      </c>
      <c r="E316" s="719" t="s">
        <v>1017</v>
      </c>
      <c r="F316" s="720" t="s">
        <v>997</v>
      </c>
      <c r="G316" s="720" t="s">
        <v>998</v>
      </c>
      <c r="H316" s="717">
        <v>44742</v>
      </c>
      <c r="I316" s="717">
        <v>48760</v>
      </c>
      <c r="J316" s="741">
        <v>0</v>
      </c>
      <c r="K316" s="713">
        <v>4.6088220358255665</v>
      </c>
      <c r="L316" s="717"/>
      <c r="M316" s="635">
        <v>-1309606.1600000001</v>
      </c>
    </row>
    <row r="317" spans="3:13">
      <c r="C317" s="718" t="s">
        <v>668</v>
      </c>
      <c r="D317" s="232" t="s">
        <v>1016</v>
      </c>
      <c r="E317" s="719" t="s">
        <v>1017</v>
      </c>
      <c r="F317" s="720" t="s">
        <v>997</v>
      </c>
      <c r="G317" s="720" t="s">
        <v>998</v>
      </c>
      <c r="H317" s="717">
        <v>45291</v>
      </c>
      <c r="I317" s="717">
        <v>45378</v>
      </c>
      <c r="J317" s="741">
        <v>0</v>
      </c>
      <c r="K317" s="713">
        <v>0</v>
      </c>
      <c r="L317" s="717"/>
      <c r="M317" s="635">
        <v>0</v>
      </c>
    </row>
    <row r="318" spans="3:13">
      <c r="C318" s="718" t="s">
        <v>668</v>
      </c>
      <c r="D318" s="232" t="s">
        <v>1016</v>
      </c>
      <c r="E318" s="719" t="s">
        <v>1017</v>
      </c>
      <c r="F318" s="720" t="s">
        <v>997</v>
      </c>
      <c r="G318" s="720" t="s">
        <v>998</v>
      </c>
      <c r="H318" s="717">
        <v>45378</v>
      </c>
      <c r="I318" s="717">
        <v>45408</v>
      </c>
      <c r="J318" s="741"/>
      <c r="K318" s="713">
        <v>0</v>
      </c>
      <c r="L318" s="717"/>
      <c r="M318" s="635">
        <v>0</v>
      </c>
    </row>
    <row r="319" spans="3:13">
      <c r="C319" s="718" t="s">
        <v>668</v>
      </c>
      <c r="D319" s="232" t="s">
        <v>1010</v>
      </c>
      <c r="E319" s="719" t="s">
        <v>1032</v>
      </c>
      <c r="F319" s="720" t="s">
        <v>1014</v>
      </c>
      <c r="G319" s="720" t="s">
        <v>998</v>
      </c>
      <c r="H319" s="717">
        <v>45275</v>
      </c>
      <c r="I319" s="717">
        <v>45365</v>
      </c>
      <c r="J319" s="723">
        <v>1.4999999999999999E-2</v>
      </c>
      <c r="K319" s="713">
        <v>0</v>
      </c>
      <c r="L319" s="717"/>
      <c r="M319" s="635">
        <v>-0.38425920996814966</v>
      </c>
    </row>
    <row r="320" spans="3:13">
      <c r="C320" s="718" t="s">
        <v>668</v>
      </c>
      <c r="D320" s="232" t="s">
        <v>1010</v>
      </c>
      <c r="E320" s="719" t="s">
        <v>1032</v>
      </c>
      <c r="F320" s="720" t="s">
        <v>1014</v>
      </c>
      <c r="G320" s="720" t="s">
        <v>998</v>
      </c>
      <c r="H320" s="717">
        <v>45378</v>
      </c>
      <c r="I320" s="717">
        <v>45408</v>
      </c>
      <c r="J320" s="723">
        <v>1.4999999999999999E-2</v>
      </c>
      <c r="K320" s="713">
        <v>0</v>
      </c>
      <c r="L320" s="717"/>
      <c r="M320" s="635">
        <v>0.21206989698112011</v>
      </c>
    </row>
    <row r="321" spans="3:13">
      <c r="C321" s="718" t="s">
        <v>668</v>
      </c>
      <c r="D321" s="232" t="s">
        <v>1006</v>
      </c>
      <c r="E321" s="719" t="s">
        <v>1049</v>
      </c>
      <c r="F321" s="720" t="s">
        <v>1008</v>
      </c>
      <c r="G321" s="720" t="s">
        <v>1009</v>
      </c>
      <c r="H321" s="717">
        <v>45135</v>
      </c>
      <c r="I321" s="717">
        <v>45315</v>
      </c>
      <c r="J321" s="723">
        <v>1.7000000000000001E-2</v>
      </c>
      <c r="K321" s="713">
        <v>0</v>
      </c>
      <c r="L321" s="717"/>
      <c r="M321" s="635">
        <v>0.14999999786959961</v>
      </c>
    </row>
    <row r="322" spans="3:13">
      <c r="C322" s="718" t="s">
        <v>668</v>
      </c>
      <c r="D322" s="232" t="s">
        <v>1006</v>
      </c>
      <c r="E322" s="232" t="s">
        <v>1049</v>
      </c>
      <c r="F322" s="300" t="s">
        <v>1008</v>
      </c>
      <c r="G322" s="300" t="s">
        <v>1009</v>
      </c>
      <c r="H322" s="717">
        <v>45135</v>
      </c>
      <c r="I322" s="717">
        <v>45315</v>
      </c>
      <c r="J322" s="723">
        <v>1.7000000000000001E-2</v>
      </c>
      <c r="K322" s="713">
        <v>0</v>
      </c>
      <c r="L322" s="717"/>
      <c r="M322" s="635">
        <v>-8.0000000016298145E-2</v>
      </c>
    </row>
    <row r="323" spans="3:13">
      <c r="C323" s="718" t="s">
        <v>668</v>
      </c>
      <c r="D323" s="126" t="s">
        <v>1006</v>
      </c>
      <c r="E323" s="126" t="s">
        <v>1049</v>
      </c>
      <c r="F323" s="300" t="s">
        <v>1008</v>
      </c>
      <c r="G323" s="300" t="s">
        <v>1009</v>
      </c>
      <c r="H323" s="433">
        <v>45135</v>
      </c>
      <c r="I323" s="433">
        <v>45315</v>
      </c>
      <c r="J323" s="723">
        <v>1.7000000000000001E-2</v>
      </c>
      <c r="K323" s="713">
        <v>0</v>
      </c>
      <c r="L323" s="717"/>
      <c r="M323" s="635">
        <v>-0.3000000000174623</v>
      </c>
    </row>
    <row r="324" spans="3:13">
      <c r="C324" s="718" t="s">
        <v>668</v>
      </c>
      <c r="D324" s="126" t="s">
        <v>1006</v>
      </c>
      <c r="E324" s="126" t="s">
        <v>1049</v>
      </c>
      <c r="F324" s="720" t="s">
        <v>1008</v>
      </c>
      <c r="G324" s="300" t="s">
        <v>1009</v>
      </c>
      <c r="H324" s="433">
        <v>45135</v>
      </c>
      <c r="I324" s="433">
        <v>45315</v>
      </c>
      <c r="J324" s="723">
        <v>1.7000000000000001E-2</v>
      </c>
      <c r="K324" s="713">
        <v>0</v>
      </c>
      <c r="L324" s="717"/>
      <c r="M324" s="635">
        <v>-0.29999999998835847</v>
      </c>
    </row>
    <row r="325" spans="3:13">
      <c r="C325" s="718" t="s">
        <v>668</v>
      </c>
      <c r="D325" s="126" t="s">
        <v>1006</v>
      </c>
      <c r="E325" s="126" t="s">
        <v>1025</v>
      </c>
      <c r="F325" s="720" t="s">
        <v>1008</v>
      </c>
      <c r="G325" s="300" t="s">
        <v>1009</v>
      </c>
      <c r="H325" s="433">
        <v>45287</v>
      </c>
      <c r="I325" s="433">
        <v>45379</v>
      </c>
      <c r="J325" s="723">
        <v>1.5800000000000002E-2</v>
      </c>
      <c r="K325" s="713">
        <v>0</v>
      </c>
      <c r="L325" s="717"/>
      <c r="M325" s="635">
        <v>0</v>
      </c>
    </row>
    <row r="326" spans="3:13">
      <c r="C326" s="718" t="s">
        <v>668</v>
      </c>
      <c r="D326" s="126" t="s">
        <v>1006</v>
      </c>
      <c r="E326" s="126" t="s">
        <v>1025</v>
      </c>
      <c r="F326" s="720" t="s">
        <v>1008</v>
      </c>
      <c r="G326" s="300" t="s">
        <v>1009</v>
      </c>
      <c r="H326" s="433">
        <v>45378</v>
      </c>
      <c r="I326" s="433">
        <v>45470</v>
      </c>
      <c r="J326" s="723">
        <v>1.5800000000000002E-2</v>
      </c>
      <c r="K326" s="713">
        <v>0</v>
      </c>
      <c r="L326" s="717"/>
      <c r="M326" s="635">
        <v>1.9999990239739418E-2</v>
      </c>
    </row>
    <row r="327" spans="3:13" s="600" customFormat="1">
      <c r="C327" s="718" t="s">
        <v>668</v>
      </c>
      <c r="D327" s="126" t="s">
        <v>1006</v>
      </c>
      <c r="E327" s="126" t="s">
        <v>1049</v>
      </c>
      <c r="F327" s="300" t="s">
        <v>1008</v>
      </c>
      <c r="G327" s="300" t="s">
        <v>1009</v>
      </c>
      <c r="H327" s="433">
        <v>45170</v>
      </c>
      <c r="I327" s="433">
        <v>44985</v>
      </c>
      <c r="J327" s="723">
        <v>1.7500000000000002E-2</v>
      </c>
      <c r="K327" s="713">
        <v>0</v>
      </c>
      <c r="L327" s="717"/>
      <c r="M327" s="635">
        <v>0.28000000468455255</v>
      </c>
    </row>
    <row r="328" spans="3:13">
      <c r="C328" s="718" t="s">
        <v>668</v>
      </c>
      <c r="D328" s="126" t="s">
        <v>1006</v>
      </c>
      <c r="E328" s="126" t="s">
        <v>1049</v>
      </c>
      <c r="F328" s="300" t="s">
        <v>1008</v>
      </c>
      <c r="G328" s="300" t="s">
        <v>1009</v>
      </c>
      <c r="H328" s="433">
        <v>45315</v>
      </c>
      <c r="I328" s="433">
        <v>45495</v>
      </c>
      <c r="J328" s="723">
        <v>1.7000000000000001E-2</v>
      </c>
      <c r="K328" s="713">
        <v>8.611111111111111E-2</v>
      </c>
      <c r="L328" s="717"/>
      <c r="M328" s="635">
        <v>44732693.649999999</v>
      </c>
    </row>
    <row r="329" spans="3:13">
      <c r="C329" s="718" t="s">
        <v>668</v>
      </c>
      <c r="D329" s="126" t="s">
        <v>1006</v>
      </c>
      <c r="E329" s="126" t="s">
        <v>1049</v>
      </c>
      <c r="F329" s="300" t="s">
        <v>1008</v>
      </c>
      <c r="G329" s="300" t="s">
        <v>1009</v>
      </c>
      <c r="H329" s="433">
        <v>45315</v>
      </c>
      <c r="I329" s="433">
        <v>45495</v>
      </c>
      <c r="J329" s="723">
        <v>1.7000000000000001E-2</v>
      </c>
      <c r="K329" s="713">
        <v>8.611111111111111E-2</v>
      </c>
      <c r="L329" s="717"/>
      <c r="M329" s="635">
        <v>37850741.229999997</v>
      </c>
    </row>
    <row r="330" spans="3:13">
      <c r="C330" s="718" t="s">
        <v>668</v>
      </c>
      <c r="D330" s="126" t="s">
        <v>1006</v>
      </c>
      <c r="E330" s="126" t="s">
        <v>1049</v>
      </c>
      <c r="F330" s="300" t="s">
        <v>1008</v>
      </c>
      <c r="G330" s="300" t="s">
        <v>1009</v>
      </c>
      <c r="H330" s="433">
        <v>45315</v>
      </c>
      <c r="I330" s="433">
        <v>45495</v>
      </c>
      <c r="J330" s="723">
        <v>1.7000000000000001E-2</v>
      </c>
      <c r="K330" s="713">
        <v>8.611111111111111E-2</v>
      </c>
      <c r="L330" s="717"/>
      <c r="M330" s="635">
        <v>37850741.230000004</v>
      </c>
    </row>
    <row r="331" spans="3:13">
      <c r="C331" s="718" t="s">
        <v>668</v>
      </c>
      <c r="D331" s="232" t="s">
        <v>1006</v>
      </c>
      <c r="E331" s="232" t="s">
        <v>1049</v>
      </c>
      <c r="F331" s="300" t="s">
        <v>1008</v>
      </c>
      <c r="G331" s="720" t="s">
        <v>1009</v>
      </c>
      <c r="H331" s="717">
        <v>45315</v>
      </c>
      <c r="I331" s="717">
        <v>45495</v>
      </c>
      <c r="J331" s="723">
        <v>1.7000000000000001E-2</v>
      </c>
      <c r="K331" s="713">
        <v>8.611111111111111E-2</v>
      </c>
      <c r="L331" s="717"/>
      <c r="M331" s="635">
        <v>51614647.150000006</v>
      </c>
    </row>
    <row r="332" spans="3:13">
      <c r="C332" s="718" t="s">
        <v>668</v>
      </c>
      <c r="D332" s="232" t="s">
        <v>1006</v>
      </c>
      <c r="E332" s="232" t="s">
        <v>1049</v>
      </c>
      <c r="F332" s="300" t="s">
        <v>1008</v>
      </c>
      <c r="G332" s="720" t="s">
        <v>1009</v>
      </c>
      <c r="H332" s="717">
        <v>45350</v>
      </c>
      <c r="I332" s="717">
        <v>45530</v>
      </c>
      <c r="J332" s="723">
        <v>1.7000000000000001E-2</v>
      </c>
      <c r="K332" s="713">
        <v>0.17222222222222222</v>
      </c>
      <c r="L332" s="717"/>
      <c r="M332" s="635">
        <v>171440926</v>
      </c>
    </row>
    <row r="333" spans="3:13">
      <c r="C333" s="718" t="s">
        <v>668</v>
      </c>
      <c r="D333" s="232" t="s">
        <v>1013</v>
      </c>
      <c r="E333" s="232" t="s">
        <v>1050</v>
      </c>
      <c r="F333" s="300" t="s">
        <v>902</v>
      </c>
      <c r="G333" s="720" t="s">
        <v>998</v>
      </c>
      <c r="H333" s="717">
        <v>45384</v>
      </c>
      <c r="I333" s="717">
        <v>52671</v>
      </c>
      <c r="J333" s="723">
        <v>6.8413000000000002E-2</v>
      </c>
      <c r="K333" s="713">
        <v>12.793494421805635</v>
      </c>
      <c r="L333" s="717"/>
      <c r="M333" s="635">
        <v>976266165.39999998</v>
      </c>
    </row>
    <row r="334" spans="3:13">
      <c r="C334" s="718" t="s">
        <v>668</v>
      </c>
      <c r="D334" s="232" t="s">
        <v>1018</v>
      </c>
      <c r="E334" s="232" t="s">
        <v>1017</v>
      </c>
      <c r="F334" s="300" t="s">
        <v>997</v>
      </c>
      <c r="G334" s="720" t="s">
        <v>998</v>
      </c>
      <c r="H334" s="717">
        <v>45384</v>
      </c>
      <c r="I334" s="717">
        <v>52671</v>
      </c>
      <c r="J334" s="723">
        <v>0</v>
      </c>
      <c r="K334" s="713">
        <v>10.06213077973011</v>
      </c>
      <c r="L334" s="717"/>
      <c r="M334" s="635">
        <v>-57524124.010000005</v>
      </c>
    </row>
    <row r="335" spans="3:13">
      <c r="C335" s="718" t="s">
        <v>668</v>
      </c>
      <c r="D335" s="232" t="s">
        <v>1006</v>
      </c>
      <c r="E335" s="232" t="s">
        <v>1025</v>
      </c>
      <c r="F335" s="300" t="s">
        <v>1008</v>
      </c>
      <c r="G335" s="720" t="s">
        <v>1009</v>
      </c>
      <c r="H335" s="717">
        <v>45470</v>
      </c>
      <c r="I335" s="717">
        <v>45562</v>
      </c>
      <c r="J335" s="723">
        <v>1.54E-2</v>
      </c>
      <c r="K335" s="713">
        <v>0.25555555555555554</v>
      </c>
      <c r="L335" s="717"/>
      <c r="M335" s="635">
        <v>152166017.64000002</v>
      </c>
    </row>
    <row r="336" spans="3:13">
      <c r="C336" s="718" t="s">
        <v>668</v>
      </c>
      <c r="D336" s="232" t="s">
        <v>1010</v>
      </c>
      <c r="E336" s="232" t="s">
        <v>1002</v>
      </c>
      <c r="F336" s="300" t="s">
        <v>902</v>
      </c>
      <c r="G336" s="720" t="s">
        <v>998</v>
      </c>
      <c r="H336" s="717">
        <v>45457</v>
      </c>
      <c r="I336" s="717">
        <v>54163</v>
      </c>
      <c r="J336" s="723">
        <v>4.6011999999999997E-2</v>
      </c>
      <c r="K336" s="713">
        <v>14.534217437576768</v>
      </c>
      <c r="L336" s="717"/>
      <c r="M336" s="635">
        <v>95814484.179999992</v>
      </c>
    </row>
    <row r="337" spans="3:13">
      <c r="C337" s="718" t="s">
        <v>668</v>
      </c>
      <c r="D337" s="232" t="s">
        <v>1010</v>
      </c>
      <c r="E337" s="232" t="s">
        <v>1002</v>
      </c>
      <c r="F337" s="300" t="s">
        <v>902</v>
      </c>
      <c r="G337" s="720" t="s">
        <v>998</v>
      </c>
      <c r="H337" s="717">
        <v>45457</v>
      </c>
      <c r="I337" s="717">
        <v>54163</v>
      </c>
      <c r="J337" s="723">
        <v>4.6011999999999997E-2</v>
      </c>
      <c r="K337" s="713">
        <v>13.562072964779045</v>
      </c>
      <c r="L337" s="717"/>
      <c r="M337" s="635">
        <v>102335888.86000001</v>
      </c>
    </row>
    <row r="338" spans="3:13">
      <c r="C338" s="718" t="s">
        <v>668</v>
      </c>
      <c r="D338" s="232" t="s">
        <v>1010</v>
      </c>
      <c r="E338" s="232" t="s">
        <v>1002</v>
      </c>
      <c r="F338" s="300" t="s">
        <v>902</v>
      </c>
      <c r="G338" s="720" t="s">
        <v>998</v>
      </c>
      <c r="H338" s="717">
        <v>45457</v>
      </c>
      <c r="I338" s="717">
        <v>54163</v>
      </c>
      <c r="J338" s="723">
        <v>4.6011999999999997E-2</v>
      </c>
      <c r="K338" s="713">
        <v>17.013023359393387</v>
      </c>
      <c r="L338" s="717"/>
      <c r="M338" s="635">
        <v>95814484.180000007</v>
      </c>
    </row>
    <row r="339" spans="3:13">
      <c r="C339" s="718" t="s">
        <v>668</v>
      </c>
      <c r="D339" s="232" t="s">
        <v>1010</v>
      </c>
      <c r="E339" s="232" t="s">
        <v>1002</v>
      </c>
      <c r="F339" s="300" t="s">
        <v>902</v>
      </c>
      <c r="G339" s="720" t="s">
        <v>998</v>
      </c>
      <c r="H339" s="717">
        <v>45457</v>
      </c>
      <c r="I339" s="717">
        <v>48136</v>
      </c>
      <c r="J339" s="723">
        <v>0.11</v>
      </c>
      <c r="K339" s="713">
        <v>4.1165134922248399</v>
      </c>
      <c r="L339" s="717"/>
      <c r="M339" s="635">
        <v>15106257.859999999</v>
      </c>
    </row>
    <row r="340" spans="3:13">
      <c r="C340" s="718" t="s">
        <v>668</v>
      </c>
      <c r="D340" s="232" t="s">
        <v>1010</v>
      </c>
      <c r="E340" s="232" t="s">
        <v>1002</v>
      </c>
      <c r="F340" s="300" t="s">
        <v>902</v>
      </c>
      <c r="G340" s="720" t="s">
        <v>998</v>
      </c>
      <c r="H340" s="717">
        <v>45457</v>
      </c>
      <c r="I340" s="717">
        <v>48136</v>
      </c>
      <c r="J340" s="723">
        <v>0.11</v>
      </c>
      <c r="K340" s="713">
        <v>4.1165134922248399</v>
      </c>
      <c r="L340" s="717"/>
      <c r="M340" s="635">
        <v>15106257.859999999</v>
      </c>
    </row>
    <row r="341" spans="3:13">
      <c r="C341" s="718" t="s">
        <v>668</v>
      </c>
      <c r="D341" s="232" t="s">
        <v>1016</v>
      </c>
      <c r="E341" s="232" t="s">
        <v>1017</v>
      </c>
      <c r="F341" s="300" t="s">
        <v>997</v>
      </c>
      <c r="G341" s="720" t="s">
        <v>998</v>
      </c>
      <c r="H341" s="717">
        <v>45457</v>
      </c>
      <c r="I341" s="717">
        <v>50570</v>
      </c>
      <c r="J341" s="723">
        <v>0</v>
      </c>
      <c r="K341" s="713">
        <v>14.202777777777778</v>
      </c>
      <c r="L341" s="717"/>
      <c r="M341" s="635">
        <v>-664895</v>
      </c>
    </row>
    <row r="342" spans="3:13">
      <c r="C342" s="718" t="s">
        <v>668</v>
      </c>
      <c r="D342" s="232" t="s">
        <v>1016</v>
      </c>
      <c r="E342" s="232" t="s">
        <v>1017</v>
      </c>
      <c r="F342" s="300" t="s">
        <v>997</v>
      </c>
      <c r="G342" s="720" t="s">
        <v>998</v>
      </c>
      <c r="H342" s="717">
        <v>45457</v>
      </c>
      <c r="I342" s="717">
        <v>50570</v>
      </c>
      <c r="J342" s="723">
        <v>0</v>
      </c>
      <c r="K342" s="713">
        <v>14.202777777777778</v>
      </c>
      <c r="L342" s="717"/>
      <c r="M342" s="635">
        <v>-652211</v>
      </c>
    </row>
    <row r="343" spans="3:13">
      <c r="C343" s="718" t="s">
        <v>668</v>
      </c>
      <c r="D343" s="232" t="s">
        <v>1016</v>
      </c>
      <c r="E343" s="232" t="s">
        <v>1017</v>
      </c>
      <c r="F343" s="300" t="s">
        <v>997</v>
      </c>
      <c r="G343" s="720" t="s">
        <v>998</v>
      </c>
      <c r="H343" s="717">
        <v>45457</v>
      </c>
      <c r="I343" s="717">
        <v>50570</v>
      </c>
      <c r="J343" s="723">
        <v>0</v>
      </c>
      <c r="K343" s="713">
        <v>14.202777777777778</v>
      </c>
      <c r="L343" s="717"/>
      <c r="M343" s="635">
        <v>-689457</v>
      </c>
    </row>
    <row r="344" spans="3:13">
      <c r="C344" s="718" t="s">
        <v>954</v>
      </c>
      <c r="D344" s="232" t="s">
        <v>1010</v>
      </c>
      <c r="E344" s="232" t="s">
        <v>1051</v>
      </c>
      <c r="F344" s="300" t="s">
        <v>997</v>
      </c>
      <c r="G344" s="720" t="s">
        <v>998</v>
      </c>
      <c r="H344" s="717">
        <v>41899</v>
      </c>
      <c r="I344" s="717">
        <v>46675</v>
      </c>
      <c r="J344" s="723">
        <v>6.8000000000000005E-2</v>
      </c>
      <c r="K344" s="713">
        <v>1.7910812195672809</v>
      </c>
      <c r="L344" s="717" t="s">
        <v>1005</v>
      </c>
      <c r="M344" s="635">
        <v>54291860.899999999</v>
      </c>
    </row>
    <row r="345" spans="3:13">
      <c r="C345" s="718" t="s">
        <v>954</v>
      </c>
      <c r="D345" s="232" t="s">
        <v>1013</v>
      </c>
      <c r="E345" s="232" t="s">
        <v>719</v>
      </c>
      <c r="F345" s="300" t="s">
        <v>1014</v>
      </c>
      <c r="G345" s="720" t="s">
        <v>998</v>
      </c>
      <c r="H345" s="717">
        <v>44952</v>
      </c>
      <c r="I345" s="717">
        <v>46042</v>
      </c>
      <c r="J345" s="723">
        <v>1.4999999999999999E-2</v>
      </c>
      <c r="K345" s="713">
        <v>1.5356091509455332</v>
      </c>
      <c r="L345" s="717" t="s">
        <v>999</v>
      </c>
      <c r="M345" s="635">
        <v>4448936028.3309736</v>
      </c>
    </row>
    <row r="346" spans="3:13">
      <c r="C346" s="718" t="s">
        <v>954</v>
      </c>
      <c r="D346" s="232" t="s">
        <v>1013</v>
      </c>
      <c r="E346" s="232" t="s">
        <v>719</v>
      </c>
      <c r="F346" s="300" t="s">
        <v>902</v>
      </c>
      <c r="G346" s="720" t="s">
        <v>998</v>
      </c>
      <c r="H346" s="717">
        <v>45054</v>
      </c>
      <c r="I346" s="717">
        <v>47953</v>
      </c>
      <c r="J346" s="723">
        <v>7.0999999999999994E-2</v>
      </c>
      <c r="K346" s="713">
        <v>5.8383140526628061</v>
      </c>
      <c r="L346" s="717" t="s">
        <v>1044</v>
      </c>
      <c r="M346" s="635">
        <v>1060472409.35</v>
      </c>
    </row>
    <row r="347" spans="3:13">
      <c r="C347" s="718" t="s">
        <v>954</v>
      </c>
      <c r="D347" s="232" t="s">
        <v>1013</v>
      </c>
      <c r="E347" s="232" t="s">
        <v>719</v>
      </c>
      <c r="F347" s="300" t="s">
        <v>902</v>
      </c>
      <c r="G347" s="720" t="s">
        <v>998</v>
      </c>
      <c r="H347" s="717">
        <v>45226</v>
      </c>
      <c r="I347" s="717">
        <v>48136</v>
      </c>
      <c r="J347" s="723">
        <v>6.4407000000000006E-2</v>
      </c>
      <c r="K347" s="713">
        <v>6.3498926074293198</v>
      </c>
      <c r="L347" s="717" t="s">
        <v>1044</v>
      </c>
      <c r="M347" s="635">
        <v>503165493.61000001</v>
      </c>
    </row>
    <row r="348" spans="3:13">
      <c r="C348" s="718" t="s">
        <v>954</v>
      </c>
      <c r="D348" s="232" t="s">
        <v>1013</v>
      </c>
      <c r="E348" s="232" t="s">
        <v>719</v>
      </c>
      <c r="F348" s="300" t="s">
        <v>902</v>
      </c>
      <c r="G348" s="720" t="s">
        <v>998</v>
      </c>
      <c r="H348" s="717">
        <v>45226</v>
      </c>
      <c r="I348" s="717">
        <v>49597</v>
      </c>
      <c r="J348" s="723">
        <v>6.6789000000000001E-2</v>
      </c>
      <c r="K348" s="713">
        <v>9.851445702961529</v>
      </c>
      <c r="L348" s="717" t="s">
        <v>1044</v>
      </c>
      <c r="M348" s="635">
        <v>755096460.35000002</v>
      </c>
    </row>
    <row r="349" spans="3:13">
      <c r="C349" s="718" t="s">
        <v>954</v>
      </c>
      <c r="D349" s="232" t="s">
        <v>1013</v>
      </c>
      <c r="E349" s="232" t="s">
        <v>719</v>
      </c>
      <c r="F349" s="300" t="s">
        <v>1014</v>
      </c>
      <c r="G349" s="720" t="s">
        <v>998</v>
      </c>
      <c r="H349" s="717">
        <v>45237</v>
      </c>
      <c r="I349" s="717">
        <v>47406</v>
      </c>
      <c r="J349" s="723">
        <v>1.6500000000000001E-2</v>
      </c>
      <c r="K349" s="713">
        <v>4.3030700789915901</v>
      </c>
      <c r="L349" s="717" t="s">
        <v>1044</v>
      </c>
      <c r="M349" s="635">
        <v>1897815076.52</v>
      </c>
    </row>
    <row r="350" spans="3:13">
      <c r="C350" s="718" t="s">
        <v>954</v>
      </c>
      <c r="D350" s="232" t="s">
        <v>1013</v>
      </c>
      <c r="E350" s="232" t="s">
        <v>719</v>
      </c>
      <c r="F350" s="300" t="s">
        <v>1014</v>
      </c>
      <c r="G350" s="720" t="s">
        <v>998</v>
      </c>
      <c r="H350" s="717">
        <v>45385</v>
      </c>
      <c r="I350" s="717">
        <v>47562</v>
      </c>
      <c r="J350" s="723">
        <v>1.0500000000000001E-2</v>
      </c>
      <c r="K350" s="713">
        <v>4.7011182142926673</v>
      </c>
      <c r="L350" s="717" t="s">
        <v>1044</v>
      </c>
      <c r="M350" s="635">
        <v>2058902616.28</v>
      </c>
    </row>
    <row r="351" spans="3:13">
      <c r="C351" s="718" t="s">
        <v>954</v>
      </c>
      <c r="D351" s="232" t="s">
        <v>1013</v>
      </c>
      <c r="E351" s="232" t="s">
        <v>719</v>
      </c>
      <c r="F351" s="300" t="s">
        <v>1014</v>
      </c>
      <c r="G351" s="720" t="s">
        <v>998</v>
      </c>
      <c r="H351" s="717">
        <v>45456</v>
      </c>
      <c r="I351" s="717">
        <v>49810</v>
      </c>
      <c r="J351" s="723">
        <v>3.0000000000000001E-3</v>
      </c>
      <c r="K351" s="713">
        <v>10.540948052823762</v>
      </c>
      <c r="L351" s="717" t="s">
        <v>1044</v>
      </c>
      <c r="M351" s="635">
        <v>954978861.13</v>
      </c>
    </row>
    <row r="352" spans="3:13">
      <c r="C352" s="718" t="s">
        <v>954</v>
      </c>
      <c r="D352" s="232" t="s">
        <v>1018</v>
      </c>
      <c r="E352" s="232" t="s">
        <v>1017</v>
      </c>
      <c r="F352" s="300" t="s">
        <v>997</v>
      </c>
      <c r="G352" s="720" t="s">
        <v>998</v>
      </c>
      <c r="H352" s="717">
        <v>44952</v>
      </c>
      <c r="I352" s="717">
        <v>46042</v>
      </c>
      <c r="J352" s="723">
        <v>0</v>
      </c>
      <c r="K352" s="713">
        <v>0.889444444444497</v>
      </c>
      <c r="L352" s="717" t="s">
        <v>1005</v>
      </c>
      <c r="M352" s="635">
        <v>-63104588.837583005</v>
      </c>
    </row>
    <row r="353" spans="3:13">
      <c r="C353" s="718" t="s">
        <v>954</v>
      </c>
      <c r="D353" s="232" t="s">
        <v>1018</v>
      </c>
      <c r="E353" s="232" t="s">
        <v>1017</v>
      </c>
      <c r="F353" s="300" t="s">
        <v>997</v>
      </c>
      <c r="G353" s="720" t="s">
        <v>998</v>
      </c>
      <c r="H353" s="717">
        <v>45054</v>
      </c>
      <c r="I353" s="717">
        <v>47953</v>
      </c>
      <c r="J353" s="723">
        <v>0</v>
      </c>
      <c r="K353" s="713">
        <v>3.5096883468835181</v>
      </c>
      <c r="L353" s="717" t="s">
        <v>1005</v>
      </c>
      <c r="M353" s="635">
        <v>-34241177.878631622</v>
      </c>
    </row>
    <row r="354" spans="3:13">
      <c r="C354" s="718" t="s">
        <v>954</v>
      </c>
      <c r="D354" s="232" t="s">
        <v>1018</v>
      </c>
      <c r="E354" s="232" t="s">
        <v>1017</v>
      </c>
      <c r="F354" s="300" t="s">
        <v>997</v>
      </c>
      <c r="G354" s="720" t="s">
        <v>998</v>
      </c>
      <c r="H354" s="717">
        <v>45237</v>
      </c>
      <c r="I354" s="717">
        <v>47406</v>
      </c>
      <c r="J354" s="723">
        <v>0</v>
      </c>
      <c r="K354" s="713">
        <v>2.7488715277777778</v>
      </c>
      <c r="L354" s="717" t="s">
        <v>1005</v>
      </c>
      <c r="M354" s="635">
        <v>-44353263.550000004</v>
      </c>
    </row>
    <row r="355" spans="3:13">
      <c r="C355" s="718" t="s">
        <v>954</v>
      </c>
      <c r="D355" s="232" t="s">
        <v>1018</v>
      </c>
      <c r="E355" s="232" t="s">
        <v>1017</v>
      </c>
      <c r="F355" s="300" t="s">
        <v>997</v>
      </c>
      <c r="G355" s="720" t="s">
        <v>998</v>
      </c>
      <c r="H355" s="717">
        <v>45444</v>
      </c>
      <c r="I355" s="717">
        <v>47562</v>
      </c>
      <c r="J355" s="723">
        <v>0</v>
      </c>
      <c r="K355" s="713">
        <v>2.9602657004831094</v>
      </c>
      <c r="L355" s="717"/>
      <c r="M355" s="635">
        <v>-6569122.4299999997</v>
      </c>
    </row>
    <row r="356" spans="3:13">
      <c r="C356" s="718" t="s">
        <v>954</v>
      </c>
      <c r="D356" s="232" t="s">
        <v>1018</v>
      </c>
      <c r="E356" s="232" t="s">
        <v>1017</v>
      </c>
      <c r="F356" s="300" t="s">
        <v>997</v>
      </c>
      <c r="G356" s="720" t="s">
        <v>998</v>
      </c>
      <c r="H356" s="717">
        <v>45444</v>
      </c>
      <c r="I356" s="717">
        <v>49810</v>
      </c>
      <c r="J356" s="723">
        <v>0</v>
      </c>
      <c r="K356" s="713">
        <v>6.0883449883449225</v>
      </c>
      <c r="L356" s="717"/>
      <c r="M356" s="635">
        <v>-35958689.519999996</v>
      </c>
    </row>
    <row r="357" spans="3:13">
      <c r="C357" s="638" t="s">
        <v>954</v>
      </c>
      <c r="D357" s="603" t="s">
        <v>1029</v>
      </c>
      <c r="E357" s="603" t="s">
        <v>1017</v>
      </c>
      <c r="F357" s="454" t="s">
        <v>997</v>
      </c>
      <c r="G357" s="602" t="s">
        <v>998</v>
      </c>
      <c r="H357" s="604">
        <v>41899</v>
      </c>
      <c r="I357" s="604">
        <v>46675</v>
      </c>
      <c r="J357" s="742">
        <v>0</v>
      </c>
      <c r="K357" s="636">
        <v>1.7957612182457725</v>
      </c>
      <c r="L357" s="604" t="s">
        <v>1005</v>
      </c>
      <c r="M357" s="637">
        <v>-10182027.489999987</v>
      </c>
    </row>
    <row r="358" spans="3:13">
      <c r="M358" s="124">
        <f>SUM(M9:M357)</f>
        <v>47862695919.89283</v>
      </c>
    </row>
  </sheetData>
  <mergeCells count="11">
    <mergeCell ref="J7:J8"/>
    <mergeCell ref="K7:K8"/>
    <mergeCell ref="L7:L8"/>
    <mergeCell ref="M7:M8"/>
    <mergeCell ref="C7:C8"/>
    <mergeCell ref="E7:E8"/>
    <mergeCell ref="F7:F8"/>
    <mergeCell ref="G7:G8"/>
    <mergeCell ref="H7:H8"/>
    <mergeCell ref="I7:I8"/>
    <mergeCell ref="D7:D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9" tint="0.79998168889431442"/>
  </sheetPr>
  <dimension ref="B1:XFD118"/>
  <sheetViews>
    <sheetView zoomScale="80" zoomScaleNormal="80" workbookViewId="0">
      <pane xSplit="2" ySplit="7" topLeftCell="AA8" activePane="bottomRight" state="frozen"/>
      <selection pane="topRight" activeCell="L103" sqref="L103"/>
      <selection pane="bottomLeft" activeCell="L103" sqref="L103"/>
      <selection pane="bottomRight" activeCell="AL47" sqref="AL47"/>
    </sheetView>
  </sheetViews>
  <sheetFormatPr defaultColWidth="9.1796875" defaultRowHeight="14.5" outlineLevelCol="1"/>
  <cols>
    <col min="1" max="1" width="9.1796875" style="37"/>
    <col min="2" max="2" width="28.7265625" style="37" customWidth="1"/>
    <col min="3" max="3" width="1.54296875" style="37" customWidth="1"/>
    <col min="4" max="7" width="9.1796875" style="38" hidden="1" customWidth="1" outlineLevel="1"/>
    <col min="8" max="11" width="9.1796875" style="39" hidden="1" customWidth="1" outlineLevel="1"/>
    <col min="12" max="23" width="9.1796875" style="37" hidden="1" customWidth="1" outlineLevel="1"/>
    <col min="24" max="24" width="9.1796875" style="37" customWidth="1" collapsed="1"/>
    <col min="25" max="27" width="9.1796875" style="37" customWidth="1"/>
    <col min="28" max="16384" width="9.1796875" style="37"/>
  </cols>
  <sheetData>
    <row r="1" spans="2:34">
      <c r="Z1" s="40"/>
      <c r="AA1" s="40"/>
      <c r="AB1" s="40"/>
      <c r="AC1" s="40"/>
      <c r="AD1" s="40"/>
      <c r="AE1" s="40"/>
      <c r="AF1" s="40"/>
      <c r="AG1" s="40"/>
    </row>
    <row r="2" spans="2:34">
      <c r="Z2" s="40"/>
      <c r="AA2" s="40"/>
      <c r="AB2" s="40"/>
      <c r="AC2" s="40"/>
      <c r="AD2" s="40"/>
      <c r="AE2" s="40"/>
      <c r="AF2" s="40"/>
      <c r="AG2" s="40"/>
    </row>
    <row r="3" spans="2:34">
      <c r="Z3" s="40"/>
      <c r="AA3" s="40"/>
      <c r="AB3" s="40"/>
      <c r="AC3" s="40"/>
      <c r="AD3" s="40"/>
      <c r="AE3" s="40"/>
      <c r="AF3" s="40"/>
      <c r="AG3" s="40"/>
    </row>
    <row r="4" spans="2:34">
      <c r="Z4" s="40"/>
      <c r="AA4" s="40"/>
      <c r="AB4" s="40"/>
      <c r="AC4" s="40"/>
      <c r="AD4" s="40"/>
      <c r="AE4" s="40"/>
      <c r="AF4" s="40"/>
      <c r="AG4" s="40"/>
    </row>
    <row r="5" spans="2:34">
      <c r="Z5" s="40"/>
      <c r="AA5" s="40"/>
      <c r="AB5" s="40"/>
      <c r="AC5" s="40"/>
      <c r="AD5" s="40"/>
      <c r="AE5" s="40"/>
      <c r="AF5" s="40"/>
      <c r="AG5" s="40"/>
    </row>
    <row r="6" spans="2:34">
      <c r="Z6" s="40"/>
      <c r="AA6" s="40"/>
      <c r="AB6" s="40"/>
      <c r="AC6" s="40"/>
      <c r="AD6" s="40"/>
      <c r="AE6" s="40"/>
      <c r="AF6" s="40"/>
      <c r="AG6" s="40"/>
    </row>
    <row r="7" spans="2:34">
      <c r="B7" s="128" t="s">
        <v>1052</v>
      </c>
      <c r="D7" s="129" t="s">
        <v>25</v>
      </c>
      <c r="E7" s="129" t="s">
        <v>26</v>
      </c>
      <c r="F7" s="129" t="s">
        <v>27</v>
      </c>
      <c r="G7" s="129" t="s">
        <v>28</v>
      </c>
      <c r="H7" s="130" t="s">
        <v>29</v>
      </c>
      <c r="I7" s="130" t="s">
        <v>30</v>
      </c>
      <c r="J7" s="130" t="s">
        <v>31</v>
      </c>
      <c r="K7" s="130" t="s">
        <v>32</v>
      </c>
      <c r="L7" s="130" t="s">
        <v>33</v>
      </c>
      <c r="M7" s="130" t="s">
        <v>34</v>
      </c>
      <c r="N7" s="131" t="s">
        <v>35</v>
      </c>
      <c r="O7" s="131" t="s">
        <v>36</v>
      </c>
      <c r="P7" s="131" t="s">
        <v>37</v>
      </c>
      <c r="Q7" s="131" t="s">
        <v>38</v>
      </c>
      <c r="R7" s="131" t="s">
        <v>39</v>
      </c>
      <c r="S7" s="131" t="s">
        <v>40</v>
      </c>
      <c r="T7" s="131" t="s">
        <v>41</v>
      </c>
      <c r="U7" s="131" t="s">
        <v>42</v>
      </c>
      <c r="V7" s="131" t="s">
        <v>43</v>
      </c>
      <c r="W7" s="131" t="s">
        <v>44</v>
      </c>
      <c r="X7" s="131" t="s">
        <v>45</v>
      </c>
      <c r="Y7" s="131" t="s">
        <v>46</v>
      </c>
      <c r="Z7" s="131" t="s">
        <v>47</v>
      </c>
      <c r="AA7" s="131" t="s">
        <v>48</v>
      </c>
      <c r="AB7" s="131" t="s">
        <v>49</v>
      </c>
      <c r="AC7" s="131" t="s">
        <v>50</v>
      </c>
      <c r="AD7" s="131" t="s">
        <v>51</v>
      </c>
      <c r="AE7" s="131" t="s">
        <v>52</v>
      </c>
      <c r="AF7" s="131" t="s">
        <v>53</v>
      </c>
      <c r="AG7" s="131" t="s">
        <v>54</v>
      </c>
    </row>
    <row r="8" spans="2:34">
      <c r="B8" s="41" t="s">
        <v>55</v>
      </c>
      <c r="D8" s="42"/>
      <c r="E8" s="42"/>
      <c r="F8" s="42"/>
      <c r="G8" s="42"/>
      <c r="H8" s="43"/>
      <c r="I8" s="43"/>
      <c r="J8" s="43"/>
      <c r="K8" s="43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</row>
    <row r="9" spans="2:34">
      <c r="B9" s="45" t="s">
        <v>1053</v>
      </c>
      <c r="D9" s="46">
        <v>96</v>
      </c>
      <c r="E9" s="46">
        <v>60</v>
      </c>
      <c r="F9" s="46">
        <v>69</v>
      </c>
      <c r="G9" s="46">
        <v>84</v>
      </c>
      <c r="H9" s="47">
        <v>49</v>
      </c>
      <c r="I9" s="47">
        <v>73</v>
      </c>
      <c r="J9" s="47">
        <v>66</v>
      </c>
      <c r="K9" s="47">
        <v>77</v>
      </c>
      <c r="L9" s="46">
        <v>55</v>
      </c>
      <c r="M9" s="46">
        <v>73</v>
      </c>
      <c r="N9" s="46">
        <v>67</v>
      </c>
      <c r="O9" s="46">
        <v>104.46841546536238</v>
      </c>
      <c r="P9" s="46">
        <v>95.364845699084697</v>
      </c>
      <c r="Q9" s="46">
        <v>89.146019206331786</v>
      </c>
      <c r="R9" s="46">
        <v>88.844957441120499</v>
      </c>
      <c r="S9" s="46">
        <v>159.59506640406497</v>
      </c>
      <c r="T9" s="46">
        <v>123.1594957720167</v>
      </c>
      <c r="U9" s="46">
        <v>58.84020273919193</v>
      </c>
      <c r="V9" s="46">
        <v>139.669389</v>
      </c>
      <c r="W9" s="46">
        <v>130.46975078446599</v>
      </c>
      <c r="X9" s="46">
        <v>113.89663555851203</v>
      </c>
      <c r="Y9" s="46">
        <v>206.06306611000107</v>
      </c>
      <c r="Z9" s="46">
        <v>250.31138707042891</v>
      </c>
      <c r="AA9" s="46">
        <v>224.52380130515513</v>
      </c>
      <c r="AB9" s="46">
        <v>179.31565297612525</v>
      </c>
      <c r="AC9" s="46">
        <v>197.19350523250168</v>
      </c>
      <c r="AD9" s="46">
        <v>175.74303670199998</v>
      </c>
      <c r="AE9" s="46">
        <v>338.26597275499807</v>
      </c>
      <c r="AF9" s="46">
        <v>206.59365970499749</v>
      </c>
      <c r="AG9" s="46">
        <v>261.63961557103943</v>
      </c>
      <c r="AH9" s="40"/>
    </row>
    <row r="10" spans="2:34">
      <c r="B10" s="45" t="s">
        <v>1054</v>
      </c>
      <c r="D10" s="46">
        <v>27</v>
      </c>
      <c r="E10" s="46">
        <v>13</v>
      </c>
      <c r="F10" s="46">
        <v>11</v>
      </c>
      <c r="G10" s="46">
        <v>9</v>
      </c>
      <c r="H10" s="47">
        <v>8</v>
      </c>
      <c r="I10" s="47">
        <v>18</v>
      </c>
      <c r="J10" s="47">
        <v>15</v>
      </c>
      <c r="K10" s="47">
        <v>23</v>
      </c>
      <c r="L10" s="46">
        <v>21</v>
      </c>
      <c r="M10" s="46">
        <v>15</v>
      </c>
      <c r="N10" s="46">
        <v>22</v>
      </c>
      <c r="O10" s="46">
        <v>22.482088220000133</v>
      </c>
      <c r="P10" s="46">
        <v>19.842214920000018</v>
      </c>
      <c r="Q10" s="46">
        <v>24.203259429999942</v>
      </c>
      <c r="R10" s="46">
        <v>4.4164028245000075</v>
      </c>
      <c r="S10" s="46">
        <v>9.7861058939999683</v>
      </c>
      <c r="T10" s="46">
        <v>7.1152895739999993</v>
      </c>
      <c r="U10" s="46">
        <v>6.5211451590000094</v>
      </c>
      <c r="V10" s="46">
        <v>10.950634000000001</v>
      </c>
      <c r="W10" s="46">
        <v>11.770364744500007</v>
      </c>
      <c r="X10" s="46">
        <v>17.760598165000001</v>
      </c>
      <c r="Y10" s="46">
        <v>21.471118650000086</v>
      </c>
      <c r="Z10" s="46">
        <v>13.768502686360769</v>
      </c>
      <c r="AA10" s="46">
        <v>20.816778915</v>
      </c>
      <c r="AB10" s="46">
        <v>8.709117599000006</v>
      </c>
      <c r="AC10" s="46">
        <v>20.9363355475001</v>
      </c>
      <c r="AD10" s="46">
        <v>3.2091994320000019</v>
      </c>
      <c r="AE10" s="46">
        <v>4.1999590110000078</v>
      </c>
      <c r="AF10" s="46">
        <v>5.9257001049999989</v>
      </c>
      <c r="AG10" s="46">
        <v>6.4094756400238877</v>
      </c>
    </row>
    <row r="11" spans="2:34">
      <c r="B11" s="48" t="s">
        <v>1055</v>
      </c>
      <c r="D11" s="49">
        <v>17</v>
      </c>
      <c r="E11" s="49">
        <v>12</v>
      </c>
      <c r="F11" s="49">
        <v>9</v>
      </c>
      <c r="G11" s="49">
        <v>17</v>
      </c>
      <c r="H11" s="50">
        <v>13</v>
      </c>
      <c r="I11" s="50">
        <v>11</v>
      </c>
      <c r="J11" s="50">
        <v>21</v>
      </c>
      <c r="K11" s="50">
        <v>11</v>
      </c>
      <c r="L11" s="49">
        <v>4</v>
      </c>
      <c r="M11" s="49">
        <v>13</v>
      </c>
      <c r="N11" s="49">
        <v>4</v>
      </c>
      <c r="O11" s="49">
        <v>8.2137164046375002</v>
      </c>
      <c r="P11" s="49">
        <v>19.25839868890008</v>
      </c>
      <c r="Q11" s="49">
        <v>16.890761873668207</v>
      </c>
      <c r="R11" s="49">
        <v>14.993139183829735</v>
      </c>
      <c r="S11" s="49">
        <v>18.403828434500113</v>
      </c>
      <c r="T11" s="49">
        <v>6.566214653983284</v>
      </c>
      <c r="U11" s="49">
        <v>7.0886521018080808</v>
      </c>
      <c r="V11" s="49">
        <v>8.5636349999999997</v>
      </c>
      <c r="W11" s="49">
        <v>32.918778551033981</v>
      </c>
      <c r="X11" s="49">
        <v>8.9807662164879858</v>
      </c>
      <c r="Y11" s="49">
        <v>15.235814629999997</v>
      </c>
      <c r="Z11" s="49">
        <v>21.817899913209043</v>
      </c>
      <c r="AA11" s="49">
        <v>37.991573969845071</v>
      </c>
      <c r="AB11" s="49">
        <v>9.8715017148746895</v>
      </c>
      <c r="AC11" s="49">
        <v>14.042153409999999</v>
      </c>
      <c r="AD11" s="49">
        <v>44.069572479999998</v>
      </c>
      <c r="AE11" s="49">
        <v>48.98762456</v>
      </c>
      <c r="AF11" s="49">
        <v>7.622281580000001</v>
      </c>
      <c r="AG11" s="49">
        <v>22.436339338936655</v>
      </c>
    </row>
    <row r="12" spans="2:34">
      <c r="B12" s="51" t="s">
        <v>160</v>
      </c>
      <c r="D12" s="52">
        <f>SUM(D9:D11)</f>
        <v>140</v>
      </c>
      <c r="E12" s="52">
        <f t="shared" ref="E12:AG12" si="0">SUM(E9:E11)</f>
        <v>85</v>
      </c>
      <c r="F12" s="52">
        <f t="shared" si="0"/>
        <v>89</v>
      </c>
      <c r="G12" s="52">
        <f t="shared" si="0"/>
        <v>110</v>
      </c>
      <c r="H12" s="52">
        <f t="shared" si="0"/>
        <v>70</v>
      </c>
      <c r="I12" s="52">
        <f t="shared" si="0"/>
        <v>102</v>
      </c>
      <c r="J12" s="52">
        <f t="shared" si="0"/>
        <v>102</v>
      </c>
      <c r="K12" s="52">
        <f t="shared" si="0"/>
        <v>111</v>
      </c>
      <c r="L12" s="52">
        <f t="shared" si="0"/>
        <v>80</v>
      </c>
      <c r="M12" s="52">
        <f t="shared" si="0"/>
        <v>101</v>
      </c>
      <c r="N12" s="52">
        <f t="shared" si="0"/>
        <v>93</v>
      </c>
      <c r="O12" s="52">
        <f t="shared" si="0"/>
        <v>135.16422009000001</v>
      </c>
      <c r="P12" s="52">
        <f t="shared" si="0"/>
        <v>134.46545930798479</v>
      </c>
      <c r="Q12" s="52">
        <f t="shared" si="0"/>
        <v>130.24004050999994</v>
      </c>
      <c r="R12" s="52">
        <f t="shared" si="0"/>
        <v>108.25449944945025</v>
      </c>
      <c r="S12" s="52">
        <f t="shared" si="0"/>
        <v>187.78500073256504</v>
      </c>
      <c r="T12" s="52">
        <f t="shared" si="0"/>
        <v>136.84099999999998</v>
      </c>
      <c r="U12" s="52">
        <f t="shared" si="0"/>
        <v>72.450000000000017</v>
      </c>
      <c r="V12" s="52">
        <f t="shared" si="0"/>
        <v>159.18365800000001</v>
      </c>
      <c r="W12" s="52">
        <f t="shared" si="0"/>
        <v>175.15889407999998</v>
      </c>
      <c r="X12" s="52">
        <f t="shared" si="0"/>
        <v>140.63799994000001</v>
      </c>
      <c r="Y12" s="52">
        <f t="shared" si="0"/>
        <v>242.76999939000115</v>
      </c>
      <c r="Z12" s="52">
        <f t="shared" si="0"/>
        <v>285.8977896699987</v>
      </c>
      <c r="AA12" s="52">
        <f t="shared" si="0"/>
        <v>283.33215419000021</v>
      </c>
      <c r="AB12" s="52">
        <f t="shared" si="0"/>
        <v>197.89627228999993</v>
      </c>
      <c r="AC12" s="52">
        <f t="shared" si="0"/>
        <v>232.17199419000178</v>
      </c>
      <c r="AD12" s="52">
        <f t="shared" si="0"/>
        <v>223.02180861399998</v>
      </c>
      <c r="AE12" s="52">
        <f t="shared" si="0"/>
        <v>391.45355632599808</v>
      </c>
      <c r="AF12" s="52">
        <f t="shared" si="0"/>
        <v>220.14164138999749</v>
      </c>
      <c r="AG12" s="52">
        <f t="shared" si="0"/>
        <v>290.48543054999999</v>
      </c>
    </row>
    <row r="13" spans="2:34">
      <c r="D13" s="46"/>
      <c r="E13" s="46"/>
      <c r="F13" s="46"/>
      <c r="G13" s="46"/>
      <c r="H13" s="47"/>
      <c r="I13" s="47"/>
      <c r="J13" s="47"/>
      <c r="K13" s="47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</row>
    <row r="14" spans="2:34">
      <c r="B14" s="41" t="s">
        <v>67</v>
      </c>
      <c r="D14" s="53"/>
      <c r="E14" s="53"/>
      <c r="F14" s="53"/>
      <c r="G14" s="53"/>
      <c r="H14" s="54"/>
      <c r="I14" s="54"/>
      <c r="J14" s="54"/>
      <c r="K14" s="54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</row>
    <row r="15" spans="2:34">
      <c r="B15" s="45" t="s">
        <v>1053</v>
      </c>
      <c r="D15" s="46">
        <v>128</v>
      </c>
      <c r="E15" s="46">
        <v>142</v>
      </c>
      <c r="F15" s="46">
        <v>156</v>
      </c>
      <c r="G15" s="46">
        <v>255</v>
      </c>
      <c r="H15" s="47">
        <v>143</v>
      </c>
      <c r="I15" s="47">
        <v>155</v>
      </c>
      <c r="J15" s="47">
        <v>137</v>
      </c>
      <c r="K15" s="47">
        <v>171</v>
      </c>
      <c r="L15" s="46">
        <v>183</v>
      </c>
      <c r="M15" s="46">
        <v>99</v>
      </c>
      <c r="N15" s="46">
        <v>111</v>
      </c>
      <c r="O15" s="46">
        <v>166.99032960999975</v>
      </c>
      <c r="P15" s="46">
        <v>83.842555169999983</v>
      </c>
      <c r="Q15" s="46">
        <v>92.839179369999997</v>
      </c>
      <c r="R15" s="46">
        <v>105.31711408599881</v>
      </c>
      <c r="S15" s="46">
        <v>117.69100631748562</v>
      </c>
      <c r="T15" s="46">
        <v>139.52010496399996</v>
      </c>
      <c r="U15" s="46">
        <v>165.24612886244935</v>
      </c>
      <c r="V15" s="46">
        <v>275.49819489005063</v>
      </c>
      <c r="W15" s="46">
        <v>308.75830371998603</v>
      </c>
      <c r="X15" s="46">
        <v>174.05547469787979</v>
      </c>
      <c r="Y15" s="46">
        <v>302.84574810000527</v>
      </c>
      <c r="Z15" s="46">
        <v>344.4181562804726</v>
      </c>
      <c r="AA15" s="46">
        <v>412.41912048491463</v>
      </c>
      <c r="AB15" s="46">
        <v>455.88645255001774</v>
      </c>
      <c r="AC15" s="46">
        <v>318.83306208997072</v>
      </c>
      <c r="AD15" s="46">
        <v>304.78141817003132</v>
      </c>
      <c r="AE15" s="46">
        <v>399.24701182397479</v>
      </c>
      <c r="AF15" s="46">
        <v>349.98271222099959</v>
      </c>
      <c r="AG15" s="46">
        <v>315.75890057649968</v>
      </c>
    </row>
    <row r="16" spans="2:34">
      <c r="B16" s="45" t="s">
        <v>1054</v>
      </c>
      <c r="D16" s="46">
        <v>39</v>
      </c>
      <c r="E16" s="46">
        <v>39</v>
      </c>
      <c r="F16" s="46">
        <v>43</v>
      </c>
      <c r="G16" s="46">
        <v>23</v>
      </c>
      <c r="H16" s="47">
        <v>25</v>
      </c>
      <c r="I16" s="47">
        <v>30</v>
      </c>
      <c r="J16" s="47">
        <v>59</v>
      </c>
      <c r="K16" s="47">
        <v>42</v>
      </c>
      <c r="L16" s="46">
        <v>1</v>
      </c>
      <c r="M16" s="46">
        <v>50</v>
      </c>
      <c r="N16" s="46">
        <v>76</v>
      </c>
      <c r="O16" s="46">
        <v>43.825146609999997</v>
      </c>
      <c r="P16" s="46">
        <v>60.562057259999989</v>
      </c>
      <c r="Q16" s="46">
        <v>34.143632229999916</v>
      </c>
      <c r="R16" s="46">
        <v>32.762534623999969</v>
      </c>
      <c r="S16" s="46">
        <v>86.633186182499969</v>
      </c>
      <c r="T16" s="46">
        <v>29.980615676000024</v>
      </c>
      <c r="U16" s="46">
        <v>54.957152327499983</v>
      </c>
      <c r="V16" s="46">
        <v>59.419368860000013</v>
      </c>
      <c r="W16" s="46">
        <v>64.413387019999988</v>
      </c>
      <c r="X16" s="46">
        <v>123.50721390999999</v>
      </c>
      <c r="Y16" s="46">
        <v>118.51523322999937</v>
      </c>
      <c r="Z16" s="46">
        <v>137.6080994594999</v>
      </c>
      <c r="AA16" s="46">
        <v>115.95925981081459</v>
      </c>
      <c r="AB16" s="46">
        <v>129.84959649999999</v>
      </c>
      <c r="AC16" s="46">
        <v>134.09267495</v>
      </c>
      <c r="AD16" s="46">
        <v>281.44468195000002</v>
      </c>
      <c r="AE16" s="46">
        <v>329.04125276600001</v>
      </c>
      <c r="AF16" s="46">
        <v>160.40105477899962</v>
      </c>
      <c r="AG16" s="46">
        <v>215.9458876234994</v>
      </c>
    </row>
    <row r="17" spans="2:33">
      <c r="B17" s="48" t="str">
        <f>B11</f>
        <v>Ativos não elétricos</v>
      </c>
      <c r="D17" s="49">
        <v>33</v>
      </c>
      <c r="E17" s="49">
        <v>31</v>
      </c>
      <c r="F17" s="49">
        <v>1</v>
      </c>
      <c r="G17" s="49">
        <v>-6</v>
      </c>
      <c r="H17" s="50">
        <v>2</v>
      </c>
      <c r="I17" s="50">
        <v>19</v>
      </c>
      <c r="J17" s="50">
        <v>-2</v>
      </c>
      <c r="K17" s="50">
        <v>32</v>
      </c>
      <c r="L17" s="49">
        <v>10</v>
      </c>
      <c r="M17" s="49">
        <v>11</v>
      </c>
      <c r="N17" s="49">
        <v>16</v>
      </c>
      <c r="O17" s="49">
        <v>11.375147430000181</v>
      </c>
      <c r="P17" s="49">
        <v>16.214937869999815</v>
      </c>
      <c r="Q17" s="49">
        <v>9.5364326600000027</v>
      </c>
      <c r="R17" s="49">
        <v>10.727524510000011</v>
      </c>
      <c r="S17" s="49">
        <v>30.482199879999399</v>
      </c>
      <c r="T17" s="49">
        <v>16.503804500000026</v>
      </c>
      <c r="U17" s="49">
        <v>2.8480725899999979</v>
      </c>
      <c r="V17" s="49">
        <v>7.5805573300000004</v>
      </c>
      <c r="W17" s="49">
        <v>16.680971950000004</v>
      </c>
      <c r="X17" s="49">
        <v>7.0371431799999993</v>
      </c>
      <c r="Y17" s="49">
        <v>16.674844139999998</v>
      </c>
      <c r="Z17" s="49">
        <v>15.321790359999994</v>
      </c>
      <c r="AA17" s="49">
        <v>68.036650236314571</v>
      </c>
      <c r="AB17" s="49">
        <v>27.541975999999998</v>
      </c>
      <c r="AC17" s="49">
        <v>24.770872000000001</v>
      </c>
      <c r="AD17" s="49">
        <v>17.572108999999998</v>
      </c>
      <c r="AE17" s="49">
        <v>46.277479569999976</v>
      </c>
      <c r="AF17" s="49">
        <v>10.292910546754431</v>
      </c>
      <c r="AG17" s="49">
        <v>31.596118570000002</v>
      </c>
    </row>
    <row r="18" spans="2:33">
      <c r="B18" s="51" t="s">
        <v>160</v>
      </c>
      <c r="D18" s="52">
        <f>SUM(D15:D17)</f>
        <v>200</v>
      </c>
      <c r="E18" s="52">
        <f t="shared" ref="E18:AG18" si="1">SUM(E15:E17)</f>
        <v>212</v>
      </c>
      <c r="F18" s="52">
        <f t="shared" si="1"/>
        <v>200</v>
      </c>
      <c r="G18" s="52">
        <f t="shared" si="1"/>
        <v>272</v>
      </c>
      <c r="H18" s="52">
        <f t="shared" si="1"/>
        <v>170</v>
      </c>
      <c r="I18" s="52">
        <f t="shared" si="1"/>
        <v>204</v>
      </c>
      <c r="J18" s="52">
        <f t="shared" si="1"/>
        <v>194</v>
      </c>
      <c r="K18" s="52">
        <f t="shared" si="1"/>
        <v>245</v>
      </c>
      <c r="L18" s="52">
        <f t="shared" si="1"/>
        <v>194</v>
      </c>
      <c r="M18" s="52">
        <f t="shared" si="1"/>
        <v>160</v>
      </c>
      <c r="N18" s="52">
        <f t="shared" si="1"/>
        <v>203</v>
      </c>
      <c r="O18" s="52">
        <f t="shared" si="1"/>
        <v>222.19062364999991</v>
      </c>
      <c r="P18" s="52">
        <f t="shared" si="1"/>
        <v>160.61955029999979</v>
      </c>
      <c r="Q18" s="52">
        <f t="shared" si="1"/>
        <v>136.51924425999991</v>
      </c>
      <c r="R18" s="52">
        <f t="shared" si="1"/>
        <v>148.80717321999879</v>
      </c>
      <c r="S18" s="52">
        <f t="shared" si="1"/>
        <v>234.806392379985</v>
      </c>
      <c r="T18" s="52">
        <f t="shared" si="1"/>
        <v>186.00452514</v>
      </c>
      <c r="U18" s="52">
        <f t="shared" si="1"/>
        <v>223.05135377994932</v>
      </c>
      <c r="V18" s="52">
        <f t="shared" si="1"/>
        <v>342.49812108005062</v>
      </c>
      <c r="W18" s="52">
        <f t="shared" si="1"/>
        <v>389.85266268998606</v>
      </c>
      <c r="X18" s="52">
        <f t="shared" si="1"/>
        <v>304.59983178787974</v>
      </c>
      <c r="Y18" s="52">
        <f t="shared" si="1"/>
        <v>438.03582547000462</v>
      </c>
      <c r="Z18" s="52">
        <f t="shared" si="1"/>
        <v>497.34804609997252</v>
      </c>
      <c r="AA18" s="52">
        <f t="shared" si="1"/>
        <v>596.41503053204383</v>
      </c>
      <c r="AB18" s="52">
        <f t="shared" si="1"/>
        <v>613.27802505001773</v>
      </c>
      <c r="AC18" s="52">
        <f t="shared" si="1"/>
        <v>477.69660903997072</v>
      </c>
      <c r="AD18" s="52">
        <f t="shared" si="1"/>
        <v>603.79820912003129</v>
      </c>
      <c r="AE18" s="52">
        <f t="shared" si="1"/>
        <v>774.56574415997477</v>
      </c>
      <c r="AF18" s="52">
        <f t="shared" si="1"/>
        <v>520.67667754675369</v>
      </c>
      <c r="AG18" s="52">
        <f t="shared" si="1"/>
        <v>563.30090676999907</v>
      </c>
    </row>
    <row r="19" spans="2:33">
      <c r="D19" s="46"/>
      <c r="E19" s="46"/>
      <c r="F19" s="46"/>
      <c r="G19" s="46"/>
      <c r="H19" s="47"/>
      <c r="I19" s="47"/>
      <c r="J19" s="47"/>
      <c r="K19" s="47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</row>
    <row r="20" spans="2:33">
      <c r="B20" s="41" t="s">
        <v>69</v>
      </c>
      <c r="D20" s="53"/>
      <c r="E20" s="53"/>
      <c r="F20" s="53"/>
      <c r="G20" s="53"/>
      <c r="H20" s="54"/>
      <c r="I20" s="54"/>
      <c r="J20" s="54"/>
      <c r="K20" s="54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</row>
    <row r="21" spans="2:33">
      <c r="B21" s="45" t="s">
        <v>1053</v>
      </c>
      <c r="D21" s="46"/>
      <c r="E21" s="46"/>
      <c r="F21" s="46"/>
      <c r="G21" s="46"/>
      <c r="H21" s="47"/>
      <c r="I21" s="47"/>
      <c r="J21" s="47"/>
      <c r="K21" s="47"/>
      <c r="L21" s="46">
        <v>9</v>
      </c>
      <c r="M21" s="46">
        <v>262</v>
      </c>
      <c r="N21" s="46">
        <v>47</v>
      </c>
      <c r="O21" s="46">
        <v>43.672655839999891</v>
      </c>
      <c r="P21" s="46">
        <v>40.799971230000011</v>
      </c>
      <c r="Q21" s="46">
        <v>64.105012519999988</v>
      </c>
      <c r="R21" s="46">
        <v>66.012458557404045</v>
      </c>
      <c r="S21" s="46">
        <v>105.74948137814052</v>
      </c>
      <c r="T21" s="46">
        <v>54.07866602499999</v>
      </c>
      <c r="U21" s="46">
        <v>51.100565979999992</v>
      </c>
      <c r="V21" s="46">
        <v>114.001780803</v>
      </c>
      <c r="W21" s="46">
        <v>118.58106483800003</v>
      </c>
      <c r="X21" s="46">
        <v>70.417172044467463</v>
      </c>
      <c r="Y21" s="46">
        <v>140.15428201539802</v>
      </c>
      <c r="Z21" s="46">
        <v>173.74348686493241</v>
      </c>
      <c r="AA21" s="46">
        <v>197.46753788799012</v>
      </c>
      <c r="AB21" s="46">
        <v>141.2162241169996</v>
      </c>
      <c r="AC21" s="46">
        <v>218.68934320599908</v>
      </c>
      <c r="AD21" s="46">
        <v>117.7814664190002</v>
      </c>
      <c r="AE21" s="46">
        <v>162.58374485100032</v>
      </c>
      <c r="AF21" s="46">
        <v>104.18899999999999</v>
      </c>
      <c r="AG21" s="46">
        <v>160.22770028900007</v>
      </c>
    </row>
    <row r="22" spans="2:33">
      <c r="B22" s="45" t="s">
        <v>1054</v>
      </c>
      <c r="D22" s="46"/>
      <c r="E22" s="46"/>
      <c r="F22" s="46"/>
      <c r="G22" s="46"/>
      <c r="H22" s="47"/>
      <c r="I22" s="47"/>
      <c r="J22" s="47"/>
      <c r="K22" s="47"/>
      <c r="L22" s="46">
        <v>12</v>
      </c>
      <c r="M22" s="46">
        <v>21</v>
      </c>
      <c r="N22" s="46">
        <v>17</v>
      </c>
      <c r="O22" s="46">
        <v>27.698670120000003</v>
      </c>
      <c r="P22" s="46">
        <v>20.887042829999995</v>
      </c>
      <c r="Q22" s="46">
        <v>24.088909719999993</v>
      </c>
      <c r="R22" s="46">
        <v>14.120175102595971</v>
      </c>
      <c r="S22" s="46">
        <v>16.939863691859447</v>
      </c>
      <c r="T22" s="46">
        <v>8.3860750550000134</v>
      </c>
      <c r="U22" s="46">
        <v>14.652865699999991</v>
      </c>
      <c r="V22" s="46">
        <v>14.668599987000016</v>
      </c>
      <c r="W22" s="46">
        <v>17.194146741999997</v>
      </c>
      <c r="X22" s="46">
        <v>11.199528345532535</v>
      </c>
      <c r="Y22" s="46">
        <v>19.98686245460166</v>
      </c>
      <c r="Z22" s="46">
        <v>27.002937985066783</v>
      </c>
      <c r="AA22" s="46">
        <v>36.234261592008977</v>
      </c>
      <c r="AB22" s="46">
        <v>30.929678703000068</v>
      </c>
      <c r="AC22" s="46">
        <v>49.384154484000142</v>
      </c>
      <c r="AD22" s="46">
        <v>22.769053040999964</v>
      </c>
      <c r="AE22" s="46">
        <v>27.262286359000001</v>
      </c>
      <c r="AF22" s="46">
        <v>22.850999999999999</v>
      </c>
      <c r="AG22" s="46">
        <v>19.974683140999925</v>
      </c>
    </row>
    <row r="23" spans="2:33">
      <c r="B23" s="48" t="str">
        <f>B17</f>
        <v>Ativos não elétricos</v>
      </c>
      <c r="D23" s="49"/>
      <c r="E23" s="49"/>
      <c r="F23" s="49"/>
      <c r="G23" s="49"/>
      <c r="H23" s="50"/>
      <c r="I23" s="50"/>
      <c r="J23" s="50"/>
      <c r="K23" s="50"/>
      <c r="L23" s="49">
        <v>14</v>
      </c>
      <c r="M23" s="49">
        <v>12</v>
      </c>
      <c r="N23" s="49">
        <v>12</v>
      </c>
      <c r="O23" s="49">
        <v>42.61967404</v>
      </c>
      <c r="P23" s="49">
        <v>12.573985940000002</v>
      </c>
      <c r="Q23" s="49">
        <v>6.9566499200000003</v>
      </c>
      <c r="R23" s="49">
        <v>11.315794179999999</v>
      </c>
      <c r="S23" s="49">
        <v>19.790654929999995</v>
      </c>
      <c r="T23" s="49">
        <v>14.839258920000001</v>
      </c>
      <c r="U23" s="49">
        <v>7.5975683200000006</v>
      </c>
      <c r="V23" s="49">
        <v>9.4246192099999977</v>
      </c>
      <c r="W23" s="49">
        <v>13.142788420000002</v>
      </c>
      <c r="X23" s="49">
        <v>9.3842996099999993</v>
      </c>
      <c r="Y23" s="49">
        <v>12.45862655</v>
      </c>
      <c r="Z23" s="49">
        <v>16.842503030000003</v>
      </c>
      <c r="AA23" s="49">
        <v>17.28270294</v>
      </c>
      <c r="AB23" s="49">
        <v>7.6219584399999993</v>
      </c>
      <c r="AC23" s="49">
        <v>6.93710644</v>
      </c>
      <c r="AD23" s="49">
        <v>9.8731896499999987</v>
      </c>
      <c r="AE23" s="49">
        <v>31.05170047</v>
      </c>
      <c r="AF23" s="49">
        <v>5.0529999999999999</v>
      </c>
      <c r="AG23" s="49">
        <v>16.370333949999999</v>
      </c>
    </row>
    <row r="24" spans="2:33">
      <c r="B24" s="51" t="s">
        <v>160</v>
      </c>
      <c r="D24" s="52">
        <f>SUM(D21:D23)</f>
        <v>0</v>
      </c>
      <c r="E24" s="52">
        <f t="shared" ref="E24:AG24" si="2">SUM(E21:E23)</f>
        <v>0</v>
      </c>
      <c r="F24" s="52">
        <f t="shared" si="2"/>
        <v>0</v>
      </c>
      <c r="G24" s="52">
        <f t="shared" si="2"/>
        <v>0</v>
      </c>
      <c r="H24" s="52">
        <f t="shared" si="2"/>
        <v>0</v>
      </c>
      <c r="I24" s="52">
        <f t="shared" si="2"/>
        <v>0</v>
      </c>
      <c r="J24" s="52">
        <f t="shared" si="2"/>
        <v>0</v>
      </c>
      <c r="K24" s="52">
        <f t="shared" si="2"/>
        <v>0</v>
      </c>
      <c r="L24" s="52">
        <f t="shared" si="2"/>
        <v>35</v>
      </c>
      <c r="M24" s="52">
        <f t="shared" si="2"/>
        <v>295</v>
      </c>
      <c r="N24" s="52">
        <f t="shared" si="2"/>
        <v>76</v>
      </c>
      <c r="O24" s="52">
        <f t="shared" si="2"/>
        <v>113.9909999999999</v>
      </c>
      <c r="P24" s="52">
        <f t="shared" si="2"/>
        <v>74.26100000000001</v>
      </c>
      <c r="Q24" s="52">
        <f t="shared" si="2"/>
        <v>95.150572159999982</v>
      </c>
      <c r="R24" s="52">
        <f t="shared" si="2"/>
        <v>91.448427840000008</v>
      </c>
      <c r="S24" s="52">
        <f t="shared" si="2"/>
        <v>142.47999999999996</v>
      </c>
      <c r="T24" s="52">
        <f t="shared" si="2"/>
        <v>77.304000000000002</v>
      </c>
      <c r="U24" s="52">
        <f t="shared" si="2"/>
        <v>73.350999999999971</v>
      </c>
      <c r="V24" s="52">
        <f t="shared" si="2"/>
        <v>138.09500000000003</v>
      </c>
      <c r="W24" s="52">
        <f t="shared" si="2"/>
        <v>148.91800000000001</v>
      </c>
      <c r="X24" s="52">
        <f t="shared" si="2"/>
        <v>91.001000000000005</v>
      </c>
      <c r="Y24" s="52">
        <f t="shared" si="2"/>
        <v>172.59977101999968</v>
      </c>
      <c r="Z24" s="52">
        <f t="shared" si="2"/>
        <v>217.58892787999918</v>
      </c>
      <c r="AA24" s="52">
        <f t="shared" si="2"/>
        <v>250.9845024199991</v>
      </c>
      <c r="AB24" s="52">
        <f t="shared" si="2"/>
        <v>179.76786125999965</v>
      </c>
      <c r="AC24" s="52">
        <f t="shared" si="2"/>
        <v>275.01060412999919</v>
      </c>
      <c r="AD24" s="52">
        <f t="shared" si="2"/>
        <v>150.42370911000015</v>
      </c>
      <c r="AE24" s="52">
        <f t="shared" si="2"/>
        <v>220.89773168000033</v>
      </c>
      <c r="AF24" s="52">
        <f t="shared" si="2"/>
        <v>132.09299999999999</v>
      </c>
      <c r="AG24" s="52">
        <f t="shared" si="2"/>
        <v>196.57271738</v>
      </c>
    </row>
    <row r="25" spans="2:33">
      <c r="D25" s="46"/>
      <c r="E25" s="46"/>
      <c r="F25" s="46"/>
      <c r="G25" s="46"/>
      <c r="H25" s="47"/>
      <c r="I25" s="47"/>
      <c r="J25" s="47"/>
      <c r="K25" s="47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</row>
    <row r="26" spans="2:33">
      <c r="B26" s="41" t="s">
        <v>71</v>
      </c>
      <c r="D26" s="53"/>
      <c r="E26" s="53"/>
      <c r="F26" s="53"/>
      <c r="G26" s="53"/>
      <c r="H26" s="54"/>
      <c r="I26" s="54"/>
      <c r="J26" s="54"/>
      <c r="K26" s="54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</row>
    <row r="27" spans="2:33">
      <c r="B27" s="45" t="s">
        <v>1053</v>
      </c>
      <c r="D27" s="46"/>
      <c r="E27" s="46"/>
      <c r="F27" s="46"/>
      <c r="G27" s="46"/>
      <c r="H27" s="47"/>
      <c r="I27" s="47"/>
      <c r="J27" s="47"/>
      <c r="K27" s="47"/>
      <c r="L27" s="46"/>
      <c r="M27" s="46">
        <v>16</v>
      </c>
      <c r="N27" s="46">
        <v>37</v>
      </c>
      <c r="O27" s="46">
        <v>66.523681609999983</v>
      </c>
      <c r="P27" s="46">
        <v>30.418543579999987</v>
      </c>
      <c r="Q27" s="46">
        <v>41.586033670000035</v>
      </c>
      <c r="R27" s="46">
        <v>33.948352880000009</v>
      </c>
      <c r="S27" s="46">
        <v>62.261696839999971</v>
      </c>
      <c r="T27" s="46">
        <v>38.471585539999985</v>
      </c>
      <c r="U27" s="46">
        <v>52.96314071999997</v>
      </c>
      <c r="V27" s="46">
        <v>76.313072000000005</v>
      </c>
      <c r="W27" s="46">
        <v>94.338921840000012</v>
      </c>
      <c r="X27" s="46">
        <v>65.948067259999974</v>
      </c>
      <c r="Y27" s="46">
        <v>94.060595880000179</v>
      </c>
      <c r="Z27" s="46">
        <v>91.13067243999879</v>
      </c>
      <c r="AA27" s="46">
        <v>150.60394858000049</v>
      </c>
      <c r="AB27" s="46">
        <v>116.79680941999948</v>
      </c>
      <c r="AC27" s="46">
        <v>153.152431970002</v>
      </c>
      <c r="AD27" s="46">
        <v>160.59700000000001</v>
      </c>
      <c r="AE27" s="46">
        <v>190.19553744000001</v>
      </c>
      <c r="AF27" s="46">
        <v>90.22137029000001</v>
      </c>
      <c r="AG27" s="46">
        <v>112.97364200000001</v>
      </c>
    </row>
    <row r="28" spans="2:33">
      <c r="B28" s="45" t="s">
        <v>1054</v>
      </c>
      <c r="D28" s="46"/>
      <c r="E28" s="46"/>
      <c r="F28" s="46"/>
      <c r="G28" s="46"/>
      <c r="H28" s="47"/>
      <c r="I28" s="47"/>
      <c r="J28" s="47"/>
      <c r="K28" s="47"/>
      <c r="L28" s="46"/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0.32185559000000002</v>
      </c>
      <c r="AC28" s="46">
        <v>3.1612649099999999</v>
      </c>
      <c r="AD28" s="46">
        <v>0.878</v>
      </c>
      <c r="AE28" s="46">
        <v>1.9135615399999999</v>
      </c>
      <c r="AF28" s="46">
        <v>0.54492370999999984</v>
      </c>
      <c r="AG28" s="46">
        <v>7.3019999999999995E-3</v>
      </c>
    </row>
    <row r="29" spans="2:33">
      <c r="B29" s="48" t="str">
        <f>B23</f>
        <v>Ativos não elétricos</v>
      </c>
      <c r="D29" s="49"/>
      <c r="E29" s="49"/>
      <c r="F29" s="49"/>
      <c r="G29" s="49"/>
      <c r="H29" s="50"/>
      <c r="I29" s="50"/>
      <c r="J29" s="50"/>
      <c r="K29" s="50"/>
      <c r="L29" s="49"/>
      <c r="M29" s="49">
        <v>11</v>
      </c>
      <c r="N29" s="49">
        <v>19</v>
      </c>
      <c r="O29" s="49">
        <v>7.1605568899999978</v>
      </c>
      <c r="P29" s="49">
        <v>3.9550589999999999</v>
      </c>
      <c r="Q29" s="49">
        <v>3.1231</v>
      </c>
      <c r="R29" s="49">
        <v>5.8552749999999998</v>
      </c>
      <c r="S29" s="49">
        <v>17.147469999999998</v>
      </c>
      <c r="T29" s="49">
        <v>10.957217999999999</v>
      </c>
      <c r="U29" s="49">
        <v>5.7209099999999999</v>
      </c>
      <c r="V29" s="49">
        <v>6.842536</v>
      </c>
      <c r="W29" s="49">
        <v>8.7634992599999979</v>
      </c>
      <c r="X29" s="49">
        <v>4.24772587</v>
      </c>
      <c r="Y29" s="49">
        <v>10.427542429999999</v>
      </c>
      <c r="Z29" s="49">
        <v>18.814729899999939</v>
      </c>
      <c r="AA29" s="49">
        <v>-9.1187431199997562</v>
      </c>
      <c r="AB29" s="49">
        <v>3.0796196399999984</v>
      </c>
      <c r="AC29" s="49">
        <v>11.88904256</v>
      </c>
      <c r="AD29" s="49">
        <v>4.4939999999999998</v>
      </c>
      <c r="AE29" s="49">
        <v>24.528305150000001</v>
      </c>
      <c r="AF29" s="49">
        <v>8.3710534099999983</v>
      </c>
      <c r="AG29" s="49">
        <v>18.586970000000001</v>
      </c>
    </row>
    <row r="30" spans="2:33">
      <c r="B30" s="51" t="s">
        <v>160</v>
      </c>
      <c r="D30" s="52">
        <f>SUM(D27:D29)</f>
        <v>0</v>
      </c>
      <c r="E30" s="52">
        <f t="shared" ref="E30:AG30" si="3">SUM(E27:E29)</f>
        <v>0</v>
      </c>
      <c r="F30" s="52">
        <f t="shared" si="3"/>
        <v>0</v>
      </c>
      <c r="G30" s="52">
        <f t="shared" si="3"/>
        <v>0</v>
      </c>
      <c r="H30" s="52">
        <f t="shared" si="3"/>
        <v>0</v>
      </c>
      <c r="I30" s="52">
        <f t="shared" si="3"/>
        <v>0</v>
      </c>
      <c r="J30" s="52">
        <f t="shared" si="3"/>
        <v>0</v>
      </c>
      <c r="K30" s="52">
        <f t="shared" si="3"/>
        <v>0</v>
      </c>
      <c r="L30" s="52">
        <f t="shared" si="3"/>
        <v>0</v>
      </c>
      <c r="M30" s="52">
        <f t="shared" si="3"/>
        <v>27</v>
      </c>
      <c r="N30" s="52">
        <f t="shared" si="3"/>
        <v>56</v>
      </c>
      <c r="O30" s="52">
        <f t="shared" si="3"/>
        <v>73.684238499999978</v>
      </c>
      <c r="P30" s="52">
        <f t="shared" si="3"/>
        <v>34.373602579999989</v>
      </c>
      <c r="Q30" s="52">
        <f t="shared" si="3"/>
        <v>44.709133670000035</v>
      </c>
      <c r="R30" s="52">
        <f t="shared" si="3"/>
        <v>39.803627880000008</v>
      </c>
      <c r="S30" s="52">
        <f t="shared" si="3"/>
        <v>79.409166839999969</v>
      </c>
      <c r="T30" s="52">
        <f t="shared" si="3"/>
        <v>49.428803539999983</v>
      </c>
      <c r="U30" s="52">
        <f t="shared" si="3"/>
        <v>58.684050719999973</v>
      </c>
      <c r="V30" s="52">
        <f t="shared" si="3"/>
        <v>83.155608000000001</v>
      </c>
      <c r="W30" s="52">
        <f t="shared" si="3"/>
        <v>103.10242110000002</v>
      </c>
      <c r="X30" s="52">
        <f t="shared" si="3"/>
        <v>70.19579312999997</v>
      </c>
      <c r="Y30" s="52">
        <f t="shared" si="3"/>
        <v>104.48813831000018</v>
      </c>
      <c r="Z30" s="52">
        <f t="shared" si="3"/>
        <v>109.94540233999874</v>
      </c>
      <c r="AA30" s="52">
        <f t="shared" si="3"/>
        <v>141.48520546000074</v>
      </c>
      <c r="AB30" s="52">
        <f t="shared" si="3"/>
        <v>120.19828464999948</v>
      </c>
      <c r="AC30" s="52">
        <f t="shared" si="3"/>
        <v>168.20273944000201</v>
      </c>
      <c r="AD30" s="52">
        <f t="shared" si="3"/>
        <v>165.96899999999999</v>
      </c>
      <c r="AE30" s="52">
        <f t="shared" si="3"/>
        <v>216.63740412999999</v>
      </c>
      <c r="AF30" s="52">
        <f t="shared" si="3"/>
        <v>99.137347410000018</v>
      </c>
      <c r="AG30" s="52">
        <f t="shared" si="3"/>
        <v>131.567914</v>
      </c>
    </row>
    <row r="31" spans="2:33">
      <c r="B31" s="51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</row>
    <row r="32" spans="2:33">
      <c r="B32" s="41" t="s">
        <v>73</v>
      </c>
      <c r="D32" s="53"/>
      <c r="E32" s="53"/>
      <c r="F32" s="53"/>
      <c r="G32" s="53"/>
      <c r="H32" s="54"/>
      <c r="I32" s="54"/>
      <c r="J32" s="54"/>
      <c r="K32" s="54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</row>
    <row r="33" spans="2:33">
      <c r="B33" s="45" t="s">
        <v>1053</v>
      </c>
      <c r="D33" s="46"/>
      <c r="E33" s="46"/>
      <c r="F33" s="46"/>
      <c r="G33" s="46"/>
      <c r="H33" s="47"/>
      <c r="I33" s="47"/>
      <c r="J33" s="47"/>
      <c r="K33" s="47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>
        <v>60.148325119999704</v>
      </c>
      <c r="W33" s="46">
        <v>60.949689120000009</v>
      </c>
      <c r="X33" s="46">
        <v>62.602916220000012</v>
      </c>
      <c r="Y33" s="46">
        <v>59.898631979999912</v>
      </c>
      <c r="Z33" s="46">
        <v>291.37523237000005</v>
      </c>
      <c r="AA33" s="46">
        <v>231.31458005000002</v>
      </c>
      <c r="AB33" s="46">
        <v>188.29408105000007</v>
      </c>
      <c r="AC33" s="46">
        <v>188.02021411000001</v>
      </c>
      <c r="AD33" s="46">
        <v>153.75846698000001</v>
      </c>
      <c r="AE33" s="46">
        <v>-3.5269518199999599</v>
      </c>
      <c r="AF33" s="46">
        <v>114</v>
      </c>
      <c r="AG33" s="46">
        <v>175</v>
      </c>
    </row>
    <row r="34" spans="2:33">
      <c r="B34" s="45" t="s">
        <v>1054</v>
      </c>
      <c r="D34" s="46"/>
      <c r="E34" s="46"/>
      <c r="F34" s="46"/>
      <c r="G34" s="46"/>
      <c r="H34" s="47"/>
      <c r="I34" s="47"/>
      <c r="J34" s="47"/>
      <c r="K34" s="47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>
        <v>0</v>
      </c>
      <c r="W34" s="46">
        <v>1.4259202</v>
      </c>
      <c r="X34" s="46">
        <v>0.7727851899999999</v>
      </c>
      <c r="Y34" s="46">
        <v>11.938904229999999</v>
      </c>
      <c r="Z34" s="46">
        <v>19.548000260000002</v>
      </c>
      <c r="AA34" s="46">
        <v>0.74118633999999994</v>
      </c>
      <c r="AB34" s="46">
        <v>0.45465657999999998</v>
      </c>
      <c r="AC34" s="46">
        <v>1.3695862999999999</v>
      </c>
      <c r="AD34" s="46">
        <v>2.3545698200000005</v>
      </c>
      <c r="AE34" s="46">
        <v>2.3007135099999996</v>
      </c>
      <c r="AF34" s="46">
        <v>3</v>
      </c>
      <c r="AG34" s="46">
        <v>1.7</v>
      </c>
    </row>
    <row r="35" spans="2:33">
      <c r="B35" s="48" t="str">
        <f>B29</f>
        <v>Ativos não elétricos</v>
      </c>
      <c r="D35" s="49"/>
      <c r="E35" s="49"/>
      <c r="F35" s="49"/>
      <c r="G35" s="49"/>
      <c r="H35" s="50"/>
      <c r="I35" s="50"/>
      <c r="J35" s="50"/>
      <c r="K35" s="50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>
        <v>7.462408999999999E-2</v>
      </c>
      <c r="W35" s="49">
        <v>2.1813906799999994</v>
      </c>
      <c r="X35" s="49">
        <v>5.9202985899999998</v>
      </c>
      <c r="Y35" s="49">
        <v>10.754541370000005</v>
      </c>
      <c r="Z35" s="49">
        <v>31.226689369999988</v>
      </c>
      <c r="AA35" s="49">
        <v>24.833233610000001</v>
      </c>
      <c r="AB35" s="49">
        <v>19.018262369999999</v>
      </c>
      <c r="AC35" s="49">
        <v>21.321199589999999</v>
      </c>
      <c r="AD35" s="49">
        <v>19.008963200000004</v>
      </c>
      <c r="AE35" s="49">
        <v>38.552238309999986</v>
      </c>
      <c r="AF35" s="49">
        <v>10</v>
      </c>
      <c r="AG35" s="49">
        <v>36</v>
      </c>
    </row>
    <row r="36" spans="2:33">
      <c r="B36" s="51" t="s">
        <v>160</v>
      </c>
      <c r="D36" s="52">
        <f>SUM(D33:D35)</f>
        <v>0</v>
      </c>
      <c r="E36" s="52">
        <f t="shared" ref="E36:AG36" si="4">SUM(E33:E35)</f>
        <v>0</v>
      </c>
      <c r="F36" s="52">
        <f t="shared" si="4"/>
        <v>0</v>
      </c>
      <c r="G36" s="52">
        <f t="shared" si="4"/>
        <v>0</v>
      </c>
      <c r="H36" s="52">
        <f t="shared" si="4"/>
        <v>0</v>
      </c>
      <c r="I36" s="52">
        <f t="shared" si="4"/>
        <v>0</v>
      </c>
      <c r="J36" s="52">
        <f t="shared" si="4"/>
        <v>0</v>
      </c>
      <c r="K36" s="52">
        <f t="shared" si="4"/>
        <v>0</v>
      </c>
      <c r="L36" s="52">
        <f t="shared" si="4"/>
        <v>0</v>
      </c>
      <c r="M36" s="52">
        <f t="shared" si="4"/>
        <v>0</v>
      </c>
      <c r="N36" s="52">
        <f t="shared" si="4"/>
        <v>0</v>
      </c>
      <c r="O36" s="52">
        <f t="shared" si="4"/>
        <v>0</v>
      </c>
      <c r="P36" s="52">
        <f t="shared" si="4"/>
        <v>0</v>
      </c>
      <c r="Q36" s="52">
        <f t="shared" si="4"/>
        <v>0</v>
      </c>
      <c r="R36" s="52">
        <f t="shared" si="4"/>
        <v>0</v>
      </c>
      <c r="S36" s="52">
        <f t="shared" si="4"/>
        <v>0</v>
      </c>
      <c r="T36" s="52">
        <f t="shared" si="4"/>
        <v>0</v>
      </c>
      <c r="U36" s="52">
        <f t="shared" si="4"/>
        <v>0</v>
      </c>
      <c r="V36" s="52">
        <f t="shared" si="4"/>
        <v>60.222949209999705</v>
      </c>
      <c r="W36" s="52">
        <f t="shared" si="4"/>
        <v>64.557000000000002</v>
      </c>
      <c r="X36" s="52">
        <f t="shared" si="4"/>
        <v>69.296000000000006</v>
      </c>
      <c r="Y36" s="52">
        <f t="shared" si="4"/>
        <v>82.592077579999909</v>
      </c>
      <c r="Z36" s="52">
        <f t="shared" si="4"/>
        <v>342.149922</v>
      </c>
      <c r="AA36" s="52">
        <f t="shared" si="4"/>
        <v>256.88900000000001</v>
      </c>
      <c r="AB36" s="52">
        <f t="shared" si="4"/>
        <v>207.76700000000008</v>
      </c>
      <c r="AC36" s="52">
        <f t="shared" si="4"/>
        <v>210.71100000000001</v>
      </c>
      <c r="AD36" s="52">
        <f t="shared" si="4"/>
        <v>175.12200000000001</v>
      </c>
      <c r="AE36" s="52">
        <f t="shared" si="4"/>
        <v>37.326000000000022</v>
      </c>
      <c r="AF36" s="52">
        <f t="shared" si="4"/>
        <v>127</v>
      </c>
      <c r="AG36" s="52">
        <f t="shared" si="4"/>
        <v>212.7</v>
      </c>
    </row>
    <row r="37" spans="2:33">
      <c r="D37" s="46"/>
      <c r="E37" s="46"/>
      <c r="F37" s="46"/>
      <c r="G37" s="46"/>
      <c r="H37" s="47"/>
      <c r="I37" s="47"/>
      <c r="J37" s="47"/>
      <c r="K37" s="47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</row>
    <row r="38" spans="2:33">
      <c r="B38" s="41" t="s">
        <v>75</v>
      </c>
      <c r="D38" s="53"/>
      <c r="E38" s="53"/>
      <c r="F38" s="53"/>
      <c r="G38" s="53"/>
      <c r="H38" s="54"/>
      <c r="I38" s="54"/>
      <c r="J38" s="54"/>
      <c r="K38" s="54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</row>
    <row r="39" spans="2:33">
      <c r="B39" s="45" t="s">
        <v>1053</v>
      </c>
      <c r="D39" s="46"/>
      <c r="E39" s="46"/>
      <c r="F39" s="46"/>
      <c r="G39" s="46"/>
      <c r="H39" s="47"/>
      <c r="I39" s="47"/>
      <c r="J39" s="47"/>
      <c r="K39" s="47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>
        <v>94.879679849999988</v>
      </c>
      <c r="Z39" s="46">
        <v>130.20509097000007</v>
      </c>
      <c r="AA39" s="46">
        <v>78.668828640000015</v>
      </c>
      <c r="AB39" s="46">
        <v>84.116924040000299</v>
      </c>
      <c r="AC39" s="46">
        <v>132.11493401999988</v>
      </c>
      <c r="AD39" s="46">
        <v>66.993620437006996</v>
      </c>
      <c r="AE39" s="46">
        <v>22.257558636000599</v>
      </c>
      <c r="AF39" s="46">
        <v>56.83155938400003</v>
      </c>
      <c r="AG39" s="46">
        <v>55.358733759999993</v>
      </c>
    </row>
    <row r="40" spans="2:33">
      <c r="B40" s="45" t="s">
        <v>1054</v>
      </c>
      <c r="D40" s="46"/>
      <c r="E40" s="46"/>
      <c r="F40" s="46"/>
      <c r="G40" s="46"/>
      <c r="H40" s="47"/>
      <c r="I40" s="47"/>
      <c r="J40" s="47"/>
      <c r="K40" s="47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>
        <v>-0.37043746</v>
      </c>
      <c r="Z40" s="46">
        <v>1.6962571000000002</v>
      </c>
      <c r="AA40" s="46">
        <v>1.5338515299999993</v>
      </c>
      <c r="AB40" s="46">
        <v>18.689098749999971</v>
      </c>
      <c r="AC40" s="46">
        <v>12.064766700000007</v>
      </c>
      <c r="AD40" s="46">
        <v>26.001340783000003</v>
      </c>
      <c r="AE40" s="46">
        <v>57.803288413999994</v>
      </c>
      <c r="AF40" s="46">
        <v>27.859039576000043</v>
      </c>
      <c r="AG40" s="46">
        <v>17.025734249999974</v>
      </c>
    </row>
    <row r="41" spans="2:33">
      <c r="B41" s="48" t="str">
        <f>B35</f>
        <v>Ativos não elétricos</v>
      </c>
      <c r="D41" s="49"/>
      <c r="E41" s="49"/>
      <c r="F41" s="49"/>
      <c r="G41" s="49"/>
      <c r="H41" s="50"/>
      <c r="I41" s="50"/>
      <c r="J41" s="50"/>
      <c r="K41" s="50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>
        <v>14.588474479999984</v>
      </c>
      <c r="Z41" s="49">
        <v>52.280697499999974</v>
      </c>
      <c r="AA41" s="49">
        <v>14.428974919999993</v>
      </c>
      <c r="AB41" s="49">
        <v>4.2330304500000011</v>
      </c>
      <c r="AC41" s="49">
        <v>5.3312311199999938</v>
      </c>
      <c r="AD41" s="49">
        <v>5.8595842199999906</v>
      </c>
      <c r="AE41" s="49">
        <v>14.659705170000001</v>
      </c>
      <c r="AF41" s="49">
        <v>3.20306969</v>
      </c>
      <c r="AG41" s="49">
        <v>11.286327509999996</v>
      </c>
    </row>
    <row r="42" spans="2:33">
      <c r="B42" s="51" t="s">
        <v>160</v>
      </c>
      <c r="D42" s="52">
        <f>SUM(D39:D41)</f>
        <v>0</v>
      </c>
      <c r="E42" s="52">
        <f t="shared" ref="E42:AG42" si="5">SUM(E39:E41)</f>
        <v>0</v>
      </c>
      <c r="F42" s="52">
        <f t="shared" si="5"/>
        <v>0</v>
      </c>
      <c r="G42" s="52">
        <f t="shared" si="5"/>
        <v>0</v>
      </c>
      <c r="H42" s="52">
        <f t="shared" si="5"/>
        <v>0</v>
      </c>
      <c r="I42" s="52">
        <f t="shared" si="5"/>
        <v>0</v>
      </c>
      <c r="J42" s="52">
        <f t="shared" si="5"/>
        <v>0</v>
      </c>
      <c r="K42" s="52">
        <f t="shared" si="5"/>
        <v>0</v>
      </c>
      <c r="L42" s="52">
        <f t="shared" si="5"/>
        <v>0</v>
      </c>
      <c r="M42" s="52">
        <f t="shared" si="5"/>
        <v>0</v>
      </c>
      <c r="N42" s="52">
        <f t="shared" si="5"/>
        <v>0</v>
      </c>
      <c r="O42" s="52">
        <f t="shared" si="5"/>
        <v>0</v>
      </c>
      <c r="P42" s="52">
        <f t="shared" si="5"/>
        <v>0</v>
      </c>
      <c r="Q42" s="52">
        <f t="shared" si="5"/>
        <v>0</v>
      </c>
      <c r="R42" s="52">
        <f t="shared" si="5"/>
        <v>0</v>
      </c>
      <c r="S42" s="52">
        <f t="shared" si="5"/>
        <v>0</v>
      </c>
      <c r="T42" s="52">
        <f t="shared" si="5"/>
        <v>0</v>
      </c>
      <c r="U42" s="52">
        <f t="shared" si="5"/>
        <v>0</v>
      </c>
      <c r="V42" s="52">
        <f t="shared" si="5"/>
        <v>0</v>
      </c>
      <c r="W42" s="52">
        <f t="shared" si="5"/>
        <v>0</v>
      </c>
      <c r="X42" s="52">
        <f t="shared" si="5"/>
        <v>0</v>
      </c>
      <c r="Y42" s="52">
        <f t="shared" si="5"/>
        <v>109.09771686999997</v>
      </c>
      <c r="Z42" s="52">
        <f t="shared" si="5"/>
        <v>184.18204557000004</v>
      </c>
      <c r="AA42" s="52">
        <f t="shared" si="5"/>
        <v>94.631655089999995</v>
      </c>
      <c r="AB42" s="52">
        <f t="shared" si="5"/>
        <v>107.03905324000027</v>
      </c>
      <c r="AC42" s="52">
        <f t="shared" si="5"/>
        <v>149.51093183999987</v>
      </c>
      <c r="AD42" s="52">
        <f t="shared" si="5"/>
        <v>98.854545440006987</v>
      </c>
      <c r="AE42" s="52">
        <f t="shared" si="5"/>
        <v>94.720552220000584</v>
      </c>
      <c r="AF42" s="52">
        <f t="shared" si="5"/>
        <v>87.89366865000008</v>
      </c>
      <c r="AG42" s="52">
        <f t="shared" si="5"/>
        <v>83.670795519999956</v>
      </c>
    </row>
    <row r="43" spans="2:33">
      <c r="D43" s="46"/>
      <c r="E43" s="46"/>
      <c r="F43" s="46"/>
      <c r="G43" s="46"/>
      <c r="H43" s="47"/>
      <c r="I43" s="47"/>
      <c r="J43" s="47"/>
      <c r="K43" s="47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</row>
    <row r="44" spans="2:33">
      <c r="B44" s="41" t="s">
        <v>77</v>
      </c>
      <c r="D44" s="53"/>
      <c r="E44" s="53"/>
      <c r="F44" s="53"/>
      <c r="G44" s="53"/>
      <c r="H44" s="54"/>
      <c r="I44" s="54"/>
      <c r="J44" s="54"/>
      <c r="K44" s="54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</row>
    <row r="45" spans="2:33">
      <c r="B45" s="45" t="s">
        <v>1053</v>
      </c>
      <c r="D45" s="46"/>
      <c r="E45" s="46"/>
      <c r="F45" s="46"/>
      <c r="G45" s="46"/>
      <c r="H45" s="47"/>
      <c r="I45" s="47"/>
      <c r="J45" s="47"/>
      <c r="K45" s="47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>
        <v>887.35068996999996</v>
      </c>
      <c r="AC45" s="46">
        <v>417.59843761000013</v>
      </c>
      <c r="AD45" s="46">
        <v>331.49490078000002</v>
      </c>
      <c r="AE45" s="46">
        <v>219.3283543000006</v>
      </c>
      <c r="AF45" s="46">
        <v>323.28048455999999</v>
      </c>
      <c r="AG45" s="46">
        <v>442.49346129000008</v>
      </c>
    </row>
    <row r="46" spans="2:33">
      <c r="B46" s="45" t="s">
        <v>1054</v>
      </c>
      <c r="D46" s="46"/>
      <c r="E46" s="46"/>
      <c r="F46" s="46"/>
      <c r="G46" s="46"/>
      <c r="H46" s="47"/>
      <c r="I46" s="47"/>
      <c r="J46" s="47"/>
      <c r="K46" s="47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>
        <v>-47.069095980000007</v>
      </c>
      <c r="AC46" s="46">
        <v>-24.051163129999971</v>
      </c>
      <c r="AD46" s="46">
        <v>-4.0625264400000001</v>
      </c>
      <c r="AE46" s="46">
        <v>-25.571504710000006</v>
      </c>
      <c r="AF46" s="46">
        <v>-28.525457609999997</v>
      </c>
      <c r="AG46" s="46">
        <v>-40.691637400000097</v>
      </c>
    </row>
    <row r="47" spans="2:33">
      <c r="B47" s="48" t="str">
        <f>B41</f>
        <v>Ativos não elétricos</v>
      </c>
      <c r="D47" s="49"/>
      <c r="E47" s="49"/>
      <c r="F47" s="49"/>
      <c r="G47" s="49"/>
      <c r="H47" s="50"/>
      <c r="I47" s="50"/>
      <c r="J47" s="50"/>
      <c r="K47" s="50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>
        <v>61.852406009999982</v>
      </c>
      <c r="AC47" s="49">
        <v>81.864533550000019</v>
      </c>
      <c r="AD47" s="49">
        <v>79.044480539999967</v>
      </c>
      <c r="AE47" s="49">
        <v>95.892104020000005</v>
      </c>
      <c r="AF47" s="49">
        <v>28.552640239999992</v>
      </c>
      <c r="AG47" s="49">
        <v>37.583858339999999</v>
      </c>
    </row>
    <row r="48" spans="2:33">
      <c r="B48" s="51" t="s">
        <v>160</v>
      </c>
      <c r="D48" s="52">
        <f>SUM(D45:D47)</f>
        <v>0</v>
      </c>
      <c r="E48" s="52">
        <f t="shared" ref="E48:AG48" si="6">SUM(E45:E47)</f>
        <v>0</v>
      </c>
      <c r="F48" s="52">
        <f t="shared" si="6"/>
        <v>0</v>
      </c>
      <c r="G48" s="52">
        <f t="shared" si="6"/>
        <v>0</v>
      </c>
      <c r="H48" s="52">
        <f t="shared" si="6"/>
        <v>0</v>
      </c>
      <c r="I48" s="52">
        <f t="shared" si="6"/>
        <v>0</v>
      </c>
      <c r="J48" s="52">
        <f t="shared" si="6"/>
        <v>0</v>
      </c>
      <c r="K48" s="52">
        <f t="shared" si="6"/>
        <v>0</v>
      </c>
      <c r="L48" s="52">
        <f t="shared" si="6"/>
        <v>0</v>
      </c>
      <c r="M48" s="52">
        <f t="shared" si="6"/>
        <v>0</v>
      </c>
      <c r="N48" s="52">
        <f t="shared" si="6"/>
        <v>0</v>
      </c>
      <c r="O48" s="52">
        <f t="shared" si="6"/>
        <v>0</v>
      </c>
      <c r="P48" s="52">
        <f t="shared" si="6"/>
        <v>0</v>
      </c>
      <c r="Q48" s="52">
        <f t="shared" si="6"/>
        <v>0</v>
      </c>
      <c r="R48" s="52">
        <f t="shared" si="6"/>
        <v>0</v>
      </c>
      <c r="S48" s="52">
        <f t="shared" si="6"/>
        <v>0</v>
      </c>
      <c r="T48" s="52">
        <f t="shared" si="6"/>
        <v>0</v>
      </c>
      <c r="U48" s="52">
        <f t="shared" si="6"/>
        <v>0</v>
      </c>
      <c r="V48" s="52">
        <f t="shared" si="6"/>
        <v>0</v>
      </c>
      <c r="W48" s="52">
        <f t="shared" si="6"/>
        <v>0</v>
      </c>
      <c r="X48" s="52">
        <f t="shared" si="6"/>
        <v>0</v>
      </c>
      <c r="Y48" s="52">
        <f t="shared" si="6"/>
        <v>0</v>
      </c>
      <c r="Z48" s="52">
        <f t="shared" si="6"/>
        <v>0</v>
      </c>
      <c r="AA48" s="52">
        <f t="shared" si="6"/>
        <v>0</v>
      </c>
      <c r="AB48" s="52">
        <f t="shared" si="6"/>
        <v>902.1339999999999</v>
      </c>
      <c r="AC48" s="52">
        <f t="shared" si="6"/>
        <v>475.4118080300002</v>
      </c>
      <c r="AD48" s="52">
        <f t="shared" si="6"/>
        <v>406.47685488000002</v>
      </c>
      <c r="AE48" s="52">
        <f t="shared" si="6"/>
        <v>289.6489536100006</v>
      </c>
      <c r="AF48" s="52">
        <f t="shared" si="6"/>
        <v>323.30766719000002</v>
      </c>
      <c r="AG48" s="52">
        <f t="shared" si="6"/>
        <v>439.38568222999999</v>
      </c>
    </row>
    <row r="49" spans="2:33">
      <c r="D49" s="46"/>
      <c r="E49" s="46"/>
      <c r="F49" s="46"/>
      <c r="G49" s="46"/>
      <c r="H49" s="47"/>
      <c r="I49" s="47"/>
      <c r="J49" s="47"/>
      <c r="K49" s="47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</row>
    <row r="50" spans="2:33">
      <c r="B50" s="55" t="s">
        <v>1056</v>
      </c>
      <c r="D50" s="56"/>
      <c r="E50" s="56"/>
      <c r="F50" s="56"/>
      <c r="G50" s="56"/>
      <c r="H50" s="57"/>
      <c r="I50" s="57"/>
      <c r="J50" s="57"/>
      <c r="K50" s="57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</row>
    <row r="51" spans="2:33">
      <c r="B51" s="48" t="s">
        <v>1057</v>
      </c>
      <c r="D51" s="49">
        <v>1</v>
      </c>
      <c r="E51" s="49">
        <v>1</v>
      </c>
      <c r="F51" s="49">
        <v>0</v>
      </c>
      <c r="G51" s="49">
        <v>0</v>
      </c>
      <c r="H51" s="50">
        <v>2</v>
      </c>
      <c r="I51" s="50">
        <v>2</v>
      </c>
      <c r="J51" s="50">
        <v>1</v>
      </c>
      <c r="K51" s="50">
        <v>1</v>
      </c>
      <c r="L51" s="49">
        <v>1</v>
      </c>
      <c r="M51" s="49">
        <v>2</v>
      </c>
      <c r="N51" s="49">
        <v>0</v>
      </c>
      <c r="O51" s="49">
        <v>0</v>
      </c>
      <c r="P51" s="49">
        <v>0</v>
      </c>
      <c r="Q51" s="49">
        <v>3.3034985800000003</v>
      </c>
      <c r="R51" s="49">
        <v>0.20582987</v>
      </c>
      <c r="S51" s="49">
        <v>0.20204969</v>
      </c>
      <c r="T51" s="49">
        <v>7.0943050000000021E-2</v>
      </c>
      <c r="U51" s="49">
        <v>1.1787434500000002</v>
      </c>
      <c r="V51" s="49">
        <v>7.0943050000000021E-2</v>
      </c>
      <c r="W51" s="49">
        <v>2.8377680499998332</v>
      </c>
      <c r="X51" s="49">
        <v>5.2548748100000617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/>
      <c r="AF51" s="49"/>
      <c r="AG51" s="49"/>
    </row>
    <row r="52" spans="2:33">
      <c r="B52" s="51" t="s">
        <v>160</v>
      </c>
      <c r="D52" s="52">
        <f>D51</f>
        <v>1</v>
      </c>
      <c r="E52" s="52">
        <f t="shared" ref="E52:Z52" si="7">E51</f>
        <v>1</v>
      </c>
      <c r="F52" s="52">
        <f t="shared" si="7"/>
        <v>0</v>
      </c>
      <c r="G52" s="52">
        <f t="shared" si="7"/>
        <v>0</v>
      </c>
      <c r="H52" s="52">
        <f t="shared" si="7"/>
        <v>2</v>
      </c>
      <c r="I52" s="52">
        <f t="shared" si="7"/>
        <v>2</v>
      </c>
      <c r="J52" s="52">
        <f t="shared" si="7"/>
        <v>1</v>
      </c>
      <c r="K52" s="52">
        <f t="shared" si="7"/>
        <v>1</v>
      </c>
      <c r="L52" s="52">
        <f t="shared" si="7"/>
        <v>1</v>
      </c>
      <c r="M52" s="52">
        <f t="shared" si="7"/>
        <v>2</v>
      </c>
      <c r="N52" s="52">
        <f t="shared" si="7"/>
        <v>0</v>
      </c>
      <c r="O52" s="52">
        <f t="shared" si="7"/>
        <v>0</v>
      </c>
      <c r="P52" s="52">
        <f t="shared" si="7"/>
        <v>0</v>
      </c>
      <c r="Q52" s="52">
        <f t="shared" si="7"/>
        <v>3.3034985800000003</v>
      </c>
      <c r="R52" s="52">
        <f t="shared" si="7"/>
        <v>0.20582987</v>
      </c>
      <c r="S52" s="52">
        <f t="shared" si="7"/>
        <v>0.20204969</v>
      </c>
      <c r="T52" s="52">
        <f t="shared" si="7"/>
        <v>7.0943050000000021E-2</v>
      </c>
      <c r="U52" s="52">
        <f t="shared" si="7"/>
        <v>1.1787434500000002</v>
      </c>
      <c r="V52" s="52">
        <f t="shared" si="7"/>
        <v>7.0943050000000021E-2</v>
      </c>
      <c r="W52" s="52">
        <f t="shared" si="7"/>
        <v>2.8377680499998332</v>
      </c>
      <c r="X52" s="52">
        <f t="shared" si="7"/>
        <v>5.2548748100000617</v>
      </c>
      <c r="Y52" s="52">
        <f t="shared" si="7"/>
        <v>0</v>
      </c>
      <c r="Z52" s="52">
        <f t="shared" si="7"/>
        <v>0</v>
      </c>
      <c r="AA52" s="52">
        <v>0</v>
      </c>
      <c r="AB52" s="52">
        <v>0</v>
      </c>
      <c r="AC52" s="52">
        <v>0</v>
      </c>
      <c r="AD52" s="52">
        <f>+AC52</f>
        <v>0</v>
      </c>
      <c r="AE52" s="52"/>
      <c r="AF52" s="52"/>
      <c r="AG52" s="52"/>
    </row>
    <row r="53" spans="2:33">
      <c r="D53" s="46"/>
      <c r="E53" s="46"/>
      <c r="F53" s="46"/>
      <c r="G53" s="46"/>
      <c r="H53" s="47"/>
      <c r="I53" s="47"/>
      <c r="J53" s="47"/>
      <c r="K53" s="47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</row>
    <row r="54" spans="2:33">
      <c r="B54" s="41" t="s">
        <v>450</v>
      </c>
      <c r="D54" s="53"/>
      <c r="E54" s="53"/>
      <c r="F54" s="53"/>
      <c r="G54" s="53"/>
      <c r="H54" s="54"/>
      <c r="I54" s="54"/>
      <c r="J54" s="54"/>
      <c r="K54" s="54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</row>
    <row r="55" spans="2:33">
      <c r="B55" s="45" t="s">
        <v>1058</v>
      </c>
      <c r="D55" s="46"/>
      <c r="E55" s="46"/>
      <c r="F55" s="46">
        <v>25</v>
      </c>
      <c r="G55" s="46">
        <v>104</v>
      </c>
      <c r="H55" s="47">
        <v>124</v>
      </c>
      <c r="I55" s="47">
        <v>123</v>
      </c>
      <c r="J55" s="47">
        <v>193</v>
      </c>
      <c r="K55" s="47">
        <v>338</v>
      </c>
      <c r="L55" s="46">
        <v>600</v>
      </c>
      <c r="M55" s="46">
        <v>687</v>
      </c>
      <c r="N55" s="46">
        <v>1023</v>
      </c>
      <c r="O55" s="46">
        <v>577.95859102000031</v>
      </c>
      <c r="P55" s="46">
        <v>401.23710040000003</v>
      </c>
      <c r="Q55" s="46">
        <v>179.3653357499999</v>
      </c>
      <c r="R55" s="46">
        <v>185.77535340000026</v>
      </c>
      <c r="S55" s="46">
        <v>261.22210652000007</v>
      </c>
      <c r="T55" s="46">
        <v>178.22353462000001</v>
      </c>
      <c r="U55" s="46">
        <v>43.179429290000002</v>
      </c>
      <c r="V55" s="46">
        <v>31.545454660000001</v>
      </c>
      <c r="W55" s="46">
        <v>77.912912657999996</v>
      </c>
      <c r="X55" s="46">
        <v>5.8105297600000005</v>
      </c>
      <c r="Y55" s="46">
        <v>7.6362745199999988</v>
      </c>
      <c r="Z55" s="46">
        <v>3.133933589999959</v>
      </c>
      <c r="AA55" s="46">
        <v>9.8480355900000411</v>
      </c>
      <c r="AB55" s="46">
        <v>5.2013183699999992</v>
      </c>
      <c r="AC55" s="46">
        <v>15.417274490000002</v>
      </c>
      <c r="AD55" s="46">
        <v>53.58645912999998</v>
      </c>
      <c r="AE55" s="46">
        <v>28.223562910000002</v>
      </c>
      <c r="AF55" s="46">
        <v>8.1785374400000013</v>
      </c>
      <c r="AG55" s="46">
        <v>1.7079487299999998</v>
      </c>
    </row>
    <row r="56" spans="2:33">
      <c r="B56" s="48" t="s">
        <v>669</v>
      </c>
      <c r="D56" s="49"/>
      <c r="E56" s="49"/>
      <c r="F56" s="49"/>
      <c r="G56" s="49">
        <v>8</v>
      </c>
      <c r="H56" s="50">
        <v>6</v>
      </c>
      <c r="I56" s="50">
        <v>6</v>
      </c>
      <c r="J56" s="50">
        <v>15</v>
      </c>
      <c r="K56" s="50">
        <v>13</v>
      </c>
      <c r="L56" s="49">
        <v>26</v>
      </c>
      <c r="M56" s="49">
        <v>5</v>
      </c>
      <c r="N56" s="49">
        <v>18</v>
      </c>
      <c r="O56" s="49">
        <v>-7.8797971300000018</v>
      </c>
      <c r="P56" s="49">
        <v>9.1900872900000081</v>
      </c>
      <c r="Q56" s="49">
        <v>11.586275540000001</v>
      </c>
      <c r="R56" s="49">
        <v>1.2165108300000003</v>
      </c>
      <c r="S56" s="49">
        <v>11.226126339999997</v>
      </c>
      <c r="T56" s="49">
        <v>3.1274636899999995</v>
      </c>
      <c r="U56" s="49">
        <v>1.15039234</v>
      </c>
      <c r="V56" s="49">
        <v>0.46363064999999998</v>
      </c>
      <c r="W56" s="49">
        <v>1.9610294800000001</v>
      </c>
      <c r="X56" s="49">
        <v>0.19904063999999999</v>
      </c>
      <c r="Y56" s="49">
        <v>0.40443847000000011</v>
      </c>
      <c r="Z56" s="49">
        <v>2.70236695</v>
      </c>
      <c r="AA56" s="49">
        <v>2.5142308799999999</v>
      </c>
      <c r="AB56" s="49">
        <v>0.77546482000000005</v>
      </c>
      <c r="AC56" s="49">
        <v>0.12206424999999999</v>
      </c>
      <c r="AD56" s="49">
        <v>0.14529311999999389</v>
      </c>
      <c r="AE56" s="49">
        <v>-3.0944723800000005</v>
      </c>
      <c r="AF56" s="49">
        <v>0</v>
      </c>
      <c r="AG56" s="49"/>
    </row>
    <row r="57" spans="2:33">
      <c r="B57" s="51" t="s">
        <v>160</v>
      </c>
      <c r="D57" s="52">
        <f>SUM(D55:D56)</f>
        <v>0</v>
      </c>
      <c r="E57" s="52">
        <f t="shared" ref="E57:AG57" si="8">SUM(E55:E56)</f>
        <v>0</v>
      </c>
      <c r="F57" s="52">
        <f t="shared" si="8"/>
        <v>25</v>
      </c>
      <c r="G57" s="52">
        <f t="shared" si="8"/>
        <v>112</v>
      </c>
      <c r="H57" s="52">
        <f t="shared" si="8"/>
        <v>130</v>
      </c>
      <c r="I57" s="52">
        <f t="shared" si="8"/>
        <v>129</v>
      </c>
      <c r="J57" s="52">
        <f t="shared" si="8"/>
        <v>208</v>
      </c>
      <c r="K57" s="52">
        <f t="shared" si="8"/>
        <v>351</v>
      </c>
      <c r="L57" s="52">
        <f t="shared" si="8"/>
        <v>626</v>
      </c>
      <c r="M57" s="52">
        <f t="shared" si="8"/>
        <v>692</v>
      </c>
      <c r="N57" s="52">
        <f t="shared" si="8"/>
        <v>1041</v>
      </c>
      <c r="O57" s="52">
        <f t="shared" si="8"/>
        <v>570.07879389000027</v>
      </c>
      <c r="P57" s="52">
        <f t="shared" si="8"/>
        <v>410.42718769000004</v>
      </c>
      <c r="Q57" s="52">
        <f t="shared" si="8"/>
        <v>190.9516112899999</v>
      </c>
      <c r="R57" s="52">
        <f t="shared" si="8"/>
        <v>186.99186423000026</v>
      </c>
      <c r="S57" s="52">
        <f t="shared" si="8"/>
        <v>272.44823286000008</v>
      </c>
      <c r="T57" s="52">
        <f t="shared" si="8"/>
        <v>181.35099831000002</v>
      </c>
      <c r="U57" s="52">
        <f t="shared" si="8"/>
        <v>44.329821630000005</v>
      </c>
      <c r="V57" s="52">
        <f t="shared" si="8"/>
        <v>32.009085310000003</v>
      </c>
      <c r="W57" s="52">
        <f t="shared" si="8"/>
        <v>79.87394213799999</v>
      </c>
      <c r="X57" s="52">
        <f t="shared" si="8"/>
        <v>6.0095704000000003</v>
      </c>
      <c r="Y57" s="52">
        <f t="shared" si="8"/>
        <v>8.0407129899999994</v>
      </c>
      <c r="Z57" s="52">
        <f t="shared" si="8"/>
        <v>5.836300539999959</v>
      </c>
      <c r="AA57" s="52">
        <f t="shared" si="8"/>
        <v>12.362266470000041</v>
      </c>
      <c r="AB57" s="52">
        <f t="shared" si="8"/>
        <v>5.976783189999999</v>
      </c>
      <c r="AC57" s="52">
        <f t="shared" si="8"/>
        <v>15.539338740000002</v>
      </c>
      <c r="AD57" s="52">
        <f t="shared" si="8"/>
        <v>53.731752249999971</v>
      </c>
      <c r="AE57" s="52">
        <f t="shared" si="8"/>
        <v>25.129090530000003</v>
      </c>
      <c r="AF57" s="52">
        <f t="shared" si="8"/>
        <v>8.1785374400000013</v>
      </c>
      <c r="AG57" s="52">
        <f t="shared" si="8"/>
        <v>1.7079487299999998</v>
      </c>
    </row>
    <row r="58" spans="2:33">
      <c r="B58" s="45"/>
      <c r="D58" s="46"/>
      <c r="E58" s="46"/>
      <c r="F58" s="46"/>
      <c r="G58" s="46"/>
      <c r="H58" s="47"/>
      <c r="I58" s="47"/>
      <c r="J58" s="47"/>
      <c r="K58" s="47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</row>
    <row r="59" spans="2:33">
      <c r="B59" s="41" t="s">
        <v>670</v>
      </c>
      <c r="D59" s="53"/>
      <c r="E59" s="53"/>
      <c r="F59" s="53"/>
      <c r="G59" s="53"/>
      <c r="H59" s="54"/>
      <c r="I59" s="54"/>
      <c r="J59" s="54"/>
      <c r="K59" s="54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</row>
    <row r="60" spans="2:33">
      <c r="B60" s="45" t="s">
        <v>945</v>
      </c>
      <c r="D60" s="46"/>
      <c r="E60" s="46"/>
      <c r="F60" s="46"/>
      <c r="G60" s="46"/>
      <c r="H60" s="58"/>
      <c r="I60" s="58"/>
      <c r="J60" s="58"/>
      <c r="K60" s="58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>
        <v>0</v>
      </c>
      <c r="Y60" s="46">
        <v>6.4705154387399988</v>
      </c>
      <c r="Z60" s="46">
        <v>3.8429066499999998</v>
      </c>
      <c r="AA60" s="46">
        <v>0</v>
      </c>
      <c r="AB60" s="46">
        <v>2.3504277700000005</v>
      </c>
      <c r="AC60" s="46">
        <v>3.397265</v>
      </c>
      <c r="AD60" s="46">
        <v>2.9</v>
      </c>
      <c r="AE60" s="46">
        <v>-2.479660230000003</v>
      </c>
      <c r="AF60" s="46">
        <v>3.1988799999999991</v>
      </c>
      <c r="AG60" s="46">
        <v>4.2732146100000001</v>
      </c>
    </row>
    <row r="61" spans="2:33">
      <c r="B61" s="45" t="s">
        <v>1059</v>
      </c>
      <c r="D61" s="46"/>
      <c r="E61" s="46"/>
      <c r="F61" s="46"/>
      <c r="G61" s="46"/>
      <c r="H61" s="58"/>
      <c r="I61" s="58"/>
      <c r="J61" s="58"/>
      <c r="K61" s="58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>
        <v>0</v>
      </c>
      <c r="Y61" s="46">
        <v>2.3320972800000002</v>
      </c>
      <c r="Z61" s="46">
        <v>0.44659300000000002</v>
      </c>
      <c r="AA61" s="46">
        <v>0</v>
      </c>
      <c r="AB61" s="46">
        <v>9.2149831000000013</v>
      </c>
      <c r="AC61" s="46">
        <v>15.72636528</v>
      </c>
      <c r="AD61" s="46">
        <v>21.01</v>
      </c>
      <c r="AE61" s="46">
        <v>43.376098930000076</v>
      </c>
      <c r="AF61" s="46">
        <v>0.89335611000000026</v>
      </c>
      <c r="AG61" s="46">
        <v>5.6453165299999988</v>
      </c>
    </row>
    <row r="62" spans="2:33">
      <c r="B62" s="48" t="s">
        <v>670</v>
      </c>
      <c r="D62" s="49"/>
      <c r="E62" s="49"/>
      <c r="F62" s="49"/>
      <c r="G62" s="49"/>
      <c r="H62" s="50"/>
      <c r="I62" s="50"/>
      <c r="J62" s="50"/>
      <c r="K62" s="50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>
        <v>13.92295015</v>
      </c>
      <c r="Y62" s="49">
        <v>0</v>
      </c>
      <c r="Z62" s="49">
        <v>0.32340741000000001</v>
      </c>
      <c r="AA62" s="49">
        <v>8.8274114500000014</v>
      </c>
      <c r="AB62" s="49">
        <v>9.0081220000000004E-2</v>
      </c>
      <c r="AC62" s="49">
        <v>7.6499999999999999E-2</v>
      </c>
      <c r="AD62" s="49">
        <v>8.6999999999999993</v>
      </c>
      <c r="AE62" s="49">
        <v>6.1659005300000018</v>
      </c>
      <c r="AF62" s="49">
        <v>0</v>
      </c>
      <c r="AG62" s="49">
        <v>0</v>
      </c>
    </row>
    <row r="63" spans="2:33">
      <c r="B63" s="51" t="s">
        <v>160</v>
      </c>
      <c r="D63" s="52">
        <f>D60</f>
        <v>0</v>
      </c>
      <c r="E63" s="52">
        <f t="shared" ref="E63:K63" si="9">E60</f>
        <v>0</v>
      </c>
      <c r="F63" s="52">
        <f t="shared" si="9"/>
        <v>0</v>
      </c>
      <c r="G63" s="52">
        <f t="shared" si="9"/>
        <v>0</v>
      </c>
      <c r="H63" s="52">
        <f t="shared" si="9"/>
        <v>0</v>
      </c>
      <c r="I63" s="52">
        <f t="shared" si="9"/>
        <v>0</v>
      </c>
      <c r="J63" s="52">
        <f t="shared" si="9"/>
        <v>0</v>
      </c>
      <c r="K63" s="52">
        <f t="shared" si="9"/>
        <v>0</v>
      </c>
      <c r="L63" s="52">
        <f t="shared" ref="L63:AC63" si="10">SUM(L60:L62)</f>
        <v>0</v>
      </c>
      <c r="M63" s="52">
        <f t="shared" si="10"/>
        <v>0</v>
      </c>
      <c r="N63" s="52">
        <f t="shared" si="10"/>
        <v>0</v>
      </c>
      <c r="O63" s="52">
        <f t="shared" si="10"/>
        <v>0</v>
      </c>
      <c r="P63" s="52">
        <f t="shared" si="10"/>
        <v>0</v>
      </c>
      <c r="Q63" s="52">
        <f t="shared" si="10"/>
        <v>0</v>
      </c>
      <c r="R63" s="52">
        <f t="shared" si="10"/>
        <v>0</v>
      </c>
      <c r="S63" s="52">
        <f t="shared" si="10"/>
        <v>0</v>
      </c>
      <c r="T63" s="52">
        <f t="shared" si="10"/>
        <v>0</v>
      </c>
      <c r="U63" s="52">
        <f t="shared" si="10"/>
        <v>0</v>
      </c>
      <c r="V63" s="52">
        <f t="shared" si="10"/>
        <v>0</v>
      </c>
      <c r="W63" s="52">
        <f t="shared" si="10"/>
        <v>0</v>
      </c>
      <c r="X63" s="52">
        <f t="shared" si="10"/>
        <v>13.92295015</v>
      </c>
      <c r="Y63" s="52">
        <f t="shared" si="10"/>
        <v>8.802612718739999</v>
      </c>
      <c r="Z63" s="52">
        <f t="shared" si="10"/>
        <v>4.6129070599999995</v>
      </c>
      <c r="AA63" s="52">
        <f t="shared" si="10"/>
        <v>8.8274114500000014</v>
      </c>
      <c r="AB63" s="52">
        <f t="shared" si="10"/>
        <v>11.655492090000001</v>
      </c>
      <c r="AC63" s="52">
        <f t="shared" si="10"/>
        <v>19.20013028</v>
      </c>
      <c r="AD63" s="52">
        <f>SUM(AD60:AD62)</f>
        <v>32.61</v>
      </c>
      <c r="AE63" s="52">
        <f>SUM(AE60:AE62)</f>
        <v>47.062339230000077</v>
      </c>
      <c r="AF63" s="52">
        <f>SUM(AF60:AF62)</f>
        <v>4.0922361099999991</v>
      </c>
      <c r="AG63" s="52">
        <f>SUM(AG60:AG62)</f>
        <v>9.9185311399999989</v>
      </c>
    </row>
    <row r="64" spans="2:33">
      <c r="B64" s="45"/>
      <c r="D64" s="46"/>
      <c r="E64" s="46"/>
      <c r="F64" s="46"/>
      <c r="G64" s="46"/>
      <c r="H64" s="47"/>
      <c r="I64" s="47"/>
      <c r="J64" s="47"/>
      <c r="K64" s="47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</row>
    <row r="65" spans="2:33 16384:16384">
      <c r="B65" s="41" t="s">
        <v>668</v>
      </c>
      <c r="D65" s="53"/>
      <c r="E65" s="53"/>
      <c r="F65" s="53"/>
      <c r="G65" s="53"/>
      <c r="H65" s="54"/>
      <c r="I65" s="54"/>
      <c r="J65" s="54"/>
      <c r="K65" s="54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</row>
    <row r="66" spans="2:33 16384:16384">
      <c r="B66" s="45" t="s">
        <v>1060</v>
      </c>
      <c r="D66" s="46"/>
      <c r="E66" s="46"/>
      <c r="F66" s="46"/>
      <c r="G66" s="46"/>
      <c r="H66" s="58"/>
      <c r="I66" s="58"/>
      <c r="J66" s="58"/>
      <c r="K66" s="58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>
        <v>1.39782121</v>
      </c>
      <c r="Y66" s="46">
        <v>6.7925673699999995</v>
      </c>
      <c r="Z66" s="46">
        <v>12.030800779999998</v>
      </c>
      <c r="AA66" s="46">
        <v>12.552561290000003</v>
      </c>
      <c r="AB66" s="46">
        <v>173.21340207999992</v>
      </c>
      <c r="AC66" s="46">
        <v>624.72038019000047</v>
      </c>
      <c r="AD66" s="46">
        <v>1074.0891355999993</v>
      </c>
      <c r="AE66" s="46">
        <v>487.73743363999813</v>
      </c>
      <c r="AF66" s="46">
        <v>168.92449810000008</v>
      </c>
      <c r="AG66" s="46">
        <v>67.206952749999871</v>
      </c>
    </row>
    <row r="67" spans="2:33 16384:16384">
      <c r="B67" s="45" t="s">
        <v>1061</v>
      </c>
      <c r="D67" s="46"/>
      <c r="E67" s="46"/>
      <c r="F67" s="46"/>
      <c r="G67" s="46"/>
      <c r="H67" s="58"/>
      <c r="I67" s="58"/>
      <c r="J67" s="58"/>
      <c r="K67" s="58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>
        <v>17.695191389999984</v>
      </c>
      <c r="Y67" s="46">
        <v>18.705192600000018</v>
      </c>
      <c r="Z67" s="46">
        <v>18.705192600000004</v>
      </c>
      <c r="AA67" s="46">
        <v>5.3485488000000005</v>
      </c>
      <c r="AB67" s="46">
        <v>7.1832351200000009</v>
      </c>
      <c r="AC67" s="46">
        <v>11.289639589999998</v>
      </c>
      <c r="AD67" s="46">
        <v>22.928847080000001</v>
      </c>
      <c r="AE67" s="46">
        <v>27.841790830000001</v>
      </c>
      <c r="AF67" s="46">
        <v>13.286790800000009</v>
      </c>
      <c r="AG67" s="46">
        <v>21.765209629999902</v>
      </c>
    </row>
    <row r="68" spans="2:33 16384:16384">
      <c r="B68" s="48" t="s">
        <v>1062</v>
      </c>
      <c r="D68" s="49"/>
      <c r="E68" s="49"/>
      <c r="F68" s="49"/>
      <c r="G68" s="49"/>
      <c r="H68" s="50"/>
      <c r="I68" s="50"/>
      <c r="J68" s="50"/>
      <c r="K68" s="50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>
        <v>6.7802210000000057E-2</v>
      </c>
      <c r="Y68" s="49">
        <v>0.63154052999999988</v>
      </c>
      <c r="Z68" s="49">
        <v>0.63154052999999999</v>
      </c>
      <c r="AA68" s="49">
        <v>8.0907032399999999</v>
      </c>
      <c r="AB68" s="49">
        <v>1.2568484900000001</v>
      </c>
      <c r="AC68" s="49">
        <v>5.5386565000000001</v>
      </c>
      <c r="AD68" s="49">
        <v>-2.0616887300000002</v>
      </c>
      <c r="AE68" s="49">
        <v>10.063006100000001</v>
      </c>
      <c r="AF68" s="49">
        <v>0.51813520000000957</v>
      </c>
      <c r="AG68" s="49">
        <v>-4.0878075299999761</v>
      </c>
    </row>
    <row r="69" spans="2:33 16384:16384">
      <c r="B69" s="51" t="s">
        <v>160</v>
      </c>
      <c r="D69" s="52">
        <f>D66</f>
        <v>0</v>
      </c>
      <c r="E69" s="52">
        <f t="shared" ref="E69:K69" si="11">E66</f>
        <v>0</v>
      </c>
      <c r="F69" s="52">
        <f t="shared" si="11"/>
        <v>0</v>
      </c>
      <c r="G69" s="52">
        <f t="shared" si="11"/>
        <v>0</v>
      </c>
      <c r="H69" s="52">
        <f t="shared" si="11"/>
        <v>0</v>
      </c>
      <c r="I69" s="52">
        <f t="shared" si="11"/>
        <v>0</v>
      </c>
      <c r="J69" s="52">
        <f t="shared" si="11"/>
        <v>0</v>
      </c>
      <c r="K69" s="52">
        <f t="shared" si="11"/>
        <v>0</v>
      </c>
      <c r="L69" s="52">
        <f t="shared" ref="L69:AC69" si="12">SUM(L66:L68)</f>
        <v>0</v>
      </c>
      <c r="M69" s="52">
        <f t="shared" si="12"/>
        <v>0</v>
      </c>
      <c r="N69" s="52">
        <f t="shared" si="12"/>
        <v>0</v>
      </c>
      <c r="O69" s="52">
        <f t="shared" si="12"/>
        <v>0</v>
      </c>
      <c r="P69" s="52">
        <f t="shared" si="12"/>
        <v>0</v>
      </c>
      <c r="Q69" s="52">
        <f t="shared" si="12"/>
        <v>0</v>
      </c>
      <c r="R69" s="52">
        <f t="shared" si="12"/>
        <v>0</v>
      </c>
      <c r="S69" s="52">
        <f t="shared" si="12"/>
        <v>0</v>
      </c>
      <c r="T69" s="52">
        <f t="shared" si="12"/>
        <v>0</v>
      </c>
      <c r="U69" s="52">
        <f t="shared" si="12"/>
        <v>0</v>
      </c>
      <c r="V69" s="52">
        <f t="shared" si="12"/>
        <v>0</v>
      </c>
      <c r="W69" s="52">
        <f t="shared" si="12"/>
        <v>0</v>
      </c>
      <c r="X69" s="52">
        <f t="shared" si="12"/>
        <v>19.160814809999984</v>
      </c>
      <c r="Y69" s="52">
        <f t="shared" si="12"/>
        <v>26.129300500000017</v>
      </c>
      <c r="Z69" s="52">
        <f t="shared" si="12"/>
        <v>31.367533910000002</v>
      </c>
      <c r="AA69" s="52">
        <f t="shared" si="12"/>
        <v>25.991813330000003</v>
      </c>
      <c r="AB69" s="52">
        <f t="shared" si="12"/>
        <v>181.65348568999994</v>
      </c>
      <c r="AC69" s="52">
        <f t="shared" si="12"/>
        <v>641.54867628000045</v>
      </c>
      <c r="AD69" s="52">
        <f>SUM(AD66:AD68)</f>
        <v>1094.9562939499992</v>
      </c>
      <c r="AE69" s="52">
        <f>SUM(AE66:AE68)</f>
        <v>525.64223056999822</v>
      </c>
      <c r="AF69" s="52">
        <f>SUM(AF66:AF68)</f>
        <v>182.7294241000001</v>
      </c>
      <c r="AG69" s="52">
        <f>SUM(AG66:AG68)</f>
        <v>84.884354849999795</v>
      </c>
    </row>
    <row r="70" spans="2:33 16384:16384">
      <c r="B70" s="45"/>
      <c r="D70" s="46"/>
      <c r="E70" s="46"/>
      <c r="F70" s="46"/>
      <c r="G70" s="46"/>
      <c r="H70" s="47"/>
      <c r="I70" s="47"/>
      <c r="J70" s="47"/>
      <c r="K70" s="47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</row>
    <row r="71" spans="2:33 16384:16384">
      <c r="B71" s="41" t="s">
        <v>7</v>
      </c>
      <c r="D71" s="53"/>
      <c r="E71" s="53"/>
      <c r="F71" s="53"/>
      <c r="G71" s="53"/>
      <c r="H71" s="54"/>
      <c r="I71" s="54"/>
      <c r="J71" s="54"/>
      <c r="K71" s="54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</row>
    <row r="72" spans="2:33 16384:16384">
      <c r="B72" s="45" t="s">
        <v>671</v>
      </c>
      <c r="D72" s="46"/>
      <c r="E72" s="46"/>
      <c r="F72" s="46"/>
      <c r="G72" s="46"/>
      <c r="H72" s="58"/>
      <c r="I72" s="58"/>
      <c r="J72" s="58"/>
      <c r="K72" s="58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>
        <v>2.2766121000000004</v>
      </c>
      <c r="AA72" s="46">
        <v>5.3485487999999979</v>
      </c>
      <c r="AB72" s="46">
        <v>3.96374709</v>
      </c>
      <c r="AC72" s="46">
        <v>13.011926939999997</v>
      </c>
      <c r="AD72" s="46">
        <v>10.31309362</v>
      </c>
      <c r="AE72" s="46">
        <v>2.6413147399999999</v>
      </c>
      <c r="AF72" s="46">
        <v>5.5761791099999902</v>
      </c>
      <c r="AG72" s="46">
        <v>6.2389999999999999</v>
      </c>
    </row>
    <row r="73" spans="2:33 16384:16384">
      <c r="B73" s="45"/>
      <c r="D73" s="46"/>
      <c r="E73" s="46"/>
      <c r="F73" s="46"/>
      <c r="G73" s="46"/>
      <c r="H73" s="58"/>
      <c r="I73" s="58"/>
      <c r="J73" s="58"/>
      <c r="K73" s="58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>
        <v>6.3496337300000008</v>
      </c>
      <c r="AA73" s="46">
        <v>21.004908010000005</v>
      </c>
      <c r="AB73" s="46">
        <v>4.7314949199999958</v>
      </c>
      <c r="AC73" s="46">
        <v>-0.12848553666665569</v>
      </c>
      <c r="AD73" s="46">
        <v>2.6332080800000002</v>
      </c>
      <c r="AE73" s="46">
        <v>2.6150740899999998</v>
      </c>
      <c r="AF73" s="46">
        <v>4.7252059300000004</v>
      </c>
      <c r="AG73" s="46">
        <v>2.9020000000000001</v>
      </c>
    </row>
    <row r="74" spans="2:33 16384:16384">
      <c r="B74" s="48"/>
      <c r="D74" s="49"/>
      <c r="E74" s="49"/>
      <c r="F74" s="49"/>
      <c r="G74" s="49"/>
      <c r="H74" s="50"/>
      <c r="I74" s="50"/>
      <c r="J74" s="50"/>
      <c r="K74" s="50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>
        <v>13.923736069999997</v>
      </c>
      <c r="AA74" s="49">
        <v>12.552561290000003</v>
      </c>
      <c r="AB74" s="49">
        <v>6.5238137600000039</v>
      </c>
      <c r="AC74" s="49">
        <v>11.688166303333341</v>
      </c>
      <c r="AD74" s="49">
        <v>5.1367106400000102</v>
      </c>
      <c r="AE74" s="49">
        <v>9.9050773599999893</v>
      </c>
      <c r="AF74" s="49">
        <v>9.8961854700000007</v>
      </c>
      <c r="AG74" s="49">
        <v>28.623999999999999</v>
      </c>
    </row>
    <row r="75" spans="2:33 16384:16384">
      <c r="B75" s="51" t="s">
        <v>160</v>
      </c>
      <c r="D75" s="52">
        <f>D72</f>
        <v>0</v>
      </c>
      <c r="E75" s="52">
        <f t="shared" ref="E75:K75" si="13">E72</f>
        <v>0</v>
      </c>
      <c r="F75" s="52">
        <f t="shared" si="13"/>
        <v>0</v>
      </c>
      <c r="G75" s="52">
        <f t="shared" si="13"/>
        <v>0</v>
      </c>
      <c r="H75" s="52">
        <f t="shared" si="13"/>
        <v>0</v>
      </c>
      <c r="I75" s="52">
        <f t="shared" si="13"/>
        <v>0</v>
      </c>
      <c r="J75" s="52">
        <f t="shared" si="13"/>
        <v>0</v>
      </c>
      <c r="K75" s="52">
        <f t="shared" si="13"/>
        <v>0</v>
      </c>
      <c r="L75" s="52">
        <f t="shared" ref="L75:AC75" si="14">SUM(L72:L74)</f>
        <v>0</v>
      </c>
      <c r="M75" s="52">
        <f t="shared" si="14"/>
        <v>0</v>
      </c>
      <c r="N75" s="52">
        <f t="shared" si="14"/>
        <v>0</v>
      </c>
      <c r="O75" s="52">
        <f t="shared" si="14"/>
        <v>0</v>
      </c>
      <c r="P75" s="52">
        <f t="shared" si="14"/>
        <v>0</v>
      </c>
      <c r="Q75" s="52">
        <f t="shared" si="14"/>
        <v>0</v>
      </c>
      <c r="R75" s="52">
        <f t="shared" si="14"/>
        <v>0</v>
      </c>
      <c r="S75" s="52">
        <f t="shared" si="14"/>
        <v>0</v>
      </c>
      <c r="T75" s="52">
        <f t="shared" si="14"/>
        <v>0</v>
      </c>
      <c r="U75" s="52">
        <f t="shared" si="14"/>
        <v>0</v>
      </c>
      <c r="V75" s="52">
        <f t="shared" si="14"/>
        <v>0</v>
      </c>
      <c r="W75" s="52">
        <f t="shared" si="14"/>
        <v>0</v>
      </c>
      <c r="X75" s="52">
        <f t="shared" si="14"/>
        <v>0</v>
      </c>
      <c r="Y75" s="52">
        <f t="shared" si="14"/>
        <v>0</v>
      </c>
      <c r="Z75" s="52">
        <f t="shared" si="14"/>
        <v>22.549981899999999</v>
      </c>
      <c r="AA75" s="52">
        <f t="shared" si="14"/>
        <v>38.906018100000011</v>
      </c>
      <c r="AB75" s="52">
        <f t="shared" si="14"/>
        <v>15.219055770000001</v>
      </c>
      <c r="AC75" s="52">
        <f t="shared" si="14"/>
        <v>24.571607706666683</v>
      </c>
      <c r="AD75" s="52">
        <f>SUM(AD72:AD74)</f>
        <v>18.08301234000001</v>
      </c>
      <c r="AE75" s="52">
        <f>SUM(AE72:AE74)</f>
        <v>15.161466189999988</v>
      </c>
      <c r="AF75" s="52">
        <f>SUM(AF72:AF74)</f>
        <v>20.197570509999991</v>
      </c>
      <c r="AG75" s="52">
        <f>SUM(AG72:AG74)</f>
        <v>37.765000000000001</v>
      </c>
      <c r="XFD75" s="52"/>
    </row>
    <row r="76" spans="2:33 16384:16384">
      <c r="B76" s="45"/>
      <c r="D76" s="46"/>
      <c r="E76" s="46"/>
      <c r="F76" s="46"/>
      <c r="G76" s="46"/>
      <c r="H76" s="47"/>
      <c r="I76" s="47"/>
      <c r="J76" s="47"/>
      <c r="K76" s="47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</row>
    <row r="77" spans="2:33 16384:16384">
      <c r="B77" s="45"/>
      <c r="D77" s="46"/>
      <c r="E77" s="46"/>
      <c r="F77" s="46"/>
      <c r="G77" s="46"/>
      <c r="H77" s="47"/>
      <c r="I77" s="47"/>
      <c r="J77" s="47"/>
      <c r="K77" s="47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</row>
    <row r="78" spans="2:33 16384:16384">
      <c r="B78" s="132"/>
      <c r="D78" s="132">
        <f t="shared" ref="D78:Y78" si="15">+SUM(D12,D18,D24,D30,D36,D42,D52,D57,D63,D69)+D75</f>
        <v>341</v>
      </c>
      <c r="E78" s="132">
        <f t="shared" si="15"/>
        <v>298</v>
      </c>
      <c r="F78" s="132">
        <f t="shared" si="15"/>
        <v>314</v>
      </c>
      <c r="G78" s="132">
        <f t="shared" si="15"/>
        <v>494</v>
      </c>
      <c r="H78" s="132">
        <f t="shared" si="15"/>
        <v>372</v>
      </c>
      <c r="I78" s="132">
        <f t="shared" si="15"/>
        <v>437</v>
      </c>
      <c r="J78" s="132">
        <f t="shared" si="15"/>
        <v>505</v>
      </c>
      <c r="K78" s="132">
        <f t="shared" si="15"/>
        <v>708</v>
      </c>
      <c r="L78" s="132">
        <f t="shared" si="15"/>
        <v>936</v>
      </c>
      <c r="M78" s="132">
        <f t="shared" si="15"/>
        <v>1277</v>
      </c>
      <c r="N78" s="132">
        <f t="shared" si="15"/>
        <v>1469</v>
      </c>
      <c r="O78" s="132">
        <f t="shared" si="15"/>
        <v>1115.1088761300002</v>
      </c>
      <c r="P78" s="132">
        <f t="shared" si="15"/>
        <v>814.14679987798468</v>
      </c>
      <c r="Q78" s="132">
        <f t="shared" si="15"/>
        <v>600.8741004699998</v>
      </c>
      <c r="R78" s="132">
        <f t="shared" si="15"/>
        <v>575.51142248944939</v>
      </c>
      <c r="S78" s="132">
        <f t="shared" si="15"/>
        <v>917.13084250254997</v>
      </c>
      <c r="T78" s="132">
        <f t="shared" si="15"/>
        <v>631.00027003999992</v>
      </c>
      <c r="U78" s="132">
        <f t="shared" si="15"/>
        <v>473.04496957994934</v>
      </c>
      <c r="V78" s="132">
        <f t="shared" si="15"/>
        <v>815.23536465005043</v>
      </c>
      <c r="W78" s="132">
        <f t="shared" si="15"/>
        <v>964.30068805798589</v>
      </c>
      <c r="X78" s="132">
        <f t="shared" si="15"/>
        <v>720.0788350278799</v>
      </c>
      <c r="Y78" s="132">
        <f t="shared" si="15"/>
        <v>1192.5561548487453</v>
      </c>
      <c r="Z78" s="132">
        <f>+SUM(Z12,Z18,Z24,Z30,Z36,Z42,Z52,Z57,Z63,Z69)+Z75</f>
        <v>1701.4788569699692</v>
      </c>
      <c r="AA78" s="132">
        <f>+SUM(AA12,AA18,AA24,AA30,AA36,AA42,AA52,AA57,AA63,AA69)+AA75</f>
        <v>1709.8250570420439</v>
      </c>
      <c r="AB78" s="132">
        <f>+SUM(AB12,AB18,AB24,AB30,AB36,AB42,AB52,AB57,AB63,AB69,AB48)+AB75</f>
        <v>2542.5853132300172</v>
      </c>
      <c r="AC78" s="132">
        <f>+SUM(AC12,AC18,AC24,AC30,AC36,AC42,AC52,AC57,AC63,AC69,AC48)+AC75</f>
        <v>2689.5754396766411</v>
      </c>
      <c r="AD78" s="132">
        <f>+SUM(AD12,AD18,AD24,AD30,AD36,AD42,AD52,AD57,AD63,AD69,AD48)+AD75</f>
        <v>3023.0471857040375</v>
      </c>
      <c r="AE78" s="132">
        <f>+SUM(AE12,AE18,AE24,AE30,AE36,AE42,AE52,AE57,AE63,AE69,AE48)+AE75</f>
        <v>2638.2450686459729</v>
      </c>
      <c r="AF78" s="132">
        <f>+SUM(AF12,AF18,AF24,AF30,AF36,AF42,AF52,AF57,AF63,AF69,AF48)+AF75</f>
        <v>1725.4477703467514</v>
      </c>
      <c r="AG78" s="132">
        <f>+SUM(AG12,AG18,AG24,AG30,AG36,AG42,AG52,AG57,AG63,AG69,AG48)+AG75</f>
        <v>2051.9592811699986</v>
      </c>
    </row>
    <row r="79" spans="2:33 16384:16384">
      <c r="D79" s="59"/>
      <c r="E79" s="59"/>
      <c r="F79" s="59"/>
      <c r="G79" s="59"/>
      <c r="H79" s="60"/>
      <c r="I79" s="60"/>
      <c r="J79" s="60"/>
      <c r="K79" s="60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</row>
    <row r="80" spans="2:33 16384:16384">
      <c r="D80" s="59"/>
      <c r="E80" s="59"/>
      <c r="F80" s="59"/>
      <c r="G80" s="59"/>
      <c r="H80" s="60"/>
      <c r="I80" s="60"/>
      <c r="J80" s="60"/>
      <c r="K80" s="60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</row>
    <row r="81" spans="4:33">
      <c r="D81" s="59"/>
      <c r="E81" s="59"/>
      <c r="F81" s="59"/>
      <c r="G81" s="59"/>
      <c r="H81" s="60"/>
      <c r="I81" s="60"/>
      <c r="J81" s="60"/>
      <c r="K81" s="60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</row>
    <row r="82" spans="4:33">
      <c r="D82" s="59"/>
      <c r="E82" s="59"/>
      <c r="F82" s="59"/>
      <c r="G82" s="59"/>
      <c r="H82" s="60"/>
      <c r="I82" s="60"/>
      <c r="J82" s="60"/>
      <c r="K82" s="60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</row>
    <row r="83" spans="4:33">
      <c r="D83" s="59"/>
      <c r="E83" s="59"/>
      <c r="F83" s="59"/>
      <c r="G83" s="59"/>
      <c r="H83" s="60"/>
      <c r="I83" s="60"/>
      <c r="J83" s="60"/>
      <c r="K83" s="60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</row>
    <row r="84" spans="4:33">
      <c r="D84" s="59"/>
      <c r="E84" s="59"/>
      <c r="F84" s="59"/>
      <c r="G84" s="59"/>
      <c r="H84" s="60"/>
      <c r="I84" s="60"/>
      <c r="J84" s="60"/>
      <c r="K84" s="60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</row>
    <row r="85" spans="4:33">
      <c r="D85" s="59"/>
      <c r="E85" s="59"/>
      <c r="F85" s="59"/>
      <c r="G85" s="59"/>
      <c r="H85" s="60"/>
      <c r="I85" s="60"/>
      <c r="J85" s="60"/>
      <c r="K85" s="60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</row>
    <row r="86" spans="4:33">
      <c r="D86" s="59"/>
      <c r="E86" s="59"/>
      <c r="F86" s="59"/>
      <c r="G86" s="59"/>
      <c r="H86" s="60"/>
      <c r="I86" s="60"/>
      <c r="J86" s="60"/>
      <c r="K86" s="60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</row>
    <row r="87" spans="4:33"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</row>
    <row r="88" spans="4:33"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</row>
    <row r="89" spans="4:33"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</row>
    <row r="90" spans="4:33"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</row>
    <row r="91" spans="4:33"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</row>
    <row r="92" spans="4:33"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</row>
    <row r="93" spans="4:33"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</row>
    <row r="94" spans="4:33"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</row>
    <row r="95" spans="4:33"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</row>
    <row r="96" spans="4:33"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</row>
    <row r="97" spans="4:33"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</row>
    <row r="98" spans="4:33"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</row>
    <row r="99" spans="4:33"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</row>
    <row r="100" spans="4:33">
      <c r="D100" s="37"/>
      <c r="E100" s="37"/>
      <c r="F100" s="37"/>
      <c r="G100" s="37"/>
      <c r="H100" s="37"/>
      <c r="I100" s="37"/>
      <c r="J100" s="37"/>
      <c r="K100" s="37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</row>
    <row r="101" spans="4:33">
      <c r="D101" s="37"/>
      <c r="E101" s="37"/>
      <c r="F101" s="37"/>
      <c r="G101" s="37"/>
      <c r="H101" s="37"/>
      <c r="I101" s="37"/>
      <c r="J101" s="37"/>
      <c r="K101" s="37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</row>
    <row r="102" spans="4:33">
      <c r="D102" s="37"/>
      <c r="E102" s="37"/>
      <c r="F102" s="37"/>
      <c r="G102" s="37"/>
      <c r="H102" s="37"/>
      <c r="I102" s="37"/>
      <c r="J102" s="37"/>
      <c r="K102" s="37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</row>
    <row r="103" spans="4:33">
      <c r="D103" s="37"/>
      <c r="E103" s="37"/>
      <c r="F103" s="37"/>
      <c r="G103" s="37"/>
      <c r="H103" s="37"/>
      <c r="I103" s="37"/>
      <c r="J103" s="37"/>
      <c r="K103" s="37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</row>
    <row r="104" spans="4:33">
      <c r="D104" s="37"/>
      <c r="E104" s="37"/>
      <c r="F104" s="37"/>
      <c r="G104" s="37"/>
      <c r="H104" s="37"/>
      <c r="I104" s="37"/>
      <c r="J104" s="37"/>
      <c r="K104" s="37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</row>
    <row r="105" spans="4:33">
      <c r="D105" s="37"/>
      <c r="E105" s="37"/>
      <c r="F105" s="37"/>
      <c r="G105" s="37"/>
      <c r="H105" s="37"/>
      <c r="I105" s="37"/>
      <c r="J105" s="37"/>
      <c r="K105" s="37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</row>
    <row r="106" spans="4:33">
      <c r="D106" s="37"/>
      <c r="E106" s="37"/>
      <c r="F106" s="37"/>
      <c r="G106" s="37"/>
      <c r="H106" s="37"/>
      <c r="I106" s="37"/>
      <c r="J106" s="37"/>
      <c r="K106" s="37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</row>
    <row r="107" spans="4:33">
      <c r="D107" s="37"/>
      <c r="E107" s="37"/>
      <c r="F107" s="37"/>
      <c r="G107" s="37"/>
      <c r="H107" s="37"/>
      <c r="I107" s="37"/>
      <c r="J107" s="37"/>
      <c r="K107" s="37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</row>
    <row r="108" spans="4:33">
      <c r="D108" s="37"/>
      <c r="E108" s="37"/>
      <c r="F108" s="37"/>
      <c r="G108" s="37"/>
      <c r="H108" s="37"/>
      <c r="I108" s="37"/>
      <c r="J108" s="37"/>
      <c r="K108" s="37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</row>
    <row r="109" spans="4:33">
      <c r="D109" s="37"/>
      <c r="E109" s="37"/>
      <c r="F109" s="37"/>
      <c r="G109" s="37"/>
      <c r="H109" s="37"/>
      <c r="I109" s="37"/>
      <c r="J109" s="37"/>
      <c r="K109" s="37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</row>
    <row r="110" spans="4:33">
      <c r="D110" s="37"/>
      <c r="E110" s="37"/>
      <c r="F110" s="37"/>
      <c r="G110" s="37"/>
      <c r="H110" s="37"/>
      <c r="I110" s="37"/>
      <c r="J110" s="37"/>
      <c r="K110" s="37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</row>
    <row r="111" spans="4:33">
      <c r="D111" s="37"/>
      <c r="E111" s="37"/>
      <c r="F111" s="37"/>
      <c r="G111" s="37"/>
      <c r="H111" s="37"/>
      <c r="I111" s="37"/>
      <c r="J111" s="37"/>
      <c r="K111" s="37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</row>
    <row r="112" spans="4:33">
      <c r="D112" s="37"/>
      <c r="E112" s="37"/>
      <c r="F112" s="37"/>
      <c r="G112" s="37"/>
      <c r="H112" s="37"/>
      <c r="I112" s="37"/>
      <c r="J112" s="37"/>
      <c r="K112" s="37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</row>
    <row r="113" spans="4:33">
      <c r="D113" s="37"/>
      <c r="E113" s="37"/>
      <c r="F113" s="37"/>
      <c r="G113" s="37"/>
      <c r="H113" s="37"/>
      <c r="I113" s="37"/>
      <c r="J113" s="37"/>
      <c r="K113" s="37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</row>
    <row r="114" spans="4:33">
      <c r="D114" s="37"/>
      <c r="E114" s="37"/>
      <c r="F114" s="37"/>
      <c r="G114" s="37"/>
      <c r="H114" s="37"/>
      <c r="I114" s="37"/>
      <c r="J114" s="37"/>
      <c r="K114" s="37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</row>
    <row r="115" spans="4:33">
      <c r="D115" s="37"/>
      <c r="E115" s="37"/>
      <c r="F115" s="37"/>
      <c r="G115" s="37"/>
      <c r="H115" s="37"/>
      <c r="I115" s="37"/>
      <c r="J115" s="37"/>
      <c r="K115" s="37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</row>
    <row r="116" spans="4:33">
      <c r="D116" s="37"/>
      <c r="E116" s="37"/>
      <c r="F116" s="37"/>
      <c r="G116" s="37"/>
      <c r="H116" s="37"/>
      <c r="I116" s="37"/>
      <c r="J116" s="37"/>
      <c r="K116" s="37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</row>
    <row r="117" spans="4:33">
      <c r="D117" s="37"/>
      <c r="E117" s="37"/>
      <c r="F117" s="37"/>
      <c r="G117" s="37"/>
      <c r="H117" s="37"/>
      <c r="I117" s="37"/>
      <c r="J117" s="37"/>
      <c r="K117" s="37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</row>
    <row r="118" spans="4:33">
      <c r="D118" s="37"/>
      <c r="E118" s="37"/>
      <c r="F118" s="37"/>
      <c r="G118" s="37"/>
      <c r="H118" s="37"/>
      <c r="I118" s="37"/>
      <c r="J118" s="37"/>
      <c r="K118" s="37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9" tint="0.79998168889431442"/>
  </sheetPr>
  <dimension ref="B3:I67"/>
  <sheetViews>
    <sheetView showGridLines="0" zoomScale="85" zoomScaleNormal="85" workbookViewId="0">
      <selection activeCell="B5" sqref="B5"/>
    </sheetView>
  </sheetViews>
  <sheetFormatPr defaultRowHeight="14.5"/>
  <cols>
    <col min="2" max="2" width="39.1796875" customWidth="1"/>
    <col min="3" max="9" width="14.1796875" customWidth="1"/>
  </cols>
  <sheetData>
    <row r="3" spans="2:9">
      <c r="C3" s="289"/>
      <c r="D3" s="289"/>
      <c r="E3" s="289"/>
      <c r="F3" s="289"/>
      <c r="G3" s="289"/>
      <c r="H3" s="289"/>
      <c r="I3" s="289"/>
    </row>
    <row r="4" spans="2:9">
      <c r="C4" s="289"/>
      <c r="D4" s="289"/>
      <c r="E4" s="289"/>
      <c r="F4" s="289"/>
      <c r="G4" s="289"/>
      <c r="H4" s="289"/>
      <c r="I4" s="289"/>
    </row>
    <row r="5" spans="2:9">
      <c r="B5" s="125" t="s">
        <v>1063</v>
      </c>
      <c r="C5" s="743"/>
      <c r="D5" s="743"/>
      <c r="E5" s="743"/>
      <c r="F5" s="743"/>
      <c r="G5" s="743"/>
      <c r="H5" s="743"/>
      <c r="I5" s="743"/>
    </row>
    <row r="6" spans="2:9">
      <c r="B6" s="576" t="s">
        <v>1064</v>
      </c>
      <c r="C6" s="579" t="s">
        <v>55</v>
      </c>
      <c r="D6" s="579" t="s">
        <v>67</v>
      </c>
      <c r="E6" s="579" t="s">
        <v>69</v>
      </c>
      <c r="F6" s="579" t="s">
        <v>71</v>
      </c>
      <c r="G6" s="579" t="s">
        <v>73</v>
      </c>
      <c r="H6" s="579" t="s">
        <v>75</v>
      </c>
      <c r="I6" s="579" t="s">
        <v>77</v>
      </c>
    </row>
    <row r="7" spans="2:9">
      <c r="B7" s="290" t="s">
        <v>1065</v>
      </c>
      <c r="C7" s="291">
        <f>C39</f>
        <v>143185.693</v>
      </c>
      <c r="D7" s="291">
        <f t="shared" ref="D7:I7" si="0">D39</f>
        <v>562424</v>
      </c>
      <c r="E7" s="291">
        <f t="shared" si="0"/>
        <v>191719.11298999999</v>
      </c>
      <c r="F7" s="291">
        <f t="shared" si="0"/>
        <v>255422.12117</v>
      </c>
      <c r="G7" s="291">
        <f t="shared" si="0"/>
        <v>511184.18722999998</v>
      </c>
      <c r="H7" s="291">
        <f t="shared" si="0"/>
        <v>342271</v>
      </c>
      <c r="I7" s="291">
        <f t="shared" si="0"/>
        <v>436253</v>
      </c>
    </row>
    <row r="8" spans="2:9">
      <c r="B8" s="290" t="s">
        <v>1066</v>
      </c>
      <c r="C8" s="289">
        <f>C67</f>
        <v>-485806.33899999992</v>
      </c>
      <c r="D8" s="289">
        <f t="shared" ref="D8:I8" si="1">D67</f>
        <v>-675474</v>
      </c>
      <c r="E8" s="289">
        <f t="shared" si="1"/>
        <v>-273274.10735000001</v>
      </c>
      <c r="F8" s="289">
        <f t="shared" si="1"/>
        <v>-308053.21243000001</v>
      </c>
      <c r="G8" s="289">
        <f t="shared" si="1"/>
        <v>-847563.02671999997</v>
      </c>
      <c r="H8" s="289">
        <f t="shared" si="1"/>
        <v>-195527</v>
      </c>
      <c r="I8" s="289">
        <f t="shared" si="1"/>
        <v>-1130665</v>
      </c>
    </row>
    <row r="9" spans="2:9" s="125" customFormat="1">
      <c r="B9" s="292" t="s">
        <v>1067</v>
      </c>
      <c r="C9" s="293">
        <f>SUM(C7:C8)</f>
        <v>-342620.64599999995</v>
      </c>
      <c r="D9" s="293">
        <f t="shared" ref="D9:I9" si="2">SUM(D7:D8)</f>
        <v>-113050</v>
      </c>
      <c r="E9" s="293">
        <f t="shared" si="2"/>
        <v>-81554.994360000012</v>
      </c>
      <c r="F9" s="293">
        <f t="shared" si="2"/>
        <v>-52631.091260000016</v>
      </c>
      <c r="G9" s="293">
        <f t="shared" si="2"/>
        <v>-336378.83948999998</v>
      </c>
      <c r="H9" s="293">
        <f t="shared" si="2"/>
        <v>146744</v>
      </c>
      <c r="I9" s="293">
        <f t="shared" si="2"/>
        <v>-694412</v>
      </c>
    </row>
    <row r="10" spans="2:9">
      <c r="B10" s="290" t="s">
        <v>1068</v>
      </c>
      <c r="C10" s="289">
        <v>-79470.412999999986</v>
      </c>
      <c r="D10" s="289">
        <v>-139519</v>
      </c>
      <c r="E10" s="289">
        <v>-14579.095950000001</v>
      </c>
      <c r="F10" s="289">
        <v>-14675.634779999997</v>
      </c>
      <c r="G10" s="289">
        <v>-47481.996650000001</v>
      </c>
      <c r="H10" s="289">
        <v>-3035</v>
      </c>
      <c r="I10" s="289">
        <v>-65810</v>
      </c>
    </row>
    <row r="11" spans="2:9" s="125" customFormat="1">
      <c r="B11" s="292" t="s">
        <v>1069</v>
      </c>
      <c r="C11" s="293">
        <f t="shared" ref="C11:I11" si="3">C9+C10</f>
        <v>-422091.05899999995</v>
      </c>
      <c r="D11" s="293">
        <f t="shared" si="3"/>
        <v>-252569</v>
      </c>
      <c r="E11" s="293">
        <f t="shared" si="3"/>
        <v>-96134.090310000014</v>
      </c>
      <c r="F11" s="293">
        <f t="shared" si="3"/>
        <v>-67306.726040000009</v>
      </c>
      <c r="G11" s="293">
        <f t="shared" si="3"/>
        <v>-383860.83613999997</v>
      </c>
      <c r="H11" s="293">
        <f t="shared" si="3"/>
        <v>143709</v>
      </c>
      <c r="I11" s="293">
        <f t="shared" si="3"/>
        <v>-760222</v>
      </c>
    </row>
    <row r="12" spans="2:9">
      <c r="C12" s="289"/>
      <c r="D12" s="289"/>
      <c r="E12" s="289"/>
      <c r="F12" s="289"/>
      <c r="G12" s="289"/>
      <c r="H12" s="289"/>
      <c r="I12" s="289"/>
    </row>
    <row r="13" spans="2:9">
      <c r="B13" s="576" t="s">
        <v>1070</v>
      </c>
      <c r="C13" s="579" t="s">
        <v>55</v>
      </c>
      <c r="D13" s="579" t="s">
        <v>67</v>
      </c>
      <c r="E13" s="579" t="s">
        <v>69</v>
      </c>
      <c r="F13" s="579" t="s">
        <v>71</v>
      </c>
      <c r="G13" s="579" t="s">
        <v>73</v>
      </c>
      <c r="H13" s="579" t="s">
        <v>75</v>
      </c>
      <c r="I13" s="579" t="s">
        <v>77</v>
      </c>
    </row>
    <row r="14" spans="2:9" s="125" customFormat="1">
      <c r="B14" s="292" t="s">
        <v>1071</v>
      </c>
      <c r="C14" s="293">
        <f>SUM(C15:C23)</f>
        <v>104176.148</v>
      </c>
      <c r="D14" s="293">
        <f t="shared" ref="D14:I14" si="4">SUM(D15:D23)</f>
        <v>459307</v>
      </c>
      <c r="E14" s="293">
        <f t="shared" si="4"/>
        <v>49551.233979999997</v>
      </c>
      <c r="F14" s="293">
        <f t="shared" si="4"/>
        <v>51067.256720000005</v>
      </c>
      <c r="G14" s="293">
        <f t="shared" si="4"/>
        <v>278697.82333000004</v>
      </c>
      <c r="H14" s="293">
        <f t="shared" si="4"/>
        <v>14778</v>
      </c>
      <c r="I14" s="293">
        <f t="shared" si="4"/>
        <v>220917</v>
      </c>
    </row>
    <row r="15" spans="2:9">
      <c r="B15" s="294" t="s">
        <v>1072</v>
      </c>
      <c r="C15" s="295">
        <v>26537.436000000002</v>
      </c>
      <c r="D15" s="295">
        <v>34744</v>
      </c>
      <c r="E15" s="295">
        <v>11703.033170000001</v>
      </c>
      <c r="F15" s="295">
        <v>2132.7981299999997</v>
      </c>
      <c r="G15" s="295">
        <v>33638.85583</v>
      </c>
      <c r="H15" s="295">
        <v>3044</v>
      </c>
      <c r="I15" s="295">
        <v>40153</v>
      </c>
    </row>
    <row r="16" spans="2:9">
      <c r="B16" s="294" t="s">
        <v>1073</v>
      </c>
      <c r="C16" s="295">
        <v>0</v>
      </c>
      <c r="D16" s="295">
        <v>0</v>
      </c>
      <c r="E16" s="295">
        <v>0</v>
      </c>
      <c r="F16" s="295">
        <v>0</v>
      </c>
      <c r="G16" s="295">
        <v>0</v>
      </c>
      <c r="H16" s="295">
        <v>0</v>
      </c>
      <c r="I16" s="295">
        <v>0</v>
      </c>
    </row>
    <row r="17" spans="2:9">
      <c r="B17" s="294" t="s">
        <v>1074</v>
      </c>
      <c r="C17" s="295">
        <v>46371.483</v>
      </c>
      <c r="D17" s="295">
        <v>165601</v>
      </c>
      <c r="E17" s="295">
        <v>15964.209299999999</v>
      </c>
      <c r="F17" s="295">
        <v>4703.8214600000001</v>
      </c>
      <c r="G17" s="295">
        <v>29716.107070000002</v>
      </c>
      <c r="H17" s="295">
        <v>8390</v>
      </c>
      <c r="I17" s="295">
        <v>61204</v>
      </c>
    </row>
    <row r="18" spans="2:9">
      <c r="B18" s="294" t="s">
        <v>1075</v>
      </c>
      <c r="C18" s="295">
        <v>0</v>
      </c>
      <c r="D18" s="295">
        <v>0</v>
      </c>
      <c r="E18" s="295">
        <v>0</v>
      </c>
      <c r="F18" s="295">
        <v>0</v>
      </c>
      <c r="G18" s="295">
        <v>8355.1996099999997</v>
      </c>
      <c r="H18" s="295">
        <v>0</v>
      </c>
      <c r="I18" s="295">
        <v>14698</v>
      </c>
    </row>
    <row r="19" spans="2:9">
      <c r="B19" s="294" t="s">
        <v>1076</v>
      </c>
      <c r="C19" s="295">
        <v>26213</v>
      </c>
      <c r="D19" s="295">
        <v>67260</v>
      </c>
      <c r="E19" s="295">
        <v>21883.99151</v>
      </c>
      <c r="F19" s="295">
        <v>12024.670050000001</v>
      </c>
      <c r="G19" s="295">
        <v>89610.276610000001</v>
      </c>
      <c r="H19" s="295">
        <v>3344</v>
      </c>
      <c r="I19" s="295">
        <v>104862</v>
      </c>
    </row>
    <row r="20" spans="2:9">
      <c r="B20" s="294" t="s">
        <v>1077</v>
      </c>
      <c r="C20" s="295">
        <v>5054.2290000000003</v>
      </c>
      <c r="D20" s="295">
        <v>191702</v>
      </c>
      <c r="E20" s="295">
        <v>0</v>
      </c>
      <c r="F20" s="295">
        <v>0</v>
      </c>
      <c r="G20" s="295">
        <v>0</v>
      </c>
      <c r="H20" s="295">
        <v>0</v>
      </c>
      <c r="I20" s="295">
        <v>0</v>
      </c>
    </row>
    <row r="21" spans="2:9">
      <c r="B21" s="294" t="s">
        <v>59</v>
      </c>
      <c r="C21" s="295">
        <v>0</v>
      </c>
      <c r="D21" s="295">
        <v>0</v>
      </c>
      <c r="E21" s="295">
        <v>0</v>
      </c>
      <c r="F21" s="295">
        <v>595.27872000000002</v>
      </c>
      <c r="G21" s="295">
        <v>4933.7077399999998</v>
      </c>
      <c r="H21" s="295">
        <v>0</v>
      </c>
      <c r="I21" s="295">
        <v>0</v>
      </c>
    </row>
    <row r="22" spans="2:9">
      <c r="B22" s="294" t="s">
        <v>1078</v>
      </c>
      <c r="C22" s="295">
        <v>0</v>
      </c>
      <c r="D22" s="295">
        <v>0</v>
      </c>
      <c r="E22" s="295">
        <v>0</v>
      </c>
      <c r="F22" s="295">
        <v>6300.1154500000002</v>
      </c>
      <c r="G22" s="295">
        <v>112443.67647000001</v>
      </c>
      <c r="H22" s="295">
        <v>0</v>
      </c>
      <c r="I22" s="295">
        <v>0</v>
      </c>
    </row>
    <row r="23" spans="2:9">
      <c r="B23" s="294" t="s">
        <v>1079</v>
      </c>
      <c r="C23" s="295">
        <v>0</v>
      </c>
      <c r="D23" s="295">
        <v>0</v>
      </c>
      <c r="E23" s="295">
        <v>0</v>
      </c>
      <c r="F23" s="295">
        <v>25310.572909999999</v>
      </c>
      <c r="G23" s="295">
        <v>0</v>
      </c>
      <c r="H23" s="295">
        <v>0</v>
      </c>
      <c r="I23" s="295">
        <v>0</v>
      </c>
    </row>
    <row r="24" spans="2:9" s="125" customFormat="1">
      <c r="B24" s="292" t="s">
        <v>1080</v>
      </c>
      <c r="C24" s="293">
        <f t="shared" ref="C24:I24" si="5">SUM(C25:C31)</f>
        <v>10337.941999999999</v>
      </c>
      <c r="D24" s="293">
        <f t="shared" si="5"/>
        <v>39410</v>
      </c>
      <c r="E24" s="293">
        <f t="shared" si="5"/>
        <v>25103.28585</v>
      </c>
      <c r="F24" s="293">
        <f t="shared" si="5"/>
        <v>66131.791190000004</v>
      </c>
      <c r="G24" s="293">
        <f t="shared" si="5"/>
        <v>67180.173689999996</v>
      </c>
      <c r="H24" s="293">
        <f t="shared" si="5"/>
        <v>11290</v>
      </c>
      <c r="I24" s="293">
        <f t="shared" si="5"/>
        <v>24906</v>
      </c>
    </row>
    <row r="25" spans="2:9">
      <c r="B25" s="294" t="s">
        <v>1072</v>
      </c>
      <c r="C25" s="295">
        <v>2151.61</v>
      </c>
      <c r="D25" s="295">
        <v>2774</v>
      </c>
      <c r="E25" s="295">
        <v>2066.7025100000001</v>
      </c>
      <c r="F25" s="295">
        <v>6613.6552799999999</v>
      </c>
      <c r="G25" s="295">
        <v>0</v>
      </c>
      <c r="H25" s="295">
        <v>1752</v>
      </c>
      <c r="I25" s="295">
        <v>229</v>
      </c>
    </row>
    <row r="26" spans="2:9">
      <c r="B26" s="294" t="s">
        <v>1073</v>
      </c>
      <c r="C26" s="295">
        <v>0</v>
      </c>
      <c r="D26" s="295">
        <v>88</v>
      </c>
      <c r="E26" s="295">
        <v>0</v>
      </c>
      <c r="F26" s="295">
        <v>137.24399</v>
      </c>
      <c r="G26" s="295">
        <v>0</v>
      </c>
      <c r="H26" s="295">
        <v>309</v>
      </c>
      <c r="I26" s="295">
        <v>1374</v>
      </c>
    </row>
    <row r="27" spans="2:9">
      <c r="B27" s="294" t="s">
        <v>1074</v>
      </c>
      <c r="C27" s="295">
        <v>1596.3320000000001</v>
      </c>
      <c r="D27" s="295">
        <v>11165</v>
      </c>
      <c r="E27" s="295">
        <v>7678.7348499999998</v>
      </c>
      <c r="F27" s="295">
        <v>16942.428830000001</v>
      </c>
      <c r="G27" s="295">
        <v>14402.22984</v>
      </c>
      <c r="H27" s="295">
        <v>6515</v>
      </c>
      <c r="I27" s="295">
        <v>0</v>
      </c>
    </row>
    <row r="28" spans="2:9">
      <c r="B28" s="294" t="s">
        <v>1081</v>
      </c>
      <c r="C28" s="295">
        <v>0</v>
      </c>
      <c r="D28" s="295">
        <v>0</v>
      </c>
      <c r="E28" s="295">
        <v>0</v>
      </c>
      <c r="F28" s="295">
        <v>0</v>
      </c>
      <c r="G28" s="295">
        <v>0</v>
      </c>
      <c r="H28" s="295">
        <v>0</v>
      </c>
      <c r="I28" s="295">
        <v>0</v>
      </c>
    </row>
    <row r="29" spans="2:9">
      <c r="B29" s="294" t="s">
        <v>1075</v>
      </c>
      <c r="C29" s="295">
        <v>0</v>
      </c>
      <c r="D29" s="295">
        <v>0</v>
      </c>
      <c r="E29" s="295">
        <v>0</v>
      </c>
      <c r="F29" s="295">
        <v>0</v>
      </c>
      <c r="G29" s="295">
        <v>3925.6529500000001</v>
      </c>
      <c r="H29" s="295">
        <v>0</v>
      </c>
      <c r="I29" s="295">
        <v>2978</v>
      </c>
    </row>
    <row r="30" spans="2:9">
      <c r="B30" s="294" t="s">
        <v>1076</v>
      </c>
      <c r="C30" s="295">
        <v>6590</v>
      </c>
      <c r="D30" s="295">
        <v>6917</v>
      </c>
      <c r="E30" s="295">
        <v>14369.99286</v>
      </c>
      <c r="F30" s="295">
        <v>40842.272199999999</v>
      </c>
      <c r="G30" s="295">
        <v>43572.766659999994</v>
      </c>
      <c r="H30" s="295">
        <v>2714</v>
      </c>
      <c r="I30" s="295">
        <v>20325</v>
      </c>
    </row>
    <row r="31" spans="2:9">
      <c r="B31" s="294" t="s">
        <v>1077</v>
      </c>
      <c r="C31" s="295">
        <v>0</v>
      </c>
      <c r="D31" s="295">
        <v>18466</v>
      </c>
      <c r="E31" s="295">
        <v>987.85563000000002</v>
      </c>
      <c r="F31" s="295">
        <v>1596.1908899999999</v>
      </c>
      <c r="G31" s="295">
        <v>5279.5242400000006</v>
      </c>
      <c r="H31" s="295">
        <v>0</v>
      </c>
      <c r="I31" s="295">
        <v>0</v>
      </c>
    </row>
    <row r="32" spans="2:9" s="125" customFormat="1">
      <c r="B32" s="292" t="s">
        <v>1082</v>
      </c>
      <c r="C32" s="293">
        <v>0</v>
      </c>
      <c r="D32" s="293">
        <v>0</v>
      </c>
      <c r="E32" s="293">
        <v>0</v>
      </c>
      <c r="F32" s="293">
        <v>0</v>
      </c>
      <c r="G32" s="293">
        <v>0</v>
      </c>
      <c r="H32" s="293">
        <v>4682</v>
      </c>
      <c r="I32" s="293">
        <v>3129</v>
      </c>
    </row>
    <row r="33" spans="2:9" s="125" customFormat="1">
      <c r="B33" s="292" t="s">
        <v>1079</v>
      </c>
      <c r="C33" s="293">
        <v>0</v>
      </c>
      <c r="D33" s="293">
        <v>3955</v>
      </c>
      <c r="E33" s="293">
        <v>0</v>
      </c>
      <c r="F33" s="293">
        <v>53879.188979999999</v>
      </c>
      <c r="G33" s="293">
        <v>41165.741000000002</v>
      </c>
      <c r="H33" s="293">
        <v>41315</v>
      </c>
      <c r="I33" s="293">
        <v>0</v>
      </c>
    </row>
    <row r="34" spans="2:9" s="125" customFormat="1">
      <c r="B34" s="292" t="s">
        <v>1083</v>
      </c>
      <c r="C34" s="293">
        <f t="shared" ref="C34:I34" si="6">SUM(C35:C38)</f>
        <v>28671.602999999992</v>
      </c>
      <c r="D34" s="293">
        <f t="shared" si="6"/>
        <v>59752</v>
      </c>
      <c r="E34" s="293">
        <f t="shared" si="6"/>
        <v>117064.59316</v>
      </c>
      <c r="F34" s="293">
        <f t="shared" si="6"/>
        <v>84343.884279999998</v>
      </c>
      <c r="G34" s="293">
        <f t="shared" si="6"/>
        <v>124140.44920999999</v>
      </c>
      <c r="H34" s="293">
        <f t="shared" si="6"/>
        <v>270206</v>
      </c>
      <c r="I34" s="293">
        <f t="shared" si="6"/>
        <v>187301</v>
      </c>
    </row>
    <row r="35" spans="2:9">
      <c r="B35" s="294" t="s">
        <v>1084</v>
      </c>
      <c r="C35" s="295">
        <v>3338.299</v>
      </c>
      <c r="D35" s="295">
        <v>0</v>
      </c>
      <c r="E35" s="295">
        <v>0</v>
      </c>
      <c r="F35" s="295">
        <v>0</v>
      </c>
      <c r="G35" s="295">
        <v>6079.6669900000006</v>
      </c>
      <c r="H35" s="295">
        <v>0</v>
      </c>
      <c r="I35" s="295">
        <v>0</v>
      </c>
    </row>
    <row r="36" spans="2:9">
      <c r="B36" s="294" t="s">
        <v>59</v>
      </c>
      <c r="C36" s="295">
        <v>20574.977999999996</v>
      </c>
      <c r="D36" s="295">
        <v>59752</v>
      </c>
      <c r="E36" s="295">
        <v>99065.410130000004</v>
      </c>
      <c r="F36" s="295">
        <v>84343.884279999998</v>
      </c>
      <c r="G36" s="295">
        <v>118060.78221999999</v>
      </c>
      <c r="H36" s="295">
        <v>270206</v>
      </c>
      <c r="I36" s="295">
        <v>123435</v>
      </c>
    </row>
    <row r="37" spans="2:9">
      <c r="B37" s="294" t="s">
        <v>1085</v>
      </c>
      <c r="C37" s="295">
        <v>2513.2069999999999</v>
      </c>
      <c r="D37" s="295">
        <v>0</v>
      </c>
      <c r="E37" s="295">
        <v>0</v>
      </c>
      <c r="F37" s="295">
        <v>0</v>
      </c>
      <c r="G37" s="295">
        <v>0</v>
      </c>
      <c r="H37" s="295">
        <v>0</v>
      </c>
      <c r="I37" s="295">
        <v>0</v>
      </c>
    </row>
    <row r="38" spans="2:9">
      <c r="B38" s="294" t="s">
        <v>1079</v>
      </c>
      <c r="C38" s="295">
        <v>2245.1190000000001</v>
      </c>
      <c r="D38" s="295">
        <v>0</v>
      </c>
      <c r="E38" s="295">
        <v>17999.18303</v>
      </c>
      <c r="F38" s="295">
        <v>0</v>
      </c>
      <c r="G38" s="295">
        <v>0</v>
      </c>
      <c r="H38" s="295">
        <v>0</v>
      </c>
      <c r="I38" s="295">
        <v>63866</v>
      </c>
    </row>
    <row r="39" spans="2:9" s="125" customFormat="1">
      <c r="B39" s="292" t="s">
        <v>1086</v>
      </c>
      <c r="C39" s="293">
        <f t="shared" ref="C39:I39" si="7">C14+C24+C32+C33+C34</f>
        <v>143185.693</v>
      </c>
      <c r="D39" s="293">
        <f t="shared" si="7"/>
        <v>562424</v>
      </c>
      <c r="E39" s="293">
        <f t="shared" si="7"/>
        <v>191719.11298999999</v>
      </c>
      <c r="F39" s="293">
        <f t="shared" si="7"/>
        <v>255422.12117</v>
      </c>
      <c r="G39" s="293">
        <f t="shared" si="7"/>
        <v>511184.18722999998</v>
      </c>
      <c r="H39" s="293">
        <f t="shared" si="7"/>
        <v>342271</v>
      </c>
      <c r="I39" s="293">
        <f t="shared" si="7"/>
        <v>436253</v>
      </c>
    </row>
    <row r="40" spans="2:9" s="125" customFormat="1">
      <c r="B40" s="296"/>
      <c r="C40" s="297"/>
      <c r="D40" s="297"/>
      <c r="E40" s="297"/>
      <c r="F40" s="297"/>
      <c r="G40" s="297"/>
      <c r="H40" s="297"/>
      <c r="I40" s="297"/>
    </row>
    <row r="41" spans="2:9">
      <c r="B41" s="576" t="s">
        <v>1087</v>
      </c>
      <c r="C41" s="579" t="s">
        <v>55</v>
      </c>
      <c r="D41" s="579" t="s">
        <v>67</v>
      </c>
      <c r="E41" s="579" t="s">
        <v>69</v>
      </c>
      <c r="F41" s="579" t="s">
        <v>71</v>
      </c>
      <c r="G41" s="579" t="s">
        <v>73</v>
      </c>
      <c r="H41" s="579" t="s">
        <v>75</v>
      </c>
      <c r="I41" s="579" t="s">
        <v>77</v>
      </c>
    </row>
    <row r="42" spans="2:9" s="125" customFormat="1">
      <c r="B42" s="292" t="s">
        <v>1071</v>
      </c>
      <c r="C42" s="293">
        <f t="shared" ref="C42:I42" si="8">SUM(C43:C51)</f>
        <v>-198811.89799999996</v>
      </c>
      <c r="D42" s="293">
        <f t="shared" si="8"/>
        <v>-377953</v>
      </c>
      <c r="E42" s="293">
        <f t="shared" si="8"/>
        <v>-69127.578040000008</v>
      </c>
      <c r="F42" s="293">
        <f t="shared" si="8"/>
        <v>-105696.21793</v>
      </c>
      <c r="G42" s="293">
        <f t="shared" si="8"/>
        <v>-575865.01526000001</v>
      </c>
      <c r="H42" s="293">
        <f t="shared" si="8"/>
        <v>-30080</v>
      </c>
      <c r="I42" s="293">
        <f t="shared" si="8"/>
        <v>-354842</v>
      </c>
    </row>
    <row r="43" spans="2:9">
      <c r="B43" s="294" t="s">
        <v>1077</v>
      </c>
      <c r="C43" s="295">
        <v>-197475.91599999997</v>
      </c>
      <c r="D43" s="295">
        <v>-273704</v>
      </c>
      <c r="E43" s="295">
        <v>-67670.989430000001</v>
      </c>
      <c r="F43" s="295">
        <v>-42987.642069999994</v>
      </c>
      <c r="G43" s="295">
        <v>-316604.28980999993</v>
      </c>
      <c r="H43" s="295">
        <v>-1272</v>
      </c>
      <c r="I43" s="295">
        <v>-347754</v>
      </c>
    </row>
    <row r="44" spans="2:9">
      <c r="B44" s="294" t="s">
        <v>1073</v>
      </c>
      <c r="C44" s="295">
        <v>-1335.982</v>
      </c>
      <c r="D44" s="295">
        <v>-3327</v>
      </c>
      <c r="E44" s="295">
        <v>-1456.58861</v>
      </c>
      <c r="F44" s="295">
        <v>-14.986270000000001</v>
      </c>
      <c r="G44" s="295">
        <v>-1473.9717900000001</v>
      </c>
      <c r="H44" s="295">
        <v>-463</v>
      </c>
      <c r="I44" s="295">
        <v>-7088</v>
      </c>
    </row>
    <row r="45" spans="2:9">
      <c r="B45" s="294" t="s">
        <v>1074</v>
      </c>
      <c r="C45" s="295">
        <v>0</v>
      </c>
      <c r="D45" s="295">
        <v>0</v>
      </c>
      <c r="E45" s="295">
        <v>0</v>
      </c>
      <c r="F45" s="295">
        <v>0</v>
      </c>
      <c r="G45" s="295">
        <v>0</v>
      </c>
      <c r="H45" s="295">
        <v>0</v>
      </c>
      <c r="I45" s="295">
        <v>0</v>
      </c>
    </row>
    <row r="46" spans="2:9">
      <c r="B46" s="294" t="s">
        <v>1072</v>
      </c>
      <c r="C46" s="295">
        <v>0</v>
      </c>
      <c r="D46" s="295">
        <v>0</v>
      </c>
      <c r="E46" s="295">
        <v>0</v>
      </c>
      <c r="F46" s="295">
        <v>0</v>
      </c>
      <c r="G46" s="295">
        <v>0</v>
      </c>
      <c r="H46" s="295">
        <v>0</v>
      </c>
      <c r="I46" s="295">
        <v>0</v>
      </c>
    </row>
    <row r="47" spans="2:9">
      <c r="B47" s="294" t="s">
        <v>1076</v>
      </c>
      <c r="C47" s="295">
        <v>0</v>
      </c>
      <c r="D47" s="295">
        <v>0</v>
      </c>
      <c r="E47" s="295">
        <v>0</v>
      </c>
      <c r="F47" s="295">
        <v>0</v>
      </c>
      <c r="G47" s="295">
        <v>0</v>
      </c>
      <c r="H47" s="295">
        <v>0</v>
      </c>
      <c r="I47" s="295">
        <v>0</v>
      </c>
    </row>
    <row r="48" spans="2:9">
      <c r="B48" s="294" t="s">
        <v>1082</v>
      </c>
      <c r="C48" s="295">
        <v>0</v>
      </c>
      <c r="D48" s="295">
        <v>-62997</v>
      </c>
      <c r="E48" s="295">
        <v>0</v>
      </c>
      <c r="F48" s="295">
        <v>0</v>
      </c>
      <c r="G48" s="295">
        <v>-18517.106190000002</v>
      </c>
      <c r="H48" s="295">
        <v>-13504</v>
      </c>
      <c r="I48" s="295">
        <v>0</v>
      </c>
    </row>
    <row r="49" spans="2:9">
      <c r="B49" s="294" t="s">
        <v>59</v>
      </c>
      <c r="C49" s="295">
        <v>0</v>
      </c>
      <c r="D49" s="295">
        <v>0</v>
      </c>
      <c r="E49" s="295">
        <v>0</v>
      </c>
      <c r="F49" s="295">
        <v>-62693.589590000003</v>
      </c>
      <c r="G49" s="295">
        <v>-232578.19832000002</v>
      </c>
      <c r="H49" s="295">
        <v>0</v>
      </c>
      <c r="I49" s="295">
        <v>0</v>
      </c>
    </row>
    <row r="50" spans="2:9">
      <c r="B50" s="294" t="s">
        <v>1075</v>
      </c>
      <c r="C50" s="295">
        <v>0</v>
      </c>
      <c r="D50" s="295">
        <v>0</v>
      </c>
      <c r="E50" s="295">
        <v>0</v>
      </c>
      <c r="F50" s="295">
        <v>0</v>
      </c>
      <c r="G50" s="295">
        <v>0</v>
      </c>
      <c r="H50" s="295">
        <v>0</v>
      </c>
      <c r="I50" s="295">
        <v>0</v>
      </c>
    </row>
    <row r="51" spans="2:9">
      <c r="B51" s="294" t="s">
        <v>1079</v>
      </c>
      <c r="C51" s="295">
        <v>0</v>
      </c>
      <c r="D51" s="295">
        <v>-37925</v>
      </c>
      <c r="E51" s="295">
        <v>0</v>
      </c>
      <c r="F51" s="295">
        <v>0</v>
      </c>
      <c r="G51" s="295">
        <v>-6691.4491500000004</v>
      </c>
      <c r="H51" s="295">
        <v>-14841</v>
      </c>
      <c r="I51" s="295">
        <v>0</v>
      </c>
    </row>
    <row r="52" spans="2:9" s="125" customFormat="1">
      <c r="B52" s="292" t="s">
        <v>1080</v>
      </c>
      <c r="C52" s="293">
        <f t="shared" ref="C52:I52" si="9">SUM(C53:C58)</f>
        <v>-23706.177</v>
      </c>
      <c r="D52" s="293">
        <f t="shared" si="9"/>
        <v>-6920</v>
      </c>
      <c r="E52" s="293">
        <f t="shared" si="9"/>
        <v>-34697.540359999999</v>
      </c>
      <c r="F52" s="293">
        <f t="shared" si="9"/>
        <v>-56984.285140000007</v>
      </c>
      <c r="G52" s="293">
        <f t="shared" si="9"/>
        <v>-131166.00657000003</v>
      </c>
      <c r="H52" s="293">
        <f t="shared" si="9"/>
        <v>-3670</v>
      </c>
      <c r="I52" s="293">
        <f t="shared" si="9"/>
        <v>-86363</v>
      </c>
    </row>
    <row r="53" spans="2:9">
      <c r="B53" s="294" t="s">
        <v>1076</v>
      </c>
      <c r="C53" s="295">
        <v>-83.585999999999999</v>
      </c>
      <c r="D53" s="295">
        <v>-19</v>
      </c>
      <c r="E53" s="295">
        <v>-462.75963999999999</v>
      </c>
      <c r="F53" s="295">
        <v>-2756.8240299999998</v>
      </c>
      <c r="G53" s="295">
        <v>-964.78078000000005</v>
      </c>
      <c r="H53" s="295">
        <v>0</v>
      </c>
      <c r="I53" s="295">
        <v>-184</v>
      </c>
    </row>
    <row r="54" spans="2:9">
      <c r="B54" s="294" t="s">
        <v>1077</v>
      </c>
      <c r="C54" s="295">
        <v>-21981.377</v>
      </c>
      <c r="D54" s="295">
        <v>-6094</v>
      </c>
      <c r="E54" s="295">
        <v>-30073.675670000001</v>
      </c>
      <c r="F54" s="295">
        <v>-52833.577130000005</v>
      </c>
      <c r="G54" s="295">
        <v>-109185.73014</v>
      </c>
      <c r="H54" s="295">
        <v>-1897</v>
      </c>
      <c r="I54" s="295">
        <v>-73602</v>
      </c>
    </row>
    <row r="55" spans="2:9">
      <c r="B55" s="294" t="s">
        <v>1072</v>
      </c>
      <c r="C55" s="295">
        <v>-33.859000000000002</v>
      </c>
      <c r="D55" s="295">
        <v>0</v>
      </c>
      <c r="E55" s="295">
        <v>-191.42285000000001</v>
      </c>
      <c r="F55" s="295">
        <v>-558.27960999999993</v>
      </c>
      <c r="G55" s="295">
        <v>-12144.509610000001</v>
      </c>
      <c r="H55" s="295">
        <v>0</v>
      </c>
      <c r="I55" s="295">
        <v>-7260</v>
      </c>
    </row>
    <row r="56" spans="2:9">
      <c r="B56" s="294" t="s">
        <v>1075</v>
      </c>
      <c r="C56" s="295">
        <v>0</v>
      </c>
      <c r="D56" s="295">
        <v>0</v>
      </c>
      <c r="E56" s="295">
        <v>0</v>
      </c>
      <c r="F56" s="295">
        <v>0</v>
      </c>
      <c r="G56" s="295">
        <v>-56.484660000000005</v>
      </c>
      <c r="H56" s="295">
        <v>0</v>
      </c>
      <c r="I56" s="295">
        <v>0</v>
      </c>
    </row>
    <row r="57" spans="2:9">
      <c r="B57" s="294" t="s">
        <v>1074</v>
      </c>
      <c r="C57" s="295">
        <v>-390.45</v>
      </c>
      <c r="D57" s="295">
        <v>0</v>
      </c>
      <c r="E57" s="295">
        <v>-39.798540000000003</v>
      </c>
      <c r="F57" s="295">
        <v>0</v>
      </c>
      <c r="G57" s="295">
        <v>-1721.41383</v>
      </c>
      <c r="H57" s="295">
        <v>-312</v>
      </c>
      <c r="I57" s="295">
        <v>0</v>
      </c>
    </row>
    <row r="58" spans="2:9">
      <c r="B58" s="294" t="s">
        <v>1073</v>
      </c>
      <c r="C58" s="295">
        <v>-1216.905</v>
      </c>
      <c r="D58" s="295">
        <v>-807</v>
      </c>
      <c r="E58" s="295">
        <v>-3929.8836600000004</v>
      </c>
      <c r="F58" s="295">
        <v>-835.60437000000002</v>
      </c>
      <c r="G58" s="295">
        <v>-7093.0875500000002</v>
      </c>
      <c r="H58" s="295">
        <v>-1461</v>
      </c>
      <c r="I58" s="295">
        <v>-5317</v>
      </c>
    </row>
    <row r="59" spans="2:9" s="125" customFormat="1">
      <c r="B59" s="292" t="s">
        <v>1079</v>
      </c>
      <c r="C59" s="293">
        <v>0</v>
      </c>
      <c r="D59" s="293">
        <v>0</v>
      </c>
      <c r="E59" s="293">
        <v>0</v>
      </c>
      <c r="F59" s="293">
        <v>0</v>
      </c>
      <c r="G59" s="293">
        <v>0</v>
      </c>
      <c r="H59" s="293">
        <v>0</v>
      </c>
      <c r="I59" s="293">
        <v>0</v>
      </c>
    </row>
    <row r="60" spans="2:9" s="125" customFormat="1">
      <c r="B60" s="292" t="s">
        <v>1082</v>
      </c>
      <c r="C60" s="293">
        <v>-45848.953000000001</v>
      </c>
      <c r="D60" s="293">
        <v>-1331</v>
      </c>
      <c r="E60" s="293">
        <v>-12143.723190000001</v>
      </c>
      <c r="F60" s="293">
        <v>-39911.427920000002</v>
      </c>
      <c r="G60" s="293">
        <v>-33364.350989999999</v>
      </c>
      <c r="H60" s="293">
        <v>0</v>
      </c>
      <c r="I60" s="293">
        <v>-213512</v>
      </c>
    </row>
    <row r="61" spans="2:9" s="125" customFormat="1">
      <c r="B61" s="292" t="s">
        <v>1083</v>
      </c>
      <c r="C61" s="293">
        <f t="shared" ref="C61:I61" si="10">SUM(C62:C66)</f>
        <v>-217439.31099999999</v>
      </c>
      <c r="D61" s="293">
        <f t="shared" si="10"/>
        <v>-289270</v>
      </c>
      <c r="E61" s="293">
        <f t="shared" si="10"/>
        <v>-157305.26576000001</v>
      </c>
      <c r="F61" s="293">
        <f t="shared" si="10"/>
        <v>-105461.28143999999</v>
      </c>
      <c r="G61" s="293">
        <f t="shared" si="10"/>
        <v>-107167.6539</v>
      </c>
      <c r="H61" s="293">
        <f t="shared" si="10"/>
        <v>-161777</v>
      </c>
      <c r="I61" s="293">
        <f t="shared" si="10"/>
        <v>-475948</v>
      </c>
    </row>
    <row r="62" spans="2:9">
      <c r="B62" s="294" t="s">
        <v>59</v>
      </c>
      <c r="C62" s="295">
        <v>-201172.935</v>
      </c>
      <c r="D62" s="295">
        <v>-284215</v>
      </c>
      <c r="E62" s="295">
        <v>-144710.04896000001</v>
      </c>
      <c r="F62" s="295">
        <v>-105461.28143999999</v>
      </c>
      <c r="G62" s="295">
        <v>-107167.6539</v>
      </c>
      <c r="H62" s="295">
        <v>-147178</v>
      </c>
      <c r="I62" s="295">
        <v>-475948</v>
      </c>
    </row>
    <row r="63" spans="2:9">
      <c r="B63" s="294" t="s">
        <v>1088</v>
      </c>
      <c r="C63" s="295">
        <v>0</v>
      </c>
      <c r="D63" s="295">
        <v>0</v>
      </c>
      <c r="E63" s="295">
        <v>0</v>
      </c>
      <c r="F63" s="295">
        <v>0</v>
      </c>
      <c r="G63" s="295">
        <v>0</v>
      </c>
      <c r="H63" s="295">
        <v>0</v>
      </c>
      <c r="I63" s="295">
        <v>0</v>
      </c>
    </row>
    <row r="64" spans="2:9">
      <c r="B64" s="294" t="s">
        <v>1089</v>
      </c>
      <c r="C64" s="289">
        <v>0</v>
      </c>
      <c r="D64" s="289">
        <v>0</v>
      </c>
      <c r="E64" s="289">
        <v>0</v>
      </c>
      <c r="F64" s="289">
        <v>0</v>
      </c>
      <c r="G64" s="289">
        <v>0</v>
      </c>
      <c r="H64" s="289">
        <v>0</v>
      </c>
      <c r="I64" s="289">
        <v>0</v>
      </c>
    </row>
    <row r="65" spans="2:9">
      <c r="B65" s="294" t="s">
        <v>1079</v>
      </c>
      <c r="C65" s="289">
        <v>-16266.376</v>
      </c>
      <c r="D65" s="289">
        <v>-5055</v>
      </c>
      <c r="E65" s="289">
        <v>-12595.2168</v>
      </c>
      <c r="F65" s="289">
        <v>0</v>
      </c>
      <c r="G65" s="289">
        <v>0</v>
      </c>
      <c r="H65" s="289">
        <v>-14599</v>
      </c>
      <c r="I65" s="289">
        <v>0</v>
      </c>
    </row>
    <row r="66" spans="2:9">
      <c r="B66" s="294" t="s">
        <v>1090</v>
      </c>
      <c r="C66" s="289">
        <v>0</v>
      </c>
      <c r="D66" s="289">
        <v>0</v>
      </c>
      <c r="E66" s="289">
        <v>0</v>
      </c>
      <c r="F66" s="289">
        <v>0</v>
      </c>
      <c r="G66" s="289">
        <v>0</v>
      </c>
      <c r="H66" s="289">
        <v>0</v>
      </c>
      <c r="I66" s="289">
        <v>0</v>
      </c>
    </row>
    <row r="67" spans="2:9" s="125" customFormat="1">
      <c r="B67" s="292" t="s">
        <v>1086</v>
      </c>
      <c r="C67" s="293">
        <f t="shared" ref="C67:I67" si="11">+C42+C52+C59+C60+C61</f>
        <v>-485806.33899999992</v>
      </c>
      <c r="D67" s="293">
        <f t="shared" si="11"/>
        <v>-675474</v>
      </c>
      <c r="E67" s="293">
        <f>+E42+E52+E59+E60+E61</f>
        <v>-273274.10735000001</v>
      </c>
      <c r="F67" s="293">
        <f t="shared" si="11"/>
        <v>-308053.21243000001</v>
      </c>
      <c r="G67" s="293">
        <f t="shared" si="11"/>
        <v>-847563.02671999997</v>
      </c>
      <c r="H67" s="293">
        <f t="shared" si="11"/>
        <v>-195527</v>
      </c>
      <c r="I67" s="293">
        <f t="shared" si="11"/>
        <v>-1130665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9" tint="0.79998168889431442"/>
  </sheetPr>
  <dimension ref="B5:O29"/>
  <sheetViews>
    <sheetView showGridLines="0" zoomScale="85" zoomScaleNormal="85" workbookViewId="0">
      <selection activeCell="P12" sqref="P12"/>
    </sheetView>
  </sheetViews>
  <sheetFormatPr defaultRowHeight="14.5"/>
  <cols>
    <col min="2" max="2" width="35.453125" bestFit="1" customWidth="1"/>
  </cols>
  <sheetData>
    <row r="5" spans="2:15">
      <c r="B5" s="125" t="s">
        <v>1091</v>
      </c>
    </row>
    <row r="6" spans="2:15">
      <c r="B6" s="576" t="s">
        <v>1092</v>
      </c>
      <c r="C6" s="577" t="s">
        <v>42</v>
      </c>
      <c r="D6" s="577" t="s">
        <v>43</v>
      </c>
      <c r="E6" s="577" t="s">
        <v>44</v>
      </c>
      <c r="F6" s="577" t="s">
        <v>45</v>
      </c>
      <c r="G6" s="577" t="s">
        <v>46</v>
      </c>
      <c r="H6" s="577" t="s">
        <v>47</v>
      </c>
      <c r="I6" s="577" t="s">
        <v>48</v>
      </c>
      <c r="J6" s="577" t="s">
        <v>49</v>
      </c>
      <c r="K6" s="577" t="s">
        <v>50</v>
      </c>
      <c r="L6" s="577" t="s">
        <v>51</v>
      </c>
      <c r="M6" s="577" t="s">
        <v>52</v>
      </c>
      <c r="N6" s="577" t="s">
        <v>53</v>
      </c>
      <c r="O6" s="577" t="s">
        <v>54</v>
      </c>
    </row>
    <row r="7" spans="2:15">
      <c r="B7" s="298" t="s">
        <v>1093</v>
      </c>
      <c r="C7" s="299">
        <f>SUM(C8:C10)</f>
        <v>116</v>
      </c>
      <c r="D7" s="299">
        <f>SUM(D8:D10)</f>
        <v>171.09631800000002</v>
      </c>
      <c r="E7" s="299">
        <f>SUM(E8:E10)</f>
        <v>118.44234999999999</v>
      </c>
      <c r="F7" s="299">
        <f t="shared" ref="F7:M7" si="0">SUM(F8:F10)</f>
        <v>137.18355668070998</v>
      </c>
      <c r="G7" s="299">
        <f t="shared" si="0"/>
        <v>149</v>
      </c>
      <c r="H7" s="299">
        <f t="shared" si="0"/>
        <v>179.2840946329656</v>
      </c>
      <c r="I7" s="299">
        <f t="shared" si="0"/>
        <v>182.71589629970651</v>
      </c>
      <c r="J7" s="299">
        <f t="shared" si="0"/>
        <v>154.0442487990384</v>
      </c>
      <c r="K7" s="299">
        <f t="shared" si="0"/>
        <v>141.02699999999999</v>
      </c>
      <c r="L7" s="299">
        <f t="shared" si="0"/>
        <v>139.82633347779063</v>
      </c>
      <c r="M7" s="299">
        <f t="shared" si="0"/>
        <v>156.96212643669685</v>
      </c>
      <c r="N7" s="299">
        <f t="shared" ref="N7:O7" si="1">SUM(N8:N10)</f>
        <v>142.18725952858824</v>
      </c>
      <c r="O7" s="299">
        <f t="shared" si="1"/>
        <v>152.88011980087711</v>
      </c>
    </row>
    <row r="8" spans="2:15">
      <c r="B8" t="s">
        <v>607</v>
      </c>
      <c r="C8" s="289">
        <v>91</v>
      </c>
      <c r="D8" s="289">
        <v>161.18139300000001</v>
      </c>
      <c r="E8" s="289">
        <v>107.139</v>
      </c>
      <c r="F8" s="289">
        <v>122.86864058999998</v>
      </c>
      <c r="G8" s="289">
        <v>134</v>
      </c>
      <c r="H8" s="289">
        <v>161.89907345999995</v>
      </c>
      <c r="I8" s="289">
        <v>164.30841430999999</v>
      </c>
      <c r="J8" s="289">
        <v>132.60014687</v>
      </c>
      <c r="K8" s="289">
        <v>120.499</v>
      </c>
      <c r="L8" s="289">
        <v>120.89267380000003</v>
      </c>
      <c r="M8" s="289">
        <v>135.37315559999999</v>
      </c>
      <c r="N8" s="289">
        <v>119.76061271999998</v>
      </c>
      <c r="O8" s="289">
        <v>130.06684082000004</v>
      </c>
    </row>
    <row r="9" spans="2:15">
      <c r="B9" t="s">
        <v>1094</v>
      </c>
      <c r="C9" s="289">
        <v>17</v>
      </c>
      <c r="D9" s="289">
        <v>0</v>
      </c>
      <c r="E9" s="289">
        <v>0</v>
      </c>
      <c r="F9" s="289">
        <v>3.5429834907100028</v>
      </c>
      <c r="G9" s="289">
        <v>4</v>
      </c>
      <c r="H9" s="289">
        <v>4.1128612429656695</v>
      </c>
      <c r="I9" s="289">
        <v>4.1947274097065197</v>
      </c>
      <c r="J9" s="289">
        <v>9.0190347090384098</v>
      </c>
      <c r="K9" s="289">
        <v>9.1349999999999998</v>
      </c>
      <c r="L9" s="289">
        <v>9.2761790677905989</v>
      </c>
      <c r="M9" s="289">
        <v>9.8899775266968568</v>
      </c>
      <c r="N9" s="289">
        <v>11.955254698588249</v>
      </c>
      <c r="O9" s="289">
        <v>12.484284540877077</v>
      </c>
    </row>
    <row r="10" spans="2:15">
      <c r="B10" t="s">
        <v>1095</v>
      </c>
      <c r="C10" s="289">
        <v>8</v>
      </c>
      <c r="D10" s="289">
        <v>9.9149250000000002</v>
      </c>
      <c r="E10" s="289">
        <v>11.30335</v>
      </c>
      <c r="F10" s="289">
        <v>10.7719326</v>
      </c>
      <c r="G10" s="289">
        <v>11</v>
      </c>
      <c r="H10" s="289">
        <v>13.272159930000001</v>
      </c>
      <c r="I10" s="289">
        <v>14.21275458</v>
      </c>
      <c r="J10" s="289">
        <v>12.425067220000001</v>
      </c>
      <c r="K10" s="289">
        <v>11.393000000000001</v>
      </c>
      <c r="L10" s="289">
        <v>9.6574806100000004</v>
      </c>
      <c r="M10" s="289">
        <v>11.698993310000001</v>
      </c>
      <c r="N10" s="289">
        <v>10.47139211</v>
      </c>
      <c r="O10" s="289">
        <v>10.328994440000001</v>
      </c>
    </row>
    <row r="11" spans="2:15">
      <c r="B11" s="298" t="s">
        <v>1096</v>
      </c>
      <c r="C11" s="299">
        <f>SUM(C12:C14)</f>
        <v>-120</v>
      </c>
      <c r="D11" s="299">
        <f>SUM(D12:D14)</f>
        <v>-136.52841800000002</v>
      </c>
      <c r="E11" s="299">
        <f>SUM(E12:E14)</f>
        <v>-147.02361999999999</v>
      </c>
      <c r="F11" s="299">
        <f t="shared" ref="F11:M11" si="2">SUM(F12:F14)</f>
        <v>-140.55779218999999</v>
      </c>
      <c r="G11" s="299">
        <f t="shared" si="2"/>
        <v>-154.6</v>
      </c>
      <c r="H11" s="299">
        <f t="shared" si="2"/>
        <v>-185.33302894265879</v>
      </c>
      <c r="I11" s="299">
        <f t="shared" si="2"/>
        <v>-189.08904242919007</v>
      </c>
      <c r="J11" s="299">
        <f t="shared" si="2"/>
        <v>-158.41157827000001</v>
      </c>
      <c r="K11" s="299">
        <f t="shared" si="2"/>
        <v>-142.35957270999998</v>
      </c>
      <c r="L11" s="299">
        <f t="shared" si="2"/>
        <v>-136.65751108000001</v>
      </c>
      <c r="M11" s="299">
        <f t="shared" si="2"/>
        <v>-166.54484868</v>
      </c>
      <c r="N11" s="299">
        <f t="shared" ref="N11:O11" si="3">SUM(N12:N14)</f>
        <v>-142.91502574</v>
      </c>
      <c r="O11" s="299">
        <f t="shared" si="3"/>
        <v>-154.87077549</v>
      </c>
    </row>
    <row r="12" spans="2:15">
      <c r="B12" t="s">
        <v>597</v>
      </c>
      <c r="C12" s="289">
        <v>-3</v>
      </c>
      <c r="D12" s="289">
        <v>-3.2145830000000002</v>
      </c>
      <c r="E12" s="289">
        <v>-3.7629999999999999</v>
      </c>
      <c r="F12" s="289">
        <v>-3.7083759999999999</v>
      </c>
      <c r="G12" s="289">
        <v>-5.6</v>
      </c>
      <c r="H12" s="289">
        <v>-6.6107651600000006</v>
      </c>
      <c r="I12" s="289">
        <v>-11.822062519999999</v>
      </c>
      <c r="J12" s="289">
        <v>-7.6319781500000001</v>
      </c>
      <c r="K12" s="289">
        <v>-10.192</v>
      </c>
      <c r="L12" s="289">
        <v>-15.160774719999997</v>
      </c>
      <c r="M12" s="289">
        <v>-16.219857149999999</v>
      </c>
      <c r="N12" s="289">
        <v>-18.963729929999992</v>
      </c>
      <c r="O12" s="289">
        <v>-18.289287210000001</v>
      </c>
    </row>
    <row r="13" spans="2:15">
      <c r="B13" t="s">
        <v>59</v>
      </c>
      <c r="C13" s="289"/>
      <c r="D13" s="289"/>
      <c r="E13" s="289">
        <v>0</v>
      </c>
      <c r="F13" s="289"/>
      <c r="G13" s="289"/>
      <c r="H13" s="289"/>
      <c r="I13" s="289">
        <v>0</v>
      </c>
      <c r="J13" s="289"/>
      <c r="K13" s="289"/>
      <c r="L13" s="289"/>
      <c r="M13" s="289">
        <v>0</v>
      </c>
      <c r="N13" s="289">
        <v>0</v>
      </c>
      <c r="O13" s="289"/>
    </row>
    <row r="14" spans="2:15">
      <c r="B14" t="s">
        <v>606</v>
      </c>
      <c r="C14" s="289">
        <v>-117</v>
      </c>
      <c r="D14" s="289">
        <v>-133.31383500000001</v>
      </c>
      <c r="E14" s="289">
        <v>-143.26061999999999</v>
      </c>
      <c r="F14" s="289">
        <v>-136.84941619</v>
      </c>
      <c r="G14" s="289">
        <v>-149</v>
      </c>
      <c r="H14" s="289">
        <v>-178.72226378265879</v>
      </c>
      <c r="I14" s="289">
        <v>-177.26697990919007</v>
      </c>
      <c r="J14" s="289">
        <v>-150.77960012</v>
      </c>
      <c r="K14" s="289">
        <v>-132.16757270999997</v>
      </c>
      <c r="L14" s="289">
        <v>-121.49673636000001</v>
      </c>
      <c r="M14" s="289">
        <v>-150.32499153000001</v>
      </c>
      <c r="N14" s="289">
        <v>-123.95129581</v>
      </c>
      <c r="O14" s="289">
        <v>-136.58148828</v>
      </c>
    </row>
    <row r="15" spans="2:15" s="125" customFormat="1">
      <c r="B15" s="298" t="s">
        <v>1097</v>
      </c>
      <c r="C15" s="299">
        <f>C7+C11</f>
        <v>-4</v>
      </c>
      <c r="D15" s="299">
        <f>D7+D11</f>
        <v>34.567900000000009</v>
      </c>
      <c r="E15" s="299">
        <f>E7+E11</f>
        <v>-28.581270000000004</v>
      </c>
      <c r="F15" s="299">
        <f t="shared" ref="F15:M15" si="4">F7+F11</f>
        <v>-3.3742355092900027</v>
      </c>
      <c r="G15" s="299">
        <f t="shared" si="4"/>
        <v>-5.5999999999999943</v>
      </c>
      <c r="H15" s="299">
        <f t="shared" si="4"/>
        <v>-6.0489343096931805</v>
      </c>
      <c r="I15" s="299">
        <f t="shared" si="4"/>
        <v>-6.3731461294835583</v>
      </c>
      <c r="J15" s="299">
        <f t="shared" si="4"/>
        <v>-4.3673294709616073</v>
      </c>
      <c r="K15" s="299">
        <f t="shared" si="4"/>
        <v>-1.3325727099999938</v>
      </c>
      <c r="L15" s="299">
        <f t="shared" si="4"/>
        <v>3.1688223977906205</v>
      </c>
      <c r="M15" s="299">
        <f t="shared" si="4"/>
        <v>-9.5827222433031523</v>
      </c>
      <c r="N15" s="299">
        <f t="shared" ref="N15:O15" si="5">N7+N11</f>
        <v>-0.72776621141176179</v>
      </c>
      <c r="O15" s="299">
        <f t="shared" si="5"/>
        <v>-1.9906556891228888</v>
      </c>
    </row>
    <row r="16" spans="2:15">
      <c r="B16" t="s">
        <v>1098</v>
      </c>
      <c r="C16" s="289">
        <v>68</v>
      </c>
      <c r="D16" s="289">
        <v>66</v>
      </c>
      <c r="E16" s="289">
        <v>74.603020000000001</v>
      </c>
      <c r="F16" s="289">
        <v>64.628618995060478</v>
      </c>
      <c r="G16" s="289">
        <v>66</v>
      </c>
      <c r="H16" s="289">
        <v>75.049473430999996</v>
      </c>
      <c r="I16" s="289">
        <v>76.543327063000007</v>
      </c>
      <c r="J16" s="289">
        <v>64.658140549999999</v>
      </c>
      <c r="K16" s="289">
        <v>65.489000000000004</v>
      </c>
      <c r="L16" s="289">
        <v>65.396097866129011</v>
      </c>
      <c r="M16" s="289">
        <v>70.71118556509677</v>
      </c>
      <c r="N16" s="289">
        <v>66.378254706000007</v>
      </c>
      <c r="O16" s="289">
        <v>69.315547009999989</v>
      </c>
    </row>
    <row r="19" spans="2:15">
      <c r="B19" s="576" t="s">
        <v>1099</v>
      </c>
      <c r="C19" s="578" t="s">
        <v>42</v>
      </c>
      <c r="D19" s="578" t="s">
        <v>43</v>
      </c>
      <c r="E19" s="578" t="s">
        <v>44</v>
      </c>
      <c r="F19" s="578" t="s">
        <v>45</v>
      </c>
      <c r="G19" s="578" t="s">
        <v>46</v>
      </c>
      <c r="H19" s="578" t="s">
        <v>47</v>
      </c>
      <c r="I19" s="578" t="s">
        <v>48</v>
      </c>
      <c r="J19" s="578" t="s">
        <v>49</v>
      </c>
      <c r="K19" s="578" t="s">
        <v>50</v>
      </c>
      <c r="L19" s="578" t="s">
        <v>51</v>
      </c>
      <c r="M19" s="577" t="s">
        <v>52</v>
      </c>
      <c r="N19" s="577" t="s">
        <v>53</v>
      </c>
      <c r="O19" s="577" t="s">
        <v>54</v>
      </c>
    </row>
    <row r="20" spans="2:15">
      <c r="B20" s="298" t="s">
        <v>1093</v>
      </c>
      <c r="C20" s="299">
        <f t="shared" ref="C20:M20" si="6">SUM(C21:C23)</f>
        <v>0</v>
      </c>
      <c r="D20" s="299">
        <f t="shared" si="6"/>
        <v>0</v>
      </c>
      <c r="E20" s="299">
        <f t="shared" si="6"/>
        <v>0</v>
      </c>
      <c r="F20" s="299">
        <f t="shared" si="6"/>
        <v>0</v>
      </c>
      <c r="G20" s="299">
        <f t="shared" si="6"/>
        <v>0</v>
      </c>
      <c r="H20" s="299">
        <f t="shared" si="6"/>
        <v>36.942960917720001</v>
      </c>
      <c r="I20" s="299">
        <f t="shared" si="6"/>
        <v>33.940384129999998</v>
      </c>
      <c r="J20" s="299">
        <f t="shared" si="6"/>
        <v>28.707799560000002</v>
      </c>
      <c r="K20" s="299">
        <f t="shared" si="6"/>
        <v>0</v>
      </c>
      <c r="L20" s="299">
        <f t="shared" si="6"/>
        <v>30.216106889999999</v>
      </c>
      <c r="M20" s="299">
        <f t="shared" si="6"/>
        <v>35.159749210000001</v>
      </c>
      <c r="N20" s="299">
        <f t="shared" ref="N20:O20" si="7">SUM(N21:N23)</f>
        <v>31.624000829999996</v>
      </c>
      <c r="O20" s="299">
        <f t="shared" si="7"/>
        <v>38.218590069999998</v>
      </c>
    </row>
    <row r="21" spans="2:15">
      <c r="B21" t="s">
        <v>607</v>
      </c>
      <c r="C21" s="289"/>
      <c r="D21" s="289"/>
      <c r="E21" s="289"/>
      <c r="F21" s="289"/>
      <c r="G21" s="289"/>
      <c r="H21" s="289">
        <v>36.22675358</v>
      </c>
      <c r="I21" s="289">
        <v>33.217447659999998</v>
      </c>
      <c r="J21" s="289">
        <v>27.149731150000001</v>
      </c>
      <c r="K21" s="289"/>
      <c r="L21" s="289">
        <v>28.271729260000001</v>
      </c>
      <c r="M21" s="289">
        <v>33.151968700000005</v>
      </c>
      <c r="N21" s="289">
        <v>29.343396339999998</v>
      </c>
      <c r="O21" s="289">
        <v>35.79410369</v>
      </c>
    </row>
    <row r="22" spans="2:15">
      <c r="B22" t="s">
        <v>1094</v>
      </c>
      <c r="C22" s="289"/>
      <c r="D22" s="289"/>
      <c r="E22" s="289"/>
      <c r="F22" s="289"/>
      <c r="G22" s="289"/>
      <c r="H22" s="289">
        <v>0.71620733772</v>
      </c>
      <c r="I22" s="289">
        <v>0.72293647000000005</v>
      </c>
      <c r="J22" s="289">
        <v>1.55806841</v>
      </c>
      <c r="K22" s="289"/>
      <c r="L22" s="289">
        <v>1.94437763</v>
      </c>
      <c r="M22" s="289">
        <v>2.0077805099999999</v>
      </c>
      <c r="N22" s="289">
        <v>2.2806044899999995</v>
      </c>
      <c r="O22" s="289">
        <v>2.4244863799999998</v>
      </c>
    </row>
    <row r="23" spans="2:15">
      <c r="B23" t="s">
        <v>1095</v>
      </c>
      <c r="C23" s="289"/>
      <c r="D23" s="289"/>
      <c r="E23" s="289"/>
      <c r="F23" s="289"/>
      <c r="G23" s="289"/>
      <c r="H23" s="289"/>
      <c r="I23" s="289">
        <v>0</v>
      </c>
      <c r="J23" s="289">
        <v>0</v>
      </c>
      <c r="K23" s="289"/>
      <c r="L23" s="289"/>
      <c r="M23" s="289">
        <v>0</v>
      </c>
      <c r="N23" s="289">
        <v>0</v>
      </c>
      <c r="O23" s="289">
        <v>0</v>
      </c>
    </row>
    <row r="24" spans="2:15">
      <c r="B24" s="298" t="s">
        <v>1096</v>
      </c>
      <c r="C24" s="299">
        <f t="shared" ref="C24:M24" si="8">SUM(C25:C27)</f>
        <v>0</v>
      </c>
      <c r="D24" s="299">
        <f t="shared" si="8"/>
        <v>0</v>
      </c>
      <c r="E24" s="299">
        <f t="shared" si="8"/>
        <v>0</v>
      </c>
      <c r="F24" s="299">
        <f t="shared" si="8"/>
        <v>0</v>
      </c>
      <c r="G24" s="299">
        <f t="shared" si="8"/>
        <v>0</v>
      </c>
      <c r="H24" s="299">
        <f t="shared" si="8"/>
        <v>-36.942960929999998</v>
      </c>
      <c r="I24" s="299">
        <f t="shared" si="8"/>
        <v>-33.940384129999998</v>
      </c>
      <c r="J24" s="299">
        <f t="shared" si="8"/>
        <v>-29.958086439999999</v>
      </c>
      <c r="K24" s="299">
        <f t="shared" si="8"/>
        <v>0</v>
      </c>
      <c r="L24" s="299">
        <f t="shared" si="8"/>
        <v>-31.592554</v>
      </c>
      <c r="M24" s="299">
        <f t="shared" si="8"/>
        <v>-36.747989189999998</v>
      </c>
      <c r="N24" s="299">
        <f t="shared" ref="N24:O24" si="9">SUM(N25:N27)</f>
        <v>-31.609330890000003</v>
      </c>
      <c r="O24" s="299">
        <f t="shared" si="9"/>
        <v>-38.218590080000006</v>
      </c>
    </row>
    <row r="25" spans="2:15">
      <c r="B25" t="s">
        <v>597</v>
      </c>
      <c r="C25" s="289"/>
      <c r="D25" s="289"/>
      <c r="E25" s="289"/>
      <c r="F25" s="289"/>
      <c r="G25" s="289"/>
      <c r="H25" s="289"/>
      <c r="I25" s="289">
        <v>0</v>
      </c>
      <c r="J25" s="289">
        <v>0</v>
      </c>
      <c r="K25" s="289"/>
      <c r="L25" s="289"/>
      <c r="M25" s="289">
        <v>0</v>
      </c>
      <c r="N25" s="289">
        <v>0</v>
      </c>
      <c r="O25" s="289">
        <v>-4.7524661000000004</v>
      </c>
    </row>
    <row r="26" spans="2:15">
      <c r="B26" t="s">
        <v>59</v>
      </c>
      <c r="C26" s="289"/>
      <c r="D26" s="289"/>
      <c r="E26" s="289"/>
      <c r="F26" s="289"/>
      <c r="G26" s="289"/>
      <c r="H26" s="289"/>
      <c r="I26" s="289">
        <v>0</v>
      </c>
      <c r="J26" s="289">
        <v>0</v>
      </c>
      <c r="K26" s="289"/>
      <c r="L26" s="289"/>
      <c r="M26" s="289">
        <v>0</v>
      </c>
      <c r="N26" s="289">
        <v>0</v>
      </c>
      <c r="O26" s="289">
        <v>0</v>
      </c>
    </row>
    <row r="27" spans="2:15">
      <c r="B27" t="s">
        <v>606</v>
      </c>
      <c r="C27" s="289"/>
      <c r="D27" s="289"/>
      <c r="E27" s="289"/>
      <c r="F27" s="289"/>
      <c r="G27" s="289"/>
      <c r="H27" s="289">
        <v>-36.942960929999998</v>
      </c>
      <c r="I27" s="289">
        <v>-33.940384129999998</v>
      </c>
      <c r="J27" s="289">
        <v>-29.958086439999999</v>
      </c>
      <c r="K27" s="289"/>
      <c r="L27" s="289">
        <v>-31.592554</v>
      </c>
      <c r="M27" s="289">
        <v>-36.747989189999998</v>
      </c>
      <c r="N27" s="289">
        <v>-31.609330890000003</v>
      </c>
      <c r="O27" s="289">
        <v>-33.466123980000006</v>
      </c>
    </row>
    <row r="28" spans="2:15" s="125" customFormat="1">
      <c r="B28" s="298" t="s">
        <v>1097</v>
      </c>
      <c r="C28" s="299">
        <f t="shared" ref="C28:M28" si="10">C20+C24</f>
        <v>0</v>
      </c>
      <c r="D28" s="299">
        <f t="shared" si="10"/>
        <v>0</v>
      </c>
      <c r="E28" s="299">
        <f t="shared" si="10"/>
        <v>0</v>
      </c>
      <c r="F28" s="299">
        <f t="shared" si="10"/>
        <v>0</v>
      </c>
      <c r="G28" s="299">
        <f t="shared" si="10"/>
        <v>0</v>
      </c>
      <c r="H28" s="299">
        <f t="shared" si="10"/>
        <v>-1.2279997463338077E-8</v>
      </c>
      <c r="I28" s="299">
        <f t="shared" si="10"/>
        <v>0</v>
      </c>
      <c r="J28" s="299">
        <f t="shared" si="10"/>
        <v>-1.2502868799999973</v>
      </c>
      <c r="K28" s="299">
        <f t="shared" si="10"/>
        <v>0</v>
      </c>
      <c r="L28" s="299">
        <f t="shared" si="10"/>
        <v>-1.3764471100000009</v>
      </c>
      <c r="M28" s="299">
        <f t="shared" si="10"/>
        <v>-1.5882399799999973</v>
      </c>
      <c r="N28" s="299">
        <f t="shared" ref="N28:O28" si="11">N20+N24</f>
        <v>1.4669939999993886E-2</v>
      </c>
      <c r="O28" s="299">
        <f t="shared" si="11"/>
        <v>-1.0000007932831068E-8</v>
      </c>
    </row>
    <row r="29" spans="2:15">
      <c r="B29" t="s">
        <v>1098</v>
      </c>
      <c r="C29" s="289"/>
      <c r="D29" s="289"/>
      <c r="E29" s="289"/>
      <c r="F29" s="289"/>
      <c r="G29" s="289"/>
      <c r="H29" s="289">
        <v>1.3069000000000001E-2</v>
      </c>
      <c r="I29" s="289">
        <v>1.319179E-2</v>
      </c>
      <c r="J29" s="289">
        <v>11.173590000000001</v>
      </c>
      <c r="K29" s="289"/>
      <c r="L29" s="289">
        <v>1.3939389999999999E-2</v>
      </c>
      <c r="M29" s="289">
        <v>1.4393930000000001E-2</v>
      </c>
      <c r="N29" s="289">
        <v>12.6862975</v>
      </c>
      <c r="O29" s="289">
        <v>13.461292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9" tint="0.79998168889431442"/>
  </sheetPr>
  <dimension ref="B5:BJ30"/>
  <sheetViews>
    <sheetView showGridLines="0" zoomScale="85" zoomScaleNormal="85" workbookViewId="0"/>
  </sheetViews>
  <sheetFormatPr defaultRowHeight="14.5"/>
  <cols>
    <col min="2" max="2" width="23.54296875" style="126" bestFit="1" customWidth="1"/>
    <col min="3" max="3" width="8.81640625" style="126" bestFit="1" customWidth="1"/>
    <col min="4" max="8" width="8.7265625" style="126"/>
    <col min="9" max="9" width="3.54296875" style="126" customWidth="1"/>
    <col min="10" max="10" width="23.54296875" style="126" bestFit="1" customWidth="1"/>
    <col min="11" max="11" width="8.81640625" style="126" bestFit="1" customWidth="1"/>
    <col min="12" max="17" width="8.7265625" style="126"/>
    <col min="18" max="18" width="3.54296875" style="126" customWidth="1"/>
    <col min="19" max="19" width="23.54296875" style="126" bestFit="1" customWidth="1"/>
    <col min="20" max="20" width="8.81640625" style="300" bestFit="1" customWidth="1"/>
    <col min="21" max="26" width="8.7265625" style="300"/>
    <col min="27" max="27" width="3.54296875" style="126" customWidth="1"/>
    <col min="28" max="28" width="23.26953125" style="126" bestFit="1" customWidth="1"/>
    <col min="29" max="34" width="8.7265625" style="126"/>
    <col min="35" max="35" width="8.7265625" style="300"/>
    <col min="36" max="36" width="3.54296875" style="126" customWidth="1"/>
    <col min="37" max="37" width="23.26953125" style="126" bestFit="1" customWidth="1"/>
    <col min="38" max="43" width="8.7265625" style="126"/>
    <col min="44" max="44" width="8.7265625" style="300"/>
    <col min="45" max="45" width="3.54296875" style="126" customWidth="1"/>
    <col min="46" max="46" width="23.26953125" style="126" customWidth="1"/>
    <col min="47" max="52" width="8.7265625" style="126"/>
    <col min="53" max="53" width="8.7265625" style="300"/>
    <col min="54" max="54" width="3.54296875" style="126" customWidth="1"/>
    <col min="55" max="55" width="23.26953125" style="126" customWidth="1"/>
    <col min="56" max="61" width="8.7265625" style="126"/>
    <col min="62" max="62" width="8.7265625" style="300"/>
  </cols>
  <sheetData>
    <row r="5" spans="2:62">
      <c r="B5" s="156" t="s">
        <v>1100</v>
      </c>
      <c r="J5" s="156" t="s">
        <v>1101</v>
      </c>
      <c r="S5" s="156" t="s">
        <v>1102</v>
      </c>
      <c r="AB5" s="156" t="s">
        <v>1103</v>
      </c>
      <c r="AK5" s="156" t="s">
        <v>1104</v>
      </c>
      <c r="AT5" s="156" t="s">
        <v>1091</v>
      </c>
      <c r="BC5" s="156" t="s">
        <v>1105</v>
      </c>
    </row>
    <row r="6" spans="2:62">
      <c r="B6" s="538" t="s">
        <v>1106</v>
      </c>
      <c r="C6" s="539" t="s">
        <v>55</v>
      </c>
      <c r="D6" s="539" t="s">
        <v>67</v>
      </c>
      <c r="E6" s="539" t="s">
        <v>69</v>
      </c>
      <c r="F6" s="539" t="s">
        <v>71</v>
      </c>
      <c r="G6" s="539" t="s">
        <v>73</v>
      </c>
      <c r="H6" s="539" t="s">
        <v>75</v>
      </c>
      <c r="I6" s="301"/>
      <c r="J6" s="538" t="s">
        <v>1107</v>
      </c>
      <c r="K6" s="539" t="s">
        <v>55</v>
      </c>
      <c r="L6" s="539" t="s">
        <v>67</v>
      </c>
      <c r="M6" s="539" t="s">
        <v>69</v>
      </c>
      <c r="N6" s="539" t="s">
        <v>71</v>
      </c>
      <c r="O6" s="539" t="s">
        <v>73</v>
      </c>
      <c r="P6" s="539" t="s">
        <v>75</v>
      </c>
      <c r="Q6" s="539" t="s">
        <v>77</v>
      </c>
      <c r="R6" s="301"/>
      <c r="S6" s="538" t="s">
        <v>1108</v>
      </c>
      <c r="T6" s="539" t="s">
        <v>55</v>
      </c>
      <c r="U6" s="539" t="s">
        <v>67</v>
      </c>
      <c r="V6" s="539" t="s">
        <v>69</v>
      </c>
      <c r="W6" s="539" t="s">
        <v>71</v>
      </c>
      <c r="X6" s="539" t="s">
        <v>73</v>
      </c>
      <c r="Y6" s="539" t="s">
        <v>75</v>
      </c>
      <c r="Z6" s="539" t="s">
        <v>77</v>
      </c>
      <c r="AA6" s="301"/>
      <c r="AB6" s="538" t="s">
        <v>1109</v>
      </c>
      <c r="AC6" s="539" t="s">
        <v>55</v>
      </c>
      <c r="AD6" s="539" t="s">
        <v>67</v>
      </c>
      <c r="AE6" s="539" t="s">
        <v>69</v>
      </c>
      <c r="AF6" s="539" t="s">
        <v>71</v>
      </c>
      <c r="AG6" s="539" t="s">
        <v>73</v>
      </c>
      <c r="AH6" s="539" t="s">
        <v>75</v>
      </c>
      <c r="AI6" s="539" t="s">
        <v>77</v>
      </c>
      <c r="AJ6" s="301"/>
      <c r="AK6" s="538" t="s">
        <v>1110</v>
      </c>
      <c r="AL6" s="539" t="s">
        <v>55</v>
      </c>
      <c r="AM6" s="539" t="s">
        <v>67</v>
      </c>
      <c r="AN6" s="539" t="s">
        <v>69</v>
      </c>
      <c r="AO6" s="539" t="s">
        <v>71</v>
      </c>
      <c r="AP6" s="539" t="s">
        <v>73</v>
      </c>
      <c r="AQ6" s="539" t="s">
        <v>75</v>
      </c>
      <c r="AR6" s="539" t="s">
        <v>77</v>
      </c>
      <c r="AS6" s="301"/>
      <c r="AT6" s="538" t="s">
        <v>1111</v>
      </c>
      <c r="AU6" s="539" t="s">
        <v>55</v>
      </c>
      <c r="AV6" s="539" t="s">
        <v>67</v>
      </c>
      <c r="AW6" s="539" t="s">
        <v>69</v>
      </c>
      <c r="AX6" s="539" t="s">
        <v>71</v>
      </c>
      <c r="AY6" s="539" t="s">
        <v>73</v>
      </c>
      <c r="AZ6" s="539" t="s">
        <v>75</v>
      </c>
      <c r="BA6" s="539" t="s">
        <v>77</v>
      </c>
      <c r="BB6" s="301"/>
      <c r="BC6" s="538" t="s">
        <v>1111</v>
      </c>
      <c r="BD6" s="539" t="s">
        <v>55</v>
      </c>
      <c r="BE6" s="539" t="s">
        <v>67</v>
      </c>
      <c r="BF6" s="539" t="s">
        <v>69</v>
      </c>
      <c r="BG6" s="539" t="s">
        <v>71</v>
      </c>
      <c r="BH6" s="539" t="s">
        <v>73</v>
      </c>
      <c r="BI6" s="539" t="s">
        <v>75</v>
      </c>
      <c r="BJ6" s="539" t="s">
        <v>77</v>
      </c>
    </row>
    <row r="7" spans="2:62">
      <c r="B7" s="302" t="s">
        <v>1112</v>
      </c>
      <c r="C7" s="303">
        <v>469.613</v>
      </c>
      <c r="D7" s="303">
        <v>477.72699999999998</v>
      </c>
      <c r="E7" s="303">
        <v>63.308999999999997</v>
      </c>
      <c r="F7" s="303">
        <v>83.768000000000001</v>
      </c>
      <c r="G7" s="303">
        <v>-172.839</v>
      </c>
      <c r="H7" s="303">
        <v>-0.76400000000000001</v>
      </c>
      <c r="I7" s="304"/>
      <c r="J7" s="302" t="s">
        <v>1112</v>
      </c>
      <c r="K7" s="303">
        <v>152.06700000000001</v>
      </c>
      <c r="L7" s="303">
        <v>473.245</v>
      </c>
      <c r="M7" s="303">
        <v>32.808</v>
      </c>
      <c r="N7" s="303">
        <v>104.116</v>
      </c>
      <c r="O7" s="303">
        <v>41.524999999999999</v>
      </c>
      <c r="P7" s="303">
        <v>-4.3150000000000004</v>
      </c>
      <c r="Q7" s="303">
        <v>-29.884</v>
      </c>
      <c r="R7" s="304"/>
      <c r="S7" s="302" t="s">
        <v>1112</v>
      </c>
      <c r="T7" s="305">
        <v>197.619</v>
      </c>
      <c r="U7" s="305">
        <v>629.46100000000001</v>
      </c>
      <c r="V7" s="305">
        <v>87.078999999999994</v>
      </c>
      <c r="W7" s="305">
        <v>93.600999999999999</v>
      </c>
      <c r="X7" s="305">
        <v>-159.98500000000001</v>
      </c>
      <c r="Y7" s="305">
        <v>-6.4649999999999999</v>
      </c>
      <c r="Z7" s="305">
        <v>-627.01642000000004</v>
      </c>
      <c r="AA7" s="304"/>
      <c r="AB7" s="302" t="s">
        <v>1112</v>
      </c>
      <c r="AC7" s="303">
        <v>240.70943700000004</v>
      </c>
      <c r="AD7" s="303">
        <v>847.99344899999994</v>
      </c>
      <c r="AE7" s="303">
        <v>74.567514000000159</v>
      </c>
      <c r="AF7" s="303">
        <v>141.71320500000007</v>
      </c>
      <c r="AG7" s="303">
        <v>-102.14475799999991</v>
      </c>
      <c r="AH7" s="303">
        <v>3.0142160000000149</v>
      </c>
      <c r="AI7" s="303">
        <v>-118.65256300000043</v>
      </c>
      <c r="AJ7" s="304"/>
      <c r="AK7" s="302" t="s">
        <v>1112</v>
      </c>
      <c r="AL7" s="303">
        <v>228.61004200000013</v>
      </c>
      <c r="AM7" s="303">
        <v>602.36869100000058</v>
      </c>
      <c r="AN7" s="303">
        <v>99.332705000000033</v>
      </c>
      <c r="AO7" s="303">
        <v>72.663287000000039</v>
      </c>
      <c r="AP7" s="303">
        <v>-230.95345800000027</v>
      </c>
      <c r="AQ7" s="303">
        <v>62.851395000000061</v>
      </c>
      <c r="AR7" s="303">
        <v>-291.36906800000031</v>
      </c>
      <c r="AS7" s="304"/>
      <c r="AT7" s="302" t="s">
        <v>1112</v>
      </c>
      <c r="AU7" s="303">
        <v>193.03126500000027</v>
      </c>
      <c r="AV7" s="303">
        <v>524.59791599999937</v>
      </c>
      <c r="AW7" s="303">
        <v>74.936887000000183</v>
      </c>
      <c r="AX7" s="303">
        <v>122.27421999999987</v>
      </c>
      <c r="AY7" s="303">
        <v>-15.996581999999879</v>
      </c>
      <c r="AZ7" s="303">
        <v>-22.047340999999999</v>
      </c>
      <c r="BA7" s="303">
        <v>-77.355213999999691</v>
      </c>
      <c r="BB7" s="304"/>
      <c r="BC7" s="302" t="s">
        <v>1112</v>
      </c>
      <c r="BD7" s="303">
        <v>185.44338099999993</v>
      </c>
      <c r="BE7" s="303">
        <v>585.357891</v>
      </c>
      <c r="BF7" s="303">
        <v>99.346475000000098</v>
      </c>
      <c r="BG7" s="303">
        <v>130.22024199999993</v>
      </c>
      <c r="BH7" s="303">
        <v>-215.98337600000008</v>
      </c>
      <c r="BI7" s="303">
        <v>96.241829000000024</v>
      </c>
      <c r="BJ7" s="303">
        <v>-81.19824300000036</v>
      </c>
    </row>
    <row r="8" spans="2:62">
      <c r="B8" s="306" t="s">
        <v>1113</v>
      </c>
      <c r="C8" s="307">
        <v>-77.602999999999994</v>
      </c>
      <c r="D8" s="307">
        <v>10.5</v>
      </c>
      <c r="E8" s="307">
        <v>2.8929999999999998</v>
      </c>
      <c r="F8" s="307">
        <v>-10.625999999999999</v>
      </c>
      <c r="G8" s="307">
        <v>0</v>
      </c>
      <c r="H8" s="307">
        <v>0.53700000000000003</v>
      </c>
      <c r="I8" s="304"/>
      <c r="J8" s="306" t="s">
        <v>1113</v>
      </c>
      <c r="K8" s="307">
        <v>9.5990000000000002</v>
      </c>
      <c r="L8" s="307">
        <v>-48.273000000000003</v>
      </c>
      <c r="M8" s="307">
        <v>-3.8359999999999999</v>
      </c>
      <c r="N8" s="307">
        <v>-18.422999999999998</v>
      </c>
      <c r="O8" s="307">
        <v>-0.53700000000000003</v>
      </c>
      <c r="P8" s="307">
        <v>-1.9390000000000001</v>
      </c>
      <c r="Q8" s="307">
        <v>-30.239000000000001</v>
      </c>
      <c r="R8" s="304"/>
      <c r="S8" s="306" t="s">
        <v>1113</v>
      </c>
      <c r="T8" s="308">
        <v>-28.306000000000001</v>
      </c>
      <c r="U8" s="308">
        <v>-110.205</v>
      </c>
      <c r="V8" s="308">
        <v>-13.523999999999999</v>
      </c>
      <c r="W8" s="308">
        <v>-16.093</v>
      </c>
      <c r="X8" s="308">
        <v>0.53700000000000003</v>
      </c>
      <c r="Y8" s="308">
        <v>-4.2919999999999998</v>
      </c>
      <c r="Z8" s="308">
        <v>204.34314299999997</v>
      </c>
      <c r="AA8" s="304"/>
      <c r="AB8" s="306" t="s">
        <v>1113</v>
      </c>
      <c r="AC8" s="307">
        <v>-38.075993000000004</v>
      </c>
      <c r="AD8" s="307">
        <v>-170.33980299999996</v>
      </c>
      <c r="AE8" s="307">
        <v>-12.681223999999997</v>
      </c>
      <c r="AF8" s="307">
        <v>-25.184036000000003</v>
      </c>
      <c r="AG8" s="307">
        <v>0</v>
      </c>
      <c r="AH8" s="307">
        <v>4.3202749999999996</v>
      </c>
      <c r="AI8" s="308">
        <v>39.953821000000005</v>
      </c>
      <c r="AJ8" s="304"/>
      <c r="AK8" s="306" t="s">
        <v>1113</v>
      </c>
      <c r="AL8" s="307">
        <v>15.168228000000003</v>
      </c>
      <c r="AM8" s="307">
        <v>1.5597329999999783</v>
      </c>
      <c r="AN8" s="307">
        <v>-8.9778689999999983</v>
      </c>
      <c r="AO8" s="307">
        <v>24.449373000000001</v>
      </c>
      <c r="AP8" s="307">
        <v>0</v>
      </c>
      <c r="AQ8" s="307">
        <v>23.808135</v>
      </c>
      <c r="AR8" s="307">
        <v>200.415313</v>
      </c>
      <c r="AS8" s="304"/>
      <c r="AT8" s="306" t="s">
        <v>1113</v>
      </c>
      <c r="AU8" s="307">
        <v>-37.803281000000005</v>
      </c>
      <c r="AV8" s="307">
        <v>-94.561605</v>
      </c>
      <c r="AW8" s="307">
        <v>-10.120934</v>
      </c>
      <c r="AX8" s="307">
        <v>-16.636595</v>
      </c>
      <c r="AY8" s="307">
        <v>48.989485999999999</v>
      </c>
      <c r="AZ8" s="307">
        <v>0.29641300000000004</v>
      </c>
      <c r="BA8" s="307">
        <v>18.543725999999999</v>
      </c>
      <c r="BB8" s="304"/>
      <c r="BC8" s="306" t="s">
        <v>1113</v>
      </c>
      <c r="BD8" s="307">
        <v>-34.815162999999998</v>
      </c>
      <c r="BE8" s="307">
        <v>-101.50337400000001</v>
      </c>
      <c r="BF8" s="307">
        <v>-33.329338999999997</v>
      </c>
      <c r="BG8" s="307">
        <v>-29.797689000000002</v>
      </c>
      <c r="BH8" s="307">
        <v>0</v>
      </c>
      <c r="BI8" s="307">
        <v>0</v>
      </c>
      <c r="BJ8" s="307">
        <v>-12.413684999999997</v>
      </c>
    </row>
    <row r="9" spans="2:62">
      <c r="B9" s="306" t="s">
        <v>1114</v>
      </c>
      <c r="C9" s="307">
        <v>30.013000000000002</v>
      </c>
      <c r="D9" s="307">
        <v>-19.363</v>
      </c>
      <c r="E9" s="307">
        <v>-0.26800000000000002</v>
      </c>
      <c r="F9" s="307">
        <v>-0.52500000000000002</v>
      </c>
      <c r="G9" s="307">
        <v>0</v>
      </c>
      <c r="H9" s="307">
        <v>0</v>
      </c>
      <c r="I9" s="304"/>
      <c r="J9" s="306" t="s">
        <v>1114</v>
      </c>
      <c r="K9" s="307">
        <v>14.19</v>
      </c>
      <c r="L9" s="307">
        <v>-34.554000000000002</v>
      </c>
      <c r="M9" s="307">
        <v>-4.6390000000000002</v>
      </c>
      <c r="N9" s="307">
        <v>9.7059999999999995</v>
      </c>
      <c r="O9" s="307">
        <v>0</v>
      </c>
      <c r="P9" s="307">
        <v>0</v>
      </c>
      <c r="Q9" s="307">
        <v>11.034000000000001</v>
      </c>
      <c r="R9" s="304"/>
      <c r="S9" s="306" t="s">
        <v>1114</v>
      </c>
      <c r="T9" s="308">
        <v>-14.686999999999999</v>
      </c>
      <c r="U9" s="308">
        <v>-19.210999999999999</v>
      </c>
      <c r="V9" s="308">
        <v>4.9530000000000003</v>
      </c>
      <c r="W9" s="308">
        <v>8.7940000000000005</v>
      </c>
      <c r="X9" s="308">
        <v>0</v>
      </c>
      <c r="Y9" s="308">
        <v>0</v>
      </c>
      <c r="Z9" s="308">
        <v>184.962447</v>
      </c>
      <c r="AA9" s="304"/>
      <c r="AB9" s="306" t="s">
        <v>1114</v>
      </c>
      <c r="AC9" s="307">
        <v>7.1210789999999999</v>
      </c>
      <c r="AD9" s="307">
        <v>90.904820999999998</v>
      </c>
      <c r="AE9" s="307">
        <v>7.2009590000000001</v>
      </c>
      <c r="AF9" s="307">
        <v>17.778063</v>
      </c>
      <c r="AG9" s="307">
        <v>0</v>
      </c>
      <c r="AH9" s="307">
        <v>0</v>
      </c>
      <c r="AI9" s="308">
        <v>-39.953821000000005</v>
      </c>
      <c r="AJ9" s="304"/>
      <c r="AK9" s="306" t="s">
        <v>1114</v>
      </c>
      <c r="AL9" s="307">
        <v>45.756872999999999</v>
      </c>
      <c r="AM9" s="307">
        <v>185.658929</v>
      </c>
      <c r="AN9" s="307">
        <v>11.27121</v>
      </c>
      <c r="AO9" s="307">
        <v>-12.834403</v>
      </c>
      <c r="AP9" s="307">
        <v>0</v>
      </c>
      <c r="AQ9" s="307">
        <v>0</v>
      </c>
      <c r="AR9" s="307">
        <v>-200.39432399999998</v>
      </c>
      <c r="AS9" s="304"/>
      <c r="AT9" s="306" t="s">
        <v>1114</v>
      </c>
      <c r="AU9" s="307">
        <v>30.818718000000001</v>
      </c>
      <c r="AV9" s="307">
        <v>33.033052000000005</v>
      </c>
      <c r="AW9" s="307">
        <v>5.3360259999999995</v>
      </c>
      <c r="AX9" s="307">
        <v>9.8315959999999993</v>
      </c>
      <c r="AY9" s="307">
        <v>-48.989485999999999</v>
      </c>
      <c r="AZ9" s="307">
        <v>-0.29641300000000004</v>
      </c>
      <c r="BA9" s="307">
        <v>-18.543725999999999</v>
      </c>
      <c r="BB9" s="304"/>
      <c r="BC9" s="306" t="s">
        <v>1114</v>
      </c>
      <c r="BD9" s="307">
        <v>25.648276999999997</v>
      </c>
      <c r="BE9" s="307">
        <v>71.424945000000008</v>
      </c>
      <c r="BF9" s="307">
        <v>34.069890000000001</v>
      </c>
      <c r="BG9" s="307">
        <v>26.846648000000002</v>
      </c>
      <c r="BH9" s="307">
        <v>0</v>
      </c>
      <c r="BI9" s="307">
        <v>0</v>
      </c>
      <c r="BJ9" s="307">
        <v>12.413685000000001</v>
      </c>
    </row>
    <row r="10" spans="2:62">
      <c r="B10" s="306" t="s">
        <v>1115</v>
      </c>
      <c r="C10" s="307">
        <v>-47.589999999999989</v>
      </c>
      <c r="D10" s="307">
        <v>-8.8629999999999995</v>
      </c>
      <c r="E10" s="307">
        <v>2.625</v>
      </c>
      <c r="F10" s="307">
        <v>-11.151</v>
      </c>
      <c r="G10" s="307">
        <v>0</v>
      </c>
      <c r="H10" s="307">
        <v>0.53700000000000003</v>
      </c>
      <c r="I10" s="304"/>
      <c r="J10" s="306" t="s">
        <v>1115</v>
      </c>
      <c r="K10" s="307">
        <v>23.789000000000001</v>
      </c>
      <c r="L10" s="307">
        <v>-82.826999999999998</v>
      </c>
      <c r="M10" s="307">
        <v>-8.4749999999999996</v>
      </c>
      <c r="N10" s="307">
        <v>-8.7169999999999987</v>
      </c>
      <c r="O10" s="307">
        <v>-0.53700000000000003</v>
      </c>
      <c r="P10" s="307">
        <v>-1.9390000000000001</v>
      </c>
      <c r="Q10" s="307">
        <v>-19.204999999999998</v>
      </c>
      <c r="R10" s="304"/>
      <c r="S10" s="306" t="s">
        <v>1115</v>
      </c>
      <c r="T10" s="308">
        <v>-42.993000000000002</v>
      </c>
      <c r="U10" s="308">
        <v>-129.416</v>
      </c>
      <c r="V10" s="308">
        <v>-8.570999999999998</v>
      </c>
      <c r="W10" s="308">
        <v>-7.2989999999999995</v>
      </c>
      <c r="X10" s="308">
        <v>0.53700000000000003</v>
      </c>
      <c r="Y10" s="308">
        <v>-4.2919999999999998</v>
      </c>
      <c r="Z10" s="308">
        <v>389.30558999999994</v>
      </c>
      <c r="AA10" s="304"/>
      <c r="AB10" s="306" t="s">
        <v>1115</v>
      </c>
      <c r="AC10" s="307">
        <v>-30.954914000000002</v>
      </c>
      <c r="AD10" s="307">
        <v>-79.434981999999962</v>
      </c>
      <c r="AE10" s="307">
        <v>-5.4802649999999966</v>
      </c>
      <c r="AF10" s="307">
        <v>-7.405973000000003</v>
      </c>
      <c r="AG10" s="307">
        <v>0</v>
      </c>
      <c r="AH10" s="307">
        <v>4.3202749999999996</v>
      </c>
      <c r="AI10" s="308">
        <v>0</v>
      </c>
      <c r="AJ10" s="304"/>
      <c r="AK10" s="306" t="s">
        <v>1115</v>
      </c>
      <c r="AL10" s="307">
        <v>60.925100999999998</v>
      </c>
      <c r="AM10" s="307">
        <v>187.21866199999997</v>
      </c>
      <c r="AN10" s="307">
        <v>2.2933410000000016</v>
      </c>
      <c r="AO10" s="307">
        <v>11.614970000000001</v>
      </c>
      <c r="AP10" s="307">
        <v>0</v>
      </c>
      <c r="AQ10" s="307">
        <v>23.808135</v>
      </c>
      <c r="AR10" s="307">
        <v>2.0989000000014357E-2</v>
      </c>
      <c r="AS10" s="304"/>
      <c r="AT10" s="306" t="s">
        <v>1115</v>
      </c>
      <c r="AU10" s="307">
        <v>-6.984563000000005</v>
      </c>
      <c r="AV10" s="307">
        <v>-61.528552999999995</v>
      </c>
      <c r="AW10" s="307">
        <v>-4.7849080000000006</v>
      </c>
      <c r="AX10" s="307">
        <v>-6.8049990000000005</v>
      </c>
      <c r="AY10" s="307">
        <v>0</v>
      </c>
      <c r="AZ10" s="307">
        <v>0</v>
      </c>
      <c r="BA10" s="307">
        <v>0</v>
      </c>
      <c r="BB10" s="304"/>
      <c r="BC10" s="306" t="s">
        <v>1115</v>
      </c>
      <c r="BD10" s="307">
        <v>-9.1668860000000016</v>
      </c>
      <c r="BE10" s="307">
        <v>-30.078429</v>
      </c>
      <c r="BF10" s="307">
        <v>0.74055100000000351</v>
      </c>
      <c r="BG10" s="307">
        <v>-2.951041</v>
      </c>
      <c r="BH10" s="307">
        <v>0</v>
      </c>
      <c r="BI10" s="307">
        <v>0</v>
      </c>
      <c r="BJ10" s="307">
        <v>0</v>
      </c>
    </row>
    <row r="11" spans="2:62">
      <c r="B11" s="302" t="s">
        <v>1116</v>
      </c>
      <c r="C11" s="303">
        <f t="shared" ref="C11:H11" si="0">C10</f>
        <v>-47.589999999999989</v>
      </c>
      <c r="D11" s="303">
        <f t="shared" si="0"/>
        <v>-8.8629999999999995</v>
      </c>
      <c r="E11" s="303">
        <f t="shared" si="0"/>
        <v>2.625</v>
      </c>
      <c r="F11" s="303">
        <f t="shared" si="0"/>
        <v>-11.151</v>
      </c>
      <c r="G11" s="303">
        <f t="shared" si="0"/>
        <v>0</v>
      </c>
      <c r="H11" s="303">
        <f t="shared" si="0"/>
        <v>0.53700000000000003</v>
      </c>
      <c r="I11" s="304"/>
      <c r="J11" s="302" t="s">
        <v>1116</v>
      </c>
      <c r="K11" s="303">
        <f t="shared" ref="K11:Q11" si="1">K10</f>
        <v>23.789000000000001</v>
      </c>
      <c r="L11" s="303">
        <f t="shared" si="1"/>
        <v>-82.826999999999998</v>
      </c>
      <c r="M11" s="303">
        <f t="shared" si="1"/>
        <v>-8.4749999999999996</v>
      </c>
      <c r="N11" s="303">
        <f t="shared" si="1"/>
        <v>-8.7169999999999987</v>
      </c>
      <c r="O11" s="303">
        <f t="shared" si="1"/>
        <v>-0.53700000000000003</v>
      </c>
      <c r="P11" s="303">
        <f t="shared" si="1"/>
        <v>-1.9390000000000001</v>
      </c>
      <c r="Q11" s="303">
        <f t="shared" si="1"/>
        <v>-19.204999999999998</v>
      </c>
      <c r="R11" s="304"/>
      <c r="S11" s="302" t="s">
        <v>1116</v>
      </c>
      <c r="T11" s="303">
        <f t="shared" ref="T11:Z11" si="2">T10</f>
        <v>-42.993000000000002</v>
      </c>
      <c r="U11" s="303">
        <f t="shared" si="2"/>
        <v>-129.416</v>
      </c>
      <c r="V11" s="303">
        <f t="shared" si="2"/>
        <v>-8.570999999999998</v>
      </c>
      <c r="W11" s="303">
        <f t="shared" si="2"/>
        <v>-7.2989999999999995</v>
      </c>
      <c r="X11" s="303">
        <f t="shared" si="2"/>
        <v>0.53700000000000003</v>
      </c>
      <c r="Y11" s="303">
        <f t="shared" si="2"/>
        <v>-4.2919999999999998</v>
      </c>
      <c r="Z11" s="303">
        <f t="shared" si="2"/>
        <v>389.30558999999994</v>
      </c>
      <c r="AA11" s="304"/>
      <c r="AB11" s="302" t="s">
        <v>1116</v>
      </c>
      <c r="AC11" s="303">
        <f t="shared" ref="AC11:AH11" si="3">AC10</f>
        <v>-30.954914000000002</v>
      </c>
      <c r="AD11" s="303">
        <f t="shared" si="3"/>
        <v>-79.434981999999962</v>
      </c>
      <c r="AE11" s="303">
        <f t="shared" si="3"/>
        <v>-5.4802649999999966</v>
      </c>
      <c r="AF11" s="303">
        <f t="shared" si="3"/>
        <v>-7.405973000000003</v>
      </c>
      <c r="AG11" s="303">
        <f t="shared" si="3"/>
        <v>0</v>
      </c>
      <c r="AH11" s="303">
        <f t="shared" si="3"/>
        <v>4.3202749999999996</v>
      </c>
      <c r="AI11" s="303"/>
      <c r="AJ11" s="304"/>
      <c r="AK11" s="302" t="s">
        <v>1116</v>
      </c>
      <c r="AL11" s="303">
        <v>60.925100999999998</v>
      </c>
      <c r="AM11" s="303">
        <v>187.21866199999997</v>
      </c>
      <c r="AN11" s="303">
        <v>2.2933410000000016</v>
      </c>
      <c r="AO11" s="303">
        <v>11.614970000000001</v>
      </c>
      <c r="AP11" s="303">
        <v>0</v>
      </c>
      <c r="AQ11" s="303">
        <v>23.808135</v>
      </c>
      <c r="AR11" s="303">
        <v>2.0989000000014357E-2</v>
      </c>
      <c r="AS11" s="304"/>
      <c r="AT11" s="302" t="s">
        <v>1116</v>
      </c>
      <c r="AU11" s="303">
        <v>-6.984563000000005</v>
      </c>
      <c r="AV11" s="303">
        <v>-61.528552999999995</v>
      </c>
      <c r="AW11" s="303">
        <v>-4.7849080000000006</v>
      </c>
      <c r="AX11" s="303">
        <v>-6.8049990000000005</v>
      </c>
      <c r="AY11" s="303">
        <v>0</v>
      </c>
      <c r="AZ11" s="303">
        <v>0</v>
      </c>
      <c r="BA11" s="303">
        <v>0</v>
      </c>
      <c r="BB11" s="304"/>
      <c r="BC11" s="302" t="s">
        <v>1116</v>
      </c>
      <c r="BD11" s="303">
        <f>+BD10</f>
        <v>-9.1668860000000016</v>
      </c>
      <c r="BE11" s="303">
        <f t="shared" ref="BE11:BJ11" si="4">+BE10</f>
        <v>-30.078429</v>
      </c>
      <c r="BF11" s="303">
        <f t="shared" si="4"/>
        <v>0.74055100000000351</v>
      </c>
      <c r="BG11" s="303">
        <f t="shared" si="4"/>
        <v>-2.951041</v>
      </c>
      <c r="BH11" s="303">
        <f t="shared" si="4"/>
        <v>0</v>
      </c>
      <c r="BI11" s="303">
        <f t="shared" si="4"/>
        <v>0</v>
      </c>
      <c r="BJ11" s="303">
        <f t="shared" si="4"/>
        <v>0</v>
      </c>
    </row>
    <row r="12" spans="2:62">
      <c r="B12" s="309"/>
      <c r="C12" s="309"/>
      <c r="D12" s="309"/>
      <c r="E12" s="309"/>
      <c r="F12" s="309"/>
      <c r="G12" s="309"/>
      <c r="H12" s="309"/>
      <c r="I12" s="301"/>
      <c r="J12" s="309"/>
      <c r="K12" s="309"/>
      <c r="L12" s="309"/>
      <c r="M12" s="309"/>
      <c r="N12" s="309"/>
      <c r="O12" s="309"/>
      <c r="P12" s="309"/>
      <c r="Q12" s="309"/>
      <c r="R12" s="301"/>
      <c r="S12" s="309"/>
      <c r="T12" s="310"/>
      <c r="U12" s="310"/>
      <c r="V12" s="310"/>
      <c r="W12" s="310"/>
      <c r="X12" s="310"/>
      <c r="Y12" s="310"/>
      <c r="Z12" s="310"/>
      <c r="AA12" s="301"/>
      <c r="AB12" s="309"/>
      <c r="AC12" s="309"/>
      <c r="AD12" s="309"/>
      <c r="AE12" s="309"/>
      <c r="AF12" s="309"/>
      <c r="AG12" s="309"/>
      <c r="AH12" s="309"/>
      <c r="AI12" s="310"/>
      <c r="AJ12" s="301"/>
      <c r="AK12" s="309"/>
      <c r="AL12" s="309"/>
      <c r="AM12" s="309"/>
      <c r="AN12" s="309"/>
      <c r="AO12" s="309"/>
      <c r="AP12" s="309"/>
      <c r="AQ12" s="309"/>
      <c r="AR12" s="309"/>
      <c r="AS12" s="301"/>
      <c r="AT12" s="309"/>
      <c r="AU12" s="309"/>
      <c r="AV12" s="309"/>
      <c r="AW12" s="309"/>
      <c r="AX12" s="309"/>
      <c r="AY12" s="309"/>
      <c r="AZ12" s="309"/>
      <c r="BA12" s="309"/>
      <c r="BB12" s="301"/>
      <c r="BC12" s="309"/>
      <c r="BD12" s="309"/>
      <c r="BE12" s="309"/>
      <c r="BF12" s="309"/>
      <c r="BG12" s="309"/>
      <c r="BH12" s="309"/>
      <c r="BI12" s="309"/>
      <c r="BJ12" s="309"/>
    </row>
    <row r="13" spans="2:62">
      <c r="B13" s="302" t="s">
        <v>1117</v>
      </c>
      <c r="C13" s="311">
        <f>(-C10/C7)</f>
        <v>0.10133876191672715</v>
      </c>
      <c r="D13" s="312">
        <f>-D10/D7</f>
        <v>1.8552436852009621E-2</v>
      </c>
      <c r="E13" s="313">
        <f>-E10/E7</f>
        <v>-4.1463299057006117E-2</v>
      </c>
      <c r="F13" s="313">
        <f>-F10/F7</f>
        <v>0.13311765829433675</v>
      </c>
      <c r="G13" s="311" t="s">
        <v>371</v>
      </c>
      <c r="H13" s="311" t="s">
        <v>371</v>
      </c>
      <c r="I13" s="304"/>
      <c r="J13" s="302" t="s">
        <v>1117</v>
      </c>
      <c r="K13" s="311">
        <f>(-K10/K7)</f>
        <v>-0.15643762288991037</v>
      </c>
      <c r="L13" s="311">
        <f t="shared" ref="L13:Q13" si="5">(-L10/L7)</f>
        <v>0.17501928176737208</v>
      </c>
      <c r="M13" s="311">
        <f t="shared" si="5"/>
        <v>0.25832114118507682</v>
      </c>
      <c r="N13" s="311">
        <f t="shared" si="5"/>
        <v>8.3723923316301033E-2</v>
      </c>
      <c r="O13" s="311">
        <f t="shared" si="5"/>
        <v>1.2931968693558098E-2</v>
      </c>
      <c r="P13" s="311">
        <f t="shared" si="5"/>
        <v>-0.44936268829663961</v>
      </c>
      <c r="Q13" s="311">
        <f t="shared" si="5"/>
        <v>-0.64265158613304774</v>
      </c>
      <c r="R13" s="304"/>
      <c r="S13" s="302" t="s">
        <v>1117</v>
      </c>
      <c r="T13" s="311">
        <f t="shared" ref="T13:Z13" si="6">(-T10/T7)</f>
        <v>0.21755499218192584</v>
      </c>
      <c r="U13" s="311">
        <f t="shared" si="6"/>
        <v>0.20559812283842843</v>
      </c>
      <c r="V13" s="311">
        <f t="shared" si="6"/>
        <v>9.8427864353058697E-2</v>
      </c>
      <c r="W13" s="311">
        <f t="shared" si="6"/>
        <v>7.7979936111793671E-2</v>
      </c>
      <c r="X13" s="311">
        <f t="shared" si="6"/>
        <v>3.3565646779385567E-3</v>
      </c>
      <c r="Y13" s="311">
        <f t="shared" si="6"/>
        <v>-0.66388244392884765</v>
      </c>
      <c r="Z13" s="311">
        <f t="shared" si="6"/>
        <v>0.62088579753621109</v>
      </c>
      <c r="AA13" s="304"/>
      <c r="AB13" s="302" t="s">
        <v>1117</v>
      </c>
      <c r="AC13" s="311">
        <f>-AC10/AC7</f>
        <v>0.12859867226559962</v>
      </c>
      <c r="AD13" s="311">
        <f>-AD10/AD7</f>
        <v>9.3674051484329293E-2</v>
      </c>
      <c r="AE13" s="311">
        <f>-AE10/AE7</f>
        <v>7.349400169087017E-2</v>
      </c>
      <c r="AF13" s="311">
        <f>-AF10/AF7</f>
        <v>5.2260288658350501E-2</v>
      </c>
      <c r="AG13" s="311" t="s">
        <v>371</v>
      </c>
      <c r="AH13" s="311" t="s">
        <v>371</v>
      </c>
      <c r="AI13" s="311"/>
      <c r="AJ13" s="304"/>
      <c r="AK13" s="302" t="s">
        <v>1117</v>
      </c>
      <c r="AL13" s="311">
        <v>-0.2665022956428133</v>
      </c>
      <c r="AM13" s="311">
        <v>-0.31080410518879342</v>
      </c>
      <c r="AN13" s="311">
        <v>-2.3087471543234435E-2</v>
      </c>
      <c r="AO13" s="311">
        <v>-0.15984647102463168</v>
      </c>
      <c r="AP13" s="311">
        <v>0</v>
      </c>
      <c r="AQ13" s="311">
        <v>-0.37880042280684428</v>
      </c>
      <c r="AR13" s="311">
        <v>7.203578658532942E-5</v>
      </c>
      <c r="AS13" s="304"/>
      <c r="AT13" s="302" t="s">
        <v>1117</v>
      </c>
      <c r="AU13" s="311">
        <v>3.6183584042719687E-2</v>
      </c>
      <c r="AV13" s="311">
        <v>0.11728707096121989</v>
      </c>
      <c r="AW13" s="311">
        <v>6.3852505642514726E-2</v>
      </c>
      <c r="AX13" s="311">
        <v>5.5653587485571428E-2</v>
      </c>
      <c r="AY13" s="311">
        <v>0</v>
      </c>
      <c r="AZ13" s="311">
        <v>0</v>
      </c>
      <c r="BA13" s="311">
        <v>0</v>
      </c>
      <c r="BB13" s="304"/>
      <c r="BC13" s="302" t="s">
        <v>1117</v>
      </c>
      <c r="BD13" s="311">
        <f>-BD11/BD7</f>
        <v>4.9432263101372192E-2</v>
      </c>
      <c r="BE13" s="311">
        <f t="shared" ref="BE13:BJ13" si="7">-BE11/BE7</f>
        <v>5.1384681854404181E-2</v>
      </c>
      <c r="BF13" s="311">
        <f t="shared" si="7"/>
        <v>-7.4542252254043515E-3</v>
      </c>
      <c r="BG13" s="311">
        <f t="shared" si="7"/>
        <v>2.2661922253223901E-2</v>
      </c>
      <c r="BH13" s="311">
        <f t="shared" si="7"/>
        <v>0</v>
      </c>
      <c r="BI13" s="311">
        <f t="shared" si="7"/>
        <v>0</v>
      </c>
      <c r="BJ13" s="311">
        <f t="shared" si="7"/>
        <v>0</v>
      </c>
    </row>
    <row r="14" spans="2:62">
      <c r="B14" s="309"/>
      <c r="C14" s="309"/>
      <c r="D14" s="309"/>
      <c r="E14" s="309"/>
      <c r="F14" s="309"/>
      <c r="G14" s="309"/>
      <c r="H14" s="309"/>
      <c r="I14" s="301"/>
      <c r="J14" s="309"/>
      <c r="K14" s="309"/>
      <c r="L14" s="309"/>
      <c r="M14" s="309"/>
      <c r="N14" s="309"/>
      <c r="O14" s="309"/>
      <c r="P14" s="309"/>
      <c r="Q14" s="309"/>
      <c r="R14" s="301"/>
      <c r="S14" s="309"/>
      <c r="T14" s="310"/>
      <c r="U14" s="310"/>
      <c r="V14" s="310"/>
      <c r="W14" s="310"/>
      <c r="X14" s="310"/>
      <c r="Y14" s="310"/>
      <c r="Z14" s="310"/>
      <c r="AA14" s="301"/>
      <c r="AB14" s="309"/>
      <c r="AC14" s="309"/>
      <c r="AD14" s="309"/>
      <c r="AE14" s="309"/>
      <c r="AF14" s="309"/>
      <c r="AG14" s="309"/>
      <c r="AH14" s="309"/>
      <c r="AI14" s="310"/>
      <c r="AJ14" s="301"/>
      <c r="AK14" s="309"/>
      <c r="AL14" s="309"/>
      <c r="AM14" s="309"/>
      <c r="AN14" s="309"/>
      <c r="AO14" s="309"/>
      <c r="AP14" s="309"/>
      <c r="AQ14" s="309"/>
      <c r="AR14" s="309"/>
      <c r="AS14" s="301"/>
      <c r="AT14" s="309"/>
      <c r="AU14" s="309"/>
      <c r="AV14" s="309"/>
      <c r="AW14" s="309"/>
      <c r="AX14" s="309"/>
      <c r="AY14" s="309"/>
      <c r="AZ14" s="309"/>
      <c r="BA14" s="309"/>
      <c r="BB14" s="301"/>
      <c r="BC14" s="309"/>
      <c r="BD14" s="309"/>
      <c r="BE14" s="309"/>
      <c r="BF14" s="309"/>
      <c r="BG14" s="309"/>
      <c r="BH14" s="309"/>
      <c r="BI14" s="309"/>
      <c r="BJ14" s="309"/>
    </row>
    <row r="15" spans="2:62">
      <c r="B15" s="302" t="s">
        <v>1118</v>
      </c>
      <c r="C15" s="303">
        <v>384</v>
      </c>
      <c r="D15" s="303">
        <v>475</v>
      </c>
      <c r="E15" s="303">
        <v>44.901155025996204</v>
      </c>
      <c r="F15" s="303">
        <v>82</v>
      </c>
      <c r="G15" s="303">
        <v>0</v>
      </c>
      <c r="H15" s="303">
        <v>18.011208459999899</v>
      </c>
      <c r="I15" s="314"/>
      <c r="J15" s="302" t="s">
        <v>1118</v>
      </c>
      <c r="K15" s="303">
        <v>118</v>
      </c>
      <c r="L15" s="303">
        <v>573</v>
      </c>
      <c r="M15" s="303">
        <v>49.890205287996395</v>
      </c>
      <c r="N15" s="303">
        <v>76</v>
      </c>
      <c r="O15" s="303">
        <v>1.609</v>
      </c>
      <c r="P15" s="303">
        <v>5.8780000000000001</v>
      </c>
      <c r="Q15" s="303">
        <v>57</v>
      </c>
      <c r="R15" s="301"/>
      <c r="S15" s="302" t="s">
        <v>1118</v>
      </c>
      <c r="T15" s="305">
        <v>256</v>
      </c>
      <c r="U15" s="305">
        <v>690.07267917999991</v>
      </c>
      <c r="V15" s="305">
        <v>77.131220733346893</v>
      </c>
      <c r="W15" s="305">
        <v>72.36552417</v>
      </c>
      <c r="X15" s="305">
        <v>-78</v>
      </c>
      <c r="Y15" s="305">
        <v>24</v>
      </c>
      <c r="Z15" s="305">
        <v>-431.51043559012402</v>
      </c>
      <c r="AA15" s="301"/>
      <c r="AB15" s="302" t="s">
        <v>1118</v>
      </c>
      <c r="AC15" s="303">
        <v>202.38455683000402</v>
      </c>
      <c r="AD15" s="303">
        <v>566.39456560999304</v>
      </c>
      <c r="AE15" s="303">
        <v>52.2497657008158</v>
      </c>
      <c r="AF15" s="303">
        <v>88</v>
      </c>
      <c r="AG15" s="303">
        <v>-89</v>
      </c>
      <c r="AH15" s="303">
        <v>-13.0665713149995</v>
      </c>
      <c r="AI15" s="303">
        <v>-141.16900000000001</v>
      </c>
      <c r="AJ15" s="301"/>
      <c r="AK15" s="302" t="s">
        <v>1118</v>
      </c>
      <c r="AL15" s="303">
        <v>42.405202265995001</v>
      </c>
      <c r="AM15" s="303">
        <v>34</v>
      </c>
      <c r="AN15" s="303">
        <v>34</v>
      </c>
      <c r="AO15" s="303">
        <v>33</v>
      </c>
      <c r="AP15" s="303">
        <v>-141</v>
      </c>
      <c r="AQ15" s="303">
        <v>32</v>
      </c>
      <c r="AR15" s="303">
        <v>-98</v>
      </c>
      <c r="AS15" s="301"/>
      <c r="AT15" s="302" t="s">
        <v>1118</v>
      </c>
      <c r="AU15" s="303">
        <v>78</v>
      </c>
      <c r="AV15" s="303">
        <v>418</v>
      </c>
      <c r="AW15" s="303">
        <v>53</v>
      </c>
      <c r="AX15" s="303">
        <v>76</v>
      </c>
      <c r="AY15" s="303">
        <v>-45</v>
      </c>
      <c r="AZ15" s="303">
        <v>-104</v>
      </c>
      <c r="BA15" s="303">
        <v>-8183</v>
      </c>
      <c r="BB15" s="301"/>
      <c r="BC15" s="302" t="s">
        <v>1118</v>
      </c>
      <c r="BD15" s="303">
        <v>86</v>
      </c>
      <c r="BE15" s="303">
        <v>352</v>
      </c>
      <c r="BF15" s="303">
        <v>-9</v>
      </c>
      <c r="BG15" s="303">
        <v>32</v>
      </c>
      <c r="BH15" s="303">
        <v>-249</v>
      </c>
      <c r="BI15" s="303">
        <v>16</v>
      </c>
      <c r="BJ15" s="303">
        <v>2</v>
      </c>
    </row>
    <row r="16" spans="2:62">
      <c r="B16" s="309"/>
      <c r="C16" s="309"/>
      <c r="D16" s="309"/>
      <c r="E16" s="309"/>
      <c r="F16" s="309"/>
      <c r="G16" s="309"/>
      <c r="H16" s="309"/>
      <c r="I16" s="301"/>
      <c r="J16" s="309"/>
      <c r="K16" s="309"/>
      <c r="L16" s="309"/>
      <c r="M16" s="309"/>
      <c r="N16" s="309"/>
      <c r="O16" s="309"/>
      <c r="P16" s="309"/>
      <c r="Q16" s="309"/>
      <c r="R16" s="301"/>
      <c r="S16" s="309"/>
      <c r="T16" s="310"/>
      <c r="U16" s="310"/>
      <c r="V16" s="310"/>
      <c r="W16" s="310"/>
      <c r="X16" s="310"/>
      <c r="Y16" s="310"/>
      <c r="Z16" s="310"/>
      <c r="AA16" s="301"/>
      <c r="AB16" s="309"/>
      <c r="AC16" s="309"/>
      <c r="AD16" s="309"/>
      <c r="AE16" s="309"/>
      <c r="AF16" s="309"/>
      <c r="AG16" s="309"/>
      <c r="AH16" s="309"/>
      <c r="AI16" s="310"/>
      <c r="AJ16" s="301"/>
      <c r="AK16" s="309"/>
      <c r="AL16" s="309"/>
      <c r="AM16" s="309"/>
      <c r="AN16" s="309"/>
      <c r="AO16" s="309"/>
      <c r="AP16" s="309"/>
      <c r="AQ16" s="309"/>
      <c r="AR16" s="309"/>
      <c r="AS16" s="301"/>
      <c r="AT16" s="309"/>
      <c r="AU16" s="309"/>
      <c r="AV16" s="309"/>
      <c r="AW16" s="309"/>
      <c r="AX16" s="309"/>
      <c r="AY16" s="309"/>
      <c r="AZ16" s="309"/>
      <c r="BA16" s="309"/>
      <c r="BB16" s="301"/>
      <c r="BC16" s="309"/>
      <c r="BD16" s="309"/>
      <c r="BE16" s="309"/>
      <c r="BF16" s="309"/>
      <c r="BG16" s="309"/>
      <c r="BH16" s="309"/>
      <c r="BI16" s="309"/>
      <c r="BJ16" s="309"/>
    </row>
    <row r="17" spans="2:62">
      <c r="B17" s="302" t="s">
        <v>1119</v>
      </c>
      <c r="C17" s="312">
        <f>(C11/C15)*-1</f>
        <v>0.12393229166666664</v>
      </c>
      <c r="D17" s="312">
        <f>(D11/D15)*-1</f>
        <v>1.8658947368421053E-2</v>
      </c>
      <c r="E17" s="312">
        <f>(E11/E15)*-1</f>
        <v>-5.8461747776426161E-2</v>
      </c>
      <c r="F17" s="312">
        <f>(F11/F15)*-1</f>
        <v>0.13598780487804879</v>
      </c>
      <c r="G17" s="312">
        <v>0</v>
      </c>
      <c r="H17" s="312">
        <f>(H11/H15)*-1</f>
        <v>-2.981476790924905E-2</v>
      </c>
      <c r="I17" s="315"/>
      <c r="J17" s="302" t="s">
        <v>1119</v>
      </c>
      <c r="K17" s="312">
        <f>(K11/K15)*-1</f>
        <v>-0.20160169491525426</v>
      </c>
      <c r="L17" s="312">
        <f t="shared" ref="L17:Q17" si="8">(L11/L15)*-1</f>
        <v>0.14454973821989528</v>
      </c>
      <c r="M17" s="312">
        <f t="shared" si="8"/>
        <v>0.16987302319317352</v>
      </c>
      <c r="N17" s="312">
        <f t="shared" si="8"/>
        <v>0.11469736842105262</v>
      </c>
      <c r="O17" s="312">
        <f t="shared" si="8"/>
        <v>0.33374766935985084</v>
      </c>
      <c r="P17" s="312">
        <f t="shared" si="8"/>
        <v>0.32987410683906093</v>
      </c>
      <c r="Q17" s="312">
        <f t="shared" si="8"/>
        <v>0.33692982456140347</v>
      </c>
      <c r="R17" s="315"/>
      <c r="S17" s="302" t="s">
        <v>1119</v>
      </c>
      <c r="T17" s="312">
        <f t="shared" ref="T17:Z17" si="9">(T11/T15)*-1</f>
        <v>0.16794140625000001</v>
      </c>
      <c r="U17" s="312">
        <f t="shared" si="9"/>
        <v>0.18753966633454108</v>
      </c>
      <c r="V17" s="312">
        <f t="shared" si="9"/>
        <v>0.11112231750656597</v>
      </c>
      <c r="W17" s="312">
        <f t="shared" si="9"/>
        <v>0.10086294659945112</v>
      </c>
      <c r="X17" s="312">
        <f t="shared" si="9"/>
        <v>6.8846153846153849E-3</v>
      </c>
      <c r="Y17" s="312">
        <f t="shared" si="9"/>
        <v>0.17883333333333332</v>
      </c>
      <c r="Z17" s="312">
        <f t="shared" si="9"/>
        <v>0.90219275802123844</v>
      </c>
      <c r="AA17" s="315"/>
      <c r="AB17" s="302" t="s">
        <v>1119</v>
      </c>
      <c r="AC17" s="312">
        <f>(AC11/AC15)*-1</f>
        <v>0.15295096861565902</v>
      </c>
      <c r="AD17" s="312">
        <f>(AD11/AD15)*-1</f>
        <v>0.14024672343819267</v>
      </c>
      <c r="AE17" s="312">
        <f>(AE11/AE15)*-1</f>
        <v>0.10488592487438524</v>
      </c>
      <c r="AF17" s="312">
        <f>(AF11/AF15)*-1</f>
        <v>8.4158784090909128E-2</v>
      </c>
      <c r="AG17" s="312">
        <v>0</v>
      </c>
      <c r="AH17" s="312">
        <v>0</v>
      </c>
      <c r="AI17" s="312">
        <f>(AI11/AI15)*-1</f>
        <v>0</v>
      </c>
      <c r="AJ17" s="315"/>
      <c r="AK17" s="302" t="s">
        <v>1119</v>
      </c>
      <c r="AL17" s="312">
        <v>-1.4367364791195967</v>
      </c>
      <c r="AM17" s="312">
        <v>-5.5064312352941167</v>
      </c>
      <c r="AN17" s="312">
        <v>-6.7451205882352983E-2</v>
      </c>
      <c r="AO17" s="312">
        <v>-0.35196878787878794</v>
      </c>
      <c r="AP17" s="312">
        <v>0</v>
      </c>
      <c r="AQ17" s="312">
        <v>0</v>
      </c>
      <c r="AR17" s="312">
        <v>0</v>
      </c>
      <c r="AS17" s="315"/>
      <c r="AT17" s="302" t="s">
        <v>1119</v>
      </c>
      <c r="AU17" s="312">
        <v>8.954567948717955E-2</v>
      </c>
      <c r="AV17" s="312">
        <v>0.147197495215311</v>
      </c>
      <c r="AW17" s="312">
        <v>9.0281283018867939E-2</v>
      </c>
      <c r="AX17" s="312">
        <v>8.9539460526315798E-2</v>
      </c>
      <c r="AY17" s="312">
        <v>0</v>
      </c>
      <c r="AZ17" s="312">
        <v>0</v>
      </c>
      <c r="BA17" s="312">
        <v>0</v>
      </c>
      <c r="BB17" s="315"/>
      <c r="BC17" s="302" t="s">
        <v>1119</v>
      </c>
      <c r="BD17" s="312">
        <f>+BD11/BD15*-1</f>
        <v>0.10659169767441862</v>
      </c>
      <c r="BE17" s="312">
        <f t="shared" ref="BE17:BJ17" si="10">+BE11/BE15*-1</f>
        <v>8.5450082386363632E-2</v>
      </c>
      <c r="BF17" s="312">
        <f t="shared" si="10"/>
        <v>8.2283444444444839E-2</v>
      </c>
      <c r="BG17" s="312">
        <f t="shared" si="10"/>
        <v>9.2220031250000001E-2</v>
      </c>
      <c r="BH17" s="312">
        <f t="shared" si="10"/>
        <v>0</v>
      </c>
      <c r="BI17" s="312">
        <f t="shared" si="10"/>
        <v>0</v>
      </c>
      <c r="BJ17" s="312">
        <f t="shared" si="10"/>
        <v>0</v>
      </c>
    </row>
    <row r="18" spans="2:62">
      <c r="B18" s="316"/>
      <c r="C18" s="317" t="s">
        <v>1120</v>
      </c>
      <c r="D18" s="317" t="s">
        <v>1120</v>
      </c>
      <c r="E18" s="317" t="s">
        <v>1120</v>
      </c>
      <c r="F18" s="317"/>
      <c r="G18" s="317"/>
      <c r="H18" s="317"/>
      <c r="I18" s="318"/>
      <c r="J18" s="316"/>
      <c r="K18" s="317" t="s">
        <v>1120</v>
      </c>
      <c r="L18" s="317" t="s">
        <v>1120</v>
      </c>
      <c r="M18" s="317" t="s">
        <v>1120</v>
      </c>
      <c r="N18" s="317"/>
      <c r="O18" s="317"/>
      <c r="P18" s="317"/>
      <c r="Q18" s="317"/>
      <c r="R18" s="318"/>
      <c r="S18" s="317"/>
      <c r="T18" s="317"/>
      <c r="U18" s="317"/>
      <c r="V18" s="317"/>
      <c r="W18" s="317"/>
      <c r="X18" s="317"/>
      <c r="Y18" s="317"/>
      <c r="Z18" s="317"/>
      <c r="AA18" s="318"/>
      <c r="AB18" s="316"/>
      <c r="AC18" s="317"/>
      <c r="AD18" s="317"/>
      <c r="AE18" s="317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7"/>
      <c r="AQ18" s="317"/>
      <c r="AR18" s="317"/>
      <c r="AS18" s="318"/>
      <c r="AT18" s="316"/>
      <c r="AU18" s="317"/>
      <c r="AV18" s="317"/>
      <c r="AW18" s="317"/>
      <c r="AX18" s="317"/>
      <c r="AY18" s="317"/>
      <c r="AZ18" s="317"/>
      <c r="BA18" s="317"/>
      <c r="BB18" s="318"/>
      <c r="BC18" s="316"/>
      <c r="BD18" s="317"/>
      <c r="BE18" s="317"/>
      <c r="BF18" s="317"/>
      <c r="BG18" s="317"/>
      <c r="BH18" s="317"/>
      <c r="BI18" s="317"/>
      <c r="BJ18" s="317"/>
    </row>
    <row r="19" spans="2:62">
      <c r="B19" s="538" t="s">
        <v>1121</v>
      </c>
      <c r="C19" s="539" t="s">
        <v>55</v>
      </c>
      <c r="D19" s="539" t="s">
        <v>67</v>
      </c>
      <c r="E19" s="539" t="s">
        <v>69</v>
      </c>
      <c r="F19" s="539" t="s">
        <v>71</v>
      </c>
      <c r="G19" s="539" t="s">
        <v>73</v>
      </c>
      <c r="H19" s="539" t="s">
        <v>75</v>
      </c>
      <c r="I19" s="301"/>
      <c r="J19" s="538" t="s">
        <v>1122</v>
      </c>
      <c r="K19" s="539" t="s">
        <v>55</v>
      </c>
      <c r="L19" s="539" t="s">
        <v>67</v>
      </c>
      <c r="M19" s="539" t="s">
        <v>69</v>
      </c>
      <c r="N19" s="539" t="s">
        <v>71</v>
      </c>
      <c r="O19" s="539" t="s">
        <v>73</v>
      </c>
      <c r="P19" s="539" t="s">
        <v>75</v>
      </c>
      <c r="Q19" s="539" t="s">
        <v>77</v>
      </c>
      <c r="R19" s="301"/>
      <c r="S19" s="538" t="s">
        <v>1123</v>
      </c>
      <c r="T19" s="539" t="s">
        <v>55</v>
      </c>
      <c r="U19" s="539" t="s">
        <v>67</v>
      </c>
      <c r="V19" s="539" t="s">
        <v>69</v>
      </c>
      <c r="W19" s="539" t="s">
        <v>71</v>
      </c>
      <c r="X19" s="539" t="s">
        <v>73</v>
      </c>
      <c r="Y19" s="539" t="s">
        <v>75</v>
      </c>
      <c r="Z19" s="539" t="s">
        <v>77</v>
      </c>
      <c r="AA19" s="301"/>
      <c r="AB19" s="538" t="s">
        <v>1124</v>
      </c>
      <c r="AC19" s="539" t="s">
        <v>55</v>
      </c>
      <c r="AD19" s="539" t="s">
        <v>67</v>
      </c>
      <c r="AE19" s="539" t="s">
        <v>69</v>
      </c>
      <c r="AF19" s="539" t="s">
        <v>71</v>
      </c>
      <c r="AG19" s="539" t="s">
        <v>73</v>
      </c>
      <c r="AH19" s="539" t="s">
        <v>75</v>
      </c>
      <c r="AI19" s="539" t="s">
        <v>77</v>
      </c>
      <c r="AJ19" s="301"/>
      <c r="AK19" s="538" t="s">
        <v>1106</v>
      </c>
      <c r="AL19" s="539" t="s">
        <v>55</v>
      </c>
      <c r="AM19" s="539" t="s">
        <v>67</v>
      </c>
      <c r="AN19" s="539" t="s">
        <v>69</v>
      </c>
      <c r="AO19" s="539" t="s">
        <v>71</v>
      </c>
      <c r="AP19" s="539" t="s">
        <v>73</v>
      </c>
      <c r="AQ19" s="539" t="s">
        <v>75</v>
      </c>
      <c r="AR19" s="539" t="s">
        <v>77</v>
      </c>
      <c r="AS19" s="301"/>
      <c r="AT19" s="538" t="s">
        <v>1107</v>
      </c>
      <c r="AU19" s="539" t="s">
        <v>55</v>
      </c>
      <c r="AV19" s="539" t="s">
        <v>67</v>
      </c>
      <c r="AW19" s="539" t="s">
        <v>69</v>
      </c>
      <c r="AX19" s="539" t="s">
        <v>71</v>
      </c>
      <c r="AY19" s="539" t="s">
        <v>73</v>
      </c>
      <c r="AZ19" s="539" t="s">
        <v>75</v>
      </c>
      <c r="BA19" s="539" t="s">
        <v>77</v>
      </c>
      <c r="BB19" s="301"/>
      <c r="BC19" s="538" t="s">
        <v>1108</v>
      </c>
      <c r="BD19" s="539" t="s">
        <v>55</v>
      </c>
      <c r="BE19" s="539" t="s">
        <v>67</v>
      </c>
      <c r="BF19" s="539" t="s">
        <v>69</v>
      </c>
      <c r="BG19" s="539" t="s">
        <v>71</v>
      </c>
      <c r="BH19" s="539" t="s">
        <v>73</v>
      </c>
      <c r="BI19" s="539" t="s">
        <v>75</v>
      </c>
      <c r="BJ19" s="539" t="s">
        <v>77</v>
      </c>
    </row>
    <row r="20" spans="2:62">
      <c r="B20" s="302" t="s">
        <v>1112</v>
      </c>
      <c r="C20" s="303">
        <v>407.07100000000003</v>
      </c>
      <c r="D20" s="303">
        <v>389.99099999999999</v>
      </c>
      <c r="E20" s="303">
        <v>256.09100000000001</v>
      </c>
      <c r="F20" s="303">
        <v>266.19900000000001</v>
      </c>
      <c r="G20" s="303">
        <v>348.86200000000002</v>
      </c>
      <c r="H20" s="303">
        <v>-49.906999999999996</v>
      </c>
      <c r="I20" s="304"/>
      <c r="J20" s="302" t="s">
        <v>1112</v>
      </c>
      <c r="K20" s="303">
        <v>161.93600000000001</v>
      </c>
      <c r="L20" s="303">
        <v>381.93400000000003</v>
      </c>
      <c r="M20" s="303">
        <v>70.808000000000007</v>
      </c>
      <c r="N20" s="303">
        <v>92.337000000000003</v>
      </c>
      <c r="O20" s="303">
        <v>16.425999999999998</v>
      </c>
      <c r="P20" s="303">
        <v>170.941</v>
      </c>
      <c r="Q20" s="303">
        <v>-4.3150000000000004</v>
      </c>
      <c r="R20" s="304"/>
      <c r="S20" s="302" t="s">
        <v>1112</v>
      </c>
      <c r="T20" s="305">
        <v>-1.66</v>
      </c>
      <c r="U20" s="305">
        <v>475.51900000000001</v>
      </c>
      <c r="V20" s="305">
        <v>31.629000000000001</v>
      </c>
      <c r="W20" s="305">
        <v>123.61199999999999</v>
      </c>
      <c r="X20" s="305">
        <v>-99.543000000000006</v>
      </c>
      <c r="Y20" s="305">
        <v>115.58</v>
      </c>
      <c r="Z20" s="305">
        <v>-6.4649999999999999</v>
      </c>
      <c r="AA20" s="304"/>
      <c r="AB20" s="302" t="s">
        <v>1112</v>
      </c>
      <c r="AC20" s="303">
        <v>110.30676699999985</v>
      </c>
      <c r="AD20" s="303">
        <v>400.52553299999994</v>
      </c>
      <c r="AE20" s="303">
        <v>88.860734999999934</v>
      </c>
      <c r="AF20" s="303">
        <v>89.397297999999907</v>
      </c>
      <c r="AG20" s="303">
        <v>-10.21904500000015</v>
      </c>
      <c r="AH20" s="303">
        <v>214.33554600000002</v>
      </c>
      <c r="AI20" s="303">
        <v>-216.09100899999942</v>
      </c>
      <c r="AJ20" s="304"/>
      <c r="AK20" s="302" t="s">
        <v>1112</v>
      </c>
      <c r="AL20" s="303">
        <v>469.61309799999975</v>
      </c>
      <c r="AM20" s="303">
        <v>477.72826400000019</v>
      </c>
      <c r="AN20" s="303">
        <v>63.30841700000019</v>
      </c>
      <c r="AO20" s="303">
        <v>83.768011000000058</v>
      </c>
      <c r="AP20" s="303">
        <v>-172.839</v>
      </c>
      <c r="AQ20" s="303">
        <v>-0.76400000000000001</v>
      </c>
      <c r="AR20" s="303">
        <v>-636.46299999999997</v>
      </c>
      <c r="AS20" s="304"/>
      <c r="AT20" s="302" t="s">
        <v>1112</v>
      </c>
      <c r="AU20" s="303">
        <v>152.06869099999989</v>
      </c>
      <c r="AV20" s="303">
        <v>473.24560299999956</v>
      </c>
      <c r="AW20" s="303">
        <v>32.807425000000045</v>
      </c>
      <c r="AX20" s="303">
        <v>104.11744300000018</v>
      </c>
      <c r="AY20" s="303">
        <v>41.524999999999999</v>
      </c>
      <c r="AZ20" s="303">
        <v>-4.3150000000000004</v>
      </c>
      <c r="BA20" s="303">
        <v>-29.884</v>
      </c>
      <c r="BB20" s="304"/>
      <c r="BC20" s="302" t="s">
        <v>1112</v>
      </c>
      <c r="BD20" s="303">
        <v>197.61835599999998</v>
      </c>
      <c r="BE20" s="303">
        <v>629.46062200000063</v>
      </c>
      <c r="BF20" s="303">
        <v>87.080187000000109</v>
      </c>
      <c r="BG20" s="303">
        <v>93.601910999999774</v>
      </c>
      <c r="BH20" s="303">
        <v>-159.98400000000001</v>
      </c>
      <c r="BI20" s="303">
        <v>-6.4649999999999999</v>
      </c>
      <c r="BJ20" s="303">
        <v>-627.01599999999996</v>
      </c>
    </row>
    <row r="21" spans="2:62">
      <c r="B21" s="306" t="s">
        <v>1113</v>
      </c>
      <c r="C21" s="307">
        <v>-69.253</v>
      </c>
      <c r="D21" s="307">
        <v>-74.867999999999995</v>
      </c>
      <c r="E21" s="307">
        <v>-79.245000000000005</v>
      </c>
      <c r="F21" s="307">
        <v>-64.447000000000003</v>
      </c>
      <c r="G21" s="307">
        <v>0</v>
      </c>
      <c r="H21" s="307">
        <v>0</v>
      </c>
      <c r="I21" s="307"/>
      <c r="J21" s="306" t="s">
        <v>1113</v>
      </c>
      <c r="K21" s="307">
        <v>-28.838999999999999</v>
      </c>
      <c r="L21" s="307">
        <v>-67.131</v>
      </c>
      <c r="M21" s="307">
        <v>-3.286</v>
      </c>
      <c r="N21" s="307">
        <v>-18.765000000000001</v>
      </c>
      <c r="O21" s="307">
        <v>0</v>
      </c>
      <c r="P21" s="307">
        <v>0</v>
      </c>
      <c r="Q21" s="307">
        <v>0</v>
      </c>
      <c r="R21" s="307"/>
      <c r="S21" s="306" t="s">
        <v>1113</v>
      </c>
      <c r="T21" s="308">
        <v>31.75</v>
      </c>
      <c r="U21" s="308">
        <v>-90.266999999999996</v>
      </c>
      <c r="V21" s="308">
        <v>-11.868</v>
      </c>
      <c r="W21" s="308">
        <v>-26.364999999999998</v>
      </c>
      <c r="X21" s="308">
        <v>-1.492</v>
      </c>
      <c r="Y21" s="308">
        <v>-7.0119999999999996</v>
      </c>
      <c r="Z21" s="308">
        <v>0</v>
      </c>
      <c r="AA21" s="307"/>
      <c r="AB21" s="306" t="s">
        <v>1113</v>
      </c>
      <c r="AC21" s="307">
        <v>-17.358720000000002</v>
      </c>
      <c r="AD21" s="307">
        <v>-32.410831000000009</v>
      </c>
      <c r="AE21" s="307">
        <v>-17.084656000000003</v>
      </c>
      <c r="AF21" s="307">
        <v>-13.609620000000003</v>
      </c>
      <c r="AG21" s="307">
        <v>1.4916689999999999</v>
      </c>
      <c r="AH21" s="307">
        <v>-43.355927999999999</v>
      </c>
      <c r="AI21" s="308">
        <v>70.144762999999998</v>
      </c>
      <c r="AJ21" s="307"/>
      <c r="AK21" s="306" t="s">
        <v>1113</v>
      </c>
      <c r="AL21" s="307">
        <v>-77.603421000000012</v>
      </c>
      <c r="AM21" s="307">
        <v>10.499527999999962</v>
      </c>
      <c r="AN21" s="307">
        <v>2.8935600000000012</v>
      </c>
      <c r="AO21" s="307">
        <v>-10.625498000000004</v>
      </c>
      <c r="AP21" s="307">
        <v>0</v>
      </c>
      <c r="AQ21" s="307">
        <v>0.53700000000000003</v>
      </c>
      <c r="AR21" s="307">
        <v>145.131</v>
      </c>
      <c r="AS21" s="307"/>
      <c r="AT21" s="306" t="s">
        <v>1113</v>
      </c>
      <c r="AU21" s="307">
        <v>9.5985839999999953</v>
      </c>
      <c r="AV21" s="307">
        <v>-48.273359999999983</v>
      </c>
      <c r="AW21" s="307">
        <v>-3.8354200000000001</v>
      </c>
      <c r="AX21" s="307">
        <v>-18.423317000000001</v>
      </c>
      <c r="AY21" s="307">
        <v>-0.53704199999999991</v>
      </c>
      <c r="AZ21" s="307">
        <v>-1.9390000000000001</v>
      </c>
      <c r="BA21" s="307">
        <v>-30.239000000000001</v>
      </c>
      <c r="BB21" s="307"/>
      <c r="BC21" s="306" t="s">
        <v>1113</v>
      </c>
      <c r="BD21" s="307">
        <v>-28.306039999999999</v>
      </c>
      <c r="BE21" s="307">
        <v>-110.20438999999998</v>
      </c>
      <c r="BF21" s="307">
        <v>-13.5242</v>
      </c>
      <c r="BG21" s="307">
        <v>-16.092661</v>
      </c>
      <c r="BH21" s="307">
        <v>0.53704199999999991</v>
      </c>
      <c r="BI21" s="307">
        <v>-4.2919999999999998</v>
      </c>
      <c r="BJ21" s="307">
        <v>204.34200000000001</v>
      </c>
    </row>
    <row r="22" spans="2:62">
      <c r="B22" s="306" t="s">
        <v>1114</v>
      </c>
      <c r="C22" s="307">
        <v>76.998000000000005</v>
      </c>
      <c r="D22" s="307">
        <v>40.953000000000003</v>
      </c>
      <c r="E22" s="307">
        <v>83.093000000000004</v>
      </c>
      <c r="F22" s="307">
        <v>58.091000000000001</v>
      </c>
      <c r="G22" s="307">
        <v>0</v>
      </c>
      <c r="H22" s="307">
        <v>0</v>
      </c>
      <c r="I22" s="307"/>
      <c r="J22" s="306" t="s">
        <v>1114</v>
      </c>
      <c r="K22" s="307">
        <v>4.2590000000000003</v>
      </c>
      <c r="L22" s="307">
        <v>-40.426000000000002</v>
      </c>
      <c r="M22" s="307">
        <v>-24.07</v>
      </c>
      <c r="N22" s="307">
        <v>15.528</v>
      </c>
      <c r="O22" s="307">
        <v>0</v>
      </c>
      <c r="P22" s="307">
        <v>0</v>
      </c>
      <c r="Q22" s="307">
        <v>0</v>
      </c>
      <c r="R22" s="307"/>
      <c r="S22" s="306" t="s">
        <v>1114</v>
      </c>
      <c r="T22" s="308">
        <v>0.17399999999999999</v>
      </c>
      <c r="U22" s="308">
        <v>42.357999999999997</v>
      </c>
      <c r="V22" s="308">
        <v>9.0389999999999997</v>
      </c>
      <c r="W22" s="308">
        <v>19.265000000000001</v>
      </c>
      <c r="X22" s="308">
        <v>0</v>
      </c>
      <c r="Y22" s="308">
        <v>0</v>
      </c>
      <c r="Z22" s="308">
        <v>0</v>
      </c>
      <c r="AA22" s="307"/>
      <c r="AB22" s="306" t="s">
        <v>1114</v>
      </c>
      <c r="AC22" s="307">
        <v>5.6149290000000001</v>
      </c>
      <c r="AD22" s="307">
        <v>-69.868547000000007</v>
      </c>
      <c r="AE22" s="307">
        <v>10.602786</v>
      </c>
      <c r="AF22" s="307">
        <v>7.7704719999999998</v>
      </c>
      <c r="AG22" s="307">
        <v>0</v>
      </c>
      <c r="AH22" s="307">
        <v>0</v>
      </c>
      <c r="AI22" s="308">
        <v>-61.151951999999994</v>
      </c>
      <c r="AJ22" s="307"/>
      <c r="AK22" s="306" t="s">
        <v>1114</v>
      </c>
      <c r="AL22" s="307">
        <v>30.012753</v>
      </c>
      <c r="AM22" s="307">
        <v>-19.362933000000002</v>
      </c>
      <c r="AN22" s="307">
        <v>-0.26826699999999998</v>
      </c>
      <c r="AO22" s="307">
        <v>-0.52517199999999997</v>
      </c>
      <c r="AP22" s="307">
        <v>0</v>
      </c>
      <c r="AQ22" s="307">
        <v>0</v>
      </c>
      <c r="AR22" s="307">
        <v>-185.036</v>
      </c>
      <c r="AS22" s="307"/>
      <c r="AT22" s="306" t="s">
        <v>1114</v>
      </c>
      <c r="AU22" s="307">
        <v>14.190395000000001</v>
      </c>
      <c r="AV22" s="307">
        <v>-34.553853000000004</v>
      </c>
      <c r="AW22" s="307">
        <v>-4.639202</v>
      </c>
      <c r="AX22" s="307">
        <v>9.706218999999999</v>
      </c>
      <c r="AY22" s="307">
        <v>0.39226499999999997</v>
      </c>
      <c r="AZ22" s="307">
        <v>0</v>
      </c>
      <c r="BA22" s="307">
        <v>-11.034000000000001</v>
      </c>
      <c r="BB22" s="307"/>
      <c r="BC22" s="306" t="s">
        <v>1114</v>
      </c>
      <c r="BD22" s="307">
        <v>-14.687329</v>
      </c>
      <c r="BE22" s="307">
        <v>-19.211182000000001</v>
      </c>
      <c r="BF22" s="307">
        <v>4.9528980000000002</v>
      </c>
      <c r="BG22" s="307">
        <v>8.7937000000000012</v>
      </c>
      <c r="BH22" s="307">
        <v>-0.39226499999999997</v>
      </c>
      <c r="BI22" s="307">
        <v>0</v>
      </c>
      <c r="BJ22" s="307">
        <v>-184.96199999999999</v>
      </c>
    </row>
    <row r="23" spans="2:62">
      <c r="B23" s="306" t="s">
        <v>1115</v>
      </c>
      <c r="C23" s="307">
        <v>7.7450000000000045</v>
      </c>
      <c r="D23" s="307">
        <v>-33.914999999999992</v>
      </c>
      <c r="E23" s="307">
        <v>3.847999999999999</v>
      </c>
      <c r="F23" s="307">
        <v>-6.3560000000000016</v>
      </c>
      <c r="G23" s="307">
        <v>0</v>
      </c>
      <c r="H23" s="307">
        <v>0</v>
      </c>
      <c r="I23" s="307"/>
      <c r="J23" s="306" t="s">
        <v>1115</v>
      </c>
      <c r="K23" s="307">
        <v>-24.58</v>
      </c>
      <c r="L23" s="307">
        <v>-107.557</v>
      </c>
      <c r="M23" s="307">
        <v>-27.356000000000002</v>
      </c>
      <c r="N23" s="307">
        <v>-3.2370000000000001</v>
      </c>
      <c r="O23" s="307">
        <v>0</v>
      </c>
      <c r="P23" s="307">
        <v>0</v>
      </c>
      <c r="Q23" s="307">
        <v>0</v>
      </c>
      <c r="R23" s="307"/>
      <c r="S23" s="306" t="s">
        <v>1115</v>
      </c>
      <c r="T23" s="308">
        <v>31.923999999999999</v>
      </c>
      <c r="U23" s="308">
        <v>-47.908999999999999</v>
      </c>
      <c r="V23" s="308">
        <v>-2.8290000000000006</v>
      </c>
      <c r="W23" s="308">
        <v>-7.0999999999999979</v>
      </c>
      <c r="X23" s="308">
        <v>-1.492</v>
      </c>
      <c r="Y23" s="308">
        <v>-7.0119999999999996</v>
      </c>
      <c r="Z23" s="308">
        <v>0</v>
      </c>
      <c r="AA23" s="307"/>
      <c r="AB23" s="306" t="s">
        <v>1115</v>
      </c>
      <c r="AC23" s="307">
        <v>-11.743791000000002</v>
      </c>
      <c r="AD23" s="307">
        <v>-102.27937800000001</v>
      </c>
      <c r="AE23" s="307">
        <v>-6.4818700000000025</v>
      </c>
      <c r="AF23" s="307">
        <v>-5.8391480000000033</v>
      </c>
      <c r="AG23" s="307">
        <v>1.4916689999999999</v>
      </c>
      <c r="AH23" s="307">
        <v>-43.355927999999999</v>
      </c>
      <c r="AI23" s="308">
        <v>8.9928110000000032</v>
      </c>
      <c r="AJ23" s="307"/>
      <c r="AK23" s="306" t="s">
        <v>1115</v>
      </c>
      <c r="AL23" s="307">
        <v>-47.590668000000008</v>
      </c>
      <c r="AM23" s="307">
        <v>-8.8634050000000393</v>
      </c>
      <c r="AN23" s="307">
        <v>2.6252930000000014</v>
      </c>
      <c r="AO23" s="307">
        <v>-11.150670000000003</v>
      </c>
      <c r="AP23" s="307">
        <v>0</v>
      </c>
      <c r="AQ23" s="307">
        <v>0.53700000000000003</v>
      </c>
      <c r="AR23" s="307">
        <v>-39.905000000000001</v>
      </c>
      <c r="AS23" s="307"/>
      <c r="AT23" s="306" t="s">
        <v>1115</v>
      </c>
      <c r="AU23" s="307">
        <v>23.788978999999998</v>
      </c>
      <c r="AV23" s="307">
        <v>-82.827212999999986</v>
      </c>
      <c r="AW23" s="307">
        <v>-8.4746220000000001</v>
      </c>
      <c r="AX23" s="307">
        <v>-8.7170980000000018</v>
      </c>
      <c r="AY23" s="307">
        <v>-0.14477699999999993</v>
      </c>
      <c r="AZ23" s="307">
        <v>-1.9390000000000001</v>
      </c>
      <c r="BA23" s="307">
        <v>-41.273000000000003</v>
      </c>
      <c r="BB23" s="307"/>
      <c r="BC23" s="306" t="s">
        <v>1115</v>
      </c>
      <c r="BD23" s="307">
        <v>-42.993369000000001</v>
      </c>
      <c r="BE23" s="307">
        <v>-129.41557199999997</v>
      </c>
      <c r="BF23" s="307">
        <v>-8.5713019999999993</v>
      </c>
      <c r="BG23" s="307">
        <v>-7.2989609999999985</v>
      </c>
      <c r="BH23" s="307">
        <v>0.14477699999999993</v>
      </c>
      <c r="BI23" s="307">
        <v>-4.2919999999999998</v>
      </c>
      <c r="BJ23" s="307">
        <v>19.380000000000024</v>
      </c>
    </row>
    <row r="24" spans="2:62">
      <c r="B24" s="302" t="s">
        <v>1116</v>
      </c>
      <c r="C24" s="303">
        <f>C23</f>
        <v>7.7450000000000045</v>
      </c>
      <c r="D24" s="303">
        <f>D23</f>
        <v>-33.914999999999992</v>
      </c>
      <c r="E24" s="303">
        <f>E23</f>
        <v>3.847999999999999</v>
      </c>
      <c r="F24" s="303">
        <f>F23</f>
        <v>-6.3560000000000016</v>
      </c>
      <c r="G24" s="303">
        <f>G23</f>
        <v>0</v>
      </c>
      <c r="H24" s="303">
        <v>0</v>
      </c>
      <c r="I24" s="304"/>
      <c r="J24" s="302" t="s">
        <v>1116</v>
      </c>
      <c r="K24" s="303">
        <f>K23</f>
        <v>-24.58</v>
      </c>
      <c r="L24" s="303">
        <f>L23</f>
        <v>-107.557</v>
      </c>
      <c r="M24" s="303">
        <f>M23</f>
        <v>-27.356000000000002</v>
      </c>
      <c r="N24" s="303">
        <f>N23</f>
        <v>-3.2370000000000001</v>
      </c>
      <c r="O24" s="303">
        <f>O23</f>
        <v>0</v>
      </c>
      <c r="P24" s="303">
        <v>0</v>
      </c>
      <c r="Q24" s="303">
        <v>0</v>
      </c>
      <c r="R24" s="304"/>
      <c r="S24" s="302" t="s">
        <v>1116</v>
      </c>
      <c r="T24" s="305">
        <f>T23</f>
        <v>31.923999999999999</v>
      </c>
      <c r="U24" s="305">
        <f t="shared" ref="U24:Z24" si="11">U23</f>
        <v>-47.908999999999999</v>
      </c>
      <c r="V24" s="305">
        <f t="shared" si="11"/>
        <v>-2.8290000000000006</v>
      </c>
      <c r="W24" s="305">
        <f t="shared" si="11"/>
        <v>-7.0999999999999979</v>
      </c>
      <c r="X24" s="305">
        <f t="shared" si="11"/>
        <v>-1.492</v>
      </c>
      <c r="Y24" s="305">
        <f t="shared" si="11"/>
        <v>-7.0119999999999996</v>
      </c>
      <c r="Z24" s="305">
        <f t="shared" si="11"/>
        <v>0</v>
      </c>
      <c r="AA24" s="304"/>
      <c r="AB24" s="302" t="s">
        <v>1116</v>
      </c>
      <c r="AC24" s="303">
        <f t="shared" ref="AC24:AG24" si="12">AC23</f>
        <v>-11.743791000000002</v>
      </c>
      <c r="AD24" s="303">
        <f t="shared" si="12"/>
        <v>-102.27937800000001</v>
      </c>
      <c r="AE24" s="303">
        <f t="shared" si="12"/>
        <v>-6.4818700000000025</v>
      </c>
      <c r="AF24" s="303">
        <f t="shared" si="12"/>
        <v>-5.8391480000000033</v>
      </c>
      <c r="AG24" s="303">
        <f t="shared" si="12"/>
        <v>1.4916689999999999</v>
      </c>
      <c r="AH24" s="303" t="s">
        <v>371</v>
      </c>
      <c r="AI24" s="303" t="s">
        <v>371</v>
      </c>
      <c r="AJ24" s="304"/>
      <c r="AK24" s="302" t="s">
        <v>1116</v>
      </c>
      <c r="AL24" s="303">
        <v>-47.590668000000008</v>
      </c>
      <c r="AM24" s="303">
        <v>-8.8634050000000393</v>
      </c>
      <c r="AN24" s="303">
        <v>2.6252930000000014</v>
      </c>
      <c r="AO24" s="303">
        <v>-11.150670000000003</v>
      </c>
      <c r="AP24" s="303">
        <v>0</v>
      </c>
      <c r="AQ24" s="303">
        <v>0</v>
      </c>
      <c r="AR24" s="303">
        <v>0</v>
      </c>
      <c r="AS24" s="304"/>
      <c r="AT24" s="302" t="s">
        <v>1116</v>
      </c>
      <c r="AU24" s="303">
        <v>23.788978999999998</v>
      </c>
      <c r="AV24" s="303">
        <v>-82.827212999999986</v>
      </c>
      <c r="AW24" s="303">
        <v>-8.4746220000000001</v>
      </c>
      <c r="AX24" s="303">
        <v>-8.7170980000000018</v>
      </c>
      <c r="AY24" s="303">
        <v>-0.14477699999999993</v>
      </c>
      <c r="AZ24" s="303">
        <v>-1.9390000000000001</v>
      </c>
      <c r="BA24" s="303">
        <v>-41.273000000000003</v>
      </c>
      <c r="BB24" s="304"/>
      <c r="BC24" s="302" t="s">
        <v>1116</v>
      </c>
      <c r="BD24" s="303">
        <f>+BD23</f>
        <v>-42.993369000000001</v>
      </c>
      <c r="BE24" s="303">
        <f t="shared" ref="BE24:BJ24" si="13">+BE23</f>
        <v>-129.41557199999997</v>
      </c>
      <c r="BF24" s="303">
        <f t="shared" si="13"/>
        <v>-8.5713019999999993</v>
      </c>
      <c r="BG24" s="303">
        <f t="shared" si="13"/>
        <v>-7.2989609999999985</v>
      </c>
      <c r="BH24" s="303">
        <f t="shared" si="13"/>
        <v>0.14477699999999993</v>
      </c>
      <c r="BI24" s="303">
        <f t="shared" si="13"/>
        <v>-4.2919999999999998</v>
      </c>
      <c r="BJ24" s="303">
        <f t="shared" si="13"/>
        <v>19.380000000000024</v>
      </c>
    </row>
    <row r="25" spans="2:62">
      <c r="B25" s="309"/>
      <c r="C25" s="309"/>
      <c r="D25" s="309"/>
      <c r="E25" s="309"/>
      <c r="F25" s="309"/>
      <c r="G25" s="309"/>
      <c r="H25" s="309"/>
      <c r="I25" s="301"/>
      <c r="J25" s="309"/>
      <c r="K25" s="309"/>
      <c r="L25" s="309"/>
      <c r="M25" s="309"/>
      <c r="N25" s="309"/>
      <c r="O25" s="309"/>
      <c r="P25" s="309"/>
      <c r="Q25" s="309"/>
      <c r="R25" s="301"/>
      <c r="S25" s="309"/>
      <c r="T25" s="310"/>
      <c r="U25" s="310"/>
      <c r="V25" s="310"/>
      <c r="W25" s="310"/>
      <c r="X25" s="310"/>
      <c r="Y25" s="310"/>
      <c r="Z25" s="310"/>
      <c r="AA25" s="301"/>
      <c r="AB25" s="309"/>
      <c r="AC25" s="309"/>
      <c r="AD25" s="309"/>
      <c r="AE25" s="309"/>
      <c r="AF25" s="309"/>
      <c r="AG25" s="309"/>
      <c r="AH25" s="309"/>
      <c r="AI25" s="310"/>
      <c r="AJ25" s="301"/>
      <c r="AK25" s="309"/>
      <c r="AL25" s="309"/>
      <c r="AM25" s="309"/>
      <c r="AN25" s="309"/>
      <c r="AO25" s="309"/>
      <c r="AP25" s="309"/>
      <c r="AQ25" s="309"/>
      <c r="AR25" s="309"/>
      <c r="AS25" s="301"/>
      <c r="AT25" s="309"/>
      <c r="AU25" s="309"/>
      <c r="AV25" s="309"/>
      <c r="AW25" s="309"/>
      <c r="AX25" s="309"/>
      <c r="AY25" s="309"/>
      <c r="AZ25" s="309"/>
      <c r="BA25" s="309"/>
      <c r="BB25" s="301"/>
      <c r="BC25" s="309"/>
      <c r="BD25" s="309"/>
      <c r="BE25" s="309"/>
      <c r="BF25" s="309"/>
      <c r="BG25" s="309"/>
      <c r="BH25" s="309"/>
      <c r="BI25" s="309"/>
      <c r="BJ25" s="309"/>
    </row>
    <row r="26" spans="2:62">
      <c r="B26" s="302" t="s">
        <v>1117</v>
      </c>
      <c r="C26" s="312">
        <f>-C24/C20</f>
        <v>-1.9026164968764674E-2</v>
      </c>
      <c r="D26" s="312">
        <f>-D24/D20</f>
        <v>8.6963545312584115E-2</v>
      </c>
      <c r="E26" s="312">
        <f>-E24/E20</f>
        <v>-1.5025908758995822E-2</v>
      </c>
      <c r="F26" s="312">
        <f>-F24/F20</f>
        <v>2.387687406789658E-2</v>
      </c>
      <c r="G26" s="311" t="s">
        <v>371</v>
      </c>
      <c r="H26" s="311" t="s">
        <v>371</v>
      </c>
      <c r="I26" s="304"/>
      <c r="J26" s="302" t="s">
        <v>1117</v>
      </c>
      <c r="K26" s="312">
        <f>-K24/K20</f>
        <v>0.15178836083390967</v>
      </c>
      <c r="L26" s="312">
        <f t="shared" ref="L26:Q26" si="14">-L24/L20</f>
        <v>0.28161148261217905</v>
      </c>
      <c r="M26" s="312">
        <f t="shared" si="14"/>
        <v>0.38634052649418144</v>
      </c>
      <c r="N26" s="312">
        <f t="shared" si="14"/>
        <v>3.5056369602651155E-2</v>
      </c>
      <c r="O26" s="312">
        <f t="shared" si="14"/>
        <v>0</v>
      </c>
      <c r="P26" s="312">
        <f t="shared" si="14"/>
        <v>0</v>
      </c>
      <c r="Q26" s="312">
        <f t="shared" si="14"/>
        <v>0</v>
      </c>
      <c r="R26" s="304"/>
      <c r="S26" s="302" t="s">
        <v>1117</v>
      </c>
      <c r="T26" s="312">
        <f t="shared" ref="T26:Z26" si="15">-T24/T20</f>
        <v>19.231325301204819</v>
      </c>
      <c r="U26" s="312">
        <f t="shared" si="15"/>
        <v>0.10075096894130413</v>
      </c>
      <c r="V26" s="312">
        <f t="shared" si="15"/>
        <v>8.944323247652472E-2</v>
      </c>
      <c r="W26" s="312">
        <f t="shared" si="15"/>
        <v>5.7437789211403412E-2</v>
      </c>
      <c r="X26" s="312">
        <f t="shared" si="15"/>
        <v>-1.4988497433270043E-2</v>
      </c>
      <c r="Y26" s="312">
        <f t="shared" si="15"/>
        <v>6.0667935629001551E-2</v>
      </c>
      <c r="Z26" s="312">
        <f t="shared" si="15"/>
        <v>0</v>
      </c>
      <c r="AA26" s="304"/>
      <c r="AB26" s="302" t="s">
        <v>1117</v>
      </c>
      <c r="AC26" s="312">
        <f>-AC24/AC20</f>
        <v>0.10646482821856267</v>
      </c>
      <c r="AD26" s="312">
        <f>-AD24/AD20</f>
        <v>0.25536294086899081</v>
      </c>
      <c r="AE26" s="312">
        <f>-AE24/AE20</f>
        <v>7.2944141189019054E-2</v>
      </c>
      <c r="AF26" s="312">
        <f>-AF24/AF20</f>
        <v>6.5316828703256891E-2</v>
      </c>
      <c r="AG26" s="312" t="s">
        <v>371</v>
      </c>
      <c r="AH26" s="312" t="s">
        <v>371</v>
      </c>
      <c r="AI26" s="312" t="s">
        <v>371</v>
      </c>
      <c r="AJ26" s="304"/>
      <c r="AK26" s="302" t="s">
        <v>1117</v>
      </c>
      <c r="AL26" s="312">
        <v>0.1013401632166572</v>
      </c>
      <c r="AM26" s="312">
        <v>1.8553235527216022E-2</v>
      </c>
      <c r="AN26" s="312">
        <v>-4.1468309024374969E-2</v>
      </c>
      <c r="AO26" s="312">
        <v>0.13311370136268361</v>
      </c>
      <c r="AP26" s="312">
        <v>0</v>
      </c>
      <c r="AQ26" s="312">
        <v>0</v>
      </c>
      <c r="AR26" s="312">
        <v>0</v>
      </c>
      <c r="AS26" s="304"/>
      <c r="AT26" s="302" t="s">
        <v>1117</v>
      </c>
      <c r="AU26" s="312">
        <v>-0.1564357452120109</v>
      </c>
      <c r="AV26" s="312">
        <v>0.17501950884475531</v>
      </c>
      <c r="AW26" s="312">
        <v>0.25831414687376375</v>
      </c>
      <c r="AX26" s="312">
        <v>8.3723704201994154E-2</v>
      </c>
      <c r="AY26" s="312">
        <v>3.4865021071643575E-3</v>
      </c>
      <c r="AZ26" s="312">
        <v>-0.44936268829663961</v>
      </c>
      <c r="BA26" s="312">
        <v>-1.3811069468611967</v>
      </c>
      <c r="BB26" s="304"/>
      <c r="BC26" s="302" t="s">
        <v>1117</v>
      </c>
      <c r="BD26" s="312">
        <f>-BD24/BD20</f>
        <v>0.21755756838701767</v>
      </c>
      <c r="BE26" s="312">
        <f t="shared" ref="BE26:BJ26" si="16">-BE24/BE20</f>
        <v>0.20559756635578683</v>
      </c>
      <c r="BF26" s="312">
        <f t="shared" si="16"/>
        <v>9.8429990739454756E-2</v>
      </c>
      <c r="BG26" s="312">
        <f t="shared" si="16"/>
        <v>7.7978760497742577E-2</v>
      </c>
      <c r="BH26" s="312">
        <f t="shared" si="16"/>
        <v>9.0494674467446695E-4</v>
      </c>
      <c r="BI26" s="312">
        <f t="shared" si="16"/>
        <v>-0.66388244392884765</v>
      </c>
      <c r="BJ26" s="312">
        <f t="shared" si="16"/>
        <v>3.0908302180486662E-2</v>
      </c>
    </row>
    <row r="27" spans="2:62">
      <c r="B27" s="309"/>
      <c r="C27" s="309"/>
      <c r="D27" s="309"/>
      <c r="E27" s="309"/>
      <c r="F27" s="309"/>
      <c r="G27" s="309"/>
      <c r="H27" s="309"/>
      <c r="I27" s="301"/>
      <c r="J27" s="309"/>
      <c r="K27" s="309"/>
      <c r="L27" s="309"/>
      <c r="M27" s="309"/>
      <c r="N27" s="309"/>
      <c r="O27" s="309"/>
      <c r="P27" s="309"/>
      <c r="Q27" s="309"/>
      <c r="R27" s="301"/>
      <c r="S27" s="309"/>
      <c r="T27" s="310"/>
      <c r="U27" s="310"/>
      <c r="V27" s="310"/>
      <c r="W27" s="310"/>
      <c r="X27" s="310"/>
      <c r="Y27" s="310"/>
      <c r="Z27" s="310"/>
      <c r="AA27" s="301"/>
      <c r="AB27" s="309"/>
      <c r="AC27" s="309"/>
      <c r="AD27" s="309"/>
      <c r="AE27" s="309"/>
      <c r="AF27" s="309"/>
      <c r="AG27" s="309"/>
      <c r="AH27" s="309"/>
      <c r="AI27" s="310"/>
      <c r="AJ27" s="301"/>
      <c r="AK27" s="309"/>
      <c r="AL27" s="309"/>
      <c r="AM27" s="309"/>
      <c r="AN27" s="309"/>
      <c r="AO27" s="309"/>
      <c r="AP27" s="309"/>
      <c r="AQ27" s="309"/>
      <c r="AR27" s="309"/>
      <c r="AS27" s="301"/>
      <c r="AT27" s="309"/>
      <c r="AU27" s="309"/>
      <c r="AV27" s="309"/>
      <c r="AW27" s="309"/>
      <c r="AX27" s="309"/>
      <c r="AY27" s="309"/>
      <c r="AZ27" s="309"/>
      <c r="BA27" s="309"/>
      <c r="BB27" s="301"/>
      <c r="BC27" s="309"/>
      <c r="BD27" s="309"/>
      <c r="BE27" s="309"/>
      <c r="BF27" s="309"/>
      <c r="BG27" s="309"/>
      <c r="BH27" s="309"/>
      <c r="BI27" s="309"/>
      <c r="BJ27" s="309"/>
    </row>
    <row r="28" spans="2:62">
      <c r="B28" s="302" t="s">
        <v>1118</v>
      </c>
      <c r="C28" s="303">
        <v>178</v>
      </c>
      <c r="D28" s="303">
        <v>275</v>
      </c>
      <c r="E28" s="303">
        <v>12.6067185999971</v>
      </c>
      <c r="F28" s="303">
        <v>102.70964538</v>
      </c>
      <c r="G28" s="303">
        <v>0</v>
      </c>
      <c r="H28" s="303">
        <v>0</v>
      </c>
      <c r="I28" s="304"/>
      <c r="J28" s="302" t="s">
        <v>1118</v>
      </c>
      <c r="K28" s="303">
        <v>0</v>
      </c>
      <c r="L28" s="303">
        <v>0</v>
      </c>
      <c r="M28" s="303">
        <v>0</v>
      </c>
      <c r="N28" s="303">
        <v>0</v>
      </c>
      <c r="O28" s="303">
        <v>0</v>
      </c>
      <c r="P28" s="303">
        <v>0</v>
      </c>
      <c r="Q28" s="303">
        <v>0</v>
      </c>
      <c r="R28" s="304"/>
      <c r="S28" s="302" t="s">
        <v>1118</v>
      </c>
      <c r="T28" s="305">
        <v>-69.899123169999996</v>
      </c>
      <c r="U28" s="305">
        <v>362.48499036999999</v>
      </c>
      <c r="V28" s="305">
        <v>31.07115027</v>
      </c>
      <c r="W28" s="305">
        <v>79.200691400000011</v>
      </c>
      <c r="X28" s="305">
        <v>-65.914938039999996</v>
      </c>
      <c r="Y28" s="305">
        <v>41.231027600000004</v>
      </c>
      <c r="Z28" s="305">
        <v>0</v>
      </c>
      <c r="AA28" s="304"/>
      <c r="AB28" s="302" t="s">
        <v>1118</v>
      </c>
      <c r="AC28" s="303">
        <v>117.961748345449</v>
      </c>
      <c r="AD28" s="303">
        <v>612.77599999999995</v>
      </c>
      <c r="AE28" s="303">
        <v>60.052914704999701</v>
      </c>
      <c r="AF28" s="303">
        <v>68.084844500416281</v>
      </c>
      <c r="AG28" s="303">
        <v>0</v>
      </c>
      <c r="AH28" s="303">
        <v>141.926991598</v>
      </c>
      <c r="AI28" s="303">
        <v>0</v>
      </c>
      <c r="AJ28" s="304"/>
      <c r="AK28" s="302" t="s">
        <v>1118</v>
      </c>
      <c r="AL28" s="303">
        <v>384</v>
      </c>
      <c r="AM28" s="303">
        <v>475</v>
      </c>
      <c r="AN28" s="303">
        <v>44.901155025996204</v>
      </c>
      <c r="AO28" s="303">
        <v>82</v>
      </c>
      <c r="AP28" s="303">
        <v>0</v>
      </c>
      <c r="AQ28" s="303">
        <v>18.011208459999899</v>
      </c>
      <c r="AR28" s="303">
        <v>0</v>
      </c>
      <c r="AS28" s="304"/>
      <c r="AT28" s="302" t="s">
        <v>1118</v>
      </c>
      <c r="AU28" s="303">
        <v>118</v>
      </c>
      <c r="AV28" s="303">
        <v>573</v>
      </c>
      <c r="AW28" s="303">
        <v>49.890205287996395</v>
      </c>
      <c r="AX28" s="303">
        <v>76</v>
      </c>
      <c r="AY28" s="303">
        <v>1.609</v>
      </c>
      <c r="AZ28" s="303">
        <v>5.8780000000000001</v>
      </c>
      <c r="BA28" s="303">
        <v>57</v>
      </c>
      <c r="BB28" s="304"/>
      <c r="BC28" s="302" t="s">
        <v>1118</v>
      </c>
      <c r="BD28" s="303">
        <v>256</v>
      </c>
      <c r="BE28" s="303">
        <v>690.07267917999991</v>
      </c>
      <c r="BF28" s="303">
        <v>77.131220733346893</v>
      </c>
      <c r="BG28" s="303">
        <v>72.36552417</v>
      </c>
      <c r="BH28" s="303">
        <v>-78</v>
      </c>
      <c r="BI28" s="303">
        <v>24</v>
      </c>
      <c r="BJ28" s="303">
        <v>-431.51043559012402</v>
      </c>
    </row>
    <row r="29" spans="2:62">
      <c r="B29" s="309"/>
      <c r="C29" s="309"/>
      <c r="D29" s="309"/>
      <c r="E29" s="309"/>
      <c r="F29" s="309"/>
      <c r="G29" s="309"/>
      <c r="H29" s="309"/>
      <c r="I29" s="301"/>
      <c r="J29" s="309"/>
      <c r="K29" s="309"/>
      <c r="L29" s="309"/>
      <c r="M29" s="309"/>
      <c r="N29" s="309"/>
      <c r="O29" s="309"/>
      <c r="P29" s="309"/>
      <c r="Q29" s="309"/>
      <c r="R29" s="301"/>
      <c r="S29" s="309"/>
      <c r="T29" s="310"/>
      <c r="U29" s="310"/>
      <c r="V29" s="310"/>
      <c r="W29" s="310"/>
      <c r="X29" s="310"/>
      <c r="Y29" s="310"/>
      <c r="Z29" s="310"/>
      <c r="AA29" s="301"/>
      <c r="AB29" s="309"/>
      <c r="AC29" s="309"/>
      <c r="AD29" s="309"/>
      <c r="AE29" s="309"/>
      <c r="AF29" s="309"/>
      <c r="AG29" s="309"/>
      <c r="AH29" s="309"/>
      <c r="AI29" s="310"/>
      <c r="AJ29" s="301"/>
      <c r="AK29" s="309"/>
      <c r="AL29" s="309"/>
      <c r="AM29" s="309"/>
      <c r="AN29" s="309"/>
      <c r="AO29" s="309"/>
      <c r="AP29" s="309"/>
      <c r="AQ29" s="309"/>
      <c r="AR29" s="309"/>
      <c r="AS29" s="301"/>
      <c r="AT29" s="309"/>
      <c r="AU29" s="309"/>
      <c r="AV29" s="309"/>
      <c r="AW29" s="309"/>
      <c r="AX29" s="309"/>
      <c r="AY29" s="309"/>
      <c r="AZ29" s="309"/>
      <c r="BA29" s="309"/>
      <c r="BB29" s="301"/>
      <c r="BC29" s="309"/>
      <c r="BD29" s="309"/>
      <c r="BE29" s="309"/>
      <c r="BF29" s="309"/>
      <c r="BG29" s="309"/>
      <c r="BH29" s="309"/>
      <c r="BI29" s="309"/>
      <c r="BJ29" s="309"/>
    </row>
    <row r="30" spans="2:62">
      <c r="B30" s="302" t="s">
        <v>1119</v>
      </c>
      <c r="C30" s="312">
        <f>(C24/C28)*-1</f>
        <v>-4.3511235955056203E-2</v>
      </c>
      <c r="D30" s="312">
        <f>(D24/D28)*-1</f>
        <v>0.1233272727272727</v>
      </c>
      <c r="E30" s="312">
        <f>(E24/E28)*-1</f>
        <v>-0.30523406780896056</v>
      </c>
      <c r="F30" s="312">
        <f>(F24/F28)*-1</f>
        <v>6.1883185133045603E-2</v>
      </c>
      <c r="G30" s="312">
        <v>0</v>
      </c>
      <c r="H30" s="312">
        <v>0</v>
      </c>
      <c r="I30" s="315"/>
      <c r="J30" s="302" t="s">
        <v>1119</v>
      </c>
      <c r="K30" s="312" t="str">
        <f>IFERROR((K24/K28)*-1,"N/A")</f>
        <v>N/A</v>
      </c>
      <c r="L30" s="312" t="str">
        <f t="shared" ref="L30:Q30" si="17">IFERROR((L24/L28)*-1,"N/A")</f>
        <v>N/A</v>
      </c>
      <c r="M30" s="312" t="str">
        <f t="shared" si="17"/>
        <v>N/A</v>
      </c>
      <c r="N30" s="312" t="str">
        <f t="shared" si="17"/>
        <v>N/A</v>
      </c>
      <c r="O30" s="312" t="str">
        <f t="shared" si="17"/>
        <v>N/A</v>
      </c>
      <c r="P30" s="312" t="str">
        <f t="shared" si="17"/>
        <v>N/A</v>
      </c>
      <c r="Q30" s="312" t="str">
        <f t="shared" si="17"/>
        <v>N/A</v>
      </c>
      <c r="R30" s="315"/>
      <c r="S30" s="302" t="s">
        <v>1119</v>
      </c>
      <c r="T30" s="312">
        <f t="shared" ref="T30:Z30" si="18">IFERROR((T24/T28)*-1,"N/A")</f>
        <v>0.45671531418725236</v>
      </c>
      <c r="U30" s="312">
        <f t="shared" si="18"/>
        <v>0.13216823116206206</v>
      </c>
      <c r="V30" s="312">
        <f t="shared" si="18"/>
        <v>9.10490913730823E-2</v>
      </c>
      <c r="W30" s="312">
        <f t="shared" si="18"/>
        <v>8.9645682057770487E-2</v>
      </c>
      <c r="X30" s="312">
        <v>0</v>
      </c>
      <c r="Y30" s="312">
        <v>0</v>
      </c>
      <c r="Z30" s="312" t="str">
        <f t="shared" si="18"/>
        <v>N/A</v>
      </c>
      <c r="AA30" s="315"/>
      <c r="AB30" s="302" t="s">
        <v>1119</v>
      </c>
      <c r="AC30" s="312">
        <f>(AC24/AC28)*-1</f>
        <v>9.9555925244584439E-2</v>
      </c>
      <c r="AD30" s="312">
        <f>(AD24/AD28)*-1</f>
        <v>0.16691152721385957</v>
      </c>
      <c r="AE30" s="312">
        <f>(AE24/AE28)*-1</f>
        <v>0.10793597666060253</v>
      </c>
      <c r="AF30" s="312">
        <f>(AF24/AF28)*-1</f>
        <v>8.5762816128107655E-2</v>
      </c>
      <c r="AG30" s="312">
        <v>0</v>
      </c>
      <c r="AH30" s="312">
        <v>0</v>
      </c>
      <c r="AI30" s="312">
        <v>0</v>
      </c>
      <c r="AJ30" s="315"/>
      <c r="AK30" s="302" t="s">
        <v>1119</v>
      </c>
      <c r="AL30" s="312">
        <v>0.12393403125000002</v>
      </c>
      <c r="AM30" s="312">
        <v>1.8659800000000084E-2</v>
      </c>
      <c r="AN30" s="312">
        <v>-5.8468273221035143E-2</v>
      </c>
      <c r="AO30" s="312">
        <v>0.13598378048780491</v>
      </c>
      <c r="AP30" s="312">
        <v>0</v>
      </c>
      <c r="AQ30" s="312">
        <v>0</v>
      </c>
      <c r="AR30" s="312">
        <v>0</v>
      </c>
      <c r="AS30" s="315"/>
      <c r="AT30" s="302" t="s">
        <v>1119</v>
      </c>
      <c r="AU30" s="312">
        <v>-0.20160151694915251</v>
      </c>
      <c r="AV30" s="312">
        <v>0.14455010994764395</v>
      </c>
      <c r="AW30" s="312">
        <v>0.1698654465556789</v>
      </c>
      <c r="AX30" s="312">
        <v>0.11469865789473686</v>
      </c>
      <c r="AY30" s="312">
        <v>8.9979490366687342E-2</v>
      </c>
      <c r="AZ30" s="312">
        <v>0.32987410683906093</v>
      </c>
      <c r="BA30" s="312">
        <v>0.72408771929824567</v>
      </c>
      <c r="BB30" s="315"/>
      <c r="BC30" s="302" t="s">
        <v>1119</v>
      </c>
      <c r="BD30" s="312">
        <f>+BD24/BD28*-1</f>
        <v>0.16794284765625</v>
      </c>
      <c r="BE30" s="312">
        <f t="shared" ref="BE30:BJ30" si="19">+BE24/BE28*-1</f>
        <v>0.18753904611001554</v>
      </c>
      <c r="BF30" s="312">
        <f t="shared" si="19"/>
        <v>0.11112623291198974</v>
      </c>
      <c r="BG30" s="312">
        <f t="shared" si="19"/>
        <v>0.10086240766878699</v>
      </c>
      <c r="BH30" s="312">
        <f t="shared" si="19"/>
        <v>1.8561153846153838E-3</v>
      </c>
      <c r="BI30" s="312">
        <f t="shared" si="19"/>
        <v>0.17883333333333332</v>
      </c>
      <c r="BJ30" s="312">
        <f t="shared" si="19"/>
        <v>4.4912007686433747E-2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002060"/>
  </sheetPr>
  <dimension ref="B4:L8"/>
  <sheetViews>
    <sheetView showGridLines="0" workbookViewId="0"/>
  </sheetViews>
  <sheetFormatPr defaultRowHeight="14.5"/>
  <cols>
    <col min="2" max="2" width="1.453125" customWidth="1"/>
    <col min="8" max="8" width="2" customWidth="1"/>
    <col min="13" max="13" width="2" customWidth="1"/>
    <col min="18" max="18" width="2" customWidth="1"/>
    <col min="23" max="23" width="2" customWidth="1"/>
  </cols>
  <sheetData>
    <row r="4" spans="2:12" s="1" customFormat="1" ht="32.5" customHeight="1">
      <c r="B4" s="2" t="s">
        <v>1125</v>
      </c>
    </row>
    <row r="8" spans="2:12" ht="30" customHeight="1">
      <c r="D8" s="35" t="s">
        <v>5</v>
      </c>
      <c r="E8" s="36"/>
      <c r="F8" s="36"/>
      <c r="G8" s="36"/>
      <c r="I8" s="35" t="s">
        <v>450</v>
      </c>
      <c r="J8" s="36"/>
      <c r="K8" s="36"/>
      <c r="L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79998168889431442"/>
  </sheetPr>
  <dimension ref="B5:R59"/>
  <sheetViews>
    <sheetView zoomScale="85" zoomScaleNormal="85" workbookViewId="0">
      <selection activeCell="I16" sqref="I16"/>
    </sheetView>
  </sheetViews>
  <sheetFormatPr defaultColWidth="9.1796875" defaultRowHeight="14.5"/>
  <cols>
    <col min="1" max="1" width="9.1796875" style="37"/>
    <col min="2" max="2" width="22.81640625" style="37" bestFit="1" customWidth="1"/>
    <col min="3" max="9" width="13.453125" style="37" customWidth="1"/>
    <col min="10" max="10" width="9.1796875" style="37"/>
    <col min="11" max="11" width="22.81640625" style="37" bestFit="1" customWidth="1"/>
    <col min="12" max="18" width="13.453125" style="37" customWidth="1"/>
    <col min="19" max="16384" width="9.1796875" style="37"/>
  </cols>
  <sheetData>
    <row r="5" spans="2:18">
      <c r="B5" s="265" t="s">
        <v>55</v>
      </c>
      <c r="C5" s="266"/>
      <c r="D5" s="266"/>
      <c r="E5" s="266"/>
      <c r="F5" s="267"/>
      <c r="G5" s="267"/>
      <c r="H5" s="267"/>
      <c r="I5" s="267"/>
      <c r="K5" s="265"/>
      <c r="L5" s="266"/>
      <c r="M5" s="266"/>
      <c r="N5" s="266"/>
      <c r="O5" s="267"/>
      <c r="P5" s="267"/>
      <c r="Q5" s="267"/>
      <c r="R5" s="267"/>
    </row>
    <row r="6" spans="2:18">
      <c r="B6" s="531" t="s">
        <v>136</v>
      </c>
      <c r="C6" s="532">
        <v>2020</v>
      </c>
      <c r="D6" s="532">
        <v>2021</v>
      </c>
      <c r="E6" s="532">
        <v>2022</v>
      </c>
      <c r="F6" s="532">
        <v>2023</v>
      </c>
      <c r="G6" s="532">
        <v>2024</v>
      </c>
      <c r="H6" s="532">
        <v>2025</v>
      </c>
      <c r="I6" s="532">
        <v>2026</v>
      </c>
      <c r="K6" s="531" t="s">
        <v>136</v>
      </c>
      <c r="L6" s="532">
        <v>2020</v>
      </c>
      <c r="M6" s="532">
        <v>2021</v>
      </c>
      <c r="N6" s="532">
        <v>2022</v>
      </c>
      <c r="O6" s="532">
        <v>2023</v>
      </c>
      <c r="P6" s="532">
        <v>2024</v>
      </c>
      <c r="Q6" s="532">
        <v>2025</v>
      </c>
      <c r="R6" s="532">
        <v>2026</v>
      </c>
    </row>
    <row r="7" spans="2:18">
      <c r="B7" s="268" t="s">
        <v>137</v>
      </c>
      <c r="C7" s="269">
        <v>3363097.633586999</v>
      </c>
      <c r="D7" s="269">
        <v>2790577.661216002</v>
      </c>
      <c r="E7" s="269">
        <v>2872313.7619200004</v>
      </c>
      <c r="F7" s="269">
        <v>2375802.0231410014</v>
      </c>
      <c r="G7" s="269">
        <v>2207051.566773809</v>
      </c>
      <c r="H7" s="269">
        <v>2947606.6291946704</v>
      </c>
      <c r="I7" s="269">
        <v>2921173.6934016324</v>
      </c>
      <c r="K7" s="268" t="s">
        <v>137</v>
      </c>
      <c r="L7" s="270">
        <f>+C7/C$11</f>
        <v>0.42659382970119608</v>
      </c>
      <c r="M7" s="270">
        <f t="shared" ref="M7:R11" si="0">+D7/D$11</f>
        <v>0.34545402237453404</v>
      </c>
      <c r="N7" s="270">
        <f t="shared" si="0"/>
        <v>0.34897488652135505</v>
      </c>
      <c r="O7" s="270">
        <f t="shared" si="0"/>
        <v>0.27590283654764564</v>
      </c>
      <c r="P7" s="270">
        <f t="shared" si="0"/>
        <v>0.27590283654764569</v>
      </c>
      <c r="Q7" s="270">
        <f t="shared" si="0"/>
        <v>0.35378000556294598</v>
      </c>
      <c r="R7" s="270">
        <f t="shared" si="0"/>
        <v>0.35378000556294598</v>
      </c>
    </row>
    <row r="8" spans="2:18">
      <c r="B8" s="268" t="s">
        <v>138</v>
      </c>
      <c r="C8" s="269">
        <v>1782270.6932140002</v>
      </c>
      <c r="D8" s="269">
        <v>2135962.1050000004</v>
      </c>
      <c r="E8" s="269">
        <v>2338881.4125980008</v>
      </c>
      <c r="F8" s="269">
        <v>3201821.7113199998</v>
      </c>
      <c r="G8" s="269">
        <v>2974400.0365639096</v>
      </c>
      <c r="H8" s="269">
        <v>2271745.9242882663</v>
      </c>
      <c r="I8" s="269">
        <v>2251373.832042289</v>
      </c>
      <c r="K8" s="268" t="s">
        <v>138</v>
      </c>
      <c r="L8" s="270">
        <f t="shared" ref="L8:L11" si="1">+C8/C$11</f>
        <v>0.22607303248922991</v>
      </c>
      <c r="M8" s="270">
        <f t="shared" si="0"/>
        <v>0.26441718898097077</v>
      </c>
      <c r="N8" s="270">
        <f t="shared" si="0"/>
        <v>0.28416494269160103</v>
      </c>
      <c r="O8" s="270">
        <f t="shared" si="0"/>
        <v>0.37182883239787384</v>
      </c>
      <c r="P8" s="270">
        <f t="shared" si="0"/>
        <v>0.3718288323978739</v>
      </c>
      <c r="Q8" s="270">
        <f t="shared" si="0"/>
        <v>0.27266131028884438</v>
      </c>
      <c r="R8" s="270">
        <f t="shared" si="0"/>
        <v>0.27266131028884438</v>
      </c>
    </row>
    <row r="9" spans="2:18">
      <c r="B9" s="268" t="s">
        <v>139</v>
      </c>
      <c r="C9" s="269">
        <v>1839854.3160230003</v>
      </c>
      <c r="D9" s="269">
        <v>1762385.0949999997</v>
      </c>
      <c r="E9" s="269">
        <v>1763293.3960070002</v>
      </c>
      <c r="F9" s="269">
        <v>1377315.9839999999</v>
      </c>
      <c r="G9" s="269">
        <v>1279486.8304771206</v>
      </c>
      <c r="H9" s="269">
        <v>1809515.1623724925</v>
      </c>
      <c r="I9" s="269">
        <v>1793288.1673488759</v>
      </c>
      <c r="K9" s="268" t="s">
        <v>139</v>
      </c>
      <c r="L9" s="270">
        <f t="shared" si="1"/>
        <v>0.2333772564097113</v>
      </c>
      <c r="M9" s="270">
        <f t="shared" si="0"/>
        <v>0.21817096456487037</v>
      </c>
      <c r="N9" s="270">
        <f t="shared" si="0"/>
        <v>0.21423325018784498</v>
      </c>
      <c r="O9" s="270">
        <f t="shared" si="0"/>
        <v>0.15994825457115069</v>
      </c>
      <c r="P9" s="270">
        <f t="shared" si="0"/>
        <v>0.15994825457115069</v>
      </c>
      <c r="Q9" s="270">
        <f t="shared" si="0"/>
        <v>0.21718307927176816</v>
      </c>
      <c r="R9" s="270">
        <f t="shared" si="0"/>
        <v>0.21718307927176816</v>
      </c>
    </row>
    <row r="10" spans="2:18" ht="15" thickBot="1">
      <c r="B10" s="268" t="s">
        <v>140</v>
      </c>
      <c r="C10" s="269">
        <v>898383.2591710001</v>
      </c>
      <c r="D10" s="269">
        <v>1389075.3370000024</v>
      </c>
      <c r="E10" s="269">
        <v>1256229.0910000009</v>
      </c>
      <c r="F10" s="269">
        <v>1656070.0590000006</v>
      </c>
      <c r="G10" s="269">
        <v>1538441.3275189064</v>
      </c>
      <c r="H10" s="269">
        <v>1302882.4759179736</v>
      </c>
      <c r="I10" s="269">
        <v>1291198.7564926227</v>
      </c>
      <c r="K10" s="268" t="s">
        <v>140</v>
      </c>
      <c r="L10" s="270">
        <f t="shared" si="1"/>
        <v>0.11395588139986275</v>
      </c>
      <c r="M10" s="270">
        <f t="shared" si="0"/>
        <v>0.17195782407962484</v>
      </c>
      <c r="N10" s="270">
        <f t="shared" si="0"/>
        <v>0.15262692059919894</v>
      </c>
      <c r="O10" s="270">
        <f t="shared" si="0"/>
        <v>0.1923200764833298</v>
      </c>
      <c r="P10" s="270">
        <f t="shared" si="0"/>
        <v>0.19232007648332983</v>
      </c>
      <c r="Q10" s="270">
        <f t="shared" si="0"/>
        <v>0.15637560487644153</v>
      </c>
      <c r="R10" s="270">
        <f t="shared" si="0"/>
        <v>0.1563756048764415</v>
      </c>
    </row>
    <row r="11" spans="2:18" ht="15" thickBot="1">
      <c r="B11" s="271" t="s">
        <v>141</v>
      </c>
      <c r="C11" s="272">
        <f>SUM(C7:C10)</f>
        <v>7883605.9019949995</v>
      </c>
      <c r="D11" s="272">
        <f t="shared" ref="D11:I11" si="2">SUM(D7:D10)</f>
        <v>8078000.1982160043</v>
      </c>
      <c r="E11" s="272">
        <f t="shared" si="2"/>
        <v>8230717.6615250027</v>
      </c>
      <c r="F11" s="272">
        <f t="shared" si="2"/>
        <v>8611009.7774610016</v>
      </c>
      <c r="G11" s="272">
        <f t="shared" si="2"/>
        <v>7999379.761333745</v>
      </c>
      <c r="H11" s="272">
        <f t="shared" si="2"/>
        <v>8331750.1917734025</v>
      </c>
      <c r="I11" s="272">
        <f t="shared" si="2"/>
        <v>8257034.4492854197</v>
      </c>
      <c r="K11" s="271" t="s">
        <v>141</v>
      </c>
      <c r="L11" s="273">
        <f t="shared" si="1"/>
        <v>1</v>
      </c>
      <c r="M11" s="273">
        <f t="shared" si="0"/>
        <v>1</v>
      </c>
      <c r="N11" s="273">
        <f t="shared" si="0"/>
        <v>1</v>
      </c>
      <c r="O11" s="273">
        <f t="shared" si="0"/>
        <v>1</v>
      </c>
      <c r="P11" s="273">
        <f t="shared" si="0"/>
        <v>1</v>
      </c>
      <c r="Q11" s="273">
        <f t="shared" si="0"/>
        <v>1</v>
      </c>
      <c r="R11" s="273">
        <f t="shared" si="0"/>
        <v>1</v>
      </c>
    </row>
    <row r="12" spans="2:18">
      <c r="B12" s="267"/>
      <c r="C12" s="274"/>
      <c r="D12" s="274"/>
      <c r="E12" s="274"/>
      <c r="F12" s="274"/>
      <c r="G12" s="274"/>
      <c r="H12" s="274"/>
      <c r="I12" s="274"/>
      <c r="K12" s="267"/>
      <c r="L12" s="274"/>
      <c r="M12" s="274"/>
      <c r="N12" s="274"/>
      <c r="O12" s="274"/>
      <c r="P12" s="274"/>
      <c r="Q12" s="274"/>
      <c r="R12" s="274"/>
    </row>
    <row r="13" spans="2:18">
      <c r="B13" s="265" t="s">
        <v>67</v>
      </c>
      <c r="C13" s="275"/>
      <c r="D13" s="275"/>
      <c r="E13" s="275"/>
      <c r="F13" s="276"/>
      <c r="G13" s="276"/>
      <c r="H13" s="276"/>
      <c r="I13" s="276"/>
      <c r="K13" s="265"/>
      <c r="L13" s="275"/>
      <c r="M13" s="275"/>
      <c r="N13" s="275"/>
      <c r="O13" s="276"/>
      <c r="P13" s="276"/>
      <c r="Q13" s="276"/>
      <c r="R13" s="276"/>
    </row>
    <row r="14" spans="2:18">
      <c r="B14" s="531" t="s">
        <v>136</v>
      </c>
      <c r="C14" s="532">
        <v>2020</v>
      </c>
      <c r="D14" s="532">
        <v>2021</v>
      </c>
      <c r="E14" s="532">
        <v>2022</v>
      </c>
      <c r="F14" s="532">
        <v>2023</v>
      </c>
      <c r="G14" s="532">
        <v>2024</v>
      </c>
      <c r="H14" s="532">
        <v>2025</v>
      </c>
      <c r="I14" s="532">
        <v>2026</v>
      </c>
      <c r="K14" s="531" t="str">
        <f>+K6</f>
        <v>Contratos  (MWh)</v>
      </c>
      <c r="L14" s="531">
        <f t="shared" ref="L14:R14" si="3">+L6</f>
        <v>2020</v>
      </c>
      <c r="M14" s="531">
        <f t="shared" si="3"/>
        <v>2021</v>
      </c>
      <c r="N14" s="531">
        <f t="shared" si="3"/>
        <v>2022</v>
      </c>
      <c r="O14" s="531">
        <f t="shared" si="3"/>
        <v>2023</v>
      </c>
      <c r="P14" s="531">
        <f t="shared" si="3"/>
        <v>2024</v>
      </c>
      <c r="Q14" s="531">
        <f t="shared" si="3"/>
        <v>2025</v>
      </c>
      <c r="R14" s="531">
        <f t="shared" si="3"/>
        <v>2026</v>
      </c>
    </row>
    <row r="15" spans="2:18">
      <c r="B15" s="268" t="s">
        <v>137</v>
      </c>
      <c r="C15" s="269">
        <v>4717392.5183778051</v>
      </c>
      <c r="D15" s="269">
        <v>3760561.5309999967</v>
      </c>
      <c r="E15" s="269">
        <v>4355989.8380000023</v>
      </c>
      <c r="F15" s="269">
        <v>4607504.5775730014</v>
      </c>
      <c r="G15" s="269">
        <v>4665083.0761588747</v>
      </c>
      <c r="H15" s="269">
        <v>4368605.859139313</v>
      </c>
      <c r="I15" s="269">
        <v>4467155.6582652954</v>
      </c>
      <c r="K15" s="268" t="s">
        <v>137</v>
      </c>
      <c r="L15" s="277">
        <f>+C15/C$19</f>
        <v>0.41113376274496038</v>
      </c>
      <c r="M15" s="277">
        <f t="shared" ref="M15:R19" si="4">+D15/D$19</f>
        <v>0.3174805474081866</v>
      </c>
      <c r="N15" s="277">
        <f t="shared" si="4"/>
        <v>0.36858126096969873</v>
      </c>
      <c r="O15" s="277">
        <f t="shared" si="4"/>
        <v>0.38510505100220094</v>
      </c>
      <c r="P15" s="277">
        <f t="shared" si="4"/>
        <v>0.38510505100220094</v>
      </c>
      <c r="Q15" s="277">
        <f t="shared" si="4"/>
        <v>0.37050032335735994</v>
      </c>
      <c r="R15" s="277">
        <f t="shared" si="4"/>
        <v>0.37050032335735983</v>
      </c>
    </row>
    <row r="16" spans="2:18">
      <c r="B16" s="268" t="s">
        <v>138</v>
      </c>
      <c r="C16" s="269">
        <v>3021550.8899999997</v>
      </c>
      <c r="D16" s="269">
        <v>2937296.6119999974</v>
      </c>
      <c r="E16" s="269">
        <v>3203493.3404860008</v>
      </c>
      <c r="F16" s="269">
        <v>3749742.6154160015</v>
      </c>
      <c r="G16" s="269">
        <v>3796601.9394262335</v>
      </c>
      <c r="H16" s="269">
        <v>3140784.1284110467</v>
      </c>
      <c r="I16" s="269">
        <v>3211635.9413081626</v>
      </c>
      <c r="K16" s="268" t="s">
        <v>138</v>
      </c>
      <c r="L16" s="277">
        <f t="shared" ref="L16:L19" si="5">+C16/C$19</f>
        <v>0.26333648978573165</v>
      </c>
      <c r="M16" s="277">
        <f t="shared" si="4"/>
        <v>0.24797747054280864</v>
      </c>
      <c r="N16" s="277">
        <f t="shared" si="4"/>
        <v>0.27106298656713307</v>
      </c>
      <c r="O16" s="277">
        <f t="shared" si="4"/>
        <v>0.31341147834855865</v>
      </c>
      <c r="P16" s="277">
        <f t="shared" si="4"/>
        <v>0.31341147834855865</v>
      </c>
      <c r="Q16" s="277">
        <f t="shared" si="4"/>
        <v>0.26636908265311376</v>
      </c>
      <c r="R16" s="277">
        <f t="shared" si="4"/>
        <v>0.26636908265311371</v>
      </c>
    </row>
    <row r="17" spans="2:18">
      <c r="B17" s="268" t="s">
        <v>139</v>
      </c>
      <c r="C17" s="269">
        <v>2440117.094</v>
      </c>
      <c r="D17" s="269">
        <v>2279192.5530000003</v>
      </c>
      <c r="E17" s="269">
        <v>2220687.9070030004</v>
      </c>
      <c r="F17" s="269">
        <v>1673986.4630000005</v>
      </c>
      <c r="G17" s="269">
        <v>1694905.7318948754</v>
      </c>
      <c r="H17" s="269">
        <v>2227119.5669977409</v>
      </c>
      <c r="I17" s="269">
        <v>2277360.3515945035</v>
      </c>
      <c r="K17" s="268" t="s">
        <v>139</v>
      </c>
      <c r="L17" s="277">
        <f t="shared" si="5"/>
        <v>0.21266293158481944</v>
      </c>
      <c r="M17" s="277">
        <f t="shared" si="4"/>
        <v>0.19241788584235323</v>
      </c>
      <c r="N17" s="277">
        <f t="shared" si="4"/>
        <v>0.18790308963602467</v>
      </c>
      <c r="O17" s="277">
        <f t="shared" si="4"/>
        <v>0.13991535577598568</v>
      </c>
      <c r="P17" s="277">
        <f t="shared" si="4"/>
        <v>0.13991535577598568</v>
      </c>
      <c r="Q17" s="277">
        <f t="shared" si="4"/>
        <v>0.18888142953018294</v>
      </c>
      <c r="R17" s="277">
        <f t="shared" si="4"/>
        <v>0.18888142953018291</v>
      </c>
    </row>
    <row r="18" spans="2:18" ht="15" thickBot="1">
      <c r="B18" s="268" t="s">
        <v>140</v>
      </c>
      <c r="C18" s="269">
        <v>1295045.8490000002</v>
      </c>
      <c r="D18" s="269">
        <v>2867963.3110000025</v>
      </c>
      <c r="E18" s="269">
        <v>2038090.7179999989</v>
      </c>
      <c r="F18" s="269">
        <v>1933046.1309999991</v>
      </c>
      <c r="G18" s="269">
        <v>1957202.7850078915</v>
      </c>
      <c r="H18" s="269">
        <v>2054589.0862097573</v>
      </c>
      <c r="I18" s="269">
        <v>2100937.8181075575</v>
      </c>
      <c r="K18" s="268" t="s">
        <v>140</v>
      </c>
      <c r="L18" s="277">
        <f t="shared" si="5"/>
        <v>0.11286681588448863</v>
      </c>
      <c r="M18" s="277">
        <f t="shared" si="4"/>
        <v>0.24212409620665154</v>
      </c>
      <c r="N18" s="277">
        <f t="shared" si="4"/>
        <v>0.17245266282714361</v>
      </c>
      <c r="O18" s="277">
        <f t="shared" si="4"/>
        <v>0.16156811487325476</v>
      </c>
      <c r="P18" s="277">
        <f t="shared" si="4"/>
        <v>0.16156811487325476</v>
      </c>
      <c r="Q18" s="277">
        <f t="shared" si="4"/>
        <v>0.17424916445934349</v>
      </c>
      <c r="R18" s="277">
        <f t="shared" si="4"/>
        <v>0.17424916445934346</v>
      </c>
    </row>
    <row r="19" spans="2:18" ht="15" thickBot="1">
      <c r="B19" s="271" t="s">
        <v>141</v>
      </c>
      <c r="C19" s="272">
        <f t="shared" ref="C19:I19" si="6">SUM(C15:C18)</f>
        <v>11474106.351377804</v>
      </c>
      <c r="D19" s="272">
        <f t="shared" si="6"/>
        <v>11845014.006999997</v>
      </c>
      <c r="E19" s="272">
        <f t="shared" si="6"/>
        <v>11818261.803489001</v>
      </c>
      <c r="F19" s="272">
        <f t="shared" si="6"/>
        <v>11964279.786989002</v>
      </c>
      <c r="G19" s="272">
        <f t="shared" si="6"/>
        <v>12113793.532487875</v>
      </c>
      <c r="H19" s="272">
        <f t="shared" si="6"/>
        <v>11791098.640757857</v>
      </c>
      <c r="I19" s="272">
        <f t="shared" si="6"/>
        <v>12057089.76927552</v>
      </c>
      <c r="K19" s="271" t="s">
        <v>141</v>
      </c>
      <c r="L19" s="278">
        <f t="shared" si="5"/>
        <v>1</v>
      </c>
      <c r="M19" s="278">
        <f t="shared" si="4"/>
        <v>1</v>
      </c>
      <c r="N19" s="278">
        <f t="shared" si="4"/>
        <v>1</v>
      </c>
      <c r="O19" s="278">
        <f t="shared" si="4"/>
        <v>1</v>
      </c>
      <c r="P19" s="278">
        <f t="shared" si="4"/>
        <v>1</v>
      </c>
      <c r="Q19" s="278">
        <f t="shared" si="4"/>
        <v>1</v>
      </c>
      <c r="R19" s="278">
        <f t="shared" si="4"/>
        <v>1</v>
      </c>
    </row>
    <row r="20" spans="2:18">
      <c r="C20" s="279"/>
      <c r="D20" s="279"/>
      <c r="E20" s="279"/>
      <c r="F20" s="279"/>
      <c r="G20" s="279"/>
      <c r="H20" s="279"/>
      <c r="I20" s="279"/>
      <c r="L20" s="279"/>
      <c r="M20" s="279"/>
      <c r="N20" s="279"/>
      <c r="O20" s="279"/>
      <c r="P20" s="279"/>
      <c r="Q20" s="279"/>
      <c r="R20" s="279"/>
    </row>
    <row r="21" spans="2:18">
      <c r="B21" s="265" t="s">
        <v>69</v>
      </c>
      <c r="C21" s="275"/>
      <c r="D21" s="275"/>
      <c r="E21" s="275"/>
      <c r="F21" s="276"/>
      <c r="G21" s="276"/>
      <c r="H21" s="276"/>
      <c r="I21" s="276"/>
      <c r="K21" s="265"/>
      <c r="L21" s="275"/>
      <c r="M21" s="275"/>
      <c r="N21" s="275"/>
      <c r="O21" s="276"/>
      <c r="P21" s="276"/>
      <c r="Q21" s="276"/>
      <c r="R21" s="276"/>
    </row>
    <row r="22" spans="2:18">
      <c r="B22" s="531" t="s">
        <v>136</v>
      </c>
      <c r="C22" s="532">
        <v>2020</v>
      </c>
      <c r="D22" s="532">
        <v>2021</v>
      </c>
      <c r="E22" s="532">
        <v>2022</v>
      </c>
      <c r="F22" s="532">
        <v>2023</v>
      </c>
      <c r="G22" s="532">
        <v>2024</v>
      </c>
      <c r="H22" s="532">
        <v>2025</v>
      </c>
      <c r="I22" s="532">
        <v>2026</v>
      </c>
      <c r="K22" s="531" t="str">
        <f>+K14</f>
        <v>Contratos  (MWh)</v>
      </c>
      <c r="L22" s="531">
        <f t="shared" ref="L22:R22" si="7">+L14</f>
        <v>2020</v>
      </c>
      <c r="M22" s="531">
        <f t="shared" si="7"/>
        <v>2021</v>
      </c>
      <c r="N22" s="531">
        <f t="shared" si="7"/>
        <v>2022</v>
      </c>
      <c r="O22" s="531">
        <f t="shared" si="7"/>
        <v>2023</v>
      </c>
      <c r="P22" s="531">
        <f t="shared" si="7"/>
        <v>2024</v>
      </c>
      <c r="Q22" s="531">
        <f t="shared" si="7"/>
        <v>2025</v>
      </c>
      <c r="R22" s="531">
        <f t="shared" si="7"/>
        <v>2026</v>
      </c>
    </row>
    <row r="23" spans="2:18">
      <c r="B23" s="268" t="s">
        <v>137</v>
      </c>
      <c r="C23" s="269">
        <v>3007415.2467840007</v>
      </c>
      <c r="D23" s="269">
        <v>2002640.557826004</v>
      </c>
      <c r="E23" s="269">
        <v>2022525.4520829997</v>
      </c>
      <c r="F23" s="269">
        <v>2044676.8824769994</v>
      </c>
      <c r="G23" s="269">
        <v>1963362.7851816996</v>
      </c>
      <c r="H23" s="269">
        <v>1964595.0492693351</v>
      </c>
      <c r="I23" s="269">
        <v>1988564.684248612</v>
      </c>
      <c r="K23" s="268" t="s">
        <v>137</v>
      </c>
      <c r="L23" s="277">
        <f>+C23/C$27</f>
        <v>0.55693729391149671</v>
      </c>
      <c r="M23" s="277">
        <f t="shared" ref="M23:R27" si="8">+D23/D$27</f>
        <v>0.41333244397813163</v>
      </c>
      <c r="N23" s="277">
        <f t="shared" si="8"/>
        <v>0.430123033455446</v>
      </c>
      <c r="O23" s="277">
        <f t="shared" si="8"/>
        <v>0.4396856154868421</v>
      </c>
      <c r="P23" s="277">
        <f t="shared" si="8"/>
        <v>0.4396856154868421</v>
      </c>
      <c r="Q23" s="277">
        <f t="shared" si="8"/>
        <v>0.42945989770897786</v>
      </c>
      <c r="R23" s="277">
        <f t="shared" si="8"/>
        <v>0.42945989770897786</v>
      </c>
    </row>
    <row r="24" spans="2:18">
      <c r="B24" s="268" t="s">
        <v>138</v>
      </c>
      <c r="C24" s="269">
        <v>927289.44700000004</v>
      </c>
      <c r="D24" s="269">
        <v>1078292.6369999999</v>
      </c>
      <c r="E24" s="269">
        <v>931870.34252599988</v>
      </c>
      <c r="F24" s="269">
        <v>1288240.442447999</v>
      </c>
      <c r="G24" s="269">
        <v>1237008.8226381952</v>
      </c>
      <c r="H24" s="269">
        <v>902488.20680764562</v>
      </c>
      <c r="I24" s="269">
        <v>913499.28662194463</v>
      </c>
      <c r="K24" s="268" t="s">
        <v>138</v>
      </c>
      <c r="L24" s="277">
        <f t="shared" ref="L24:L27" si="9">+C24/C$27</f>
        <v>0.17172290252805264</v>
      </c>
      <c r="M24" s="277">
        <f t="shared" si="8"/>
        <v>0.22255283367408837</v>
      </c>
      <c r="N24" s="277">
        <f t="shared" si="8"/>
        <v>0.19817743114265635</v>
      </c>
      <c r="O24" s="277">
        <f t="shared" si="8"/>
        <v>0.27702215283355996</v>
      </c>
      <c r="P24" s="277">
        <f t="shared" si="8"/>
        <v>0.27702215283355996</v>
      </c>
      <c r="Q24" s="277">
        <f t="shared" si="8"/>
        <v>0.19728365554179655</v>
      </c>
      <c r="R24" s="277">
        <f t="shared" si="8"/>
        <v>0.19728365554179655</v>
      </c>
    </row>
    <row r="25" spans="2:18">
      <c r="B25" s="268" t="s">
        <v>139</v>
      </c>
      <c r="C25" s="269">
        <v>1058220.898</v>
      </c>
      <c r="D25" s="269">
        <v>1019773.277001</v>
      </c>
      <c r="E25" s="269">
        <v>1003022.1840060003</v>
      </c>
      <c r="F25" s="269">
        <v>827646.56400000013</v>
      </c>
      <c r="G25" s="269">
        <v>794732.15399811883</v>
      </c>
      <c r="H25" s="269">
        <v>976356.34908531478</v>
      </c>
      <c r="I25" s="269">
        <v>988268.67946911487</v>
      </c>
      <c r="K25" s="268" t="s">
        <v>139</v>
      </c>
      <c r="L25" s="277">
        <f t="shared" si="9"/>
        <v>0.19596983952347549</v>
      </c>
      <c r="M25" s="277">
        <f t="shared" si="8"/>
        <v>0.21047480499645074</v>
      </c>
      <c r="N25" s="277">
        <f t="shared" si="8"/>
        <v>0.2133090310252683</v>
      </c>
      <c r="O25" s="277">
        <f t="shared" si="8"/>
        <v>0.17797642845996411</v>
      </c>
      <c r="P25" s="277">
        <f t="shared" si="8"/>
        <v>0.17797642845996411</v>
      </c>
      <c r="Q25" s="277">
        <f t="shared" si="8"/>
        <v>0.21343120963357667</v>
      </c>
      <c r="R25" s="277">
        <f t="shared" si="8"/>
        <v>0.21343120963357667</v>
      </c>
    </row>
    <row r="26" spans="2:18" ht="15" thickBot="1">
      <c r="B26" s="268" t="s">
        <v>140</v>
      </c>
      <c r="C26" s="269">
        <v>406991.56165753427</v>
      </c>
      <c r="D26" s="269">
        <v>744402.0769999997</v>
      </c>
      <c r="E26" s="269">
        <v>744784.16999999993</v>
      </c>
      <c r="F26" s="269">
        <v>489751.72400000016</v>
      </c>
      <c r="G26" s="269">
        <v>470274.94521056477</v>
      </c>
      <c r="H26" s="269">
        <v>731131.98988017486</v>
      </c>
      <c r="I26" s="269">
        <v>740052.38644007558</v>
      </c>
      <c r="K26" s="268" t="s">
        <v>140</v>
      </c>
      <c r="L26" s="277">
        <f t="shared" si="9"/>
        <v>7.5369964036975268E-2</v>
      </c>
      <c r="M26" s="277">
        <f t="shared" si="8"/>
        <v>0.15363991735132926</v>
      </c>
      <c r="N26" s="277">
        <f t="shared" si="8"/>
        <v>0.15839050437662933</v>
      </c>
      <c r="O26" s="277">
        <f t="shared" si="8"/>
        <v>0.10531580321963385</v>
      </c>
      <c r="P26" s="277">
        <f t="shared" si="8"/>
        <v>0.10531580321963385</v>
      </c>
      <c r="Q26" s="277">
        <f t="shared" si="8"/>
        <v>0.15982523711564886</v>
      </c>
      <c r="R26" s="277">
        <f t="shared" si="8"/>
        <v>0.15982523711564886</v>
      </c>
    </row>
    <row r="27" spans="2:18" ht="15" thickBot="1">
      <c r="B27" s="271" t="s">
        <v>141</v>
      </c>
      <c r="C27" s="272">
        <f t="shared" ref="C27:I27" si="10">SUM(C23:C26)</f>
        <v>5399917.1534415344</v>
      </c>
      <c r="D27" s="272">
        <f t="shared" si="10"/>
        <v>4845108.5488270037</v>
      </c>
      <c r="E27" s="272">
        <f t="shared" si="10"/>
        <v>4702202.1486149998</v>
      </c>
      <c r="F27" s="272">
        <f t="shared" si="10"/>
        <v>4650315.6129249986</v>
      </c>
      <c r="G27" s="272">
        <f t="shared" si="10"/>
        <v>4465378.707028578</v>
      </c>
      <c r="H27" s="272">
        <f t="shared" si="10"/>
        <v>4574571.5950424708</v>
      </c>
      <c r="I27" s="272">
        <f t="shared" si="10"/>
        <v>4630385.0367797473</v>
      </c>
      <c r="K27" s="271" t="s">
        <v>141</v>
      </c>
      <c r="L27" s="278">
        <f t="shared" si="9"/>
        <v>1</v>
      </c>
      <c r="M27" s="278">
        <f t="shared" si="8"/>
        <v>1</v>
      </c>
      <c r="N27" s="278">
        <f t="shared" si="8"/>
        <v>1</v>
      </c>
      <c r="O27" s="278">
        <f t="shared" si="8"/>
        <v>1</v>
      </c>
      <c r="P27" s="278">
        <f t="shared" si="8"/>
        <v>1</v>
      </c>
      <c r="Q27" s="278">
        <f t="shared" si="8"/>
        <v>1</v>
      </c>
      <c r="R27" s="278">
        <f t="shared" si="8"/>
        <v>1</v>
      </c>
    </row>
    <row r="28" spans="2:18">
      <c r="C28" s="279"/>
      <c r="D28" s="279"/>
      <c r="E28" s="279"/>
      <c r="F28" s="279"/>
      <c r="G28" s="279"/>
      <c r="H28" s="279"/>
      <c r="I28" s="279"/>
      <c r="L28" s="279"/>
      <c r="M28" s="279"/>
      <c r="N28" s="279"/>
      <c r="O28" s="279"/>
      <c r="P28" s="279"/>
      <c r="Q28" s="279"/>
      <c r="R28" s="279"/>
    </row>
    <row r="29" spans="2:18">
      <c r="B29" s="265" t="s">
        <v>71</v>
      </c>
      <c r="C29" s="275"/>
      <c r="D29" s="275"/>
      <c r="E29" s="275"/>
      <c r="F29" s="276"/>
      <c r="G29" s="276"/>
      <c r="H29" s="276"/>
      <c r="I29" s="276"/>
      <c r="K29" s="265"/>
      <c r="L29" s="275"/>
      <c r="M29" s="275"/>
      <c r="N29" s="275"/>
      <c r="O29" s="276"/>
      <c r="P29" s="276"/>
      <c r="Q29" s="276"/>
      <c r="R29" s="276"/>
    </row>
    <row r="30" spans="2:18">
      <c r="B30" s="531" t="s">
        <v>136</v>
      </c>
      <c r="C30" s="532">
        <v>2020</v>
      </c>
      <c r="D30" s="532">
        <v>2021</v>
      </c>
      <c r="E30" s="532">
        <v>2022</v>
      </c>
      <c r="F30" s="532">
        <v>2023</v>
      </c>
      <c r="G30" s="532">
        <v>2024</v>
      </c>
      <c r="H30" s="532">
        <v>2025</v>
      </c>
      <c r="I30" s="532">
        <v>2026</v>
      </c>
      <c r="K30" s="531" t="str">
        <f>+K22</f>
        <v>Contratos  (MWh)</v>
      </c>
      <c r="L30" s="531">
        <f t="shared" ref="L30:R30" si="11">+L22</f>
        <v>2020</v>
      </c>
      <c r="M30" s="531">
        <f t="shared" si="11"/>
        <v>2021</v>
      </c>
      <c r="N30" s="531">
        <f t="shared" si="11"/>
        <v>2022</v>
      </c>
      <c r="O30" s="531">
        <f t="shared" si="11"/>
        <v>2023</v>
      </c>
      <c r="P30" s="531">
        <f t="shared" si="11"/>
        <v>2024</v>
      </c>
      <c r="Q30" s="531">
        <f t="shared" si="11"/>
        <v>2025</v>
      </c>
      <c r="R30" s="531">
        <f t="shared" si="11"/>
        <v>2026</v>
      </c>
    </row>
    <row r="31" spans="2:18">
      <c r="B31" s="268" t="s">
        <v>137</v>
      </c>
      <c r="C31" s="269">
        <v>1265017.453</v>
      </c>
      <c r="D31" s="269">
        <v>1249432.9670010009</v>
      </c>
      <c r="E31" s="269">
        <v>1287942.7945989999</v>
      </c>
      <c r="F31" s="269">
        <v>1174471.6658409999</v>
      </c>
      <c r="G31" s="269">
        <v>1251361.2917928097</v>
      </c>
      <c r="H31" s="269">
        <v>1285425.1160197761</v>
      </c>
      <c r="I31" s="269">
        <v>1308090.9550146481</v>
      </c>
      <c r="K31" s="268" t="s">
        <v>137</v>
      </c>
      <c r="L31" s="277">
        <f>+C31/C$35</f>
        <v>0.27138288590987425</v>
      </c>
      <c r="M31" s="277">
        <f t="shared" ref="M31:R35" si="12">+D31/D$35</f>
        <v>0.26454908432986962</v>
      </c>
      <c r="N31" s="277">
        <f t="shared" si="12"/>
        <v>0.27449023246991805</v>
      </c>
      <c r="O31" s="277">
        <f t="shared" si="12"/>
        <v>0.28151619412402767</v>
      </c>
      <c r="P31" s="277">
        <f t="shared" si="12"/>
        <v>0.28151619412402773</v>
      </c>
      <c r="Q31" s="277">
        <f t="shared" si="12"/>
        <v>0.27419713672529122</v>
      </c>
      <c r="R31" s="277">
        <f t="shared" si="12"/>
        <v>0.27419713672529122</v>
      </c>
    </row>
    <row r="32" spans="2:18">
      <c r="B32" s="268" t="s">
        <v>138</v>
      </c>
      <c r="C32" s="269">
        <v>640502.28399999999</v>
      </c>
      <c r="D32" s="269">
        <v>547026.04181700025</v>
      </c>
      <c r="E32" s="269">
        <v>503265.32912600006</v>
      </c>
      <c r="F32" s="269">
        <v>609693.01572000014</v>
      </c>
      <c r="G32" s="269">
        <v>649608.04244018334</v>
      </c>
      <c r="H32" s="269">
        <v>497265.61804943479</v>
      </c>
      <c r="I32" s="269">
        <v>506033.8786784893</v>
      </c>
      <c r="K32" s="268" t="s">
        <v>138</v>
      </c>
      <c r="L32" s="277">
        <f t="shared" ref="L32:L35" si="13">+C32/C$35</f>
        <v>0.13740629257846759</v>
      </c>
      <c r="M32" s="277">
        <f t="shared" si="12"/>
        <v>0.1158247319299079</v>
      </c>
      <c r="N32" s="277">
        <f t="shared" si="12"/>
        <v>0.10725741683958549</v>
      </c>
      <c r="O32" s="277">
        <f t="shared" si="12"/>
        <v>0.14614099459486818</v>
      </c>
      <c r="P32" s="277">
        <f t="shared" si="12"/>
        <v>0.14614099459486821</v>
      </c>
      <c r="Q32" s="277">
        <f t="shared" si="12"/>
        <v>0.106072930240605</v>
      </c>
      <c r="R32" s="277">
        <f t="shared" si="12"/>
        <v>0.106072930240605</v>
      </c>
    </row>
    <row r="33" spans="2:18">
      <c r="B33" s="268" t="s">
        <v>139</v>
      </c>
      <c r="C33" s="269">
        <v>1099080.4949999999</v>
      </c>
      <c r="D33" s="269">
        <v>991332.72900000005</v>
      </c>
      <c r="E33" s="269">
        <v>962479.04000799998</v>
      </c>
      <c r="F33" s="269">
        <v>666321.42000000016</v>
      </c>
      <c r="G33" s="269">
        <v>709943.76206032757</v>
      </c>
      <c r="H33" s="269">
        <v>961472.83236352867</v>
      </c>
      <c r="I33" s="269">
        <v>978426.43638503284</v>
      </c>
      <c r="K33" s="268" t="s">
        <v>139</v>
      </c>
      <c r="L33" s="277">
        <f t="shared" si="13"/>
        <v>0.23578460192228912</v>
      </c>
      <c r="M33" s="277">
        <f t="shared" si="12"/>
        <v>0.20990014882724853</v>
      </c>
      <c r="N33" s="277">
        <f t="shared" si="12"/>
        <v>0.20512642063537859</v>
      </c>
      <c r="O33" s="277">
        <f t="shared" si="12"/>
        <v>0.15971459821246334</v>
      </c>
      <c r="P33" s="277">
        <f t="shared" si="12"/>
        <v>0.15971459821246337</v>
      </c>
      <c r="Q33" s="277">
        <f t="shared" si="12"/>
        <v>0.20509409252057861</v>
      </c>
      <c r="R33" s="277">
        <f t="shared" si="12"/>
        <v>0.20509409252057861</v>
      </c>
    </row>
    <row r="34" spans="2:18" ht="15" thickBot="1">
      <c r="B34" s="268" t="s">
        <v>140</v>
      </c>
      <c r="C34" s="269">
        <v>1656774.9640030004</v>
      </c>
      <c r="D34" s="269">
        <v>1935085.9473040046</v>
      </c>
      <c r="E34" s="269">
        <v>1938438.9749999996</v>
      </c>
      <c r="F34" s="269">
        <v>1721464.5370000005</v>
      </c>
      <c r="G34" s="269">
        <v>1834164.3731807692</v>
      </c>
      <c r="H34" s="269">
        <v>1943796.0941657585</v>
      </c>
      <c r="I34" s="269">
        <v>1978070.9568241481</v>
      </c>
      <c r="K34" s="268" t="s">
        <v>140</v>
      </c>
      <c r="L34" s="277">
        <f t="shared" si="13"/>
        <v>0.35542621958936904</v>
      </c>
      <c r="M34" s="277">
        <f t="shared" si="12"/>
        <v>0.40972603491297399</v>
      </c>
      <c r="N34" s="277">
        <f t="shared" si="12"/>
        <v>0.41312593005511788</v>
      </c>
      <c r="O34" s="277">
        <f t="shared" si="12"/>
        <v>0.41262821306864073</v>
      </c>
      <c r="P34" s="277">
        <f t="shared" si="12"/>
        <v>0.41262821306864078</v>
      </c>
      <c r="Q34" s="277">
        <f t="shared" si="12"/>
        <v>0.4146358405135252</v>
      </c>
      <c r="R34" s="277">
        <f t="shared" si="12"/>
        <v>0.4146358405135252</v>
      </c>
    </row>
    <row r="35" spans="2:18" ht="15" thickBot="1">
      <c r="B35" s="271" t="s">
        <v>141</v>
      </c>
      <c r="C35" s="272">
        <f t="shared" ref="C35:I35" si="14">SUM(C31:C34)</f>
        <v>4661375.1960030003</v>
      </c>
      <c r="D35" s="272">
        <f t="shared" si="14"/>
        <v>4722877.6851220056</v>
      </c>
      <c r="E35" s="272">
        <f t="shared" si="14"/>
        <v>4692126.1387329996</v>
      </c>
      <c r="F35" s="272">
        <f t="shared" si="14"/>
        <v>4171950.638561001</v>
      </c>
      <c r="G35" s="272">
        <f t="shared" si="14"/>
        <v>4445077.4694740893</v>
      </c>
      <c r="H35" s="272">
        <f t="shared" si="14"/>
        <v>4687959.6605984978</v>
      </c>
      <c r="I35" s="272">
        <f t="shared" si="14"/>
        <v>4770622.2269023182</v>
      </c>
      <c r="K35" s="271" t="s">
        <v>141</v>
      </c>
      <c r="L35" s="278">
        <f t="shared" si="13"/>
        <v>1</v>
      </c>
      <c r="M35" s="278">
        <f t="shared" si="12"/>
        <v>1</v>
      </c>
      <c r="N35" s="278">
        <f t="shared" si="12"/>
        <v>1</v>
      </c>
      <c r="O35" s="278">
        <f t="shared" si="12"/>
        <v>1</v>
      </c>
      <c r="P35" s="278">
        <f t="shared" si="12"/>
        <v>1</v>
      </c>
      <c r="Q35" s="278">
        <f t="shared" si="12"/>
        <v>1</v>
      </c>
      <c r="R35" s="278">
        <f t="shared" si="12"/>
        <v>1</v>
      </c>
    </row>
    <row r="37" spans="2:18">
      <c r="B37" s="265" t="s">
        <v>73</v>
      </c>
      <c r="C37" s="275"/>
      <c r="D37" s="275"/>
      <c r="E37" s="275"/>
      <c r="F37" s="276"/>
      <c r="G37" s="276"/>
      <c r="H37" s="276"/>
      <c r="I37" s="276"/>
      <c r="K37" s="265"/>
      <c r="L37" s="275"/>
      <c r="M37" s="275"/>
      <c r="N37" s="275"/>
      <c r="O37" s="276"/>
      <c r="P37" s="276"/>
      <c r="Q37" s="276"/>
      <c r="R37" s="276"/>
    </row>
    <row r="38" spans="2:18">
      <c r="B38" s="531" t="s">
        <v>136</v>
      </c>
      <c r="C38" s="532">
        <v>2020</v>
      </c>
      <c r="D38" s="532">
        <v>2021</v>
      </c>
      <c r="E38" s="532">
        <v>2022</v>
      </c>
      <c r="F38" s="532">
        <v>2023</v>
      </c>
      <c r="G38" s="532">
        <v>2024</v>
      </c>
      <c r="H38" s="532">
        <v>2025</v>
      </c>
      <c r="I38" s="532">
        <v>2026</v>
      </c>
      <c r="K38" s="531" t="str">
        <f>+K30</f>
        <v>Contratos  (MWh)</v>
      </c>
      <c r="L38" s="531">
        <f t="shared" ref="L38:R38" si="15">+L30</f>
        <v>2020</v>
      </c>
      <c r="M38" s="531">
        <f t="shared" si="15"/>
        <v>2021</v>
      </c>
      <c r="N38" s="531">
        <f t="shared" si="15"/>
        <v>2022</v>
      </c>
      <c r="O38" s="531">
        <f t="shared" si="15"/>
        <v>2023</v>
      </c>
      <c r="P38" s="531">
        <f t="shared" si="15"/>
        <v>2024</v>
      </c>
      <c r="Q38" s="531">
        <f t="shared" si="15"/>
        <v>2025</v>
      </c>
      <c r="R38" s="531">
        <f t="shared" si="15"/>
        <v>2026</v>
      </c>
    </row>
    <row r="39" spans="2:18">
      <c r="B39" s="268" t="s">
        <v>137</v>
      </c>
      <c r="C39" s="280">
        <v>0</v>
      </c>
      <c r="D39" s="280">
        <v>3304444.707987254</v>
      </c>
      <c r="E39" s="280">
        <v>3543059.1541240006</v>
      </c>
      <c r="F39" s="280">
        <v>3405719.3482371918</v>
      </c>
      <c r="G39" s="280">
        <v>3389949.3290482159</v>
      </c>
      <c r="H39" s="269">
        <v>3560904.0283262851</v>
      </c>
      <c r="I39" s="269">
        <v>3701470.1799758398</v>
      </c>
      <c r="K39" s="268" t="s">
        <v>137</v>
      </c>
      <c r="L39" s="281"/>
      <c r="M39" s="270">
        <f t="shared" ref="M39:R43" si="16">+D39/D$43</f>
        <v>0.37319297048438732</v>
      </c>
      <c r="N39" s="270">
        <f t="shared" si="16"/>
        <v>0.40826071042509143</v>
      </c>
      <c r="O39" s="270">
        <f t="shared" si="16"/>
        <v>0.41381152516191322</v>
      </c>
      <c r="P39" s="270">
        <f t="shared" si="16"/>
        <v>0.41381152516191322</v>
      </c>
      <c r="Q39" s="270">
        <f t="shared" si="16"/>
        <v>0.40903059440795048</v>
      </c>
      <c r="R39" s="270">
        <f t="shared" si="16"/>
        <v>0.40903059440795048</v>
      </c>
    </row>
    <row r="40" spans="2:18">
      <c r="B40" s="268" t="s">
        <v>138</v>
      </c>
      <c r="C40" s="280">
        <v>0</v>
      </c>
      <c r="D40" s="280">
        <v>2104305.1080000019</v>
      </c>
      <c r="E40" s="280">
        <v>1855633.4720640006</v>
      </c>
      <c r="F40" s="280">
        <v>2354642.7537040007</v>
      </c>
      <c r="G40" s="280">
        <v>2343739.6939940709</v>
      </c>
      <c r="H40" s="269">
        <v>1848511.409493241</v>
      </c>
      <c r="I40" s="269">
        <v>1921481.1197257547</v>
      </c>
      <c r="K40" s="268" t="s">
        <v>138</v>
      </c>
      <c r="L40" s="282"/>
      <c r="M40" s="270">
        <f t="shared" si="16"/>
        <v>0.2376532045344241</v>
      </c>
      <c r="N40" s="270">
        <f t="shared" si="16"/>
        <v>0.21382150470494626</v>
      </c>
      <c r="O40" s="270">
        <f t="shared" si="16"/>
        <v>0.28610058830186352</v>
      </c>
      <c r="P40" s="270">
        <f t="shared" si="16"/>
        <v>0.28610058830186352</v>
      </c>
      <c r="Q40" s="270">
        <f t="shared" si="16"/>
        <v>0.21233308018983141</v>
      </c>
      <c r="R40" s="270">
        <f t="shared" si="16"/>
        <v>0.21233308018983141</v>
      </c>
    </row>
    <row r="41" spans="2:18">
      <c r="B41" s="268" t="s">
        <v>139</v>
      </c>
      <c r="C41" s="280">
        <v>0</v>
      </c>
      <c r="D41" s="280">
        <v>2028463.5410100003</v>
      </c>
      <c r="E41" s="280">
        <v>2044703.7210010006</v>
      </c>
      <c r="F41" s="280">
        <v>1514140.8359999999</v>
      </c>
      <c r="G41" s="280">
        <v>1507129.6798837772</v>
      </c>
      <c r="H41" s="269">
        <v>2055002.0195405253</v>
      </c>
      <c r="I41" s="269">
        <v>2136122.9155885573</v>
      </c>
      <c r="K41" s="268" t="s">
        <v>139</v>
      </c>
      <c r="L41" s="282"/>
      <c r="M41" s="270">
        <f t="shared" si="16"/>
        <v>0.22908791076425564</v>
      </c>
      <c r="N41" s="270">
        <f t="shared" si="16"/>
        <v>0.23560774952714236</v>
      </c>
      <c r="O41" s="270">
        <f t="shared" si="16"/>
        <v>0.18397550255554904</v>
      </c>
      <c r="P41" s="270">
        <f t="shared" si="16"/>
        <v>0.18397550255554906</v>
      </c>
      <c r="Q41" s="270">
        <f t="shared" si="16"/>
        <v>0.23605205051181444</v>
      </c>
      <c r="R41" s="270">
        <f t="shared" si="16"/>
        <v>0.23605205051181441</v>
      </c>
    </row>
    <row r="42" spans="2:18" ht="15" thickBot="1">
      <c r="B42" s="268" t="s">
        <v>140</v>
      </c>
      <c r="C42" s="280">
        <v>0</v>
      </c>
      <c r="D42" s="280">
        <v>1417306.8760560006</v>
      </c>
      <c r="E42" s="280">
        <v>1235026.6889999995</v>
      </c>
      <c r="F42" s="280">
        <v>955619.08900000073</v>
      </c>
      <c r="G42" s="280">
        <v>951194.14089654596</v>
      </c>
      <c r="H42" s="269">
        <v>1241298.1468247655</v>
      </c>
      <c r="I42" s="269">
        <v>1290298.2047204268</v>
      </c>
      <c r="K42" s="268" t="s">
        <v>140</v>
      </c>
      <c r="L42" s="282"/>
      <c r="M42" s="270">
        <f t="shared" si="16"/>
        <v>0.16006591421693306</v>
      </c>
      <c r="N42" s="270">
        <f t="shared" si="16"/>
        <v>0.14231003534281994</v>
      </c>
      <c r="O42" s="270">
        <f t="shared" si="16"/>
        <v>0.11611238398067424</v>
      </c>
      <c r="P42" s="270">
        <f t="shared" si="16"/>
        <v>0.11611238398067424</v>
      </c>
      <c r="Q42" s="270">
        <f t="shared" si="16"/>
        <v>0.14258427489040379</v>
      </c>
      <c r="R42" s="270">
        <f t="shared" si="16"/>
        <v>0.14258427489040379</v>
      </c>
    </row>
    <row r="43" spans="2:18" ht="15" thickBot="1">
      <c r="B43" s="271" t="s">
        <v>141</v>
      </c>
      <c r="C43" s="272">
        <v>0</v>
      </c>
      <c r="D43" s="272">
        <f t="shared" ref="D43:I43" si="17">SUM(D39:D42)</f>
        <v>8854520.2330532558</v>
      </c>
      <c r="E43" s="272">
        <f t="shared" si="17"/>
        <v>8678423.0361890011</v>
      </c>
      <c r="F43" s="272">
        <f t="shared" si="17"/>
        <v>8230122.0269411933</v>
      </c>
      <c r="G43" s="272">
        <f t="shared" si="17"/>
        <v>8192012.8438226096</v>
      </c>
      <c r="H43" s="272">
        <f t="shared" si="17"/>
        <v>8705715.6041848157</v>
      </c>
      <c r="I43" s="272">
        <f t="shared" si="17"/>
        <v>9049372.4200105779</v>
      </c>
      <c r="K43" s="271" t="s">
        <v>141</v>
      </c>
      <c r="L43" s="283"/>
      <c r="M43" s="273">
        <f t="shared" si="16"/>
        <v>1</v>
      </c>
      <c r="N43" s="273">
        <f t="shared" si="16"/>
        <v>1</v>
      </c>
      <c r="O43" s="273">
        <f t="shared" si="16"/>
        <v>1</v>
      </c>
      <c r="P43" s="273">
        <f t="shared" si="16"/>
        <v>1</v>
      </c>
      <c r="Q43" s="273">
        <f t="shared" si="16"/>
        <v>1</v>
      </c>
      <c r="R43" s="273">
        <f t="shared" si="16"/>
        <v>1</v>
      </c>
    </row>
    <row r="45" spans="2:18">
      <c r="B45" s="265" t="s">
        <v>75</v>
      </c>
      <c r="C45" s="275"/>
      <c r="D45" s="275"/>
      <c r="E45" s="275"/>
      <c r="F45" s="276"/>
      <c r="G45" s="276"/>
      <c r="H45" s="276"/>
      <c r="I45" s="276"/>
      <c r="K45" s="265"/>
      <c r="L45" s="275"/>
      <c r="M45" s="275"/>
      <c r="N45" s="275"/>
      <c r="O45" s="276"/>
      <c r="P45" s="276"/>
      <c r="Q45" s="276"/>
      <c r="R45" s="276"/>
    </row>
    <row r="46" spans="2:18">
      <c r="B46" s="531" t="s">
        <v>136</v>
      </c>
      <c r="C46" s="532">
        <v>2020</v>
      </c>
      <c r="D46" s="532">
        <v>2021</v>
      </c>
      <c r="E46" s="532">
        <v>2022</v>
      </c>
      <c r="F46" s="532">
        <v>2023</v>
      </c>
      <c r="G46" s="532">
        <v>2024</v>
      </c>
      <c r="H46" s="532">
        <v>2025</v>
      </c>
      <c r="I46" s="532">
        <v>2026</v>
      </c>
      <c r="K46" s="531" t="str">
        <f>+K38</f>
        <v>Contratos  (MWh)</v>
      </c>
      <c r="L46" s="531">
        <f t="shared" ref="L46:R46" si="18">+L38</f>
        <v>2020</v>
      </c>
      <c r="M46" s="531">
        <f t="shared" si="18"/>
        <v>2021</v>
      </c>
      <c r="N46" s="531">
        <f t="shared" si="18"/>
        <v>2022</v>
      </c>
      <c r="O46" s="531">
        <f t="shared" si="18"/>
        <v>2023</v>
      </c>
      <c r="P46" s="531">
        <f t="shared" si="18"/>
        <v>2024</v>
      </c>
      <c r="Q46" s="531">
        <f t="shared" si="18"/>
        <v>2025</v>
      </c>
      <c r="R46" s="531">
        <f t="shared" si="18"/>
        <v>2026</v>
      </c>
    </row>
    <row r="47" spans="2:18">
      <c r="B47" s="268" t="s">
        <v>137</v>
      </c>
      <c r="C47" s="280">
        <v>0</v>
      </c>
      <c r="D47" s="280">
        <v>393261.41889999993</v>
      </c>
      <c r="E47" s="280">
        <v>371237.48800000013</v>
      </c>
      <c r="F47" s="280">
        <v>383884.24199999997</v>
      </c>
      <c r="G47" s="280">
        <v>365869.14960101899</v>
      </c>
      <c r="H47" s="269">
        <v>439925.05160753813</v>
      </c>
      <c r="I47" s="269">
        <v>444027.43723620434</v>
      </c>
      <c r="K47" s="268" t="s">
        <v>137</v>
      </c>
      <c r="L47" s="284"/>
      <c r="M47" s="285">
        <f t="shared" ref="M47:R51" si="19">+D47/D$51</f>
        <v>0.17833575034202459</v>
      </c>
      <c r="N47" s="285">
        <f t="shared" si="19"/>
        <v>0.17084074233166954</v>
      </c>
      <c r="O47" s="285">
        <f t="shared" si="19"/>
        <v>0.16794737027514409</v>
      </c>
      <c r="P47" s="285">
        <f t="shared" si="19"/>
        <v>0.16794737027514409</v>
      </c>
      <c r="Q47" s="285">
        <f t="shared" si="19"/>
        <v>0.17128615155762333</v>
      </c>
      <c r="R47" s="285">
        <f t="shared" si="19"/>
        <v>0.17128615155762333</v>
      </c>
    </row>
    <row r="48" spans="2:18">
      <c r="B48" s="268" t="s">
        <v>138</v>
      </c>
      <c r="C48" s="280">
        <v>0</v>
      </c>
      <c r="D48" s="280">
        <v>389512.62100000045</v>
      </c>
      <c r="E48" s="280">
        <v>386795.23212800018</v>
      </c>
      <c r="F48" s="280">
        <v>312039.72414399986</v>
      </c>
      <c r="G48" s="280">
        <v>297396.1835982363</v>
      </c>
      <c r="H48" s="269">
        <v>458160.45793128328</v>
      </c>
      <c r="I48" s="269">
        <v>462432.89222747146</v>
      </c>
      <c r="K48" s="268" t="s">
        <v>138</v>
      </c>
      <c r="L48" s="286"/>
      <c r="M48" s="285">
        <f t="shared" si="19"/>
        <v>0.17663574964465892</v>
      </c>
      <c r="N48" s="285">
        <f t="shared" si="19"/>
        <v>0.17800030094778027</v>
      </c>
      <c r="O48" s="285">
        <f t="shared" si="19"/>
        <v>0.13651576532116722</v>
      </c>
      <c r="P48" s="285">
        <f t="shared" si="19"/>
        <v>0.13651576532116722</v>
      </c>
      <c r="Q48" s="285">
        <f t="shared" si="19"/>
        <v>0.17838616225233214</v>
      </c>
      <c r="R48" s="285">
        <f t="shared" si="19"/>
        <v>0.17838616225233214</v>
      </c>
    </row>
    <row r="49" spans="2:18">
      <c r="B49" s="268" t="s">
        <v>139</v>
      </c>
      <c r="C49" s="280">
        <v>0</v>
      </c>
      <c r="D49" s="280">
        <v>320525.75900599995</v>
      </c>
      <c r="E49" s="280">
        <v>317723.9390040001</v>
      </c>
      <c r="F49" s="280">
        <v>248083.46900000001</v>
      </c>
      <c r="G49" s="280">
        <v>236441.29636636862</v>
      </c>
      <c r="H49" s="269">
        <v>375051.77854949847</v>
      </c>
      <c r="I49" s="269">
        <v>378549.20844285167</v>
      </c>
      <c r="K49" s="268" t="s">
        <v>139</v>
      </c>
      <c r="L49" s="286"/>
      <c r="M49" s="285">
        <f t="shared" si="19"/>
        <v>0.14535166428521973</v>
      </c>
      <c r="N49" s="285">
        <f t="shared" si="19"/>
        <v>0.14621420344269073</v>
      </c>
      <c r="O49" s="285">
        <f t="shared" si="19"/>
        <v>0.10853523450250202</v>
      </c>
      <c r="P49" s="285">
        <f t="shared" si="19"/>
        <v>0.10853523450250202</v>
      </c>
      <c r="Q49" s="285">
        <f t="shared" si="19"/>
        <v>0.14602754616460401</v>
      </c>
      <c r="R49" s="285">
        <f t="shared" si="19"/>
        <v>0.14602754616460401</v>
      </c>
    </row>
    <row r="50" spans="2:18" ht="15" thickBot="1">
      <c r="B50" s="268" t="s">
        <v>140</v>
      </c>
      <c r="C50" s="280">
        <v>0</v>
      </c>
      <c r="D50" s="280">
        <v>1101874.5317920006</v>
      </c>
      <c r="E50" s="280">
        <v>1097246.5890000002</v>
      </c>
      <c r="F50" s="280">
        <v>1341733.8740000001</v>
      </c>
      <c r="G50" s="280">
        <v>1278768.3831816697</v>
      </c>
      <c r="H50" s="269">
        <v>1295225.931045251</v>
      </c>
      <c r="I50" s="269">
        <v>1307304.1617029042</v>
      </c>
      <c r="K50" s="268" t="s">
        <v>140</v>
      </c>
      <c r="L50" s="286"/>
      <c r="M50" s="285">
        <f t="shared" si="19"/>
        <v>0.49967683572809668</v>
      </c>
      <c r="N50" s="285">
        <f t="shared" si="19"/>
        <v>0.50494475327785937</v>
      </c>
      <c r="O50" s="285">
        <f t="shared" si="19"/>
        <v>0.58700162990118665</v>
      </c>
      <c r="P50" s="285">
        <f t="shared" si="19"/>
        <v>0.58700162990118665</v>
      </c>
      <c r="Q50" s="285">
        <f t="shared" si="19"/>
        <v>0.50430014002544055</v>
      </c>
      <c r="R50" s="285">
        <f t="shared" si="19"/>
        <v>0.50430014002544055</v>
      </c>
    </row>
    <row r="51" spans="2:18" ht="15" thickBot="1">
      <c r="B51" s="271" t="s">
        <v>141</v>
      </c>
      <c r="C51" s="272">
        <v>0</v>
      </c>
      <c r="D51" s="272">
        <f t="shared" ref="D51:I51" si="20">SUM(D47:D50)</f>
        <v>2205174.3306980012</v>
      </c>
      <c r="E51" s="272">
        <f t="shared" si="20"/>
        <v>2173003.2481320007</v>
      </c>
      <c r="F51" s="272">
        <f t="shared" si="20"/>
        <v>2285741.3091440001</v>
      </c>
      <c r="G51" s="272">
        <f t="shared" si="20"/>
        <v>2178475.0127472938</v>
      </c>
      <c r="H51" s="272">
        <f t="shared" si="20"/>
        <v>2568363.2191335708</v>
      </c>
      <c r="I51" s="272">
        <f t="shared" si="20"/>
        <v>2592313.6996094314</v>
      </c>
      <c r="K51" s="271" t="s">
        <v>141</v>
      </c>
      <c r="L51" s="287"/>
      <c r="M51" s="288">
        <f t="shared" si="19"/>
        <v>1</v>
      </c>
      <c r="N51" s="288">
        <f t="shared" si="19"/>
        <v>1</v>
      </c>
      <c r="O51" s="288">
        <f t="shared" si="19"/>
        <v>1</v>
      </c>
      <c r="P51" s="288">
        <f t="shared" si="19"/>
        <v>1</v>
      </c>
      <c r="Q51" s="288">
        <f t="shared" si="19"/>
        <v>1</v>
      </c>
      <c r="R51" s="288">
        <f t="shared" si="19"/>
        <v>1</v>
      </c>
    </row>
    <row r="53" spans="2:18">
      <c r="B53" s="265" t="s">
        <v>77</v>
      </c>
      <c r="C53" s="275"/>
      <c r="D53" s="275"/>
      <c r="E53" s="275"/>
      <c r="F53" s="276"/>
      <c r="G53" s="276"/>
      <c r="H53" s="276"/>
      <c r="I53" s="276"/>
      <c r="K53" s="265"/>
      <c r="L53" s="275"/>
      <c r="M53" s="275"/>
      <c r="N53" s="275"/>
      <c r="O53" s="276"/>
      <c r="P53" s="276"/>
      <c r="Q53" s="276"/>
      <c r="R53" s="276"/>
    </row>
    <row r="54" spans="2:18">
      <c r="B54" s="531" t="s">
        <v>136</v>
      </c>
      <c r="C54" s="532">
        <v>2020</v>
      </c>
      <c r="D54" s="532">
        <v>2021</v>
      </c>
      <c r="E54" s="532">
        <v>2022</v>
      </c>
      <c r="F54" s="532">
        <v>2023</v>
      </c>
      <c r="G54" s="532">
        <v>2024</v>
      </c>
      <c r="H54" s="532">
        <v>2025</v>
      </c>
      <c r="I54" s="532">
        <v>2026</v>
      </c>
      <c r="K54" s="531" t="str">
        <f>+K46</f>
        <v>Contratos  (MWh)</v>
      </c>
      <c r="L54" s="531">
        <f t="shared" ref="L54:R54" si="21">+L46</f>
        <v>2020</v>
      </c>
      <c r="M54" s="531">
        <f t="shared" si="21"/>
        <v>2021</v>
      </c>
      <c r="N54" s="531">
        <f t="shared" si="21"/>
        <v>2022</v>
      </c>
      <c r="O54" s="531">
        <f t="shared" si="21"/>
        <v>2023</v>
      </c>
      <c r="P54" s="531">
        <f t="shared" si="21"/>
        <v>2024</v>
      </c>
      <c r="Q54" s="531">
        <f t="shared" si="21"/>
        <v>2025</v>
      </c>
      <c r="R54" s="531">
        <f t="shared" si="21"/>
        <v>2026</v>
      </c>
    </row>
    <row r="55" spans="2:18">
      <c r="B55" s="268" t="s">
        <v>137</v>
      </c>
      <c r="C55" s="280"/>
      <c r="D55" s="280"/>
      <c r="E55" s="280">
        <v>6089494.084919</v>
      </c>
      <c r="F55" s="280">
        <v>6011362.0001427522</v>
      </c>
      <c r="G55" s="280">
        <v>6579134.1179872137</v>
      </c>
      <c r="H55" s="269"/>
      <c r="I55" s="269"/>
      <c r="K55" s="268"/>
      <c r="L55" s="284"/>
      <c r="M55" s="285"/>
      <c r="N55" s="285">
        <f>+E55/E$59</f>
        <v>0.45297264079950039</v>
      </c>
      <c r="O55" s="285">
        <f t="shared" ref="O55:P58" si="22">+F55/F$59</f>
        <v>0.41558530502889357</v>
      </c>
      <c r="P55" s="285">
        <f t="shared" si="22"/>
        <v>0.41558530502889351</v>
      </c>
      <c r="Q55" s="285"/>
      <c r="R55" s="285"/>
    </row>
    <row r="56" spans="2:18">
      <c r="B56" s="268" t="s">
        <v>138</v>
      </c>
      <c r="C56" s="280"/>
      <c r="D56" s="280"/>
      <c r="E56" s="280">
        <v>3743866.6098221643</v>
      </c>
      <c r="F56" s="280">
        <v>3643532.6427440038</v>
      </c>
      <c r="G56" s="280">
        <v>3987663.6807611897</v>
      </c>
      <c r="H56" s="269"/>
      <c r="I56" s="269"/>
      <c r="K56" s="268"/>
      <c r="L56" s="286"/>
      <c r="M56" s="285"/>
      <c r="N56" s="285">
        <f t="shared" ref="N56:N58" si="23">+E56/E$59</f>
        <v>0.27849097501418729</v>
      </c>
      <c r="O56" s="285">
        <f t="shared" si="22"/>
        <v>0.25188944280539749</v>
      </c>
      <c r="P56" s="285">
        <f t="shared" si="22"/>
        <v>0.25188944280539749</v>
      </c>
      <c r="Q56" s="285"/>
      <c r="R56" s="285"/>
    </row>
    <row r="57" spans="2:18">
      <c r="B57" s="268" t="s">
        <v>139</v>
      </c>
      <c r="C57" s="280"/>
      <c r="D57" s="280"/>
      <c r="E57" s="280">
        <v>3332690.0280080005</v>
      </c>
      <c r="F57" s="280">
        <v>2608272.4469999997</v>
      </c>
      <c r="G57" s="280">
        <v>2854623.3357192911</v>
      </c>
      <c r="H57" s="269"/>
      <c r="I57" s="269"/>
      <c r="K57" s="268"/>
      <c r="L57" s="286"/>
      <c r="M57" s="285"/>
      <c r="N57" s="285">
        <f t="shared" si="23"/>
        <v>0.24790522527833692</v>
      </c>
      <c r="O57" s="285">
        <f t="shared" si="22"/>
        <v>0.18031848696837965</v>
      </c>
      <c r="P57" s="285">
        <f t="shared" si="22"/>
        <v>0.18031848696837963</v>
      </c>
      <c r="Q57" s="285"/>
      <c r="R57" s="285"/>
    </row>
    <row r="58" spans="2:18" ht="15" thickBot="1">
      <c r="B58" s="268" t="s">
        <v>140</v>
      </c>
      <c r="C58" s="280"/>
      <c r="D58" s="280"/>
      <c r="E58" s="280">
        <v>277352.99843583629</v>
      </c>
      <c r="F58" s="280">
        <v>2201641.7649999987</v>
      </c>
      <c r="G58" s="280">
        <v>2409586.4550085496</v>
      </c>
      <c r="H58" s="269"/>
      <c r="I58" s="269"/>
      <c r="K58" s="268"/>
      <c r="L58" s="286"/>
      <c r="M58" s="285"/>
      <c r="N58" s="285">
        <f t="shared" si="23"/>
        <v>2.0631158907975452E-2</v>
      </c>
      <c r="O58" s="285">
        <f t="shared" si="22"/>
        <v>0.15220676519732937</v>
      </c>
      <c r="P58" s="285">
        <f t="shared" si="22"/>
        <v>0.15220676519732934</v>
      </c>
      <c r="Q58" s="285"/>
      <c r="R58" s="285"/>
    </row>
    <row r="59" spans="2:18" ht="15" thickBot="1">
      <c r="B59" s="271" t="s">
        <v>141</v>
      </c>
      <c r="C59" s="272">
        <v>0</v>
      </c>
      <c r="D59" s="272">
        <f t="shared" ref="D59:I59" si="24">SUM(D55:D58)</f>
        <v>0</v>
      </c>
      <c r="E59" s="272">
        <f t="shared" si="24"/>
        <v>13443403.721185001</v>
      </c>
      <c r="F59" s="272">
        <f t="shared" si="24"/>
        <v>14464808.854886753</v>
      </c>
      <c r="G59" s="272">
        <f t="shared" si="24"/>
        <v>15831007.589476245</v>
      </c>
      <c r="H59" s="272">
        <f t="shared" si="24"/>
        <v>0</v>
      </c>
      <c r="I59" s="272">
        <f t="shared" si="24"/>
        <v>0</v>
      </c>
      <c r="K59" s="271" t="s">
        <v>141</v>
      </c>
      <c r="L59" s="287"/>
      <c r="M59" s="288">
        <f t="shared" ref="M59" si="25">+D59/D$51</f>
        <v>0</v>
      </c>
      <c r="N59" s="288">
        <f>SUM(N55:N58)</f>
        <v>1</v>
      </c>
      <c r="O59" s="288">
        <f t="shared" ref="O59:R59" si="26">SUM(O55:O58)</f>
        <v>1</v>
      </c>
      <c r="P59" s="288">
        <f t="shared" si="26"/>
        <v>1</v>
      </c>
      <c r="Q59" s="288">
        <f t="shared" si="26"/>
        <v>0</v>
      </c>
      <c r="R59" s="288">
        <f t="shared" si="26"/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B5:L88"/>
  <sheetViews>
    <sheetView zoomScaleNormal="100" workbookViewId="0">
      <selection activeCell="L5" sqref="L5"/>
    </sheetView>
  </sheetViews>
  <sheetFormatPr defaultColWidth="9.1796875" defaultRowHeight="12"/>
  <cols>
    <col min="1" max="1" width="9.1796875" style="187"/>
    <col min="2" max="2" width="32.1796875" style="187" customWidth="1"/>
    <col min="3" max="16384" width="9.1796875" style="187"/>
  </cols>
  <sheetData>
    <row r="5" spans="2:12">
      <c r="B5" s="593"/>
      <c r="C5" s="594">
        <v>2014</v>
      </c>
      <c r="D5" s="594">
        <v>2015</v>
      </c>
      <c r="E5" s="594">
        <v>2016</v>
      </c>
      <c r="F5" s="594">
        <v>2017</v>
      </c>
      <c r="G5" s="594">
        <v>2018</v>
      </c>
      <c r="H5" s="594">
        <v>2019</v>
      </c>
      <c r="I5" s="594">
        <v>2020</v>
      </c>
      <c r="J5" s="594">
        <v>2021</v>
      </c>
      <c r="K5" s="594">
        <v>2022</v>
      </c>
      <c r="L5" s="594">
        <v>2023</v>
      </c>
    </row>
    <row r="6" spans="2:12" ht="9" customHeight="1"/>
    <row r="7" spans="2:12" ht="14.5" customHeight="1">
      <c r="B7" s="582" t="s">
        <v>1020</v>
      </c>
      <c r="C7" s="586"/>
      <c r="D7" s="586"/>
      <c r="E7" s="586"/>
      <c r="F7" s="586"/>
      <c r="G7" s="586"/>
      <c r="H7" s="586"/>
      <c r="I7" s="586"/>
      <c r="J7" s="586"/>
      <c r="K7" s="586"/>
      <c r="L7" s="586"/>
    </row>
    <row r="8" spans="2:12" ht="13.5">
      <c r="B8" s="587" t="s">
        <v>1126</v>
      </c>
      <c r="C8" s="588">
        <v>331983</v>
      </c>
      <c r="D8" s="588">
        <v>331983</v>
      </c>
      <c r="E8" s="588">
        <v>331983</v>
      </c>
      <c r="F8" s="588">
        <v>331983</v>
      </c>
      <c r="G8" s="588">
        <v>331983</v>
      </c>
      <c r="H8" s="588">
        <v>331983</v>
      </c>
      <c r="I8" s="588">
        <v>331983</v>
      </c>
      <c r="J8" s="588">
        <v>331983</v>
      </c>
      <c r="K8" s="588">
        <v>331983</v>
      </c>
      <c r="L8" s="588"/>
    </row>
    <row r="9" spans="2:12">
      <c r="B9" s="587" t="s">
        <v>1127</v>
      </c>
      <c r="C9" s="371">
        <v>217</v>
      </c>
      <c r="D9" s="371">
        <v>217</v>
      </c>
      <c r="E9" s="371">
        <v>217</v>
      </c>
      <c r="F9" s="371">
        <v>217</v>
      </c>
      <c r="G9" s="371">
        <v>217</v>
      </c>
      <c r="H9" s="371">
        <v>217</v>
      </c>
      <c r="I9" s="371">
        <v>217</v>
      </c>
      <c r="J9" s="371">
        <v>217</v>
      </c>
      <c r="K9" s="371">
        <v>217</v>
      </c>
      <c r="L9" s="371"/>
    </row>
    <row r="10" spans="2:12" ht="12.65" customHeight="1">
      <c r="B10" s="587" t="s">
        <v>1128</v>
      </c>
      <c r="C10" s="589">
        <v>6.9</v>
      </c>
      <c r="D10" s="589">
        <v>6.9</v>
      </c>
      <c r="E10" s="589">
        <v>7</v>
      </c>
      <c r="F10" s="589">
        <v>7</v>
      </c>
      <c r="G10" s="589">
        <v>7</v>
      </c>
      <c r="H10" s="590">
        <v>7.0751809999999997</v>
      </c>
      <c r="I10" s="590">
        <v>7.0751809999999997</v>
      </c>
      <c r="J10" s="590">
        <v>7.0751809999999997</v>
      </c>
      <c r="K10" s="590">
        <v>7.0751809999999997</v>
      </c>
      <c r="L10" s="590"/>
    </row>
    <row r="11" spans="2:12">
      <c r="B11" s="587" t="s">
        <v>1129</v>
      </c>
      <c r="C11" s="371">
        <v>125</v>
      </c>
      <c r="D11" s="371">
        <v>127</v>
      </c>
      <c r="E11" s="371">
        <v>137</v>
      </c>
      <c r="F11" s="371">
        <v>137</v>
      </c>
      <c r="G11" s="371">
        <v>141</v>
      </c>
      <c r="H11" s="371">
        <v>138</v>
      </c>
      <c r="I11" s="371">
        <v>140</v>
      </c>
      <c r="J11" s="371">
        <v>143</v>
      </c>
      <c r="K11" s="371">
        <v>143</v>
      </c>
      <c r="L11" s="371"/>
    </row>
    <row r="12" spans="2:12">
      <c r="B12" s="587" t="s">
        <v>1130</v>
      </c>
      <c r="C12" s="588">
        <v>2422</v>
      </c>
      <c r="D12" s="588">
        <v>2696</v>
      </c>
      <c r="E12" s="588">
        <v>2995</v>
      </c>
      <c r="F12" s="588">
        <v>3005</v>
      </c>
      <c r="G12" s="588">
        <v>3157</v>
      </c>
      <c r="H12" s="588">
        <v>3075</v>
      </c>
      <c r="I12" s="588">
        <v>3105.9</v>
      </c>
      <c r="J12" s="591" t="s">
        <v>1131</v>
      </c>
      <c r="K12" s="591">
        <v>3176.6</v>
      </c>
      <c r="L12" s="591"/>
    </row>
    <row r="13" spans="2:12">
      <c r="B13" s="587" t="s">
        <v>1132</v>
      </c>
      <c r="C13" s="588">
        <v>4727</v>
      </c>
      <c r="D13" s="588">
        <v>4583</v>
      </c>
      <c r="E13" s="588">
        <v>5151</v>
      </c>
      <c r="F13" s="588">
        <v>5114</v>
      </c>
      <c r="G13" s="588">
        <v>5278</v>
      </c>
      <c r="H13" s="588">
        <v>5202</v>
      </c>
      <c r="I13" s="588">
        <v>5202</v>
      </c>
      <c r="J13" s="588">
        <v>5208.0600000000004</v>
      </c>
      <c r="K13" s="588">
        <v>5480</v>
      </c>
      <c r="L13" s="588"/>
    </row>
    <row r="14" spans="2:12">
      <c r="B14" s="587" t="s">
        <v>1133</v>
      </c>
      <c r="C14" s="588">
        <v>123033</v>
      </c>
      <c r="D14" s="588">
        <v>93781</v>
      </c>
      <c r="E14" s="588">
        <v>99529</v>
      </c>
      <c r="F14" s="588">
        <v>103741</v>
      </c>
      <c r="G14" s="588">
        <v>106479</v>
      </c>
      <c r="H14" s="588">
        <v>141319.6</v>
      </c>
      <c r="I14" s="588">
        <v>141822.5</v>
      </c>
      <c r="J14" s="588">
        <v>145808.20000000001</v>
      </c>
      <c r="K14" s="588">
        <v>114862</v>
      </c>
      <c r="L14" s="588"/>
    </row>
    <row r="15" spans="2:12">
      <c r="B15" s="587" t="s">
        <v>1134</v>
      </c>
      <c r="C15" s="588">
        <v>107140</v>
      </c>
      <c r="D15" s="588">
        <v>121752</v>
      </c>
      <c r="E15" s="588">
        <v>129615</v>
      </c>
      <c r="F15" s="588">
        <v>133434</v>
      </c>
      <c r="G15" s="588">
        <v>132547</v>
      </c>
      <c r="H15" s="588">
        <v>135451</v>
      </c>
      <c r="I15" s="588">
        <v>138137</v>
      </c>
      <c r="J15" s="588">
        <v>140734</v>
      </c>
      <c r="K15" s="588">
        <v>153112</v>
      </c>
      <c r="L15" s="588"/>
    </row>
    <row r="16" spans="2:12">
      <c r="B16" s="3"/>
    </row>
    <row r="17" spans="2:12">
      <c r="B17" s="593"/>
      <c r="C17" s="594">
        <v>2014</v>
      </c>
      <c r="D17" s="594">
        <v>2015</v>
      </c>
      <c r="E17" s="594">
        <v>2016</v>
      </c>
      <c r="F17" s="594">
        <v>2017</v>
      </c>
      <c r="G17" s="594">
        <v>2018</v>
      </c>
      <c r="H17" s="594">
        <v>2019</v>
      </c>
      <c r="I17" s="594">
        <v>2020</v>
      </c>
      <c r="J17" s="594">
        <v>2021</v>
      </c>
      <c r="K17" s="594">
        <f>K5</f>
        <v>2022</v>
      </c>
      <c r="L17" s="594"/>
    </row>
    <row r="18" spans="2:12" ht="9" customHeight="1"/>
    <row r="19" spans="2:12" ht="14.5" customHeight="1">
      <c r="B19" s="582" t="s">
        <v>994</v>
      </c>
      <c r="C19" s="586"/>
      <c r="D19" s="586"/>
      <c r="E19" s="586"/>
      <c r="F19" s="586"/>
      <c r="G19" s="586"/>
      <c r="H19" s="586"/>
      <c r="I19" s="586"/>
      <c r="J19" s="586"/>
      <c r="K19" s="586"/>
      <c r="L19" s="586"/>
    </row>
    <row r="20" spans="2:12" ht="9" customHeight="1"/>
    <row r="21" spans="2:12" ht="13.5">
      <c r="B21" s="587" t="s">
        <v>1126</v>
      </c>
      <c r="C21" s="588">
        <v>1248000</v>
      </c>
      <c r="D21" s="588">
        <v>1248000</v>
      </c>
      <c r="E21" s="588">
        <v>1248000</v>
      </c>
      <c r="F21" s="588">
        <v>1248000</v>
      </c>
      <c r="G21" s="588">
        <v>1248000</v>
      </c>
      <c r="H21" s="588">
        <v>1248000</v>
      </c>
      <c r="I21" s="588">
        <v>1248000</v>
      </c>
      <c r="J21" s="588">
        <v>1248000</v>
      </c>
      <c r="K21" s="588">
        <v>1248000</v>
      </c>
      <c r="L21" s="588"/>
    </row>
    <row r="22" spans="2:12">
      <c r="B22" s="587" t="s">
        <v>1127</v>
      </c>
      <c r="C22" s="371">
        <v>144</v>
      </c>
      <c r="D22" s="371">
        <v>144</v>
      </c>
      <c r="E22" s="371">
        <v>144</v>
      </c>
      <c r="F22" s="371">
        <v>144</v>
      </c>
      <c r="G22" s="371">
        <v>144</v>
      </c>
      <c r="H22" s="371">
        <v>144</v>
      </c>
      <c r="I22" s="371">
        <v>144</v>
      </c>
      <c r="J22" s="371">
        <v>144</v>
      </c>
      <c r="K22" s="371">
        <v>144</v>
      </c>
      <c r="L22" s="371"/>
    </row>
    <row r="23" spans="2:12" ht="12.65" customHeight="1">
      <c r="B23" s="587" t="s">
        <v>1128</v>
      </c>
      <c r="C23" s="589">
        <v>8.1</v>
      </c>
      <c r="D23" s="589">
        <v>8.1999999999999993</v>
      </c>
      <c r="E23" s="589">
        <v>8.3000000000000007</v>
      </c>
      <c r="F23" s="589">
        <v>8.4</v>
      </c>
      <c r="G23" s="589">
        <v>8.4</v>
      </c>
      <c r="H23" s="590">
        <v>8.6028649999999995</v>
      </c>
      <c r="I23" s="590">
        <v>8.6999999999999993</v>
      </c>
      <c r="J23" s="590">
        <v>8.6999999999999993</v>
      </c>
      <c r="K23" s="590">
        <v>8.6999999999999993</v>
      </c>
      <c r="L23" s="590"/>
    </row>
    <row r="24" spans="2:12">
      <c r="B24" s="587" t="s">
        <v>1129</v>
      </c>
      <c r="C24" s="371">
        <v>94</v>
      </c>
      <c r="D24" s="371">
        <v>112</v>
      </c>
      <c r="E24" s="371">
        <v>121</v>
      </c>
      <c r="F24" s="371">
        <v>108</v>
      </c>
      <c r="G24" s="371">
        <v>117</v>
      </c>
      <c r="H24" s="371">
        <v>132</v>
      </c>
      <c r="I24" s="371">
        <v>132</v>
      </c>
      <c r="J24" s="371">
        <v>145</v>
      </c>
      <c r="K24" s="371">
        <v>121</v>
      </c>
      <c r="L24" s="371"/>
    </row>
    <row r="25" spans="2:12">
      <c r="B25" s="587" t="s">
        <v>1130</v>
      </c>
      <c r="C25" s="588">
        <v>3015</v>
      </c>
      <c r="D25" s="588">
        <v>3264</v>
      </c>
      <c r="E25" s="588">
        <v>3254</v>
      </c>
      <c r="F25" s="588">
        <v>3331</v>
      </c>
      <c r="G25" s="588">
        <v>3653</v>
      </c>
      <c r="H25" s="588">
        <v>4158</v>
      </c>
      <c r="I25" s="588">
        <v>4200</v>
      </c>
      <c r="J25" s="588" t="s">
        <v>1131</v>
      </c>
      <c r="K25" s="588">
        <v>3362</v>
      </c>
      <c r="L25" s="588"/>
    </row>
    <row r="26" spans="2:12">
      <c r="B26" s="587" t="s">
        <v>1132</v>
      </c>
      <c r="C26" s="588">
        <v>4191</v>
      </c>
      <c r="D26" s="588">
        <v>4498</v>
      </c>
      <c r="E26" s="588">
        <v>4563</v>
      </c>
      <c r="F26" s="588">
        <v>4314</v>
      </c>
      <c r="G26" s="588">
        <v>5721</v>
      </c>
      <c r="H26" s="588">
        <v>4855</v>
      </c>
      <c r="I26" s="588">
        <v>4855</v>
      </c>
      <c r="J26" s="588">
        <v>4914.33</v>
      </c>
      <c r="K26" s="588">
        <v>4914</v>
      </c>
      <c r="L26" s="588"/>
    </row>
    <row r="27" spans="2:12">
      <c r="B27" s="587" t="s">
        <v>1133</v>
      </c>
      <c r="C27" s="588">
        <v>121512</v>
      </c>
      <c r="D27" s="588">
        <v>127345</v>
      </c>
      <c r="E27" s="588">
        <v>132652</v>
      </c>
      <c r="F27" s="588">
        <v>139608</v>
      </c>
      <c r="G27" s="588">
        <v>149160</v>
      </c>
      <c r="H27" s="588">
        <v>158702</v>
      </c>
      <c r="I27" s="588">
        <v>158872</v>
      </c>
      <c r="J27" s="588">
        <v>163642.22</v>
      </c>
      <c r="K27" s="588">
        <v>137800</v>
      </c>
      <c r="L27" s="588"/>
    </row>
    <row r="28" spans="2:12">
      <c r="B28" s="587" t="s">
        <v>1134</v>
      </c>
      <c r="C28" s="588">
        <v>139348</v>
      </c>
      <c r="D28" s="588">
        <v>155702</v>
      </c>
      <c r="E28" s="588">
        <v>178562</v>
      </c>
      <c r="F28" s="588">
        <v>168555</v>
      </c>
      <c r="G28" s="588">
        <v>157609</v>
      </c>
      <c r="H28" s="588">
        <v>156785</v>
      </c>
      <c r="I28" s="588">
        <v>161562</v>
      </c>
      <c r="J28" s="588">
        <v>168411</v>
      </c>
      <c r="K28" s="588">
        <v>202974</v>
      </c>
      <c r="L28" s="588"/>
    </row>
    <row r="30" spans="2:12">
      <c r="B30" s="593"/>
      <c r="C30" s="594">
        <v>2014</v>
      </c>
      <c r="D30" s="594">
        <v>2015</v>
      </c>
      <c r="E30" s="594">
        <v>2016</v>
      </c>
      <c r="F30" s="594">
        <v>2017</v>
      </c>
      <c r="G30" s="594">
        <v>2018</v>
      </c>
      <c r="H30" s="594">
        <v>2019</v>
      </c>
      <c r="I30" s="594">
        <v>2020</v>
      </c>
      <c r="J30" s="594">
        <v>2021</v>
      </c>
      <c r="K30" s="594">
        <f>K17</f>
        <v>2022</v>
      </c>
      <c r="L30" s="594"/>
    </row>
    <row r="31" spans="2:12" ht="9" customHeight="1"/>
    <row r="32" spans="2:12" ht="14.5" customHeight="1">
      <c r="B32" s="582" t="s">
        <v>1023</v>
      </c>
      <c r="C32" s="586"/>
      <c r="D32" s="586"/>
      <c r="E32" s="586"/>
      <c r="F32" s="586"/>
      <c r="G32" s="586"/>
      <c r="H32" s="586"/>
      <c r="I32" s="586"/>
      <c r="J32" s="586"/>
      <c r="K32" s="586"/>
      <c r="L32" s="586"/>
    </row>
    <row r="33" spans="2:12" ht="13.5">
      <c r="B33" s="587" t="s">
        <v>1126</v>
      </c>
      <c r="C33" s="592" t="s">
        <v>371</v>
      </c>
      <c r="D33" s="592" t="s">
        <v>371</v>
      </c>
      <c r="E33" s="592" t="s">
        <v>371</v>
      </c>
      <c r="F33" s="592" t="s">
        <v>371</v>
      </c>
      <c r="G33" s="592" t="s">
        <v>371</v>
      </c>
      <c r="H33" s="588">
        <v>251616.823</v>
      </c>
      <c r="I33" s="588">
        <v>251616.823</v>
      </c>
      <c r="J33" s="588">
        <v>251616.823</v>
      </c>
      <c r="K33" s="588">
        <v>251616.823</v>
      </c>
      <c r="L33" s="588"/>
    </row>
    <row r="34" spans="2:12">
      <c r="B34" s="587" t="s">
        <v>1127</v>
      </c>
      <c r="C34" s="592" t="s">
        <v>371</v>
      </c>
      <c r="D34" s="592" t="s">
        <v>371</v>
      </c>
      <c r="E34" s="592" t="s">
        <v>371</v>
      </c>
      <c r="F34" s="592" t="s">
        <v>371</v>
      </c>
      <c r="G34" s="592" t="s">
        <v>371</v>
      </c>
      <c r="H34" s="371">
        <v>224</v>
      </c>
      <c r="I34" s="371">
        <v>224</v>
      </c>
      <c r="J34" s="371">
        <v>224</v>
      </c>
      <c r="K34" s="371">
        <v>224</v>
      </c>
      <c r="L34" s="371"/>
    </row>
    <row r="35" spans="2:12" ht="12.65" customHeight="1">
      <c r="B35" s="587" t="s">
        <v>1128</v>
      </c>
      <c r="C35" s="592" t="s">
        <v>371</v>
      </c>
      <c r="D35" s="592" t="s">
        <v>371</v>
      </c>
      <c r="E35" s="592" t="s">
        <v>371</v>
      </c>
      <c r="F35" s="592" t="s">
        <v>371</v>
      </c>
      <c r="G35" s="592" t="s">
        <v>371</v>
      </c>
      <c r="H35" s="371">
        <v>1.3</v>
      </c>
      <c r="I35" s="371">
        <v>1.3</v>
      </c>
      <c r="J35" s="371">
        <v>1.3</v>
      </c>
      <c r="K35" s="371">
        <v>1.3</v>
      </c>
      <c r="L35" s="371"/>
    </row>
    <row r="36" spans="2:12">
      <c r="B36" s="587" t="s">
        <v>1129</v>
      </c>
      <c r="C36" s="592" t="s">
        <v>371</v>
      </c>
      <c r="D36" s="592" t="s">
        <v>371</v>
      </c>
      <c r="E36" s="592" t="s">
        <v>371</v>
      </c>
      <c r="F36" s="592" t="s">
        <v>371</v>
      </c>
      <c r="G36" s="592" t="s">
        <v>371</v>
      </c>
      <c r="H36" s="371">
        <v>92</v>
      </c>
      <c r="I36" s="371">
        <v>93</v>
      </c>
      <c r="J36" s="371">
        <v>98</v>
      </c>
      <c r="K36" s="371">
        <v>102</v>
      </c>
      <c r="L36" s="371"/>
    </row>
    <row r="37" spans="2:12">
      <c r="B37" s="587" t="s">
        <v>1130</v>
      </c>
      <c r="C37" s="592" t="s">
        <v>371</v>
      </c>
      <c r="D37" s="592" t="s">
        <v>371</v>
      </c>
      <c r="E37" s="592" t="s">
        <v>371</v>
      </c>
      <c r="F37" s="592" t="s">
        <v>371</v>
      </c>
      <c r="G37" s="592" t="s">
        <v>371</v>
      </c>
      <c r="H37" s="588">
        <v>1447.5</v>
      </c>
      <c r="I37" s="588">
        <v>1530.5</v>
      </c>
      <c r="J37" s="588" t="s">
        <v>1131</v>
      </c>
      <c r="K37" s="588">
        <v>1419.85</v>
      </c>
      <c r="L37" s="588"/>
    </row>
    <row r="38" spans="2:12">
      <c r="B38" s="587" t="s">
        <v>1132</v>
      </c>
      <c r="C38" s="592" t="s">
        <v>371</v>
      </c>
      <c r="D38" s="592" t="s">
        <v>371</v>
      </c>
      <c r="E38" s="592" t="s">
        <v>371</v>
      </c>
      <c r="F38" s="592" t="s">
        <v>371</v>
      </c>
      <c r="G38" s="592" t="s">
        <v>371</v>
      </c>
      <c r="H38" s="588">
        <v>3176</v>
      </c>
      <c r="I38" s="588">
        <v>3178</v>
      </c>
      <c r="J38" s="588">
        <v>3223.89</v>
      </c>
      <c r="K38" s="588">
        <v>3136.9</v>
      </c>
      <c r="L38" s="588"/>
    </row>
    <row r="39" spans="2:12">
      <c r="B39" s="587" t="s">
        <v>1133</v>
      </c>
      <c r="C39" s="592" t="s">
        <v>371</v>
      </c>
      <c r="D39" s="592" t="s">
        <v>371</v>
      </c>
      <c r="E39" s="592" t="s">
        <v>371</v>
      </c>
      <c r="F39" s="592" t="s">
        <v>371</v>
      </c>
      <c r="G39" s="592" t="s">
        <v>371</v>
      </c>
      <c r="H39" s="588">
        <v>100786.8</v>
      </c>
      <c r="I39" s="588">
        <v>101241.7</v>
      </c>
      <c r="J39" s="588">
        <v>103900.3</v>
      </c>
      <c r="K39" s="588">
        <v>72429</v>
      </c>
      <c r="L39" s="588"/>
    </row>
    <row r="40" spans="2:12">
      <c r="B40" s="587" t="s">
        <v>1134</v>
      </c>
      <c r="C40" s="592" t="s">
        <v>371</v>
      </c>
      <c r="D40" s="592" t="s">
        <v>371</v>
      </c>
      <c r="E40" s="592" t="s">
        <v>371</v>
      </c>
      <c r="F40" s="592" t="s">
        <v>371</v>
      </c>
      <c r="G40" s="592" t="s">
        <v>371</v>
      </c>
      <c r="H40" s="588">
        <v>73226</v>
      </c>
      <c r="I40" s="588">
        <v>75206</v>
      </c>
      <c r="J40" s="588">
        <v>77680</v>
      </c>
      <c r="K40" s="588">
        <v>78945</v>
      </c>
      <c r="L40" s="588"/>
    </row>
    <row r="42" spans="2:12">
      <c r="B42" s="593"/>
      <c r="C42" s="594">
        <v>2014</v>
      </c>
      <c r="D42" s="594">
        <v>2015</v>
      </c>
      <c r="E42" s="594">
        <v>2016</v>
      </c>
      <c r="F42" s="594">
        <v>2017</v>
      </c>
      <c r="G42" s="594">
        <v>2018</v>
      </c>
      <c r="H42" s="594">
        <v>2019</v>
      </c>
      <c r="I42" s="594">
        <v>2020</v>
      </c>
      <c r="J42" s="594">
        <v>2021</v>
      </c>
      <c r="K42" s="594">
        <f>K30</f>
        <v>2022</v>
      </c>
      <c r="L42" s="594"/>
    </row>
    <row r="43" spans="2:12" ht="9" customHeight="1"/>
    <row r="44" spans="2:12" ht="14.5" customHeight="1">
      <c r="B44" s="582" t="s">
        <v>1030</v>
      </c>
      <c r="C44" s="586"/>
      <c r="D44" s="586"/>
      <c r="E44" s="586"/>
      <c r="F44" s="586"/>
      <c r="G44" s="586"/>
      <c r="H44" s="586"/>
      <c r="I44" s="586"/>
      <c r="J44" s="586"/>
      <c r="K44" s="586"/>
      <c r="L44" s="586"/>
    </row>
    <row r="45" spans="2:12" ht="13.5">
      <c r="B45" s="587" t="s">
        <v>1126</v>
      </c>
      <c r="C45" s="592" t="s">
        <v>371</v>
      </c>
      <c r="D45" s="592" t="s">
        <v>371</v>
      </c>
      <c r="E45" s="592" t="s">
        <v>371</v>
      </c>
      <c r="F45" s="592" t="s">
        <v>371</v>
      </c>
      <c r="G45" s="592" t="s">
        <v>371</v>
      </c>
      <c r="H45" s="588">
        <v>27843.294999999998</v>
      </c>
      <c r="I45" s="588">
        <v>27843.294999999998</v>
      </c>
      <c r="J45" s="588">
        <v>27843.294999999998</v>
      </c>
      <c r="K45" s="588">
        <v>27843.294999999998</v>
      </c>
      <c r="L45" s="588"/>
    </row>
    <row r="46" spans="2:12">
      <c r="B46" s="587" t="s">
        <v>1127</v>
      </c>
      <c r="C46" s="592" t="s">
        <v>371</v>
      </c>
      <c r="D46" s="592" t="s">
        <v>371</v>
      </c>
      <c r="E46" s="592" t="s">
        <v>371</v>
      </c>
      <c r="F46" s="592" t="s">
        <v>371</v>
      </c>
      <c r="G46" s="592" t="s">
        <v>371</v>
      </c>
      <c r="H46" s="371">
        <v>102</v>
      </c>
      <c r="I46" s="371">
        <v>102</v>
      </c>
      <c r="J46" s="371">
        <v>102</v>
      </c>
      <c r="K46" s="371">
        <v>102</v>
      </c>
      <c r="L46" s="371"/>
    </row>
    <row r="47" spans="2:12" ht="12.65" customHeight="1">
      <c r="B47" s="587" t="s">
        <v>1128</v>
      </c>
      <c r="C47" s="589" t="s">
        <v>371</v>
      </c>
      <c r="D47" s="589" t="s">
        <v>371</v>
      </c>
      <c r="E47" s="589" t="s">
        <v>371</v>
      </c>
      <c r="F47" s="589" t="s">
        <v>371</v>
      </c>
      <c r="G47" s="589" t="s">
        <v>371</v>
      </c>
      <c r="H47" s="590">
        <f>3337357/1000000</f>
        <v>3.3373569999999999</v>
      </c>
      <c r="I47" s="590">
        <f>3337357/1000000</f>
        <v>3.3373569999999999</v>
      </c>
      <c r="J47" s="590">
        <f>3337357/1000000</f>
        <v>3.3373569999999999</v>
      </c>
      <c r="K47" s="590">
        <f>3337357/1000000</f>
        <v>3.3373569999999999</v>
      </c>
      <c r="L47" s="590"/>
    </row>
    <row r="48" spans="2:12">
      <c r="B48" s="587" t="s">
        <v>1129</v>
      </c>
      <c r="C48" s="592" t="s">
        <v>371</v>
      </c>
      <c r="D48" s="592" t="s">
        <v>371</v>
      </c>
      <c r="E48" s="592" t="s">
        <v>371</v>
      </c>
      <c r="F48" s="592" t="s">
        <v>371</v>
      </c>
      <c r="G48" s="592" t="s">
        <v>371</v>
      </c>
      <c r="H48" s="371">
        <v>42</v>
      </c>
      <c r="I48" s="371">
        <v>43</v>
      </c>
      <c r="J48" s="371">
        <v>44</v>
      </c>
      <c r="K48" s="371">
        <v>44</v>
      </c>
      <c r="L48" s="371"/>
    </row>
    <row r="49" spans="2:12">
      <c r="B49" s="587" t="s">
        <v>1130</v>
      </c>
      <c r="C49" s="592" t="s">
        <v>371</v>
      </c>
      <c r="D49" s="592" t="s">
        <v>371</v>
      </c>
      <c r="E49" s="592" t="s">
        <v>371</v>
      </c>
      <c r="F49" s="592" t="s">
        <v>371</v>
      </c>
      <c r="G49" s="592" t="s">
        <v>371</v>
      </c>
      <c r="H49" s="588">
        <v>1006.85</v>
      </c>
      <c r="I49" s="588">
        <v>1007</v>
      </c>
      <c r="J49" s="588" t="s">
        <v>1131</v>
      </c>
      <c r="K49" s="588">
        <v>1151.05</v>
      </c>
      <c r="L49" s="588"/>
    </row>
    <row r="50" spans="2:12">
      <c r="B50" s="587" t="s">
        <v>1132</v>
      </c>
      <c r="C50" s="592" t="s">
        <v>371</v>
      </c>
      <c r="D50" s="592" t="s">
        <v>371</v>
      </c>
      <c r="E50" s="592" t="s">
        <v>371</v>
      </c>
      <c r="F50" s="592" t="s">
        <v>371</v>
      </c>
      <c r="G50" s="592" t="s">
        <v>371</v>
      </c>
      <c r="H50" s="588">
        <v>1945.7</v>
      </c>
      <c r="I50" s="588">
        <v>1945.7</v>
      </c>
      <c r="J50" s="588">
        <v>1948.6</v>
      </c>
      <c r="K50" s="588">
        <v>2216.91</v>
      </c>
      <c r="L50" s="588"/>
    </row>
    <row r="51" spans="2:12">
      <c r="B51" s="587" t="s">
        <v>1133</v>
      </c>
      <c r="C51" s="592" t="s">
        <v>371</v>
      </c>
      <c r="D51" s="592" t="s">
        <v>371</v>
      </c>
      <c r="E51" s="592" t="s">
        <v>371</v>
      </c>
      <c r="F51" s="592" t="s">
        <v>371</v>
      </c>
      <c r="G51" s="592" t="s">
        <v>371</v>
      </c>
      <c r="H51" s="588">
        <v>43033.5</v>
      </c>
      <c r="I51" s="588">
        <v>43116</v>
      </c>
      <c r="J51" s="588">
        <v>43774</v>
      </c>
      <c r="K51" s="588">
        <v>24156.98</v>
      </c>
      <c r="L51" s="588"/>
    </row>
    <row r="52" spans="2:12">
      <c r="B52" s="587" t="s">
        <v>1134</v>
      </c>
      <c r="C52" s="592" t="s">
        <v>371</v>
      </c>
      <c r="D52" s="592" t="s">
        <v>371</v>
      </c>
      <c r="E52" s="592" t="s">
        <v>371</v>
      </c>
      <c r="F52" s="592" t="s">
        <v>371</v>
      </c>
      <c r="G52" s="592" t="s">
        <v>371</v>
      </c>
      <c r="H52" s="588">
        <v>31321</v>
      </c>
      <c r="I52" s="588">
        <v>31357</v>
      </c>
      <c r="J52" s="588">
        <v>31476</v>
      </c>
      <c r="K52" s="588">
        <v>31852</v>
      </c>
      <c r="L52" s="588"/>
    </row>
    <row r="54" spans="2:12">
      <c r="B54" s="593"/>
      <c r="C54" s="594">
        <v>2014</v>
      </c>
      <c r="D54" s="594">
        <v>2015</v>
      </c>
      <c r="E54" s="594">
        <v>2016</v>
      </c>
      <c r="F54" s="594">
        <v>2017</v>
      </c>
      <c r="G54" s="594">
        <v>2018</v>
      </c>
      <c r="H54" s="594">
        <v>2019</v>
      </c>
      <c r="I54" s="594">
        <v>2020</v>
      </c>
      <c r="J54" s="594">
        <v>2021</v>
      </c>
      <c r="K54" s="594">
        <f>K42</f>
        <v>2022</v>
      </c>
      <c r="L54" s="594"/>
    </row>
    <row r="55" spans="2:12" ht="9" customHeight="1"/>
    <row r="56" spans="2:12" ht="14.5" customHeight="1">
      <c r="B56" s="582" t="s">
        <v>73</v>
      </c>
      <c r="C56" s="586"/>
      <c r="D56" s="586"/>
      <c r="E56" s="586"/>
      <c r="F56" s="586"/>
      <c r="G56" s="586"/>
      <c r="H56" s="586"/>
      <c r="I56" s="586"/>
      <c r="J56" s="586"/>
      <c r="K56" s="586"/>
      <c r="L56" s="586"/>
    </row>
    <row r="57" spans="2:12" ht="13.5">
      <c r="B57" s="587" t="s">
        <v>1126</v>
      </c>
      <c r="C57" s="592" t="s">
        <v>371</v>
      </c>
      <c r="D57" s="592" t="s">
        <v>371</v>
      </c>
      <c r="E57" s="592" t="s">
        <v>371</v>
      </c>
      <c r="F57" s="592" t="s">
        <v>371</v>
      </c>
      <c r="G57" s="592" t="s">
        <v>371</v>
      </c>
      <c r="H57" s="592" t="s">
        <v>371</v>
      </c>
      <c r="I57" s="592" t="s">
        <v>371</v>
      </c>
      <c r="J57" s="588">
        <v>87101</v>
      </c>
      <c r="K57" s="588">
        <v>87101</v>
      </c>
      <c r="L57" s="588"/>
    </row>
    <row r="58" spans="2:12">
      <c r="B58" s="587" t="s">
        <v>1127</v>
      </c>
      <c r="C58" s="592" t="s">
        <v>371</v>
      </c>
      <c r="D58" s="592" t="s">
        <v>371</v>
      </c>
      <c r="E58" s="592" t="s">
        <v>371</v>
      </c>
      <c r="F58" s="592" t="s">
        <v>371</v>
      </c>
      <c r="G58" s="592" t="s">
        <v>371</v>
      </c>
      <c r="H58" s="592" t="s">
        <v>371</v>
      </c>
      <c r="I58" s="592" t="s">
        <v>371</v>
      </c>
      <c r="J58" s="371">
        <v>72</v>
      </c>
      <c r="K58" s="371">
        <v>72</v>
      </c>
      <c r="L58" s="371"/>
    </row>
    <row r="59" spans="2:12" ht="12.65" customHeight="1">
      <c r="B59" s="587" t="s">
        <v>1128</v>
      </c>
      <c r="C59" s="592" t="s">
        <v>371</v>
      </c>
      <c r="D59" s="592" t="s">
        <v>371</v>
      </c>
      <c r="E59" s="592" t="s">
        <v>371</v>
      </c>
      <c r="F59" s="592" t="s">
        <v>371</v>
      </c>
      <c r="G59" s="592" t="s">
        <v>371</v>
      </c>
      <c r="H59" s="371" t="s">
        <v>371</v>
      </c>
      <c r="I59" s="371" t="s">
        <v>371</v>
      </c>
      <c r="J59" s="371">
        <v>3.9</v>
      </c>
      <c r="K59" s="371">
        <v>3.9</v>
      </c>
      <c r="L59" s="371"/>
    </row>
    <row r="60" spans="2:12">
      <c r="B60" s="587" t="s">
        <v>1129</v>
      </c>
      <c r="C60" s="592" t="s">
        <v>371</v>
      </c>
      <c r="D60" s="592" t="s">
        <v>371</v>
      </c>
      <c r="E60" s="592" t="s">
        <v>371</v>
      </c>
      <c r="F60" s="592" t="s">
        <v>371</v>
      </c>
      <c r="G60" s="592" t="s">
        <v>371</v>
      </c>
      <c r="H60" s="592" t="s">
        <v>371</v>
      </c>
      <c r="I60" s="592" t="s">
        <v>371</v>
      </c>
      <c r="J60" s="371">
        <v>92</v>
      </c>
      <c r="K60" s="371">
        <v>72</v>
      </c>
      <c r="L60" s="371"/>
    </row>
    <row r="61" spans="2:12">
      <c r="B61" s="587" t="s">
        <v>1130</v>
      </c>
      <c r="C61" s="592" t="s">
        <v>371</v>
      </c>
      <c r="D61" s="592" t="s">
        <v>371</v>
      </c>
      <c r="E61" s="592" t="s">
        <v>371</v>
      </c>
      <c r="F61" s="592" t="s">
        <v>371</v>
      </c>
      <c r="G61" s="592" t="s">
        <v>371</v>
      </c>
      <c r="H61" s="592" t="s">
        <v>371</v>
      </c>
      <c r="I61" s="592" t="s">
        <v>371</v>
      </c>
      <c r="J61" s="588" t="s">
        <v>1131</v>
      </c>
      <c r="K61" s="588">
        <v>2652</v>
      </c>
      <c r="L61" s="588"/>
    </row>
    <row r="62" spans="2:12">
      <c r="B62" s="587" t="s">
        <v>1132</v>
      </c>
      <c r="C62" s="592" t="s">
        <v>371</v>
      </c>
      <c r="D62" s="592" t="s">
        <v>371</v>
      </c>
      <c r="E62" s="592" t="s">
        <v>371</v>
      </c>
      <c r="F62" s="592" t="s">
        <v>371</v>
      </c>
      <c r="G62" s="592" t="s">
        <v>371</v>
      </c>
      <c r="H62" s="592" t="s">
        <v>371</v>
      </c>
      <c r="I62" s="592" t="s">
        <v>371</v>
      </c>
      <c r="J62" s="588">
        <v>1785.1</v>
      </c>
      <c r="K62" s="588">
        <v>1806.2</v>
      </c>
      <c r="L62" s="588"/>
    </row>
    <row r="63" spans="2:12">
      <c r="B63" s="587" t="s">
        <v>1133</v>
      </c>
      <c r="C63" s="592" t="s">
        <v>371</v>
      </c>
      <c r="D63" s="592" t="s">
        <v>371</v>
      </c>
      <c r="E63" s="592" t="s">
        <v>371</v>
      </c>
      <c r="F63" s="592" t="s">
        <v>371</v>
      </c>
      <c r="G63" s="592" t="s">
        <v>371</v>
      </c>
      <c r="H63" s="592" t="s">
        <v>371</v>
      </c>
      <c r="I63" s="592" t="s">
        <v>371</v>
      </c>
      <c r="J63" s="588">
        <v>56851.43</v>
      </c>
      <c r="K63" s="588">
        <v>38347</v>
      </c>
      <c r="L63" s="588"/>
    </row>
    <row r="64" spans="2:12">
      <c r="B64" s="587" t="s">
        <v>1134</v>
      </c>
      <c r="C64" s="592" t="s">
        <v>371</v>
      </c>
      <c r="D64" s="592" t="s">
        <v>371</v>
      </c>
      <c r="E64" s="592" t="s">
        <v>371</v>
      </c>
      <c r="F64" s="592" t="s">
        <v>371</v>
      </c>
      <c r="G64" s="592" t="s">
        <v>371</v>
      </c>
      <c r="H64" s="592" t="s">
        <v>371</v>
      </c>
      <c r="I64" s="592" t="s">
        <v>371</v>
      </c>
      <c r="J64" s="588">
        <v>70042</v>
      </c>
      <c r="K64" s="588">
        <v>71821</v>
      </c>
      <c r="L64" s="588"/>
    </row>
    <row r="66" spans="2:12">
      <c r="B66" s="593"/>
      <c r="C66" s="594">
        <v>2014</v>
      </c>
      <c r="D66" s="594">
        <v>2015</v>
      </c>
      <c r="E66" s="594">
        <v>2016</v>
      </c>
      <c r="F66" s="594">
        <v>2017</v>
      </c>
      <c r="G66" s="594">
        <v>2018</v>
      </c>
      <c r="H66" s="594">
        <v>2019</v>
      </c>
      <c r="I66" s="594">
        <v>2020</v>
      </c>
      <c r="J66" s="594">
        <v>2021</v>
      </c>
      <c r="K66" s="594">
        <f>K54</f>
        <v>2022</v>
      </c>
      <c r="L66" s="594"/>
    </row>
    <row r="67" spans="2:12" ht="9" customHeight="1"/>
    <row r="68" spans="2:12" ht="14.5" customHeight="1">
      <c r="B68" s="582" t="s">
        <v>75</v>
      </c>
      <c r="C68" s="586"/>
      <c r="D68" s="586"/>
      <c r="E68" s="586"/>
      <c r="F68" s="586"/>
      <c r="G68" s="586"/>
      <c r="H68" s="586"/>
      <c r="I68" s="586"/>
      <c r="J68" s="586"/>
      <c r="K68" s="586"/>
      <c r="L68" s="586"/>
    </row>
    <row r="69" spans="2:12" ht="13.5">
      <c r="B69" s="587" t="s">
        <v>1126</v>
      </c>
      <c r="C69" s="592" t="s">
        <v>371</v>
      </c>
      <c r="D69" s="592" t="s">
        <v>371</v>
      </c>
      <c r="E69" s="592" t="s">
        <v>371</v>
      </c>
      <c r="F69" s="592" t="s">
        <v>371</v>
      </c>
      <c r="G69" s="592" t="s">
        <v>371</v>
      </c>
      <c r="H69" s="592" t="s">
        <v>371</v>
      </c>
      <c r="I69" s="592" t="s">
        <v>371</v>
      </c>
      <c r="J69" s="588">
        <v>142815</v>
      </c>
      <c r="K69" s="588">
        <v>142815</v>
      </c>
      <c r="L69" s="588"/>
    </row>
    <row r="70" spans="2:12">
      <c r="B70" s="587" t="s">
        <v>1127</v>
      </c>
      <c r="C70" s="592" t="s">
        <v>371</v>
      </c>
      <c r="D70" s="592" t="s">
        <v>371</v>
      </c>
      <c r="E70" s="592" t="s">
        <v>371</v>
      </c>
      <c r="F70" s="592" t="s">
        <v>371</v>
      </c>
      <c r="G70" s="592" t="s">
        <v>371</v>
      </c>
      <c r="H70" s="592" t="s">
        <v>371</v>
      </c>
      <c r="I70" s="592" t="s">
        <v>371</v>
      </c>
      <c r="J70" s="371">
        <v>16</v>
      </c>
      <c r="K70" s="371">
        <v>16</v>
      </c>
      <c r="L70" s="371"/>
    </row>
    <row r="71" spans="2:12" ht="12.65" customHeight="1">
      <c r="B71" s="587" t="s">
        <v>1128</v>
      </c>
      <c r="C71" s="592" t="s">
        <v>371</v>
      </c>
      <c r="D71" s="592" t="s">
        <v>371</v>
      </c>
      <c r="E71" s="592" t="s">
        <v>371</v>
      </c>
      <c r="F71" s="592" t="s">
        <v>371</v>
      </c>
      <c r="G71" s="592" t="s">
        <v>371</v>
      </c>
      <c r="H71" s="371" t="s">
        <v>371</v>
      </c>
      <c r="I71" s="371" t="s">
        <v>371</v>
      </c>
      <c r="J71" s="371">
        <v>0.9</v>
      </c>
      <c r="K71" s="371">
        <v>0.9</v>
      </c>
      <c r="L71" s="371"/>
    </row>
    <row r="72" spans="2:12">
      <c r="B72" s="587" t="s">
        <v>1129</v>
      </c>
      <c r="C72" s="592" t="s">
        <v>371</v>
      </c>
      <c r="D72" s="592" t="s">
        <v>371</v>
      </c>
      <c r="E72" s="592" t="s">
        <v>371</v>
      </c>
      <c r="F72" s="592" t="s">
        <v>371</v>
      </c>
      <c r="G72" s="592" t="s">
        <v>371</v>
      </c>
      <c r="H72" s="592" t="s">
        <v>371</v>
      </c>
      <c r="I72" s="592" t="s">
        <v>371</v>
      </c>
      <c r="J72" s="371">
        <v>143</v>
      </c>
      <c r="K72" s="371">
        <v>18</v>
      </c>
      <c r="L72" s="371"/>
    </row>
    <row r="73" spans="2:12">
      <c r="B73" s="587" t="s">
        <v>1130</v>
      </c>
      <c r="C73" s="592" t="s">
        <v>371</v>
      </c>
      <c r="D73" s="592" t="s">
        <v>371</v>
      </c>
      <c r="E73" s="592" t="s">
        <v>371</v>
      </c>
      <c r="F73" s="592" t="s">
        <v>371</v>
      </c>
      <c r="G73" s="592" t="s">
        <v>371</v>
      </c>
      <c r="H73" s="592" t="s">
        <v>371</v>
      </c>
      <c r="I73" s="592" t="s">
        <v>371</v>
      </c>
      <c r="J73" s="588" t="s">
        <v>1131</v>
      </c>
      <c r="K73" s="588">
        <v>416.4</v>
      </c>
      <c r="L73" s="588"/>
    </row>
    <row r="74" spans="2:12">
      <c r="B74" s="587" t="s">
        <v>1132</v>
      </c>
      <c r="C74" s="592" t="s">
        <v>371</v>
      </c>
      <c r="D74" s="592" t="s">
        <v>371</v>
      </c>
      <c r="E74" s="592" t="s">
        <v>371</v>
      </c>
      <c r="F74" s="592" t="s">
        <v>371</v>
      </c>
      <c r="G74" s="592" t="s">
        <v>371</v>
      </c>
      <c r="H74" s="592" t="s">
        <v>371</v>
      </c>
      <c r="I74" s="592" t="s">
        <v>371</v>
      </c>
      <c r="J74" s="588">
        <v>630</v>
      </c>
      <c r="K74" s="588">
        <v>631.13999999999987</v>
      </c>
      <c r="L74" s="588"/>
    </row>
    <row r="75" spans="2:12">
      <c r="B75" s="587" t="s">
        <v>1133</v>
      </c>
      <c r="C75" s="592" t="s">
        <v>371</v>
      </c>
      <c r="D75" s="592" t="s">
        <v>371</v>
      </c>
      <c r="E75" s="592" t="s">
        <v>371</v>
      </c>
      <c r="F75" s="592" t="s">
        <v>371</v>
      </c>
      <c r="G75" s="592" t="s">
        <v>371</v>
      </c>
      <c r="H75" s="592" t="s">
        <v>371</v>
      </c>
      <c r="I75" s="592" t="s">
        <v>371</v>
      </c>
      <c r="J75" s="588">
        <v>70</v>
      </c>
      <c r="K75" s="588">
        <v>9382</v>
      </c>
      <c r="L75" s="588"/>
    </row>
    <row r="76" spans="2:12">
      <c r="B76" s="587" t="s">
        <v>1134</v>
      </c>
      <c r="C76" s="592" t="s">
        <v>371</v>
      </c>
      <c r="D76" s="592" t="s">
        <v>371</v>
      </c>
      <c r="E76" s="592" t="s">
        <v>371</v>
      </c>
      <c r="F76" s="592" t="s">
        <v>371</v>
      </c>
      <c r="G76" s="592" t="s">
        <v>371</v>
      </c>
      <c r="H76" s="592" t="s">
        <v>371</v>
      </c>
      <c r="I76" s="592" t="s">
        <v>371</v>
      </c>
      <c r="J76" s="588">
        <v>10336</v>
      </c>
      <c r="K76" s="588">
        <v>11127</v>
      </c>
      <c r="L76" s="588"/>
    </row>
    <row r="78" spans="2:12">
      <c r="B78" s="593"/>
      <c r="C78" s="594">
        <v>2014</v>
      </c>
      <c r="D78" s="594">
        <v>2015</v>
      </c>
      <c r="E78" s="594">
        <v>2016</v>
      </c>
      <c r="F78" s="594">
        <v>2017</v>
      </c>
      <c r="G78" s="594">
        <v>2018</v>
      </c>
      <c r="H78" s="594">
        <v>2019</v>
      </c>
      <c r="I78" s="594">
        <v>2020</v>
      </c>
      <c r="J78" s="594">
        <v>2021</v>
      </c>
      <c r="K78" s="594">
        <f>K66</f>
        <v>2022</v>
      </c>
      <c r="L78" s="594"/>
    </row>
    <row r="80" spans="2:12">
      <c r="B80" s="582" t="s">
        <v>965</v>
      </c>
      <c r="C80" s="586"/>
      <c r="D80" s="586"/>
      <c r="E80" s="586"/>
      <c r="F80" s="586"/>
      <c r="G80" s="586"/>
      <c r="H80" s="586"/>
      <c r="I80" s="586"/>
      <c r="J80" s="586"/>
      <c r="K80" s="586"/>
      <c r="L80" s="586"/>
    </row>
    <row r="81" spans="2:12" ht="13.5">
      <c r="B81" s="587" t="s">
        <v>1126</v>
      </c>
      <c r="C81" s="592" t="s">
        <v>371</v>
      </c>
      <c r="D81" s="592" t="s">
        <v>371</v>
      </c>
      <c r="E81" s="592" t="s">
        <v>371</v>
      </c>
      <c r="F81" s="592" t="s">
        <v>371</v>
      </c>
      <c r="G81" s="592" t="s">
        <v>371</v>
      </c>
      <c r="H81" s="592" t="s">
        <v>371</v>
      </c>
      <c r="I81" s="592" t="s">
        <v>371</v>
      </c>
      <c r="J81" s="592" t="s">
        <v>371</v>
      </c>
      <c r="K81" s="588"/>
      <c r="L81" s="588"/>
    </row>
    <row r="82" spans="2:12">
      <c r="B82" s="587" t="s">
        <v>1127</v>
      </c>
      <c r="C82" s="592" t="s">
        <v>371</v>
      </c>
      <c r="D82" s="592" t="s">
        <v>371</v>
      </c>
      <c r="E82" s="592" t="s">
        <v>371</v>
      </c>
      <c r="F82" s="592" t="s">
        <v>371</v>
      </c>
      <c r="G82" s="592" t="s">
        <v>371</v>
      </c>
      <c r="H82" s="592" t="s">
        <v>371</v>
      </c>
      <c r="I82" s="592" t="s">
        <v>371</v>
      </c>
      <c r="J82" s="592" t="s">
        <v>371</v>
      </c>
      <c r="K82" s="371"/>
      <c r="L82" s="371"/>
    </row>
    <row r="83" spans="2:12">
      <c r="B83" s="587" t="s">
        <v>1128</v>
      </c>
      <c r="C83" s="592" t="s">
        <v>371</v>
      </c>
      <c r="D83" s="592" t="s">
        <v>371</v>
      </c>
      <c r="E83" s="592" t="s">
        <v>371</v>
      </c>
      <c r="F83" s="592" t="s">
        <v>371</v>
      </c>
      <c r="G83" s="592" t="s">
        <v>371</v>
      </c>
      <c r="H83" s="371" t="s">
        <v>371</v>
      </c>
      <c r="I83" s="371" t="s">
        <v>371</v>
      </c>
      <c r="J83" s="371" t="s">
        <v>371</v>
      </c>
      <c r="K83" s="371"/>
      <c r="L83" s="371"/>
    </row>
    <row r="84" spans="2:12">
      <c r="B84" s="587" t="s">
        <v>1129</v>
      </c>
      <c r="C84" s="592" t="s">
        <v>371</v>
      </c>
      <c r="D84" s="592" t="s">
        <v>371</v>
      </c>
      <c r="E84" s="592" t="s">
        <v>371</v>
      </c>
      <c r="F84" s="592" t="s">
        <v>371</v>
      </c>
      <c r="G84" s="592" t="s">
        <v>371</v>
      </c>
      <c r="H84" s="592" t="s">
        <v>371</v>
      </c>
      <c r="I84" s="592" t="s">
        <v>371</v>
      </c>
      <c r="J84" s="592" t="s">
        <v>371</v>
      </c>
      <c r="K84" s="371"/>
      <c r="L84" s="371"/>
    </row>
    <row r="85" spans="2:12">
      <c r="B85" s="587" t="s">
        <v>1130</v>
      </c>
      <c r="C85" s="592" t="s">
        <v>371</v>
      </c>
      <c r="D85" s="592" t="s">
        <v>371</v>
      </c>
      <c r="E85" s="592" t="s">
        <v>371</v>
      </c>
      <c r="F85" s="592" t="s">
        <v>371</v>
      </c>
      <c r="G85" s="592" t="s">
        <v>371</v>
      </c>
      <c r="H85" s="592" t="s">
        <v>371</v>
      </c>
      <c r="I85" s="592" t="s">
        <v>371</v>
      </c>
      <c r="J85" s="592" t="s">
        <v>371</v>
      </c>
      <c r="K85" s="588"/>
      <c r="L85" s="588"/>
    </row>
    <row r="86" spans="2:12">
      <c r="B86" s="587" t="s">
        <v>1132</v>
      </c>
      <c r="C86" s="592" t="s">
        <v>371</v>
      </c>
      <c r="D86" s="592" t="s">
        <v>371</v>
      </c>
      <c r="E86" s="592" t="s">
        <v>371</v>
      </c>
      <c r="F86" s="592" t="s">
        <v>371</v>
      </c>
      <c r="G86" s="592" t="s">
        <v>371</v>
      </c>
      <c r="H86" s="592" t="s">
        <v>371</v>
      </c>
      <c r="I86" s="592" t="s">
        <v>371</v>
      </c>
      <c r="J86" s="592" t="s">
        <v>371</v>
      </c>
      <c r="K86" s="588"/>
      <c r="L86" s="588"/>
    </row>
    <row r="87" spans="2:12">
      <c r="B87" s="587" t="s">
        <v>1133</v>
      </c>
      <c r="C87" s="592" t="s">
        <v>371</v>
      </c>
      <c r="D87" s="592" t="s">
        <v>371</v>
      </c>
      <c r="E87" s="592" t="s">
        <v>371</v>
      </c>
      <c r="F87" s="592" t="s">
        <v>371</v>
      </c>
      <c r="G87" s="592" t="s">
        <v>371</v>
      </c>
      <c r="H87" s="592" t="s">
        <v>371</v>
      </c>
      <c r="I87" s="592" t="s">
        <v>371</v>
      </c>
      <c r="J87" s="592" t="s">
        <v>371</v>
      </c>
      <c r="K87" s="588"/>
      <c r="L87" s="588"/>
    </row>
    <row r="88" spans="2:12">
      <c r="B88" s="587" t="s">
        <v>1134</v>
      </c>
      <c r="C88" s="592" t="s">
        <v>371</v>
      </c>
      <c r="D88" s="592" t="s">
        <v>371</v>
      </c>
      <c r="E88" s="592" t="s">
        <v>371</v>
      </c>
      <c r="F88" s="592" t="s">
        <v>371</v>
      </c>
      <c r="G88" s="592" t="s">
        <v>371</v>
      </c>
      <c r="H88" s="592" t="s">
        <v>371</v>
      </c>
      <c r="I88" s="592" t="s">
        <v>371</v>
      </c>
      <c r="J88" s="592" t="s">
        <v>371</v>
      </c>
      <c r="K88" s="588"/>
      <c r="L88" s="588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9" tint="0.79998168889431442"/>
  </sheetPr>
  <dimension ref="C4:P245"/>
  <sheetViews>
    <sheetView showGridLines="0" zoomScale="80" zoomScaleNormal="80" workbookViewId="0">
      <selection activeCell="F9" sqref="F9"/>
    </sheetView>
  </sheetViews>
  <sheetFormatPr defaultColWidth="8.7265625" defaultRowHeight="12"/>
  <cols>
    <col min="1" max="1" width="8.7265625" style="3"/>
    <col min="2" max="2" width="1.81640625" style="3" customWidth="1"/>
    <col min="3" max="3" width="42.7265625" style="3" customWidth="1"/>
    <col min="4" max="4" width="0.54296875" style="3" customWidth="1"/>
    <col min="5" max="16" width="12.1796875" style="3" customWidth="1"/>
    <col min="17" max="16384" width="8.7265625" style="3"/>
  </cols>
  <sheetData>
    <row r="4" spans="3:16">
      <c r="N4" s="4"/>
      <c r="O4" s="4"/>
      <c r="P4" s="4"/>
    </row>
    <row r="5" spans="3:16">
      <c r="C5" s="5"/>
      <c r="E5" s="6" t="s">
        <v>55</v>
      </c>
      <c r="F5" s="6" t="s">
        <v>67</v>
      </c>
      <c r="G5" s="6" t="s">
        <v>69</v>
      </c>
      <c r="H5" s="6" t="s">
        <v>71</v>
      </c>
      <c r="I5" s="6" t="s">
        <v>73</v>
      </c>
      <c r="J5" s="6" t="s">
        <v>75</v>
      </c>
      <c r="K5" s="6" t="s">
        <v>77</v>
      </c>
    </row>
    <row r="6" spans="3:16" ht="3.65" customHeight="1">
      <c r="M6" s="7"/>
    </row>
    <row r="7" spans="3:16">
      <c r="C7" s="8" t="s">
        <v>1135</v>
      </c>
      <c r="E7" s="9">
        <f>M20</f>
        <v>4365.6003672457146</v>
      </c>
      <c r="F7" s="9">
        <f>O53</f>
        <v>8544.9870004013137</v>
      </c>
      <c r="G7" s="10">
        <f>O86</f>
        <v>3102.549072619659</v>
      </c>
      <c r="H7" s="10">
        <f>P119</f>
        <v>2567.5198281197527</v>
      </c>
      <c r="I7" s="10">
        <f>M152</f>
        <v>2953.4600352930588</v>
      </c>
      <c r="J7" s="10">
        <f>I185</f>
        <v>465.50859184775999</v>
      </c>
      <c r="K7" s="10">
        <f>O218</f>
        <v>9392.7278946522347</v>
      </c>
      <c r="L7" s="11"/>
      <c r="M7" s="7"/>
      <c r="N7" s="11"/>
      <c r="O7" s="11"/>
      <c r="P7" s="11"/>
    </row>
    <row r="8" spans="3:16">
      <c r="C8" s="8" t="s">
        <v>1136</v>
      </c>
      <c r="E8" s="9">
        <f>O40</f>
        <v>1781.6699004932386</v>
      </c>
      <c r="F8" s="9">
        <f>P73</f>
        <v>3609.8172376529997</v>
      </c>
      <c r="G8" s="9">
        <f>O106</f>
        <v>1249.0558107425582</v>
      </c>
      <c r="H8" s="9">
        <f>P139</f>
        <v>973.69915084678962</v>
      </c>
      <c r="I8" s="9">
        <f>N172</f>
        <v>1048.528272564879</v>
      </c>
      <c r="J8" s="9">
        <f>N205</f>
        <v>276.30216334839128</v>
      </c>
      <c r="K8" s="9">
        <f>O238</f>
        <v>3045.8684813985224</v>
      </c>
      <c r="L8" s="11"/>
      <c r="M8" s="7"/>
      <c r="N8" s="11"/>
      <c r="O8" s="11"/>
      <c r="P8" s="11"/>
    </row>
    <row r="9" spans="3:16">
      <c r="C9" s="8" t="s">
        <v>1137</v>
      </c>
      <c r="E9" s="9">
        <f>O42</f>
        <v>241.4669008525116</v>
      </c>
      <c r="F9" s="9">
        <f>P75</f>
        <v>335.41926413284909</v>
      </c>
      <c r="G9" s="9">
        <f>O108</f>
        <v>306.41370242068666</v>
      </c>
      <c r="H9" s="9">
        <f>P141</f>
        <v>223.36492003954802</v>
      </c>
      <c r="I9" s="9">
        <f>N174</f>
        <v>131.38186255227652</v>
      </c>
      <c r="J9" s="9">
        <f>N207</f>
        <v>255.37568738917665</v>
      </c>
      <c r="K9" s="9">
        <f>O240</f>
        <v>202.80162487675707</v>
      </c>
      <c r="L9" s="11"/>
      <c r="M9" s="12"/>
      <c r="N9" s="11"/>
      <c r="O9" s="11"/>
      <c r="P9" s="11"/>
    </row>
    <row r="10" spans="3:16">
      <c r="C10" s="8" t="s">
        <v>1138</v>
      </c>
      <c r="E10" s="13" t="s">
        <v>1139</v>
      </c>
      <c r="F10" s="13" t="s">
        <v>1140</v>
      </c>
      <c r="G10" s="13" t="s">
        <v>1141</v>
      </c>
      <c r="H10" s="13" t="s">
        <v>1142</v>
      </c>
      <c r="I10" s="13" t="s">
        <v>1143</v>
      </c>
      <c r="J10" s="13" t="s">
        <v>1143</v>
      </c>
      <c r="K10" s="14" t="s">
        <v>1139</v>
      </c>
      <c r="L10" s="11"/>
      <c r="M10" s="15"/>
      <c r="N10" s="11"/>
      <c r="O10" s="11"/>
      <c r="P10" s="11"/>
    </row>
    <row r="11" spans="3:16">
      <c r="C11" s="8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3:16">
      <c r="C12" s="8"/>
      <c r="E12" s="11"/>
      <c r="F12" s="12"/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3:16">
      <c r="C13" s="8"/>
      <c r="E13" s="11"/>
      <c r="F13" s="9"/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3:16">
      <c r="N14" s="4"/>
      <c r="O14" s="16"/>
      <c r="P14" s="16"/>
    </row>
    <row r="16" spans="3:16">
      <c r="C16" s="5" t="s">
        <v>55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</row>
    <row r="17" spans="3:16" ht="3.65" customHeight="1"/>
    <row r="18" spans="3:16">
      <c r="C18" s="17" t="s">
        <v>1144</v>
      </c>
      <c r="E18" s="18">
        <f t="shared" ref="E18:G18" si="0">F18-1</f>
        <v>2013</v>
      </c>
      <c r="F18" s="18">
        <f t="shared" si="0"/>
        <v>2014</v>
      </c>
      <c r="G18" s="18">
        <f t="shared" si="0"/>
        <v>2015</v>
      </c>
      <c r="H18" s="18">
        <f>I18-1</f>
        <v>2016</v>
      </c>
      <c r="I18" s="18">
        <v>2017</v>
      </c>
      <c r="J18" s="18">
        <f>I18+1</f>
        <v>2018</v>
      </c>
      <c r="K18" s="18">
        <f t="shared" ref="K18:P18" si="1">J18+1</f>
        <v>2019</v>
      </c>
      <c r="L18" s="18">
        <f t="shared" si="1"/>
        <v>2020</v>
      </c>
      <c r="M18" s="18">
        <f t="shared" si="1"/>
        <v>2021</v>
      </c>
      <c r="N18" s="18">
        <f t="shared" si="1"/>
        <v>2022</v>
      </c>
      <c r="O18" s="18">
        <f t="shared" si="1"/>
        <v>2023</v>
      </c>
      <c r="P18" s="32">
        <f t="shared" si="1"/>
        <v>2024</v>
      </c>
    </row>
    <row r="19" spans="3:16">
      <c r="C19" s="3" t="s">
        <v>1145</v>
      </c>
      <c r="E19" s="19" t="s">
        <v>1146</v>
      </c>
      <c r="F19" s="20" t="s">
        <v>1147</v>
      </c>
      <c r="G19" s="20" t="str">
        <f>F19</f>
        <v>RTA</v>
      </c>
      <c r="H19" s="20" t="str">
        <f>G19</f>
        <v>RTA</v>
      </c>
      <c r="I19" s="19" t="s">
        <v>1146</v>
      </c>
      <c r="J19" s="20" t="s">
        <v>1147</v>
      </c>
      <c r="K19" s="20" t="str">
        <f>J19</f>
        <v>RTA</v>
      </c>
      <c r="L19" s="20" t="str">
        <f>K19</f>
        <v>RTA</v>
      </c>
      <c r="M19" s="19" t="s">
        <v>1146</v>
      </c>
      <c r="N19" s="20" t="s">
        <v>1146</v>
      </c>
      <c r="O19" s="20" t="s">
        <v>1147</v>
      </c>
      <c r="P19" s="20" t="s">
        <v>1147</v>
      </c>
    </row>
    <row r="20" spans="3:16">
      <c r="C20" s="3" t="s">
        <v>1148</v>
      </c>
      <c r="E20" s="21">
        <v>2069.4811228100007</v>
      </c>
      <c r="F20" s="22">
        <v>0</v>
      </c>
      <c r="G20" s="22">
        <v>0</v>
      </c>
      <c r="H20" s="22">
        <v>0</v>
      </c>
      <c r="I20" s="21">
        <v>3309.9566568925097</v>
      </c>
      <c r="J20" s="22">
        <v>0</v>
      </c>
      <c r="K20" s="22">
        <v>0</v>
      </c>
      <c r="L20" s="22">
        <v>0</v>
      </c>
      <c r="M20" s="21">
        <v>4365.6003672457146</v>
      </c>
      <c r="N20" s="22">
        <v>0</v>
      </c>
      <c r="O20" s="22">
        <v>0</v>
      </c>
      <c r="P20" s="22"/>
    </row>
    <row r="21" spans="3:16">
      <c r="C21" s="23" t="s">
        <v>1149</v>
      </c>
      <c r="E21" s="21"/>
      <c r="F21" s="22"/>
      <c r="G21" s="22"/>
      <c r="H21" s="22"/>
      <c r="I21" s="21"/>
      <c r="J21" s="22"/>
      <c r="K21" s="22"/>
      <c r="L21" s="22"/>
      <c r="M21" s="21"/>
      <c r="N21" s="22"/>
      <c r="O21" s="22"/>
      <c r="P21" s="22"/>
    </row>
    <row r="22" spans="3:16">
      <c r="C22" s="23" t="s">
        <v>1150</v>
      </c>
      <c r="E22" s="21"/>
      <c r="F22" s="22"/>
      <c r="G22" s="22"/>
      <c r="H22" s="22"/>
      <c r="I22" s="21"/>
      <c r="J22" s="22"/>
      <c r="K22" s="22"/>
      <c r="L22" s="22"/>
      <c r="M22" s="21"/>
      <c r="N22" s="22"/>
      <c r="O22" s="22"/>
      <c r="P22" s="22"/>
    </row>
    <row r="23" spans="3:16" ht="4.5" customHeight="1"/>
    <row r="24" spans="3:16">
      <c r="C24" s="24" t="s">
        <v>1151</v>
      </c>
      <c r="D24" s="23"/>
      <c r="E24" s="25">
        <f t="shared" ref="E24:H24" si="2">SUM(E25:E27)</f>
        <v>427.82194355355722</v>
      </c>
      <c r="F24" s="25">
        <f t="shared" si="2"/>
        <v>0</v>
      </c>
      <c r="G24" s="25">
        <f t="shared" si="2"/>
        <v>0</v>
      </c>
      <c r="H24" s="25">
        <f t="shared" si="2"/>
        <v>0</v>
      </c>
      <c r="I24" s="25">
        <f>SUM(I25:I27)</f>
        <v>632.5306939036883</v>
      </c>
      <c r="J24" s="25">
        <f t="shared" ref="J24:O24" si="3">SUM(J25:J27)</f>
        <v>0</v>
      </c>
      <c r="K24" s="25">
        <f t="shared" si="3"/>
        <v>0</v>
      </c>
      <c r="L24" s="25">
        <f t="shared" si="3"/>
        <v>0</v>
      </c>
      <c r="M24" s="25">
        <f t="shared" si="3"/>
        <v>815.77836056852607</v>
      </c>
      <c r="N24" s="25">
        <f t="shared" si="3"/>
        <v>0</v>
      </c>
      <c r="O24" s="25">
        <f t="shared" si="3"/>
        <v>0</v>
      </c>
      <c r="P24" s="25"/>
    </row>
    <row r="25" spans="3:16">
      <c r="C25" s="3" t="s">
        <v>1152</v>
      </c>
      <c r="E25" s="4">
        <v>409.23963935899752</v>
      </c>
      <c r="F25" s="4"/>
      <c r="G25" s="4"/>
      <c r="H25" s="4"/>
      <c r="I25" s="4">
        <v>576.83593994179819</v>
      </c>
      <c r="J25" s="4"/>
      <c r="K25" s="4"/>
      <c r="L25" s="4"/>
      <c r="M25" s="4">
        <v>738.19963611455626</v>
      </c>
      <c r="N25" s="4"/>
      <c r="O25" s="4"/>
      <c r="P25" s="4"/>
    </row>
    <row r="26" spans="3:16">
      <c r="C26" s="3" t="s">
        <v>1153</v>
      </c>
      <c r="E26" s="4">
        <v>2.699911179040412</v>
      </c>
      <c r="F26" s="4"/>
      <c r="G26" s="4"/>
      <c r="H26" s="4"/>
      <c r="I26" s="4">
        <v>6.3320684675445502</v>
      </c>
      <c r="J26" s="4"/>
      <c r="K26" s="4"/>
      <c r="L26" s="4"/>
      <c r="M26" s="4">
        <v>9.3877705799639983</v>
      </c>
      <c r="N26" s="4"/>
      <c r="O26" s="4"/>
      <c r="P26" s="4"/>
    </row>
    <row r="27" spans="3:16">
      <c r="C27" s="3" t="s">
        <v>1154</v>
      </c>
      <c r="E27" s="4">
        <v>15.882393015519304</v>
      </c>
      <c r="F27" s="4"/>
      <c r="G27" s="4"/>
      <c r="H27" s="4"/>
      <c r="I27" s="4">
        <v>49.362685494345577</v>
      </c>
      <c r="J27" s="4"/>
      <c r="K27" s="4"/>
      <c r="L27" s="4"/>
      <c r="M27" s="4">
        <v>68.190953874005842</v>
      </c>
      <c r="N27" s="4"/>
      <c r="O27" s="4"/>
      <c r="P27" s="4"/>
    </row>
    <row r="28" spans="3:16">
      <c r="C28" s="24" t="s">
        <v>1155</v>
      </c>
      <c r="D28" s="23"/>
      <c r="E28" s="25">
        <f t="shared" ref="E28:H28" si="4">SUM(E29:E31)</f>
        <v>385.42985380412949</v>
      </c>
      <c r="F28" s="25">
        <f t="shared" si="4"/>
        <v>0</v>
      </c>
      <c r="G28" s="25">
        <f t="shared" si="4"/>
        <v>0</v>
      </c>
      <c r="H28" s="25">
        <f t="shared" si="4"/>
        <v>0</v>
      </c>
      <c r="I28" s="25">
        <f>SUM(I29:I31)</f>
        <v>709.0292589303815</v>
      </c>
      <c r="J28" s="25">
        <f t="shared" ref="J28:O28" si="5">SUM(J29:J31)</f>
        <v>0</v>
      </c>
      <c r="K28" s="25">
        <f t="shared" si="5"/>
        <v>0</v>
      </c>
      <c r="L28" s="25">
        <f t="shared" si="5"/>
        <v>0</v>
      </c>
      <c r="M28" s="25">
        <f t="shared" si="5"/>
        <v>869.64779027729617</v>
      </c>
      <c r="N28" s="25">
        <f t="shared" si="5"/>
        <v>0</v>
      </c>
      <c r="O28" s="25">
        <f t="shared" si="5"/>
        <v>0</v>
      </c>
      <c r="P28" s="25"/>
    </row>
    <row r="29" spans="3:16">
      <c r="C29" s="3" t="s">
        <v>1156</v>
      </c>
      <c r="E29" s="4">
        <v>215.77988597994806</v>
      </c>
      <c r="F29" s="4"/>
      <c r="G29" s="4"/>
      <c r="H29" s="4"/>
      <c r="I29" s="4">
        <v>430.0577739758383</v>
      </c>
      <c r="J29" s="4"/>
      <c r="K29" s="4"/>
      <c r="L29" s="4"/>
      <c r="M29" s="4">
        <v>515.8289017508597</v>
      </c>
      <c r="N29" s="4"/>
      <c r="O29" s="4"/>
      <c r="P29" s="4"/>
    </row>
    <row r="30" spans="3:16">
      <c r="C30" s="3" t="s">
        <v>1157</v>
      </c>
      <c r="E30" s="4">
        <v>125.12602869</v>
      </c>
      <c r="F30" s="4"/>
      <c r="G30" s="4"/>
      <c r="H30" s="4"/>
      <c r="I30" s="4">
        <v>190.46458053510949</v>
      </c>
      <c r="J30" s="4"/>
      <c r="K30" s="4"/>
      <c r="L30" s="4"/>
      <c r="M30" s="4">
        <v>244.03578951005028</v>
      </c>
      <c r="N30" s="4"/>
      <c r="O30" s="4"/>
      <c r="P30" s="4"/>
    </row>
    <row r="31" spans="3:16">
      <c r="C31" s="3" t="s">
        <v>1158</v>
      </c>
      <c r="E31" s="4">
        <v>44.523939134181425</v>
      </c>
      <c r="F31" s="4"/>
      <c r="G31" s="4"/>
      <c r="H31" s="4"/>
      <c r="I31" s="4">
        <v>88.506904419433639</v>
      </c>
      <c r="J31" s="4"/>
      <c r="K31" s="4"/>
      <c r="L31" s="4"/>
      <c r="M31" s="4">
        <v>109.78309901638622</v>
      </c>
      <c r="N31" s="4"/>
      <c r="O31" s="4"/>
      <c r="P31" s="4"/>
    </row>
    <row r="32" spans="3:16">
      <c r="C32" s="24" t="s">
        <v>1159</v>
      </c>
      <c r="D32" s="23"/>
      <c r="E32" s="25">
        <f t="shared" ref="E32:H32" si="6">E28+E24</f>
        <v>813.25179735768666</v>
      </c>
      <c r="F32" s="25">
        <f t="shared" si="6"/>
        <v>0</v>
      </c>
      <c r="G32" s="25">
        <f t="shared" si="6"/>
        <v>0</v>
      </c>
      <c r="H32" s="25">
        <f t="shared" si="6"/>
        <v>0</v>
      </c>
      <c r="I32" s="25">
        <f>I28+I24</f>
        <v>1341.5599528340699</v>
      </c>
      <c r="J32" s="25">
        <f t="shared" ref="J32:O32" si="7">J28+J24</f>
        <v>0</v>
      </c>
      <c r="K32" s="25">
        <f t="shared" si="7"/>
        <v>0</v>
      </c>
      <c r="L32" s="25">
        <f t="shared" si="7"/>
        <v>0</v>
      </c>
      <c r="M32" s="25">
        <f t="shared" si="7"/>
        <v>1685.4261508458221</v>
      </c>
      <c r="N32" s="25">
        <f t="shared" si="7"/>
        <v>0</v>
      </c>
      <c r="O32" s="25">
        <f t="shared" si="7"/>
        <v>0</v>
      </c>
      <c r="P32" s="25"/>
    </row>
    <row r="33" spans="3:16">
      <c r="C33" s="3" t="s">
        <v>1160</v>
      </c>
      <c r="E33" s="4">
        <f>E32*(1-E45-E47)</f>
        <v>802.63696706191206</v>
      </c>
      <c r="F33" s="4"/>
      <c r="G33" s="4"/>
      <c r="H33" s="4"/>
      <c r="I33" s="4">
        <f t="shared" ref="I33:M33" si="8">I32*(1-I45-I47)</f>
        <v>1329.2178776965411</v>
      </c>
      <c r="J33" s="4"/>
      <c r="K33" s="4"/>
      <c r="L33" s="4"/>
      <c r="M33" s="4">
        <f t="shared" si="8"/>
        <v>1673.1391245992293</v>
      </c>
      <c r="N33" s="4"/>
      <c r="O33" s="4"/>
      <c r="P33" s="4"/>
    </row>
    <row r="34" spans="3:16">
      <c r="C34" s="3" t="s">
        <v>1161</v>
      </c>
      <c r="E34" s="4">
        <v>0</v>
      </c>
      <c r="F34" s="4"/>
      <c r="G34" s="4"/>
      <c r="H34" s="4"/>
      <c r="I34" s="4">
        <v>0</v>
      </c>
      <c r="J34" s="4"/>
      <c r="K34" s="4"/>
      <c r="L34" s="4"/>
      <c r="M34" s="4">
        <v>0</v>
      </c>
      <c r="N34" s="4"/>
      <c r="O34" s="4"/>
      <c r="P34" s="4"/>
    </row>
    <row r="35" spans="3:16">
      <c r="C35" s="615" t="s">
        <v>1162</v>
      </c>
      <c r="E35" s="616">
        <v>13.223121472635805</v>
      </c>
      <c r="F35" s="616"/>
      <c r="G35" s="616"/>
      <c r="H35" s="616"/>
      <c r="I35" s="616">
        <v>21.186149435441521</v>
      </c>
      <c r="J35" s="616"/>
      <c r="K35" s="616"/>
      <c r="L35" s="616"/>
      <c r="M35" s="616">
        <v>52.082428074161022</v>
      </c>
      <c r="N35" s="616"/>
      <c r="O35" s="616"/>
      <c r="P35" s="4"/>
    </row>
    <row r="36" spans="3:16">
      <c r="C36" s="615" t="s">
        <v>1163</v>
      </c>
      <c r="E36" s="616">
        <v>0</v>
      </c>
      <c r="F36" s="616"/>
      <c r="G36" s="616"/>
      <c r="H36" s="616"/>
      <c r="I36" s="616">
        <v>0</v>
      </c>
      <c r="J36" s="616"/>
      <c r="K36" s="616"/>
      <c r="L36" s="616"/>
      <c r="M36" s="616">
        <v>4.4058149571406648</v>
      </c>
      <c r="N36" s="616"/>
      <c r="O36" s="616"/>
      <c r="P36" s="4"/>
    </row>
    <row r="37" spans="3:16">
      <c r="C37" s="615" t="s">
        <v>1164</v>
      </c>
      <c r="E37" s="616">
        <v>0</v>
      </c>
      <c r="F37" s="616"/>
      <c r="G37" s="616"/>
      <c r="H37" s="616"/>
      <c r="I37" s="616">
        <v>0</v>
      </c>
      <c r="J37" s="616"/>
      <c r="K37" s="616"/>
      <c r="L37" s="616"/>
      <c r="M37" s="616">
        <v>7.6561699981912819</v>
      </c>
      <c r="N37" s="616"/>
      <c r="O37" s="616"/>
      <c r="P37" s="4"/>
    </row>
    <row r="38" spans="3:16">
      <c r="C38" s="3" t="s">
        <v>1165</v>
      </c>
      <c r="E38" s="4">
        <f>SUM(E35:E37)</f>
        <v>13.223121472635805</v>
      </c>
      <c r="F38" s="4"/>
      <c r="G38" s="4"/>
      <c r="H38" s="4"/>
      <c r="I38" s="4">
        <f>SUM(I35:I37)</f>
        <v>21.186149435441521</v>
      </c>
      <c r="J38" s="4"/>
      <c r="K38" s="4"/>
      <c r="L38" s="4"/>
      <c r="M38" s="4">
        <f>SUM(M35:M37)</f>
        <v>64.144413029492966</v>
      </c>
      <c r="N38" s="4"/>
      <c r="O38" s="4"/>
      <c r="P38" s="4"/>
    </row>
    <row r="39" spans="3:16">
      <c r="C39" s="617" t="s">
        <v>1166</v>
      </c>
      <c r="E39" s="4">
        <f>SUM(E26:E27)</f>
        <v>18.582304194559715</v>
      </c>
      <c r="F39" s="4">
        <v>0</v>
      </c>
      <c r="G39" s="4">
        <v>0</v>
      </c>
      <c r="H39" s="4">
        <v>0</v>
      </c>
      <c r="I39" s="4">
        <f>SUM(I26:I27)</f>
        <v>55.694753961890129</v>
      </c>
      <c r="J39" s="4">
        <v>0</v>
      </c>
      <c r="K39" s="4">
        <v>0</v>
      </c>
      <c r="L39" s="4">
        <v>0</v>
      </c>
      <c r="M39" s="4">
        <f>SUM(M26:M27)</f>
        <v>77.578724453969841</v>
      </c>
      <c r="N39" s="4">
        <v>0</v>
      </c>
      <c r="O39" s="4">
        <v>0</v>
      </c>
      <c r="P39" s="4"/>
    </row>
    <row r="40" spans="3:16">
      <c r="C40" s="26" t="s">
        <v>1167</v>
      </c>
      <c r="D40" s="23"/>
      <c r="E40" s="27">
        <f>E33-E38+E34</f>
        <v>789.41384558927621</v>
      </c>
      <c r="F40" s="27">
        <v>906.33587882670997</v>
      </c>
      <c r="G40" s="27">
        <v>1011.6748465768513</v>
      </c>
      <c r="H40" s="27">
        <v>1185.4574893704462</v>
      </c>
      <c r="I40" s="27">
        <f>I33-I38+I34</f>
        <v>1308.0317282610995</v>
      </c>
      <c r="J40" s="27">
        <v>1403.02623299022</v>
      </c>
      <c r="K40" s="27">
        <v>1473.0209684423601</v>
      </c>
      <c r="L40" s="27">
        <v>1641.9032979416099</v>
      </c>
      <c r="M40" s="27">
        <f>M33-M38+M34</f>
        <v>1608.9947115697364</v>
      </c>
      <c r="N40" s="27">
        <v>1794.0949846996332</v>
      </c>
      <c r="O40" s="27">
        <v>1781.6699004932386</v>
      </c>
      <c r="P40" s="27"/>
    </row>
    <row r="41" spans="3:16">
      <c r="C41" s="3" t="s">
        <v>1168</v>
      </c>
      <c r="E41" s="4">
        <v>5020.8578789999974</v>
      </c>
      <c r="F41" s="4">
        <v>5519.0481580000005</v>
      </c>
      <c r="G41" s="4">
        <v>5876.2327650000016</v>
      </c>
      <c r="H41" s="4">
        <v>6122.8068510000039</v>
      </c>
      <c r="I41" s="4">
        <v>6065.9351947499936</v>
      </c>
      <c r="J41" s="4">
        <v>6306.3137800000122</v>
      </c>
      <c r="K41" s="4">
        <v>6287.2760260000005</v>
      </c>
      <c r="L41" s="4">
        <v>6516.9830250000086</v>
      </c>
      <c r="M41" s="4">
        <v>6747.2274290000032</v>
      </c>
      <c r="N41" s="4">
        <v>6961.8698600000052</v>
      </c>
      <c r="O41" s="4">
        <v>7378.5263910000058</v>
      </c>
      <c r="P41" s="4"/>
    </row>
    <row r="42" spans="3:16">
      <c r="C42" s="26" t="s">
        <v>1169</v>
      </c>
      <c r="D42" s="23"/>
      <c r="E42" s="27">
        <f>IFERROR(E40/E41*1000,"N/A")</f>
        <v>157.22688524824437</v>
      </c>
      <c r="F42" s="27">
        <f t="shared" ref="F42:O42" si="9">IFERROR(F40/F41*1000,"N/A")</f>
        <v>164.21959962660466</v>
      </c>
      <c r="G42" s="27">
        <f t="shared" si="9"/>
        <v>172.16384834218715</v>
      </c>
      <c r="H42" s="27">
        <f t="shared" si="9"/>
        <v>193.61340610913311</v>
      </c>
      <c r="I42" s="27">
        <f t="shared" si="9"/>
        <v>215.63562521953548</v>
      </c>
      <c r="J42" s="27">
        <f t="shared" si="9"/>
        <v>222.47961042468415</v>
      </c>
      <c r="K42" s="27">
        <f t="shared" si="9"/>
        <v>234.28603458014615</v>
      </c>
      <c r="L42" s="27">
        <f t="shared" si="9"/>
        <v>251.94223947539095</v>
      </c>
      <c r="M42" s="27">
        <f t="shared" si="9"/>
        <v>238.46753774063953</v>
      </c>
      <c r="N42" s="27">
        <f t="shared" si="9"/>
        <v>257.70303392307761</v>
      </c>
      <c r="O42" s="27">
        <f t="shared" si="9"/>
        <v>241.4669008525116</v>
      </c>
      <c r="P42" s="27"/>
    </row>
    <row r="43" spans="3:16" ht="4.5" customHeight="1"/>
    <row r="44" spans="3:16">
      <c r="C44" s="24" t="s">
        <v>1170</v>
      </c>
      <c r="E44" s="28">
        <f t="shared" ref="E44:H44" si="10">SUM(E45:E47)</f>
        <v>2.7594234679631992E-2</v>
      </c>
      <c r="F44" s="28">
        <f t="shared" si="10"/>
        <v>2.2699999999999998E-2</v>
      </c>
      <c r="G44" s="28">
        <f t="shared" si="10"/>
        <v>2.4299999999999999E-2</v>
      </c>
      <c r="H44" s="28">
        <f t="shared" si="10"/>
        <v>1.9699999999999999E-2</v>
      </c>
      <c r="I44" s="28">
        <f>SUM(I45:I47)</f>
        <v>1.2621066326449607E-2</v>
      </c>
      <c r="J44" s="28">
        <f t="shared" ref="J44:O44" si="11">SUM(J45:J47)</f>
        <v>1.3719457488301091E-2</v>
      </c>
      <c r="K44" s="28">
        <f t="shared" si="11"/>
        <v>1.6908981156226351E-2</v>
      </c>
      <c r="L44" s="28">
        <f t="shared" si="11"/>
        <v>1.5688890930363526E-2</v>
      </c>
      <c r="M44" s="28">
        <f t="shared" si="11"/>
        <v>4.5028258011470396E-3</v>
      </c>
      <c r="N44" s="28">
        <f t="shared" si="11"/>
        <v>1.9522940465036602E-2</v>
      </c>
      <c r="O44" s="28">
        <f t="shared" si="11"/>
        <v>1.7886416381209165E-3</v>
      </c>
      <c r="P44" s="28"/>
    </row>
    <row r="45" spans="3:16">
      <c r="C45" s="3" t="s">
        <v>1171</v>
      </c>
      <c r="E45" s="29">
        <v>1.3052329340387471E-2</v>
      </c>
      <c r="F45" s="29">
        <v>1.3100000000000001E-2</v>
      </c>
      <c r="G45" s="29">
        <v>1.3100000000000001E-2</v>
      </c>
      <c r="H45" s="29">
        <v>1.3100000000000001E-2</v>
      </c>
      <c r="I45" s="29">
        <v>1.5251886417567547E-2</v>
      </c>
      <c r="J45" s="29">
        <f t="shared" ref="J45:L46" si="12">I45</f>
        <v>1.5251886417567547E-2</v>
      </c>
      <c r="K45" s="29">
        <f t="shared" si="12"/>
        <v>1.5251886417567547E-2</v>
      </c>
      <c r="L45" s="29">
        <f t="shared" si="12"/>
        <v>1.5251886417567547E-2</v>
      </c>
      <c r="M45" s="29">
        <v>7.1853142466422795E-3</v>
      </c>
      <c r="N45" s="29">
        <f t="shared" ref="N45:O46" si="13">M45</f>
        <v>7.1853142466422795E-3</v>
      </c>
      <c r="O45" s="29">
        <f t="shared" si="13"/>
        <v>7.1853142466422795E-3</v>
      </c>
      <c r="P45" s="29"/>
    </row>
    <row r="46" spans="3:16">
      <c r="C46" s="3" t="s">
        <v>1172</v>
      </c>
      <c r="E46" s="29">
        <v>1.4541905339244519E-2</v>
      </c>
      <c r="F46" s="29">
        <v>1.4500000000000001E-2</v>
      </c>
      <c r="G46" s="29">
        <v>1.4500000000000001E-2</v>
      </c>
      <c r="H46" s="29">
        <v>1.4500000000000001E-2</v>
      </c>
      <c r="I46" s="29">
        <v>3.4212723765363307E-3</v>
      </c>
      <c r="J46" s="29">
        <f t="shared" si="12"/>
        <v>3.4212723765363307E-3</v>
      </c>
      <c r="K46" s="29">
        <f t="shared" si="12"/>
        <v>3.4212723765363307E-3</v>
      </c>
      <c r="L46" s="29">
        <f t="shared" si="12"/>
        <v>3.4212723765363307E-3</v>
      </c>
      <c r="M46" s="29">
        <v>-2.787334162507705E-3</v>
      </c>
      <c r="N46" s="29">
        <f t="shared" si="13"/>
        <v>-2.787334162507705E-3</v>
      </c>
      <c r="O46" s="29">
        <f t="shared" si="13"/>
        <v>-2.787334162507705E-3</v>
      </c>
      <c r="P46" s="29"/>
    </row>
    <row r="47" spans="3:16">
      <c r="C47" s="30" t="s">
        <v>1173</v>
      </c>
      <c r="E47" s="31">
        <v>0</v>
      </c>
      <c r="F47" s="31">
        <v>-4.8999999999999998E-3</v>
      </c>
      <c r="G47" s="31">
        <v>-3.3E-3</v>
      </c>
      <c r="H47" s="31">
        <v>-7.9000000000000008E-3</v>
      </c>
      <c r="I47" s="31">
        <v>-6.0520924676542723E-3</v>
      </c>
      <c r="J47" s="31">
        <v>-4.9537013058027872E-3</v>
      </c>
      <c r="K47" s="31">
        <v>-1.7641776378775273E-3</v>
      </c>
      <c r="L47" s="31">
        <v>-2.9842678637403523E-3</v>
      </c>
      <c r="M47" s="31">
        <v>1.0484571701246545E-4</v>
      </c>
      <c r="N47" s="31">
        <v>1.5124960380902028E-2</v>
      </c>
      <c r="O47" s="31">
        <v>-2.609338446013658E-3</v>
      </c>
      <c r="P47" s="31"/>
    </row>
    <row r="49" spans="3:16">
      <c r="C49" s="5" t="s">
        <v>67</v>
      </c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</row>
    <row r="50" spans="3:16" ht="3.65" customHeight="1"/>
    <row r="51" spans="3:16">
      <c r="C51" s="17" t="s">
        <v>1144</v>
      </c>
      <c r="E51" s="18">
        <f t="shared" ref="E51:G51" si="14">F51-1</f>
        <v>2013</v>
      </c>
      <c r="F51" s="18">
        <f t="shared" si="14"/>
        <v>2014</v>
      </c>
      <c r="G51" s="18">
        <f t="shared" si="14"/>
        <v>2015</v>
      </c>
      <c r="H51" s="18">
        <f>I51-1</f>
        <v>2016</v>
      </c>
      <c r="I51" s="18">
        <v>2017</v>
      </c>
      <c r="J51" s="18">
        <f>I51+1</f>
        <v>2018</v>
      </c>
      <c r="K51" s="18">
        <f t="shared" ref="K51:P51" si="15">J51+1</f>
        <v>2019</v>
      </c>
      <c r="L51" s="18">
        <f t="shared" si="15"/>
        <v>2020</v>
      </c>
      <c r="M51" s="18">
        <f t="shared" si="15"/>
        <v>2021</v>
      </c>
      <c r="N51" s="18">
        <f t="shared" si="15"/>
        <v>2022</v>
      </c>
      <c r="O51" s="18">
        <f t="shared" si="15"/>
        <v>2023</v>
      </c>
      <c r="P51" s="18">
        <f t="shared" si="15"/>
        <v>2024</v>
      </c>
    </row>
    <row r="52" spans="3:16">
      <c r="C52" s="3" t="s">
        <v>1145</v>
      </c>
      <c r="E52" s="20" t="s">
        <v>1147</v>
      </c>
      <c r="F52" s="20" t="s">
        <v>1147</v>
      </c>
      <c r="G52" s="19" t="s">
        <v>1146</v>
      </c>
      <c r="H52" s="20" t="s">
        <v>1147</v>
      </c>
      <c r="I52" s="20" t="s">
        <v>1147</v>
      </c>
      <c r="J52" s="20" t="s">
        <v>1147</v>
      </c>
      <c r="K52" s="19" t="s">
        <v>1146</v>
      </c>
      <c r="L52" s="20" t="s">
        <v>1147</v>
      </c>
      <c r="M52" s="20" t="s">
        <v>1147</v>
      </c>
      <c r="N52" s="20" t="s">
        <v>1147</v>
      </c>
      <c r="O52" s="19" t="s">
        <v>1146</v>
      </c>
      <c r="P52" s="20" t="s">
        <v>1147</v>
      </c>
    </row>
    <row r="53" spans="3:16">
      <c r="C53" s="3" t="s">
        <v>1148</v>
      </c>
      <c r="E53" s="22">
        <v>0</v>
      </c>
      <c r="F53" s="22">
        <v>0</v>
      </c>
      <c r="G53" s="21">
        <v>3090.0347351721193</v>
      </c>
      <c r="H53" s="22">
        <v>0</v>
      </c>
      <c r="I53" s="22">
        <v>0</v>
      </c>
      <c r="J53" s="22">
        <v>0</v>
      </c>
      <c r="K53" s="21">
        <v>5046.7551679628923</v>
      </c>
      <c r="L53" s="22">
        <v>0</v>
      </c>
      <c r="M53" s="22">
        <v>0</v>
      </c>
      <c r="N53" s="22">
        <v>0</v>
      </c>
      <c r="O53" s="21">
        <v>8544.9870004013137</v>
      </c>
      <c r="P53" s="21"/>
    </row>
    <row r="54" spans="3:16">
      <c r="C54" s="23" t="s">
        <v>1174</v>
      </c>
      <c r="E54" s="21"/>
      <c r="F54" s="22"/>
      <c r="G54" s="22"/>
      <c r="H54" s="22"/>
      <c r="I54" s="21"/>
      <c r="J54" s="22"/>
      <c r="K54" s="22"/>
      <c r="L54" s="22"/>
      <c r="M54" s="21"/>
      <c r="N54" s="22"/>
      <c r="O54" s="22"/>
      <c r="P54" s="22"/>
    </row>
    <row r="55" spans="3:16">
      <c r="C55" s="23" t="s">
        <v>1175</v>
      </c>
      <c r="E55" s="21"/>
      <c r="F55" s="22"/>
      <c r="G55" s="22"/>
      <c r="H55" s="22"/>
      <c r="I55" s="21"/>
      <c r="J55" s="22"/>
      <c r="K55" s="22"/>
      <c r="L55" s="22"/>
      <c r="M55" s="21"/>
      <c r="N55" s="22"/>
      <c r="O55" s="22"/>
      <c r="P55" s="22"/>
    </row>
    <row r="56" spans="3:16" ht="4.5" customHeight="1"/>
    <row r="57" spans="3:16">
      <c r="C57" s="24" t="s">
        <v>1151</v>
      </c>
      <c r="D57" s="23"/>
      <c r="E57" s="25">
        <f t="shared" ref="E57:H57" si="16">SUM(E58:E60)</f>
        <v>0</v>
      </c>
      <c r="F57" s="25">
        <f t="shared" si="16"/>
        <v>0</v>
      </c>
      <c r="G57" s="25">
        <f t="shared" si="16"/>
        <v>670.15653066493348</v>
      </c>
      <c r="H57" s="25">
        <f t="shared" si="16"/>
        <v>0</v>
      </c>
      <c r="I57" s="25">
        <f>SUM(I58:I60)</f>
        <v>0</v>
      </c>
      <c r="J57" s="25">
        <f t="shared" ref="J57:O57" si="17">SUM(J58:J60)</f>
        <v>0</v>
      </c>
      <c r="K57" s="25">
        <f t="shared" si="17"/>
        <v>845.11859281323859</v>
      </c>
      <c r="L57" s="25">
        <f t="shared" si="17"/>
        <v>0</v>
      </c>
      <c r="M57" s="25">
        <f t="shared" si="17"/>
        <v>0</v>
      </c>
      <c r="N57" s="25">
        <f t="shared" si="17"/>
        <v>0</v>
      </c>
      <c r="O57" s="25">
        <f t="shared" si="17"/>
        <v>1591.0426455148943</v>
      </c>
      <c r="P57" s="25"/>
    </row>
    <row r="58" spans="3:16">
      <c r="C58" s="3" t="s">
        <v>1152</v>
      </c>
      <c r="E58" s="4"/>
      <c r="F58" s="4"/>
      <c r="G58" s="4">
        <v>588.34515476664751</v>
      </c>
      <c r="H58" s="4"/>
      <c r="I58" s="4"/>
      <c r="J58" s="4"/>
      <c r="K58" s="4">
        <v>738.3017106482165</v>
      </c>
      <c r="L58" s="4"/>
      <c r="M58" s="4"/>
      <c r="N58" s="4"/>
      <c r="O58" s="4">
        <v>1432.8528183609114</v>
      </c>
      <c r="P58" s="4"/>
    </row>
    <row r="59" spans="3:16">
      <c r="C59" s="3" t="s">
        <v>1153</v>
      </c>
      <c r="E59" s="4"/>
      <c r="F59" s="4"/>
      <c r="G59" s="4">
        <v>14.711370737791992</v>
      </c>
      <c r="H59" s="4"/>
      <c r="I59" s="4"/>
      <c r="J59" s="4"/>
      <c r="K59" s="4">
        <v>9.4422404953891927</v>
      </c>
      <c r="L59" s="4"/>
      <c r="M59" s="4"/>
      <c r="N59" s="4"/>
      <c r="O59" s="4">
        <v>30.147785883640594</v>
      </c>
      <c r="P59" s="4"/>
    </row>
    <row r="60" spans="3:16">
      <c r="C60" s="3" t="s">
        <v>1154</v>
      </c>
      <c r="E60" s="4"/>
      <c r="F60" s="4"/>
      <c r="G60" s="4">
        <v>67.100005160493993</v>
      </c>
      <c r="H60" s="4"/>
      <c r="I60" s="4"/>
      <c r="J60" s="4"/>
      <c r="K60" s="4">
        <v>97.374641669632808</v>
      </c>
      <c r="L60" s="4"/>
      <c r="M60" s="4"/>
      <c r="N60" s="4"/>
      <c r="O60" s="4">
        <v>128.0420412703422</v>
      </c>
      <c r="P60" s="4"/>
    </row>
    <row r="61" spans="3:16">
      <c r="C61" s="24" t="s">
        <v>1155</v>
      </c>
      <c r="D61" s="23"/>
      <c r="E61" s="25">
        <f t="shared" ref="E61:H61" si="18">SUM(E62:E64)</f>
        <v>0</v>
      </c>
      <c r="F61" s="25">
        <f t="shared" si="18"/>
        <v>0</v>
      </c>
      <c r="G61" s="25">
        <f t="shared" si="18"/>
        <v>639.83337081546972</v>
      </c>
      <c r="H61" s="25">
        <f t="shared" si="18"/>
        <v>0</v>
      </c>
      <c r="I61" s="25">
        <f>SUM(I62:I64)</f>
        <v>0</v>
      </c>
      <c r="J61" s="25">
        <f t="shared" ref="J61:O61" si="19">SUM(J62:J64)</f>
        <v>0</v>
      </c>
      <c r="K61" s="25">
        <f t="shared" si="19"/>
        <v>1054.2404433369645</v>
      </c>
      <c r="L61" s="25">
        <f t="shared" si="19"/>
        <v>0</v>
      </c>
      <c r="M61" s="25">
        <f t="shared" si="19"/>
        <v>0</v>
      </c>
      <c r="N61" s="25">
        <f t="shared" si="19"/>
        <v>0</v>
      </c>
      <c r="O61" s="25">
        <f t="shared" si="19"/>
        <v>1721.3083144842458</v>
      </c>
      <c r="P61" s="25"/>
    </row>
    <row r="62" spans="3:16">
      <c r="C62" s="3" t="s">
        <v>1156</v>
      </c>
      <c r="E62" s="4"/>
      <c r="F62" s="4"/>
      <c r="G62" s="4">
        <v>405.18514404889731</v>
      </c>
      <c r="H62" s="4"/>
      <c r="I62" s="4"/>
      <c r="J62" s="4"/>
      <c r="K62" s="4">
        <v>660.41869300058852</v>
      </c>
      <c r="L62" s="4"/>
      <c r="M62" s="4"/>
      <c r="N62" s="4"/>
      <c r="O62" s="4">
        <v>1054.3882530466715</v>
      </c>
      <c r="P62" s="4"/>
    </row>
    <row r="63" spans="3:16">
      <c r="C63" s="3" t="s">
        <v>1157</v>
      </c>
      <c r="E63" s="4"/>
      <c r="F63" s="4"/>
      <c r="G63" s="4">
        <v>178.06619684612556</v>
      </c>
      <c r="H63" s="4"/>
      <c r="I63" s="4"/>
      <c r="J63" s="4"/>
      <c r="K63" s="4">
        <v>275.28918925513113</v>
      </c>
      <c r="L63" s="4"/>
      <c r="M63" s="4"/>
      <c r="N63" s="4"/>
      <c r="O63" s="4">
        <v>482.79659043036617</v>
      </c>
      <c r="P63" s="4"/>
    </row>
    <row r="64" spans="3:16">
      <c r="C64" s="3" t="s">
        <v>1158</v>
      </c>
      <c r="E64" s="4"/>
      <c r="F64" s="4"/>
      <c r="G64" s="4">
        <v>56.582029920446828</v>
      </c>
      <c r="H64" s="4"/>
      <c r="I64" s="4"/>
      <c r="J64" s="4"/>
      <c r="K64" s="4">
        <v>118.53256108124498</v>
      </c>
      <c r="L64" s="4"/>
      <c r="M64" s="4"/>
      <c r="N64" s="4"/>
      <c r="O64" s="4">
        <v>184.123471007208</v>
      </c>
      <c r="P64" s="4"/>
    </row>
    <row r="65" spans="3:16">
      <c r="C65" s="24" t="s">
        <v>1159</v>
      </c>
      <c r="D65" s="23"/>
      <c r="E65" s="25">
        <f t="shared" ref="E65:O65" si="20">E61+E57</f>
        <v>0</v>
      </c>
      <c r="F65" s="25">
        <f t="shared" si="20"/>
        <v>0</v>
      </c>
      <c r="G65" s="25">
        <f t="shared" si="20"/>
        <v>1309.9899014804032</v>
      </c>
      <c r="H65" s="25">
        <f t="shared" si="20"/>
        <v>0</v>
      </c>
      <c r="I65" s="25">
        <f>I61+I57</f>
        <v>0</v>
      </c>
      <c r="J65" s="25">
        <f t="shared" si="20"/>
        <v>0</v>
      </c>
      <c r="K65" s="25">
        <f t="shared" si="20"/>
        <v>1899.3590361502031</v>
      </c>
      <c r="L65" s="25">
        <f t="shared" si="20"/>
        <v>0</v>
      </c>
      <c r="M65" s="25">
        <f t="shared" si="20"/>
        <v>0</v>
      </c>
      <c r="N65" s="25">
        <f t="shared" si="20"/>
        <v>0</v>
      </c>
      <c r="O65" s="25">
        <f t="shared" si="20"/>
        <v>3312.3509599991403</v>
      </c>
      <c r="P65" s="25"/>
    </row>
    <row r="66" spans="3:16">
      <c r="C66" s="3" t="s">
        <v>1160</v>
      </c>
      <c r="E66" s="4"/>
      <c r="F66" s="4"/>
      <c r="G66" s="4">
        <f>G65*(1-G78-G80)</f>
        <v>1296.9119972581841</v>
      </c>
      <c r="H66" s="4"/>
      <c r="I66" s="4"/>
      <c r="J66" s="4"/>
      <c r="K66" s="4">
        <f>K65*(1-K78-K80)</f>
        <v>1883.2149906070297</v>
      </c>
      <c r="L66" s="4"/>
      <c r="M66" s="4"/>
      <c r="N66" s="4"/>
      <c r="O66" s="4">
        <f>O65*(1-O78-O80)</f>
        <v>3322.4215941261846</v>
      </c>
      <c r="P66" s="4"/>
    </row>
    <row r="67" spans="3:16">
      <c r="C67" s="3" t="s">
        <v>1161</v>
      </c>
      <c r="E67" s="4"/>
      <c r="F67" s="4"/>
      <c r="G67" s="4">
        <v>0</v>
      </c>
      <c r="H67" s="4"/>
      <c r="I67" s="4"/>
      <c r="J67" s="4"/>
      <c r="K67" s="4">
        <v>0</v>
      </c>
      <c r="L67" s="4"/>
      <c r="M67" s="4"/>
      <c r="N67" s="4"/>
      <c r="O67" s="4">
        <v>54.423117772415949</v>
      </c>
      <c r="P67" s="4"/>
    </row>
    <row r="68" spans="3:16">
      <c r="C68" s="615" t="s">
        <v>1162</v>
      </c>
      <c r="E68" s="616"/>
      <c r="F68" s="616"/>
      <c r="G68" s="4">
        <v>19.390424970914495</v>
      </c>
      <c r="H68" s="616"/>
      <c r="I68" s="616"/>
      <c r="J68" s="616"/>
      <c r="K68" s="616">
        <v>43.500289750165813</v>
      </c>
      <c r="L68" s="616"/>
      <c r="M68" s="616"/>
      <c r="N68" s="616"/>
      <c r="O68" s="616">
        <v>59.32342919148217</v>
      </c>
      <c r="P68" s="4"/>
    </row>
    <row r="69" spans="3:16">
      <c r="C69" s="615" t="s">
        <v>1163</v>
      </c>
      <c r="E69" s="616"/>
      <c r="F69" s="616"/>
      <c r="G69" s="4">
        <v>0</v>
      </c>
      <c r="H69" s="616"/>
      <c r="I69" s="616"/>
      <c r="J69" s="616"/>
      <c r="K69" s="616">
        <v>13.186833631158498</v>
      </c>
      <c r="L69" s="616"/>
      <c r="M69" s="616"/>
      <c r="N69" s="616"/>
      <c r="O69" s="616">
        <v>7.6485684617257848</v>
      </c>
      <c r="P69" s="4"/>
    </row>
    <row r="70" spans="3:16">
      <c r="C70" s="615" t="s">
        <v>1164</v>
      </c>
      <c r="E70" s="616"/>
      <c r="F70" s="616"/>
      <c r="G70" s="4">
        <v>0</v>
      </c>
      <c r="H70" s="616"/>
      <c r="I70" s="616"/>
      <c r="J70" s="616"/>
      <c r="K70" s="616">
        <v>37.412058096853698</v>
      </c>
      <c r="L70" s="616"/>
      <c r="M70" s="616"/>
      <c r="N70" s="616"/>
      <c r="O70" s="616">
        <v>15.63863752584601</v>
      </c>
      <c r="P70" s="4"/>
    </row>
    <row r="71" spans="3:16">
      <c r="C71" s="3" t="s">
        <v>1165</v>
      </c>
      <c r="E71" s="4"/>
      <c r="F71" s="4"/>
      <c r="G71" s="4">
        <f>SUM(G68:G70)</f>
        <v>19.390424970914495</v>
      </c>
      <c r="H71" s="4"/>
      <c r="I71" s="4"/>
      <c r="J71" s="4"/>
      <c r="K71" s="4">
        <f>SUM(K68:K70)</f>
        <v>94.099181478178011</v>
      </c>
      <c r="L71" s="4"/>
      <c r="M71" s="4"/>
      <c r="N71" s="4"/>
      <c r="O71" s="4">
        <f>SUM(O68:O70)</f>
        <v>82.610635179053958</v>
      </c>
      <c r="P71" s="4"/>
    </row>
    <row r="72" spans="3:16">
      <c r="C72" s="617" t="s">
        <v>1166</v>
      </c>
      <c r="E72" s="4">
        <v>0</v>
      </c>
      <c r="F72" s="4">
        <v>0</v>
      </c>
      <c r="G72" s="4">
        <f>SUM(G59:G60)</f>
        <v>81.811375898285988</v>
      </c>
      <c r="H72" s="4">
        <v>0</v>
      </c>
      <c r="I72" s="4">
        <v>0</v>
      </c>
      <c r="J72" s="4">
        <v>0</v>
      </c>
      <c r="K72" s="4">
        <f>SUM(K59:K60)</f>
        <v>106.81688216502201</v>
      </c>
      <c r="L72" s="4">
        <v>0</v>
      </c>
      <c r="M72" s="4">
        <v>0</v>
      </c>
      <c r="N72" s="4">
        <v>0</v>
      </c>
      <c r="O72" s="4">
        <f>SUM(O59:O60)</f>
        <v>158.18982715398278</v>
      </c>
      <c r="P72" s="4"/>
    </row>
    <row r="73" spans="3:16">
      <c r="C73" s="26" t="s">
        <v>1167</v>
      </c>
      <c r="D73" s="23"/>
      <c r="E73" s="27">
        <v>860.95597259825558</v>
      </c>
      <c r="F73" s="27">
        <v>1002.7007055569125</v>
      </c>
      <c r="G73" s="27">
        <f>G66-G71+G67</f>
        <v>1277.5215722872697</v>
      </c>
      <c r="H73" s="27">
        <v>1607.4404046345251</v>
      </c>
      <c r="I73" s="27">
        <v>1623.0259264737485</v>
      </c>
      <c r="J73" s="27">
        <v>1677.7774649016678</v>
      </c>
      <c r="K73" s="27">
        <f>K66-K71+K67</f>
        <v>1789.1158091288517</v>
      </c>
      <c r="L73" s="27">
        <v>2059.1592181599822</v>
      </c>
      <c r="M73" s="27">
        <v>2926.8601487178003</v>
      </c>
      <c r="N73" s="27">
        <v>3414.5081382309868</v>
      </c>
      <c r="O73" s="27">
        <f>O66-O71+O67</f>
        <v>3294.2340767195465</v>
      </c>
      <c r="P73" s="27">
        <f>3609817237.653/1000000</f>
        <v>3609.8172376529997</v>
      </c>
    </row>
    <row r="74" spans="3:16">
      <c r="C74" s="3" t="s">
        <v>1168</v>
      </c>
      <c r="E74" s="4">
        <v>6918.5990340000044</v>
      </c>
      <c r="F74" s="4">
        <v>7724.3144549999997</v>
      </c>
      <c r="G74" s="4">
        <v>7965.534236999998</v>
      </c>
      <c r="H74" s="4">
        <v>8712.0818150000123</v>
      </c>
      <c r="I74" s="4">
        <v>8757.305947000008</v>
      </c>
      <c r="J74" s="4">
        <v>8821.1328720000074</v>
      </c>
      <c r="K74" s="4">
        <v>8495.4659300000003</v>
      </c>
      <c r="L74" s="4">
        <v>8631.373062000006</v>
      </c>
      <c r="M74" s="4">
        <v>9124.5278219999927</v>
      </c>
      <c r="N74" s="4">
        <v>9559.4739769999778</v>
      </c>
      <c r="O74" s="4">
        <v>9950.3172739999936</v>
      </c>
      <c r="P74" s="4">
        <f>10762104.696/1000</f>
        <v>10762.104696</v>
      </c>
    </row>
    <row r="75" spans="3:16">
      <c r="C75" s="26" t="s">
        <v>1169</v>
      </c>
      <c r="D75" s="23"/>
      <c r="E75" s="27">
        <f t="shared" ref="E75:P75" si="21">IFERROR(E73/E74*1000,"N/A")</f>
        <v>124.44079623161683</v>
      </c>
      <c r="F75" s="27">
        <f t="shared" si="21"/>
        <v>129.81096398889582</v>
      </c>
      <c r="G75" s="27">
        <f t="shared" si="21"/>
        <v>160.38115389086741</v>
      </c>
      <c r="H75" s="27">
        <f t="shared" si="21"/>
        <v>184.50703732682092</v>
      </c>
      <c r="I75" s="27">
        <f t="shared" si="21"/>
        <v>185.33392989767006</v>
      </c>
      <c r="J75" s="27">
        <f t="shared" si="21"/>
        <v>190.19977243821594</v>
      </c>
      <c r="K75" s="27">
        <f t="shared" si="21"/>
        <v>210.59654924998935</v>
      </c>
      <c r="L75" s="27">
        <f t="shared" si="21"/>
        <v>238.56681936568353</v>
      </c>
      <c r="M75" s="27">
        <f t="shared" si="21"/>
        <v>320.76839545175125</v>
      </c>
      <c r="N75" s="27">
        <f t="shared" si="21"/>
        <v>357.18577679548764</v>
      </c>
      <c r="O75" s="27">
        <f t="shared" si="21"/>
        <v>331.06824496213028</v>
      </c>
      <c r="P75" s="27">
        <f t="shared" si="21"/>
        <v>335.41926413284909</v>
      </c>
    </row>
    <row r="76" spans="3:16" ht="4.5" customHeight="1"/>
    <row r="77" spans="3:16">
      <c r="C77" s="24" t="s">
        <v>1170</v>
      </c>
      <c r="E77" s="28">
        <f t="shared" ref="E77" si="22">SUM(E78:E80)</f>
        <v>2.464555286083684E-2</v>
      </c>
      <c r="F77" s="28">
        <f t="shared" ref="F77:H77" si="23">SUM(F78:F80)</f>
        <v>1.9645552860836839E-2</v>
      </c>
      <c r="G77" s="28">
        <f t="shared" si="23"/>
        <v>1.205741439637046E-2</v>
      </c>
      <c r="H77" s="28">
        <f t="shared" si="23"/>
        <v>1.2681460415481093E-2</v>
      </c>
      <c r="I77" s="28">
        <f>SUM(I78:I80)</f>
        <v>1.1952771104850404E-2</v>
      </c>
      <c r="J77" s="28">
        <f t="shared" ref="J77:O77" si="24">SUM(J78:J80)</f>
        <v>1.2776032615271781E-2</v>
      </c>
      <c r="K77" s="28">
        <f t="shared" si="24"/>
        <v>7.7707066734367765E-4</v>
      </c>
      <c r="L77" s="28">
        <f t="shared" si="24"/>
        <v>-3.8439971631731504E-3</v>
      </c>
      <c r="M77" s="28">
        <f t="shared" si="24"/>
        <v>-2.8580297518768219E-3</v>
      </c>
      <c r="N77" s="28">
        <f t="shared" si="24"/>
        <v>1.3787483865457088E-2</v>
      </c>
      <c r="O77" s="28">
        <f t="shared" si="24"/>
        <v>2.8335197876847192E-2</v>
      </c>
      <c r="P77" s="28">
        <v>3.2293844500120725E-2</v>
      </c>
    </row>
    <row r="78" spans="3:16">
      <c r="C78" s="3" t="s">
        <v>1171</v>
      </c>
      <c r="E78" s="29">
        <v>4.6455528608368383E-3</v>
      </c>
      <c r="F78" s="29">
        <v>4.6455528608368383E-3</v>
      </c>
      <c r="G78" s="29">
        <v>1.4983209952565154E-2</v>
      </c>
      <c r="H78" s="29">
        <f t="shared" ref="H78:J79" si="25">G78</f>
        <v>1.4983209952565154E-2</v>
      </c>
      <c r="I78" s="29">
        <f t="shared" si="25"/>
        <v>1.4983209952565154E-2</v>
      </c>
      <c r="J78" s="29">
        <f t="shared" si="25"/>
        <v>1.4983209952565154E-2</v>
      </c>
      <c r="K78" s="29">
        <v>1.1259559875184644E-2</v>
      </c>
      <c r="L78" s="29">
        <f>K78</f>
        <v>1.1259559875184644E-2</v>
      </c>
      <c r="M78" s="29">
        <f t="shared" ref="M78:N79" si="26">L78</f>
        <v>1.1259559875184644E-2</v>
      </c>
      <c r="N78" s="29">
        <f t="shared" si="26"/>
        <v>1.1259559875184644E-2</v>
      </c>
      <c r="O78" s="29">
        <v>9.9373710080662512E-3</v>
      </c>
      <c r="P78" s="29">
        <v>9.9399999999999992E-3</v>
      </c>
    </row>
    <row r="79" spans="3:16">
      <c r="C79" s="3" t="s">
        <v>1172</v>
      </c>
      <c r="E79" s="29">
        <v>0.02</v>
      </c>
      <c r="F79" s="29">
        <v>0.02</v>
      </c>
      <c r="G79" s="29">
        <v>2.0742044438053059E-3</v>
      </c>
      <c r="H79" s="29">
        <f t="shared" si="25"/>
        <v>2.0742044438053059E-3</v>
      </c>
      <c r="I79" s="29">
        <f t="shared" si="25"/>
        <v>2.0742044438053059E-3</v>
      </c>
      <c r="J79" s="29">
        <f t="shared" si="25"/>
        <v>2.0742044438053059E-3</v>
      </c>
      <c r="K79" s="29">
        <v>-7.7226627879463574E-3</v>
      </c>
      <c r="L79" s="29">
        <f>K79</f>
        <v>-7.7226627879463574E-3</v>
      </c>
      <c r="M79" s="29">
        <f t="shared" si="26"/>
        <v>-7.7226627879463574E-3</v>
      </c>
      <c r="N79" s="29">
        <f t="shared" si="26"/>
        <v>-7.7226627879463574E-3</v>
      </c>
      <c r="O79" s="29">
        <v>3.1375526105546538E-2</v>
      </c>
      <c r="P79" s="29">
        <v>3.1280000000000002E-2</v>
      </c>
    </row>
    <row r="80" spans="3:16">
      <c r="C80" s="30" t="s">
        <v>1173</v>
      </c>
      <c r="E80" s="31">
        <v>0</v>
      </c>
      <c r="F80" s="31">
        <v>-5.0000000000000001E-3</v>
      </c>
      <c r="G80" s="31">
        <v>-5.0000000000000001E-3</v>
      </c>
      <c r="H80" s="31">
        <v>-4.3759539808893681E-3</v>
      </c>
      <c r="I80" s="31">
        <v>-5.1046432915200579E-3</v>
      </c>
      <c r="J80" s="31">
        <v>-4.2813817810986787E-3</v>
      </c>
      <c r="K80" s="31">
        <v>-2.759826419894609E-3</v>
      </c>
      <c r="L80" s="31">
        <v>-7.3808942504114371E-3</v>
      </c>
      <c r="M80" s="31">
        <v>-6.3949268391151086E-3</v>
      </c>
      <c r="N80" s="31">
        <v>1.0250586778218801E-2</v>
      </c>
      <c r="O80" s="31">
        <v>-1.2977699236765597E-2</v>
      </c>
      <c r="P80" s="31">
        <v>-8.9261554998792784E-3</v>
      </c>
    </row>
    <row r="82" spans="3:16">
      <c r="C82" s="5" t="s">
        <v>69</v>
      </c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</row>
    <row r="83" spans="3:16" ht="3.65" customHeight="1"/>
    <row r="84" spans="3:16">
      <c r="C84" s="17" t="s">
        <v>1176</v>
      </c>
      <c r="E84" s="18">
        <f t="shared" ref="E84:G84" si="27">F84-1</f>
        <v>2013</v>
      </c>
      <c r="F84" s="18">
        <f t="shared" si="27"/>
        <v>2014</v>
      </c>
      <c r="G84" s="18">
        <f t="shared" si="27"/>
        <v>2015</v>
      </c>
      <c r="H84" s="18">
        <f>I84-1</f>
        <v>2016</v>
      </c>
      <c r="I84" s="18">
        <v>2017</v>
      </c>
      <c r="J84" s="18">
        <f>I84+1</f>
        <v>2018</v>
      </c>
      <c r="K84" s="18">
        <f t="shared" ref="K84:P84" si="28">J84+1</f>
        <v>2019</v>
      </c>
      <c r="L84" s="18">
        <f t="shared" si="28"/>
        <v>2020</v>
      </c>
      <c r="M84" s="18">
        <f t="shared" si="28"/>
        <v>2021</v>
      </c>
      <c r="N84" s="18">
        <f t="shared" si="28"/>
        <v>2022</v>
      </c>
      <c r="O84" s="18">
        <f t="shared" si="28"/>
        <v>2023</v>
      </c>
      <c r="P84" s="32">
        <f t="shared" si="28"/>
        <v>2024</v>
      </c>
    </row>
    <row r="85" spans="3:16">
      <c r="C85" s="3" t="s">
        <v>1145</v>
      </c>
      <c r="E85" s="19" t="s">
        <v>1146</v>
      </c>
      <c r="F85" s="20" t="s">
        <v>1147</v>
      </c>
      <c r="G85" s="20" t="s">
        <v>1147</v>
      </c>
      <c r="H85" s="20" t="s">
        <v>1147</v>
      </c>
      <c r="I85" s="20" t="s">
        <v>1147</v>
      </c>
      <c r="J85" s="20" t="s">
        <v>1147</v>
      </c>
      <c r="K85" s="20" t="s">
        <v>1147</v>
      </c>
      <c r="L85" s="19" t="s">
        <v>1177</v>
      </c>
      <c r="M85" s="20" t="s">
        <v>1147</v>
      </c>
      <c r="N85" s="20" t="s">
        <v>1147</v>
      </c>
      <c r="O85" s="19" t="s">
        <v>1146</v>
      </c>
      <c r="P85" s="20" t="s">
        <v>1147</v>
      </c>
    </row>
    <row r="86" spans="3:16">
      <c r="C86" s="3" t="s">
        <v>1148</v>
      </c>
      <c r="E86" s="21">
        <v>317.73632591177255</v>
      </c>
      <c r="F86" s="22">
        <v>0</v>
      </c>
      <c r="G86" s="21">
        <v>0</v>
      </c>
      <c r="H86" s="22">
        <v>0</v>
      </c>
      <c r="I86" s="22">
        <v>0</v>
      </c>
      <c r="J86" s="22">
        <v>0</v>
      </c>
      <c r="K86" s="21">
        <v>0</v>
      </c>
      <c r="L86" s="21">
        <v>1671.301647107229</v>
      </c>
      <c r="M86" s="22">
        <v>0</v>
      </c>
      <c r="N86" s="22">
        <v>0</v>
      </c>
      <c r="O86" s="21">
        <v>3102.549072619659</v>
      </c>
      <c r="P86" s="21"/>
    </row>
    <row r="87" spans="3:16">
      <c r="C87" s="23" t="s">
        <v>1178</v>
      </c>
      <c r="E87" s="21"/>
      <c r="F87" s="22"/>
      <c r="G87" s="22"/>
      <c r="H87" s="22"/>
      <c r="I87" s="21"/>
      <c r="J87" s="22"/>
      <c r="K87" s="22"/>
      <c r="L87" s="22"/>
      <c r="M87" s="21"/>
      <c r="N87" s="22"/>
      <c r="O87" s="22"/>
      <c r="P87" s="22"/>
    </row>
    <row r="88" spans="3:16">
      <c r="C88" s="23" t="s">
        <v>1179</v>
      </c>
      <c r="E88" s="21"/>
      <c r="F88" s="22"/>
      <c r="G88" s="22"/>
      <c r="H88" s="22"/>
      <c r="I88" s="21"/>
      <c r="J88" s="22"/>
      <c r="K88" s="22"/>
      <c r="L88" s="22"/>
      <c r="M88" s="21"/>
      <c r="N88" s="22"/>
      <c r="O88" s="22"/>
      <c r="P88" s="22"/>
    </row>
    <row r="89" spans="3:16" ht="4.5" customHeight="1"/>
    <row r="90" spans="3:16">
      <c r="C90" s="24" t="s">
        <v>1151</v>
      </c>
      <c r="D90" s="23"/>
      <c r="E90" s="25">
        <f t="shared" ref="E90:H90" si="29">SUM(E91:E93)</f>
        <v>294.54463629895469</v>
      </c>
      <c r="F90" s="25">
        <f t="shared" si="29"/>
        <v>0</v>
      </c>
      <c r="G90" s="25">
        <f t="shared" si="29"/>
        <v>0</v>
      </c>
      <c r="H90" s="25">
        <f t="shared" si="29"/>
        <v>0</v>
      </c>
      <c r="I90" s="25">
        <f>SUM(I91:I93)</f>
        <v>0</v>
      </c>
      <c r="J90" s="25">
        <f t="shared" ref="J90:O90" si="30">SUM(J91:J93)</f>
        <v>0</v>
      </c>
      <c r="K90" s="25">
        <f t="shared" si="30"/>
        <v>0</v>
      </c>
      <c r="L90" s="25">
        <f t="shared" si="30"/>
        <v>486.95731739961258</v>
      </c>
      <c r="M90" s="25">
        <f t="shared" si="30"/>
        <v>0</v>
      </c>
      <c r="N90" s="25">
        <f t="shared" si="30"/>
        <v>0</v>
      </c>
      <c r="O90" s="25">
        <f t="shared" si="30"/>
        <v>609.61827390614371</v>
      </c>
      <c r="P90" s="25"/>
    </row>
    <row r="91" spans="3:16">
      <c r="C91" s="3" t="s">
        <v>1152</v>
      </c>
      <c r="E91" s="4">
        <v>284.32433562990241</v>
      </c>
      <c r="F91" s="4"/>
      <c r="G91" s="4"/>
      <c r="H91" s="4"/>
      <c r="I91" s="4"/>
      <c r="J91" s="4"/>
      <c r="K91" s="4"/>
      <c r="L91" s="4">
        <v>486.95731739961258</v>
      </c>
      <c r="M91" s="4"/>
      <c r="N91" s="4"/>
      <c r="O91" s="4">
        <v>609.61827390614371</v>
      </c>
      <c r="P91" s="4"/>
    </row>
    <row r="92" spans="3:16">
      <c r="C92" s="3" t="s">
        <v>1153</v>
      </c>
      <c r="E92" s="4">
        <v>1.5374332694116672</v>
      </c>
      <c r="F92" s="4"/>
      <c r="G92" s="4"/>
      <c r="H92" s="4"/>
      <c r="I92" s="4"/>
      <c r="J92" s="4"/>
      <c r="K92" s="4"/>
      <c r="L92" s="4">
        <v>0</v>
      </c>
      <c r="M92" s="4"/>
      <c r="N92" s="4"/>
      <c r="O92" s="4">
        <v>0</v>
      </c>
      <c r="P92" s="4"/>
    </row>
    <row r="93" spans="3:16">
      <c r="C93" s="3" t="s">
        <v>1154</v>
      </c>
      <c r="E93" s="4">
        <v>8.6828673996406103</v>
      </c>
      <c r="F93" s="4"/>
      <c r="G93" s="4"/>
      <c r="H93" s="4"/>
      <c r="I93" s="4"/>
      <c r="J93" s="4"/>
      <c r="K93" s="4"/>
      <c r="L93" s="4">
        <v>0</v>
      </c>
      <c r="M93" s="4"/>
      <c r="N93" s="4"/>
      <c r="O93" s="4">
        <v>0</v>
      </c>
      <c r="P93" s="4"/>
    </row>
    <row r="94" spans="3:16">
      <c r="C94" s="24" t="s">
        <v>1155</v>
      </c>
      <c r="D94" s="23"/>
      <c r="E94" s="25">
        <f t="shared" ref="E94:H94" si="31">SUM(E95:E97)</f>
        <v>54.004041049106206</v>
      </c>
      <c r="F94" s="25">
        <f t="shared" si="31"/>
        <v>0</v>
      </c>
      <c r="G94" s="25">
        <f t="shared" si="31"/>
        <v>0</v>
      </c>
      <c r="H94" s="25">
        <f t="shared" si="31"/>
        <v>0</v>
      </c>
      <c r="I94" s="25">
        <f>SUM(I95:I97)</f>
        <v>0</v>
      </c>
      <c r="J94" s="25">
        <f t="shared" ref="J94:O94" si="32">SUM(J95:J97)</f>
        <v>0</v>
      </c>
      <c r="K94" s="25">
        <f t="shared" si="32"/>
        <v>0</v>
      </c>
      <c r="L94" s="25">
        <f t="shared" si="32"/>
        <v>387.15327247189668</v>
      </c>
      <c r="M94" s="25">
        <f t="shared" si="32"/>
        <v>0</v>
      </c>
      <c r="N94" s="25">
        <f t="shared" si="32"/>
        <v>0</v>
      </c>
      <c r="O94" s="25">
        <f t="shared" si="32"/>
        <v>660.69813349449225</v>
      </c>
      <c r="P94" s="25"/>
    </row>
    <row r="95" spans="3:16">
      <c r="C95" s="3" t="s">
        <v>1156</v>
      </c>
      <c r="E95" s="4">
        <v>10.914162063474167</v>
      </c>
      <c r="F95" s="4"/>
      <c r="G95" s="4"/>
      <c r="H95" s="4"/>
      <c r="I95" s="4"/>
      <c r="J95" s="4"/>
      <c r="K95" s="4"/>
      <c r="L95" s="4">
        <v>211.50678299050853</v>
      </c>
      <c r="M95" s="4"/>
      <c r="N95" s="4"/>
      <c r="O95" s="4">
        <v>393.76128567778176</v>
      </c>
      <c r="P95" s="4"/>
    </row>
    <row r="96" spans="3:16">
      <c r="C96" s="3" t="s">
        <v>1157</v>
      </c>
      <c r="E96" s="4">
        <v>24.625020156965263</v>
      </c>
      <c r="F96" s="4"/>
      <c r="G96" s="4"/>
      <c r="H96" s="4"/>
      <c r="I96" s="4"/>
      <c r="J96" s="4"/>
      <c r="K96" s="4"/>
      <c r="L96" s="4">
        <v>105.63945654369184</v>
      </c>
      <c r="M96" s="4"/>
      <c r="N96" s="4"/>
      <c r="O96" s="4">
        <v>169.27297861435949</v>
      </c>
      <c r="P96" s="4"/>
    </row>
    <row r="97" spans="3:16">
      <c r="C97" s="3" t="s">
        <v>1158</v>
      </c>
      <c r="E97" s="4">
        <v>18.464858828666777</v>
      </c>
      <c r="F97" s="4"/>
      <c r="G97" s="4"/>
      <c r="H97" s="4"/>
      <c r="I97" s="4"/>
      <c r="J97" s="4"/>
      <c r="K97" s="4"/>
      <c r="L97" s="4">
        <v>70.007032937696309</v>
      </c>
      <c r="M97" s="4"/>
      <c r="N97" s="4"/>
      <c r="O97" s="4">
        <v>97.663869202351037</v>
      </c>
      <c r="P97" s="4"/>
    </row>
    <row r="98" spans="3:16">
      <c r="C98" s="24" t="s">
        <v>1159</v>
      </c>
      <c r="D98" s="23"/>
      <c r="E98" s="25">
        <f t="shared" ref="E98:O98" si="33">E94+E90</f>
        <v>348.54867734806089</v>
      </c>
      <c r="F98" s="25">
        <f t="shared" si="33"/>
        <v>0</v>
      </c>
      <c r="G98" s="25">
        <f t="shared" si="33"/>
        <v>0</v>
      </c>
      <c r="H98" s="25">
        <f t="shared" si="33"/>
        <v>0</v>
      </c>
      <c r="I98" s="25">
        <f t="shared" si="33"/>
        <v>0</v>
      </c>
      <c r="J98" s="25">
        <f t="shared" si="33"/>
        <v>0</v>
      </c>
      <c r="K98" s="25">
        <f t="shared" si="33"/>
        <v>0</v>
      </c>
      <c r="L98" s="25">
        <f t="shared" si="33"/>
        <v>874.11058987150932</v>
      </c>
      <c r="M98" s="25">
        <f t="shared" si="33"/>
        <v>0</v>
      </c>
      <c r="N98" s="25">
        <f t="shared" si="33"/>
        <v>0</v>
      </c>
      <c r="O98" s="25">
        <f t="shared" si="33"/>
        <v>1270.3164074006359</v>
      </c>
      <c r="P98" s="25"/>
    </row>
    <row r="99" spans="3:16">
      <c r="C99" s="3" t="s">
        <v>1160</v>
      </c>
      <c r="E99" s="4">
        <f>E98*(1-E111-E113)</f>
        <v>341.0707010120413</v>
      </c>
      <c r="F99" s="4"/>
      <c r="G99" s="4"/>
      <c r="H99" s="4"/>
      <c r="I99" s="4"/>
      <c r="J99" s="4"/>
      <c r="K99" s="4"/>
      <c r="L99" s="4">
        <v>867.03008774148918</v>
      </c>
      <c r="M99" s="4"/>
      <c r="N99" s="4"/>
      <c r="O99" s="4">
        <f>O98*(1-O111-O113)</f>
        <v>1260.6014016204083</v>
      </c>
      <c r="P99" s="4"/>
    </row>
    <row r="100" spans="3:16">
      <c r="C100" s="3" t="s">
        <v>1161</v>
      </c>
      <c r="E100" s="4">
        <v>0</v>
      </c>
      <c r="F100" s="4"/>
      <c r="G100" s="4"/>
      <c r="H100" s="4"/>
      <c r="I100" s="4"/>
      <c r="J100" s="4"/>
      <c r="K100" s="4"/>
      <c r="L100" s="4">
        <v>0</v>
      </c>
      <c r="M100" s="4"/>
      <c r="N100" s="4"/>
      <c r="O100" s="4">
        <v>25.654544837630478</v>
      </c>
      <c r="P100" s="4"/>
    </row>
    <row r="101" spans="3:16">
      <c r="C101" s="615" t="s">
        <v>1162</v>
      </c>
      <c r="E101" s="616">
        <v>7.0009513150682228</v>
      </c>
      <c r="F101" s="616"/>
      <c r="G101" s="616"/>
      <c r="H101" s="616"/>
      <c r="I101" s="616"/>
      <c r="J101" s="616"/>
      <c r="K101" s="616"/>
      <c r="L101" s="616">
        <v>12.370088395344712</v>
      </c>
      <c r="M101" s="616"/>
      <c r="N101" s="616"/>
      <c r="O101" s="616">
        <v>24.265559671512371</v>
      </c>
      <c r="P101" s="4"/>
    </row>
    <row r="102" spans="3:16">
      <c r="C102" s="615" t="s">
        <v>1163</v>
      </c>
      <c r="E102" s="616">
        <v>0</v>
      </c>
      <c r="F102" s="616"/>
      <c r="G102" s="616"/>
      <c r="H102" s="616"/>
      <c r="I102" s="616"/>
      <c r="J102" s="616"/>
      <c r="K102" s="616"/>
      <c r="L102" s="616">
        <v>2.004903511214605</v>
      </c>
      <c r="M102" s="616"/>
      <c r="N102" s="616"/>
      <c r="O102" s="616">
        <v>6.0165953124255553</v>
      </c>
      <c r="P102" s="4"/>
    </row>
    <row r="103" spans="3:16">
      <c r="C103" s="615" t="s">
        <v>1164</v>
      </c>
      <c r="E103" s="616">
        <v>0</v>
      </c>
      <c r="F103" s="616"/>
      <c r="G103" s="616"/>
      <c r="H103" s="616"/>
      <c r="I103" s="616"/>
      <c r="J103" s="616"/>
      <c r="K103" s="616"/>
      <c r="L103" s="616">
        <v>5.2840518841765514</v>
      </c>
      <c r="M103" s="616"/>
      <c r="N103" s="616"/>
      <c r="O103" s="616">
        <v>6.9179807315428237</v>
      </c>
      <c r="P103" s="4"/>
    </row>
    <row r="104" spans="3:16">
      <c r="C104" s="3" t="s">
        <v>1165</v>
      </c>
      <c r="E104" s="4">
        <f>SUM(E101:E103)</f>
        <v>7.0009513150682228</v>
      </c>
      <c r="F104" s="4"/>
      <c r="G104" s="4"/>
      <c r="H104" s="4"/>
      <c r="I104" s="4"/>
      <c r="J104" s="4"/>
      <c r="K104" s="4"/>
      <c r="L104" s="4">
        <f>SUM(L101:L103)</f>
        <v>19.659043790735868</v>
      </c>
      <c r="M104" s="4"/>
      <c r="N104" s="4"/>
      <c r="O104" s="4">
        <f>SUM(O101:O103)</f>
        <v>37.200135715480748</v>
      </c>
      <c r="P104" s="4"/>
    </row>
    <row r="105" spans="3:16">
      <c r="C105" s="617" t="s">
        <v>1166</v>
      </c>
      <c r="E105" s="4">
        <f>SUM(E92:E93)</f>
        <v>10.220300669052278</v>
      </c>
      <c r="F105" s="4">
        <v>0</v>
      </c>
      <c r="G105" s="4">
        <v>0</v>
      </c>
      <c r="H105" s="4">
        <v>0</v>
      </c>
      <c r="I105" s="4">
        <v>20.318959835833024</v>
      </c>
      <c r="J105" s="4">
        <v>24.973481188447682</v>
      </c>
      <c r="K105" s="4">
        <v>22.884466331361288</v>
      </c>
      <c r="L105" s="4">
        <v>25.117282710503282</v>
      </c>
      <c r="M105" s="4">
        <v>32.75759046574337</v>
      </c>
      <c r="N105" s="4">
        <v>23.977579322116075</v>
      </c>
      <c r="O105" s="4">
        <v>27.24787302655724</v>
      </c>
      <c r="P105" s="4"/>
    </row>
    <row r="106" spans="3:16">
      <c r="C106" s="26" t="s">
        <v>1167</v>
      </c>
      <c r="D106" s="23"/>
      <c r="E106" s="27">
        <f>E99-E104+E100</f>
        <v>334.06974969697308</v>
      </c>
      <c r="F106" s="27">
        <v>363.72680019390731</v>
      </c>
      <c r="G106" s="27">
        <v>405.83930850460388</v>
      </c>
      <c r="H106" s="27">
        <v>455.66222500942314</v>
      </c>
      <c r="I106" s="27">
        <v>516.53884145230961</v>
      </c>
      <c r="J106" s="27">
        <v>498.60438726773447</v>
      </c>
      <c r="K106" s="27">
        <v>522.33639076363374</v>
      </c>
      <c r="L106" s="27">
        <f>L99-L104+L100</f>
        <v>847.37104395075335</v>
      </c>
      <c r="M106" s="27">
        <v>1001.2677042016904</v>
      </c>
      <c r="N106" s="27">
        <v>1015.4933443707814</v>
      </c>
      <c r="O106" s="27">
        <f>O99-O104+O100</f>
        <v>1249.0558107425582</v>
      </c>
      <c r="P106" s="27"/>
    </row>
    <row r="107" spans="3:16">
      <c r="C107" s="3" t="s">
        <v>1168</v>
      </c>
      <c r="E107" s="4">
        <v>2917.5428430000024</v>
      </c>
      <c r="F107" s="4">
        <v>3104.2527025414915</v>
      </c>
      <c r="G107" s="4">
        <v>3224.5680260000013</v>
      </c>
      <c r="H107" s="4">
        <v>3434.9137370000017</v>
      </c>
      <c r="I107" s="4">
        <v>3515.8133170000033</v>
      </c>
      <c r="J107" s="4">
        <v>3681.6613679999973</v>
      </c>
      <c r="K107" s="4">
        <v>3718.9874739999973</v>
      </c>
      <c r="L107" s="4">
        <v>3759.0740119999982</v>
      </c>
      <c r="M107" s="4">
        <v>4037.8642280000031</v>
      </c>
      <c r="N107" s="4">
        <v>3909.0403820000006</v>
      </c>
      <c r="O107" s="4">
        <v>4076.3706089999964</v>
      </c>
      <c r="P107" s="4"/>
    </row>
    <row r="108" spans="3:16">
      <c r="C108" s="26" t="s">
        <v>1169</v>
      </c>
      <c r="D108" s="23"/>
      <c r="E108" s="27">
        <f t="shared" ref="E108:O108" si="34">IFERROR(E106/E107*1000,"N/A")</f>
        <v>114.50380257431333</v>
      </c>
      <c r="F108" s="27">
        <f t="shared" si="34"/>
        <v>117.17048676356777</v>
      </c>
      <c r="G108" s="27">
        <f t="shared" si="34"/>
        <v>125.85850421894735</v>
      </c>
      <c r="H108" s="27">
        <f t="shared" si="34"/>
        <v>132.65608975886281</v>
      </c>
      <c r="I108" s="27">
        <f t="shared" si="34"/>
        <v>146.9187339824588</v>
      </c>
      <c r="J108" s="27">
        <f t="shared" si="34"/>
        <v>135.4291819452676</v>
      </c>
      <c r="K108" s="27">
        <f t="shared" si="34"/>
        <v>140.45123690664897</v>
      </c>
      <c r="L108" s="27">
        <f t="shared" si="34"/>
        <v>225.42015433740116</v>
      </c>
      <c r="M108" s="27">
        <f t="shared" si="34"/>
        <v>247.96963138545868</v>
      </c>
      <c r="N108" s="27">
        <f t="shared" si="34"/>
        <v>259.78072496944117</v>
      </c>
      <c r="O108" s="33">
        <f t="shared" si="34"/>
        <v>306.41370242068666</v>
      </c>
      <c r="P108" s="33"/>
    </row>
    <row r="109" spans="3:16" ht="4.5" customHeight="1"/>
    <row r="110" spans="3:16">
      <c r="C110" s="24" t="s">
        <v>1170</v>
      </c>
      <c r="E110" s="28">
        <f t="shared" ref="E110" si="35">SUM(E111:E113)</f>
        <v>4.145461114044649E-2</v>
      </c>
      <c r="F110" s="28">
        <f t="shared" ref="F110:H110" si="36">SUM(F111:F113)</f>
        <v>3.8299999999999994E-2</v>
      </c>
      <c r="G110" s="28">
        <f t="shared" si="36"/>
        <v>4.1499999999999995E-2</v>
      </c>
      <c r="H110" s="28">
        <f t="shared" si="36"/>
        <v>4.0891666666666666E-2</v>
      </c>
      <c r="I110" s="28">
        <f>SUM(I111:I113)</f>
        <v>1.3599999999999998E-2</v>
      </c>
      <c r="J110" s="28">
        <f t="shared" ref="J110:O110" si="37">SUM(J111:J113)</f>
        <v>-1.0891243024145302E-3</v>
      </c>
      <c r="K110" s="28">
        <f t="shared" si="37"/>
        <v>2.515670277148334E-3</v>
      </c>
      <c r="L110" s="28">
        <f t="shared" si="37"/>
        <v>8.2677213614064243E-3</v>
      </c>
      <c r="M110" s="28">
        <f t="shared" si="37"/>
        <v>-2.1324684712107204E-3</v>
      </c>
      <c r="N110" s="28">
        <f t="shared" si="37"/>
        <v>1.0010034343415053E-2</v>
      </c>
      <c r="O110" s="28">
        <f t="shared" si="37"/>
        <v>1.2951011235250384E-2</v>
      </c>
      <c r="P110" s="28"/>
    </row>
    <row r="111" spans="3:16">
      <c r="C111" s="3" t="s">
        <v>1171</v>
      </c>
      <c r="E111" s="29">
        <v>2.1454611140446493E-2</v>
      </c>
      <c r="F111" s="29">
        <v>2.1499999999999998E-2</v>
      </c>
      <c r="G111" s="29">
        <v>2.1499999999999998E-2</v>
      </c>
      <c r="H111" s="29">
        <v>2.3291666666666665E-2</v>
      </c>
      <c r="I111" s="29">
        <v>2.1499999999999998E-2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8.3127659055259387E-3</v>
      </c>
      <c r="P111" s="29"/>
    </row>
    <row r="112" spans="3:16">
      <c r="C112" s="3" t="s">
        <v>1172</v>
      </c>
      <c r="E112" s="29">
        <v>0.02</v>
      </c>
      <c r="F112" s="29">
        <v>0.02</v>
      </c>
      <c r="G112" s="29">
        <v>0.02</v>
      </c>
      <c r="H112" s="29">
        <v>0.02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5.3033057316218242E-3</v>
      </c>
      <c r="P112" s="29"/>
    </row>
    <row r="113" spans="3:16">
      <c r="C113" s="30" t="s">
        <v>1173</v>
      </c>
      <c r="E113" s="31">
        <v>0</v>
      </c>
      <c r="F113" s="31">
        <v>-3.2000000000000002E-3</v>
      </c>
      <c r="G113" s="31">
        <v>0</v>
      </c>
      <c r="H113" s="31">
        <v>-2.3999999999999998E-3</v>
      </c>
      <c r="I113" s="31">
        <v>-7.9000000000000008E-3</v>
      </c>
      <c r="J113" s="31">
        <v>-1.0891243024145302E-3</v>
      </c>
      <c r="K113" s="31">
        <v>2.515670277148334E-3</v>
      </c>
      <c r="L113" s="31">
        <v>8.2677213614064243E-3</v>
      </c>
      <c r="M113" s="31">
        <v>-2.1324684712107204E-3</v>
      </c>
      <c r="N113" s="31">
        <v>1.0010034343415053E-2</v>
      </c>
      <c r="O113" s="31">
        <v>-6.6506040189737853E-4</v>
      </c>
      <c r="P113" s="31"/>
    </row>
    <row r="115" spans="3:16">
      <c r="C115" s="5" t="s">
        <v>71</v>
      </c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</row>
    <row r="116" spans="3:16" ht="3.65" customHeight="1"/>
    <row r="117" spans="3:16">
      <c r="C117" s="17" t="s">
        <v>1176</v>
      </c>
      <c r="E117" s="18">
        <f t="shared" ref="E117:G117" si="38">F117-1</f>
        <v>2013</v>
      </c>
      <c r="F117" s="18">
        <f t="shared" si="38"/>
        <v>2014</v>
      </c>
      <c r="G117" s="18">
        <f t="shared" si="38"/>
        <v>2015</v>
      </c>
      <c r="H117" s="18">
        <f>I117-1</f>
        <v>2016</v>
      </c>
      <c r="I117" s="18">
        <v>2017</v>
      </c>
      <c r="J117" s="18">
        <f>I117+1</f>
        <v>2018</v>
      </c>
      <c r="K117" s="18">
        <f t="shared" ref="K117:P117" si="39">J117+1</f>
        <v>2019</v>
      </c>
      <c r="L117" s="18">
        <f t="shared" si="39"/>
        <v>2020</v>
      </c>
      <c r="M117" s="18">
        <f t="shared" si="39"/>
        <v>2021</v>
      </c>
      <c r="N117" s="18">
        <f t="shared" si="39"/>
        <v>2022</v>
      </c>
      <c r="O117" s="18">
        <f t="shared" si="39"/>
        <v>2023</v>
      </c>
      <c r="P117" s="18">
        <f t="shared" si="39"/>
        <v>2024</v>
      </c>
    </row>
    <row r="118" spans="3:16">
      <c r="C118" s="3" t="s">
        <v>1145</v>
      </c>
      <c r="E118" s="19" t="s">
        <v>1146</v>
      </c>
      <c r="F118" s="20" t="s">
        <v>1147</v>
      </c>
      <c r="G118" s="20" t="s">
        <v>1147</v>
      </c>
      <c r="H118" s="20" t="s">
        <v>1147</v>
      </c>
      <c r="I118" s="20" t="s">
        <v>1147</v>
      </c>
      <c r="J118" s="20" t="s">
        <v>1147</v>
      </c>
      <c r="K118" s="20" t="s">
        <v>1147</v>
      </c>
      <c r="L118" s="19" t="s">
        <v>1177</v>
      </c>
      <c r="M118" s="20" t="s">
        <v>1147</v>
      </c>
      <c r="N118" s="20" t="s">
        <v>1147</v>
      </c>
      <c r="O118" s="20" t="s">
        <v>1147</v>
      </c>
      <c r="P118" s="20" t="s">
        <v>1146</v>
      </c>
    </row>
    <row r="119" spans="3:16">
      <c r="C119" s="3" t="s">
        <v>1148</v>
      </c>
      <c r="E119" s="21">
        <v>443.83680174447778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1">
        <v>1354.0702513288197</v>
      </c>
      <c r="M119" s="22">
        <v>0</v>
      </c>
      <c r="N119" s="22">
        <v>0</v>
      </c>
      <c r="O119" s="21"/>
      <c r="P119" s="21">
        <v>2567.5198281197527</v>
      </c>
    </row>
    <row r="120" spans="3:16">
      <c r="C120" s="23" t="s">
        <v>1180</v>
      </c>
      <c r="E120" s="21"/>
      <c r="F120" s="22"/>
      <c r="G120" s="22"/>
      <c r="H120" s="22"/>
      <c r="I120" s="21"/>
      <c r="J120" s="22"/>
      <c r="K120" s="22"/>
      <c r="L120" s="22"/>
      <c r="M120" s="21"/>
      <c r="N120" s="22"/>
      <c r="O120" s="22"/>
      <c r="P120" s="22"/>
    </row>
    <row r="121" spans="3:16">
      <c r="C121" s="23" t="s">
        <v>1181</v>
      </c>
      <c r="E121" s="21"/>
      <c r="F121" s="22"/>
      <c r="G121" s="22"/>
      <c r="H121" s="22"/>
      <c r="I121" s="21"/>
      <c r="J121" s="22"/>
      <c r="K121" s="22"/>
      <c r="L121" s="22"/>
      <c r="M121" s="21"/>
      <c r="N121" s="22"/>
      <c r="O121" s="22"/>
      <c r="P121" s="22"/>
    </row>
    <row r="122" spans="3:16" ht="4.5" customHeight="1"/>
    <row r="123" spans="3:16">
      <c r="C123" s="24" t="s">
        <v>1151</v>
      </c>
      <c r="D123" s="23"/>
      <c r="E123" s="25">
        <f t="shared" ref="E123:H123" si="40">SUM(E124:E126)</f>
        <v>221.41709940006692</v>
      </c>
      <c r="F123" s="25">
        <f t="shared" si="40"/>
        <v>0</v>
      </c>
      <c r="G123" s="25">
        <f t="shared" si="40"/>
        <v>0</v>
      </c>
      <c r="H123" s="25">
        <f t="shared" si="40"/>
        <v>0</v>
      </c>
      <c r="I123" s="25">
        <f>SUM(I124:I126)</f>
        <v>0</v>
      </c>
      <c r="J123" s="25">
        <f t="shared" ref="J123:P123" si="41">SUM(J124:J126)</f>
        <v>0</v>
      </c>
      <c r="K123" s="25">
        <f t="shared" si="41"/>
        <v>0</v>
      </c>
      <c r="L123" s="25">
        <f t="shared" si="41"/>
        <v>377.74854972111672</v>
      </c>
      <c r="M123" s="25">
        <f t="shared" si="41"/>
        <v>0</v>
      </c>
      <c r="N123" s="25">
        <f t="shared" si="41"/>
        <v>0</v>
      </c>
      <c r="O123" s="25">
        <f t="shared" si="41"/>
        <v>0</v>
      </c>
      <c r="P123" s="25">
        <f t="shared" si="41"/>
        <v>463.02102465007226</v>
      </c>
    </row>
    <row r="124" spans="3:16">
      <c r="C124" s="3" t="s">
        <v>1152</v>
      </c>
      <c r="E124" s="4">
        <v>212.88371596476739</v>
      </c>
      <c r="F124" s="4"/>
      <c r="G124" s="4"/>
      <c r="H124" s="4"/>
      <c r="I124" s="4"/>
      <c r="J124" s="4"/>
      <c r="K124" s="4"/>
      <c r="L124" s="4">
        <v>377.74854972111672</v>
      </c>
      <c r="M124" s="4"/>
      <c r="N124" s="4"/>
      <c r="O124" s="4"/>
      <c r="P124" s="4">
        <v>463.02102465007226</v>
      </c>
    </row>
    <row r="125" spans="3:16">
      <c r="C125" s="3" t="s">
        <v>1153</v>
      </c>
      <c r="E125" s="4">
        <v>0.16376756299028078</v>
      </c>
      <c r="F125" s="4"/>
      <c r="G125" s="4"/>
      <c r="H125" s="4"/>
      <c r="I125" s="4"/>
      <c r="J125" s="4"/>
      <c r="K125" s="4"/>
      <c r="L125" s="4">
        <v>0</v>
      </c>
      <c r="M125" s="4"/>
      <c r="N125" s="4"/>
      <c r="O125" s="4"/>
      <c r="P125" s="4"/>
    </row>
    <row r="126" spans="3:16">
      <c r="C126" s="3" t="s">
        <v>1154</v>
      </c>
      <c r="E126" s="4">
        <v>8.3696158723092502</v>
      </c>
      <c r="F126" s="4"/>
      <c r="G126" s="4"/>
      <c r="H126" s="4"/>
      <c r="I126" s="4"/>
      <c r="J126" s="4"/>
      <c r="K126" s="4"/>
      <c r="L126" s="4">
        <v>0</v>
      </c>
      <c r="M126" s="4"/>
      <c r="N126" s="4"/>
      <c r="O126" s="4"/>
      <c r="P126" s="4"/>
    </row>
    <row r="127" spans="3:16">
      <c r="C127" s="24" t="s">
        <v>1155</v>
      </c>
      <c r="D127" s="23"/>
      <c r="E127" s="25">
        <f t="shared" ref="E127:H127" si="42">SUM(E128:E130)</f>
        <v>93.690141096749272</v>
      </c>
      <c r="F127" s="25">
        <f t="shared" si="42"/>
        <v>0</v>
      </c>
      <c r="G127" s="25">
        <f t="shared" si="42"/>
        <v>0</v>
      </c>
      <c r="H127" s="25">
        <f t="shared" si="42"/>
        <v>0</v>
      </c>
      <c r="I127" s="25">
        <f>SUM(I128:I130)</f>
        <v>0</v>
      </c>
      <c r="J127" s="25">
        <f t="shared" ref="J127:O127" si="43">SUM(J128:J130)</f>
        <v>0</v>
      </c>
      <c r="K127" s="25">
        <f t="shared" si="43"/>
        <v>0</v>
      </c>
      <c r="L127" s="25">
        <f t="shared" si="43"/>
        <v>298.23973319715429</v>
      </c>
      <c r="M127" s="25">
        <f t="shared" si="43"/>
        <v>0</v>
      </c>
      <c r="N127" s="25">
        <f t="shared" si="43"/>
        <v>0</v>
      </c>
      <c r="O127" s="25">
        <f t="shared" si="43"/>
        <v>0</v>
      </c>
      <c r="P127" s="25">
        <f>SUM(P128:P130)</f>
        <v>548.71541485711646</v>
      </c>
    </row>
    <row r="128" spans="3:16">
      <c r="C128" s="3" t="s">
        <v>1156</v>
      </c>
      <c r="E128" s="4">
        <v>32.844595556635682</v>
      </c>
      <c r="F128" s="4"/>
      <c r="G128" s="4"/>
      <c r="H128" s="4"/>
      <c r="I128" s="4"/>
      <c r="J128" s="4"/>
      <c r="K128" s="4"/>
      <c r="L128" s="4">
        <v>156.48462723396435</v>
      </c>
      <c r="M128" s="4"/>
      <c r="N128" s="4"/>
      <c r="O128" s="4"/>
      <c r="P128" s="4">
        <v>312.87902905336568</v>
      </c>
    </row>
    <row r="129" spans="3:16">
      <c r="C129" s="3" t="s">
        <v>1157</v>
      </c>
      <c r="E129" s="4">
        <v>43.13071820798308</v>
      </c>
      <c r="F129" s="4"/>
      <c r="G129" s="4"/>
      <c r="H129" s="4"/>
      <c r="I129" s="4"/>
      <c r="J129" s="4"/>
      <c r="K129" s="4"/>
      <c r="L129" s="4">
        <v>96.744207184073886</v>
      </c>
      <c r="M129" s="4"/>
      <c r="N129" s="4"/>
      <c r="O129" s="4"/>
      <c r="P129" s="4">
        <v>165.69891264914776</v>
      </c>
    </row>
    <row r="130" spans="3:16">
      <c r="C130" s="3" t="s">
        <v>1158</v>
      </c>
      <c r="E130" s="4">
        <v>17.714827332130504</v>
      </c>
      <c r="F130" s="4"/>
      <c r="G130" s="4"/>
      <c r="H130" s="4"/>
      <c r="I130" s="4"/>
      <c r="J130" s="4"/>
      <c r="K130" s="4"/>
      <c r="L130" s="4">
        <v>45.01089877911609</v>
      </c>
      <c r="M130" s="4"/>
      <c r="N130" s="4"/>
      <c r="O130" s="4"/>
      <c r="P130" s="4">
        <v>70.137473154603057</v>
      </c>
    </row>
    <row r="131" spans="3:16">
      <c r="C131" s="24" t="s">
        <v>1159</v>
      </c>
      <c r="D131" s="23"/>
      <c r="E131" s="25">
        <f t="shared" ref="E131:M131" si="44">E127+E123</f>
        <v>315.10724049681619</v>
      </c>
      <c r="F131" s="25">
        <f t="shared" si="44"/>
        <v>0</v>
      </c>
      <c r="G131" s="25">
        <f t="shared" si="44"/>
        <v>0</v>
      </c>
      <c r="H131" s="25">
        <f t="shared" si="44"/>
        <v>0</v>
      </c>
      <c r="I131" s="25">
        <f t="shared" si="44"/>
        <v>0</v>
      </c>
      <c r="J131" s="25">
        <f t="shared" si="44"/>
        <v>0</v>
      </c>
      <c r="K131" s="25">
        <f t="shared" si="44"/>
        <v>0</v>
      </c>
      <c r="L131" s="25">
        <f t="shared" si="44"/>
        <v>675.98828291827101</v>
      </c>
      <c r="M131" s="25">
        <f t="shared" si="44"/>
        <v>0</v>
      </c>
      <c r="N131" s="631" t="s">
        <v>371</v>
      </c>
      <c r="O131" s="25">
        <f t="shared" ref="O131" si="45">O127+O123</f>
        <v>0</v>
      </c>
      <c r="P131" s="25">
        <f>P127+P123</f>
        <v>1011.7364395071887</v>
      </c>
    </row>
    <row r="132" spans="3:16">
      <c r="C132" s="3" t="s">
        <v>1160</v>
      </c>
      <c r="E132" s="4">
        <v>307.49259039095926</v>
      </c>
      <c r="F132" s="4"/>
      <c r="G132" s="4"/>
      <c r="H132" s="4"/>
      <c r="I132" s="4"/>
      <c r="J132" s="4"/>
      <c r="K132" s="4">
        <f>K131*(1-K144-K146)</f>
        <v>0</v>
      </c>
      <c r="L132" s="4">
        <v>666.19738657389462</v>
      </c>
      <c r="M132" s="4"/>
      <c r="N132" s="4"/>
      <c r="O132" s="4">
        <f>O131*(1-O144-O146)</f>
        <v>0</v>
      </c>
      <c r="P132" s="4">
        <v>1017.1355617371709</v>
      </c>
    </row>
    <row r="133" spans="3:16">
      <c r="C133" s="3" t="s">
        <v>1161</v>
      </c>
      <c r="E133" s="4">
        <v>0</v>
      </c>
      <c r="F133" s="4"/>
      <c r="G133" s="4"/>
      <c r="H133" s="4"/>
      <c r="I133" s="4"/>
      <c r="J133" s="4"/>
      <c r="K133" s="4"/>
      <c r="L133" s="4">
        <v>0</v>
      </c>
      <c r="M133" s="4"/>
      <c r="N133" s="4"/>
      <c r="O133" s="4"/>
      <c r="P133" s="4"/>
    </row>
    <row r="134" spans="3:16">
      <c r="C134" s="615" t="s">
        <v>1162</v>
      </c>
      <c r="E134" s="616">
        <v>6.0268193620119224</v>
      </c>
      <c r="F134" s="616"/>
      <c r="G134" s="616"/>
      <c r="H134" s="616"/>
      <c r="I134" s="616"/>
      <c r="J134" s="616"/>
      <c r="K134" s="616"/>
      <c r="L134" s="616">
        <v>15.368919830834292</v>
      </c>
      <c r="M134" s="616"/>
      <c r="N134" s="616"/>
      <c r="O134" s="616"/>
      <c r="P134" s="4">
        <v>28.340342254686323</v>
      </c>
    </row>
    <row r="135" spans="3:16">
      <c r="C135" s="615" t="s">
        <v>1163</v>
      </c>
      <c r="E135" s="616">
        <v>0</v>
      </c>
      <c r="F135" s="616"/>
      <c r="G135" s="616"/>
      <c r="H135" s="616"/>
      <c r="I135" s="616"/>
      <c r="J135" s="616"/>
      <c r="K135" s="616"/>
      <c r="L135" s="616">
        <v>2.5907472043609516</v>
      </c>
      <c r="M135" s="616"/>
      <c r="N135" s="616"/>
      <c r="O135" s="616"/>
      <c r="P135" s="4">
        <v>6.3153855759079525</v>
      </c>
    </row>
    <row r="136" spans="3:16">
      <c r="C136" s="615" t="s">
        <v>1164</v>
      </c>
      <c r="E136" s="616">
        <v>0</v>
      </c>
      <c r="F136" s="616"/>
      <c r="G136" s="616"/>
      <c r="H136" s="616"/>
      <c r="I136" s="616"/>
      <c r="J136" s="616"/>
      <c r="K136" s="616"/>
      <c r="L136" s="616">
        <v>6.3854702285508855</v>
      </c>
      <c r="M136" s="616"/>
      <c r="N136" s="616"/>
      <c r="O136" s="616"/>
      <c r="P136" s="4">
        <v>8.7806830597869183</v>
      </c>
    </row>
    <row r="137" spans="3:16">
      <c r="C137" s="3" t="s">
        <v>1165</v>
      </c>
      <c r="E137" s="4">
        <f>SUM(E134:E136)</f>
        <v>6.0268193620119224</v>
      </c>
      <c r="F137" s="4"/>
      <c r="G137" s="4"/>
      <c r="H137" s="4"/>
      <c r="I137" s="4"/>
      <c r="J137" s="4"/>
      <c r="K137" s="4"/>
      <c r="L137" s="4">
        <f>SUM(L134:L136)</f>
        <v>24.345137263746132</v>
      </c>
      <c r="M137" s="4"/>
      <c r="N137" s="4"/>
      <c r="O137" s="4"/>
      <c r="P137" s="4">
        <f>SUM(P134:P136)</f>
        <v>43.43641089038119</v>
      </c>
    </row>
    <row r="138" spans="3:16">
      <c r="C138" s="617" t="s">
        <v>1166</v>
      </c>
      <c r="E138" s="4">
        <f>SUM(E125:E126)</f>
        <v>8.5333834352995304</v>
      </c>
      <c r="F138" s="4">
        <v>0</v>
      </c>
      <c r="G138" s="4">
        <v>0</v>
      </c>
      <c r="H138" s="4">
        <v>0</v>
      </c>
      <c r="I138" s="4">
        <v>17.642920799456203</v>
      </c>
      <c r="J138" s="4">
        <v>23.492582193776187</v>
      </c>
      <c r="K138" s="4">
        <v>18.522710490166283</v>
      </c>
      <c r="L138" s="4">
        <v>26.00804382769909</v>
      </c>
      <c r="M138" s="4">
        <v>27.624760121901986</v>
      </c>
      <c r="N138" s="4">
        <v>31.00093530029773</v>
      </c>
      <c r="O138" s="4">
        <v>29.001278444303324</v>
      </c>
      <c r="P138" s="4">
        <v>29.716045999999999</v>
      </c>
    </row>
    <row r="139" spans="3:16">
      <c r="C139" s="26" t="s">
        <v>1167</v>
      </c>
      <c r="D139" s="23"/>
      <c r="E139" s="27">
        <f t="shared" ref="E139:L139" si="46">E132-E137+E133</f>
        <v>301.46577102894736</v>
      </c>
      <c r="F139" s="27">
        <v>339.71863811374203</v>
      </c>
      <c r="G139" s="27">
        <v>374.08234042702298</v>
      </c>
      <c r="H139" s="27">
        <v>390.49288582977056</v>
      </c>
      <c r="I139" s="27">
        <v>466.00760707485495</v>
      </c>
      <c r="J139" s="27">
        <v>474.6189143487785</v>
      </c>
      <c r="K139" s="27">
        <v>466.28752223750837</v>
      </c>
      <c r="L139" s="27">
        <f t="shared" si="46"/>
        <v>641.85224931014852</v>
      </c>
      <c r="M139" s="27">
        <v>703.71761981788347</v>
      </c>
      <c r="N139" s="27">
        <v>799.02384367477475</v>
      </c>
      <c r="O139" s="27">
        <v>855.95278829565541</v>
      </c>
      <c r="P139" s="27">
        <v>973.69915084678962</v>
      </c>
    </row>
    <row r="140" spans="3:16">
      <c r="C140" s="3" t="s">
        <v>1168</v>
      </c>
      <c r="E140" s="4">
        <v>3311.514244</v>
      </c>
      <c r="F140" s="4">
        <v>3498.3136979999981</v>
      </c>
      <c r="G140" s="4">
        <v>3604.9415400000016</v>
      </c>
      <c r="H140" s="4">
        <v>3478.5117000000009</v>
      </c>
      <c r="I140" s="4">
        <v>3601.0475950000009</v>
      </c>
      <c r="J140" s="4">
        <v>3595.3936150000009</v>
      </c>
      <c r="K140" s="4">
        <v>3692.8885480000004</v>
      </c>
      <c r="L140" s="4">
        <v>3868.8364459999993</v>
      </c>
      <c r="M140" s="4">
        <v>3933.7521589999992</v>
      </c>
      <c r="N140" s="4">
        <v>3979.4170909999998</v>
      </c>
      <c r="O140" s="4">
        <v>4045.2279619999986</v>
      </c>
      <c r="P140" s="4">
        <v>4359.2304049999912</v>
      </c>
    </row>
    <row r="141" spans="3:16">
      <c r="C141" s="26" t="s">
        <v>1169</v>
      </c>
      <c r="D141" s="23"/>
      <c r="E141" s="33">
        <f t="shared" ref="E141:P141" si="47">IFERROR(E139/E140*1000,"N/A")</f>
        <v>91.035625643211745</v>
      </c>
      <c r="F141" s="33">
        <f t="shared" si="47"/>
        <v>97.109255327205418</v>
      </c>
      <c r="G141" s="33">
        <f t="shared" si="47"/>
        <v>103.76932226951531</v>
      </c>
      <c r="H141" s="33">
        <f t="shared" si="47"/>
        <v>112.25860928677355</v>
      </c>
      <c r="I141" s="33">
        <f t="shared" si="47"/>
        <v>129.40889971071175</v>
      </c>
      <c r="J141" s="33">
        <f t="shared" si="47"/>
        <v>132.00749769612594</v>
      </c>
      <c r="K141" s="33">
        <f t="shared" si="47"/>
        <v>126.26634033947248</v>
      </c>
      <c r="L141" s="33">
        <f t="shared" si="47"/>
        <v>165.90317483535944</v>
      </c>
      <c r="M141" s="33">
        <f t="shared" si="47"/>
        <v>178.89221063605996</v>
      </c>
      <c r="N141" s="33">
        <f t="shared" si="47"/>
        <v>200.78916720790019</v>
      </c>
      <c r="O141" s="33">
        <f t="shared" si="47"/>
        <v>211.59568665506416</v>
      </c>
      <c r="P141" s="33">
        <f t="shared" si="47"/>
        <v>223.36492003954802</v>
      </c>
    </row>
    <row r="142" spans="3:16" ht="4.5" customHeight="1"/>
    <row r="143" spans="3:16">
      <c r="C143" s="24" t="s">
        <v>1170</v>
      </c>
      <c r="E143" s="28">
        <f t="shared" ref="E143" si="48">SUM(E144:E146)</f>
        <v>2.284466319289119E-2</v>
      </c>
      <c r="F143" s="28">
        <f t="shared" ref="F143:H143" si="49">SUM(F144:F146)</f>
        <v>2.29E-2</v>
      </c>
      <c r="G143" s="28">
        <f t="shared" si="49"/>
        <v>3.2899999999999999E-2</v>
      </c>
      <c r="H143" s="28">
        <f t="shared" si="49"/>
        <v>2.4366666666666665E-2</v>
      </c>
      <c r="I143" s="28">
        <f>SUM(I144:I146)</f>
        <v>1.26E-2</v>
      </c>
      <c r="J143" s="28">
        <f t="shared" ref="J143:P143" si="50">SUM(J144:J146)</f>
        <v>1.8215744594564723E-2</v>
      </c>
      <c r="K143" s="28">
        <f t="shared" si="50"/>
        <v>4.2964421304316448E-3</v>
      </c>
      <c r="L143" s="28">
        <f t="shared" si="50"/>
        <v>1.4710917771782753E-2</v>
      </c>
      <c r="M143" s="28">
        <f t="shared" si="50"/>
        <v>-5.249640356629442E-3</v>
      </c>
      <c r="N143" s="28">
        <f t="shared" si="50"/>
        <v>1.2922809203871033E-2</v>
      </c>
      <c r="O143" s="28">
        <f t="shared" si="50"/>
        <v>-1.0608049266330136E-3</v>
      </c>
      <c r="P143" s="28">
        <f t="shared" si="50"/>
        <v>4.0441692738706229E-2</v>
      </c>
    </row>
    <row r="144" spans="3:16">
      <c r="C144" s="3" t="s">
        <v>1171</v>
      </c>
      <c r="E144" s="29">
        <v>1.7563600710785596E-2</v>
      </c>
      <c r="F144" s="29">
        <v>1.7600000000000001E-2</v>
      </c>
      <c r="G144" s="29">
        <v>1.7600000000000001E-2</v>
      </c>
      <c r="H144" s="29">
        <v>1.9066666666666666E-2</v>
      </c>
      <c r="I144" s="29">
        <v>1.7600000000000001E-2</v>
      </c>
      <c r="J144" s="29">
        <v>1.7600000000000001E-2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1.2194805303981112E-2</v>
      </c>
    </row>
    <row r="145" spans="3:16">
      <c r="C145" s="3" t="s">
        <v>1172</v>
      </c>
      <c r="E145" s="29">
        <v>5.2810624821055955E-3</v>
      </c>
      <c r="F145" s="29">
        <v>5.3E-3</v>
      </c>
      <c r="G145" s="29">
        <v>5.3E-3</v>
      </c>
      <c r="H145" s="29">
        <v>5.3E-3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2.775060317364883E-2</v>
      </c>
    </row>
    <row r="146" spans="3:16">
      <c r="C146" s="30" t="s">
        <v>1173</v>
      </c>
      <c r="E146" s="31">
        <v>0</v>
      </c>
      <c r="F146" s="31">
        <v>0</v>
      </c>
      <c r="G146" s="31">
        <v>0.01</v>
      </c>
      <c r="H146" s="31">
        <v>0</v>
      </c>
      <c r="I146" s="31">
        <v>-5.0000000000000001E-3</v>
      </c>
      <c r="J146" s="31">
        <v>6.157445945647234E-4</v>
      </c>
      <c r="K146" s="31">
        <v>4.2964421304316448E-3</v>
      </c>
      <c r="L146" s="31">
        <v>1.4710917771782753E-2</v>
      </c>
      <c r="M146" s="31">
        <v>-5.249640356629442E-3</v>
      </c>
      <c r="N146" s="31">
        <v>1.2922809203871033E-2</v>
      </c>
      <c r="O146" s="31">
        <v>-1.0608049266330136E-3</v>
      </c>
      <c r="P146" s="31">
        <v>4.9628426107628206E-4</v>
      </c>
    </row>
    <row r="148" spans="3:16">
      <c r="C148" s="5" t="s">
        <v>73</v>
      </c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</row>
    <row r="149" spans="3:16" ht="3.65" customHeight="1"/>
    <row r="150" spans="3:16">
      <c r="C150" s="17" t="s">
        <v>1176</v>
      </c>
      <c r="E150" s="18">
        <f t="shared" ref="E150:G150" si="51">F150-1</f>
        <v>2013</v>
      </c>
      <c r="F150" s="18">
        <f t="shared" si="51"/>
        <v>2014</v>
      </c>
      <c r="G150" s="18">
        <f t="shared" si="51"/>
        <v>2015</v>
      </c>
      <c r="H150" s="18">
        <f>I150-1</f>
        <v>2016</v>
      </c>
      <c r="I150" s="18">
        <v>2017</v>
      </c>
      <c r="J150" s="18">
        <f>I150+1</f>
        <v>2018</v>
      </c>
      <c r="K150" s="18">
        <f t="shared" ref="K150:P150" si="52">J150+1</f>
        <v>2019</v>
      </c>
      <c r="L150" s="18">
        <f t="shared" si="52"/>
        <v>2020</v>
      </c>
      <c r="M150" s="18">
        <f t="shared" si="52"/>
        <v>2021</v>
      </c>
      <c r="N150" s="18">
        <f t="shared" si="52"/>
        <v>2022</v>
      </c>
      <c r="O150" s="18">
        <f t="shared" si="52"/>
        <v>2023</v>
      </c>
      <c r="P150" s="32">
        <f t="shared" si="52"/>
        <v>2024</v>
      </c>
    </row>
    <row r="151" spans="3:16">
      <c r="C151" s="3" t="s">
        <v>1145</v>
      </c>
      <c r="E151" s="20" t="s">
        <v>1147</v>
      </c>
      <c r="F151" s="20" t="s">
        <v>1147</v>
      </c>
      <c r="G151" s="20" t="s">
        <v>1147</v>
      </c>
      <c r="H151" s="19" t="s">
        <v>1146</v>
      </c>
      <c r="I151" s="20" t="s">
        <v>1147</v>
      </c>
      <c r="J151" s="20" t="s">
        <v>1147</v>
      </c>
      <c r="K151" s="20" t="s">
        <v>1147</v>
      </c>
      <c r="L151" s="20" t="s">
        <v>1147</v>
      </c>
      <c r="M151" s="19" t="s">
        <v>1146</v>
      </c>
      <c r="N151" s="20" t="s">
        <v>1147</v>
      </c>
      <c r="O151" s="20" t="s">
        <v>1147</v>
      </c>
      <c r="P151" s="20" t="s">
        <v>1147</v>
      </c>
    </row>
    <row r="152" spans="3:16">
      <c r="C152" s="3" t="s">
        <v>1148</v>
      </c>
      <c r="E152" s="22">
        <v>0</v>
      </c>
      <c r="F152" s="22">
        <v>0</v>
      </c>
      <c r="G152" s="21"/>
      <c r="H152" s="21">
        <v>1688.8905499205889</v>
      </c>
      <c r="I152" s="22">
        <v>0</v>
      </c>
      <c r="J152" s="22">
        <v>0</v>
      </c>
      <c r="K152" s="21"/>
      <c r="L152" s="22">
        <v>0</v>
      </c>
      <c r="M152" s="21">
        <v>2953.4600352930588</v>
      </c>
      <c r="N152" s="22">
        <v>0</v>
      </c>
      <c r="O152" s="21"/>
      <c r="P152" s="21"/>
    </row>
    <row r="153" spans="3:16">
      <c r="C153" s="23" t="s">
        <v>1182</v>
      </c>
      <c r="E153" s="21"/>
      <c r="F153" s="22"/>
      <c r="G153" s="22"/>
      <c r="H153" s="22"/>
      <c r="I153" s="21"/>
      <c r="J153" s="22"/>
      <c r="K153" s="22"/>
      <c r="L153" s="22"/>
      <c r="M153" s="21"/>
      <c r="N153" s="22"/>
      <c r="O153" s="22"/>
      <c r="P153" s="22"/>
    </row>
    <row r="154" spans="3:16">
      <c r="C154" s="23" t="s">
        <v>1183</v>
      </c>
      <c r="E154" s="21"/>
      <c r="F154" s="22"/>
      <c r="G154" s="22"/>
      <c r="H154" s="22"/>
      <c r="I154" s="21"/>
      <c r="J154" s="22"/>
      <c r="K154" s="22"/>
      <c r="L154" s="22"/>
      <c r="M154" s="21"/>
      <c r="N154" s="22"/>
      <c r="O154" s="22"/>
      <c r="P154" s="22"/>
    </row>
    <row r="155" spans="3:16" ht="4.5" customHeight="1"/>
    <row r="156" spans="3:16">
      <c r="C156" s="24" t="s">
        <v>1151</v>
      </c>
      <c r="D156" s="23"/>
      <c r="E156" s="25">
        <f t="shared" ref="E156:H156" si="53">SUM(E157:E159)</f>
        <v>0</v>
      </c>
      <c r="F156" s="25">
        <f t="shared" si="53"/>
        <v>0</v>
      </c>
      <c r="G156" s="25">
        <f t="shared" si="53"/>
        <v>0</v>
      </c>
      <c r="H156" s="25">
        <f t="shared" si="53"/>
        <v>382.2675507166087</v>
      </c>
      <c r="I156" s="25">
        <f>SUM(I157:I159)</f>
        <v>0</v>
      </c>
      <c r="J156" s="25">
        <f t="shared" ref="J156:O156" si="54">SUM(J157:J159)</f>
        <v>0</v>
      </c>
      <c r="K156" s="25">
        <f t="shared" si="54"/>
        <v>0</v>
      </c>
      <c r="L156" s="25">
        <f t="shared" si="54"/>
        <v>0</v>
      </c>
      <c r="M156" s="25">
        <f t="shared" si="54"/>
        <v>445.61939902168098</v>
      </c>
      <c r="N156" s="25">
        <f t="shared" si="54"/>
        <v>0</v>
      </c>
      <c r="O156" s="25">
        <f t="shared" si="54"/>
        <v>0</v>
      </c>
      <c r="P156" s="25"/>
    </row>
    <row r="157" spans="3:16">
      <c r="C157" s="3" t="s">
        <v>1152</v>
      </c>
      <c r="E157" s="4"/>
      <c r="F157" s="4"/>
      <c r="G157" s="4"/>
      <c r="H157" s="4">
        <v>356.02983264543229</v>
      </c>
      <c r="I157" s="4"/>
      <c r="J157" s="4"/>
      <c r="K157" s="4"/>
      <c r="L157" s="4"/>
      <c r="M157" s="4">
        <v>445.61939902168098</v>
      </c>
      <c r="N157" s="4"/>
      <c r="O157" s="4"/>
      <c r="P157" s="4"/>
    </row>
    <row r="158" spans="3:16">
      <c r="C158" s="3" t="s">
        <v>1153</v>
      </c>
      <c r="E158" s="4"/>
      <c r="F158" s="4"/>
      <c r="G158" s="4"/>
      <c r="H158" s="4">
        <v>7.8601822173388172</v>
      </c>
      <c r="I158" s="4"/>
      <c r="J158" s="4"/>
      <c r="K158" s="4"/>
      <c r="L158" s="4"/>
      <c r="M158" s="4">
        <v>0</v>
      </c>
      <c r="N158" s="4"/>
      <c r="O158" s="4"/>
      <c r="P158" s="4"/>
    </row>
    <row r="159" spans="3:16">
      <c r="C159" s="3" t="s">
        <v>1154</v>
      </c>
      <c r="E159" s="4"/>
      <c r="F159" s="4"/>
      <c r="G159" s="4"/>
      <c r="H159" s="4">
        <v>18.377535853837546</v>
      </c>
      <c r="I159" s="4"/>
      <c r="J159" s="4"/>
      <c r="K159" s="4"/>
      <c r="L159" s="4"/>
      <c r="M159" s="4">
        <v>0</v>
      </c>
      <c r="N159" s="4"/>
      <c r="O159" s="4"/>
      <c r="P159" s="4"/>
    </row>
    <row r="160" spans="3:16">
      <c r="C160" s="24" t="s">
        <v>1155</v>
      </c>
      <c r="D160" s="23"/>
      <c r="E160" s="25">
        <f t="shared" ref="E160:H160" si="55">SUM(E161:E163)</f>
        <v>0</v>
      </c>
      <c r="F160" s="25">
        <f t="shared" si="55"/>
        <v>0</v>
      </c>
      <c r="G160" s="25">
        <f t="shared" si="55"/>
        <v>0</v>
      </c>
      <c r="H160" s="25">
        <f t="shared" si="55"/>
        <v>378.67965990833198</v>
      </c>
      <c r="I160" s="25">
        <f>SUM(I161:I163)</f>
        <v>0</v>
      </c>
      <c r="J160" s="25">
        <f t="shared" ref="J160:O160" si="56">SUM(J161:J163)</f>
        <v>0</v>
      </c>
      <c r="K160" s="25">
        <f t="shared" si="56"/>
        <v>0</v>
      </c>
      <c r="L160" s="25">
        <f t="shared" si="56"/>
        <v>0</v>
      </c>
      <c r="M160" s="25">
        <f t="shared" si="56"/>
        <v>587.43939795531196</v>
      </c>
      <c r="N160" s="25">
        <f t="shared" si="56"/>
        <v>0</v>
      </c>
      <c r="O160" s="25">
        <f t="shared" si="56"/>
        <v>0</v>
      </c>
      <c r="P160" s="25"/>
    </row>
    <row r="161" spans="3:16">
      <c r="C161" s="3" t="s">
        <v>1156</v>
      </c>
      <c r="E161" s="4"/>
      <c r="F161" s="4"/>
      <c r="G161" s="4"/>
      <c r="H161" s="4">
        <v>212.34458975504759</v>
      </c>
      <c r="I161" s="4"/>
      <c r="J161" s="4"/>
      <c r="K161" s="4"/>
      <c r="L161" s="4"/>
      <c r="M161" s="4">
        <v>325.29019777367989</v>
      </c>
      <c r="N161" s="4"/>
      <c r="O161" s="4"/>
      <c r="P161" s="4"/>
    </row>
    <row r="162" spans="3:16">
      <c r="C162" s="3" t="s">
        <v>1157</v>
      </c>
      <c r="E162" s="4"/>
      <c r="F162" s="4"/>
      <c r="G162" s="4"/>
      <c r="H162" s="4">
        <v>115.59409243762003</v>
      </c>
      <c r="I162" s="4"/>
      <c r="J162" s="4"/>
      <c r="K162" s="4"/>
      <c r="L162" s="4"/>
      <c r="M162" s="4">
        <v>188.65099915623921</v>
      </c>
      <c r="N162" s="4"/>
      <c r="O162" s="4"/>
      <c r="P162" s="4"/>
    </row>
    <row r="163" spans="3:16">
      <c r="C163" s="3" t="s">
        <v>1158</v>
      </c>
      <c r="E163" s="4"/>
      <c r="F163" s="4"/>
      <c r="G163" s="4"/>
      <c r="H163" s="4">
        <v>50.740977715664357</v>
      </c>
      <c r="I163" s="4"/>
      <c r="J163" s="4"/>
      <c r="K163" s="4"/>
      <c r="L163" s="4"/>
      <c r="M163" s="4">
        <v>73.498201025392859</v>
      </c>
      <c r="N163" s="4"/>
      <c r="O163" s="4"/>
      <c r="P163" s="4"/>
    </row>
    <row r="164" spans="3:16">
      <c r="C164" s="24" t="s">
        <v>1159</v>
      </c>
      <c r="D164" s="23"/>
      <c r="E164" s="25">
        <f t="shared" ref="E164:H164" si="57">E160+E156</f>
        <v>0</v>
      </c>
      <c r="F164" s="25">
        <f t="shared" si="57"/>
        <v>0</v>
      </c>
      <c r="G164" s="25">
        <f t="shared" si="57"/>
        <v>0</v>
      </c>
      <c r="H164" s="25">
        <f t="shared" si="57"/>
        <v>760.94721062494068</v>
      </c>
      <c r="I164" s="25">
        <f>I160+I156</f>
        <v>0</v>
      </c>
      <c r="J164" s="25"/>
      <c r="K164" s="25">
        <f t="shared" ref="K164" si="58">K160+K156</f>
        <v>0</v>
      </c>
      <c r="L164" s="25"/>
      <c r="M164" s="25">
        <f t="shared" ref="M164" si="59">M160+M156</f>
        <v>1033.0587969769929</v>
      </c>
      <c r="N164" s="25"/>
      <c r="O164" s="25">
        <f t="shared" ref="O164" si="60">O160+O156</f>
        <v>0</v>
      </c>
      <c r="P164" s="25"/>
    </row>
    <row r="165" spans="3:16">
      <c r="C165" s="3" t="s">
        <v>1160</v>
      </c>
      <c r="E165" s="4"/>
      <c r="F165" s="4"/>
      <c r="G165" s="4"/>
      <c r="H165" s="4">
        <f>H164*(1-H177-H179)</f>
        <v>757.24914562505205</v>
      </c>
      <c r="I165" s="4"/>
      <c r="J165" s="4"/>
      <c r="K165" s="4">
        <f>K164*(1-K177-K179)</f>
        <v>0</v>
      </c>
      <c r="L165" s="4"/>
      <c r="M165" s="4">
        <f>M164*(1-M177-M179)</f>
        <v>1026.4397924712816</v>
      </c>
      <c r="N165" s="4"/>
      <c r="O165" s="4">
        <f>O164*(1-O177-O179)</f>
        <v>0</v>
      </c>
      <c r="P165" s="4"/>
    </row>
    <row r="166" spans="3:16">
      <c r="C166" s="3" t="s">
        <v>1161</v>
      </c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</row>
    <row r="167" spans="3:16">
      <c r="C167" s="615" t="s">
        <v>1162</v>
      </c>
      <c r="E167" s="616"/>
      <c r="F167" s="616"/>
      <c r="G167" s="616"/>
      <c r="H167" s="616"/>
      <c r="I167" s="616"/>
      <c r="J167" s="616"/>
      <c r="K167" s="616"/>
      <c r="L167" s="616"/>
      <c r="M167" s="616">
        <v>51.666852989334821</v>
      </c>
      <c r="N167" s="616"/>
      <c r="O167" s="616"/>
      <c r="P167" s="4"/>
    </row>
    <row r="168" spans="3:16">
      <c r="C168" s="615" t="s">
        <v>1163</v>
      </c>
      <c r="E168" s="616"/>
      <c r="F168" s="616"/>
      <c r="G168" s="616"/>
      <c r="H168" s="616"/>
      <c r="I168" s="616"/>
      <c r="J168" s="616"/>
      <c r="K168" s="616"/>
      <c r="L168" s="616"/>
      <c r="M168" s="616">
        <v>9.3482583311613698</v>
      </c>
      <c r="N168" s="616"/>
      <c r="O168" s="616"/>
      <c r="P168" s="4"/>
    </row>
    <row r="169" spans="3:16">
      <c r="C169" s="615" t="s">
        <v>1164</v>
      </c>
      <c r="E169" s="616"/>
      <c r="F169" s="616"/>
      <c r="G169" s="616"/>
      <c r="H169" s="616"/>
      <c r="I169" s="616"/>
      <c r="J169" s="616"/>
      <c r="K169" s="616"/>
      <c r="L169" s="616"/>
      <c r="M169" s="616">
        <v>14.874370406335213</v>
      </c>
      <c r="N169" s="616"/>
      <c r="O169" s="616"/>
      <c r="P169" s="4"/>
    </row>
    <row r="170" spans="3:16">
      <c r="C170" s="3" t="s">
        <v>1165</v>
      </c>
      <c r="E170" s="4"/>
      <c r="F170" s="4"/>
      <c r="G170" s="4"/>
      <c r="H170" s="4">
        <v>23.041184356152595</v>
      </c>
      <c r="I170" s="4"/>
      <c r="J170" s="4"/>
      <c r="K170" s="4"/>
      <c r="L170" s="4"/>
      <c r="M170" s="4">
        <v>75.889481726831406</v>
      </c>
      <c r="N170" s="4"/>
      <c r="O170" s="4"/>
      <c r="P170" s="4"/>
    </row>
    <row r="171" spans="3:16">
      <c r="C171" s="617" t="s">
        <v>1166</v>
      </c>
      <c r="E171" s="4">
        <v>0</v>
      </c>
      <c r="F171" s="4">
        <v>0</v>
      </c>
      <c r="G171" s="4">
        <v>0</v>
      </c>
      <c r="H171" s="4">
        <f>SUM(H158:H159)</f>
        <v>26.237718071176364</v>
      </c>
      <c r="I171" s="4">
        <v>28.783900191575199</v>
      </c>
      <c r="J171" s="4">
        <v>30.68361202692504</v>
      </c>
      <c r="K171" s="4">
        <v>28.566825370661583</v>
      </c>
      <c r="L171" s="4">
        <v>30.076662088288675</v>
      </c>
      <c r="M171" s="4">
        <v>35.557520396352949</v>
      </c>
      <c r="N171" s="4">
        <v>42.716772833768623</v>
      </c>
      <c r="O171" s="4">
        <v>36.175542517779355</v>
      </c>
      <c r="P171" s="4"/>
    </row>
    <row r="172" spans="3:16">
      <c r="C172" s="26" t="s">
        <v>1167</v>
      </c>
      <c r="D172" s="23"/>
      <c r="E172" s="27">
        <v>552.62533374183693</v>
      </c>
      <c r="F172" s="27">
        <v>591.3350722459428</v>
      </c>
      <c r="G172" s="27">
        <v>638.34159937336267</v>
      </c>
      <c r="H172" s="27">
        <f t="shared" ref="H172" si="61">H165-H170+H166</f>
        <v>734.20796126889945</v>
      </c>
      <c r="I172" s="27">
        <v>726.59538906296723</v>
      </c>
      <c r="J172" s="27">
        <v>738.91842983165657</v>
      </c>
      <c r="K172" s="27">
        <v>779.97403557187397</v>
      </c>
      <c r="L172" s="27">
        <v>805.68857940341059</v>
      </c>
      <c r="M172" s="27">
        <f t="shared" ref="M172" si="62">M165-M170+M166</f>
        <v>950.55031074445026</v>
      </c>
      <c r="N172" s="27">
        <v>1048.528272564879</v>
      </c>
      <c r="O172" s="27">
        <v>1204.0611362290501</v>
      </c>
      <c r="P172" s="27"/>
    </row>
    <row r="173" spans="3:16">
      <c r="C173" s="3" t="s">
        <v>1168</v>
      </c>
      <c r="E173" s="4">
        <v>8570.7942300000032</v>
      </c>
      <c r="F173" s="4">
        <v>8900.2548699999988</v>
      </c>
      <c r="G173" s="4">
        <v>8794.1282850000007</v>
      </c>
      <c r="H173" s="4">
        <v>8085.6476409999987</v>
      </c>
      <c r="I173" s="4">
        <v>8142.731808999999</v>
      </c>
      <c r="J173" s="4">
        <v>8143.6930879999945</v>
      </c>
      <c r="K173" s="4">
        <v>7990.3905909999985</v>
      </c>
      <c r="L173" s="4">
        <v>7892.4498429999949</v>
      </c>
      <c r="M173" s="4">
        <v>7643.4839060000077</v>
      </c>
      <c r="N173" s="4">
        <v>7980.7688229999949</v>
      </c>
      <c r="O173" s="4">
        <v>8310.119074000002</v>
      </c>
      <c r="P173" s="4"/>
    </row>
    <row r="174" spans="3:16">
      <c r="C174" s="26" t="s">
        <v>1169</v>
      </c>
      <c r="D174" s="23"/>
      <c r="E174" s="33">
        <f t="shared" ref="E174:O174" si="63">IFERROR(E172/E173*1000,"N/A")</f>
        <v>64.477727374145203</v>
      </c>
      <c r="F174" s="33">
        <f t="shared" si="63"/>
        <v>66.440240294595384</v>
      </c>
      <c r="G174" s="33">
        <f t="shared" si="63"/>
        <v>72.587251252881018</v>
      </c>
      <c r="H174" s="33">
        <f t="shared" si="63"/>
        <v>90.803853181276608</v>
      </c>
      <c r="I174" s="33">
        <f t="shared" si="63"/>
        <v>89.232386145872553</v>
      </c>
      <c r="J174" s="33">
        <f t="shared" si="63"/>
        <v>90.735053721569855</v>
      </c>
      <c r="K174" s="33">
        <f t="shared" si="63"/>
        <v>97.614006060029183</v>
      </c>
      <c r="L174" s="33">
        <f t="shared" si="63"/>
        <v>102.08345892980179</v>
      </c>
      <c r="M174" s="33">
        <f t="shared" si="63"/>
        <v>124.36087030919029</v>
      </c>
      <c r="N174" s="33">
        <f t="shared" si="63"/>
        <v>131.38186255227652</v>
      </c>
      <c r="O174" s="33">
        <f t="shared" si="63"/>
        <v>144.89096070791751</v>
      </c>
      <c r="P174" s="33"/>
    </row>
    <row r="175" spans="3:16" ht="4.5" customHeight="1"/>
    <row r="176" spans="3:16">
      <c r="C176" s="24" t="s">
        <v>1170</v>
      </c>
      <c r="E176" s="28">
        <f t="shared" ref="E176" si="64">SUM(E177:E179)</f>
        <v>1.6827937054284821E-2</v>
      </c>
      <c r="F176" s="28">
        <f t="shared" ref="F176:H176" si="65">SUM(F177:F179)</f>
        <v>2.1927937054284821E-2</v>
      </c>
      <c r="G176" s="28">
        <f t="shared" si="65"/>
        <v>1.982793705428482E-2</v>
      </c>
      <c r="H176" s="28">
        <f t="shared" si="65"/>
        <v>-1.2500971852715105E-2</v>
      </c>
      <c r="I176" s="28">
        <f>SUM(I177:I179)</f>
        <v>-6.0763666656657419E-3</v>
      </c>
      <c r="J176" s="28">
        <f t="shared" ref="J176:O176" si="66">SUM(J177:J179)</f>
        <v>8.9972874181680311E-4</v>
      </c>
      <c r="K176" s="28">
        <f t="shared" si="66"/>
        <v>-1.1305638373560838E-2</v>
      </c>
      <c r="L176" s="28">
        <f t="shared" si="66"/>
        <v>4.2922090217980147E-3</v>
      </c>
      <c r="M176" s="28">
        <f t="shared" si="66"/>
        <v>6.407190495914112E-3</v>
      </c>
      <c r="N176" s="28">
        <f t="shared" si="66"/>
        <v>-1.5160197706544851E-2</v>
      </c>
      <c r="O176" s="28">
        <f t="shared" si="66"/>
        <v>-1.1024642163723172E-2</v>
      </c>
      <c r="P176" s="28"/>
    </row>
    <row r="177" spans="3:16">
      <c r="C177" s="3" t="s">
        <v>1171</v>
      </c>
      <c r="E177" s="29">
        <v>1.1927937054284819E-2</v>
      </c>
      <c r="F177" s="29">
        <v>1.1927937054284819E-2</v>
      </c>
      <c r="G177" s="29">
        <v>1.1927937054284819E-2</v>
      </c>
      <c r="H177" s="29">
        <v>1.0259818063925341E-2</v>
      </c>
      <c r="I177" s="29">
        <v>1.03E-2</v>
      </c>
      <c r="J177" s="29">
        <v>1.03E-2</v>
      </c>
      <c r="K177" s="29">
        <v>1.03E-2</v>
      </c>
      <c r="L177" s="29">
        <v>1.03E-2</v>
      </c>
      <c r="M177" s="29">
        <v>-1.0614312259113077E-3</v>
      </c>
      <c r="N177" s="29">
        <v>9.3065130615329998E-4</v>
      </c>
      <c r="O177" s="29">
        <v>3.6389792866597277E-3</v>
      </c>
      <c r="P177" s="29"/>
    </row>
    <row r="178" spans="3:16">
      <c r="C178" s="3" t="s">
        <v>1172</v>
      </c>
      <c r="E178" s="29">
        <v>0</v>
      </c>
      <c r="F178" s="29">
        <v>0</v>
      </c>
      <c r="G178" s="29">
        <v>0</v>
      </c>
      <c r="H178" s="29">
        <v>-1.7360789916640446E-2</v>
      </c>
      <c r="I178" s="29">
        <v>-1.7399999999999999E-2</v>
      </c>
      <c r="J178" s="29">
        <v>-1.7399999999999999E-2</v>
      </c>
      <c r="K178" s="29">
        <v>-1.7399999999999999E-2</v>
      </c>
      <c r="L178" s="29">
        <v>-1.7399999999999999E-2</v>
      </c>
      <c r="M178" s="29">
        <v>0</v>
      </c>
      <c r="N178" s="29">
        <v>-1.6799999999999999E-2</v>
      </c>
      <c r="O178" s="29">
        <v>-1.6620055980395579E-2</v>
      </c>
      <c r="P178" s="29"/>
    </row>
    <row r="179" spans="3:16">
      <c r="C179" s="30" t="s">
        <v>1173</v>
      </c>
      <c r="E179" s="31">
        <v>4.8999999999999998E-3</v>
      </c>
      <c r="F179" s="31">
        <v>0.01</v>
      </c>
      <c r="G179" s="31">
        <v>7.9000000000000008E-3</v>
      </c>
      <c r="H179" s="31">
        <v>-5.4000000000000003E-3</v>
      </c>
      <c r="I179" s="31">
        <v>1.023633334334257E-3</v>
      </c>
      <c r="J179" s="31">
        <v>7.9997287418168018E-3</v>
      </c>
      <c r="K179" s="31">
        <v>-4.2056383735608405E-3</v>
      </c>
      <c r="L179" s="31">
        <v>1.1392209021798013E-2</v>
      </c>
      <c r="M179" s="31">
        <v>7.4686217218254197E-3</v>
      </c>
      <c r="N179" s="31">
        <v>7.0915098730184984E-4</v>
      </c>
      <c r="O179" s="31">
        <v>1.95643453001268E-3</v>
      </c>
      <c r="P179" s="31"/>
    </row>
    <row r="181" spans="3:16">
      <c r="C181" s="5" t="s">
        <v>75</v>
      </c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</row>
    <row r="182" spans="3:16" ht="3.65" customHeight="1"/>
    <row r="183" spans="3:16">
      <c r="C183" s="17" t="s">
        <v>1176</v>
      </c>
      <c r="E183" s="18">
        <f t="shared" ref="E183:G183" si="67">F183-1</f>
        <v>2013</v>
      </c>
      <c r="F183" s="18">
        <f t="shared" si="67"/>
        <v>2014</v>
      </c>
      <c r="G183" s="18">
        <f t="shared" si="67"/>
        <v>2015</v>
      </c>
      <c r="H183" s="18">
        <f>I183-1</f>
        <v>2016</v>
      </c>
      <c r="I183" s="18">
        <v>2017</v>
      </c>
      <c r="J183" s="18">
        <f>I183+1</f>
        <v>2018</v>
      </c>
      <c r="K183" s="18">
        <f t="shared" ref="K183:P183" si="68">J183+1</f>
        <v>2019</v>
      </c>
      <c r="L183" s="18">
        <f t="shared" si="68"/>
        <v>2020</v>
      </c>
      <c r="M183" s="18">
        <f t="shared" si="68"/>
        <v>2021</v>
      </c>
      <c r="N183" s="18">
        <f t="shared" si="68"/>
        <v>2022</v>
      </c>
      <c r="O183" s="32">
        <f t="shared" si="68"/>
        <v>2023</v>
      </c>
      <c r="P183" s="32">
        <f t="shared" si="68"/>
        <v>2024</v>
      </c>
    </row>
    <row r="184" spans="3:16">
      <c r="C184" s="3" t="s">
        <v>1145</v>
      </c>
      <c r="E184" s="20" t="s">
        <v>1147</v>
      </c>
      <c r="F184" s="20" t="s">
        <v>1147</v>
      </c>
      <c r="G184" s="20" t="s">
        <v>1147</v>
      </c>
      <c r="H184" s="20" t="s">
        <v>1147</v>
      </c>
      <c r="I184" s="19" t="s">
        <v>1146</v>
      </c>
      <c r="J184" s="20" t="s">
        <v>1147</v>
      </c>
      <c r="K184" s="20" t="s">
        <v>1147</v>
      </c>
      <c r="L184" s="20" t="s">
        <v>1147</v>
      </c>
      <c r="M184" s="20" t="s">
        <v>1147</v>
      </c>
      <c r="N184" s="20" t="s">
        <v>1147</v>
      </c>
      <c r="O184" s="19" t="s">
        <v>1146</v>
      </c>
      <c r="P184" s="20" t="s">
        <v>1147</v>
      </c>
    </row>
    <row r="185" spans="3:16">
      <c r="C185" s="3" t="s">
        <v>1148</v>
      </c>
      <c r="E185" s="22">
        <v>0</v>
      </c>
      <c r="F185" s="22">
        <v>0</v>
      </c>
      <c r="G185" s="21"/>
      <c r="H185" s="22">
        <v>0</v>
      </c>
      <c r="I185" s="21">
        <v>465.50859184775999</v>
      </c>
      <c r="J185" s="22">
        <v>0</v>
      </c>
      <c r="K185" s="21"/>
      <c r="L185" s="22">
        <v>0</v>
      </c>
      <c r="M185" s="22">
        <v>0</v>
      </c>
      <c r="N185" s="22">
        <v>0</v>
      </c>
      <c r="O185" s="34"/>
      <c r="P185" s="34"/>
    </row>
    <row r="186" spans="3:16">
      <c r="C186" s="23" t="s">
        <v>1184</v>
      </c>
      <c r="E186" s="21"/>
      <c r="F186" s="22"/>
      <c r="G186" s="22"/>
      <c r="H186" s="22"/>
      <c r="I186" s="21"/>
      <c r="J186" s="22"/>
      <c r="K186" s="22"/>
      <c r="L186" s="22"/>
      <c r="M186" s="21"/>
      <c r="N186" s="22"/>
      <c r="O186" s="22"/>
      <c r="P186" s="22"/>
    </row>
    <row r="187" spans="3:16">
      <c r="C187" s="23" t="s">
        <v>1185</v>
      </c>
      <c r="E187" s="21"/>
      <c r="F187" s="22"/>
      <c r="G187" s="22"/>
      <c r="H187" s="22"/>
      <c r="I187" s="21"/>
      <c r="J187" s="22"/>
      <c r="K187" s="22"/>
      <c r="L187" s="22"/>
      <c r="M187" s="21"/>
      <c r="N187" s="22"/>
      <c r="O187" s="22"/>
      <c r="P187" s="22"/>
    </row>
    <row r="188" spans="3:16" ht="4.5" customHeight="1"/>
    <row r="189" spans="3:16">
      <c r="C189" s="24" t="s">
        <v>1151</v>
      </c>
      <c r="D189" s="23"/>
      <c r="E189" s="25">
        <f t="shared" ref="E189:H189" si="69">SUM(E190:E192)</f>
        <v>0</v>
      </c>
      <c r="F189" s="25">
        <f t="shared" si="69"/>
        <v>0</v>
      </c>
      <c r="G189" s="25">
        <f t="shared" si="69"/>
        <v>0</v>
      </c>
      <c r="H189" s="25">
        <f t="shared" si="69"/>
        <v>0</v>
      </c>
      <c r="I189" s="25">
        <f>SUM(I190:I192)</f>
        <v>128.23068192202902</v>
      </c>
      <c r="J189" s="25">
        <f t="shared" ref="J189:O189" si="70">SUM(J190:J192)</f>
        <v>0</v>
      </c>
      <c r="K189" s="25">
        <f t="shared" si="70"/>
        <v>0</v>
      </c>
      <c r="L189" s="25">
        <f t="shared" si="70"/>
        <v>0</v>
      </c>
      <c r="M189" s="25">
        <f t="shared" si="70"/>
        <v>0</v>
      </c>
      <c r="N189" s="25">
        <f t="shared" si="70"/>
        <v>0</v>
      </c>
      <c r="O189" s="25">
        <f t="shared" si="70"/>
        <v>0</v>
      </c>
      <c r="P189" s="25"/>
    </row>
    <row r="190" spans="3:16">
      <c r="C190" s="3" t="s">
        <v>1152</v>
      </c>
      <c r="E190" s="4"/>
      <c r="F190" s="4"/>
      <c r="G190" s="4"/>
      <c r="H190" s="4"/>
      <c r="I190" s="4">
        <v>128.23068192202902</v>
      </c>
      <c r="J190" s="4"/>
      <c r="K190" s="4"/>
      <c r="L190" s="4"/>
      <c r="M190" s="4"/>
      <c r="N190" s="4"/>
      <c r="O190" s="4"/>
      <c r="P190" s="4"/>
    </row>
    <row r="191" spans="3:16">
      <c r="C191" s="3" t="s">
        <v>1153</v>
      </c>
      <c r="E191" s="4"/>
      <c r="F191" s="4"/>
      <c r="G191" s="4"/>
      <c r="H191" s="4"/>
      <c r="I191" s="4">
        <v>0</v>
      </c>
      <c r="J191" s="4"/>
      <c r="K191" s="4"/>
      <c r="L191" s="4"/>
      <c r="M191" s="4"/>
      <c r="N191" s="4"/>
      <c r="O191" s="4"/>
      <c r="P191" s="4"/>
    </row>
    <row r="192" spans="3:16">
      <c r="C192" s="3" t="s">
        <v>1154</v>
      </c>
      <c r="E192" s="4"/>
      <c r="F192" s="4"/>
      <c r="G192" s="4"/>
      <c r="H192" s="4"/>
      <c r="I192" s="4">
        <v>0</v>
      </c>
      <c r="J192" s="4"/>
      <c r="K192" s="4"/>
      <c r="L192" s="4"/>
      <c r="M192" s="4"/>
      <c r="N192" s="4"/>
      <c r="O192" s="4"/>
      <c r="P192" s="4"/>
    </row>
    <row r="193" spans="3:16">
      <c r="C193" s="24" t="s">
        <v>1155</v>
      </c>
      <c r="D193" s="23"/>
      <c r="E193" s="25">
        <f t="shared" ref="E193:H193" si="71">SUM(E194:E196)</f>
        <v>0</v>
      </c>
      <c r="F193" s="25">
        <f t="shared" si="71"/>
        <v>0</v>
      </c>
      <c r="G193" s="25">
        <f t="shared" si="71"/>
        <v>0</v>
      </c>
      <c r="H193" s="25">
        <f t="shared" si="71"/>
        <v>0</v>
      </c>
      <c r="I193" s="25">
        <f>SUM(I194:I196)</f>
        <v>101.92293213402512</v>
      </c>
      <c r="J193" s="25">
        <f t="shared" ref="J193:O193" si="72">SUM(J194:J196)</f>
        <v>0</v>
      </c>
      <c r="K193" s="25">
        <f t="shared" si="72"/>
        <v>0</v>
      </c>
      <c r="L193" s="25">
        <f t="shared" si="72"/>
        <v>0</v>
      </c>
      <c r="M193" s="25">
        <f t="shared" si="72"/>
        <v>0</v>
      </c>
      <c r="N193" s="25">
        <f t="shared" si="72"/>
        <v>0</v>
      </c>
      <c r="O193" s="25">
        <f t="shared" si="72"/>
        <v>0</v>
      </c>
      <c r="P193" s="25"/>
    </row>
    <row r="194" spans="3:16">
      <c r="C194" s="3" t="s">
        <v>1156</v>
      </c>
      <c r="E194" s="4"/>
      <c r="F194" s="4"/>
      <c r="G194" s="4"/>
      <c r="H194" s="4"/>
      <c r="I194" s="4">
        <v>57.906333675048359</v>
      </c>
      <c r="J194" s="4"/>
      <c r="K194" s="4"/>
      <c r="L194" s="4"/>
      <c r="M194" s="4"/>
      <c r="N194" s="4"/>
      <c r="O194" s="4"/>
      <c r="P194" s="4"/>
    </row>
    <row r="195" spans="3:16">
      <c r="C195" s="3" t="s">
        <v>1157</v>
      </c>
      <c r="E195" s="4"/>
      <c r="F195" s="4"/>
      <c r="G195" s="4"/>
      <c r="H195" s="4"/>
      <c r="I195" s="4">
        <v>29.5023232059932</v>
      </c>
      <c r="J195" s="4"/>
      <c r="K195" s="4"/>
      <c r="L195" s="4"/>
      <c r="M195" s="4"/>
      <c r="N195" s="4"/>
      <c r="O195" s="4"/>
      <c r="P195" s="4"/>
    </row>
    <row r="196" spans="3:16">
      <c r="C196" s="3" t="s">
        <v>1158</v>
      </c>
      <c r="E196" s="4"/>
      <c r="F196" s="4"/>
      <c r="G196" s="4"/>
      <c r="H196" s="4"/>
      <c r="I196" s="4">
        <v>14.514275252983554</v>
      </c>
      <c r="J196" s="4"/>
      <c r="K196" s="4"/>
      <c r="L196" s="4"/>
      <c r="M196" s="4"/>
      <c r="N196" s="4"/>
      <c r="O196" s="4"/>
      <c r="P196" s="4"/>
    </row>
    <row r="197" spans="3:16">
      <c r="C197" s="24" t="s">
        <v>1159</v>
      </c>
      <c r="D197" s="23"/>
      <c r="E197" s="25">
        <f t="shared" ref="E197:O197" si="73">E193+E189</f>
        <v>0</v>
      </c>
      <c r="F197" s="25">
        <f t="shared" si="73"/>
        <v>0</v>
      </c>
      <c r="G197" s="25">
        <f t="shared" si="73"/>
        <v>0</v>
      </c>
      <c r="H197" s="25">
        <f t="shared" si="73"/>
        <v>0</v>
      </c>
      <c r="I197" s="25">
        <f t="shared" si="73"/>
        <v>230.15361405605415</v>
      </c>
      <c r="J197" s="25">
        <f t="shared" si="73"/>
        <v>0</v>
      </c>
      <c r="K197" s="25">
        <f t="shared" si="73"/>
        <v>0</v>
      </c>
      <c r="L197" s="25">
        <f t="shared" si="73"/>
        <v>0</v>
      </c>
      <c r="M197" s="25">
        <f t="shared" si="73"/>
        <v>0</v>
      </c>
      <c r="N197" s="25">
        <f t="shared" si="73"/>
        <v>0</v>
      </c>
      <c r="O197" s="25">
        <f t="shared" si="73"/>
        <v>0</v>
      </c>
      <c r="P197" s="25"/>
    </row>
    <row r="198" spans="3:16">
      <c r="C198" s="3" t="s">
        <v>1160</v>
      </c>
      <c r="E198" s="4"/>
      <c r="F198" s="4"/>
      <c r="G198" s="4"/>
      <c r="H198" s="4"/>
      <c r="I198" s="4">
        <f>I197*(1-I210-I212)</f>
        <v>229.21227314815991</v>
      </c>
      <c r="J198" s="4"/>
      <c r="K198" s="4"/>
      <c r="L198" s="4"/>
      <c r="M198" s="4"/>
      <c r="N198" s="4"/>
      <c r="O198" s="4">
        <f>O197*(1-O210-O212)</f>
        <v>0</v>
      </c>
      <c r="P198" s="4"/>
    </row>
    <row r="199" spans="3:16">
      <c r="C199" s="3" t="s">
        <v>1161</v>
      </c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</row>
    <row r="200" spans="3:16">
      <c r="C200" s="615" t="s">
        <v>1162</v>
      </c>
      <c r="E200" s="616"/>
      <c r="F200" s="616"/>
      <c r="G200" s="616"/>
      <c r="H200" s="616"/>
      <c r="I200" s="616">
        <v>4.5750292488396216</v>
      </c>
      <c r="J200" s="616"/>
      <c r="K200" s="616"/>
      <c r="L200" s="616"/>
      <c r="M200" s="616"/>
      <c r="N200" s="616"/>
      <c r="O200" s="616"/>
      <c r="P200" s="4"/>
    </row>
    <row r="201" spans="3:16">
      <c r="C201" s="615" t="s">
        <v>1163</v>
      </c>
      <c r="E201" s="616"/>
      <c r="F201" s="616"/>
      <c r="G201" s="616"/>
      <c r="H201" s="616"/>
      <c r="I201" s="616">
        <v>2.2281387873726892</v>
      </c>
      <c r="J201" s="616"/>
      <c r="K201" s="616"/>
      <c r="L201" s="616"/>
      <c r="M201" s="616"/>
      <c r="N201" s="616"/>
      <c r="O201" s="616"/>
      <c r="P201" s="4"/>
    </row>
    <row r="202" spans="3:16">
      <c r="C202" s="615" t="s">
        <v>1164</v>
      </c>
      <c r="E202" s="616"/>
      <c r="F202" s="616"/>
      <c r="G202" s="616"/>
      <c r="H202" s="616"/>
      <c r="I202" s="616">
        <v>1.5009117268747112</v>
      </c>
      <c r="J202" s="616"/>
      <c r="K202" s="616"/>
      <c r="L202" s="616"/>
      <c r="M202" s="616"/>
      <c r="N202" s="616"/>
      <c r="O202" s="616"/>
      <c r="P202" s="4"/>
    </row>
    <row r="203" spans="3:16">
      <c r="C203" s="3" t="s">
        <v>1165</v>
      </c>
      <c r="E203" s="4"/>
      <c r="F203" s="4"/>
      <c r="G203" s="4"/>
      <c r="H203" s="4"/>
      <c r="I203" s="4">
        <f>SUM(I200:I202)</f>
        <v>8.3040797630870227</v>
      </c>
      <c r="J203" s="4"/>
      <c r="K203" s="4"/>
      <c r="L203" s="4"/>
      <c r="M203" s="4"/>
      <c r="N203" s="4"/>
      <c r="O203" s="4"/>
      <c r="P203" s="4"/>
    </row>
    <row r="204" spans="3:16">
      <c r="C204" s="617" t="s">
        <v>1166</v>
      </c>
      <c r="E204" s="4">
        <v>0</v>
      </c>
      <c r="F204" s="4">
        <v>0</v>
      </c>
      <c r="G204" s="4">
        <v>0</v>
      </c>
      <c r="H204" s="4">
        <v>0</v>
      </c>
      <c r="I204" s="4">
        <v>11.468931768905232</v>
      </c>
      <c r="J204" s="4">
        <v>11.821928424828865</v>
      </c>
      <c r="K204" s="4">
        <v>10.627220150071668</v>
      </c>
      <c r="L204" s="4">
        <v>9.6860573611982375</v>
      </c>
      <c r="M204" s="4">
        <v>13.049256001577712</v>
      </c>
      <c r="N204" s="4">
        <v>13.671788874339724</v>
      </c>
      <c r="O204" s="4"/>
      <c r="P204" s="4"/>
    </row>
    <row r="205" spans="3:16">
      <c r="C205" s="26" t="s">
        <v>1167</v>
      </c>
      <c r="D205" s="23"/>
      <c r="E205" s="27">
        <v>70.860985745777498</v>
      </c>
      <c r="F205" s="27">
        <v>79.005282501959627</v>
      </c>
      <c r="G205" s="27">
        <v>93.900537813699671</v>
      </c>
      <c r="H205" s="27">
        <v>113.39807762167263</v>
      </c>
      <c r="I205" s="27">
        <f t="shared" ref="I205" si="74">I198-I203+I199</f>
        <v>220.90819338507288</v>
      </c>
      <c r="J205" s="27">
        <v>215.82779383877005</v>
      </c>
      <c r="K205" s="27">
        <v>211.75052620600101</v>
      </c>
      <c r="L205" s="27">
        <v>208.33441088346407</v>
      </c>
      <c r="M205" s="27">
        <v>267.78879991172539</v>
      </c>
      <c r="N205" s="27">
        <v>276.30216334839128</v>
      </c>
      <c r="O205" s="27"/>
      <c r="P205" s="27"/>
    </row>
    <row r="206" spans="3:16">
      <c r="C206" s="3" t="s">
        <v>1168</v>
      </c>
      <c r="E206" s="4">
        <v>942.72224900000072</v>
      </c>
      <c r="F206" s="4">
        <v>1018.3133540000002</v>
      </c>
      <c r="G206" s="4">
        <v>1042.5407998100004</v>
      </c>
      <c r="H206" s="4">
        <v>1115.092773000001</v>
      </c>
      <c r="I206" s="4">
        <v>1087.4676420000012</v>
      </c>
      <c r="J206" s="4">
        <v>1056.6356070000004</v>
      </c>
      <c r="K206" s="4">
        <v>1057.9382130000001</v>
      </c>
      <c r="L206" s="4">
        <v>1030.5998610000004</v>
      </c>
      <c r="M206" s="4">
        <v>1133.6671120000001</v>
      </c>
      <c r="N206" s="4">
        <v>1081.9438849999999</v>
      </c>
      <c r="O206" s="4"/>
      <c r="P206" s="4"/>
    </row>
    <row r="207" spans="3:16">
      <c r="C207" s="26" t="s">
        <v>1169</v>
      </c>
      <c r="D207" s="23"/>
      <c r="E207" s="33">
        <f t="shared" ref="E207:O207" si="75">IFERROR(E205/E206*1000,"N/A")</f>
        <v>75.1663449345168</v>
      </c>
      <c r="F207" s="33">
        <f t="shared" si="75"/>
        <v>77.584450986154522</v>
      </c>
      <c r="G207" s="33">
        <f t="shared" si="75"/>
        <v>90.068933350917987</v>
      </c>
      <c r="H207" s="33">
        <f t="shared" si="75"/>
        <v>101.693850383938</v>
      </c>
      <c r="I207" s="33">
        <f t="shared" si="75"/>
        <v>203.14001525488391</v>
      </c>
      <c r="J207" s="33">
        <f t="shared" si="75"/>
        <v>204.25943665815717</v>
      </c>
      <c r="K207" s="33">
        <f t="shared" si="75"/>
        <v>200.15396325040484</v>
      </c>
      <c r="L207" s="33">
        <f t="shared" si="75"/>
        <v>202.14868909580031</v>
      </c>
      <c r="M207" s="33">
        <f t="shared" si="75"/>
        <v>236.21466749555432</v>
      </c>
      <c r="N207" s="33">
        <f t="shared" si="75"/>
        <v>255.37568738917665</v>
      </c>
      <c r="O207" s="33" t="str">
        <f t="shared" si="75"/>
        <v>N/A</v>
      </c>
      <c r="P207" s="33"/>
    </row>
    <row r="208" spans="3:16" ht="4.5" customHeight="1"/>
    <row r="209" spans="3:16">
      <c r="C209" s="24" t="s">
        <v>1170</v>
      </c>
      <c r="E209" s="28">
        <f t="shared" ref="E209" si="76">SUM(E210:E212)</f>
        <v>0</v>
      </c>
      <c r="F209" s="28">
        <f t="shared" ref="F209:H209" si="77">SUM(F210:F212)</f>
        <v>0</v>
      </c>
      <c r="G209" s="28">
        <f t="shared" si="77"/>
        <v>0</v>
      </c>
      <c r="H209" s="28">
        <f t="shared" si="77"/>
        <v>0</v>
      </c>
      <c r="I209" s="28">
        <f>SUM(I210:I212)</f>
        <v>4.0900548607721698E-3</v>
      </c>
      <c r="J209" s="28">
        <f t="shared" ref="J209:O209" si="78">SUM(J210:J212)</f>
        <v>-3.8440248281332674E-3</v>
      </c>
      <c r="K209" s="28">
        <f t="shared" si="78"/>
        <v>7.0196606720970712E-3</v>
      </c>
      <c r="L209" s="28">
        <f t="shared" si="78"/>
        <v>-2.9064234674670919E-3</v>
      </c>
      <c r="M209" s="28">
        <f t="shared" si="78"/>
        <v>4.8679483573069301E-3</v>
      </c>
      <c r="N209" s="28">
        <f t="shared" si="78"/>
        <v>-1.3188273792392225E-2</v>
      </c>
      <c r="O209" s="28">
        <f t="shared" si="78"/>
        <v>0</v>
      </c>
      <c r="P209" s="28"/>
    </row>
    <row r="210" spans="3:16">
      <c r="C210" s="3" t="s">
        <v>1171</v>
      </c>
      <c r="E210" s="29">
        <v>0</v>
      </c>
      <c r="F210" s="29">
        <v>0</v>
      </c>
      <c r="G210" s="29">
        <v>0</v>
      </c>
      <c r="H210" s="29">
        <v>0</v>
      </c>
      <c r="I210" s="29">
        <v>5.7400548607721702E-3</v>
      </c>
      <c r="J210" s="29">
        <v>1.9123457512028525E-3</v>
      </c>
      <c r="K210" s="29">
        <v>9.9743211564911165E-3</v>
      </c>
      <c r="L210" s="29">
        <v>-3.3287610666087025E-3</v>
      </c>
      <c r="M210" s="29">
        <v>0</v>
      </c>
      <c r="N210" s="29">
        <v>0</v>
      </c>
      <c r="O210" s="29"/>
      <c r="P210" s="29"/>
    </row>
    <row r="211" spans="3:16">
      <c r="C211" s="3" t="s">
        <v>1172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/>
      <c r="P211" s="29"/>
    </row>
    <row r="212" spans="3:16">
      <c r="C212" s="30" t="s">
        <v>1173</v>
      </c>
      <c r="E212" s="31">
        <v>0</v>
      </c>
      <c r="F212" s="31">
        <v>0</v>
      </c>
      <c r="G212" s="31">
        <v>0</v>
      </c>
      <c r="H212" s="31">
        <v>0</v>
      </c>
      <c r="I212" s="31">
        <v>-1.65E-3</v>
      </c>
      <c r="J212" s="31">
        <v>-5.7563705793361201E-3</v>
      </c>
      <c r="K212" s="31">
        <v>-2.9546604843940457E-3</v>
      </c>
      <c r="L212" s="31">
        <v>4.2233759914161041E-4</v>
      </c>
      <c r="M212" s="31">
        <v>4.8679483573069301E-3</v>
      </c>
      <c r="N212" s="31">
        <v>-1.3188273792392225E-2</v>
      </c>
      <c r="O212" s="31"/>
      <c r="P212" s="31"/>
    </row>
    <row r="214" spans="3:16">
      <c r="C214" s="5" t="s">
        <v>77</v>
      </c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</row>
    <row r="215" spans="3:16" ht="3.65" customHeight="1"/>
    <row r="216" spans="3:16">
      <c r="C216" s="17" t="s">
        <v>1176</v>
      </c>
      <c r="E216" s="18">
        <f t="shared" ref="E216:G216" si="79">F216-1</f>
        <v>2013</v>
      </c>
      <c r="F216" s="18">
        <f t="shared" si="79"/>
        <v>2014</v>
      </c>
      <c r="G216" s="18">
        <f t="shared" si="79"/>
        <v>2015</v>
      </c>
      <c r="H216" s="18">
        <f>I216-1</f>
        <v>2016</v>
      </c>
      <c r="I216" s="18">
        <v>2017</v>
      </c>
      <c r="J216" s="18">
        <f>I216+1</f>
        <v>2018</v>
      </c>
      <c r="K216" s="18">
        <f t="shared" ref="K216:P216" si="80">J216+1</f>
        <v>2019</v>
      </c>
      <c r="L216" s="18">
        <f t="shared" si="80"/>
        <v>2020</v>
      </c>
      <c r="M216" s="18">
        <f t="shared" si="80"/>
        <v>2021</v>
      </c>
      <c r="N216" s="18">
        <f t="shared" si="80"/>
        <v>2022</v>
      </c>
      <c r="O216" s="18">
        <f t="shared" si="80"/>
        <v>2023</v>
      </c>
      <c r="P216" s="32">
        <f t="shared" si="80"/>
        <v>2024</v>
      </c>
    </row>
    <row r="217" spans="3:16">
      <c r="C217" s="3" t="s">
        <v>1145</v>
      </c>
      <c r="E217" s="19" t="s">
        <v>1146</v>
      </c>
      <c r="F217" s="20" t="s">
        <v>1147</v>
      </c>
      <c r="G217" s="20" t="s">
        <v>1147</v>
      </c>
      <c r="H217" s="20" t="s">
        <v>1147</v>
      </c>
      <c r="I217" s="20" t="s">
        <v>1147</v>
      </c>
      <c r="J217" s="19" t="s">
        <v>1146</v>
      </c>
      <c r="K217" s="20" t="s">
        <v>1147</v>
      </c>
      <c r="L217" s="20" t="s">
        <v>1147</v>
      </c>
      <c r="M217" s="20" t="s">
        <v>1147</v>
      </c>
      <c r="N217" s="20" t="s">
        <v>1147</v>
      </c>
      <c r="O217" s="19" t="s">
        <v>1146</v>
      </c>
      <c r="P217" s="20" t="s">
        <v>1147</v>
      </c>
    </row>
    <row r="218" spans="3:16">
      <c r="C218" s="3" t="s">
        <v>1148</v>
      </c>
      <c r="E218" s="21">
        <v>1530.7731036404844</v>
      </c>
      <c r="F218" s="22">
        <v>0</v>
      </c>
      <c r="G218" s="21">
        <v>0</v>
      </c>
      <c r="H218" s="22">
        <v>0</v>
      </c>
      <c r="I218" s="22">
        <v>0</v>
      </c>
      <c r="J218" s="21">
        <v>2961.1713410207099</v>
      </c>
      <c r="K218" s="21">
        <v>0</v>
      </c>
      <c r="L218" s="22">
        <v>0</v>
      </c>
      <c r="M218" s="22">
        <v>0</v>
      </c>
      <c r="N218" s="22">
        <v>0</v>
      </c>
      <c r="O218" s="21">
        <v>9392.7278946522347</v>
      </c>
      <c r="P218" s="21"/>
    </row>
    <row r="219" spans="3:16">
      <c r="C219" s="23" t="s">
        <v>1186</v>
      </c>
      <c r="E219" s="21"/>
      <c r="F219" s="22"/>
      <c r="G219" s="22"/>
      <c r="H219" s="22"/>
      <c r="I219" s="21"/>
      <c r="J219" s="22"/>
      <c r="K219" s="22"/>
      <c r="L219" s="22"/>
      <c r="M219" s="21"/>
      <c r="N219" s="22"/>
      <c r="O219" s="22"/>
      <c r="P219" s="22"/>
    </row>
    <row r="220" spans="3:16">
      <c r="C220" s="23" t="s">
        <v>1183</v>
      </c>
      <c r="E220" s="21"/>
      <c r="F220" s="22"/>
      <c r="G220" s="22"/>
      <c r="H220" s="22"/>
      <c r="I220" s="21"/>
      <c r="J220" s="22"/>
      <c r="K220" s="22"/>
      <c r="L220" s="22"/>
      <c r="M220" s="21"/>
      <c r="N220" s="22"/>
      <c r="O220" s="22"/>
      <c r="P220" s="22"/>
    </row>
    <row r="221" spans="3:16" ht="4.5" customHeight="1"/>
    <row r="222" spans="3:16">
      <c r="C222" s="24" t="s">
        <v>1151</v>
      </c>
      <c r="D222" s="23"/>
      <c r="E222" s="25">
        <f t="shared" ref="E222:H222" si="81">SUM(E223:E225)</f>
        <v>662.2722718936003</v>
      </c>
      <c r="F222" s="25">
        <f t="shared" si="81"/>
        <v>0</v>
      </c>
      <c r="G222" s="25">
        <f t="shared" si="81"/>
        <v>0</v>
      </c>
      <c r="H222" s="25">
        <f t="shared" si="81"/>
        <v>0</v>
      </c>
      <c r="I222" s="25">
        <f>SUM(I223:I225)</f>
        <v>0</v>
      </c>
      <c r="J222" s="25">
        <f t="shared" ref="J222:O222" si="82">SUM(J223:J225)</f>
        <v>928.55792135135255</v>
      </c>
      <c r="K222" s="25">
        <f t="shared" si="82"/>
        <v>0</v>
      </c>
      <c r="L222" s="25">
        <f t="shared" si="82"/>
        <v>0</v>
      </c>
      <c r="M222" s="25">
        <f t="shared" si="82"/>
        <v>0</v>
      </c>
      <c r="N222" s="25">
        <f t="shared" si="82"/>
        <v>0</v>
      </c>
      <c r="O222" s="25">
        <f t="shared" si="82"/>
        <v>1425.2214858587524</v>
      </c>
      <c r="P222" s="25"/>
    </row>
    <row r="223" spans="3:16">
      <c r="C223" s="3" t="s">
        <v>1152</v>
      </c>
      <c r="E223" s="4">
        <v>642.38263100286269</v>
      </c>
      <c r="F223" s="4"/>
      <c r="G223" s="4"/>
      <c r="H223" s="4"/>
      <c r="I223" s="4"/>
      <c r="J223" s="4">
        <v>928.55792135135255</v>
      </c>
      <c r="K223" s="4"/>
      <c r="L223" s="4"/>
      <c r="M223" s="4"/>
      <c r="N223" s="4"/>
      <c r="O223" s="4">
        <v>1425.2214858587524</v>
      </c>
      <c r="P223" s="4"/>
    </row>
    <row r="224" spans="3:16">
      <c r="C224" s="3" t="s">
        <v>1153</v>
      </c>
      <c r="E224" s="4">
        <v>2.2099606721820408</v>
      </c>
      <c r="F224" s="4"/>
      <c r="G224" s="4"/>
      <c r="H224" s="4"/>
      <c r="I224" s="4"/>
      <c r="J224" s="4">
        <v>0</v>
      </c>
      <c r="K224" s="4"/>
      <c r="L224" s="4"/>
      <c r="M224" s="4"/>
      <c r="N224" s="4"/>
      <c r="O224" s="4">
        <v>0</v>
      </c>
      <c r="P224" s="4"/>
    </row>
    <row r="225" spans="3:16">
      <c r="C225" s="3" t="s">
        <v>1154</v>
      </c>
      <c r="E225" s="4">
        <v>17.679680218555486</v>
      </c>
      <c r="F225" s="4"/>
      <c r="G225" s="4"/>
      <c r="H225" s="4"/>
      <c r="I225" s="4"/>
      <c r="J225" s="4">
        <v>0</v>
      </c>
      <c r="K225" s="4"/>
      <c r="L225" s="4"/>
      <c r="M225" s="4"/>
      <c r="N225" s="4"/>
      <c r="O225" s="4">
        <v>0</v>
      </c>
      <c r="P225" s="4"/>
    </row>
    <row r="226" spans="3:16">
      <c r="C226" s="24" t="s">
        <v>1155</v>
      </c>
      <c r="D226" s="23"/>
      <c r="E226" s="25">
        <f t="shared" ref="E226:H226" si="83">SUM(E227:E229)</f>
        <v>340.41665597801455</v>
      </c>
      <c r="F226" s="25">
        <f t="shared" si="83"/>
        <v>0</v>
      </c>
      <c r="G226" s="25">
        <f t="shared" si="83"/>
        <v>0</v>
      </c>
      <c r="H226" s="25">
        <f t="shared" si="83"/>
        <v>0</v>
      </c>
      <c r="I226" s="25">
        <f>SUM(I227:I229)</f>
        <v>0</v>
      </c>
      <c r="J226" s="25">
        <f t="shared" ref="J226:O226" si="84">SUM(J227:J229)</f>
        <v>723.44486126035383</v>
      </c>
      <c r="K226" s="25">
        <f t="shared" si="84"/>
        <v>0</v>
      </c>
      <c r="L226" s="25">
        <f t="shared" si="84"/>
        <v>0</v>
      </c>
      <c r="M226" s="25">
        <f t="shared" si="84"/>
        <v>0</v>
      </c>
      <c r="N226" s="25">
        <f t="shared" si="84"/>
        <v>0</v>
      </c>
      <c r="O226" s="25">
        <f t="shared" si="84"/>
        <v>1814.9102922742372</v>
      </c>
      <c r="P226" s="25"/>
    </row>
    <row r="227" spans="3:16">
      <c r="C227" s="3" t="s">
        <v>1156</v>
      </c>
      <c r="E227" s="4">
        <v>168.95009294071701</v>
      </c>
      <c r="F227" s="4"/>
      <c r="G227" s="4"/>
      <c r="H227" s="4"/>
      <c r="I227" s="4"/>
      <c r="J227" s="4">
        <v>403.63544849262502</v>
      </c>
      <c r="K227" s="4"/>
      <c r="L227" s="4"/>
      <c r="M227" s="4"/>
      <c r="N227" s="4"/>
      <c r="O227" s="4">
        <v>1112.2229571619218</v>
      </c>
      <c r="P227" s="4"/>
    </row>
    <row r="228" spans="3:16">
      <c r="C228" s="3" t="s">
        <v>1157</v>
      </c>
      <c r="E228" s="4">
        <v>126.25227814276897</v>
      </c>
      <c r="F228" s="4"/>
      <c r="G228" s="4"/>
      <c r="H228" s="4"/>
      <c r="I228" s="4"/>
      <c r="J228" s="4">
        <v>212.24876236648652</v>
      </c>
      <c r="K228" s="4"/>
      <c r="L228" s="4"/>
      <c r="M228" s="4"/>
      <c r="N228" s="4"/>
      <c r="O228" s="4">
        <v>509.51833554387741</v>
      </c>
      <c r="P228" s="4"/>
    </row>
    <row r="229" spans="3:16">
      <c r="C229" s="3" t="s">
        <v>1158</v>
      </c>
      <c r="E229" s="4">
        <v>45.214284894528511</v>
      </c>
      <c r="F229" s="4"/>
      <c r="G229" s="4"/>
      <c r="H229" s="4"/>
      <c r="I229" s="4"/>
      <c r="J229" s="4">
        <v>107.5606504012422</v>
      </c>
      <c r="K229" s="4"/>
      <c r="L229" s="4"/>
      <c r="M229" s="4"/>
      <c r="N229" s="4"/>
      <c r="O229" s="4">
        <v>193.16899956843798</v>
      </c>
      <c r="P229" s="4"/>
    </row>
    <row r="230" spans="3:16">
      <c r="C230" s="24" t="s">
        <v>1159</v>
      </c>
      <c r="D230" s="23"/>
      <c r="E230" s="25">
        <f t="shared" ref="E230:H230" si="85">E226+E222</f>
        <v>1002.6889278716149</v>
      </c>
      <c r="F230" s="25">
        <f t="shared" si="85"/>
        <v>0</v>
      </c>
      <c r="G230" s="25">
        <f t="shared" si="85"/>
        <v>0</v>
      </c>
      <c r="H230" s="25">
        <f t="shared" si="85"/>
        <v>0</v>
      </c>
      <c r="I230" s="25">
        <f>I226+I222</f>
        <v>0</v>
      </c>
      <c r="J230" s="25">
        <f t="shared" ref="J230:O230" si="86">J226+J222</f>
        <v>1652.0027826117064</v>
      </c>
      <c r="K230" s="25">
        <f t="shared" si="86"/>
        <v>0</v>
      </c>
      <c r="L230" s="25">
        <f t="shared" si="86"/>
        <v>0</v>
      </c>
      <c r="M230" s="25">
        <f t="shared" si="86"/>
        <v>0</v>
      </c>
      <c r="N230" s="25">
        <f t="shared" si="86"/>
        <v>0</v>
      </c>
      <c r="O230" s="25">
        <f t="shared" si="86"/>
        <v>3240.1317781329899</v>
      </c>
      <c r="P230" s="25"/>
    </row>
    <row r="231" spans="3:16">
      <c r="C231" s="3" t="s">
        <v>1160</v>
      </c>
      <c r="E231" s="4">
        <f>E230*(1-E243-E245)</f>
        <v>989.71441329438312</v>
      </c>
      <c r="F231" s="4"/>
      <c r="G231" s="4"/>
      <c r="H231" s="4"/>
      <c r="I231" s="4"/>
      <c r="J231" s="4">
        <f>J230*(1-J243-J245)</f>
        <v>1619.1559538182184</v>
      </c>
      <c r="K231" s="4"/>
      <c r="L231" s="4"/>
      <c r="M231" s="4"/>
      <c r="N231" s="4"/>
      <c r="O231" s="4">
        <f>O230*(1-O243-O245)</f>
        <v>3173.4896390942881</v>
      </c>
      <c r="P231" s="4"/>
    </row>
    <row r="232" spans="3:16">
      <c r="C232" s="3" t="s">
        <v>1161</v>
      </c>
      <c r="E232" s="4">
        <v>0</v>
      </c>
      <c r="F232" s="4"/>
      <c r="G232" s="4"/>
      <c r="H232" s="4"/>
      <c r="I232" s="4"/>
      <c r="J232" s="4">
        <v>0</v>
      </c>
      <c r="K232" s="4"/>
      <c r="L232" s="4"/>
      <c r="M232" s="4"/>
      <c r="N232" s="4"/>
      <c r="O232" s="4">
        <v>0</v>
      </c>
      <c r="P232" s="4"/>
    </row>
    <row r="233" spans="3:16">
      <c r="C233" s="615" t="s">
        <v>1162</v>
      </c>
      <c r="E233" s="616">
        <v>31.597840555392217</v>
      </c>
      <c r="F233" s="616"/>
      <c r="G233" s="616"/>
      <c r="H233" s="616"/>
      <c r="I233" s="616"/>
      <c r="J233" s="616">
        <v>43.154422348055384</v>
      </c>
      <c r="K233" s="616"/>
      <c r="L233" s="616"/>
      <c r="M233" s="616"/>
      <c r="N233" s="616"/>
      <c r="O233" s="616">
        <v>77.459760770483172</v>
      </c>
      <c r="P233" s="4"/>
    </row>
    <row r="234" spans="3:16">
      <c r="C234" s="615" t="s">
        <v>1163</v>
      </c>
      <c r="E234" s="616">
        <v>0</v>
      </c>
      <c r="F234" s="616"/>
      <c r="G234" s="616"/>
      <c r="H234" s="616"/>
      <c r="I234" s="616"/>
      <c r="J234" s="616">
        <v>10.461697151303161</v>
      </c>
      <c r="K234" s="616"/>
      <c r="L234" s="616"/>
      <c r="M234" s="616"/>
      <c r="N234" s="616"/>
      <c r="O234" s="616">
        <v>24.049377312196725</v>
      </c>
      <c r="P234" s="4"/>
    </row>
    <row r="235" spans="3:16">
      <c r="C235" s="615" t="s">
        <v>1164</v>
      </c>
      <c r="E235" s="616">
        <v>0</v>
      </c>
      <c r="F235" s="616"/>
      <c r="G235" s="616"/>
      <c r="H235" s="616"/>
      <c r="I235" s="616"/>
      <c r="J235" s="616">
        <v>15.905422461763969</v>
      </c>
      <c r="K235" s="616"/>
      <c r="L235" s="616"/>
      <c r="M235" s="616"/>
      <c r="N235" s="616"/>
      <c r="O235" s="616">
        <v>26.11201961308592</v>
      </c>
      <c r="P235" s="4"/>
    </row>
    <row r="236" spans="3:16">
      <c r="C236" s="3" t="s">
        <v>1165</v>
      </c>
      <c r="E236" s="4">
        <f>SUM(E233:E235)</f>
        <v>31.597840555392217</v>
      </c>
      <c r="F236" s="4"/>
      <c r="G236" s="4"/>
      <c r="H236" s="4"/>
      <c r="I236" s="4"/>
      <c r="J236" s="4">
        <f>SUM(J233:J235)</f>
        <v>69.521541961122523</v>
      </c>
      <c r="K236" s="4"/>
      <c r="L236" s="4"/>
      <c r="M236" s="4"/>
      <c r="N236" s="4"/>
      <c r="O236" s="4">
        <f>SUM(O233:O235)</f>
        <v>127.62115769576582</v>
      </c>
      <c r="P236" s="4"/>
    </row>
    <row r="237" spans="3:16">
      <c r="C237" s="617" t="s">
        <v>1166</v>
      </c>
      <c r="E237" s="4">
        <f>SUM(E224:E225)</f>
        <v>19.889640890737528</v>
      </c>
      <c r="F237" s="4">
        <v>0</v>
      </c>
      <c r="G237" s="4">
        <v>0</v>
      </c>
      <c r="H237" s="4">
        <v>0</v>
      </c>
      <c r="I237" s="4">
        <v>33.523152229564225</v>
      </c>
      <c r="J237" s="4">
        <v>33.709118036888057</v>
      </c>
      <c r="K237" s="4">
        <v>30.678666337684067</v>
      </c>
      <c r="L237" s="4">
        <v>31.716023131299988</v>
      </c>
      <c r="M237" s="4">
        <v>38.402500475273719</v>
      </c>
      <c r="N237" s="4">
        <v>54.601737982205776</v>
      </c>
      <c r="O237" s="4">
        <v>46.121413260733704</v>
      </c>
      <c r="P237" s="4"/>
    </row>
    <row r="238" spans="3:16">
      <c r="C238" s="26" t="s">
        <v>1167</v>
      </c>
      <c r="D238" s="23"/>
      <c r="E238" s="27">
        <f t="shared" ref="E238" si="87">E231-E236+E232</f>
        <v>958.11657273899095</v>
      </c>
      <c r="F238" s="27">
        <v>1066.7135897573523</v>
      </c>
      <c r="G238" s="27">
        <v>1143.4285052888945</v>
      </c>
      <c r="H238" s="27">
        <v>1246.3802478446437</v>
      </c>
      <c r="I238" s="27">
        <v>1223.3399553757149</v>
      </c>
      <c r="J238" s="27">
        <f t="shared" ref="J238" si="88">J231-J236+J232</f>
        <v>1549.634411857096</v>
      </c>
      <c r="K238" s="27">
        <v>1644.1786845921843</v>
      </c>
      <c r="L238" s="27">
        <v>1753.5282568627258</v>
      </c>
      <c r="M238" s="27">
        <v>2028.0777685259509</v>
      </c>
      <c r="N238" s="27">
        <v>2217.3058373902563</v>
      </c>
      <c r="O238" s="27">
        <f t="shared" ref="O238" si="89">O231-O236+O232</f>
        <v>3045.8684813985224</v>
      </c>
      <c r="P238" s="27"/>
    </row>
    <row r="239" spans="3:16">
      <c r="C239" s="3" t="s">
        <v>1168</v>
      </c>
      <c r="E239" s="4">
        <v>11774.699159999998</v>
      </c>
      <c r="F239" s="4">
        <v>12557.970876000005</v>
      </c>
      <c r="G239" s="4">
        <v>12913.158119</v>
      </c>
      <c r="H239" s="4">
        <v>13101.978676999999</v>
      </c>
      <c r="I239" s="4">
        <v>13215.351187710005</v>
      </c>
      <c r="J239" s="4">
        <v>13593.722972999998</v>
      </c>
      <c r="K239" s="4">
        <v>14008.756441999996</v>
      </c>
      <c r="L239" s="4">
        <v>14194.349310000007</v>
      </c>
      <c r="M239" s="4">
        <v>14540.041284000008</v>
      </c>
      <c r="N239" s="4">
        <v>14875.012024999998</v>
      </c>
      <c r="O239" s="4">
        <v>15018.955016999998</v>
      </c>
      <c r="P239" s="4"/>
    </row>
    <row r="240" spans="3:16">
      <c r="C240" s="26" t="s">
        <v>1169</v>
      </c>
      <c r="D240" s="23"/>
      <c r="E240" s="33">
        <f t="shared" ref="E240:O240" si="90">IFERROR(E238/E239*1000,"N/A")</f>
        <v>81.370790006578062</v>
      </c>
      <c r="F240" s="33">
        <f t="shared" si="90"/>
        <v>84.943148880523964</v>
      </c>
      <c r="G240" s="33">
        <f t="shared" si="90"/>
        <v>88.547549309915979</v>
      </c>
      <c r="H240" s="33">
        <f t="shared" si="90"/>
        <v>95.129161676366834</v>
      </c>
      <c r="I240" s="33">
        <f t="shared" si="90"/>
        <v>92.569613777149954</v>
      </c>
      <c r="J240" s="33">
        <f t="shared" si="90"/>
        <v>113.99632131204946</v>
      </c>
      <c r="K240" s="33">
        <f t="shared" si="90"/>
        <v>117.36792565418097</v>
      </c>
      <c r="L240" s="33">
        <f t="shared" si="90"/>
        <v>123.53706524802475</v>
      </c>
      <c r="M240" s="33">
        <f t="shared" si="90"/>
        <v>139.4822565433611</v>
      </c>
      <c r="N240" s="33">
        <f t="shared" si="90"/>
        <v>149.06245680095554</v>
      </c>
      <c r="O240" s="33">
        <f t="shared" si="90"/>
        <v>202.80162487675707</v>
      </c>
      <c r="P240" s="33"/>
    </row>
    <row r="241" spans="3:16" ht="4.5" customHeight="1"/>
    <row r="242" spans="3:16">
      <c r="C242" s="24" t="s">
        <v>1170</v>
      </c>
      <c r="E242" s="28">
        <f t="shared" ref="E242" si="91">SUM(E243:E245)</f>
        <v>1.2939720601854401E-2</v>
      </c>
      <c r="F242" s="28">
        <f t="shared" ref="F242:H242" si="92">SUM(F243:F245)</f>
        <v>1.9339720601854401E-2</v>
      </c>
      <c r="G242" s="28">
        <f t="shared" si="92"/>
        <v>1.6239720601854402E-2</v>
      </c>
      <c r="H242" s="28">
        <f t="shared" si="92"/>
        <v>1.8167295707234382E-2</v>
      </c>
      <c r="I242" s="28">
        <f>SUM(I243:I245)</f>
        <v>7.9000000000000008E-3</v>
      </c>
      <c r="J242" s="28">
        <f t="shared" ref="J242:O242" si="93">SUM(J243:J245)</f>
        <v>1.4741432024472359E-3</v>
      </c>
      <c r="K242" s="28">
        <f t="shared" si="93"/>
        <v>-6.8047744431090768E-3</v>
      </c>
      <c r="L242" s="28">
        <f t="shared" si="93"/>
        <v>-1.4286919951676014E-2</v>
      </c>
      <c r="M242" s="28">
        <f t="shared" si="93"/>
        <v>-1.5270537236471156E-2</v>
      </c>
      <c r="N242" s="28">
        <f t="shared" si="93"/>
        <v>4.4219699325560666E-3</v>
      </c>
      <c r="O242" s="28">
        <f t="shared" si="93"/>
        <v>1.6297712979857115E-2</v>
      </c>
      <c r="P242" s="28"/>
    </row>
    <row r="243" spans="3:16">
      <c r="C243" s="3" t="s">
        <v>1171</v>
      </c>
      <c r="E243" s="29">
        <v>1.2939720601854401E-2</v>
      </c>
      <c r="F243" s="29">
        <v>1.2939720601854401E-2</v>
      </c>
      <c r="G243" s="29">
        <v>1.2939720601854401E-2</v>
      </c>
      <c r="H243" s="29">
        <v>1.3975E-2</v>
      </c>
      <c r="I243" s="29">
        <v>1.29E-2</v>
      </c>
      <c r="J243" s="29">
        <v>1.3802571816401838E-2</v>
      </c>
      <c r="K243" s="29">
        <v>1.3094045102967201E-2</v>
      </c>
      <c r="L243" s="29">
        <v>7.47002881082727E-3</v>
      </c>
      <c r="M243" s="29">
        <v>8.0829841334638126E-3</v>
      </c>
      <c r="N243" s="29">
        <v>8.8267221956754623E-3</v>
      </c>
      <c r="O243" s="29">
        <v>7.4566873687131373E-3</v>
      </c>
      <c r="P243" s="29"/>
    </row>
    <row r="244" spans="3:16">
      <c r="C244" s="3" t="s">
        <v>1172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-1.8408891583704443E-2</v>
      </c>
      <c r="K244" s="29">
        <v>-1.8408891583704443E-2</v>
      </c>
      <c r="L244" s="29">
        <v>-1.8408891583704443E-2</v>
      </c>
      <c r="M244" s="29">
        <v>-1.8408891583704443E-2</v>
      </c>
      <c r="N244" s="29">
        <v>-1.8408891583704443E-2</v>
      </c>
      <c r="O244" s="29">
        <v>-4.2700119159191459E-3</v>
      </c>
      <c r="P244" s="29"/>
    </row>
    <row r="245" spans="3:16">
      <c r="C245" s="30" t="s">
        <v>1173</v>
      </c>
      <c r="E245" s="31">
        <v>0</v>
      </c>
      <c r="F245" s="31">
        <v>6.4000000000000003E-3</v>
      </c>
      <c r="G245" s="31">
        <v>3.3E-3</v>
      </c>
      <c r="H245" s="31">
        <v>4.1922957072343817E-3</v>
      </c>
      <c r="I245" s="31">
        <v>-5.0000000000000001E-3</v>
      </c>
      <c r="J245" s="31">
        <v>6.0804629697498403E-3</v>
      </c>
      <c r="K245" s="31">
        <v>-1.4899279623718355E-3</v>
      </c>
      <c r="L245" s="31">
        <v>-3.3480571787988414E-3</v>
      </c>
      <c r="M245" s="31">
        <v>-4.9446297862305259E-3</v>
      </c>
      <c r="N245" s="31">
        <v>1.4004139320585047E-2</v>
      </c>
      <c r="O245" s="31">
        <v>1.3111037527063123E-2</v>
      </c>
      <c r="P245" s="31"/>
    </row>
  </sheetData>
  <hyperlinks>
    <hyperlink ref="J10" r:id="rId1" xr:uid="{00000000-0004-0000-4600-000000000000}"/>
    <hyperlink ref="I10" r:id="rId2" xr:uid="{00000000-0004-0000-4600-000001000000}"/>
    <hyperlink ref="K10" r:id="rId3" xr:uid="{00000000-0004-0000-4600-000002000000}"/>
    <hyperlink ref="G10" r:id="rId4" display="RTA 2022" xr:uid="{00000000-0004-0000-4600-000003000000}"/>
    <hyperlink ref="E10" r:id="rId5" xr:uid="{00000000-0004-0000-4600-000005000000}"/>
    <hyperlink ref="H10" r:id="rId6" display="RTA 2024" xr:uid="{00000000-0004-0000-4600-000006000000}"/>
    <hyperlink ref="F10" r:id="rId7" xr:uid="{336DD5FD-DF13-41F0-A8A3-E8F497641CCB}"/>
  </hyperlinks>
  <pageMargins left="0.511811024" right="0.511811024" top="0.78740157499999996" bottom="0.78740157499999996" header="0.31496062000000002" footer="0.31496062000000002"/>
  <pageSetup paperSize="9" orientation="portrait" r:id="rId8"/>
  <drawing r:id="rId9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9" tint="0.79998168889431442"/>
  </sheetPr>
  <dimension ref="C4:M32"/>
  <sheetViews>
    <sheetView zoomScaleNormal="100" workbookViewId="0">
      <selection activeCell="I23" sqref="I23"/>
    </sheetView>
  </sheetViews>
  <sheetFormatPr defaultColWidth="9.1796875" defaultRowHeight="14.5"/>
  <cols>
    <col min="1" max="2" width="9.1796875" style="37"/>
    <col min="3" max="3" width="28.26953125" style="369" bestFit="1" customWidth="1"/>
    <col min="4" max="11" width="14.453125" style="370" customWidth="1"/>
    <col min="12" max="12" width="14.453125" style="371" customWidth="1"/>
    <col min="13" max="13" width="14.453125" style="333" customWidth="1"/>
    <col min="14" max="16384" width="9.1796875" style="37"/>
  </cols>
  <sheetData>
    <row r="4" spans="3:13" ht="15" customHeight="1"/>
    <row r="5" spans="3:13" ht="26.15" customHeight="1">
      <c r="C5" s="506" t="s">
        <v>1187</v>
      </c>
      <c r="D5" s="508" t="s">
        <v>1188</v>
      </c>
      <c r="E5" s="508" t="s">
        <v>1189</v>
      </c>
      <c r="F5" s="508" t="s">
        <v>1190</v>
      </c>
      <c r="G5" s="508" t="s">
        <v>1191</v>
      </c>
      <c r="H5" s="508" t="s">
        <v>1192</v>
      </c>
      <c r="I5" s="508" t="s">
        <v>1193</v>
      </c>
      <c r="J5" s="508" t="s">
        <v>1194</v>
      </c>
      <c r="K5" s="508" t="s">
        <v>1195</v>
      </c>
      <c r="L5" s="508" t="s">
        <v>160</v>
      </c>
      <c r="M5" s="37"/>
    </row>
    <row r="6" spans="3:13" ht="19.5" customHeight="1">
      <c r="C6" s="372" t="s">
        <v>1196</v>
      </c>
      <c r="D6" s="373" t="s">
        <v>1197</v>
      </c>
      <c r="E6" s="373" t="s">
        <v>1198</v>
      </c>
      <c r="F6" s="373" t="s">
        <v>1199</v>
      </c>
      <c r="G6" s="373" t="s">
        <v>1200</v>
      </c>
      <c r="H6" s="373" t="s">
        <v>1201</v>
      </c>
      <c r="I6" s="374" t="s">
        <v>1202</v>
      </c>
      <c r="J6" s="373" t="s">
        <v>1203</v>
      </c>
      <c r="K6" s="373" t="s">
        <v>1204</v>
      </c>
      <c r="L6" s="375" t="s">
        <v>371</v>
      </c>
      <c r="M6" s="37"/>
    </row>
    <row r="7" spans="3:13" ht="19.5" customHeight="1">
      <c r="C7" s="376" t="s">
        <v>1205</v>
      </c>
      <c r="D7" s="377" t="s">
        <v>1206</v>
      </c>
      <c r="E7" s="377" t="s">
        <v>1206</v>
      </c>
      <c r="F7" s="377" t="s">
        <v>1207</v>
      </c>
      <c r="G7" s="377" t="s">
        <v>1208</v>
      </c>
      <c r="H7" s="377" t="s">
        <v>1208</v>
      </c>
      <c r="I7" s="378" t="s">
        <v>1209</v>
      </c>
      <c r="J7" s="377" t="s">
        <v>1210</v>
      </c>
      <c r="K7" s="377" t="s">
        <v>1210</v>
      </c>
      <c r="L7" s="379" t="s">
        <v>371</v>
      </c>
      <c r="M7" s="37"/>
    </row>
    <row r="8" spans="3:13" ht="19.5" customHeight="1">
      <c r="C8" s="372" t="s">
        <v>1211</v>
      </c>
      <c r="D8" s="380">
        <v>250</v>
      </c>
      <c r="E8" s="380">
        <v>235</v>
      </c>
      <c r="F8" s="380">
        <v>372</v>
      </c>
      <c r="G8" s="380">
        <v>588</v>
      </c>
      <c r="H8" s="380">
        <v>250</v>
      </c>
      <c r="I8" s="381">
        <v>325</v>
      </c>
      <c r="J8" s="380">
        <v>129</v>
      </c>
      <c r="K8" s="380">
        <v>434</v>
      </c>
      <c r="L8" s="382">
        <f>SUM(D8:K8)</f>
        <v>2583</v>
      </c>
      <c r="M8" s="37"/>
    </row>
    <row r="9" spans="3:13" ht="19.5" customHeight="1">
      <c r="C9" s="376" t="s">
        <v>1212</v>
      </c>
      <c r="D9" s="383">
        <v>500</v>
      </c>
      <c r="E9" s="383">
        <v>500</v>
      </c>
      <c r="F9" s="383">
        <v>500</v>
      </c>
      <c r="G9" s="383">
        <v>500</v>
      </c>
      <c r="H9" s="383">
        <v>500</v>
      </c>
      <c r="I9" s="384">
        <v>500</v>
      </c>
      <c r="J9" s="383" t="s">
        <v>1213</v>
      </c>
      <c r="K9" s="383">
        <v>230</v>
      </c>
      <c r="L9" s="385" t="s">
        <v>371</v>
      </c>
      <c r="M9" s="37"/>
    </row>
    <row r="10" spans="3:13" ht="19.5" customHeight="1">
      <c r="C10" s="372" t="s">
        <v>1214</v>
      </c>
      <c r="D10" s="386">
        <v>53733</v>
      </c>
      <c r="E10" s="386">
        <v>53733</v>
      </c>
      <c r="F10" s="386">
        <v>53733</v>
      </c>
      <c r="G10" s="386">
        <v>53733</v>
      </c>
      <c r="H10" s="386">
        <v>53733</v>
      </c>
      <c r="I10" s="386">
        <v>53733</v>
      </c>
      <c r="J10" s="386">
        <v>53733</v>
      </c>
      <c r="K10" s="386">
        <v>53894</v>
      </c>
      <c r="L10" s="387" t="s">
        <v>371</v>
      </c>
      <c r="M10" s="37"/>
    </row>
    <row r="11" spans="3:13" ht="19.5" customHeight="1">
      <c r="C11" s="376" t="s">
        <v>1215</v>
      </c>
      <c r="D11" s="388">
        <v>43952</v>
      </c>
      <c r="E11" s="388">
        <v>43852</v>
      </c>
      <c r="F11" s="388">
        <v>44348</v>
      </c>
      <c r="G11" s="388">
        <v>44135</v>
      </c>
      <c r="H11" s="388">
        <v>44188</v>
      </c>
      <c r="I11" s="389">
        <v>44260</v>
      </c>
      <c r="J11" s="388">
        <v>44096</v>
      </c>
      <c r="K11" s="388">
        <v>43619</v>
      </c>
      <c r="L11" s="390" t="s">
        <v>371</v>
      </c>
      <c r="M11" s="37"/>
    </row>
    <row r="12" spans="3:13" ht="19.5" customHeight="1">
      <c r="C12" s="372" t="s">
        <v>1216</v>
      </c>
      <c r="D12" s="391">
        <f t="shared" ref="D12:J12" si="0">D14</f>
        <v>108243.9558</v>
      </c>
      <c r="E12" s="391">
        <f t="shared" si="0"/>
        <v>98184.048930000004</v>
      </c>
      <c r="F12" s="391">
        <f t="shared" si="0"/>
        <v>143125.50647999998</v>
      </c>
      <c r="G12" s="391">
        <f t="shared" si="0"/>
        <v>258237.86813999998</v>
      </c>
      <c r="H12" s="391">
        <f t="shared" si="0"/>
        <v>119153.62544</v>
      </c>
      <c r="I12" s="391">
        <f t="shared" si="0"/>
        <v>147749.34091999999</v>
      </c>
      <c r="J12" s="391">
        <f t="shared" si="0"/>
        <v>125159.35642225086</v>
      </c>
      <c r="K12" s="391">
        <v>179454.95064000002</v>
      </c>
      <c r="L12" s="392">
        <f>(SUM(D12:K12))</f>
        <v>1179308.6527722508</v>
      </c>
      <c r="M12" s="37"/>
    </row>
    <row r="13" spans="3:13" ht="19.5" customHeight="1">
      <c r="C13" s="376" t="s">
        <v>1217</v>
      </c>
      <c r="D13" s="393">
        <v>0</v>
      </c>
      <c r="E13" s="393">
        <v>0</v>
      </c>
      <c r="F13" s="393">
        <v>0</v>
      </c>
      <c r="G13" s="393">
        <v>0</v>
      </c>
      <c r="H13" s="393">
        <v>0</v>
      </c>
      <c r="I13" s="393">
        <v>0</v>
      </c>
      <c r="J13" s="393">
        <v>0</v>
      </c>
      <c r="K13" s="393">
        <v>4624.2375400000001</v>
      </c>
      <c r="L13" s="394">
        <f>(SUM(D13:K13))</f>
        <v>4624.2375400000001</v>
      </c>
      <c r="M13" s="37"/>
    </row>
    <row r="14" spans="3:13" ht="19.5" customHeight="1">
      <c r="C14" s="372" t="s">
        <v>1218</v>
      </c>
      <c r="D14" s="395">
        <v>108243.9558</v>
      </c>
      <c r="E14" s="395">
        <v>98184.048930000004</v>
      </c>
      <c r="F14" s="395">
        <v>143125.50647999998</v>
      </c>
      <c r="G14" s="395">
        <v>258237.86813999998</v>
      </c>
      <c r="H14" s="395">
        <v>119153.62544</v>
      </c>
      <c r="I14" s="395">
        <v>147749.34091999999</v>
      </c>
      <c r="J14" s="395">
        <v>125159.35642225086</v>
      </c>
      <c r="K14" s="395">
        <f>SUM(K12:K13)</f>
        <v>184079.18818000003</v>
      </c>
      <c r="L14" s="392">
        <f>(SUM(D14:K14))</f>
        <v>1183932.8903122507</v>
      </c>
      <c r="M14" s="37"/>
    </row>
    <row r="15" spans="3:13" ht="19.5" customHeight="1">
      <c r="C15" s="376" t="s">
        <v>1219</v>
      </c>
      <c r="D15" s="388" t="s">
        <v>902</v>
      </c>
      <c r="E15" s="388" t="s">
        <v>902</v>
      </c>
      <c r="F15" s="388" t="s">
        <v>902</v>
      </c>
      <c r="G15" s="388" t="s">
        <v>902</v>
      </c>
      <c r="H15" s="388" t="s">
        <v>902</v>
      </c>
      <c r="I15" s="389" t="s">
        <v>902</v>
      </c>
      <c r="J15" s="388" t="s">
        <v>902</v>
      </c>
      <c r="K15" s="388" t="s">
        <v>902</v>
      </c>
      <c r="L15" s="390" t="s">
        <v>371</v>
      </c>
      <c r="M15" s="37"/>
    </row>
    <row r="16" spans="3:13" ht="19.5" hidden="1" customHeight="1">
      <c r="C16" s="372" t="s">
        <v>1220</v>
      </c>
      <c r="D16" s="386" t="s">
        <v>1221</v>
      </c>
      <c r="E16" s="386" t="s">
        <v>1221</v>
      </c>
      <c r="F16" s="386" t="s">
        <v>1221</v>
      </c>
      <c r="G16" s="386" t="s">
        <v>1221</v>
      </c>
      <c r="H16" s="386" t="s">
        <v>1221</v>
      </c>
      <c r="I16" s="386" t="s">
        <v>1221</v>
      </c>
      <c r="J16" s="386" t="s">
        <v>1221</v>
      </c>
      <c r="K16" s="386" t="s">
        <v>1221</v>
      </c>
      <c r="L16" s="387" t="s">
        <v>371</v>
      </c>
      <c r="M16" s="37"/>
    </row>
    <row r="17" spans="3:13" ht="19.5" customHeight="1">
      <c r="C17" s="376" t="s">
        <v>1222</v>
      </c>
      <c r="D17" s="396">
        <v>0.75</v>
      </c>
      <c r="E17" s="396">
        <v>0.75</v>
      </c>
      <c r="F17" s="396">
        <v>0.75</v>
      </c>
      <c r="G17" s="396">
        <v>0.45</v>
      </c>
      <c r="H17" s="396">
        <v>0.75</v>
      </c>
      <c r="I17" s="397">
        <v>0.22</v>
      </c>
      <c r="J17" s="396">
        <v>0.75</v>
      </c>
      <c r="K17" s="396">
        <v>0.75</v>
      </c>
      <c r="L17" s="398" t="s">
        <v>371</v>
      </c>
      <c r="M17" s="37"/>
    </row>
    <row r="18" spans="3:13" ht="15" customHeight="1">
      <c r="C18" s="372" t="s">
        <v>1223</v>
      </c>
      <c r="D18" s="399">
        <v>9.2499999999999999E-2</v>
      </c>
      <c r="E18" s="399">
        <v>9.2499999999999999E-2</v>
      </c>
      <c r="F18" s="399">
        <v>9.2499999999999999E-2</v>
      </c>
      <c r="G18" s="399">
        <v>9.2499999999999999E-2</v>
      </c>
      <c r="H18" s="399">
        <v>9.2499999999999999E-2</v>
      </c>
      <c r="I18" s="399">
        <v>9.2499999999999999E-2</v>
      </c>
      <c r="J18" s="399">
        <v>9.2499999999999999E-2</v>
      </c>
      <c r="K18" s="399">
        <v>9.2499999999999999E-2</v>
      </c>
      <c r="L18" s="400" t="s">
        <v>371</v>
      </c>
      <c r="M18" s="37"/>
    </row>
    <row r="19" spans="3:13" ht="15.65" customHeight="1">
      <c r="C19" s="595" t="s">
        <v>1224</v>
      </c>
      <c r="D19" s="596">
        <v>46569</v>
      </c>
      <c r="E19" s="596">
        <v>46569</v>
      </c>
      <c r="F19" s="596">
        <v>46569</v>
      </c>
      <c r="G19" s="596">
        <v>46569</v>
      </c>
      <c r="H19" s="596">
        <v>46569</v>
      </c>
      <c r="I19" s="596">
        <v>46569</v>
      </c>
      <c r="J19" s="596">
        <v>46569</v>
      </c>
      <c r="K19" s="596">
        <v>45108</v>
      </c>
      <c r="L19" s="596"/>
      <c r="M19" s="37"/>
    </row>
    <row r="20" spans="3:13" ht="15" customHeight="1">
      <c r="C20" s="187"/>
    </row>
    <row r="32" spans="3:13" s="369" customFormat="1" ht="15" customHeight="1">
      <c r="D32" s="370"/>
      <c r="E32" s="370"/>
      <c r="F32" s="370"/>
      <c r="G32" s="370"/>
      <c r="H32" s="370"/>
      <c r="I32" s="370"/>
      <c r="J32" s="370"/>
      <c r="K32" s="370"/>
      <c r="L32" s="371"/>
      <c r="M32" s="333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9" tint="0.79998168889431442"/>
  </sheetPr>
  <dimension ref="C4:I32"/>
  <sheetViews>
    <sheetView zoomScaleNormal="100" workbookViewId="0">
      <selection activeCell="B1" sqref="B1"/>
    </sheetView>
  </sheetViews>
  <sheetFormatPr defaultColWidth="9.1796875" defaultRowHeight="14.5"/>
  <cols>
    <col min="1" max="2" width="9.1796875" style="37"/>
    <col min="3" max="3" width="28.26953125" style="369" bestFit="1" customWidth="1"/>
    <col min="4" max="8" width="14.453125" style="370" customWidth="1"/>
    <col min="9" max="9" width="14.453125" style="333" customWidth="1"/>
    <col min="10" max="16384" width="9.1796875" style="37"/>
  </cols>
  <sheetData>
    <row r="4" spans="3:9" ht="15" customHeight="1"/>
    <row r="5" spans="3:9" ht="19" customHeight="1">
      <c r="C5" s="776" t="s">
        <v>1225</v>
      </c>
      <c r="D5" s="776"/>
      <c r="E5" s="776"/>
      <c r="F5" s="776"/>
      <c r="G5" s="776"/>
      <c r="H5" s="776"/>
      <c r="I5" s="37"/>
    </row>
    <row r="6" spans="3:9" ht="19" customHeight="1">
      <c r="C6" s="776" t="s">
        <v>1226</v>
      </c>
      <c r="D6" s="776" t="s">
        <v>1227</v>
      </c>
      <c r="E6" s="776" t="s">
        <v>1228</v>
      </c>
      <c r="F6" s="777" t="s">
        <v>1229</v>
      </c>
      <c r="G6" s="776" t="s">
        <v>1230</v>
      </c>
      <c r="H6" s="778"/>
      <c r="I6" s="37"/>
    </row>
    <row r="7" spans="3:9" ht="19.5" customHeight="1">
      <c r="C7" s="776"/>
      <c r="D7" s="776"/>
      <c r="E7" s="776"/>
      <c r="F7" s="777"/>
      <c r="G7" s="508" t="s">
        <v>1231</v>
      </c>
      <c r="H7" s="508" t="s">
        <v>1232</v>
      </c>
      <c r="I7" s="37"/>
    </row>
    <row r="8" spans="3:9" ht="19.5" customHeight="1">
      <c r="C8" s="619" t="s">
        <v>1188</v>
      </c>
      <c r="D8" s="621" t="s">
        <v>1233</v>
      </c>
      <c r="E8" s="623" t="s">
        <v>1234</v>
      </c>
      <c r="F8" s="625">
        <v>1</v>
      </c>
      <c r="G8" s="627">
        <v>2021</v>
      </c>
      <c r="H8" s="627">
        <v>2030</v>
      </c>
      <c r="I8" s="37"/>
    </row>
    <row r="9" spans="3:9" ht="19.5" customHeight="1">
      <c r="C9" s="620" t="s">
        <v>1189</v>
      </c>
      <c r="D9" s="622" t="s">
        <v>1233</v>
      </c>
      <c r="E9" s="624" t="s">
        <v>1235</v>
      </c>
      <c r="F9" s="626">
        <v>1</v>
      </c>
      <c r="G9" s="628">
        <v>2021</v>
      </c>
      <c r="H9" s="628">
        <v>2030</v>
      </c>
      <c r="I9" s="37"/>
    </row>
    <row r="10" spans="3:9" ht="19.5" customHeight="1">
      <c r="C10" s="619" t="s">
        <v>1190</v>
      </c>
      <c r="D10" s="621" t="s">
        <v>1233</v>
      </c>
      <c r="E10" s="623" t="s">
        <v>1236</v>
      </c>
      <c r="F10" s="625">
        <v>1</v>
      </c>
      <c r="G10" s="627">
        <v>2022</v>
      </c>
      <c r="H10" s="627">
        <v>2031</v>
      </c>
      <c r="I10" s="37"/>
    </row>
    <row r="11" spans="3:9" ht="19.5" customHeight="1">
      <c r="C11" s="620" t="s">
        <v>1191</v>
      </c>
      <c r="D11" s="622" t="s">
        <v>1233</v>
      </c>
      <c r="E11" s="624" t="s">
        <v>1237</v>
      </c>
      <c r="F11" s="626">
        <v>0.76900000000000002</v>
      </c>
      <c r="G11" s="628">
        <v>2021</v>
      </c>
      <c r="H11" s="628">
        <v>2030</v>
      </c>
      <c r="I11" s="37"/>
    </row>
    <row r="12" spans="3:9" ht="19.5" customHeight="1">
      <c r="C12" s="619" t="s">
        <v>1192</v>
      </c>
      <c r="D12" s="621" t="s">
        <v>1233</v>
      </c>
      <c r="E12" s="623" t="s">
        <v>1238</v>
      </c>
      <c r="F12" s="625">
        <v>1</v>
      </c>
      <c r="G12" s="627">
        <v>2022</v>
      </c>
      <c r="H12" s="627">
        <v>2031</v>
      </c>
      <c r="I12" s="37"/>
    </row>
    <row r="13" spans="3:9" ht="19.5" customHeight="1">
      <c r="C13" s="620" t="s">
        <v>1193</v>
      </c>
      <c r="D13" s="622" t="s">
        <v>1233</v>
      </c>
      <c r="E13" s="624" t="s">
        <v>1239</v>
      </c>
      <c r="F13" s="626">
        <v>0.60840000000000005</v>
      </c>
      <c r="G13" s="628">
        <v>2022</v>
      </c>
      <c r="H13" s="628">
        <v>2031</v>
      </c>
      <c r="I13" s="37"/>
    </row>
    <row r="14" spans="3:9" ht="19.5" customHeight="1">
      <c r="C14" s="619" t="s">
        <v>1194</v>
      </c>
      <c r="D14" s="621" t="s">
        <v>1240</v>
      </c>
      <c r="E14" s="623" t="s">
        <v>1241</v>
      </c>
      <c r="F14" s="625">
        <v>1</v>
      </c>
      <c r="G14" s="627">
        <v>2022</v>
      </c>
      <c r="H14" s="627">
        <v>2031</v>
      </c>
      <c r="I14" s="37"/>
    </row>
    <row r="15" spans="3:9" ht="19.5" customHeight="1">
      <c r="C15" s="620" t="s">
        <v>1195</v>
      </c>
      <c r="D15" s="622" t="s">
        <v>1240</v>
      </c>
      <c r="E15" s="624" t="s">
        <v>1242</v>
      </c>
      <c r="F15" s="626">
        <v>1</v>
      </c>
      <c r="G15" s="628">
        <v>2020</v>
      </c>
      <c r="H15" s="628">
        <v>2029</v>
      </c>
      <c r="I15" s="37"/>
    </row>
    <row r="16" spans="3:9" ht="19.5" customHeight="1">
      <c r="C16" s="619" t="s">
        <v>1243</v>
      </c>
      <c r="D16" s="621" t="s">
        <v>1233</v>
      </c>
      <c r="E16" s="623" t="s">
        <v>1244</v>
      </c>
      <c r="F16" s="625">
        <v>1</v>
      </c>
      <c r="G16" s="627">
        <v>2023</v>
      </c>
      <c r="H16" s="627">
        <v>2032</v>
      </c>
      <c r="I16" s="37"/>
    </row>
    <row r="17" spans="3:9" ht="19.5" customHeight="1">
      <c r="C17" s="620" t="s">
        <v>1245</v>
      </c>
      <c r="D17" s="622" t="s">
        <v>1240</v>
      </c>
      <c r="E17" s="624" t="s">
        <v>1246</v>
      </c>
      <c r="F17" s="626">
        <v>1</v>
      </c>
      <c r="G17" s="628">
        <v>2018</v>
      </c>
      <c r="H17" s="628">
        <v>2027</v>
      </c>
      <c r="I17" s="37"/>
    </row>
    <row r="18" spans="3:9" ht="19.5" customHeight="1">
      <c r="C18" s="619" t="s">
        <v>1247</v>
      </c>
      <c r="D18" s="621" t="s">
        <v>1233</v>
      </c>
      <c r="E18" s="623" t="s">
        <v>1248</v>
      </c>
      <c r="F18" s="625">
        <v>1</v>
      </c>
      <c r="G18" s="627">
        <v>2023</v>
      </c>
      <c r="H18" s="627">
        <v>2032</v>
      </c>
      <c r="I18" s="37"/>
    </row>
    <row r="19" spans="3:9" ht="19.5" customHeight="1">
      <c r="C19" s="620" t="s">
        <v>1249</v>
      </c>
      <c r="D19" s="666" t="s">
        <v>1233</v>
      </c>
      <c r="E19" s="624" t="s">
        <v>1250</v>
      </c>
      <c r="F19" s="626">
        <v>1</v>
      </c>
      <c r="G19" s="628">
        <v>2023</v>
      </c>
      <c r="H19" s="628">
        <v>2032</v>
      </c>
      <c r="I19" s="37"/>
    </row>
    <row r="20" spans="3:9" ht="19.5" customHeight="1">
      <c r="C20" s="619" t="s">
        <v>75</v>
      </c>
      <c r="D20" s="621" t="s">
        <v>1240</v>
      </c>
      <c r="E20" s="623" t="s">
        <v>1251</v>
      </c>
      <c r="F20" s="625">
        <v>1</v>
      </c>
      <c r="G20" s="627">
        <v>2023</v>
      </c>
      <c r="H20" s="627">
        <v>2032</v>
      </c>
      <c r="I20" s="37"/>
    </row>
    <row r="21" spans="3:9">
      <c r="C21" s="774" t="s">
        <v>1252</v>
      </c>
      <c r="D21" s="658" t="s">
        <v>1233</v>
      </c>
      <c r="E21" s="659" t="s">
        <v>1253</v>
      </c>
      <c r="F21" s="660" t="s">
        <v>1254</v>
      </c>
      <c r="G21" s="661">
        <v>2023</v>
      </c>
      <c r="H21" s="661">
        <v>2032</v>
      </c>
    </row>
    <row r="22" spans="3:9">
      <c r="C22" s="775"/>
      <c r="D22" s="662" t="s">
        <v>1240</v>
      </c>
      <c r="E22" s="663" t="s">
        <v>1255</v>
      </c>
      <c r="F22" s="664" t="s">
        <v>1254</v>
      </c>
      <c r="G22" s="665">
        <v>2024</v>
      </c>
      <c r="H22" s="665">
        <v>2033</v>
      </c>
    </row>
    <row r="23" spans="3:9">
      <c r="C23" s="618" t="s">
        <v>1256</v>
      </c>
    </row>
    <row r="24" spans="3:9">
      <c r="C24" s="618" t="s">
        <v>1257</v>
      </c>
    </row>
    <row r="32" spans="3:9" s="369" customFormat="1" ht="15" customHeight="1">
      <c r="D32" s="370"/>
      <c r="E32" s="370"/>
      <c r="F32" s="370"/>
      <c r="G32" s="370"/>
      <c r="H32" s="370"/>
      <c r="I32" s="333"/>
    </row>
  </sheetData>
  <dataConsolidate/>
  <mergeCells count="7">
    <mergeCell ref="C21:C22"/>
    <mergeCell ref="C5:H5"/>
    <mergeCell ref="C6:C7"/>
    <mergeCell ref="D6:D7"/>
    <mergeCell ref="E6:E7"/>
    <mergeCell ref="F6:F7"/>
    <mergeCell ref="G6:H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9" tint="0.79998168889431442"/>
  </sheetPr>
  <dimension ref="C6:AB67"/>
  <sheetViews>
    <sheetView showGridLines="0" zoomScale="85" zoomScaleNormal="85" workbookViewId="0">
      <selection activeCell="D60" sqref="D60"/>
    </sheetView>
  </sheetViews>
  <sheetFormatPr defaultColWidth="8.7265625" defaultRowHeight="14.5"/>
  <cols>
    <col min="1" max="1" width="8.7265625" style="679"/>
    <col min="2" max="2" width="1.1796875" style="679" customWidth="1"/>
    <col min="3" max="3" width="35.81640625" style="679" bestFit="1" customWidth="1"/>
    <col min="4" max="5" width="7" style="679" bestFit="1" customWidth="1"/>
    <col min="6" max="6" width="6.1796875" style="679" bestFit="1" customWidth="1"/>
    <col min="7" max="7" width="7" style="679" bestFit="1" customWidth="1"/>
    <col min="8" max="11" width="6.1796875" style="679" bestFit="1" customWidth="1"/>
    <col min="12" max="22" width="7" style="679" bestFit="1" customWidth="1"/>
    <col min="23" max="23" width="4.453125" style="667" customWidth="1"/>
    <col min="24" max="24" width="19.81640625" style="667" customWidth="1"/>
    <col min="25" max="28" width="8.7265625" style="667"/>
    <col min="29" max="16384" width="8.7265625" style="679"/>
  </cols>
  <sheetData>
    <row r="6" spans="3:28">
      <c r="C6" s="680" t="s">
        <v>1258</v>
      </c>
      <c r="D6" s="681" t="s">
        <v>36</v>
      </c>
      <c r="E6" s="681" t="s">
        <v>37</v>
      </c>
      <c r="F6" s="681" t="s">
        <v>38</v>
      </c>
      <c r="G6" s="681" t="s">
        <v>39</v>
      </c>
      <c r="H6" s="681" t="s">
        <v>40</v>
      </c>
      <c r="I6" s="681" t="s">
        <v>41</v>
      </c>
      <c r="J6" s="681" t="s">
        <v>42</v>
      </c>
      <c r="K6" s="681" t="s">
        <v>43</v>
      </c>
      <c r="L6" s="681" t="s">
        <v>44</v>
      </c>
      <c r="M6" s="681" t="s">
        <v>45</v>
      </c>
      <c r="N6" s="681" t="s">
        <v>46</v>
      </c>
      <c r="O6" s="681" t="s">
        <v>47</v>
      </c>
      <c r="P6" s="681" t="s">
        <v>48</v>
      </c>
      <c r="Q6" s="681" t="s">
        <v>49</v>
      </c>
      <c r="R6" s="681" t="s">
        <v>50</v>
      </c>
      <c r="S6" s="681" t="s">
        <v>51</v>
      </c>
      <c r="T6" s="681" t="s">
        <v>52</v>
      </c>
      <c r="U6" s="681" t="s">
        <v>53</v>
      </c>
      <c r="V6" s="744" t="s">
        <v>54</v>
      </c>
      <c r="X6" s="668" t="s">
        <v>1259</v>
      </c>
      <c r="Y6" s="669"/>
      <c r="Z6" s="669"/>
      <c r="AA6" s="670"/>
    </row>
    <row r="7" spans="3:28">
      <c r="C7" s="679" t="s">
        <v>1260</v>
      </c>
      <c r="D7" s="682">
        <v>1000</v>
      </c>
      <c r="E7" s="682">
        <v>0</v>
      </c>
      <c r="F7" s="682">
        <v>0</v>
      </c>
      <c r="G7" s="682">
        <v>0</v>
      </c>
      <c r="H7" s="682">
        <v>0</v>
      </c>
      <c r="I7" s="682">
        <v>0</v>
      </c>
      <c r="J7" s="682">
        <v>0</v>
      </c>
      <c r="K7" s="682">
        <v>0</v>
      </c>
      <c r="L7" s="682">
        <v>0</v>
      </c>
      <c r="M7" s="682">
        <v>0</v>
      </c>
      <c r="N7" s="682">
        <v>0</v>
      </c>
      <c r="O7" s="682">
        <v>0</v>
      </c>
      <c r="P7" s="682">
        <v>0</v>
      </c>
      <c r="Q7" s="682">
        <v>0</v>
      </c>
      <c r="R7" s="682">
        <v>0</v>
      </c>
      <c r="S7" s="682">
        <v>0</v>
      </c>
      <c r="T7" s="682">
        <v>0</v>
      </c>
      <c r="U7" s="682">
        <v>0</v>
      </c>
      <c r="V7" s="745">
        <v>0</v>
      </c>
      <c r="X7" s="671"/>
      <c r="AA7" s="672"/>
    </row>
    <row r="8" spans="3:28">
      <c r="C8" s="679" t="s">
        <v>1261</v>
      </c>
      <c r="D8" s="682">
        <v>6.4181926684901702</v>
      </c>
      <c r="E8" s="682">
        <v>10.186053826597499</v>
      </c>
      <c r="F8" s="682">
        <v>7.4610486232704103</v>
      </c>
      <c r="G8" s="682">
        <v>5.1010366331680999</v>
      </c>
      <c r="H8" s="682">
        <v>4.6818302066658504</v>
      </c>
      <c r="I8" s="682">
        <v>4.3606545366642298</v>
      </c>
      <c r="J8" s="682">
        <v>6.8655286503698001</v>
      </c>
      <c r="K8" s="682">
        <v>10.5310591847949</v>
      </c>
      <c r="L8" s="682">
        <v>14.231135221158899</v>
      </c>
      <c r="M8" s="682">
        <v>17.729348027965099</v>
      </c>
      <c r="N8" s="682">
        <v>21.547144625506199</v>
      </c>
      <c r="O8" s="682">
        <v>22.972428101066299</v>
      </c>
      <c r="P8" s="682">
        <v>21.518643678276</v>
      </c>
      <c r="Q8" s="682">
        <v>17.6101077519425</v>
      </c>
      <c r="R8" s="682">
        <v>17.561484594614701</v>
      </c>
      <c r="S8" s="682">
        <v>17.6417514615515</v>
      </c>
      <c r="T8" s="682">
        <v>16.767555794096101</v>
      </c>
      <c r="U8" s="682">
        <v>14.8488462362552</v>
      </c>
      <c r="V8" s="745">
        <v>12.990471304059042</v>
      </c>
      <c r="X8" s="671"/>
      <c r="AA8" s="672"/>
    </row>
    <row r="9" spans="3:28">
      <c r="C9" s="679" t="s">
        <v>1262</v>
      </c>
      <c r="D9" s="682">
        <v>0</v>
      </c>
      <c r="E9" s="682">
        <v>0</v>
      </c>
      <c r="F9" s="682">
        <v>-27.904250439999998</v>
      </c>
      <c r="G9" s="682">
        <v>0</v>
      </c>
      <c r="H9" s="682">
        <v>-108.44226345</v>
      </c>
      <c r="I9" s="682">
        <v>0</v>
      </c>
      <c r="J9" s="682">
        <v>-52.933753226100002</v>
      </c>
      <c r="K9" s="682">
        <v>-80.916529269999998</v>
      </c>
      <c r="L9" s="682">
        <v>-71.156214790000007</v>
      </c>
      <c r="M9" s="682">
        <v>0</v>
      </c>
      <c r="N9" s="682">
        <v>-74.157569719999998</v>
      </c>
      <c r="O9" s="682">
        <v>0</v>
      </c>
      <c r="P9" s="682">
        <v>-163.08933173</v>
      </c>
      <c r="Q9" s="682">
        <v>-34.353000000000002</v>
      </c>
      <c r="R9" s="682">
        <v>0</v>
      </c>
      <c r="S9" s="682">
        <v>0</v>
      </c>
      <c r="T9" s="682">
        <v>-82.824761267070002</v>
      </c>
      <c r="U9" s="682">
        <v>0</v>
      </c>
      <c r="V9" s="745">
        <v>0</v>
      </c>
      <c r="W9" s="673"/>
      <c r="X9" s="674"/>
      <c r="Y9" s="673"/>
      <c r="Z9" s="673"/>
      <c r="AA9" s="675"/>
      <c r="AB9" s="673"/>
    </row>
    <row r="10" spans="3:28">
      <c r="C10" s="683" t="s">
        <v>1263</v>
      </c>
      <c r="D10" s="684">
        <f>SUM(D7:D9)</f>
        <v>1006.4181926684902</v>
      </c>
      <c r="E10" s="684">
        <f>SUM(E7:E9,D10)</f>
        <v>1016.6042464950876</v>
      </c>
      <c r="F10" s="684">
        <f t="shared" ref="F10:U10" si="0">SUM(F7:F9,E10)</f>
        <v>996.16104467835805</v>
      </c>
      <c r="G10" s="684">
        <f t="shared" si="0"/>
        <v>1001.2620813115261</v>
      </c>
      <c r="H10" s="684">
        <f t="shared" si="0"/>
        <v>897.50164806819203</v>
      </c>
      <c r="I10" s="684">
        <f t="shared" si="0"/>
        <v>901.86230260485627</v>
      </c>
      <c r="J10" s="684">
        <f t="shared" si="0"/>
        <v>855.79407802912601</v>
      </c>
      <c r="K10" s="684">
        <f t="shared" si="0"/>
        <v>785.40860794392097</v>
      </c>
      <c r="L10" s="684">
        <f t="shared" si="0"/>
        <v>728.48352837507991</v>
      </c>
      <c r="M10" s="684">
        <f t="shared" si="0"/>
        <v>746.21287640304502</v>
      </c>
      <c r="N10" s="684">
        <f t="shared" si="0"/>
        <v>693.60245130855117</v>
      </c>
      <c r="O10" s="684">
        <f t="shared" si="0"/>
        <v>716.57487940961744</v>
      </c>
      <c r="P10" s="684">
        <f t="shared" si="0"/>
        <v>575.00419135789343</v>
      </c>
      <c r="Q10" s="684">
        <f t="shared" si="0"/>
        <v>558.26129910983593</v>
      </c>
      <c r="R10" s="684">
        <f t="shared" si="0"/>
        <v>575.82278370445067</v>
      </c>
      <c r="S10" s="684">
        <f t="shared" si="0"/>
        <v>593.46453516600218</v>
      </c>
      <c r="T10" s="684">
        <f t="shared" si="0"/>
        <v>527.40732969302826</v>
      </c>
      <c r="U10" s="684">
        <f t="shared" si="0"/>
        <v>542.25617592928347</v>
      </c>
      <c r="V10" s="746">
        <f>SUM(V7:V9,U10)</f>
        <v>555.24664723334251</v>
      </c>
      <c r="X10" s="671"/>
      <c r="AA10" s="672"/>
    </row>
    <row r="11" spans="3:28" ht="4.5" customHeight="1">
      <c r="V11" s="747"/>
      <c r="X11" s="671"/>
      <c r="AA11" s="672"/>
    </row>
    <row r="12" spans="3:28">
      <c r="C12" s="679" t="s">
        <v>1264</v>
      </c>
      <c r="D12" s="685"/>
      <c r="E12" s="685"/>
      <c r="F12" s="685"/>
      <c r="G12" s="685"/>
      <c r="H12" s="685"/>
      <c r="I12" s="685"/>
      <c r="J12" s="685"/>
      <c r="K12" s="685"/>
      <c r="L12" s="686">
        <f>L10+L13</f>
        <v>1141.4835283750799</v>
      </c>
      <c r="M12" s="686">
        <f t="shared" ref="M12:U12" si="1">M10+M13</f>
        <v>1198.2128764030449</v>
      </c>
      <c r="N12" s="686">
        <f t="shared" si="1"/>
        <v>1185.6024513085513</v>
      </c>
      <c r="O12" s="686">
        <f t="shared" si="1"/>
        <v>1247.5748794096176</v>
      </c>
      <c r="P12" s="686">
        <f t="shared" si="1"/>
        <v>1160.0041913578934</v>
      </c>
      <c r="Q12" s="686">
        <f t="shared" si="1"/>
        <v>596.26129910983593</v>
      </c>
      <c r="R12" s="686">
        <f t="shared" si="1"/>
        <v>603.82278370445067</v>
      </c>
      <c r="S12" s="686">
        <f t="shared" si="1"/>
        <v>611.46453516600218</v>
      </c>
      <c r="T12" s="686">
        <f t="shared" si="1"/>
        <v>668.87126248189725</v>
      </c>
      <c r="U12" s="686">
        <f t="shared" si="1"/>
        <v>668.88088287928349</v>
      </c>
      <c r="V12" s="748">
        <f>V10+V13</f>
        <v>666.13328499914178</v>
      </c>
      <c r="X12" s="671"/>
      <c r="AA12" s="672"/>
    </row>
    <row r="13" spans="3:28">
      <c r="C13" s="683" t="s">
        <v>1265</v>
      </c>
      <c r="D13" s="684"/>
      <c r="E13" s="684"/>
      <c r="F13" s="684"/>
      <c r="G13" s="684"/>
      <c r="H13" s="684"/>
      <c r="I13" s="684"/>
      <c r="J13" s="684"/>
      <c r="K13" s="684"/>
      <c r="L13" s="684">
        <v>413</v>
      </c>
      <c r="M13" s="684">
        <v>452</v>
      </c>
      <c r="N13" s="684">
        <v>492</v>
      </c>
      <c r="O13" s="684">
        <v>531</v>
      </c>
      <c r="P13" s="684">
        <v>585</v>
      </c>
      <c r="Q13" s="684">
        <v>38</v>
      </c>
      <c r="R13" s="684">
        <v>28</v>
      </c>
      <c r="S13" s="684">
        <v>18</v>
      </c>
      <c r="T13" s="684">
        <v>141.46393278886899</v>
      </c>
      <c r="U13" s="684">
        <v>126.62470695</v>
      </c>
      <c r="V13" s="746">
        <v>110.88663776579926</v>
      </c>
      <c r="X13" s="671"/>
      <c r="AA13" s="672"/>
    </row>
    <row r="14" spans="3:28" ht="4.5" customHeight="1">
      <c r="D14" s="687"/>
      <c r="E14" s="687"/>
      <c r="F14" s="687"/>
      <c r="G14" s="687"/>
      <c r="H14" s="687"/>
      <c r="I14" s="687"/>
      <c r="J14" s="687"/>
      <c r="K14" s="687"/>
      <c r="L14" s="685"/>
      <c r="M14" s="685"/>
      <c r="N14" s="685"/>
      <c r="O14" s="685"/>
      <c r="P14" s="685"/>
      <c r="Q14" s="685"/>
      <c r="R14" s="685"/>
      <c r="S14" s="685"/>
      <c r="T14" s="688"/>
      <c r="U14" s="685"/>
      <c r="V14" s="749"/>
      <c r="X14" s="671"/>
      <c r="AA14" s="672"/>
    </row>
    <row r="15" spans="3:28">
      <c r="C15" s="683" t="s">
        <v>1266</v>
      </c>
      <c r="D15" s="684"/>
      <c r="E15" s="684"/>
      <c r="F15" s="684"/>
      <c r="G15" s="684"/>
      <c r="H15" s="684"/>
      <c r="I15" s="684"/>
      <c r="J15" s="684"/>
      <c r="K15" s="684"/>
      <c r="L15" s="684">
        <f>L13</f>
        <v>413</v>
      </c>
      <c r="M15" s="684">
        <f t="shared" ref="M15:U15" si="2">M13-L13</f>
        <v>39</v>
      </c>
      <c r="N15" s="684">
        <f t="shared" si="2"/>
        <v>40</v>
      </c>
      <c r="O15" s="684">
        <f t="shared" si="2"/>
        <v>39</v>
      </c>
      <c r="P15" s="684">
        <f t="shared" si="2"/>
        <v>54</v>
      </c>
      <c r="Q15" s="684">
        <f t="shared" si="2"/>
        <v>-547</v>
      </c>
      <c r="R15" s="684">
        <f t="shared" si="2"/>
        <v>-10</v>
      </c>
      <c r="S15" s="684">
        <f t="shared" si="2"/>
        <v>-10</v>
      </c>
      <c r="T15" s="684">
        <f t="shared" si="2"/>
        <v>123.46393278886899</v>
      </c>
      <c r="U15" s="684">
        <f t="shared" si="2"/>
        <v>-14.839225838868984</v>
      </c>
      <c r="V15" s="746">
        <f>V13-U13</f>
        <v>-15.738069184200739</v>
      </c>
      <c r="X15" s="671"/>
      <c r="AA15" s="672"/>
    </row>
    <row r="16" spans="3:28" ht="4.5" customHeight="1">
      <c r="V16" s="747"/>
      <c r="X16" s="671"/>
      <c r="AA16" s="672"/>
    </row>
    <row r="17" spans="3:28">
      <c r="C17" s="689" t="s">
        <v>1267</v>
      </c>
      <c r="D17" s="690">
        <v>0.15</v>
      </c>
      <c r="E17" s="690">
        <v>0.15</v>
      </c>
      <c r="F17" s="690">
        <v>0.15</v>
      </c>
      <c r="G17" s="690">
        <v>0.15</v>
      </c>
      <c r="H17" s="690">
        <v>0.15</v>
      </c>
      <c r="I17" s="690">
        <v>0.15</v>
      </c>
      <c r="J17" s="690">
        <v>0.15</v>
      </c>
      <c r="K17" s="690">
        <v>0.15</v>
      </c>
      <c r="L17" s="690">
        <v>0.15</v>
      </c>
      <c r="M17" s="690">
        <v>0.15</v>
      </c>
      <c r="N17" s="690">
        <v>0.15</v>
      </c>
      <c r="O17" s="690">
        <v>0.15</v>
      </c>
      <c r="P17" s="690">
        <v>0.15</v>
      </c>
      <c r="Q17" s="690">
        <v>2.9399999999999999E-2</v>
      </c>
      <c r="R17" s="690">
        <v>2.9399999999999999E-2</v>
      </c>
      <c r="S17" s="690">
        <v>2.9399999999999999E-2</v>
      </c>
      <c r="T17" s="690">
        <v>2.9399999999999999E-2</v>
      </c>
      <c r="U17" s="757">
        <v>2.9399999999999999E-2</v>
      </c>
      <c r="V17" s="757">
        <v>2.9399999999999999E-2</v>
      </c>
      <c r="X17" s="671"/>
      <c r="AA17" s="672"/>
    </row>
    <row r="18" spans="3:28">
      <c r="D18" s="691"/>
      <c r="E18" s="691"/>
      <c r="F18" s="691"/>
      <c r="G18" s="691"/>
      <c r="H18" s="691"/>
      <c r="I18" s="691"/>
      <c r="J18" s="691"/>
      <c r="K18" s="691"/>
      <c r="L18" s="691"/>
      <c r="M18" s="691"/>
      <c r="N18" s="691"/>
      <c r="O18" s="691"/>
      <c r="P18" s="691"/>
      <c r="Q18" s="691"/>
      <c r="R18" s="691"/>
      <c r="S18" s="691"/>
      <c r="T18" s="691"/>
      <c r="U18" s="691"/>
      <c r="V18" s="751"/>
      <c r="X18" s="671"/>
      <c r="AA18" s="672"/>
    </row>
    <row r="19" spans="3:28">
      <c r="C19" s="680" t="s">
        <v>1268</v>
      </c>
      <c r="D19" s="681" t="s">
        <v>36</v>
      </c>
      <c r="E19" s="681" t="s">
        <v>37</v>
      </c>
      <c r="F19" s="681" t="s">
        <v>38</v>
      </c>
      <c r="G19" s="681" t="s">
        <v>39</v>
      </c>
      <c r="H19" s="681" t="s">
        <v>40</v>
      </c>
      <c r="I19" s="681" t="s">
        <v>41</v>
      </c>
      <c r="J19" s="681" t="s">
        <v>42</v>
      </c>
      <c r="K19" s="681" t="s">
        <v>43</v>
      </c>
      <c r="L19" s="681" t="s">
        <v>44</v>
      </c>
      <c r="M19" s="681" t="s">
        <v>45</v>
      </c>
      <c r="N19" s="681" t="s">
        <v>46</v>
      </c>
      <c r="O19" s="681" t="s">
        <v>47</v>
      </c>
      <c r="P19" s="681" t="s">
        <v>48</v>
      </c>
      <c r="Q19" s="681" t="s">
        <v>49</v>
      </c>
      <c r="R19" s="681" t="s">
        <v>50</v>
      </c>
      <c r="S19" s="681" t="s">
        <v>51</v>
      </c>
      <c r="T19" s="681" t="s">
        <v>52</v>
      </c>
      <c r="U19" s="681" t="s">
        <v>53</v>
      </c>
      <c r="V19" s="744" t="s">
        <v>54</v>
      </c>
      <c r="W19" s="673"/>
      <c r="X19" s="674"/>
      <c r="Y19" s="673"/>
      <c r="Z19" s="673"/>
      <c r="AA19" s="675"/>
      <c r="AB19" s="673"/>
    </row>
    <row r="20" spans="3:28">
      <c r="C20" s="679" t="s">
        <v>1260</v>
      </c>
      <c r="D20" s="682"/>
      <c r="E20" s="682"/>
      <c r="F20" s="682"/>
      <c r="G20" s="682"/>
      <c r="H20" s="682"/>
      <c r="I20" s="682"/>
      <c r="J20" s="682"/>
      <c r="K20" s="682"/>
      <c r="L20" s="682"/>
      <c r="M20" s="682"/>
      <c r="N20" s="682"/>
      <c r="O20" s="682"/>
      <c r="P20" s="682"/>
      <c r="Q20" s="682">
        <v>2103.0000013600002</v>
      </c>
      <c r="R20" s="682"/>
      <c r="S20" s="682"/>
      <c r="T20" s="682">
        <v>300.00000077999999</v>
      </c>
      <c r="U20" s="682"/>
      <c r="V20" s="745"/>
      <c r="X20" s="671"/>
      <c r="AA20" s="672"/>
    </row>
    <row r="21" spans="3:28">
      <c r="C21" s="679" t="s">
        <v>1269</v>
      </c>
      <c r="D21" s="682"/>
      <c r="E21" s="682"/>
      <c r="F21" s="682"/>
      <c r="G21" s="682"/>
      <c r="H21" s="682"/>
      <c r="I21" s="682"/>
      <c r="J21" s="682"/>
      <c r="K21" s="682"/>
      <c r="L21" s="682"/>
      <c r="M21" s="682"/>
      <c r="N21" s="682"/>
      <c r="O21" s="682"/>
      <c r="P21" s="682"/>
      <c r="Q21" s="682">
        <v>6.4808201544595798</v>
      </c>
      <c r="R21" s="682">
        <v>67.032766906749501</v>
      </c>
      <c r="S21" s="682">
        <v>70.711851195566098</v>
      </c>
      <c r="T21" s="682">
        <v>64.546466282204094</v>
      </c>
      <c r="U21" s="682">
        <v>64.274045388313695</v>
      </c>
      <c r="V21" s="745">
        <v>66.022649775952686</v>
      </c>
      <c r="X21" s="671"/>
      <c r="AA21" s="672"/>
    </row>
    <row r="22" spans="3:28">
      <c r="C22" s="679" t="s">
        <v>1262</v>
      </c>
      <c r="D22" s="682"/>
      <c r="E22" s="682"/>
      <c r="F22" s="682"/>
      <c r="G22" s="682"/>
      <c r="H22" s="682"/>
      <c r="I22" s="682"/>
      <c r="J22" s="682"/>
      <c r="K22" s="682"/>
      <c r="L22" s="682"/>
      <c r="M22" s="682"/>
      <c r="N22" s="682"/>
      <c r="O22" s="682"/>
      <c r="P22" s="682"/>
      <c r="Q22" s="682">
        <v>0</v>
      </c>
      <c r="R22" s="682">
        <v>0</v>
      </c>
      <c r="S22" s="682">
        <v>0</v>
      </c>
      <c r="T22" s="682">
        <v>-146.22965711793</v>
      </c>
      <c r="U22" s="682">
        <v>0</v>
      </c>
      <c r="V22" s="745">
        <v>0</v>
      </c>
      <c r="X22" s="671"/>
      <c r="AA22" s="672"/>
    </row>
    <row r="23" spans="3:28">
      <c r="C23" s="683" t="s">
        <v>1270</v>
      </c>
      <c r="D23" s="684"/>
      <c r="E23" s="684"/>
      <c r="F23" s="684"/>
      <c r="G23" s="684"/>
      <c r="H23" s="684"/>
      <c r="I23" s="684"/>
      <c r="J23" s="684"/>
      <c r="K23" s="684"/>
      <c r="L23" s="684"/>
      <c r="M23" s="684"/>
      <c r="N23" s="684"/>
      <c r="O23" s="684"/>
      <c r="P23" s="684"/>
      <c r="Q23" s="684">
        <f>SUM(Q20:Q22)</f>
        <v>2109.4808215144599</v>
      </c>
      <c r="R23" s="684">
        <f>SUM(R20:R22,Q23)</f>
        <v>2176.5135884212095</v>
      </c>
      <c r="S23" s="684">
        <f t="shared" ref="S23:U23" si="3">SUM(S20:S22,R23)</f>
        <v>2247.2254396167755</v>
      </c>
      <c r="T23" s="684">
        <f t="shared" si="3"/>
        <v>2465.5422495610496</v>
      </c>
      <c r="U23" s="684">
        <f t="shared" si="3"/>
        <v>2529.8162949493635</v>
      </c>
      <c r="V23" s="746">
        <f>SUM(V20:V22,U23)</f>
        <v>2595.8389447253162</v>
      </c>
      <c r="X23" s="671"/>
      <c r="AA23" s="672"/>
    </row>
    <row r="24" spans="3:28" ht="4.5" customHeight="1">
      <c r="V24" s="747"/>
      <c r="X24" s="671"/>
      <c r="AA24" s="672"/>
    </row>
    <row r="25" spans="3:28">
      <c r="C25" s="679" t="s">
        <v>1264</v>
      </c>
      <c r="D25" s="685"/>
      <c r="E25" s="685"/>
      <c r="F25" s="685"/>
      <c r="G25" s="685"/>
      <c r="H25" s="685"/>
      <c r="I25" s="685"/>
      <c r="J25" s="685"/>
      <c r="K25" s="685"/>
      <c r="L25" s="686"/>
      <c r="M25" s="686"/>
      <c r="N25" s="686"/>
      <c r="O25" s="686"/>
      <c r="P25" s="686"/>
      <c r="Q25" s="686">
        <f t="shared" ref="Q25:U25" si="4">Q23+Q26</f>
        <v>2361.5380008666457</v>
      </c>
      <c r="R25" s="686">
        <f t="shared" si="4"/>
        <v>2386.3682518869928</v>
      </c>
      <c r="S25" s="686">
        <f t="shared" si="4"/>
        <v>2412.7003613928023</v>
      </c>
      <c r="T25" s="686">
        <f t="shared" si="4"/>
        <v>2541.786575295022</v>
      </c>
      <c r="U25" s="686">
        <f t="shared" si="4"/>
        <v>2541.7931364993633</v>
      </c>
      <c r="V25" s="748">
        <f>V23+V26</f>
        <v>2656.3105114274595</v>
      </c>
      <c r="X25" s="671"/>
      <c r="AA25" s="672"/>
    </row>
    <row r="26" spans="3:28">
      <c r="C26" s="683" t="s">
        <v>1271</v>
      </c>
      <c r="D26" s="684"/>
      <c r="E26" s="684"/>
      <c r="F26" s="684"/>
      <c r="G26" s="684"/>
      <c r="H26" s="684"/>
      <c r="I26" s="684"/>
      <c r="J26" s="684"/>
      <c r="K26" s="684"/>
      <c r="L26" s="684"/>
      <c r="M26" s="684"/>
      <c r="N26" s="684"/>
      <c r="O26" s="684"/>
      <c r="P26" s="684"/>
      <c r="Q26" s="684">
        <v>252.05717935218601</v>
      </c>
      <c r="R26" s="684">
        <v>209.85466346578301</v>
      </c>
      <c r="S26" s="684">
        <v>165.474921776027</v>
      </c>
      <c r="T26" s="684">
        <v>76.244325733972346</v>
      </c>
      <c r="U26" s="684">
        <v>11.97684155</v>
      </c>
      <c r="V26" s="746">
        <v>60.471566702143264</v>
      </c>
      <c r="X26" s="676"/>
      <c r="Y26" s="677"/>
      <c r="Z26" s="677"/>
      <c r="AA26" s="678"/>
    </row>
    <row r="27" spans="3:28" ht="4.5" customHeight="1">
      <c r="D27" s="687"/>
      <c r="E27" s="687"/>
      <c r="F27" s="687"/>
      <c r="G27" s="687"/>
      <c r="H27" s="687"/>
      <c r="I27" s="687"/>
      <c r="J27" s="687"/>
      <c r="K27" s="687"/>
      <c r="L27" s="685"/>
      <c r="M27" s="685"/>
      <c r="N27" s="685"/>
      <c r="O27" s="685"/>
      <c r="P27" s="685"/>
      <c r="Q27" s="685"/>
      <c r="R27" s="685"/>
      <c r="S27" s="685"/>
      <c r="T27" s="688"/>
      <c r="U27" s="685"/>
      <c r="V27" s="749"/>
    </row>
    <row r="28" spans="3:28">
      <c r="C28" s="683" t="s">
        <v>1266</v>
      </c>
      <c r="D28" s="684"/>
      <c r="E28" s="684"/>
      <c r="F28" s="684"/>
      <c r="G28" s="684"/>
      <c r="H28" s="684"/>
      <c r="I28" s="684"/>
      <c r="J28" s="684"/>
      <c r="K28" s="684"/>
      <c r="L28" s="684"/>
      <c r="M28" s="684"/>
      <c r="N28" s="684"/>
      <c r="O28" s="684"/>
      <c r="P28" s="684"/>
      <c r="Q28" s="684">
        <f t="shared" ref="Q28:V28" si="5">Q26-P26</f>
        <v>252.05717935218601</v>
      </c>
      <c r="R28" s="684">
        <f t="shared" si="5"/>
        <v>-42.202515886403006</v>
      </c>
      <c r="S28" s="684">
        <f t="shared" si="5"/>
        <v>-44.379741689756003</v>
      </c>
      <c r="T28" s="684">
        <f t="shared" si="5"/>
        <v>-89.230596042054657</v>
      </c>
      <c r="U28" s="684">
        <f t="shared" si="5"/>
        <v>-64.267484183972343</v>
      </c>
      <c r="V28" s="746">
        <f t="shared" si="5"/>
        <v>48.494725152143261</v>
      </c>
    </row>
    <row r="29" spans="3:28" ht="4.5" customHeight="1">
      <c r="V29" s="747"/>
    </row>
    <row r="30" spans="3:28">
      <c r="C30" s="689" t="s">
        <v>1267</v>
      </c>
      <c r="D30" s="692"/>
      <c r="E30" s="692"/>
      <c r="F30" s="692"/>
      <c r="G30" s="692"/>
      <c r="H30" s="692"/>
      <c r="I30" s="692"/>
      <c r="J30" s="692"/>
      <c r="K30" s="692"/>
      <c r="L30" s="692"/>
      <c r="M30" s="692"/>
      <c r="N30" s="692"/>
      <c r="O30" s="692"/>
      <c r="P30" s="692"/>
      <c r="Q30" s="693">
        <v>0.1206</v>
      </c>
      <c r="R30" s="693">
        <v>0.1206</v>
      </c>
      <c r="S30" s="693">
        <v>0.1206</v>
      </c>
      <c r="T30" s="693">
        <v>0.1206</v>
      </c>
      <c r="U30" s="758">
        <v>0.1206</v>
      </c>
      <c r="V30" s="752">
        <v>0.1206</v>
      </c>
    </row>
    <row r="31" spans="3:28">
      <c r="D31" s="694"/>
      <c r="E31" s="691"/>
      <c r="F31" s="691"/>
      <c r="G31" s="691"/>
      <c r="H31" s="691"/>
      <c r="I31" s="691"/>
      <c r="J31" s="691"/>
      <c r="K31" s="691"/>
      <c r="L31" s="691"/>
      <c r="M31" s="691"/>
      <c r="N31" s="691"/>
      <c r="O31" s="691"/>
      <c r="P31" s="691"/>
      <c r="Q31" s="691"/>
      <c r="R31" s="691"/>
      <c r="S31" s="691"/>
      <c r="T31" s="691"/>
      <c r="U31" s="691"/>
      <c r="V31" s="751"/>
    </row>
    <row r="32" spans="3:28">
      <c r="C32" s="680" t="s">
        <v>1272</v>
      </c>
      <c r="D32" s="681" t="s">
        <v>36</v>
      </c>
      <c r="E32" s="681" t="s">
        <v>37</v>
      </c>
      <c r="F32" s="681" t="s">
        <v>38</v>
      </c>
      <c r="G32" s="681" t="s">
        <v>39</v>
      </c>
      <c r="H32" s="681" t="s">
        <v>40</v>
      </c>
      <c r="I32" s="681" t="s">
        <v>41</v>
      </c>
      <c r="J32" s="681" t="s">
        <v>42</v>
      </c>
      <c r="K32" s="681" t="s">
        <v>43</v>
      </c>
      <c r="L32" s="681" t="s">
        <v>44</v>
      </c>
      <c r="M32" s="681" t="s">
        <v>45</v>
      </c>
      <c r="N32" s="681" t="s">
        <v>46</v>
      </c>
      <c r="O32" s="681" t="s">
        <v>47</v>
      </c>
      <c r="P32" s="681" t="s">
        <v>48</v>
      </c>
      <c r="Q32" s="681" t="s">
        <v>49</v>
      </c>
      <c r="R32" s="681" t="s">
        <v>50</v>
      </c>
      <c r="S32" s="681" t="s">
        <v>51</v>
      </c>
      <c r="T32" s="681" t="s">
        <v>52</v>
      </c>
      <c r="U32" s="681" t="s">
        <v>53</v>
      </c>
      <c r="V32" s="744" t="s">
        <v>54</v>
      </c>
    </row>
    <row r="33" spans="3:22">
      <c r="C33" s="679" t="s">
        <v>1260</v>
      </c>
      <c r="D33" s="682"/>
      <c r="E33" s="682"/>
      <c r="F33" s="682"/>
      <c r="G33" s="682"/>
      <c r="H33" s="682"/>
      <c r="I33" s="682"/>
      <c r="J33" s="682"/>
      <c r="K33" s="682"/>
      <c r="L33" s="682"/>
      <c r="M33" s="682"/>
      <c r="N33" s="682"/>
      <c r="O33" s="682"/>
      <c r="P33" s="682"/>
      <c r="Q33" s="682"/>
      <c r="R33" s="682"/>
      <c r="S33" s="682"/>
      <c r="T33" s="682">
        <v>1000.0000026</v>
      </c>
      <c r="U33" s="682">
        <v>0</v>
      </c>
      <c r="V33" s="745">
        <v>0</v>
      </c>
    </row>
    <row r="34" spans="3:22">
      <c r="C34" s="679" t="s">
        <v>1273</v>
      </c>
      <c r="D34" s="682"/>
      <c r="E34" s="682"/>
      <c r="F34" s="682"/>
      <c r="G34" s="682"/>
      <c r="H34" s="682"/>
      <c r="I34" s="682"/>
      <c r="J34" s="682"/>
      <c r="K34" s="682"/>
      <c r="L34" s="682"/>
      <c r="M34" s="682"/>
      <c r="N34" s="682"/>
      <c r="O34" s="682"/>
      <c r="P34" s="682"/>
      <c r="Q34" s="682"/>
      <c r="R34" s="682"/>
      <c r="S34" s="682"/>
      <c r="T34" s="682">
        <v>1.8383140987148601</v>
      </c>
      <c r="U34" s="682">
        <v>28.5895012139461</v>
      </c>
      <c r="V34" s="745">
        <v>26.404537144240294</v>
      </c>
    </row>
    <row r="35" spans="3:22">
      <c r="C35" s="679" t="s">
        <v>1262</v>
      </c>
      <c r="D35" s="682"/>
      <c r="E35" s="682"/>
      <c r="F35" s="682"/>
      <c r="G35" s="682"/>
      <c r="H35" s="682"/>
      <c r="I35" s="682"/>
      <c r="J35" s="682"/>
      <c r="K35" s="682"/>
      <c r="L35" s="682"/>
      <c r="M35" s="682"/>
      <c r="N35" s="682"/>
      <c r="O35" s="682"/>
      <c r="P35" s="682"/>
      <c r="Q35" s="682"/>
      <c r="R35" s="682"/>
      <c r="S35" s="682"/>
      <c r="T35" s="682">
        <v>0</v>
      </c>
      <c r="U35" s="682">
        <v>0</v>
      </c>
      <c r="V35" s="745">
        <v>0</v>
      </c>
    </row>
    <row r="36" spans="3:22">
      <c r="C36" s="683" t="s">
        <v>1274</v>
      </c>
      <c r="D36" s="684"/>
      <c r="E36" s="684"/>
      <c r="F36" s="684"/>
      <c r="G36" s="684"/>
      <c r="H36" s="684"/>
      <c r="I36" s="684"/>
      <c r="J36" s="684"/>
      <c r="K36" s="684"/>
      <c r="L36" s="684"/>
      <c r="M36" s="684"/>
      <c r="N36" s="684"/>
      <c r="O36" s="684"/>
      <c r="P36" s="684"/>
      <c r="Q36" s="684"/>
      <c r="R36" s="684"/>
      <c r="S36" s="684"/>
      <c r="T36" s="684">
        <f>SUM(T33:T35)</f>
        <v>1001.8383166987148</v>
      </c>
      <c r="U36" s="684">
        <f>SUM(U33:U35,T36)</f>
        <v>1030.4278179126609</v>
      </c>
      <c r="V36" s="746">
        <f>SUM(V33:V35,U36)</f>
        <v>1056.8323550569012</v>
      </c>
    </row>
    <row r="37" spans="3:22" ht="4.5" customHeight="1">
      <c r="V37" s="747"/>
    </row>
    <row r="38" spans="3:22">
      <c r="C38" s="679" t="s">
        <v>1264</v>
      </c>
      <c r="D38" s="685"/>
      <c r="E38" s="685"/>
      <c r="F38" s="685"/>
      <c r="G38" s="685"/>
      <c r="H38" s="685"/>
      <c r="I38" s="685"/>
      <c r="J38" s="685"/>
      <c r="K38" s="685"/>
      <c r="L38" s="686"/>
      <c r="M38" s="686"/>
      <c r="N38" s="686"/>
      <c r="O38" s="686"/>
      <c r="P38" s="686"/>
      <c r="Q38" s="686"/>
      <c r="R38" s="686"/>
      <c r="S38" s="686"/>
      <c r="T38" s="686">
        <f t="shared" ref="T38:U38" si="6">T36+T39</f>
        <v>1005.1160384805562</v>
      </c>
      <c r="U38" s="686">
        <f t="shared" si="6"/>
        <v>1006.1160384826609</v>
      </c>
      <c r="V38" s="748">
        <f>V36+V39</f>
        <v>1075.8530451511999</v>
      </c>
    </row>
    <row r="39" spans="3:22">
      <c r="C39" s="683" t="s">
        <v>1275</v>
      </c>
      <c r="D39" s="683"/>
      <c r="E39" s="683"/>
      <c r="F39" s="683"/>
      <c r="G39" s="683"/>
      <c r="H39" s="683"/>
      <c r="I39" s="683"/>
      <c r="J39" s="683"/>
      <c r="K39" s="683"/>
      <c r="L39" s="695"/>
      <c r="M39" s="695"/>
      <c r="N39" s="695"/>
      <c r="O39" s="695"/>
      <c r="P39" s="695"/>
      <c r="Q39" s="695"/>
      <c r="R39" s="695"/>
      <c r="S39" s="695"/>
      <c r="T39" s="695">
        <v>3.2777217818413646</v>
      </c>
      <c r="U39" s="695">
        <v>-24.311779430000001</v>
      </c>
      <c r="V39" s="753">
        <v>19.020690094298743</v>
      </c>
    </row>
    <row r="40" spans="3:22" ht="4.5" customHeight="1">
      <c r="D40" s="687"/>
      <c r="E40" s="687"/>
      <c r="F40" s="687"/>
      <c r="G40" s="687"/>
      <c r="H40" s="687"/>
      <c r="I40" s="687"/>
      <c r="J40" s="687"/>
      <c r="K40" s="687"/>
      <c r="L40" s="685"/>
      <c r="M40" s="685"/>
      <c r="N40" s="685"/>
      <c r="O40" s="685"/>
      <c r="P40" s="685"/>
      <c r="Q40" s="685"/>
      <c r="R40" s="685"/>
      <c r="S40" s="685"/>
      <c r="T40" s="688"/>
      <c r="U40" s="685"/>
      <c r="V40" s="749"/>
    </row>
    <row r="41" spans="3:22">
      <c r="C41" s="683" t="s">
        <v>1266</v>
      </c>
      <c r="D41" s="696"/>
      <c r="E41" s="696"/>
      <c r="F41" s="696"/>
      <c r="G41" s="696"/>
      <c r="H41" s="696"/>
      <c r="I41" s="696"/>
      <c r="J41" s="696"/>
      <c r="K41" s="696"/>
      <c r="L41" s="696"/>
      <c r="M41" s="696"/>
      <c r="N41" s="696"/>
      <c r="O41" s="696"/>
      <c r="P41" s="696"/>
      <c r="Q41" s="696"/>
      <c r="R41" s="696"/>
      <c r="S41" s="696"/>
      <c r="T41" s="696">
        <f>T39-S39</f>
        <v>3.2777217818413646</v>
      </c>
      <c r="U41" s="696">
        <f>U39-T39</f>
        <v>-27.589501211841366</v>
      </c>
      <c r="V41" s="754">
        <f>V39-U39</f>
        <v>43.332469524298745</v>
      </c>
    </row>
    <row r="42" spans="3:22" ht="4.5" customHeight="1">
      <c r="V42" s="747"/>
    </row>
    <row r="43" spans="3:22">
      <c r="C43" s="689" t="s">
        <v>1267</v>
      </c>
      <c r="D43" s="697"/>
      <c r="E43" s="697"/>
      <c r="F43" s="697"/>
      <c r="G43" s="697"/>
      <c r="H43" s="697"/>
      <c r="I43" s="697"/>
      <c r="J43" s="697"/>
      <c r="K43" s="697"/>
      <c r="L43" s="697"/>
      <c r="M43" s="697"/>
      <c r="N43" s="697"/>
      <c r="O43" s="697"/>
      <c r="P43" s="697"/>
      <c r="Q43" s="697"/>
      <c r="R43" s="697"/>
      <c r="S43" s="697"/>
      <c r="T43" s="698">
        <v>3.5000000000000003E-2</v>
      </c>
      <c r="U43" s="759">
        <v>3.5000000000000003E-2</v>
      </c>
      <c r="V43" s="755">
        <v>3.5000000000000003E-2</v>
      </c>
    </row>
    <row r="44" spans="3:22">
      <c r="L44" s="699"/>
      <c r="M44" s="699"/>
      <c r="N44" s="699"/>
      <c r="O44" s="699"/>
      <c r="P44" s="699"/>
      <c r="Q44" s="699"/>
      <c r="R44" s="699"/>
      <c r="S44" s="699"/>
      <c r="T44" s="699"/>
      <c r="U44" s="699"/>
      <c r="V44" s="756"/>
    </row>
    <row r="45" spans="3:22">
      <c r="C45" s="680" t="s">
        <v>676</v>
      </c>
      <c r="D45" s="681" t="s">
        <v>36</v>
      </c>
      <c r="E45" s="681" t="s">
        <v>37</v>
      </c>
      <c r="F45" s="681" t="s">
        <v>38</v>
      </c>
      <c r="G45" s="681" t="s">
        <v>39</v>
      </c>
      <c r="H45" s="681" t="s">
        <v>40</v>
      </c>
      <c r="I45" s="681" t="s">
        <v>41</v>
      </c>
      <c r="J45" s="681" t="s">
        <v>42</v>
      </c>
      <c r="K45" s="681" t="s">
        <v>43</v>
      </c>
      <c r="L45" s="681" t="s">
        <v>44</v>
      </c>
      <c r="M45" s="681" t="s">
        <v>45</v>
      </c>
      <c r="N45" s="681" t="s">
        <v>46</v>
      </c>
      <c r="O45" s="681" t="s">
        <v>47</v>
      </c>
      <c r="P45" s="681" t="s">
        <v>48</v>
      </c>
      <c r="Q45" s="681" t="s">
        <v>49</v>
      </c>
      <c r="R45" s="681" t="s">
        <v>50</v>
      </c>
      <c r="S45" s="681" t="s">
        <v>51</v>
      </c>
      <c r="T45" s="681" t="s">
        <v>52</v>
      </c>
      <c r="U45" s="681" t="s">
        <v>53</v>
      </c>
      <c r="V45" s="744" t="s">
        <v>54</v>
      </c>
    </row>
    <row r="46" spans="3:22">
      <c r="C46" s="679" t="s">
        <v>1260</v>
      </c>
      <c r="D46" s="682">
        <f t="shared" ref="D46:U48" si="7">D7+D20+D33</f>
        <v>1000</v>
      </c>
      <c r="E46" s="682">
        <f t="shared" si="7"/>
        <v>0</v>
      </c>
      <c r="F46" s="682">
        <f t="shared" si="7"/>
        <v>0</v>
      </c>
      <c r="G46" s="682">
        <f t="shared" si="7"/>
        <v>0</v>
      </c>
      <c r="H46" s="682">
        <f t="shared" si="7"/>
        <v>0</v>
      </c>
      <c r="I46" s="682">
        <f t="shared" si="7"/>
        <v>0</v>
      </c>
      <c r="J46" s="682">
        <f t="shared" si="7"/>
        <v>0</v>
      </c>
      <c r="K46" s="682">
        <f t="shared" si="7"/>
        <v>0</v>
      </c>
      <c r="L46" s="682">
        <f t="shared" si="7"/>
        <v>0</v>
      </c>
      <c r="M46" s="682">
        <f t="shared" si="7"/>
        <v>0</v>
      </c>
      <c r="N46" s="682">
        <f t="shared" si="7"/>
        <v>0</v>
      </c>
      <c r="O46" s="682">
        <f t="shared" si="7"/>
        <v>0</v>
      </c>
      <c r="P46" s="682">
        <f t="shared" si="7"/>
        <v>0</v>
      </c>
      <c r="Q46" s="682">
        <f t="shared" si="7"/>
        <v>2103.0000013600002</v>
      </c>
      <c r="R46" s="682">
        <f t="shared" si="7"/>
        <v>0</v>
      </c>
      <c r="S46" s="682">
        <f t="shared" si="7"/>
        <v>0</v>
      </c>
      <c r="T46" s="682">
        <f t="shared" si="7"/>
        <v>1300.00000338</v>
      </c>
      <c r="U46" s="682">
        <f t="shared" si="7"/>
        <v>0</v>
      </c>
      <c r="V46" s="745">
        <f>V7+V20+V33</f>
        <v>0</v>
      </c>
    </row>
    <row r="47" spans="3:22">
      <c r="C47" s="679" t="s">
        <v>1276</v>
      </c>
      <c r="D47" s="682">
        <f t="shared" si="7"/>
        <v>6.4181926684901702</v>
      </c>
      <c r="E47" s="682">
        <f t="shared" si="7"/>
        <v>10.186053826597499</v>
      </c>
      <c r="F47" s="682">
        <f t="shared" si="7"/>
        <v>7.4610486232704103</v>
      </c>
      <c r="G47" s="682">
        <f t="shared" si="7"/>
        <v>5.1010366331680999</v>
      </c>
      <c r="H47" s="682">
        <f t="shared" si="7"/>
        <v>4.6818302066658504</v>
      </c>
      <c r="I47" s="682">
        <f t="shared" si="7"/>
        <v>4.3606545366642298</v>
      </c>
      <c r="J47" s="682">
        <f t="shared" si="7"/>
        <v>6.8655286503698001</v>
      </c>
      <c r="K47" s="682">
        <f t="shared" si="7"/>
        <v>10.5310591847949</v>
      </c>
      <c r="L47" s="682">
        <f t="shared" si="7"/>
        <v>14.231135221158899</v>
      </c>
      <c r="M47" s="682">
        <f t="shared" si="7"/>
        <v>17.729348027965099</v>
      </c>
      <c r="N47" s="682">
        <f t="shared" si="7"/>
        <v>21.547144625506199</v>
      </c>
      <c r="O47" s="682">
        <f t="shared" si="7"/>
        <v>22.972428101066299</v>
      </c>
      <c r="P47" s="682">
        <f t="shared" si="7"/>
        <v>21.518643678276</v>
      </c>
      <c r="Q47" s="682">
        <f t="shared" si="7"/>
        <v>24.090927906402079</v>
      </c>
      <c r="R47" s="682">
        <f t="shared" si="7"/>
        <v>84.594251501364198</v>
      </c>
      <c r="S47" s="682">
        <f t="shared" si="7"/>
        <v>88.353602657117591</v>
      </c>
      <c r="T47" s="682">
        <f t="shared" si="7"/>
        <v>83.152336175015051</v>
      </c>
      <c r="U47" s="682">
        <f t="shared" si="7"/>
        <v>107.712392838515</v>
      </c>
      <c r="V47" s="745">
        <f>V8+V21+V34</f>
        <v>105.41765822425202</v>
      </c>
    </row>
    <row r="48" spans="3:22">
      <c r="C48" s="679" t="s">
        <v>1262</v>
      </c>
      <c r="D48" s="682">
        <f t="shared" si="7"/>
        <v>0</v>
      </c>
      <c r="E48" s="682">
        <f t="shared" si="7"/>
        <v>0</v>
      </c>
      <c r="F48" s="682">
        <f t="shared" si="7"/>
        <v>-27.904250439999998</v>
      </c>
      <c r="G48" s="682">
        <f t="shared" si="7"/>
        <v>0</v>
      </c>
      <c r="H48" s="682">
        <f t="shared" si="7"/>
        <v>-108.44226345</v>
      </c>
      <c r="I48" s="682">
        <f t="shared" si="7"/>
        <v>0</v>
      </c>
      <c r="J48" s="682">
        <f t="shared" si="7"/>
        <v>-52.933753226100002</v>
      </c>
      <c r="K48" s="682">
        <f t="shared" si="7"/>
        <v>-80.916529269999998</v>
      </c>
      <c r="L48" s="682">
        <f t="shared" si="7"/>
        <v>-71.156214790000007</v>
      </c>
      <c r="M48" s="682">
        <f t="shared" si="7"/>
        <v>0</v>
      </c>
      <c r="N48" s="682">
        <f t="shared" si="7"/>
        <v>-74.157569719999998</v>
      </c>
      <c r="O48" s="682">
        <f t="shared" si="7"/>
        <v>0</v>
      </c>
      <c r="P48" s="682">
        <f t="shared" si="7"/>
        <v>-163.08933173</v>
      </c>
      <c r="Q48" s="682">
        <f t="shared" si="7"/>
        <v>-34.353000000000002</v>
      </c>
      <c r="R48" s="682">
        <f t="shared" si="7"/>
        <v>0</v>
      </c>
      <c r="S48" s="682">
        <f t="shared" si="7"/>
        <v>0</v>
      </c>
      <c r="T48" s="682">
        <f t="shared" si="7"/>
        <v>-229.05441838500002</v>
      </c>
      <c r="U48" s="682">
        <f t="shared" si="7"/>
        <v>0</v>
      </c>
      <c r="V48" s="745">
        <f>V9+V22+V35</f>
        <v>0</v>
      </c>
    </row>
    <row r="49" spans="3:22">
      <c r="C49" s="683" t="s">
        <v>1277</v>
      </c>
      <c r="D49" s="684">
        <f>SUM(D46:D48)</f>
        <v>1006.4181926684902</v>
      </c>
      <c r="E49" s="684">
        <f>SUM(E46:E48,D49)</f>
        <v>1016.6042464950876</v>
      </c>
      <c r="F49" s="684">
        <f t="shared" ref="F49:U49" si="8">SUM(F46:F48,E49)</f>
        <v>996.16104467835805</v>
      </c>
      <c r="G49" s="684">
        <f t="shared" si="8"/>
        <v>1001.2620813115261</v>
      </c>
      <c r="H49" s="684">
        <f t="shared" si="8"/>
        <v>897.50164806819203</v>
      </c>
      <c r="I49" s="684">
        <f t="shared" si="8"/>
        <v>901.86230260485627</v>
      </c>
      <c r="J49" s="684">
        <f t="shared" si="8"/>
        <v>855.79407802912601</v>
      </c>
      <c r="K49" s="684">
        <f t="shared" si="8"/>
        <v>785.40860794392097</v>
      </c>
      <c r="L49" s="684">
        <f t="shared" si="8"/>
        <v>728.48352837507991</v>
      </c>
      <c r="M49" s="684">
        <f t="shared" si="8"/>
        <v>746.21287640304502</v>
      </c>
      <c r="N49" s="684">
        <f t="shared" si="8"/>
        <v>693.60245130855117</v>
      </c>
      <c r="O49" s="684">
        <f t="shared" si="8"/>
        <v>716.57487940961744</v>
      </c>
      <c r="P49" s="684">
        <f t="shared" si="8"/>
        <v>575.00419135789343</v>
      </c>
      <c r="Q49" s="684">
        <f t="shared" si="8"/>
        <v>2667.7421206242957</v>
      </c>
      <c r="R49" s="684">
        <f t="shared" si="8"/>
        <v>2752.3363721256601</v>
      </c>
      <c r="S49" s="684">
        <f t="shared" si="8"/>
        <v>2840.6899747827779</v>
      </c>
      <c r="T49" s="684">
        <f t="shared" si="8"/>
        <v>3994.787895952793</v>
      </c>
      <c r="U49" s="684">
        <f t="shared" si="8"/>
        <v>4102.5002887913079</v>
      </c>
      <c r="V49" s="746">
        <f>SUM(V46:V48,U49)</f>
        <v>4207.9179470155595</v>
      </c>
    </row>
    <row r="50" spans="3:22" ht="4.5" customHeight="1">
      <c r="V50" s="747"/>
    </row>
    <row r="51" spans="3:22">
      <c r="C51" s="679" t="s">
        <v>1264</v>
      </c>
      <c r="D51" s="685">
        <f t="shared" ref="D51:U52" si="9">D12+D25+D38</f>
        <v>0</v>
      </c>
      <c r="E51" s="685">
        <f t="shared" si="9"/>
        <v>0</v>
      </c>
      <c r="F51" s="685">
        <f t="shared" si="9"/>
        <v>0</v>
      </c>
      <c r="G51" s="685">
        <f t="shared" si="9"/>
        <v>0</v>
      </c>
      <c r="H51" s="685">
        <f t="shared" si="9"/>
        <v>0</v>
      </c>
      <c r="I51" s="685">
        <f t="shared" si="9"/>
        <v>0</v>
      </c>
      <c r="J51" s="685">
        <f t="shared" si="9"/>
        <v>0</v>
      </c>
      <c r="K51" s="685">
        <f t="shared" si="9"/>
        <v>0</v>
      </c>
      <c r="L51" s="686">
        <f t="shared" si="9"/>
        <v>1141.4835283750799</v>
      </c>
      <c r="M51" s="686">
        <f t="shared" si="9"/>
        <v>1198.2128764030449</v>
      </c>
      <c r="N51" s="686">
        <f t="shared" si="9"/>
        <v>1185.6024513085513</v>
      </c>
      <c r="O51" s="686">
        <f t="shared" si="9"/>
        <v>1247.5748794096176</v>
      </c>
      <c r="P51" s="686">
        <f t="shared" si="9"/>
        <v>1160.0041913578934</v>
      </c>
      <c r="Q51" s="686">
        <f t="shared" si="9"/>
        <v>2957.7992999764815</v>
      </c>
      <c r="R51" s="686">
        <f t="shared" si="9"/>
        <v>2990.1910355914433</v>
      </c>
      <c r="S51" s="686">
        <f t="shared" si="9"/>
        <v>3024.1648965588047</v>
      </c>
      <c r="T51" s="686">
        <f t="shared" si="9"/>
        <v>4215.7738762574754</v>
      </c>
      <c r="U51" s="686">
        <f t="shared" si="9"/>
        <v>4216.790057861308</v>
      </c>
      <c r="V51" s="748">
        <f>V12+V25+V38</f>
        <v>4398.2968415778014</v>
      </c>
    </row>
    <row r="52" spans="3:22">
      <c r="C52" s="683" t="s">
        <v>1278</v>
      </c>
      <c r="D52" s="684">
        <f t="shared" si="9"/>
        <v>0</v>
      </c>
      <c r="E52" s="684">
        <f t="shared" si="9"/>
        <v>0</v>
      </c>
      <c r="F52" s="684">
        <f t="shared" si="9"/>
        <v>0</v>
      </c>
      <c r="G52" s="684">
        <f t="shared" si="9"/>
        <v>0</v>
      </c>
      <c r="H52" s="684">
        <f t="shared" si="9"/>
        <v>0</v>
      </c>
      <c r="I52" s="684">
        <f t="shared" si="9"/>
        <v>0</v>
      </c>
      <c r="J52" s="684">
        <f t="shared" si="9"/>
        <v>0</v>
      </c>
      <c r="K52" s="684">
        <f t="shared" si="9"/>
        <v>0</v>
      </c>
      <c r="L52" s="684">
        <f t="shared" si="9"/>
        <v>413</v>
      </c>
      <c r="M52" s="684">
        <f t="shared" si="9"/>
        <v>452</v>
      </c>
      <c r="N52" s="684">
        <f t="shared" si="9"/>
        <v>492</v>
      </c>
      <c r="O52" s="684">
        <f t="shared" si="9"/>
        <v>531</v>
      </c>
      <c r="P52" s="684">
        <f t="shared" si="9"/>
        <v>585</v>
      </c>
      <c r="Q52" s="684">
        <f t="shared" si="9"/>
        <v>290.05717935218604</v>
      </c>
      <c r="R52" s="684">
        <f t="shared" si="9"/>
        <v>237.85466346578301</v>
      </c>
      <c r="S52" s="684">
        <f t="shared" si="9"/>
        <v>183.474921776027</v>
      </c>
      <c r="T52" s="684">
        <f t="shared" si="9"/>
        <v>220.9859803046827</v>
      </c>
      <c r="U52" s="684">
        <f t="shared" si="9"/>
        <v>114.28976907000001</v>
      </c>
      <c r="V52" s="746">
        <f>V13+V26+V39</f>
        <v>190.37889456224127</v>
      </c>
    </row>
    <row r="53" spans="3:22" ht="4.5" customHeight="1">
      <c r="D53" s="687"/>
      <c r="E53" s="687"/>
      <c r="F53" s="687"/>
      <c r="G53" s="687"/>
      <c r="H53" s="687"/>
      <c r="I53" s="687"/>
      <c r="J53" s="687"/>
      <c r="K53" s="687"/>
      <c r="L53" s="685"/>
      <c r="M53" s="685"/>
      <c r="N53" s="685"/>
      <c r="O53" s="685"/>
      <c r="P53" s="685"/>
      <c r="Q53" s="685"/>
      <c r="R53" s="685"/>
      <c r="S53" s="685"/>
      <c r="T53" s="688"/>
      <c r="U53" s="685"/>
      <c r="V53" s="749"/>
    </row>
    <row r="54" spans="3:22">
      <c r="C54" s="683" t="s">
        <v>1266</v>
      </c>
      <c r="D54" s="684">
        <f t="shared" ref="D54:U54" si="10">D15+D28+D41</f>
        <v>0</v>
      </c>
      <c r="E54" s="684">
        <f t="shared" si="10"/>
        <v>0</v>
      </c>
      <c r="F54" s="684">
        <f t="shared" si="10"/>
        <v>0</v>
      </c>
      <c r="G54" s="684">
        <f t="shared" si="10"/>
        <v>0</v>
      </c>
      <c r="H54" s="684">
        <f t="shared" si="10"/>
        <v>0</v>
      </c>
      <c r="I54" s="684">
        <f t="shared" si="10"/>
        <v>0</v>
      </c>
      <c r="J54" s="684">
        <f t="shared" si="10"/>
        <v>0</v>
      </c>
      <c r="K54" s="684">
        <f t="shared" si="10"/>
        <v>0</v>
      </c>
      <c r="L54" s="684">
        <f t="shared" si="10"/>
        <v>413</v>
      </c>
      <c r="M54" s="684">
        <f t="shared" si="10"/>
        <v>39</v>
      </c>
      <c r="N54" s="684">
        <f t="shared" si="10"/>
        <v>40</v>
      </c>
      <c r="O54" s="684">
        <f t="shared" si="10"/>
        <v>39</v>
      </c>
      <c r="P54" s="684">
        <f t="shared" si="10"/>
        <v>54</v>
      </c>
      <c r="Q54" s="684">
        <f t="shared" si="10"/>
        <v>-294.94282064781396</v>
      </c>
      <c r="R54" s="684">
        <f t="shared" si="10"/>
        <v>-52.202515886403006</v>
      </c>
      <c r="S54" s="684">
        <f t="shared" si="10"/>
        <v>-54.379741689756003</v>
      </c>
      <c r="T54" s="684">
        <f t="shared" si="10"/>
        <v>37.511058528655695</v>
      </c>
      <c r="U54" s="684">
        <f t="shared" si="10"/>
        <v>-106.69621123468269</v>
      </c>
      <c r="V54" s="746">
        <f>V15+V28+V41</f>
        <v>76.089125492241266</v>
      </c>
    </row>
    <row r="55" spans="3:22" ht="4.5" customHeight="1">
      <c r="L55" s="699"/>
      <c r="M55" s="699"/>
      <c r="N55" s="699"/>
      <c r="O55" s="699"/>
      <c r="P55" s="699"/>
      <c r="Q55" s="699"/>
      <c r="R55" s="699"/>
      <c r="S55" s="699"/>
      <c r="T55" s="699"/>
      <c r="U55" s="699"/>
      <c r="V55" s="756"/>
    </row>
    <row r="56" spans="3:22">
      <c r="C56" s="689" t="s">
        <v>1267</v>
      </c>
      <c r="D56" s="690">
        <f t="shared" ref="D56:P56" si="11">D17</f>
        <v>0.15</v>
      </c>
      <c r="E56" s="690">
        <f t="shared" si="11"/>
        <v>0.15</v>
      </c>
      <c r="F56" s="690">
        <f t="shared" si="11"/>
        <v>0.15</v>
      </c>
      <c r="G56" s="690">
        <f t="shared" si="11"/>
        <v>0.15</v>
      </c>
      <c r="H56" s="690">
        <f t="shared" si="11"/>
        <v>0.15</v>
      </c>
      <c r="I56" s="690">
        <f t="shared" si="11"/>
        <v>0.15</v>
      </c>
      <c r="J56" s="690">
        <f t="shared" si="11"/>
        <v>0.15</v>
      </c>
      <c r="K56" s="690">
        <f t="shared" si="11"/>
        <v>0.15</v>
      </c>
      <c r="L56" s="690">
        <f t="shared" si="11"/>
        <v>0.15</v>
      </c>
      <c r="M56" s="690">
        <f t="shared" si="11"/>
        <v>0.15</v>
      </c>
      <c r="N56" s="690">
        <f t="shared" si="11"/>
        <v>0.15</v>
      </c>
      <c r="O56" s="690">
        <f t="shared" si="11"/>
        <v>0.15</v>
      </c>
      <c r="P56" s="690">
        <f t="shared" si="11"/>
        <v>0.15</v>
      </c>
      <c r="Q56" s="690">
        <f t="shared" ref="Q56:V56" si="12">Q17+Q30+Q43</f>
        <v>0.15</v>
      </c>
      <c r="R56" s="690">
        <f t="shared" si="12"/>
        <v>0.15</v>
      </c>
      <c r="S56" s="690">
        <f t="shared" si="12"/>
        <v>0.15</v>
      </c>
      <c r="T56" s="690">
        <f t="shared" si="12"/>
        <v>0.185</v>
      </c>
      <c r="U56" s="757">
        <f t="shared" si="12"/>
        <v>0.185</v>
      </c>
      <c r="V56" s="750">
        <f t="shared" si="12"/>
        <v>0.185</v>
      </c>
    </row>
    <row r="57" spans="3:22">
      <c r="L57" s="699"/>
      <c r="M57" s="699"/>
      <c r="N57" s="699"/>
      <c r="O57" s="699"/>
      <c r="P57" s="699"/>
      <c r="Q57" s="699"/>
      <c r="R57" s="699"/>
      <c r="S57" s="699"/>
      <c r="T57" s="699"/>
      <c r="U57" s="699"/>
      <c r="V57" s="756"/>
    </row>
    <row r="58" spans="3:22">
      <c r="C58" s="700" t="s">
        <v>1279</v>
      </c>
      <c r="D58" s="701">
        <v>0.15</v>
      </c>
      <c r="E58" s="701">
        <v>0.15</v>
      </c>
      <c r="F58" s="701">
        <v>0.2</v>
      </c>
      <c r="G58" s="701">
        <v>0.35</v>
      </c>
      <c r="H58" s="701">
        <v>0.55000000000000004</v>
      </c>
      <c r="I58" s="701">
        <v>0.55000000000000004</v>
      </c>
      <c r="J58" s="701">
        <v>0.6</v>
      </c>
      <c r="L58" s="699"/>
      <c r="M58" s="699"/>
      <c r="N58" s="699"/>
      <c r="O58" s="699"/>
      <c r="P58" s="699"/>
      <c r="Q58" s="699"/>
      <c r="R58" s="699"/>
      <c r="S58" s="699"/>
      <c r="T58" s="699"/>
      <c r="U58" s="699"/>
      <c r="V58" s="756"/>
    </row>
    <row r="59" spans="3:22">
      <c r="C59" s="680" t="s">
        <v>1280</v>
      </c>
      <c r="D59" s="702">
        <v>2024</v>
      </c>
      <c r="E59" s="702">
        <v>2025</v>
      </c>
      <c r="F59" s="702">
        <v>2026</v>
      </c>
      <c r="G59" s="702">
        <v>2027</v>
      </c>
      <c r="H59" s="702">
        <v>2028</v>
      </c>
      <c r="I59" s="702">
        <v>2029</v>
      </c>
      <c r="J59" s="702" t="s">
        <v>1281</v>
      </c>
      <c r="L59" s="699"/>
      <c r="M59" s="699"/>
      <c r="N59" s="699"/>
      <c r="O59" s="699"/>
      <c r="P59" s="699"/>
      <c r="Q59" s="699"/>
      <c r="R59" s="699"/>
      <c r="S59" s="699"/>
      <c r="T59" s="699"/>
      <c r="U59" s="699"/>
      <c r="V59" s="756"/>
    </row>
    <row r="60" spans="3:22">
      <c r="C60" s="679" t="s">
        <v>1258</v>
      </c>
      <c r="D60" s="703">
        <v>2.9399999999999999E-2</v>
      </c>
      <c r="E60" s="703">
        <v>2.9399999999999999E-2</v>
      </c>
      <c r="F60" s="703">
        <v>3.9200000000000006E-2</v>
      </c>
      <c r="G60" s="703">
        <v>6.8599999999999994E-2</v>
      </c>
      <c r="H60" s="703">
        <v>0.10780000000000001</v>
      </c>
      <c r="I60" s="703">
        <v>0.10780000000000001</v>
      </c>
      <c r="J60" s="703">
        <v>0.1176</v>
      </c>
      <c r="K60" s="703"/>
      <c r="L60" s="704"/>
      <c r="M60" s="705"/>
      <c r="N60" s="699"/>
      <c r="O60" s="699"/>
      <c r="P60" s="699"/>
      <c r="Q60" s="699"/>
      <c r="R60" s="699"/>
      <c r="S60" s="699"/>
      <c r="T60" s="699"/>
      <c r="U60" s="699"/>
      <c r="V60" s="756"/>
    </row>
    <row r="61" spans="3:22">
      <c r="C61" s="679" t="s">
        <v>1268</v>
      </c>
      <c r="D61" s="703">
        <v>0.1206</v>
      </c>
      <c r="E61" s="703">
        <v>0.1206</v>
      </c>
      <c r="F61" s="703">
        <v>0.16080000000000003</v>
      </c>
      <c r="G61" s="703">
        <v>0.28139999999999998</v>
      </c>
      <c r="H61" s="703">
        <v>0.44220000000000004</v>
      </c>
      <c r="I61" s="703">
        <v>0.44220000000000004</v>
      </c>
      <c r="J61" s="703">
        <v>0.4824</v>
      </c>
      <c r="K61" s="703"/>
      <c r="L61" s="699"/>
      <c r="M61" s="699"/>
      <c r="N61" s="699"/>
      <c r="O61" s="699"/>
      <c r="P61" s="699"/>
      <c r="Q61" s="699"/>
      <c r="R61" s="699"/>
      <c r="S61" s="699"/>
      <c r="T61" s="699"/>
      <c r="U61" s="699"/>
      <c r="V61" s="756"/>
    </row>
    <row r="62" spans="3:22">
      <c r="C62" s="679" t="s">
        <v>1272</v>
      </c>
      <c r="D62" s="703">
        <v>3.5000000000000003E-2</v>
      </c>
      <c r="E62" s="703">
        <v>3.5000000000000003E-2</v>
      </c>
      <c r="F62" s="703">
        <v>0.21</v>
      </c>
      <c r="G62" s="703">
        <v>0.25</v>
      </c>
      <c r="H62" s="703">
        <v>0.25</v>
      </c>
      <c r="I62" s="703">
        <v>0.25</v>
      </c>
      <c r="J62" s="703">
        <v>0.25</v>
      </c>
      <c r="K62" s="704"/>
      <c r="L62" s="699"/>
      <c r="M62" s="699"/>
      <c r="N62" s="699"/>
      <c r="O62" s="699"/>
      <c r="P62" s="699"/>
      <c r="Q62" s="699"/>
      <c r="R62" s="699"/>
      <c r="S62" s="699"/>
      <c r="T62" s="699"/>
      <c r="U62" s="699"/>
      <c r="V62" s="756"/>
    </row>
    <row r="63" spans="3:22">
      <c r="C63" s="687" t="s">
        <v>160</v>
      </c>
      <c r="D63" s="706">
        <v>0.185</v>
      </c>
      <c r="E63" s="706">
        <v>0.185</v>
      </c>
      <c r="F63" s="706">
        <v>0.41000000000000003</v>
      </c>
      <c r="G63" s="706">
        <v>0.6</v>
      </c>
      <c r="H63" s="706">
        <v>0.8</v>
      </c>
      <c r="I63" s="706">
        <v>0.8</v>
      </c>
      <c r="J63" s="706">
        <v>0.85</v>
      </c>
      <c r="L63" s="699"/>
      <c r="M63" s="699"/>
      <c r="N63" s="699"/>
      <c r="O63" s="699"/>
      <c r="P63" s="699"/>
      <c r="Q63" s="699"/>
      <c r="R63" s="699"/>
      <c r="S63" s="699"/>
      <c r="T63" s="699"/>
      <c r="U63" s="699"/>
      <c r="V63" s="756"/>
    </row>
    <row r="64" spans="3:22">
      <c r="V64" s="747"/>
    </row>
    <row r="65" spans="3:22">
      <c r="C65" s="680" t="s">
        <v>1282</v>
      </c>
      <c r="D65" s="667"/>
      <c r="E65" s="667"/>
      <c r="F65" s="667"/>
      <c r="V65" s="747"/>
    </row>
    <row r="66" spans="3:22">
      <c r="C66" s="679" t="s">
        <v>1283</v>
      </c>
      <c r="D66" s="667"/>
      <c r="E66" s="667"/>
      <c r="F66" s="667"/>
      <c r="V66" s="747"/>
    </row>
    <row r="67" spans="3:22">
      <c r="C67" s="679" t="s">
        <v>1284</v>
      </c>
      <c r="D67" s="667"/>
      <c r="E67" s="667"/>
      <c r="F67" s="667"/>
      <c r="V67" s="747"/>
    </row>
  </sheetData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79998168889431442"/>
  </sheetPr>
  <dimension ref="C2:AF259"/>
  <sheetViews>
    <sheetView showGridLines="0" zoomScale="85" zoomScaleNormal="85" workbookViewId="0">
      <selection activeCell="Z8" sqref="Z8"/>
    </sheetView>
  </sheetViews>
  <sheetFormatPr defaultColWidth="8.81640625" defaultRowHeight="13"/>
  <cols>
    <col min="1" max="1" width="2.81640625" style="126" customWidth="1"/>
    <col min="2" max="2" width="8.81640625" style="126"/>
    <col min="3" max="3" width="25.453125" style="126" customWidth="1"/>
    <col min="4" max="4" width="2.26953125" style="126" customWidth="1"/>
    <col min="5" max="9" width="9.81640625" style="126" customWidth="1"/>
    <col min="10" max="10" width="11" style="126" bestFit="1" customWidth="1"/>
    <col min="11" max="11" width="11" style="126" customWidth="1"/>
    <col min="12" max="28" width="9.81640625" style="126" customWidth="1"/>
    <col min="29" max="16384" width="8.81640625" style="126"/>
  </cols>
  <sheetData>
    <row r="2" spans="3:28" ht="12.65" customHeight="1"/>
    <row r="3" spans="3:28" ht="12.65" customHeight="1"/>
    <row r="4" spans="3:28" ht="12.65" customHeight="1"/>
    <row r="5" spans="3:28" ht="12.65" customHeight="1"/>
    <row r="6" spans="3:28" ht="12.65" customHeight="1">
      <c r="C6" s="41" t="s">
        <v>142</v>
      </c>
    </row>
    <row r="7" spans="3:28" ht="13" customHeight="1">
      <c r="C7" s="504" t="s">
        <v>143</v>
      </c>
      <c r="E7" s="505" t="s">
        <v>33</v>
      </c>
      <c r="F7" s="505" t="s">
        <v>34</v>
      </c>
      <c r="G7" s="505" t="s">
        <v>35</v>
      </c>
      <c r="H7" s="505" t="s">
        <v>36</v>
      </c>
      <c r="I7" s="505" t="s">
        <v>37</v>
      </c>
      <c r="J7" s="505" t="s">
        <v>38</v>
      </c>
      <c r="K7" s="505" t="s">
        <v>39</v>
      </c>
      <c r="L7" s="505" t="s">
        <v>40</v>
      </c>
      <c r="M7" s="505" t="s">
        <v>41</v>
      </c>
      <c r="N7" s="505" t="s">
        <v>42</v>
      </c>
      <c r="O7" s="505" t="s">
        <v>43</v>
      </c>
      <c r="P7" s="505" t="s">
        <v>44</v>
      </c>
      <c r="Q7" s="505" t="s">
        <v>45</v>
      </c>
      <c r="R7" s="505" t="s">
        <v>46</v>
      </c>
      <c r="S7" s="505" t="s">
        <v>47</v>
      </c>
      <c r="T7" s="505" t="s">
        <v>48</v>
      </c>
      <c r="U7" s="505" t="s">
        <v>49</v>
      </c>
      <c r="V7" s="505" t="s">
        <v>50</v>
      </c>
      <c r="W7" s="505" t="s">
        <v>51</v>
      </c>
      <c r="X7" s="505" t="s">
        <v>52</v>
      </c>
      <c r="Y7" s="505" t="s">
        <v>53</v>
      </c>
      <c r="Z7" s="505" t="s">
        <v>54</v>
      </c>
      <c r="AA7" s="505" t="s">
        <v>144</v>
      </c>
      <c r="AB7" s="505" t="s">
        <v>145</v>
      </c>
    </row>
    <row r="8" spans="3:28" ht="13" customHeight="1">
      <c r="C8" s="409" t="s">
        <v>146</v>
      </c>
      <c r="E8" s="410">
        <v>201.87714366699998</v>
      </c>
      <c r="F8" s="410">
        <v>188.82038950200001</v>
      </c>
      <c r="G8" s="410">
        <v>244.23123098299996</v>
      </c>
      <c r="H8" s="410">
        <v>282.64080788599995</v>
      </c>
      <c r="I8" s="410">
        <v>155.12741399999999</v>
      </c>
      <c r="J8" s="410">
        <v>151.29882499999999</v>
      </c>
      <c r="K8" s="410">
        <v>243.08228699999995</v>
      </c>
      <c r="L8" s="410">
        <v>281.563039</v>
      </c>
      <c r="M8" s="410">
        <v>228.74878487899997</v>
      </c>
      <c r="N8" s="410">
        <v>159.81665565200001</v>
      </c>
      <c r="O8" s="410">
        <v>225.06946478399999</v>
      </c>
      <c r="P8" s="410">
        <v>290.61093512599996</v>
      </c>
      <c r="Q8" s="410">
        <v>209.01520913800005</v>
      </c>
      <c r="R8" s="410">
        <v>144.23232558500001</v>
      </c>
      <c r="S8" s="410">
        <v>213.45372564036427</v>
      </c>
      <c r="T8" s="410">
        <v>252.55219191800001</v>
      </c>
      <c r="U8" s="410">
        <v>237.86983500000002</v>
      </c>
      <c r="V8" s="410">
        <v>157.54038002201582</v>
      </c>
      <c r="W8" s="410">
        <v>202.2599015011115</v>
      </c>
      <c r="X8" s="410">
        <v>245.51468738861669</v>
      </c>
      <c r="Y8" s="410">
        <v>193.28151447775943</v>
      </c>
      <c r="Z8" s="410">
        <v>142.59186364068557</v>
      </c>
      <c r="AA8" s="410"/>
      <c r="AB8" s="410"/>
    </row>
    <row r="9" spans="3:28" ht="13" customHeight="1">
      <c r="C9" s="409" t="s">
        <v>147</v>
      </c>
      <c r="E9" s="410">
        <v>101.20091520299999</v>
      </c>
      <c r="F9" s="410">
        <v>97.706699273000012</v>
      </c>
      <c r="G9" s="410">
        <v>143.77174223700001</v>
      </c>
      <c r="H9" s="410">
        <v>170.501088337</v>
      </c>
      <c r="I9" s="410">
        <v>76.794325999999998</v>
      </c>
      <c r="J9" s="410">
        <v>83.850566999999998</v>
      </c>
      <c r="K9" s="410">
        <v>138.114642</v>
      </c>
      <c r="L9" s="410">
        <v>174.01467999999997</v>
      </c>
      <c r="M9" s="410">
        <v>122.886442385</v>
      </c>
      <c r="N9" s="410">
        <v>96.420537369000002</v>
      </c>
      <c r="O9" s="410">
        <v>137.69402424429524</v>
      </c>
      <c r="P9" s="410">
        <v>170.00501246599998</v>
      </c>
      <c r="Q9" s="410">
        <v>117.18859971400001</v>
      </c>
      <c r="R9" s="410">
        <v>98.053742521000004</v>
      </c>
      <c r="S9" s="410">
        <v>133.62787284000834</v>
      </c>
      <c r="T9" s="410">
        <v>165.23558026500001</v>
      </c>
      <c r="U9" s="410">
        <v>118.05207300000001</v>
      </c>
      <c r="V9" s="410">
        <v>92.054836361945718</v>
      </c>
      <c r="W9" s="410">
        <v>121.01517822881263</v>
      </c>
      <c r="X9" s="410">
        <v>177.81704470261874</v>
      </c>
      <c r="Y9" s="410">
        <v>116.93681041568156</v>
      </c>
      <c r="Z9" s="410">
        <v>98.029959784351533</v>
      </c>
      <c r="AA9" s="410"/>
      <c r="AB9" s="410"/>
    </row>
    <row r="10" spans="3:28" ht="13" customHeight="1">
      <c r="C10" s="409" t="s">
        <v>148</v>
      </c>
      <c r="E10" s="410">
        <v>60.819446167999999</v>
      </c>
      <c r="F10" s="410">
        <v>81.114531814999992</v>
      </c>
      <c r="G10" s="410">
        <v>120.79036020599999</v>
      </c>
      <c r="H10" s="410">
        <v>101.658782125</v>
      </c>
      <c r="I10" s="410">
        <v>41.493310999999999</v>
      </c>
      <c r="J10" s="410">
        <v>72.255135999999993</v>
      </c>
      <c r="K10" s="410">
        <v>130.16256100000001</v>
      </c>
      <c r="L10" s="410">
        <v>90.949714999999998</v>
      </c>
      <c r="M10" s="410">
        <v>68.154442758000002</v>
      </c>
      <c r="N10" s="410">
        <v>87.662750530000011</v>
      </c>
      <c r="O10" s="410">
        <v>123.87118291200001</v>
      </c>
      <c r="P10" s="410">
        <v>77.745364314</v>
      </c>
      <c r="Q10" s="410">
        <v>53.203544633000007</v>
      </c>
      <c r="R10" s="410">
        <v>71.092545029000007</v>
      </c>
      <c r="S10" s="410">
        <v>116.79366545586973</v>
      </c>
      <c r="T10" s="410">
        <v>73.452434303000004</v>
      </c>
      <c r="U10" s="410">
        <v>62.891977000000004</v>
      </c>
      <c r="V10" s="410">
        <v>71.731901442963391</v>
      </c>
      <c r="W10" s="410">
        <v>107.62269195062171</v>
      </c>
      <c r="X10" s="410">
        <v>78.7921018765214</v>
      </c>
      <c r="Y10" s="410">
        <v>43.80397924373321</v>
      </c>
      <c r="Z10" s="410">
        <v>71.326015308826825</v>
      </c>
      <c r="AA10" s="410"/>
      <c r="AB10" s="410"/>
    </row>
    <row r="11" spans="3:28" ht="13" customHeight="1">
      <c r="C11" s="409" t="s">
        <v>149</v>
      </c>
      <c r="E11" s="410">
        <v>91.699483444999998</v>
      </c>
      <c r="F11" s="410">
        <v>124.11815526399999</v>
      </c>
      <c r="G11" s="410">
        <v>175.23220532799999</v>
      </c>
      <c r="H11" s="410">
        <v>151.038575982</v>
      </c>
      <c r="I11" s="410">
        <v>69.591480000000004</v>
      </c>
      <c r="J11" s="410">
        <v>116.384232</v>
      </c>
      <c r="K11" s="410">
        <v>181.26310500000002</v>
      </c>
      <c r="L11" s="410">
        <v>154.44148200000001</v>
      </c>
      <c r="M11" s="410">
        <v>107.90518601599999</v>
      </c>
      <c r="N11" s="410">
        <v>123.135739061</v>
      </c>
      <c r="O11" s="410">
        <v>178.57805124199999</v>
      </c>
      <c r="P11" s="410">
        <v>125.77362729399999</v>
      </c>
      <c r="Q11" s="410">
        <v>84.631164462000001</v>
      </c>
      <c r="R11" s="410">
        <v>97.801474381999995</v>
      </c>
      <c r="S11" s="410">
        <v>171.47923554042549</v>
      </c>
      <c r="T11" s="410">
        <v>118.48444862300001</v>
      </c>
      <c r="U11" s="410">
        <v>97.903109999999984</v>
      </c>
      <c r="V11" s="410">
        <v>99.466080238682864</v>
      </c>
      <c r="W11" s="410">
        <v>137.32878695964402</v>
      </c>
      <c r="X11" s="410">
        <v>121.13951241551406</v>
      </c>
      <c r="Y11" s="410">
        <v>72.202521703433391</v>
      </c>
      <c r="Z11" s="410">
        <v>105.64304554436239</v>
      </c>
      <c r="AA11" s="410"/>
      <c r="AB11" s="410"/>
    </row>
    <row r="12" spans="3:28" ht="13" customHeight="1">
      <c r="C12" s="409" t="s">
        <v>150</v>
      </c>
      <c r="E12" s="410">
        <v>69.531853335999998</v>
      </c>
      <c r="F12" s="410">
        <v>90.110231651999996</v>
      </c>
      <c r="G12" s="410">
        <v>128.11187148299999</v>
      </c>
      <c r="H12" s="410">
        <v>124.363180034</v>
      </c>
      <c r="I12" s="410">
        <v>55.434576999999997</v>
      </c>
      <c r="J12" s="410">
        <v>81.373724999999993</v>
      </c>
      <c r="K12" s="410">
        <v>139.50799799999999</v>
      </c>
      <c r="L12" s="410">
        <v>124.978488</v>
      </c>
      <c r="M12" s="410">
        <v>94.669079983000003</v>
      </c>
      <c r="N12" s="410">
        <v>99.033268811999989</v>
      </c>
      <c r="O12" s="410">
        <v>136.820976978</v>
      </c>
      <c r="P12" s="410">
        <v>107.73987378700001</v>
      </c>
      <c r="Q12" s="410">
        <v>73.713391643999984</v>
      </c>
      <c r="R12" s="410">
        <v>76.909449844999997</v>
      </c>
      <c r="S12" s="410">
        <v>129.83958665949834</v>
      </c>
      <c r="T12" s="410">
        <v>104.44755523499998</v>
      </c>
      <c r="U12" s="410">
        <v>87.032077000000001</v>
      </c>
      <c r="V12" s="410">
        <v>80.789121267709078</v>
      </c>
      <c r="W12" s="410">
        <v>113.19478673328345</v>
      </c>
      <c r="X12" s="410">
        <v>119.06872342314365</v>
      </c>
      <c r="Y12" s="410">
        <v>63.367925311551161</v>
      </c>
      <c r="Z12" s="410">
        <v>50.216592021682942</v>
      </c>
      <c r="AA12" s="410"/>
      <c r="AB12" s="410"/>
    </row>
    <row r="13" spans="3:28" ht="13" customHeight="1">
      <c r="C13" s="409" t="s">
        <v>151</v>
      </c>
      <c r="E13" s="410">
        <v>42.344220390999993</v>
      </c>
      <c r="F13" s="410">
        <v>54.012313474999999</v>
      </c>
      <c r="G13" s="410">
        <v>77.452317634000011</v>
      </c>
      <c r="H13" s="410">
        <v>69.195040392999999</v>
      </c>
      <c r="I13" s="410">
        <v>29.355343000000001</v>
      </c>
      <c r="J13" s="410">
        <v>45.427639999999997</v>
      </c>
      <c r="K13" s="410">
        <v>81.370247999999989</v>
      </c>
      <c r="L13" s="410">
        <v>64.636077999999998</v>
      </c>
      <c r="M13" s="410">
        <v>48.378539460999995</v>
      </c>
      <c r="N13" s="410">
        <v>57.226038236999997</v>
      </c>
      <c r="O13" s="410">
        <v>80.575045634000006</v>
      </c>
      <c r="P13" s="410">
        <v>54.943318134999991</v>
      </c>
      <c r="Q13" s="410">
        <v>39.707810432999999</v>
      </c>
      <c r="R13" s="410">
        <v>48.003488181999998</v>
      </c>
      <c r="S13" s="410">
        <v>75.705846297433922</v>
      </c>
      <c r="T13" s="410">
        <v>51.566467481999993</v>
      </c>
      <c r="U13" s="410">
        <v>45.111910999999999</v>
      </c>
      <c r="V13" s="410">
        <v>45.111498354276776</v>
      </c>
      <c r="W13" s="410">
        <v>64.401689207718789</v>
      </c>
      <c r="X13" s="410">
        <v>50.894217555050936</v>
      </c>
      <c r="Y13" s="410">
        <v>58.989166459368569</v>
      </c>
      <c r="Z13" s="410">
        <v>73.416854948652045</v>
      </c>
      <c r="AA13" s="410"/>
      <c r="AB13" s="410"/>
    </row>
    <row r="14" spans="3:28" s="412" customFormat="1" ht="13" customHeight="1">
      <c r="C14" s="409" t="s">
        <v>152</v>
      </c>
      <c r="D14" s="411"/>
      <c r="E14" s="410">
        <v>0</v>
      </c>
      <c r="F14" s="410">
        <v>0</v>
      </c>
      <c r="G14" s="410">
        <v>0</v>
      </c>
      <c r="H14" s="410">
        <v>0</v>
      </c>
      <c r="I14" s="410">
        <v>4.7982629999999995</v>
      </c>
      <c r="J14" s="410">
        <v>49.976081000000008</v>
      </c>
      <c r="K14" s="410">
        <v>130.63263800000001</v>
      </c>
      <c r="L14" s="410">
        <v>146.22707</v>
      </c>
      <c r="M14" s="410">
        <v>99.941535972000011</v>
      </c>
      <c r="N14" s="410">
        <v>80.948000180999998</v>
      </c>
      <c r="O14" s="410">
        <v>132.03808256000002</v>
      </c>
      <c r="P14" s="410">
        <v>132.12631276400001</v>
      </c>
      <c r="Q14" s="410">
        <v>77.873257803999991</v>
      </c>
      <c r="R14" s="410">
        <v>63.080461819000007</v>
      </c>
      <c r="S14" s="410">
        <v>127.44425361698735</v>
      </c>
      <c r="T14" s="410">
        <v>128.84539296200001</v>
      </c>
      <c r="U14" s="410">
        <v>92.836230999999998</v>
      </c>
      <c r="V14" s="410">
        <v>73.030804377664623</v>
      </c>
      <c r="W14" s="410">
        <v>93.701271967149609</v>
      </c>
      <c r="X14" s="410">
        <v>87.048310719804647</v>
      </c>
      <c r="Y14" s="410">
        <v>32.535512525219403</v>
      </c>
      <c r="Z14" s="410">
        <v>44.684760922313913</v>
      </c>
      <c r="AA14" s="410"/>
      <c r="AB14" s="410"/>
    </row>
    <row r="15" spans="3:28" ht="13" customHeight="1">
      <c r="C15" s="409" t="s">
        <v>153</v>
      </c>
      <c r="D15" s="413"/>
      <c r="E15" s="410">
        <v>0</v>
      </c>
      <c r="F15" s="410">
        <v>0</v>
      </c>
      <c r="G15" s="410">
        <v>0</v>
      </c>
      <c r="H15" s="410">
        <v>0</v>
      </c>
      <c r="I15" s="410">
        <v>0</v>
      </c>
      <c r="J15" s="410">
        <v>29.780095000000003</v>
      </c>
      <c r="K15" s="410">
        <v>119.106587</v>
      </c>
      <c r="L15" s="410">
        <v>135.34201199999998</v>
      </c>
      <c r="M15" s="410">
        <v>93.614675519000002</v>
      </c>
      <c r="N15" s="410">
        <v>78.427336979999993</v>
      </c>
      <c r="O15" s="410">
        <v>130.005950697</v>
      </c>
      <c r="P15" s="410">
        <v>132.02526848700001</v>
      </c>
      <c r="Q15" s="410">
        <v>77.97973608400001</v>
      </c>
      <c r="R15" s="410">
        <v>64.589967716999993</v>
      </c>
      <c r="S15" s="410">
        <v>123.57791234782003</v>
      </c>
      <c r="T15" s="410">
        <v>124.10079888300001</v>
      </c>
      <c r="U15" s="410">
        <v>92.278616999999997</v>
      </c>
      <c r="V15" s="410">
        <v>72.43831363572076</v>
      </c>
      <c r="W15" s="410">
        <v>91.128756302007488</v>
      </c>
      <c r="X15" s="410">
        <v>86.340950913095469</v>
      </c>
      <c r="Y15" s="410">
        <v>56.128571273734252</v>
      </c>
      <c r="Z15" s="410">
        <v>48.471741751385046</v>
      </c>
      <c r="AA15" s="410"/>
      <c r="AB15" s="410"/>
    </row>
    <row r="16" spans="3:28" ht="13" customHeight="1">
      <c r="C16" s="409" t="s">
        <v>154</v>
      </c>
      <c r="D16" s="413"/>
      <c r="E16" s="410">
        <v>0</v>
      </c>
      <c r="F16" s="410">
        <v>0</v>
      </c>
      <c r="G16" s="410">
        <v>0</v>
      </c>
      <c r="H16" s="410">
        <v>0</v>
      </c>
      <c r="I16" s="410">
        <v>0</v>
      </c>
      <c r="J16" s="410">
        <v>1.6682529999999998</v>
      </c>
      <c r="K16" s="410">
        <v>74.451420000000013</v>
      </c>
      <c r="L16" s="410">
        <v>82.831688</v>
      </c>
      <c r="M16" s="410">
        <v>48.191187925000001</v>
      </c>
      <c r="N16" s="410">
        <v>58.839831134999997</v>
      </c>
      <c r="O16" s="410">
        <v>93.226692341999993</v>
      </c>
      <c r="P16" s="410">
        <v>91.303229377000008</v>
      </c>
      <c r="Q16" s="410">
        <v>55.238483793</v>
      </c>
      <c r="R16" s="410">
        <v>44.355250646000002</v>
      </c>
      <c r="S16" s="410">
        <v>88.453641974824748</v>
      </c>
      <c r="T16" s="410">
        <v>91.919252063000002</v>
      </c>
      <c r="U16" s="410">
        <v>65.612779000000003</v>
      </c>
      <c r="V16" s="410">
        <v>50.561897638623478</v>
      </c>
      <c r="W16" s="410">
        <v>67.594896632558502</v>
      </c>
      <c r="X16" s="410">
        <v>67.085396478952006</v>
      </c>
      <c r="Y16" s="410">
        <v>45.891878046924219</v>
      </c>
      <c r="Z16" s="410">
        <v>33.829450641310181</v>
      </c>
      <c r="AA16" s="410"/>
      <c r="AB16" s="410"/>
    </row>
    <row r="17" spans="3:28" ht="13" customHeight="1">
      <c r="C17" s="409" t="s">
        <v>155</v>
      </c>
      <c r="D17" s="413"/>
      <c r="E17" s="410">
        <v>0</v>
      </c>
      <c r="F17" s="410">
        <v>0</v>
      </c>
      <c r="G17" s="410">
        <v>0</v>
      </c>
      <c r="H17" s="410">
        <v>0</v>
      </c>
      <c r="I17" s="410">
        <v>0</v>
      </c>
      <c r="J17" s="410">
        <v>0</v>
      </c>
      <c r="K17" s="410">
        <v>0</v>
      </c>
      <c r="L17" s="410">
        <v>0</v>
      </c>
      <c r="M17" s="410">
        <v>0</v>
      </c>
      <c r="N17" s="410">
        <v>6.5474399999999996E-4</v>
      </c>
      <c r="O17" s="410">
        <v>27.798001478</v>
      </c>
      <c r="P17" s="410">
        <v>54.272761709000008</v>
      </c>
      <c r="Q17" s="410">
        <v>66.541959839</v>
      </c>
      <c r="R17" s="410">
        <v>60.413473746000001</v>
      </c>
      <c r="S17" s="410">
        <v>113.45110668366375</v>
      </c>
      <c r="T17" s="410">
        <v>110.962196937</v>
      </c>
      <c r="U17" s="410">
        <v>79.677869999999999</v>
      </c>
      <c r="V17" s="410">
        <v>68.93467209658175</v>
      </c>
      <c r="W17" s="410">
        <v>84.181262906039265</v>
      </c>
      <c r="X17" s="410">
        <v>84.249590544026191</v>
      </c>
      <c r="Y17" s="410">
        <v>59.018976206556545</v>
      </c>
      <c r="Z17" s="410">
        <v>47.489658218501241</v>
      </c>
      <c r="AA17" s="410"/>
      <c r="AB17" s="410"/>
    </row>
    <row r="18" spans="3:28" ht="13" customHeight="1">
      <c r="C18" s="409" t="s">
        <v>156</v>
      </c>
      <c r="D18" s="414"/>
      <c r="E18" s="410">
        <v>0</v>
      </c>
      <c r="F18" s="410">
        <v>0</v>
      </c>
      <c r="G18" s="410">
        <v>0</v>
      </c>
      <c r="H18" s="410">
        <v>0</v>
      </c>
      <c r="I18" s="410">
        <v>0</v>
      </c>
      <c r="J18" s="410">
        <v>0</v>
      </c>
      <c r="K18" s="410">
        <v>0</v>
      </c>
      <c r="L18" s="410">
        <v>0</v>
      </c>
      <c r="M18" s="410">
        <v>0</v>
      </c>
      <c r="N18" s="410">
        <v>0</v>
      </c>
      <c r="O18" s="410">
        <v>2.8318475140000001</v>
      </c>
      <c r="P18" s="410">
        <v>35.522916408</v>
      </c>
      <c r="Q18" s="410">
        <v>46.013436210000002</v>
      </c>
      <c r="R18" s="410">
        <v>46.809012256999999</v>
      </c>
      <c r="S18" s="410">
        <v>89.190074804646713</v>
      </c>
      <c r="T18" s="410">
        <v>87.365859350999997</v>
      </c>
      <c r="U18" s="410">
        <v>61.557016000000004</v>
      </c>
      <c r="V18" s="410">
        <v>54.197639628960729</v>
      </c>
      <c r="W18" s="410">
        <v>66.653028294899286</v>
      </c>
      <c r="X18" s="410">
        <v>65.637126688258974</v>
      </c>
      <c r="Y18" s="410">
        <v>47.468387561787267</v>
      </c>
      <c r="Z18" s="410">
        <v>36.708294630402357</v>
      </c>
      <c r="AA18" s="410"/>
      <c r="AB18" s="410"/>
    </row>
    <row r="19" spans="3:28" ht="13" customHeight="1">
      <c r="C19" s="409" t="s">
        <v>157</v>
      </c>
      <c r="D19" s="413"/>
      <c r="E19" s="410">
        <v>0</v>
      </c>
      <c r="F19" s="410">
        <v>0</v>
      </c>
      <c r="G19" s="410">
        <v>0</v>
      </c>
      <c r="H19" s="410">
        <v>0</v>
      </c>
      <c r="I19" s="410">
        <v>0</v>
      </c>
      <c r="J19" s="410">
        <v>0</v>
      </c>
      <c r="K19" s="410">
        <v>0</v>
      </c>
      <c r="L19" s="410">
        <v>0</v>
      </c>
      <c r="M19" s="410">
        <v>0</v>
      </c>
      <c r="N19" s="410">
        <v>0</v>
      </c>
      <c r="O19" s="410">
        <v>0.10355126799999999</v>
      </c>
      <c r="P19" s="410">
        <v>35.849052211999997</v>
      </c>
      <c r="Q19" s="410">
        <v>32.755545601999998</v>
      </c>
      <c r="R19" s="410">
        <v>27.514221524</v>
      </c>
      <c r="S19" s="410">
        <v>49.374956786193152</v>
      </c>
      <c r="T19" s="410">
        <v>50.935585898999996</v>
      </c>
      <c r="U19" s="410">
        <v>37.988968</v>
      </c>
      <c r="V19" s="410">
        <v>30.721724010703483</v>
      </c>
      <c r="W19" s="410">
        <v>36.789958992486874</v>
      </c>
      <c r="X19" s="410">
        <v>32.469673867633553</v>
      </c>
      <c r="Y19" s="410">
        <v>27.511411832878366</v>
      </c>
      <c r="Z19" s="410">
        <v>21.151472569541834</v>
      </c>
      <c r="AA19" s="415"/>
      <c r="AB19" s="415"/>
    </row>
    <row r="20" spans="3:28" ht="13" customHeight="1">
      <c r="C20" s="409" t="s">
        <v>158</v>
      </c>
      <c r="D20" s="413"/>
      <c r="E20" s="410">
        <v>0</v>
      </c>
      <c r="F20" s="410">
        <v>0</v>
      </c>
      <c r="G20" s="410">
        <v>0</v>
      </c>
      <c r="H20" s="410">
        <v>0</v>
      </c>
      <c r="I20" s="410">
        <v>0</v>
      </c>
      <c r="J20" s="410">
        <v>0</v>
      </c>
      <c r="K20" s="410">
        <v>0</v>
      </c>
      <c r="L20" s="410">
        <v>0</v>
      </c>
      <c r="M20" s="410">
        <v>0</v>
      </c>
      <c r="N20" s="410">
        <v>0</v>
      </c>
      <c r="O20" s="410">
        <v>0</v>
      </c>
      <c r="P20" s="410">
        <v>0</v>
      </c>
      <c r="Q20" s="410">
        <v>0</v>
      </c>
      <c r="R20" s="410">
        <v>0</v>
      </c>
      <c r="S20" s="410">
        <v>0</v>
      </c>
      <c r="T20" s="410">
        <v>0</v>
      </c>
      <c r="U20" s="410">
        <v>0</v>
      </c>
      <c r="V20" s="410">
        <v>0</v>
      </c>
      <c r="W20" s="410">
        <v>0</v>
      </c>
      <c r="X20" s="410">
        <v>0</v>
      </c>
      <c r="Y20" s="410">
        <v>0</v>
      </c>
      <c r="Z20" s="410">
        <v>88.799941186033479</v>
      </c>
      <c r="AA20" s="415"/>
      <c r="AB20" s="415"/>
    </row>
    <row r="21" spans="3:28" ht="13" customHeight="1">
      <c r="C21" s="409" t="s">
        <v>159</v>
      </c>
      <c r="D21" s="413"/>
      <c r="E21" s="410">
        <v>0</v>
      </c>
      <c r="F21" s="410">
        <v>0</v>
      </c>
      <c r="G21" s="410">
        <v>0</v>
      </c>
      <c r="H21" s="410">
        <v>0</v>
      </c>
      <c r="I21" s="410">
        <v>0</v>
      </c>
      <c r="J21" s="410">
        <v>0</v>
      </c>
      <c r="K21" s="410">
        <v>0</v>
      </c>
      <c r="L21" s="410">
        <v>0</v>
      </c>
      <c r="M21" s="410">
        <v>0</v>
      </c>
      <c r="N21" s="410">
        <v>0</v>
      </c>
      <c r="O21" s="410">
        <v>0</v>
      </c>
      <c r="P21" s="410">
        <v>0</v>
      </c>
      <c r="Q21" s="410">
        <v>0</v>
      </c>
      <c r="R21" s="410">
        <v>0</v>
      </c>
      <c r="S21" s="410">
        <v>0</v>
      </c>
      <c r="T21" s="410">
        <v>0</v>
      </c>
      <c r="U21" s="410">
        <v>0</v>
      </c>
      <c r="V21" s="410">
        <v>0</v>
      </c>
      <c r="W21" s="410">
        <v>0</v>
      </c>
      <c r="X21" s="410">
        <v>0</v>
      </c>
      <c r="Y21" s="410">
        <v>0</v>
      </c>
      <c r="Z21" s="410">
        <v>15.240796986768421</v>
      </c>
      <c r="AA21" s="415"/>
      <c r="AB21" s="415"/>
    </row>
    <row r="22" spans="3:28" ht="13" customHeight="1">
      <c r="C22" s="416" t="s">
        <v>160</v>
      </c>
      <c r="E22" s="417">
        <f>SUM(E8:E21)</f>
        <v>567.47306220999997</v>
      </c>
      <c r="F22" s="417">
        <f t="shared" ref="F22:AB22" si="0">SUM(F8:F21)</f>
        <v>635.88232098100002</v>
      </c>
      <c r="G22" s="417">
        <f t="shared" si="0"/>
        <v>889.58972787099992</v>
      </c>
      <c r="H22" s="417">
        <f t="shared" si="0"/>
        <v>899.39747475699994</v>
      </c>
      <c r="I22" s="417">
        <f t="shared" si="0"/>
        <v>432.59471400000001</v>
      </c>
      <c r="J22" s="417">
        <f t="shared" si="0"/>
        <v>632.01455399999998</v>
      </c>
      <c r="K22" s="417">
        <f t="shared" si="0"/>
        <v>1237.6914859999999</v>
      </c>
      <c r="L22" s="417">
        <f t="shared" si="0"/>
        <v>1254.984252</v>
      </c>
      <c r="M22" s="417">
        <f t="shared" si="0"/>
        <v>912.48987489799993</v>
      </c>
      <c r="N22" s="417">
        <f t="shared" si="0"/>
        <v>841.51081270099985</v>
      </c>
      <c r="O22" s="417">
        <f t="shared" si="0"/>
        <v>1268.6128716532953</v>
      </c>
      <c r="P22" s="417">
        <f t="shared" si="0"/>
        <v>1307.9176720789999</v>
      </c>
      <c r="Q22" s="417">
        <f t="shared" si="0"/>
        <v>933.86213935600006</v>
      </c>
      <c r="R22" s="417">
        <f t="shared" si="0"/>
        <v>842.85541325299994</v>
      </c>
      <c r="S22" s="417">
        <f t="shared" si="0"/>
        <v>1432.3918786477357</v>
      </c>
      <c r="T22" s="417">
        <f t="shared" si="0"/>
        <v>1359.867763921</v>
      </c>
      <c r="U22" s="417">
        <f t="shared" si="0"/>
        <v>1078.8124640000001</v>
      </c>
      <c r="V22" s="417">
        <f t="shared" si="0"/>
        <v>896.57886907584839</v>
      </c>
      <c r="W22" s="417">
        <f t="shared" si="0"/>
        <v>1185.8722096763331</v>
      </c>
      <c r="X22" s="417">
        <f t="shared" si="0"/>
        <v>1216.0573365732362</v>
      </c>
      <c r="Y22" s="417">
        <f t="shared" si="0"/>
        <v>817.1366550586273</v>
      </c>
      <c r="Z22" s="417">
        <f t="shared" si="0"/>
        <v>877.60044815481774</v>
      </c>
      <c r="AA22" s="417">
        <f t="shared" si="0"/>
        <v>0</v>
      </c>
      <c r="AB22" s="417">
        <f t="shared" si="0"/>
        <v>0</v>
      </c>
    </row>
    <row r="23" spans="3:28" ht="13" customHeight="1">
      <c r="C23" s="418"/>
    </row>
    <row r="24" spans="3:28" ht="13" customHeight="1">
      <c r="C24" s="418"/>
    </row>
    <row r="25" spans="3:28" ht="13" customHeight="1">
      <c r="C25" s="504" t="s">
        <v>161</v>
      </c>
      <c r="E25" s="505" t="s">
        <v>33</v>
      </c>
      <c r="F25" s="505" t="s">
        <v>34</v>
      </c>
      <c r="G25" s="505" t="s">
        <v>35</v>
      </c>
      <c r="H25" s="505" t="s">
        <v>36</v>
      </c>
      <c r="I25" s="505" t="s">
        <v>37</v>
      </c>
      <c r="J25" s="505" t="s">
        <v>38</v>
      </c>
      <c r="K25" s="505" t="s">
        <v>39</v>
      </c>
      <c r="L25" s="505" t="s">
        <v>40</v>
      </c>
      <c r="M25" s="505" t="s">
        <v>41</v>
      </c>
      <c r="N25" s="505" t="s">
        <v>42</v>
      </c>
      <c r="O25" s="505" t="s">
        <v>43</v>
      </c>
      <c r="P25" s="505" t="s">
        <v>44</v>
      </c>
      <c r="Q25" s="505" t="s">
        <v>45</v>
      </c>
      <c r="R25" s="505" t="s">
        <v>46</v>
      </c>
      <c r="S25" s="505" t="s">
        <v>47</v>
      </c>
      <c r="T25" s="505" t="s">
        <v>48</v>
      </c>
      <c r="U25" s="505" t="s">
        <v>49</v>
      </c>
      <c r="V25" s="505" t="s">
        <v>50</v>
      </c>
      <c r="W25" s="505" t="s">
        <v>51</v>
      </c>
      <c r="X25" s="505" t="s">
        <v>52</v>
      </c>
      <c r="Y25" s="505" t="s">
        <v>53</v>
      </c>
      <c r="Z25" s="505" t="s">
        <v>54</v>
      </c>
      <c r="AA25" s="505" t="s">
        <v>144</v>
      </c>
      <c r="AB25" s="505" t="s">
        <v>145</v>
      </c>
    </row>
    <row r="26" spans="3:28" ht="13" customHeight="1">
      <c r="C26" s="409" t="s">
        <v>146</v>
      </c>
      <c r="E26" s="419">
        <v>6.9168174589332034</v>
      </c>
      <c r="F26" s="419">
        <v>6.6250582829250328</v>
      </c>
      <c r="G26" s="419">
        <v>7.4087674577866371</v>
      </c>
      <c r="H26" s="419">
        <v>8.1072117963933064</v>
      </c>
      <c r="I26" s="419">
        <v>6.0426713597310799</v>
      </c>
      <c r="J26" s="419">
        <v>6.1089143539710165</v>
      </c>
      <c r="K26" s="419">
        <v>7.4635017709208817</v>
      </c>
      <c r="L26" s="419">
        <v>8.1115075977528157</v>
      </c>
      <c r="M26" s="419">
        <v>7.1989182986910389</v>
      </c>
      <c r="N26" s="419">
        <v>6.1860275556752971</v>
      </c>
      <c r="O26" s="419">
        <v>7.114709972101215</v>
      </c>
      <c r="P26" s="419">
        <v>8.2791083616746395</v>
      </c>
      <c r="Q26" s="419">
        <v>7.0543520914393971</v>
      </c>
      <c r="R26" s="419">
        <v>6.0558486074214404</v>
      </c>
      <c r="S26" s="419">
        <v>7.0818562559459517</v>
      </c>
      <c r="T26" s="420">
        <v>7.5528264177347406</v>
      </c>
      <c r="U26" s="420">
        <v>7.5556422751206354</v>
      </c>
      <c r="V26" s="420">
        <v>6.2284135002127572</v>
      </c>
      <c r="W26" s="420">
        <v>6.9854896946805685</v>
      </c>
      <c r="X26" s="420">
        <v>7.7201516895643021</v>
      </c>
      <c r="Y26" s="420">
        <v>6.7814664350802749</v>
      </c>
      <c r="Z26" s="420">
        <v>6.7031651509501948</v>
      </c>
    </row>
    <row r="27" spans="3:28" ht="13" customHeight="1">
      <c r="C27" s="409" t="s">
        <v>147</v>
      </c>
      <c r="E27" s="419">
        <v>6.6721790648814059</v>
      </c>
      <c r="F27" s="419">
        <v>6.5287033418318128</v>
      </c>
      <c r="G27" s="419">
        <v>8.0859393990692752</v>
      </c>
      <c r="H27" s="419">
        <v>9.3670128952103902</v>
      </c>
      <c r="I27" s="419">
        <v>5.876140892139869</v>
      </c>
      <c r="J27" s="419">
        <v>6.0774629221878493</v>
      </c>
      <c r="K27" s="419">
        <v>7.5015450429943309</v>
      </c>
      <c r="L27" s="419">
        <v>8.9892778672585045</v>
      </c>
      <c r="M27" s="419">
        <v>7.1697535342124281</v>
      </c>
      <c r="N27" s="419">
        <v>6.0681710103719428</v>
      </c>
      <c r="O27" s="419">
        <v>7.5977779867822743</v>
      </c>
      <c r="P27" s="419">
        <v>8.7442639486591816</v>
      </c>
      <c r="Q27" s="419">
        <v>7.0294458629420999</v>
      </c>
      <c r="R27" s="419">
        <v>6.3881422474021257</v>
      </c>
      <c r="S27" s="419">
        <v>7.3152210896194214</v>
      </c>
      <c r="T27" s="420">
        <v>8.2239592559993238</v>
      </c>
      <c r="U27" s="420">
        <v>6.9511997412121485</v>
      </c>
      <c r="V27" s="420">
        <v>6.2113052246760105</v>
      </c>
      <c r="W27" s="420">
        <v>8.1785197521858066</v>
      </c>
      <c r="X27" s="420">
        <v>9.2153988462057175</v>
      </c>
      <c r="Y27" s="420">
        <v>6.788327847966273</v>
      </c>
      <c r="Z27" s="420">
        <v>8.0572865323513376</v>
      </c>
    </row>
    <row r="28" spans="3:28" ht="13" customHeight="1">
      <c r="C28" s="409" t="s">
        <v>148</v>
      </c>
      <c r="E28" s="419">
        <v>7.1005379377052806</v>
      </c>
      <c r="F28" s="419">
        <v>8.1605560791981997</v>
      </c>
      <c r="G28" s="419">
        <v>9.9911842277993852</v>
      </c>
      <c r="H28" s="419">
        <v>9.1063862756678926</v>
      </c>
      <c r="I28" s="419">
        <v>5.9944645336696079</v>
      </c>
      <c r="J28" s="419">
        <v>7.6944303209206639</v>
      </c>
      <c r="K28" s="419">
        <v>10.337091136306046</v>
      </c>
      <c r="L28" s="419">
        <v>8.5665446339810192</v>
      </c>
      <c r="M28" s="419">
        <v>7.4910793257038497</v>
      </c>
      <c r="N28" s="419">
        <v>8.5036762068215097</v>
      </c>
      <c r="O28" s="419">
        <v>10.388078397144168</v>
      </c>
      <c r="P28" s="419">
        <v>7.978595815888804</v>
      </c>
      <c r="Q28" s="419">
        <v>6.9710204166278498</v>
      </c>
      <c r="R28" s="419">
        <v>7.925234842741677</v>
      </c>
      <c r="S28" s="419">
        <v>10.10677442697966</v>
      </c>
      <c r="T28" s="420">
        <v>7.8953308273507465</v>
      </c>
      <c r="U28" s="420">
        <v>7.5862270318973835</v>
      </c>
      <c r="V28" s="420">
        <v>7.9317188762115416</v>
      </c>
      <c r="W28" s="420">
        <v>9.6799013764689104</v>
      </c>
      <c r="X28" s="420">
        <v>8.4026476076593113</v>
      </c>
      <c r="Y28" s="420">
        <v>6.6336485010242106</v>
      </c>
      <c r="Z28" s="420">
        <v>9.5522795124155913</v>
      </c>
    </row>
    <row r="29" spans="3:28" ht="13" customHeight="1">
      <c r="C29" s="409" t="s">
        <v>149</v>
      </c>
      <c r="E29" s="419">
        <v>6.9815190179480444</v>
      </c>
      <c r="F29" s="419">
        <v>7.9754800676153259</v>
      </c>
      <c r="G29" s="419">
        <v>9.919975239135649</v>
      </c>
      <c r="H29" s="419">
        <v>8.9540246965606567</v>
      </c>
      <c r="I29" s="419">
        <v>6.0912032417216144</v>
      </c>
      <c r="J29" s="419">
        <v>7.7342465182582103</v>
      </c>
      <c r="K29" s="419">
        <v>9.752005291373834</v>
      </c>
      <c r="L29" s="419">
        <v>8.9542023427784443</v>
      </c>
      <c r="M29" s="419">
        <v>7.5704338373409374</v>
      </c>
      <c r="N29" s="419">
        <v>7.9267299058181901</v>
      </c>
      <c r="O29" s="419">
        <v>10.101790976265203</v>
      </c>
      <c r="P29" s="419">
        <v>8.4022280615956895</v>
      </c>
      <c r="Q29" s="419">
        <v>6.9888627203802267</v>
      </c>
      <c r="R29" s="419">
        <v>7.5428720086321723</v>
      </c>
      <c r="S29" s="419">
        <v>9.9147909607576281</v>
      </c>
      <c r="T29" s="420">
        <v>8.12745001256142</v>
      </c>
      <c r="U29" s="420">
        <v>7.728062460902664</v>
      </c>
      <c r="V29" s="420">
        <v>7.698396272056705</v>
      </c>
      <c r="W29" s="420">
        <v>9.3121190059768111</v>
      </c>
      <c r="X29" s="420">
        <v>8.436771262113167</v>
      </c>
      <c r="Y29" s="420">
        <v>6.6140615556102533</v>
      </c>
      <c r="Z29" s="420">
        <v>9.3662665893634163</v>
      </c>
    </row>
    <row r="30" spans="3:28" ht="13" customHeight="1">
      <c r="C30" s="409" t="s">
        <v>152</v>
      </c>
      <c r="E30" s="419" t="s">
        <v>162</v>
      </c>
      <c r="F30" s="419">
        <v>7.5355471470316902</v>
      </c>
      <c r="G30" s="419">
        <v>8.6349818810172696</v>
      </c>
      <c r="H30" s="419">
        <v>9.4144546609857809</v>
      </c>
      <c r="I30" s="419">
        <v>6.7805938019857299</v>
      </c>
      <c r="J30" s="419">
        <v>6.4216551400802944</v>
      </c>
      <c r="K30" s="419">
        <v>8.3647288155296575</v>
      </c>
      <c r="L30" s="419">
        <v>8.9442320647446998</v>
      </c>
      <c r="M30" s="419">
        <v>7.7675959507624306</v>
      </c>
      <c r="N30" s="419">
        <v>6.619659286933941</v>
      </c>
      <c r="O30" s="419">
        <v>8.4937763486219495</v>
      </c>
      <c r="P30" s="419">
        <v>8.7334578503733091</v>
      </c>
      <c r="Q30" s="419">
        <v>6.8084085709518858</v>
      </c>
      <c r="R30" s="419">
        <v>6.1014571294679749</v>
      </c>
      <c r="S30" s="419">
        <v>8.1853353666222617</v>
      </c>
      <c r="T30" s="420">
        <v>8.4227553346882704</v>
      </c>
      <c r="U30" s="420">
        <v>7.1567168103324041</v>
      </c>
      <c r="V30" s="420">
        <v>7.1412965002514071</v>
      </c>
      <c r="W30" s="420">
        <v>8.2953321681074481</v>
      </c>
      <c r="X30" s="420">
        <v>8.620997564948123</v>
      </c>
      <c r="Y30" s="420">
        <v>6.1381946363291906</v>
      </c>
      <c r="Z30" s="420">
        <v>8.1334167202313736</v>
      </c>
    </row>
    <row r="31" spans="3:28" ht="13" customHeight="1">
      <c r="C31" s="409" t="s">
        <v>150</v>
      </c>
      <c r="E31" s="419">
        <v>6.2540619909601798</v>
      </c>
      <c r="F31" s="419">
        <v>7.1829312999840873</v>
      </c>
      <c r="G31" s="419">
        <v>8.8044272170719147</v>
      </c>
      <c r="H31" s="419">
        <v>8.6040631013103663</v>
      </c>
      <c r="I31" s="419">
        <v>5.7072416835673465</v>
      </c>
      <c r="J31" s="419">
        <v>6.7532086458004237</v>
      </c>
      <c r="K31" s="419">
        <v>8.9733873857293887</v>
      </c>
      <c r="L31" s="419">
        <v>8.4274614946966082</v>
      </c>
      <c r="M31" s="419">
        <v>7.239692901078925</v>
      </c>
      <c r="N31" s="419">
        <v>7.4061315754277235</v>
      </c>
      <c r="O31" s="419">
        <v>9.1420411454278607</v>
      </c>
      <c r="P31" s="419">
        <v>7.8862188003980975</v>
      </c>
      <c r="Q31" s="419">
        <v>6.5869056047785888</v>
      </c>
      <c r="R31" s="419">
        <v>6.5617155912445799</v>
      </c>
      <c r="S31" s="419">
        <v>8.7544919792187432</v>
      </c>
      <c r="T31" s="420">
        <v>7.7853668344109339</v>
      </c>
      <c r="U31" s="420">
        <v>7.1539405303272776</v>
      </c>
      <c r="V31" s="420">
        <v>6.3372478563706958</v>
      </c>
      <c r="W31" s="420">
        <v>8.9095870869536427</v>
      </c>
      <c r="X31" s="420">
        <v>8.3907897150023487</v>
      </c>
      <c r="Y31" s="420">
        <v>6.2557392193377286</v>
      </c>
      <c r="Z31" s="420">
        <v>8.3879233803254003</v>
      </c>
    </row>
    <row r="32" spans="3:28" ht="13" customHeight="1">
      <c r="C32" s="409" t="s">
        <v>151</v>
      </c>
      <c r="E32" s="419">
        <v>6.3565262993176779</v>
      </c>
      <c r="F32" s="419">
        <v>7.5569823054603615</v>
      </c>
      <c r="G32" s="419">
        <v>9.1016090957150944</v>
      </c>
      <c r="H32" s="419">
        <v>8.5634599090486319</v>
      </c>
      <c r="I32" s="419">
        <v>5.6017557779947911</v>
      </c>
      <c r="J32" s="419">
        <v>6.8610176529203146</v>
      </c>
      <c r="K32" s="419">
        <v>9.2263015197670981</v>
      </c>
      <c r="L32" s="419">
        <v>8.1540749513584636</v>
      </c>
      <c r="M32" s="419">
        <v>7.1139027860429556</v>
      </c>
      <c r="N32" s="419">
        <v>7.6589247228461756</v>
      </c>
      <c r="O32" s="419">
        <v>9.3476009982219654</v>
      </c>
      <c r="P32" s="419">
        <v>7.6791307489941092</v>
      </c>
      <c r="Q32" s="419">
        <v>6.6360322462187877</v>
      </c>
      <c r="R32" s="419">
        <v>7.0607892873086326</v>
      </c>
      <c r="S32" s="419">
        <v>9.0156767990278155</v>
      </c>
      <c r="T32" s="420">
        <v>7.5829899138298575</v>
      </c>
      <c r="U32" s="420">
        <v>7.2286291656670754</v>
      </c>
      <c r="V32" s="420">
        <v>6.8949620553105868</v>
      </c>
      <c r="W32" s="420">
        <v>8.8650531829267294</v>
      </c>
      <c r="X32" s="420">
        <v>8.004500786463419</v>
      </c>
      <c r="Y32" s="420">
        <v>6.0356224351750187</v>
      </c>
      <c r="Z32" s="420">
        <v>8.4414201524522561</v>
      </c>
    </row>
    <row r="33" spans="3:28" ht="13" customHeight="1">
      <c r="C33" s="409" t="s">
        <v>153</v>
      </c>
      <c r="E33" s="419" t="s">
        <v>162</v>
      </c>
      <c r="F33" s="419" t="s">
        <v>162</v>
      </c>
      <c r="G33" s="419" t="s">
        <v>162</v>
      </c>
      <c r="H33" s="419">
        <v>10.031581034425828</v>
      </c>
      <c r="I33" s="419">
        <v>6.8243514501587139</v>
      </c>
      <c r="J33" s="419">
        <v>6.5753876906630531</v>
      </c>
      <c r="K33" s="419">
        <v>8.4920686832673162</v>
      </c>
      <c r="L33" s="419">
        <v>9.0783756522915979</v>
      </c>
      <c r="M33" s="419">
        <v>7.8006112635423595</v>
      </c>
      <c r="N33" s="419">
        <v>6.5364672719606407</v>
      </c>
      <c r="O33" s="419">
        <v>8.4574543627538841</v>
      </c>
      <c r="P33" s="419">
        <v>8.6979048536044665</v>
      </c>
      <c r="Q33" s="419">
        <v>6.81683301580125</v>
      </c>
      <c r="R33" s="419">
        <v>6.1858394308860261</v>
      </c>
      <c r="S33" s="419">
        <v>8.2266334543156034</v>
      </c>
      <c r="T33" s="420">
        <v>8.4924140003543265</v>
      </c>
      <c r="U33" s="420">
        <v>7.2685801568238633</v>
      </c>
      <c r="V33" s="420">
        <v>6.466936585097808</v>
      </c>
      <c r="W33" s="420">
        <v>8.588709409385638</v>
      </c>
      <c r="X33" s="420">
        <v>8.851300223788602</v>
      </c>
      <c r="Y33" s="420">
        <v>6.2071852781985619</v>
      </c>
      <c r="Z33" s="420">
        <v>8.2117240187050644</v>
      </c>
    </row>
    <row r="34" spans="3:28" ht="13" customHeight="1">
      <c r="C34" s="409" t="s">
        <v>154</v>
      </c>
      <c r="E34" s="419" t="s">
        <v>162</v>
      </c>
      <c r="F34" s="419" t="s">
        <v>162</v>
      </c>
      <c r="G34" s="419" t="s">
        <v>162</v>
      </c>
      <c r="H34" s="419">
        <v>9.5332421787449579</v>
      </c>
      <c r="I34" s="419">
        <v>6.9069895901522793</v>
      </c>
      <c r="J34" s="419">
        <v>6.7271192859817335</v>
      </c>
      <c r="K34" s="419">
        <v>8.7312345038289614</v>
      </c>
      <c r="L34" s="419">
        <v>9.0030912679174673</v>
      </c>
      <c r="M34" s="419">
        <v>7.6327083799574114</v>
      </c>
      <c r="N34" s="419">
        <v>6.5341919018672066</v>
      </c>
      <c r="O34" s="419">
        <v>8.4772450690684114</v>
      </c>
      <c r="P34" s="419">
        <v>8.4680996355803124</v>
      </c>
      <c r="Q34" s="419">
        <v>6.5393402973810835</v>
      </c>
      <c r="R34" s="419">
        <v>5.7915608201708109</v>
      </c>
      <c r="S34" s="419">
        <v>8.3383715904277302</v>
      </c>
      <c r="T34" s="420">
        <v>8.2938762203506808</v>
      </c>
      <c r="U34" s="420">
        <v>6.9282275358835852</v>
      </c>
      <c r="V34" s="420">
        <v>6.1269670213971823</v>
      </c>
      <c r="W34" s="420">
        <v>8.5256044372268338</v>
      </c>
      <c r="X34" s="420">
        <v>8.7214479912882261</v>
      </c>
      <c r="Y34" s="420">
        <v>5.9945871436988902</v>
      </c>
      <c r="Z34" s="420">
        <v>8.2625370979309078</v>
      </c>
    </row>
    <row r="35" spans="3:28" ht="13" customHeight="1">
      <c r="C35" s="409" t="s">
        <v>155</v>
      </c>
      <c r="E35" s="419" t="s">
        <v>162</v>
      </c>
      <c r="F35" s="419" t="s">
        <v>162</v>
      </c>
      <c r="G35" s="419" t="s">
        <v>162</v>
      </c>
      <c r="H35" s="419">
        <v>9.4830869342104691</v>
      </c>
      <c r="I35" s="419">
        <v>6.6278035090519829</v>
      </c>
      <c r="J35" s="419">
        <v>6.4117342299157443</v>
      </c>
      <c r="K35" s="419">
        <v>8.4102871342609991</v>
      </c>
      <c r="L35" s="419">
        <v>9.1399884845899493</v>
      </c>
      <c r="M35" s="419">
        <v>7.8978575441572403</v>
      </c>
      <c r="N35" s="419">
        <v>7.0704861866248834</v>
      </c>
      <c r="O35" s="419">
        <v>8.9696653143690508</v>
      </c>
      <c r="P35" s="419">
        <v>8.7609314268285576</v>
      </c>
      <c r="Q35" s="419">
        <v>6.8492213868131531</v>
      </c>
      <c r="R35" s="419">
        <v>6.3095610522842795</v>
      </c>
      <c r="S35" s="419">
        <v>8.4319538363354951</v>
      </c>
      <c r="T35" s="420">
        <v>8.4898343399579339</v>
      </c>
      <c r="U35" s="420">
        <v>7.2711623943213262</v>
      </c>
      <c r="V35" s="420">
        <v>6.5869923259590299</v>
      </c>
      <c r="W35" s="420">
        <v>8.6945259114027973</v>
      </c>
      <c r="X35" s="420">
        <v>8.8650682382432837</v>
      </c>
      <c r="Y35" s="420">
        <v>6.2993331427102559</v>
      </c>
      <c r="Z35" s="420">
        <v>8.5518393834431965</v>
      </c>
    </row>
    <row r="36" spans="3:28" ht="13" customHeight="1">
      <c r="C36" s="409" t="s">
        <v>156</v>
      </c>
      <c r="E36" s="419" t="s">
        <v>162</v>
      </c>
      <c r="F36" s="419" t="s">
        <v>162</v>
      </c>
      <c r="G36" s="419" t="s">
        <v>162</v>
      </c>
      <c r="H36" s="419">
        <v>9.5461890267544103</v>
      </c>
      <c r="I36" s="419">
        <v>6.6278035090519829</v>
      </c>
      <c r="J36" s="419">
        <v>6.4117342299157443</v>
      </c>
      <c r="K36" s="419">
        <v>8.41302814690963</v>
      </c>
      <c r="L36" s="419">
        <v>9.1399884845899493</v>
      </c>
      <c r="M36" s="419">
        <v>7.8978575441572403</v>
      </c>
      <c r="N36" s="419">
        <v>6.9497613435263164</v>
      </c>
      <c r="O36" s="419">
        <v>8.8752375322839487</v>
      </c>
      <c r="P36" s="419">
        <v>8.6515811059785932</v>
      </c>
      <c r="Q36" s="419">
        <v>6.5617094596227012</v>
      </c>
      <c r="R36" s="419">
        <v>6.0136416639600485</v>
      </c>
      <c r="S36" s="419">
        <v>8.3658202160959654</v>
      </c>
      <c r="T36" s="420">
        <v>8.1748726730761323</v>
      </c>
      <c r="U36" s="420">
        <v>7.0787170065773859</v>
      </c>
      <c r="V36" s="420">
        <v>6.4026291579990593</v>
      </c>
      <c r="W36" s="420">
        <v>8.5211335602013953</v>
      </c>
      <c r="X36" s="420">
        <v>8.5405369375063032</v>
      </c>
      <c r="Y36" s="420">
        <v>6.0476927783463017</v>
      </c>
      <c r="Z36" s="420">
        <v>8.3882787068684888</v>
      </c>
    </row>
    <row r="37" spans="3:28" ht="13" customHeight="1">
      <c r="C37" s="409" t="s">
        <v>157</v>
      </c>
      <c r="E37" s="419" t="s">
        <v>162</v>
      </c>
      <c r="F37" s="419" t="s">
        <v>162</v>
      </c>
      <c r="G37" s="419" t="s">
        <v>162</v>
      </c>
      <c r="H37" s="419">
        <v>9.5461890267544103</v>
      </c>
      <c r="I37" s="419">
        <v>6.6278035090519829</v>
      </c>
      <c r="J37" s="419">
        <v>6.4117342299157443</v>
      </c>
      <c r="K37" s="419">
        <v>8.41302814690963</v>
      </c>
      <c r="L37" s="419">
        <v>9.1399884845899493</v>
      </c>
      <c r="M37" s="419">
        <v>7.8978575441572403</v>
      </c>
      <c r="N37" s="419">
        <v>6.6477417474264628</v>
      </c>
      <c r="O37" s="419">
        <v>8.5495146357494853</v>
      </c>
      <c r="P37" s="419">
        <v>8.9750790596008301</v>
      </c>
      <c r="Q37" s="419">
        <v>7.3169631905025909</v>
      </c>
      <c r="R37" s="419">
        <v>6.5388276760394755</v>
      </c>
      <c r="S37" s="419">
        <v>8.5457387903462294</v>
      </c>
      <c r="T37" s="420">
        <v>8.9575328308603037</v>
      </c>
      <c r="U37" s="420">
        <v>7.7437673568725582</v>
      </c>
      <c r="V37" s="420">
        <v>6.8461676639514968</v>
      </c>
      <c r="W37" s="420">
        <v>8.8413053595501445</v>
      </c>
      <c r="X37" s="420">
        <v>9.2151844916136376</v>
      </c>
      <c r="Y37" s="420">
        <v>6.692845093024955</v>
      </c>
      <c r="Z37" s="420">
        <v>8.5548276265462242</v>
      </c>
    </row>
    <row r="38" spans="3:28" ht="13" customHeight="1">
      <c r="C38" s="416" t="s">
        <v>160</v>
      </c>
      <c r="E38" s="421">
        <v>6.7861827551781593</v>
      </c>
      <c r="F38" s="421">
        <v>7.1185597700997638</v>
      </c>
      <c r="G38" s="421">
        <v>8.5137448204530255</v>
      </c>
      <c r="H38" s="421">
        <v>8.7031312521700279</v>
      </c>
      <c r="I38" s="421">
        <v>5.94568958775311</v>
      </c>
      <c r="J38" s="421">
        <v>6.6665242192438612</v>
      </c>
      <c r="K38" s="421">
        <v>8.4440489528742297</v>
      </c>
      <c r="L38" s="421">
        <v>8.5244478898378997</v>
      </c>
      <c r="M38" s="421">
        <v>7.3542291868144076</v>
      </c>
      <c r="N38" s="421">
        <v>6.8768520964626951</v>
      </c>
      <c r="O38" s="421">
        <v>8.4433852135926593</v>
      </c>
      <c r="P38" s="421">
        <v>8.3382067053750522</v>
      </c>
      <c r="Q38" s="421">
        <v>6.9094483234008814</v>
      </c>
      <c r="R38" s="421">
        <v>6.5623524943485902</v>
      </c>
      <c r="S38" s="421">
        <v>8.2608493398065157</v>
      </c>
      <c r="T38" s="421">
        <v>7.9908583529167716</v>
      </c>
      <c r="U38" s="421">
        <v>7.3505116133759936</v>
      </c>
      <c r="V38" s="421">
        <v>6.7027549663104073</v>
      </c>
      <c r="W38" s="421">
        <v>8.3183984065758327</v>
      </c>
      <c r="X38" s="421">
        <v>8.4232994384081117</v>
      </c>
      <c r="Y38" s="421">
        <v>6.4499297771190527</v>
      </c>
      <c r="Z38" s="421">
        <v>8.1799754006874803</v>
      </c>
      <c r="AA38" s="421"/>
      <c r="AB38" s="421"/>
    </row>
    <row r="39" spans="3:28" ht="13" customHeight="1">
      <c r="C39" s="418"/>
    </row>
    <row r="40" spans="3:28" ht="13" customHeight="1">
      <c r="C40" s="418"/>
    </row>
    <row r="41" spans="3:28" ht="13" customHeight="1">
      <c r="C41" s="504" t="s">
        <v>163</v>
      </c>
      <c r="E41" s="505" t="s">
        <v>33</v>
      </c>
      <c r="F41" s="505" t="s">
        <v>34</v>
      </c>
      <c r="G41" s="505" t="s">
        <v>35</v>
      </c>
      <c r="H41" s="505" t="s">
        <v>36</v>
      </c>
      <c r="I41" s="505" t="s">
        <v>37</v>
      </c>
      <c r="J41" s="505" t="s">
        <v>38</v>
      </c>
      <c r="K41" s="505" t="s">
        <v>39</v>
      </c>
      <c r="L41" s="505" t="s">
        <v>40</v>
      </c>
      <c r="M41" s="505" t="s">
        <v>41</v>
      </c>
      <c r="N41" s="505" t="s">
        <v>42</v>
      </c>
      <c r="O41" s="505" t="s">
        <v>43</v>
      </c>
      <c r="P41" s="505" t="s">
        <v>44</v>
      </c>
      <c r="Q41" s="505" t="s">
        <v>45</v>
      </c>
      <c r="R41" s="505" t="s">
        <v>46</v>
      </c>
      <c r="S41" s="505" t="s">
        <v>47</v>
      </c>
      <c r="T41" s="505" t="s">
        <v>48</v>
      </c>
      <c r="U41" s="505" t="s">
        <v>49</v>
      </c>
      <c r="V41" s="505" t="s">
        <v>50</v>
      </c>
      <c r="W41" s="505" t="s">
        <v>51</v>
      </c>
      <c r="X41" s="505" t="s">
        <v>52</v>
      </c>
      <c r="Y41" s="505" t="s">
        <v>53</v>
      </c>
      <c r="Z41" s="505" t="s">
        <v>54</v>
      </c>
      <c r="AA41" s="505" t="s">
        <v>144</v>
      </c>
      <c r="AB41" s="505" t="s">
        <v>145</v>
      </c>
    </row>
    <row r="42" spans="3:28" ht="13" customHeight="1">
      <c r="C42" s="409" t="s">
        <v>146</v>
      </c>
      <c r="E42" s="422">
        <v>0.97799158592869084</v>
      </c>
      <c r="F42" s="422">
        <v>0.9672329032328878</v>
      </c>
      <c r="G42" s="422">
        <v>0.98198504354841876</v>
      </c>
      <c r="H42" s="422">
        <v>0.98143455887831754</v>
      </c>
      <c r="I42" s="422">
        <v>0.96821421197713653</v>
      </c>
      <c r="J42" s="422">
        <v>0.97187947342947867</v>
      </c>
      <c r="K42" s="422">
        <v>0.97202867678559035</v>
      </c>
      <c r="L42" s="422">
        <v>0.97221995002069028</v>
      </c>
      <c r="M42" s="422">
        <v>0.96411114135716713</v>
      </c>
      <c r="N42" s="422">
        <v>0.97817726314590325</v>
      </c>
      <c r="O42" s="422">
        <v>0.97557513750232483</v>
      </c>
      <c r="P42" s="422">
        <v>0.9765732394591119</v>
      </c>
      <c r="Q42" s="422">
        <v>0.97777466048817974</v>
      </c>
      <c r="R42" s="422">
        <v>0.96803008742825836</v>
      </c>
      <c r="S42" s="422">
        <v>0.97467162395295515</v>
      </c>
      <c r="T42" s="423">
        <v>0.9768677462520291</v>
      </c>
      <c r="U42" s="423">
        <v>0.96583333802188109</v>
      </c>
      <c r="V42" s="423">
        <v>0.97504256388429877</v>
      </c>
      <c r="W42" s="423">
        <v>0.97705767868288995</v>
      </c>
      <c r="X42" s="423">
        <v>0.97382540410846408</v>
      </c>
      <c r="Y42" s="629">
        <v>0.96732190181322864</v>
      </c>
      <c r="Z42" s="629">
        <v>0.97304681879775889</v>
      </c>
    </row>
    <row r="43" spans="3:28" ht="13" customHeight="1">
      <c r="C43" s="409" t="s">
        <v>147</v>
      </c>
      <c r="E43" s="422">
        <v>0.9790995485799826</v>
      </c>
      <c r="F43" s="422">
        <v>0.96625948356301228</v>
      </c>
      <c r="G43" s="422">
        <v>0.97553125404486618</v>
      </c>
      <c r="H43" s="422">
        <v>0.97708643773755333</v>
      </c>
      <c r="I43" s="422">
        <v>0.96920254096599245</v>
      </c>
      <c r="J43" s="422">
        <v>0.96277838220674472</v>
      </c>
      <c r="K43" s="422">
        <v>0.96787157638422117</v>
      </c>
      <c r="L43" s="422">
        <v>0.97414806391322251</v>
      </c>
      <c r="M43" s="422">
        <v>0.96598985437593643</v>
      </c>
      <c r="N43" s="422">
        <v>0.96316018432982486</v>
      </c>
      <c r="O43" s="422">
        <v>0.95334492313782215</v>
      </c>
      <c r="P43" s="422">
        <v>0.96637513296693178</v>
      </c>
      <c r="Q43" s="422">
        <v>0.97531115452316197</v>
      </c>
      <c r="R43" s="422">
        <v>0.94339365527788488</v>
      </c>
      <c r="S43" s="422">
        <v>0.97427569114590584</v>
      </c>
      <c r="T43" s="423">
        <v>0.97644418506103381</v>
      </c>
      <c r="U43" s="423">
        <v>0.96683167431837647</v>
      </c>
      <c r="V43" s="423">
        <v>0.95760378098385235</v>
      </c>
      <c r="W43" s="423">
        <v>0.96734604964724846</v>
      </c>
      <c r="X43" s="423">
        <v>0.97807036793912272</v>
      </c>
      <c r="Y43" s="629">
        <v>0.96976031683713793</v>
      </c>
      <c r="Z43" s="629">
        <v>0.96763086225996353</v>
      </c>
    </row>
    <row r="44" spans="3:28" ht="13" customHeight="1">
      <c r="C44" s="409" t="s">
        <v>148</v>
      </c>
      <c r="E44" s="422">
        <v>0.96965028281772536</v>
      </c>
      <c r="F44" s="422">
        <v>0.97925470087734112</v>
      </c>
      <c r="G44" s="422">
        <v>0.97846185220430537</v>
      </c>
      <c r="H44" s="422">
        <v>0.97679118632067863</v>
      </c>
      <c r="I44" s="422">
        <v>0.98439867405000869</v>
      </c>
      <c r="J44" s="422">
        <v>0.97685336621549601</v>
      </c>
      <c r="K44" s="422">
        <v>0.98526991923647456</v>
      </c>
      <c r="L44" s="422">
        <v>0.97057398085558222</v>
      </c>
      <c r="M44" s="422">
        <v>0.96223212490158938</v>
      </c>
      <c r="N44" s="422">
        <v>0.96633076129100992</v>
      </c>
      <c r="O44" s="422">
        <v>0.96226232076191598</v>
      </c>
      <c r="P44" s="422">
        <v>0.95469245488043541</v>
      </c>
      <c r="Q44" s="422">
        <v>0.9483021819021703</v>
      </c>
      <c r="R44" s="422">
        <v>0.95926710363571333</v>
      </c>
      <c r="S44" s="422">
        <v>0.95929850544371797</v>
      </c>
      <c r="T44" s="423">
        <v>0.96711217095731372</v>
      </c>
      <c r="U44" s="423">
        <v>0.96378138770516464</v>
      </c>
      <c r="V44" s="423">
        <v>0.95640689537559975</v>
      </c>
      <c r="W44" s="423">
        <v>0.94832723089361526</v>
      </c>
      <c r="X44" s="423">
        <v>0.9558988370995295</v>
      </c>
      <c r="Y44" s="629">
        <v>0.93884994317048531</v>
      </c>
      <c r="Z44" s="629">
        <v>0.96595494482366706</v>
      </c>
    </row>
    <row r="45" spans="3:28" ht="13" customHeight="1">
      <c r="C45" s="409" t="s">
        <v>149</v>
      </c>
      <c r="E45" s="422">
        <v>0.96418949373375318</v>
      </c>
      <c r="F45" s="422">
        <v>0.97763626115557256</v>
      </c>
      <c r="G45" s="422">
        <v>0.97822410151973727</v>
      </c>
      <c r="H45" s="422">
        <v>0.97848726780682471</v>
      </c>
      <c r="I45" s="422">
        <v>0.96812276122849916</v>
      </c>
      <c r="J45" s="422">
        <v>0.97848509100920966</v>
      </c>
      <c r="K45" s="422">
        <v>0.98053835653842747</v>
      </c>
      <c r="L45" s="422">
        <v>0.97923269890687703</v>
      </c>
      <c r="M45" s="422">
        <v>0.96656366619234391</v>
      </c>
      <c r="N45" s="422">
        <v>0.97260434442899357</v>
      </c>
      <c r="O45" s="422">
        <v>0.97448622011884656</v>
      </c>
      <c r="P45" s="422">
        <v>0.90942371108554021</v>
      </c>
      <c r="Q45" s="422">
        <v>0.89119186069790157</v>
      </c>
      <c r="R45" s="422">
        <v>0.86897629398502241</v>
      </c>
      <c r="S45" s="422">
        <v>0.92626011695212629</v>
      </c>
      <c r="T45" s="423">
        <v>0.91177994572480758</v>
      </c>
      <c r="U45" s="423">
        <v>0.86106495802443528</v>
      </c>
      <c r="V45" s="423">
        <v>0.8554649584620011</v>
      </c>
      <c r="W45" s="423">
        <v>0.86038894756424056</v>
      </c>
      <c r="X45" s="423">
        <v>0.90212666430071309</v>
      </c>
      <c r="Y45" s="629">
        <v>0.87582340688891669</v>
      </c>
      <c r="Z45" s="629">
        <v>0.88490542775575187</v>
      </c>
    </row>
    <row r="46" spans="3:28" ht="13" customHeight="1">
      <c r="C46" s="409" t="s">
        <v>152</v>
      </c>
      <c r="E46" s="422" t="s">
        <v>162</v>
      </c>
      <c r="F46" s="422" t="s">
        <v>162</v>
      </c>
      <c r="G46" s="422" t="s">
        <v>162</v>
      </c>
      <c r="H46" s="422" t="s">
        <v>162</v>
      </c>
      <c r="I46" s="422" t="s">
        <v>162</v>
      </c>
      <c r="J46" s="422">
        <v>0.95999997854232599</v>
      </c>
      <c r="K46" s="422">
        <v>0.96319943751326098</v>
      </c>
      <c r="L46" s="422">
        <v>0.97710164139417832</v>
      </c>
      <c r="M46" s="422">
        <v>0.93098150362685328</v>
      </c>
      <c r="N46" s="422">
        <v>0.98430100444563162</v>
      </c>
      <c r="O46" s="422">
        <v>0.95905175323204539</v>
      </c>
      <c r="P46" s="422">
        <v>0.96934373152118991</v>
      </c>
      <c r="Q46" s="422">
        <v>0.96037239741857949</v>
      </c>
      <c r="R46" s="422">
        <v>0.96627237815940636</v>
      </c>
      <c r="S46" s="422">
        <v>0.97042306378860155</v>
      </c>
      <c r="T46" s="423">
        <v>0.97250002622604703</v>
      </c>
      <c r="U46" s="423">
        <v>0.96466466814448071</v>
      </c>
      <c r="V46" s="423">
        <v>0.97250002622603449</v>
      </c>
      <c r="W46" s="423">
        <v>0.9673314978697497</v>
      </c>
      <c r="X46" s="423">
        <v>0.97135829649720695</v>
      </c>
      <c r="Y46" s="629">
        <v>0.97160154360626216</v>
      </c>
      <c r="Z46" s="629">
        <v>0.96956398841869074</v>
      </c>
    </row>
    <row r="47" spans="3:28" ht="13" customHeight="1">
      <c r="C47" s="409" t="s">
        <v>150</v>
      </c>
      <c r="E47" s="422">
        <v>0.98130253094771491</v>
      </c>
      <c r="F47" s="422">
        <v>0.97980329630598306</v>
      </c>
      <c r="G47" s="422">
        <v>0.98387636075787932</v>
      </c>
      <c r="H47" s="422">
        <v>0.99227141387455631</v>
      </c>
      <c r="I47" s="422">
        <v>0.9641960550998574</v>
      </c>
      <c r="J47" s="422">
        <v>0.98322159155924516</v>
      </c>
      <c r="K47" s="422">
        <v>0.98157002482576328</v>
      </c>
      <c r="L47" s="422">
        <v>0.98966197762616759</v>
      </c>
      <c r="M47" s="422">
        <v>0.97927663121792752</v>
      </c>
      <c r="N47" s="422">
        <v>0.98264232590501033</v>
      </c>
      <c r="O47" s="422">
        <v>0.96912052121253045</v>
      </c>
      <c r="P47" s="422">
        <v>0.97706109001867159</v>
      </c>
      <c r="Q47" s="422">
        <v>0.97193704214580268</v>
      </c>
      <c r="R47" s="422">
        <v>0.97289094862731351</v>
      </c>
      <c r="S47" s="422">
        <v>0.97566762980504562</v>
      </c>
      <c r="T47" s="423">
        <v>0.98042468274148753</v>
      </c>
      <c r="U47" s="423">
        <v>0.9665694025771504</v>
      </c>
      <c r="V47" s="423">
        <v>0.96912114523438753</v>
      </c>
      <c r="W47" s="423">
        <v>0.96894283731419872</v>
      </c>
      <c r="X47" s="423">
        <v>0.97955959771525014</v>
      </c>
      <c r="Y47" s="629">
        <v>0.97548069157313888</v>
      </c>
      <c r="Z47" s="629">
        <v>0.97495614420938104</v>
      </c>
    </row>
    <row r="48" spans="3:28" ht="13" customHeight="1">
      <c r="C48" s="409" t="s">
        <v>151</v>
      </c>
      <c r="E48" s="422">
        <v>0.97647142460610725</v>
      </c>
      <c r="F48" s="422">
        <v>0.97780863053078926</v>
      </c>
      <c r="G48" s="422">
        <v>0.98239579956364764</v>
      </c>
      <c r="H48" s="422">
        <v>0.97862464692437956</v>
      </c>
      <c r="I48" s="422">
        <v>0.96848611740617052</v>
      </c>
      <c r="J48" s="422">
        <v>0.97902056961892592</v>
      </c>
      <c r="K48" s="422">
        <v>0.98568881674313213</v>
      </c>
      <c r="L48" s="422">
        <v>0.98518529815718825</v>
      </c>
      <c r="M48" s="422">
        <v>0.9716110093109116</v>
      </c>
      <c r="N48" s="422">
        <v>0.96992871233139288</v>
      </c>
      <c r="O48" s="422">
        <v>0.96173712201805783</v>
      </c>
      <c r="P48" s="422">
        <v>0.95436106039036628</v>
      </c>
      <c r="Q48" s="422">
        <v>0.95973844823453491</v>
      </c>
      <c r="R48" s="422">
        <v>0.96877526666670621</v>
      </c>
      <c r="S48" s="422">
        <v>0.97224629728822221</v>
      </c>
      <c r="T48" s="423">
        <v>0.97118834593145864</v>
      </c>
      <c r="U48" s="423">
        <v>0.96869532452276419</v>
      </c>
      <c r="V48" s="423">
        <v>0.97006867611849301</v>
      </c>
      <c r="W48" s="423">
        <v>0.97026873889232101</v>
      </c>
      <c r="X48" s="423">
        <v>0.97165535917414536</v>
      </c>
      <c r="Y48" s="629">
        <v>0.97106095789143698</v>
      </c>
      <c r="Z48" s="629">
        <v>0.97084851165280961</v>
      </c>
    </row>
    <row r="49" spans="3:32" ht="13" customHeight="1">
      <c r="C49" s="409" t="s">
        <v>153</v>
      </c>
      <c r="E49" s="422" t="s">
        <v>162</v>
      </c>
      <c r="F49" s="422" t="s">
        <v>162</v>
      </c>
      <c r="G49" s="422" t="s">
        <v>162</v>
      </c>
      <c r="H49" s="422" t="s">
        <v>162</v>
      </c>
      <c r="I49" s="422" t="s">
        <v>162</v>
      </c>
      <c r="J49" s="422"/>
      <c r="K49" s="422">
        <v>0.93221710920877887</v>
      </c>
      <c r="L49" s="422">
        <v>0.95008515672580851</v>
      </c>
      <c r="M49" s="422">
        <v>0.92738995904652888</v>
      </c>
      <c r="N49" s="422">
        <v>0.95883570579448085</v>
      </c>
      <c r="O49" s="422">
        <v>0.95138657772794077</v>
      </c>
      <c r="P49" s="422">
        <v>0.96935938514777165</v>
      </c>
      <c r="Q49" s="422">
        <v>0.96112690424258584</v>
      </c>
      <c r="R49" s="422">
        <v>0.96746907775687341</v>
      </c>
      <c r="S49" s="422">
        <v>0.9725000262260437</v>
      </c>
      <c r="T49" s="423">
        <v>0.97245205457467243</v>
      </c>
      <c r="U49" s="423">
        <v>0.95917897747610814</v>
      </c>
      <c r="V49" s="423">
        <v>0.97021793491692876</v>
      </c>
      <c r="W49" s="423">
        <v>0.96713374185669676</v>
      </c>
      <c r="X49" s="423">
        <v>0.97147893865163915</v>
      </c>
      <c r="Y49" s="629">
        <v>0.97160592268811985</v>
      </c>
      <c r="Z49" s="629">
        <v>0.96941087237085188</v>
      </c>
    </row>
    <row r="50" spans="3:32" ht="13" customHeight="1">
      <c r="C50" s="409" t="s">
        <v>154</v>
      </c>
      <c r="E50" s="422" t="s">
        <v>162</v>
      </c>
      <c r="F50" s="422" t="s">
        <v>162</v>
      </c>
      <c r="G50" s="422" t="s">
        <v>162</v>
      </c>
      <c r="H50" s="422" t="s">
        <v>162</v>
      </c>
      <c r="I50" s="422" t="s">
        <v>162</v>
      </c>
      <c r="J50" s="422" t="s">
        <v>162</v>
      </c>
      <c r="K50" s="422">
        <v>0.93699865149103589</v>
      </c>
      <c r="L50" s="422">
        <v>0.94714590987718872</v>
      </c>
      <c r="M50" s="422">
        <v>0.93899722627161419</v>
      </c>
      <c r="N50" s="422">
        <v>0.95977117081653174</v>
      </c>
      <c r="O50" s="422">
        <v>0.9511092551063135</v>
      </c>
      <c r="P50" s="422">
        <v>0.96930386520815803</v>
      </c>
      <c r="Q50" s="422">
        <v>0.96170475541184886</v>
      </c>
      <c r="R50" s="422">
        <v>0.9658466169044142</v>
      </c>
      <c r="S50" s="422">
        <v>0.97182872296398326</v>
      </c>
      <c r="T50" s="423">
        <v>0.97641948909212628</v>
      </c>
      <c r="U50" s="423">
        <v>0.95749649666873116</v>
      </c>
      <c r="V50" s="423">
        <v>0.97128669788737609</v>
      </c>
      <c r="W50" s="423">
        <v>0.96710463022698989</v>
      </c>
      <c r="X50" s="423">
        <v>0.97132161227425629</v>
      </c>
      <c r="Y50" s="629">
        <v>0.97155305777279799</v>
      </c>
      <c r="Z50" s="629">
        <v>0.96935084878354361</v>
      </c>
    </row>
    <row r="51" spans="3:32" ht="13" customHeight="1">
      <c r="C51" s="409" t="s">
        <v>155</v>
      </c>
      <c r="E51" s="422" t="s">
        <v>162</v>
      </c>
      <c r="F51" s="422" t="s">
        <v>162</v>
      </c>
      <c r="G51" s="422" t="s">
        <v>162</v>
      </c>
      <c r="H51" s="422" t="s">
        <v>162</v>
      </c>
      <c r="I51" s="422" t="s">
        <v>162</v>
      </c>
      <c r="J51" s="422" t="s">
        <v>162</v>
      </c>
      <c r="K51" s="422" t="s">
        <v>162</v>
      </c>
      <c r="L51" s="422" t="s">
        <v>162</v>
      </c>
      <c r="M51" s="422" t="s">
        <v>162</v>
      </c>
      <c r="N51" s="422" t="s">
        <v>162</v>
      </c>
      <c r="O51" s="422" t="s">
        <v>162</v>
      </c>
      <c r="P51" s="422" t="s">
        <v>162</v>
      </c>
      <c r="Q51" s="422">
        <v>0.91216339979985905</v>
      </c>
      <c r="R51" s="422">
        <v>0.97452758600113998</v>
      </c>
      <c r="S51" s="422">
        <v>0.98293987131847826</v>
      </c>
      <c r="T51" s="423">
        <v>0.98318349048883225</v>
      </c>
      <c r="U51" s="423">
        <v>0.94820735637028819</v>
      </c>
      <c r="V51" s="423">
        <v>0.98829927893344882</v>
      </c>
      <c r="W51" s="423">
        <v>0.97877875520254654</v>
      </c>
      <c r="X51" s="423">
        <v>0.99148620040479751</v>
      </c>
      <c r="Y51" s="629">
        <v>0.98575181822622659</v>
      </c>
      <c r="Z51" s="629">
        <v>0.98349681748069262</v>
      </c>
    </row>
    <row r="52" spans="3:32" ht="13" customHeight="1">
      <c r="C52" s="409" t="s">
        <v>156</v>
      </c>
      <c r="E52" s="422" t="s">
        <v>162</v>
      </c>
      <c r="F52" s="422" t="s">
        <v>162</v>
      </c>
      <c r="G52" s="422" t="s">
        <v>162</v>
      </c>
      <c r="H52" s="422" t="s">
        <v>162</v>
      </c>
      <c r="I52" s="422" t="s">
        <v>162</v>
      </c>
      <c r="J52" s="422" t="s">
        <v>162</v>
      </c>
      <c r="K52" s="422" t="s">
        <v>162</v>
      </c>
      <c r="L52" s="422" t="s">
        <v>162</v>
      </c>
      <c r="M52" s="422" t="s">
        <v>162</v>
      </c>
      <c r="N52" s="422" t="s">
        <v>162</v>
      </c>
      <c r="O52" s="422" t="s">
        <v>162</v>
      </c>
      <c r="P52" s="422" t="s">
        <v>162</v>
      </c>
      <c r="Q52" s="422">
        <v>0.92482285549640897</v>
      </c>
      <c r="R52" s="422">
        <v>0.97397740683310541</v>
      </c>
      <c r="S52" s="422">
        <v>0.97972293629372664</v>
      </c>
      <c r="T52" s="423">
        <v>0.99102960081930247</v>
      </c>
      <c r="U52" s="423">
        <v>0.92762144127080037</v>
      </c>
      <c r="V52" s="423">
        <v>0.98539738243673092</v>
      </c>
      <c r="W52" s="423">
        <v>0.97541919819927336</v>
      </c>
      <c r="X52" s="423">
        <v>0.98659707491262105</v>
      </c>
      <c r="Y52" s="629">
        <v>0.99056809732166062</v>
      </c>
      <c r="Z52" s="629">
        <v>0.98209197742615484</v>
      </c>
    </row>
    <row r="53" spans="3:32" ht="13" customHeight="1">
      <c r="C53" s="409" t="s">
        <v>157</v>
      </c>
      <c r="E53" s="422" t="s">
        <v>162</v>
      </c>
      <c r="F53" s="422" t="s">
        <v>162</v>
      </c>
      <c r="G53" s="422" t="s">
        <v>162</v>
      </c>
      <c r="H53" s="422" t="s">
        <v>162</v>
      </c>
      <c r="I53" s="422" t="s">
        <v>162</v>
      </c>
      <c r="J53" s="422" t="s">
        <v>162</v>
      </c>
      <c r="K53" s="422" t="s">
        <v>162</v>
      </c>
      <c r="L53" s="422" t="s">
        <v>162</v>
      </c>
      <c r="M53" s="422" t="s">
        <v>162</v>
      </c>
      <c r="N53" s="422" t="s">
        <v>162</v>
      </c>
      <c r="O53" s="422" t="s">
        <v>162</v>
      </c>
      <c r="P53" s="422" t="s">
        <v>162</v>
      </c>
      <c r="Q53" s="422">
        <v>0.92279154105358996</v>
      </c>
      <c r="R53" s="422">
        <v>0.98111897523902292</v>
      </c>
      <c r="S53" s="422">
        <v>0.9825868283110295</v>
      </c>
      <c r="T53" s="423">
        <v>0.98581978294786754</v>
      </c>
      <c r="U53" s="423">
        <v>0.96922557662139641</v>
      </c>
      <c r="V53" s="423">
        <v>0.98574310411753596</v>
      </c>
      <c r="W53" s="423">
        <v>0.9703140880713147</v>
      </c>
      <c r="X53" s="423">
        <v>0.94276790967981183</v>
      </c>
      <c r="Y53" s="629">
        <v>0.97895750128363113</v>
      </c>
      <c r="Z53" s="629">
        <v>0.96519030067569678</v>
      </c>
    </row>
    <row r="54" spans="3:32" ht="13" customHeight="1">
      <c r="C54" s="416" t="s">
        <v>160</v>
      </c>
      <c r="E54" s="424">
        <v>0.97550773045111328</v>
      </c>
      <c r="F54" s="424">
        <v>0.97405229150790618</v>
      </c>
      <c r="G54" s="424">
        <v>0.97997612194881001</v>
      </c>
      <c r="H54" s="424">
        <v>0.98075175302209572</v>
      </c>
      <c r="I54" s="424">
        <v>0.96961589390540137</v>
      </c>
      <c r="J54" s="424">
        <v>0.97431594594005455</v>
      </c>
      <c r="K54" s="424">
        <v>0.9696561886258358</v>
      </c>
      <c r="L54" s="424">
        <v>0.97171611208963005</v>
      </c>
      <c r="M54" s="424">
        <v>0.95685722604914303</v>
      </c>
      <c r="N54" s="424">
        <v>0.97201183311077355</v>
      </c>
      <c r="O54" s="424">
        <v>0.96379438048465538</v>
      </c>
      <c r="P54" s="424">
        <v>0.96326806687238509</v>
      </c>
      <c r="Q54" s="424">
        <v>0.95820907555034607</v>
      </c>
      <c r="R54" s="424">
        <v>0.95343989796805384</v>
      </c>
      <c r="S54" s="424">
        <v>0.96756304020045236</v>
      </c>
      <c r="T54" s="424">
        <v>0.9713040153262108</v>
      </c>
      <c r="U54" s="424">
        <v>0.95085861744637301</v>
      </c>
      <c r="V54" s="424">
        <v>0.95758232392234843</v>
      </c>
      <c r="W54" s="424">
        <v>0.95523794343693003</v>
      </c>
      <c r="X54" s="424">
        <v>0.96646864088632534</v>
      </c>
      <c r="Y54" s="424">
        <v>0.96123098217912206</v>
      </c>
      <c r="Z54" s="424">
        <v>0.96178425068514151</v>
      </c>
      <c r="AA54" s="424"/>
      <c r="AB54" s="424"/>
    </row>
    <row r="55" spans="3:32" ht="13" customHeight="1">
      <c r="C55" s="418"/>
    </row>
    <row r="56" spans="3:32" ht="13" customHeight="1">
      <c r="C56" s="418"/>
    </row>
    <row r="57" spans="3:32" ht="13" customHeight="1">
      <c r="C57" s="504" t="s">
        <v>164</v>
      </c>
      <c r="E57" s="605">
        <v>44562</v>
      </c>
      <c r="F57" s="605">
        <v>44593</v>
      </c>
      <c r="G57" s="605">
        <v>44621</v>
      </c>
      <c r="H57" s="605">
        <v>44652</v>
      </c>
      <c r="I57" s="605">
        <v>44682</v>
      </c>
      <c r="J57" s="605">
        <v>44713</v>
      </c>
      <c r="K57" s="605">
        <v>44743</v>
      </c>
      <c r="L57" s="605">
        <v>44774</v>
      </c>
      <c r="M57" s="605">
        <v>44805</v>
      </c>
      <c r="N57" s="605">
        <v>44835</v>
      </c>
      <c r="O57" s="605">
        <v>44866</v>
      </c>
      <c r="P57" s="605">
        <v>44896</v>
      </c>
      <c r="Q57" s="605">
        <v>44927</v>
      </c>
      <c r="R57" s="605">
        <v>44958</v>
      </c>
      <c r="S57" s="605">
        <v>44986</v>
      </c>
      <c r="T57" s="605">
        <v>45017</v>
      </c>
      <c r="U57" s="605">
        <v>45047</v>
      </c>
      <c r="V57" s="605">
        <v>45078</v>
      </c>
      <c r="W57" s="605">
        <v>45108</v>
      </c>
      <c r="X57" s="605">
        <v>45139</v>
      </c>
      <c r="Y57" s="605">
        <v>45170</v>
      </c>
      <c r="Z57" s="605">
        <v>45200</v>
      </c>
      <c r="AA57" s="605">
        <v>45231</v>
      </c>
      <c r="AB57" s="605">
        <v>45261</v>
      </c>
      <c r="AF57" s="411"/>
    </row>
    <row r="58" spans="3:32" ht="13" customHeight="1">
      <c r="C58" s="409" t="s">
        <v>165</v>
      </c>
      <c r="E58" s="160">
        <v>414.7539220927419</v>
      </c>
      <c r="F58" s="160">
        <v>495.34211916964279</v>
      </c>
      <c r="G58" s="160">
        <v>393.03134037231177</v>
      </c>
      <c r="H58" s="160">
        <v>376.40433306388894</v>
      </c>
      <c r="I58" s="160">
        <v>411.24216129569891</v>
      </c>
      <c r="J58" s="160">
        <v>369.36195413749988</v>
      </c>
      <c r="K58" s="160">
        <v>588.500619701613</v>
      </c>
      <c r="L58" s="160">
        <v>646.32427091129034</v>
      </c>
      <c r="M58" s="160">
        <v>717.96463445972233</v>
      </c>
      <c r="N58" s="160">
        <v>734.2143398548385</v>
      </c>
      <c r="O58" s="160">
        <v>525.43207133888893</v>
      </c>
      <c r="P58" s="160">
        <v>585.08226263037636</v>
      </c>
      <c r="Q58" s="160">
        <v>539.59135634274196</v>
      </c>
      <c r="R58" s="160">
        <v>552.36503407738098</v>
      </c>
      <c r="S58" s="160">
        <v>412.98926172043002</v>
      </c>
      <c r="T58" s="160">
        <v>317.50675644722224</v>
      </c>
      <c r="U58" s="160">
        <v>420.29784243817215</v>
      </c>
      <c r="V58" s="160">
        <v>494.36634963611112</v>
      </c>
      <c r="W58" s="160">
        <v>595.29569514247316</v>
      </c>
      <c r="X58" s="160">
        <v>540.80751848387115</v>
      </c>
      <c r="Y58" s="160">
        <v>477.23738884027767</v>
      </c>
      <c r="Z58" s="160">
        <v>591.8187849422045</v>
      </c>
      <c r="AA58" s="160">
        <v>548.21140963055575</v>
      </c>
      <c r="AB58" s="160">
        <v>524.11032669220435</v>
      </c>
    </row>
    <row r="59" spans="3:32" ht="13" customHeight="1">
      <c r="C59" s="409" t="s">
        <v>166</v>
      </c>
      <c r="E59" s="160">
        <v>529.04114555090473</v>
      </c>
      <c r="F59" s="160">
        <v>472.8400620181452</v>
      </c>
      <c r="G59" s="160">
        <v>417.08037486428225</v>
      </c>
      <c r="H59" s="160">
        <v>401.03392701342932</v>
      </c>
      <c r="I59" s="160">
        <v>454.47165206558435</v>
      </c>
      <c r="J59" s="160">
        <v>524.65775939984098</v>
      </c>
      <c r="K59" s="160">
        <v>583.74242593653264</v>
      </c>
      <c r="L59" s="160">
        <v>655.91080936519722</v>
      </c>
      <c r="M59" s="160">
        <v>704.55954062381488</v>
      </c>
      <c r="N59" s="160">
        <v>699.21241560125043</v>
      </c>
      <c r="O59" s="160">
        <v>680.47023759154365</v>
      </c>
      <c r="P59" s="160">
        <v>609.72282644812105</v>
      </c>
      <c r="Q59" s="160">
        <v>508.9051953054755</v>
      </c>
      <c r="R59" s="160">
        <v>464.15945393445583</v>
      </c>
      <c r="S59" s="160">
        <v>397.54087209446124</v>
      </c>
      <c r="T59" s="160">
        <v>383.55842183856089</v>
      </c>
      <c r="U59" s="160">
        <v>443.34722601397203</v>
      </c>
      <c r="V59" s="160">
        <v>514.21404994902059</v>
      </c>
      <c r="W59" s="160">
        <v>594.89522866044615</v>
      </c>
      <c r="X59" s="160">
        <v>667.9649731208134</v>
      </c>
      <c r="Y59" s="160">
        <v>711.80093680139851</v>
      </c>
      <c r="Z59" s="160">
        <v>701.64679431129616</v>
      </c>
      <c r="AA59" s="160">
        <v>663.56383932739629</v>
      </c>
      <c r="AB59" s="160">
        <v>608.67725723372621</v>
      </c>
    </row>
    <row r="60" spans="3:32" ht="13" customHeight="1">
      <c r="C60" s="409" t="s">
        <v>167</v>
      </c>
      <c r="E60" s="160">
        <v>598.61234073421372</v>
      </c>
      <c r="F60" s="160">
        <v>534.9461742354199</v>
      </c>
      <c r="G60" s="160">
        <v>471.54135952509984</v>
      </c>
      <c r="H60" s="160">
        <v>453.52376698428583</v>
      </c>
      <c r="I60" s="160">
        <v>514.48737355578726</v>
      </c>
      <c r="J60" s="160">
        <v>593.97587938167521</v>
      </c>
      <c r="K60" s="160">
        <v>661.36566409584123</v>
      </c>
      <c r="L60" s="160">
        <v>743.44596902938997</v>
      </c>
      <c r="M60" s="160">
        <v>798.19206893365674</v>
      </c>
      <c r="N60" s="160">
        <v>792.008254184968</v>
      </c>
      <c r="O60" s="160">
        <v>770.46573202932632</v>
      </c>
      <c r="P60" s="160">
        <v>690.38524667567242</v>
      </c>
      <c r="Q60" s="160">
        <v>579.23699526858979</v>
      </c>
      <c r="R60" s="160">
        <v>528.15828786010013</v>
      </c>
      <c r="S60" s="160">
        <v>452.16709679030873</v>
      </c>
      <c r="T60" s="160">
        <v>436.21754480924159</v>
      </c>
      <c r="U60" s="160">
        <v>504.54849297669671</v>
      </c>
      <c r="V60" s="160">
        <v>585.24586301626596</v>
      </c>
      <c r="W60" s="160">
        <v>677.32783125334811</v>
      </c>
      <c r="X60" s="160">
        <v>760.81520139992199</v>
      </c>
      <c r="Y60" s="160">
        <v>810.70893159566606</v>
      </c>
      <c r="Z60" s="160">
        <v>798.98382612174612</v>
      </c>
      <c r="AA60" s="160">
        <v>755.50947142295809</v>
      </c>
      <c r="AB60" s="160">
        <v>693.00582410093205</v>
      </c>
    </row>
    <row r="61" spans="3:32" ht="13" customHeight="1">
      <c r="C61" s="409" t="s">
        <v>168</v>
      </c>
      <c r="E61" s="160">
        <v>668.18353591752282</v>
      </c>
      <c r="F61" s="160">
        <v>597.05228645269472</v>
      </c>
      <c r="G61" s="160">
        <v>526.00234418591731</v>
      </c>
      <c r="H61" s="160">
        <v>506.01360695514245</v>
      </c>
      <c r="I61" s="160">
        <v>574.50309504599068</v>
      </c>
      <c r="J61" s="160">
        <v>663.29399936350944</v>
      </c>
      <c r="K61" s="160">
        <v>738.9889022551497</v>
      </c>
      <c r="L61" s="160">
        <v>830.98112869358272</v>
      </c>
      <c r="M61" s="160">
        <v>891.82459724349837</v>
      </c>
      <c r="N61" s="160">
        <v>884.80409276868579</v>
      </c>
      <c r="O61" s="160">
        <v>860.4612264671091</v>
      </c>
      <c r="P61" s="160">
        <v>771.04766690322401</v>
      </c>
      <c r="Q61" s="160">
        <v>649.6</v>
      </c>
      <c r="R61" s="160">
        <v>592.20000000000005</v>
      </c>
      <c r="S61" s="160">
        <v>506.8</v>
      </c>
      <c r="T61" s="160">
        <v>488.9</v>
      </c>
      <c r="U61" s="160">
        <v>565.70000000000005</v>
      </c>
      <c r="V61" s="160">
        <v>656.3</v>
      </c>
      <c r="W61" s="160">
        <v>759.8</v>
      </c>
      <c r="X61" s="160">
        <v>853.7</v>
      </c>
      <c r="Y61" s="160">
        <v>909.6</v>
      </c>
      <c r="Z61" s="160">
        <v>896.3</v>
      </c>
      <c r="AA61" s="160">
        <v>847.5</v>
      </c>
      <c r="AB61" s="160">
        <v>777.3</v>
      </c>
    </row>
    <row r="62" spans="3:32" ht="13" customHeight="1">
      <c r="C62" s="409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  <c r="AE62" s="160"/>
    </row>
    <row r="63" spans="3:32" ht="13" customHeight="1">
      <c r="C63" s="409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</row>
    <row r="64" spans="3:32" ht="13" customHeight="1">
      <c r="C64" s="504" t="s">
        <v>164</v>
      </c>
      <c r="E64" s="605">
        <v>45292</v>
      </c>
      <c r="F64" s="605">
        <v>45323</v>
      </c>
      <c r="G64" s="605">
        <v>45352</v>
      </c>
      <c r="H64" s="605">
        <v>45383</v>
      </c>
      <c r="I64" s="605">
        <v>45413</v>
      </c>
      <c r="J64" s="605">
        <v>45444</v>
      </c>
      <c r="K64" s="505" t="s">
        <v>169</v>
      </c>
      <c r="M64" s="709"/>
      <c r="N64" s="709"/>
      <c r="O64" s="709"/>
      <c r="P64" s="709"/>
      <c r="Q64" s="160"/>
      <c r="R64" s="160"/>
      <c r="S64" s="160"/>
    </row>
    <row r="65" spans="3:28" ht="13" customHeight="1">
      <c r="C65" s="409" t="s">
        <v>165</v>
      </c>
      <c r="E65" s="160">
        <v>433.59416974596775</v>
      </c>
      <c r="F65" s="160">
        <v>383.04737453448291</v>
      </c>
      <c r="G65" s="160">
        <v>306.37314528444534</v>
      </c>
      <c r="H65" s="160">
        <v>281.46120538750006</v>
      </c>
      <c r="I65" s="160">
        <v>447.58384674059147</v>
      </c>
      <c r="J65" s="160">
        <v>453.75722404729089</v>
      </c>
      <c r="K65" s="160">
        <f>AVERAGE(E65:J65,W58:AB58)</f>
        <v>465.27484078932213</v>
      </c>
      <c r="M65" s="160"/>
      <c r="N65" s="160"/>
      <c r="O65" s="160"/>
      <c r="P65" s="160"/>
      <c r="Q65" s="160"/>
      <c r="R65" s="160"/>
      <c r="S65" s="160"/>
    </row>
    <row r="66" spans="3:28" ht="13" customHeight="1">
      <c r="C66" s="409" t="s">
        <v>166</v>
      </c>
      <c r="E66" s="160">
        <v>508.9051953054755</v>
      </c>
      <c r="F66" s="160">
        <v>448.1539555229229</v>
      </c>
      <c r="G66" s="160">
        <v>397.54087209446124</v>
      </c>
      <c r="H66" s="160">
        <v>412.62145812008856</v>
      </c>
      <c r="I66" s="160">
        <v>507.80146900349155</v>
      </c>
      <c r="J66" s="160">
        <v>580.12972778954997</v>
      </c>
      <c r="K66" s="160">
        <f t="shared" ref="K66:K68" si="1">AVERAGE(E66:J66,W59:AB59)</f>
        <v>566.97514227425552</v>
      </c>
      <c r="M66" s="160"/>
      <c r="N66" s="160"/>
      <c r="O66" s="160"/>
      <c r="P66" s="160"/>
      <c r="Q66" s="160"/>
      <c r="R66" s="160"/>
      <c r="S66" s="160"/>
    </row>
    <row r="67" spans="3:28" ht="13" customHeight="1">
      <c r="C67" s="409" t="s">
        <v>167</v>
      </c>
      <c r="E67" s="160">
        <v>579.23699526858979</v>
      </c>
      <c r="F67" s="160">
        <v>509.94593310630353</v>
      </c>
      <c r="G67" s="160">
        <v>452.16709679030873</v>
      </c>
      <c r="H67" s="160">
        <v>468.67465629069005</v>
      </c>
      <c r="I67" s="160">
        <v>576.52991060384113</v>
      </c>
      <c r="J67" s="160">
        <v>658.85938647460932</v>
      </c>
      <c r="K67" s="160">
        <f t="shared" si="1"/>
        <v>645.14708870240963</v>
      </c>
      <c r="M67" s="160"/>
      <c r="N67" s="160"/>
      <c r="O67" s="160"/>
      <c r="P67" s="160"/>
      <c r="Q67" s="160"/>
      <c r="R67" s="160"/>
      <c r="S67" s="160"/>
    </row>
    <row r="68" spans="3:28" ht="13" customHeight="1">
      <c r="C68" s="409" t="s">
        <v>168</v>
      </c>
      <c r="E68" s="160">
        <v>649.6</v>
      </c>
      <c r="F68" s="160">
        <v>571.70000000000005</v>
      </c>
      <c r="G68" s="160">
        <v>506.8</v>
      </c>
      <c r="H68" s="160">
        <v>524.7278544612916</v>
      </c>
      <c r="I68" s="160">
        <v>645.25835220419071</v>
      </c>
      <c r="J68" s="160">
        <v>737.58904515966867</v>
      </c>
      <c r="K68" s="160">
        <f t="shared" si="1"/>
        <v>723.3229376520959</v>
      </c>
      <c r="M68" s="160"/>
      <c r="N68" s="160"/>
      <c r="O68" s="160"/>
      <c r="P68" s="160"/>
      <c r="Q68" s="160"/>
      <c r="R68" s="160"/>
      <c r="S68" s="160"/>
    </row>
    <row r="69" spans="3:28" ht="13" customHeight="1">
      <c r="C69" s="409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</row>
    <row r="70" spans="3:28" ht="13" customHeight="1">
      <c r="C70" s="409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</row>
    <row r="71" spans="3:28" ht="13" customHeight="1">
      <c r="C71" s="504" t="s">
        <v>170</v>
      </c>
      <c r="E71" s="505" t="s">
        <v>171</v>
      </c>
      <c r="F71" s="505" t="s">
        <v>172</v>
      </c>
      <c r="G71" s="505" t="s">
        <v>173</v>
      </c>
      <c r="H71" s="505" t="s">
        <v>174</v>
      </c>
      <c r="I71" s="505" t="s">
        <v>175</v>
      </c>
      <c r="J71" s="505" t="s">
        <v>176</v>
      </c>
      <c r="K71" s="505" t="s">
        <v>177</v>
      </c>
      <c r="L71" s="505" t="s">
        <v>178</v>
      </c>
      <c r="M71" s="505" t="s">
        <v>179</v>
      </c>
      <c r="N71" s="505" t="s">
        <v>180</v>
      </c>
      <c r="O71" s="505" t="s">
        <v>181</v>
      </c>
      <c r="P71" s="505" t="s">
        <v>182</v>
      </c>
      <c r="Q71" s="505" t="s">
        <v>183</v>
      </c>
      <c r="R71" s="505"/>
      <c r="S71" s="505"/>
      <c r="T71" s="505"/>
      <c r="U71" s="505"/>
      <c r="V71" s="505"/>
      <c r="W71" s="505"/>
      <c r="X71" s="505"/>
      <c r="Y71" s="505"/>
      <c r="Z71" s="505"/>
      <c r="AA71" s="505"/>
      <c r="AB71" s="505"/>
    </row>
    <row r="72" spans="3:28" ht="13" customHeight="1">
      <c r="C72" s="409">
        <v>2017</v>
      </c>
      <c r="E72" s="160">
        <v>277.4513669354838</v>
      </c>
      <c r="F72" s="160">
        <v>277.86424255952386</v>
      </c>
      <c r="G72" s="160">
        <v>277.4513669354838</v>
      </c>
      <c r="H72" s="160">
        <v>277.45136666666662</v>
      </c>
      <c r="I72" s="160">
        <v>277.4513669354838</v>
      </c>
      <c r="J72" s="160">
        <v>277.45136666666662</v>
      </c>
      <c r="K72" s="160">
        <v>277.4513669354838</v>
      </c>
      <c r="L72" s="160">
        <v>298.55136693548383</v>
      </c>
      <c r="M72" s="160">
        <v>298.55136666666664</v>
      </c>
      <c r="N72" s="160">
        <v>314.28403629032255</v>
      </c>
      <c r="O72" s="160">
        <v>315.66587499999997</v>
      </c>
      <c r="P72" s="160">
        <v>314.70179973118275</v>
      </c>
      <c r="Q72" s="160">
        <v>290.36057402153733</v>
      </c>
      <c r="R72" s="160"/>
      <c r="S72" s="160"/>
    </row>
    <row r="73" spans="3:28" ht="13" customHeight="1">
      <c r="C73" s="409">
        <v>2018</v>
      </c>
      <c r="E73" s="160">
        <v>325.24136962365594</v>
      </c>
      <c r="F73" s="160">
        <v>348.45912946428564</v>
      </c>
      <c r="G73" s="160">
        <v>347.94136962365599</v>
      </c>
      <c r="H73" s="160">
        <v>318.0182916666667</v>
      </c>
      <c r="I73" s="160">
        <v>318.0182916666667</v>
      </c>
      <c r="J73" s="160">
        <v>318.0182916666667</v>
      </c>
      <c r="K73" s="160">
        <v>318.0182916666667</v>
      </c>
      <c r="L73" s="160">
        <v>318.0182916666667</v>
      </c>
      <c r="M73" s="160">
        <v>327.71829166666669</v>
      </c>
      <c r="N73" s="160">
        <v>327.47162768817208</v>
      </c>
      <c r="O73" s="160">
        <v>342.79676388888885</v>
      </c>
      <c r="P73" s="160">
        <v>343.0182916666667</v>
      </c>
      <c r="Q73" s="160">
        <v>329.39485849627715</v>
      </c>
      <c r="R73" s="160"/>
      <c r="S73" s="160"/>
    </row>
    <row r="74" spans="3:28" ht="13" customHeight="1">
      <c r="C74" s="409">
        <v>2019</v>
      </c>
      <c r="E74" s="160">
        <v>350.40000000000003</v>
      </c>
      <c r="F74" s="160">
        <v>350.92142857142858</v>
      </c>
      <c r="G74" s="160">
        <v>350.40000000000003</v>
      </c>
      <c r="H74" s="160">
        <v>350.40000000000003</v>
      </c>
      <c r="I74" s="160">
        <v>350.40000000000003</v>
      </c>
      <c r="J74" s="160">
        <v>350.40000000000003</v>
      </c>
      <c r="K74" s="160">
        <v>350.40000000000003</v>
      </c>
      <c r="L74" s="160">
        <v>350.40000000000003</v>
      </c>
      <c r="M74" s="160">
        <v>350.40000000000003</v>
      </c>
      <c r="N74" s="160">
        <v>350.40000000000003</v>
      </c>
      <c r="O74" s="160">
        <v>350.40000000000003</v>
      </c>
      <c r="P74" s="160">
        <v>350.40000000000003</v>
      </c>
      <c r="Q74" s="160">
        <v>350.44345238095246</v>
      </c>
      <c r="R74" s="160"/>
      <c r="S74" s="160"/>
    </row>
    <row r="75" spans="3:28" ht="13" customHeight="1">
      <c r="C75" s="409">
        <v>2020</v>
      </c>
      <c r="E75" s="160">
        <v>350.19072983870973</v>
      </c>
      <c r="F75" s="160">
        <v>369.89029741379312</v>
      </c>
      <c r="G75" s="160">
        <v>413.82531451612908</v>
      </c>
      <c r="H75" s="160">
        <v>444.28699583333344</v>
      </c>
      <c r="I75" s="160">
        <v>459.40844220430114</v>
      </c>
      <c r="J75" s="160">
        <v>458.13333194444454</v>
      </c>
      <c r="K75" s="160">
        <v>505.34828763440862</v>
      </c>
      <c r="L75" s="160">
        <v>521.48616935483869</v>
      </c>
      <c r="M75" s="160">
        <v>524.79563194444449</v>
      </c>
      <c r="N75" s="160">
        <v>534.68827553763435</v>
      </c>
      <c r="O75" s="160">
        <v>530.99334583333325</v>
      </c>
      <c r="P75" s="160">
        <v>521.1818924731183</v>
      </c>
      <c r="Q75" s="160">
        <v>469.51905954404083</v>
      </c>
      <c r="R75" s="160"/>
      <c r="S75" s="160"/>
    </row>
    <row r="76" spans="3:28" ht="13" customHeight="1">
      <c r="C76" s="409">
        <v>2021</v>
      </c>
      <c r="E76" s="160">
        <v>516.70377822580633</v>
      </c>
      <c r="F76" s="160">
        <v>508.66716517857145</v>
      </c>
      <c r="G76" s="160">
        <v>497.5144529569892</v>
      </c>
      <c r="H76" s="160">
        <v>465.00597777777779</v>
      </c>
      <c r="I76" s="160">
        <v>473.45292876344087</v>
      </c>
      <c r="J76" s="160">
        <v>509.95607916666654</v>
      </c>
      <c r="K76" s="160">
        <v>520.55817069892476</v>
      </c>
      <c r="L76" s="160">
        <v>565.89931720430116</v>
      </c>
      <c r="M76" s="160">
        <v>590.63430000000005</v>
      </c>
      <c r="N76" s="160">
        <v>595.21338306451628</v>
      </c>
      <c r="O76" s="160">
        <v>610.39645694444459</v>
      </c>
      <c r="P76" s="160">
        <v>621.94147177419359</v>
      </c>
      <c r="Q76" s="160">
        <v>539.66195681296938</v>
      </c>
      <c r="R76" s="160"/>
      <c r="S76" s="160"/>
    </row>
    <row r="77" spans="3:28" ht="13" customHeight="1">
      <c r="C77" s="409">
        <v>2022</v>
      </c>
      <c r="E77" s="160">
        <v>686.78263978494601</v>
      </c>
      <c r="F77" s="160">
        <v>596.35161753571424</v>
      </c>
      <c r="G77" s="160">
        <v>554.3597603870968</v>
      </c>
      <c r="H77" s="160">
        <v>551.88849355555567</v>
      </c>
      <c r="I77" s="160">
        <v>568.57934865591392</v>
      </c>
      <c r="J77" s="160">
        <v>597.45378883333331</v>
      </c>
      <c r="K77" s="160">
        <v>611.17009725806463</v>
      </c>
      <c r="L77" s="160">
        <v>641.62079951612907</v>
      </c>
      <c r="M77" s="160">
        <v>652.60737061111126</v>
      </c>
      <c r="N77" s="160">
        <v>646.76590079569905</v>
      </c>
      <c r="O77" s="160">
        <v>644.28531605555565</v>
      </c>
      <c r="P77" s="160">
        <v>619.99905516129047</v>
      </c>
      <c r="Q77" s="160">
        <v>614.32201567920083</v>
      </c>
      <c r="R77" s="160"/>
      <c r="S77" s="160"/>
    </row>
    <row r="78" spans="3:28" ht="13" customHeight="1">
      <c r="C78" s="409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</row>
    <row r="79" spans="3:28">
      <c r="C79" s="418"/>
    </row>
    <row r="80" spans="3:28">
      <c r="C80" s="425" t="s">
        <v>184</v>
      </c>
      <c r="E80" s="426"/>
      <c r="F80" s="426"/>
      <c r="G80" s="426"/>
      <c r="H80" s="426"/>
      <c r="I80" s="426"/>
    </row>
    <row r="81" spans="3:12">
      <c r="C81" s="156"/>
    </row>
    <row r="82" spans="3:12" ht="39">
      <c r="C82" s="506" t="s">
        <v>185</v>
      </c>
      <c r="E82" s="507" t="s">
        <v>186</v>
      </c>
      <c r="F82" s="507" t="s">
        <v>187</v>
      </c>
      <c r="G82" s="507" t="s">
        <v>188</v>
      </c>
      <c r="H82" s="507" t="s">
        <v>189</v>
      </c>
      <c r="I82" s="507" t="s">
        <v>190</v>
      </c>
      <c r="J82" s="507" t="s">
        <v>191</v>
      </c>
      <c r="K82" s="300"/>
      <c r="L82" s="300"/>
    </row>
    <row r="83" spans="3:12">
      <c r="C83" s="427" t="s">
        <v>192</v>
      </c>
      <c r="E83" s="428"/>
      <c r="F83" s="428"/>
      <c r="G83" s="428"/>
      <c r="H83" s="428"/>
      <c r="I83" s="428"/>
      <c r="J83" s="428"/>
      <c r="K83" s="300"/>
      <c r="L83" s="300"/>
    </row>
    <row r="84" spans="3:12">
      <c r="C84" s="429" t="s">
        <v>193</v>
      </c>
      <c r="E84" s="429"/>
      <c r="F84" s="429"/>
      <c r="G84" s="429"/>
      <c r="H84" s="430">
        <v>1204.0799999999995</v>
      </c>
      <c r="I84" s="431">
        <v>614.50000000000011</v>
      </c>
      <c r="J84" s="431"/>
      <c r="K84" s="300"/>
      <c r="L84" s="300"/>
    </row>
    <row r="85" spans="3:12">
      <c r="C85" s="597" t="s">
        <v>194</v>
      </c>
      <c r="E85" s="126" t="s">
        <v>195</v>
      </c>
      <c r="F85" s="707">
        <v>42515</v>
      </c>
      <c r="G85" s="707">
        <v>54752</v>
      </c>
      <c r="H85" s="434">
        <v>31.364999999999998</v>
      </c>
      <c r="I85" s="434">
        <v>17.2</v>
      </c>
      <c r="J85" s="126" t="s">
        <v>196</v>
      </c>
      <c r="K85" s="415"/>
      <c r="L85" s="435"/>
    </row>
    <row r="86" spans="3:12" s="412" customFormat="1">
      <c r="C86" s="597" t="s">
        <v>197</v>
      </c>
      <c r="E86" s="126" t="s">
        <v>195</v>
      </c>
      <c r="F86" s="707">
        <v>42515</v>
      </c>
      <c r="G86" s="707">
        <v>54752</v>
      </c>
      <c r="H86" s="434">
        <v>31.364999999999998</v>
      </c>
      <c r="I86" s="434">
        <v>15.5</v>
      </c>
      <c r="J86" s="126" t="s">
        <v>198</v>
      </c>
      <c r="K86" s="415"/>
      <c r="L86" s="435"/>
    </row>
    <row r="87" spans="3:12">
      <c r="C87" s="597" t="s">
        <v>199</v>
      </c>
      <c r="E87" s="126" t="s">
        <v>195</v>
      </c>
      <c r="F87" s="707">
        <v>42515</v>
      </c>
      <c r="G87" s="707">
        <v>54754</v>
      </c>
      <c r="H87" s="434">
        <v>31.364999999999998</v>
      </c>
      <c r="I87" s="434">
        <v>15.2</v>
      </c>
      <c r="J87" s="126" t="s">
        <v>200</v>
      </c>
      <c r="K87" s="415"/>
      <c r="L87" s="435"/>
    </row>
    <row r="88" spans="3:12">
      <c r="C88" s="597" t="s">
        <v>201</v>
      </c>
      <c r="E88" s="126" t="s">
        <v>195</v>
      </c>
      <c r="F88" s="707">
        <v>42515</v>
      </c>
      <c r="G88" s="707">
        <v>54755</v>
      </c>
      <c r="H88" s="434">
        <v>31.364999999999998</v>
      </c>
      <c r="I88" s="434">
        <v>15.7</v>
      </c>
      <c r="J88" s="126" t="s">
        <v>202</v>
      </c>
      <c r="K88" s="300"/>
      <c r="L88" s="300"/>
    </row>
    <row r="89" spans="3:12">
      <c r="C89" s="597" t="s">
        <v>203</v>
      </c>
      <c r="E89" s="126" t="s">
        <v>204</v>
      </c>
      <c r="F89" s="707">
        <v>42536</v>
      </c>
      <c r="G89" s="707">
        <v>54754</v>
      </c>
      <c r="H89" s="434">
        <v>31.364999999999998</v>
      </c>
      <c r="I89" s="434">
        <v>18.600000000000001</v>
      </c>
      <c r="J89" s="126" t="s">
        <v>205</v>
      </c>
      <c r="K89" s="300"/>
      <c r="L89" s="436"/>
    </row>
    <row r="90" spans="3:12">
      <c r="C90" s="597" t="s">
        <v>206</v>
      </c>
      <c r="E90" s="126" t="s">
        <v>195</v>
      </c>
      <c r="F90" s="707">
        <v>42515</v>
      </c>
      <c r="G90" s="707">
        <v>54754</v>
      </c>
      <c r="H90" s="434">
        <v>27.675000000000001</v>
      </c>
      <c r="I90" s="434">
        <v>15.2</v>
      </c>
      <c r="J90" s="126" t="s">
        <v>207</v>
      </c>
      <c r="K90" s="300"/>
      <c r="L90" s="436"/>
    </row>
    <row r="91" spans="3:12">
      <c r="C91" s="597" t="s">
        <v>208</v>
      </c>
      <c r="E91" s="126" t="s">
        <v>209</v>
      </c>
      <c r="F91" s="707">
        <v>42515</v>
      </c>
      <c r="G91" s="707">
        <v>54755</v>
      </c>
      <c r="H91" s="434">
        <v>25.83</v>
      </c>
      <c r="I91" s="434">
        <v>13</v>
      </c>
      <c r="J91" s="126" t="s">
        <v>210</v>
      </c>
      <c r="K91" s="300"/>
      <c r="L91" s="300"/>
    </row>
    <row r="92" spans="3:12">
      <c r="C92" s="597" t="s">
        <v>211</v>
      </c>
      <c r="E92" s="126" t="s">
        <v>204</v>
      </c>
      <c r="F92" s="707">
        <v>42542</v>
      </c>
      <c r="G92" s="707">
        <v>54754</v>
      </c>
      <c r="H92" s="434">
        <v>22.14</v>
      </c>
      <c r="I92" s="434">
        <v>11.7</v>
      </c>
      <c r="J92" s="126" t="s">
        <v>212</v>
      </c>
      <c r="K92" s="300"/>
      <c r="L92" s="437"/>
    </row>
    <row r="93" spans="3:12" s="412" customFormat="1">
      <c r="C93" s="597" t="s">
        <v>213</v>
      </c>
      <c r="E93" s="126" t="s">
        <v>214</v>
      </c>
      <c r="F93" s="707">
        <v>42649</v>
      </c>
      <c r="G93" s="707">
        <v>53508</v>
      </c>
      <c r="H93" s="434">
        <v>27.51</v>
      </c>
      <c r="I93" s="434">
        <v>14.1</v>
      </c>
      <c r="J93" s="126" t="s">
        <v>215</v>
      </c>
      <c r="K93" s="300"/>
      <c r="L93" s="437"/>
    </row>
    <row r="94" spans="3:12">
      <c r="C94" s="597" t="s">
        <v>216</v>
      </c>
      <c r="E94" s="126" t="s">
        <v>217</v>
      </c>
      <c r="F94" s="707">
        <v>42641</v>
      </c>
      <c r="G94" s="707">
        <v>53516</v>
      </c>
      <c r="H94" s="434">
        <v>29.12</v>
      </c>
      <c r="I94" s="434">
        <v>15.5</v>
      </c>
      <c r="J94" s="126" t="s">
        <v>218</v>
      </c>
      <c r="K94" s="300"/>
      <c r="L94" s="300"/>
    </row>
    <row r="95" spans="3:12">
      <c r="C95" s="597" t="s">
        <v>219</v>
      </c>
      <c r="E95" s="126" t="s">
        <v>217</v>
      </c>
      <c r="F95" s="707">
        <v>42650</v>
      </c>
      <c r="G95" s="707">
        <v>53516</v>
      </c>
      <c r="H95" s="434">
        <v>27.51</v>
      </c>
      <c r="I95" s="434">
        <v>14.6</v>
      </c>
      <c r="J95" s="126" t="s">
        <v>220</v>
      </c>
      <c r="K95" s="300"/>
      <c r="L95" s="300"/>
    </row>
    <row r="96" spans="3:12">
      <c r="C96" s="597" t="s">
        <v>221</v>
      </c>
      <c r="E96" s="126" t="s">
        <v>214</v>
      </c>
      <c r="F96" s="707">
        <v>42641</v>
      </c>
      <c r="G96" s="707">
        <v>53512</v>
      </c>
      <c r="H96" s="434">
        <v>29.12</v>
      </c>
      <c r="I96" s="434">
        <v>15.5</v>
      </c>
      <c r="J96" s="126" t="s">
        <v>222</v>
      </c>
      <c r="K96" s="300"/>
      <c r="L96" s="300"/>
    </row>
    <row r="97" spans="3:12">
      <c r="C97" s="597" t="s">
        <v>223</v>
      </c>
      <c r="E97" s="126" t="s">
        <v>214</v>
      </c>
      <c r="F97" s="707">
        <v>42641</v>
      </c>
      <c r="G97" s="707">
        <v>53512</v>
      </c>
      <c r="H97" s="434">
        <v>27.75</v>
      </c>
      <c r="I97" s="434">
        <v>15.2</v>
      </c>
      <c r="J97" s="126" t="s">
        <v>224</v>
      </c>
      <c r="K97" s="300"/>
      <c r="L97" s="300"/>
    </row>
    <row r="98" spans="3:12">
      <c r="C98" s="597" t="s">
        <v>225</v>
      </c>
      <c r="E98" s="126" t="s">
        <v>226</v>
      </c>
      <c r="F98" s="707">
        <v>41310</v>
      </c>
      <c r="G98" s="707">
        <v>53143</v>
      </c>
      <c r="H98" s="434">
        <v>30</v>
      </c>
      <c r="I98" s="434">
        <v>10.84</v>
      </c>
      <c r="J98" s="126" t="s">
        <v>227</v>
      </c>
      <c r="K98" s="300"/>
      <c r="L98" s="300"/>
    </row>
    <row r="99" spans="3:12">
      <c r="C99" s="597" t="s">
        <v>228</v>
      </c>
      <c r="E99" s="126" t="s">
        <v>226</v>
      </c>
      <c r="F99" s="707">
        <v>41432</v>
      </c>
      <c r="G99" s="707">
        <v>53542</v>
      </c>
      <c r="H99" s="434">
        <v>18</v>
      </c>
      <c r="I99" s="434">
        <v>6.8</v>
      </c>
      <c r="J99" s="126" t="s">
        <v>229</v>
      </c>
      <c r="K99" s="300"/>
      <c r="L99" s="300"/>
    </row>
    <row r="100" spans="3:12" s="412" customFormat="1">
      <c r="C100" s="597" t="s">
        <v>230</v>
      </c>
      <c r="E100" s="126" t="s">
        <v>231</v>
      </c>
      <c r="F100" s="707">
        <v>41033</v>
      </c>
      <c r="G100" s="707">
        <v>53185</v>
      </c>
      <c r="H100" s="434">
        <v>19.8</v>
      </c>
      <c r="I100" s="434">
        <v>6.56</v>
      </c>
      <c r="J100" s="126" t="s">
        <v>232</v>
      </c>
      <c r="K100" s="300"/>
      <c r="L100" s="300"/>
    </row>
    <row r="101" spans="3:12">
      <c r="C101" s="597" t="s">
        <v>233</v>
      </c>
      <c r="E101" s="126" t="s">
        <v>231</v>
      </c>
      <c r="F101" s="707">
        <v>41033</v>
      </c>
      <c r="G101" s="707">
        <v>53435</v>
      </c>
      <c r="H101" s="434">
        <v>19.8</v>
      </c>
      <c r="I101" s="434">
        <v>8.4</v>
      </c>
      <c r="J101" s="126" t="s">
        <v>234</v>
      </c>
      <c r="K101" s="300"/>
      <c r="L101" s="300"/>
    </row>
    <row r="102" spans="3:12">
      <c r="C102" s="597" t="s">
        <v>235</v>
      </c>
      <c r="E102" s="126" t="s">
        <v>236</v>
      </c>
      <c r="F102" s="707">
        <v>42431</v>
      </c>
      <c r="G102" s="707">
        <v>53556</v>
      </c>
      <c r="H102" s="434">
        <v>20</v>
      </c>
      <c r="I102" s="434">
        <v>9.6999999999999993</v>
      </c>
      <c r="J102" s="126" t="s">
        <v>237</v>
      </c>
      <c r="K102" s="300"/>
      <c r="L102" s="300"/>
    </row>
    <row r="103" spans="3:12">
      <c r="C103" s="597" t="s">
        <v>238</v>
      </c>
      <c r="E103" s="126" t="s">
        <v>236</v>
      </c>
      <c r="F103" s="707">
        <v>42431</v>
      </c>
      <c r="G103" s="707">
        <v>53542</v>
      </c>
      <c r="H103" s="434">
        <v>30</v>
      </c>
      <c r="I103" s="434">
        <v>13.5</v>
      </c>
      <c r="J103" s="126" t="s">
        <v>239</v>
      </c>
      <c r="K103" s="300"/>
      <c r="L103" s="300"/>
    </row>
    <row r="104" spans="3:12">
      <c r="C104" s="597" t="s">
        <v>240</v>
      </c>
      <c r="E104" s="126" t="s">
        <v>241</v>
      </c>
      <c r="F104" s="707">
        <v>42431</v>
      </c>
      <c r="G104" s="707">
        <v>53550</v>
      </c>
      <c r="H104" s="434">
        <v>30</v>
      </c>
      <c r="I104" s="434">
        <v>12.7</v>
      </c>
      <c r="J104" s="126" t="s">
        <v>242</v>
      </c>
      <c r="K104" s="300"/>
      <c r="L104" s="300"/>
    </row>
    <row r="105" spans="3:12" s="412" customFormat="1">
      <c r="C105" s="597" t="s">
        <v>243</v>
      </c>
      <c r="E105" s="126" t="s">
        <v>244</v>
      </c>
      <c r="F105" s="707">
        <v>42420</v>
      </c>
      <c r="G105" s="707">
        <v>53814</v>
      </c>
      <c r="H105" s="434">
        <v>28</v>
      </c>
      <c r="I105" s="434">
        <v>13.2</v>
      </c>
      <c r="J105" s="126" t="s">
        <v>245</v>
      </c>
      <c r="K105" s="300"/>
      <c r="L105" s="300"/>
    </row>
    <row r="106" spans="3:12">
      <c r="C106" s="597" t="s">
        <v>246</v>
      </c>
      <c r="E106" s="126" t="s">
        <v>241</v>
      </c>
      <c r="F106" s="707">
        <v>42420</v>
      </c>
      <c r="G106" s="707">
        <v>53814</v>
      </c>
      <c r="H106" s="434">
        <v>20</v>
      </c>
      <c r="I106" s="434">
        <v>9</v>
      </c>
      <c r="J106" s="126" t="s">
        <v>247</v>
      </c>
      <c r="K106" s="300"/>
      <c r="L106" s="300"/>
    </row>
    <row r="107" spans="3:12">
      <c r="C107" s="597" t="s">
        <v>248</v>
      </c>
      <c r="E107" s="126" t="s">
        <v>249</v>
      </c>
      <c r="F107" s="707">
        <v>43076</v>
      </c>
      <c r="G107" s="707">
        <v>54880</v>
      </c>
      <c r="H107" s="434">
        <v>20</v>
      </c>
      <c r="I107" s="434">
        <v>11</v>
      </c>
      <c r="J107" s="126" t="s">
        <v>250</v>
      </c>
      <c r="K107" s="300"/>
      <c r="L107" s="300"/>
    </row>
    <row r="108" spans="3:12">
      <c r="C108" s="597" t="s">
        <v>251</v>
      </c>
      <c r="E108" s="126" t="s">
        <v>249</v>
      </c>
      <c r="F108" s="707">
        <v>43076</v>
      </c>
      <c r="G108" s="707">
        <v>54880</v>
      </c>
      <c r="H108" s="434">
        <v>20</v>
      </c>
      <c r="I108" s="434">
        <v>10.1</v>
      </c>
      <c r="J108" s="126" t="s">
        <v>252</v>
      </c>
      <c r="K108" s="300"/>
      <c r="L108" s="300"/>
    </row>
    <row r="109" spans="3:12" s="412" customFormat="1">
      <c r="C109" s="597" t="s">
        <v>253</v>
      </c>
      <c r="E109" s="126" t="s">
        <v>254</v>
      </c>
      <c r="F109" s="707">
        <v>43242</v>
      </c>
      <c r="G109" s="707">
        <v>54618</v>
      </c>
      <c r="H109" s="434">
        <v>28.6</v>
      </c>
      <c r="I109" s="434">
        <v>15.2</v>
      </c>
      <c r="J109" s="126" t="s">
        <v>255</v>
      </c>
      <c r="K109" s="300"/>
      <c r="L109" s="300"/>
    </row>
    <row r="110" spans="3:12" s="438" customFormat="1" ht="3" customHeight="1">
      <c r="C110" s="597" t="s">
        <v>256</v>
      </c>
      <c r="E110" s="126" t="s">
        <v>231</v>
      </c>
      <c r="F110" s="707">
        <v>43242</v>
      </c>
      <c r="G110" s="707">
        <v>54622</v>
      </c>
      <c r="H110" s="434">
        <v>16.8</v>
      </c>
      <c r="I110" s="434">
        <v>9</v>
      </c>
      <c r="J110" s="126" t="s">
        <v>257</v>
      </c>
      <c r="K110" s="300"/>
      <c r="L110" s="300"/>
    </row>
    <row r="111" spans="3:12">
      <c r="C111" s="597" t="s">
        <v>258</v>
      </c>
      <c r="E111" s="126" t="s">
        <v>226</v>
      </c>
      <c r="F111" s="707">
        <v>43461</v>
      </c>
      <c r="G111" s="707">
        <v>55285</v>
      </c>
      <c r="H111" s="434">
        <v>20</v>
      </c>
      <c r="I111" s="434">
        <v>9.6999999999999993</v>
      </c>
      <c r="J111" s="126" t="s">
        <v>259</v>
      </c>
      <c r="K111" s="300"/>
      <c r="L111" s="300"/>
    </row>
    <row r="112" spans="3:12">
      <c r="C112" s="597" t="s">
        <v>260</v>
      </c>
      <c r="E112" s="126" t="s">
        <v>254</v>
      </c>
      <c r="F112" s="707">
        <v>43470</v>
      </c>
      <c r="G112" s="707">
        <v>55020</v>
      </c>
      <c r="H112" s="434">
        <v>30.800000000000004</v>
      </c>
      <c r="I112" s="434">
        <v>15.3</v>
      </c>
      <c r="J112" s="126" t="s">
        <v>261</v>
      </c>
      <c r="K112" s="300"/>
      <c r="L112" s="300"/>
    </row>
    <row r="113" spans="3:12">
      <c r="C113" s="597" t="s">
        <v>262</v>
      </c>
      <c r="E113" s="126" t="s">
        <v>263</v>
      </c>
      <c r="F113" s="707">
        <v>43978</v>
      </c>
      <c r="G113" s="707">
        <v>56244</v>
      </c>
      <c r="H113" s="434">
        <v>37.800000000000004</v>
      </c>
      <c r="I113" s="434">
        <v>21.5</v>
      </c>
      <c r="J113" s="126" t="s">
        <v>264</v>
      </c>
      <c r="K113" s="300"/>
      <c r="L113" s="300"/>
    </row>
    <row r="114" spans="3:12">
      <c r="C114" s="597" t="s">
        <v>265</v>
      </c>
      <c r="E114" s="126" t="s">
        <v>263</v>
      </c>
      <c r="F114" s="707">
        <v>43915</v>
      </c>
      <c r="G114" s="707">
        <v>56244</v>
      </c>
      <c r="H114" s="434">
        <v>25.200000000000003</v>
      </c>
      <c r="I114" s="434">
        <v>13.3</v>
      </c>
      <c r="J114" s="126" t="s">
        <v>266</v>
      </c>
      <c r="K114" s="300"/>
      <c r="L114" s="300"/>
    </row>
    <row r="115" spans="3:12">
      <c r="C115" s="597" t="s">
        <v>267</v>
      </c>
      <c r="E115" s="126" t="s">
        <v>263</v>
      </c>
      <c r="F115" s="707">
        <v>43939</v>
      </c>
      <c r="G115" s="707">
        <v>56244</v>
      </c>
      <c r="H115" s="434">
        <v>37.800000000000004</v>
      </c>
      <c r="I115" s="434">
        <v>21.1</v>
      </c>
      <c r="J115" s="126" t="s">
        <v>268</v>
      </c>
      <c r="K115" s="300"/>
      <c r="L115" s="300"/>
    </row>
    <row r="116" spans="3:12">
      <c r="C116" s="597" t="s">
        <v>269</v>
      </c>
      <c r="E116" s="126" t="s">
        <v>263</v>
      </c>
      <c r="F116" s="707">
        <v>44020</v>
      </c>
      <c r="G116" s="707">
        <v>56329</v>
      </c>
      <c r="H116" s="434">
        <v>42</v>
      </c>
      <c r="I116" s="434">
        <v>23.6</v>
      </c>
      <c r="J116" s="126" t="s">
        <v>270</v>
      </c>
      <c r="K116" s="300"/>
      <c r="L116" s="300"/>
    </row>
    <row r="117" spans="3:12">
      <c r="C117" s="597" t="s">
        <v>271</v>
      </c>
      <c r="E117" s="126" t="s">
        <v>263</v>
      </c>
      <c r="F117" s="707">
        <v>43981</v>
      </c>
      <c r="G117" s="707">
        <v>56329</v>
      </c>
      <c r="H117" s="434">
        <v>37.800000000000004</v>
      </c>
      <c r="I117" s="434">
        <v>21.2</v>
      </c>
      <c r="J117" s="126" t="s">
        <v>272</v>
      </c>
      <c r="K117" s="300"/>
      <c r="L117" s="300"/>
    </row>
    <row r="118" spans="3:12">
      <c r="C118" s="597" t="s">
        <v>273</v>
      </c>
      <c r="E118" s="126" t="s">
        <v>263</v>
      </c>
      <c r="F118" s="707">
        <v>43991</v>
      </c>
      <c r="G118" s="707">
        <v>56329</v>
      </c>
      <c r="H118" s="434">
        <v>16.8</v>
      </c>
      <c r="I118" s="434">
        <v>9.1</v>
      </c>
      <c r="J118" s="126" t="s">
        <v>274</v>
      </c>
      <c r="K118" s="300"/>
      <c r="L118" s="300"/>
    </row>
    <row r="119" spans="3:12">
      <c r="C119" s="597" t="s">
        <v>275</v>
      </c>
      <c r="E119" s="126" t="s">
        <v>263</v>
      </c>
      <c r="F119" s="707">
        <v>44029</v>
      </c>
      <c r="G119" s="707">
        <v>56334</v>
      </c>
      <c r="H119" s="434">
        <v>37.800000000000004</v>
      </c>
      <c r="I119" s="434">
        <v>20.7</v>
      </c>
      <c r="J119" s="126" t="s">
        <v>276</v>
      </c>
      <c r="K119" s="300"/>
      <c r="L119" s="300"/>
    </row>
    <row r="120" spans="3:12">
      <c r="C120" s="597" t="s">
        <v>277</v>
      </c>
      <c r="E120" s="126" t="s">
        <v>263</v>
      </c>
      <c r="F120" s="707">
        <v>44070</v>
      </c>
      <c r="G120" s="707">
        <v>56334</v>
      </c>
      <c r="H120" s="434">
        <v>37.800000000000004</v>
      </c>
      <c r="I120" s="434">
        <v>20.8</v>
      </c>
      <c r="J120" s="126" t="s">
        <v>278</v>
      </c>
      <c r="K120" s="300"/>
      <c r="L120" s="300"/>
    </row>
    <row r="121" spans="3:12">
      <c r="C121" s="597" t="s">
        <v>279</v>
      </c>
      <c r="E121" s="126" t="s">
        <v>263</v>
      </c>
      <c r="F121" s="707">
        <v>44610</v>
      </c>
      <c r="G121" s="707">
        <v>56685</v>
      </c>
      <c r="H121" s="434">
        <v>21</v>
      </c>
      <c r="I121" s="434">
        <v>10.9</v>
      </c>
      <c r="J121" s="126" t="s">
        <v>280</v>
      </c>
      <c r="K121" s="300"/>
      <c r="L121" s="300"/>
    </row>
    <row r="122" spans="3:12">
      <c r="C122" s="597" t="s">
        <v>281</v>
      </c>
      <c r="E122" s="126" t="s">
        <v>263</v>
      </c>
      <c r="F122" s="707">
        <v>44526</v>
      </c>
      <c r="G122" s="707">
        <v>56685</v>
      </c>
      <c r="H122" s="434">
        <v>33.6</v>
      </c>
      <c r="I122" s="434">
        <v>17.600000000000001</v>
      </c>
      <c r="J122" s="126" t="s">
        <v>282</v>
      </c>
      <c r="K122" s="300"/>
      <c r="L122" s="300"/>
    </row>
    <row r="123" spans="3:12">
      <c r="C123" s="597" t="s">
        <v>283</v>
      </c>
      <c r="E123" s="126" t="s">
        <v>263</v>
      </c>
      <c r="F123" s="707">
        <v>44610</v>
      </c>
      <c r="G123" s="707">
        <v>56685</v>
      </c>
      <c r="H123" s="434">
        <v>37.800000000000004</v>
      </c>
      <c r="I123" s="434">
        <v>18.5</v>
      </c>
      <c r="J123" s="126" t="s">
        <v>284</v>
      </c>
      <c r="K123" s="300"/>
      <c r="L123" s="300"/>
    </row>
    <row r="124" spans="3:12">
      <c r="C124" s="597" t="s">
        <v>285</v>
      </c>
      <c r="E124" s="126" t="s">
        <v>263</v>
      </c>
      <c r="F124" s="707">
        <v>44572</v>
      </c>
      <c r="G124" s="707">
        <v>56685</v>
      </c>
      <c r="H124" s="434">
        <v>37.800000000000004</v>
      </c>
      <c r="I124" s="434">
        <v>18.7</v>
      </c>
      <c r="J124" s="126" t="s">
        <v>286</v>
      </c>
      <c r="K124" s="300"/>
      <c r="L124" s="300"/>
    </row>
    <row r="125" spans="3:12">
      <c r="C125" s="597" t="s">
        <v>287</v>
      </c>
      <c r="E125" s="126" t="s">
        <v>263</v>
      </c>
      <c r="F125" s="707">
        <v>44617</v>
      </c>
      <c r="G125" s="707">
        <v>56685</v>
      </c>
      <c r="H125" s="434">
        <v>37.800000000000004</v>
      </c>
      <c r="I125" s="434">
        <v>19.3</v>
      </c>
      <c r="J125" s="126" t="s">
        <v>288</v>
      </c>
      <c r="K125" s="300"/>
      <c r="L125" s="300"/>
    </row>
    <row r="126" spans="3:12">
      <c r="C126" s="597" t="s">
        <v>289</v>
      </c>
      <c r="E126" s="126" t="s">
        <v>263</v>
      </c>
      <c r="F126" s="707">
        <v>44561</v>
      </c>
      <c r="G126" s="707">
        <v>56685</v>
      </c>
      <c r="H126" s="434">
        <v>37.800000000000004</v>
      </c>
      <c r="I126" s="434">
        <v>20.2</v>
      </c>
      <c r="J126" s="126" t="s">
        <v>290</v>
      </c>
      <c r="K126" s="300"/>
      <c r="L126" s="300"/>
    </row>
    <row r="127" spans="3:12">
      <c r="C127" s="432"/>
      <c r="K127" s="300"/>
      <c r="L127" s="300"/>
    </row>
    <row r="128" spans="3:12">
      <c r="C128" s="427" t="s">
        <v>291</v>
      </c>
      <c r="E128" s="428"/>
      <c r="F128" s="428"/>
      <c r="G128" s="428"/>
      <c r="H128" s="428"/>
      <c r="I128" s="428"/>
      <c r="J128" s="428"/>
      <c r="K128" s="300"/>
      <c r="L128" s="300"/>
    </row>
    <row r="129" spans="3:15">
      <c r="C129" s="429" t="s">
        <v>292</v>
      </c>
      <c r="E129" s="429"/>
      <c r="F129" s="429"/>
      <c r="G129" s="429"/>
      <c r="H129" s="710">
        <f>SUM(H130:H143)</f>
        <v>573.21299999999985</v>
      </c>
      <c r="I129" s="710">
        <f>SUM(I130:I143)</f>
        <v>185.19999999999996</v>
      </c>
      <c r="J129" s="430"/>
      <c r="K129" s="300"/>
      <c r="L129" s="300"/>
    </row>
    <row r="130" spans="3:15">
      <c r="C130" s="597" t="s">
        <v>293</v>
      </c>
      <c r="E130" s="126" t="s">
        <v>294</v>
      </c>
      <c r="F130" s="433">
        <v>45500</v>
      </c>
      <c r="G130" s="707">
        <v>57124</v>
      </c>
      <c r="H130" s="434">
        <v>50</v>
      </c>
      <c r="I130" s="434">
        <v>16.7</v>
      </c>
      <c r="J130" s="126" t="s">
        <v>295</v>
      </c>
      <c r="K130" s="300"/>
      <c r="L130" s="300"/>
      <c r="N130" s="711"/>
      <c r="O130" s="711"/>
    </row>
    <row r="131" spans="3:15">
      <c r="C131" s="597" t="s">
        <v>297</v>
      </c>
      <c r="E131" s="126" t="s">
        <v>294</v>
      </c>
      <c r="F131" s="433">
        <v>45479</v>
      </c>
      <c r="G131" s="707">
        <v>57124</v>
      </c>
      <c r="H131" s="434">
        <v>50</v>
      </c>
      <c r="I131" s="434">
        <v>16.7</v>
      </c>
      <c r="J131" s="126" t="s">
        <v>298</v>
      </c>
      <c r="K131" s="300"/>
      <c r="L131" s="300"/>
      <c r="N131" s="711"/>
      <c r="O131" s="711"/>
    </row>
    <row r="132" spans="3:15">
      <c r="C132" s="597" t="s">
        <v>300</v>
      </c>
      <c r="E132" s="126" t="s">
        <v>294</v>
      </c>
      <c r="F132" s="433">
        <v>45483</v>
      </c>
      <c r="G132" s="707">
        <v>57124</v>
      </c>
      <c r="H132" s="434">
        <v>50</v>
      </c>
      <c r="I132" s="434">
        <v>16.7</v>
      </c>
      <c r="J132" s="126" t="s">
        <v>301</v>
      </c>
      <c r="K132" s="300"/>
      <c r="L132" s="300"/>
      <c r="N132" s="711"/>
      <c r="O132" s="711"/>
    </row>
    <row r="133" spans="3:15">
      <c r="C133" s="597" t="s">
        <v>303</v>
      </c>
      <c r="E133" s="126" t="s">
        <v>294</v>
      </c>
      <c r="F133" s="433">
        <v>45479</v>
      </c>
      <c r="G133" s="707">
        <v>57124</v>
      </c>
      <c r="H133" s="434">
        <v>50</v>
      </c>
      <c r="I133" s="434">
        <v>16.8</v>
      </c>
      <c r="J133" s="126" t="s">
        <v>304</v>
      </c>
      <c r="K133" s="300"/>
      <c r="L133" s="300"/>
      <c r="N133" s="711"/>
      <c r="O133" s="711"/>
    </row>
    <row r="134" spans="3:15">
      <c r="C134" s="597" t="s">
        <v>306</v>
      </c>
      <c r="E134" s="126" t="s">
        <v>294</v>
      </c>
      <c r="F134" s="433">
        <v>45483</v>
      </c>
      <c r="G134" s="707">
        <v>57124</v>
      </c>
      <c r="H134" s="434">
        <v>50</v>
      </c>
      <c r="I134" s="434">
        <v>16.8</v>
      </c>
      <c r="J134" s="126" t="s">
        <v>307</v>
      </c>
      <c r="K134" s="300"/>
      <c r="L134" s="300"/>
      <c r="N134" s="711"/>
      <c r="O134" s="711"/>
    </row>
    <row r="135" spans="3:15">
      <c r="C135" s="597" t="s">
        <v>309</v>
      </c>
      <c r="E135" s="126" t="s">
        <v>294</v>
      </c>
      <c r="F135" s="433">
        <v>45483</v>
      </c>
      <c r="G135" s="707">
        <v>57124</v>
      </c>
      <c r="H135" s="434">
        <v>50</v>
      </c>
      <c r="I135" s="434">
        <v>16.8</v>
      </c>
      <c r="J135" s="126" t="s">
        <v>310</v>
      </c>
      <c r="K135" s="300"/>
      <c r="L135" s="300"/>
      <c r="N135" s="711"/>
      <c r="O135" s="711"/>
    </row>
    <row r="136" spans="3:15">
      <c r="C136" s="597" t="s">
        <v>312</v>
      </c>
      <c r="E136" s="126" t="s">
        <v>294</v>
      </c>
      <c r="F136" s="433">
        <v>45483</v>
      </c>
      <c r="G136" s="707">
        <v>57124</v>
      </c>
      <c r="H136" s="434">
        <v>50</v>
      </c>
      <c r="I136" s="434">
        <v>16.7</v>
      </c>
      <c r="J136" s="126" t="s">
        <v>313</v>
      </c>
      <c r="K136" s="300"/>
      <c r="L136" s="300"/>
      <c r="N136" s="711"/>
      <c r="O136" s="711"/>
    </row>
    <row r="137" spans="3:15">
      <c r="C137" s="597" t="s">
        <v>296</v>
      </c>
      <c r="E137" s="126" t="s">
        <v>315</v>
      </c>
      <c r="F137" s="433">
        <v>45435</v>
      </c>
      <c r="G137" s="707">
        <v>56461</v>
      </c>
      <c r="H137" s="434">
        <v>16.928999999999998</v>
      </c>
      <c r="I137" s="434">
        <v>5.2</v>
      </c>
      <c r="J137" s="126" t="s">
        <v>316</v>
      </c>
      <c r="K137" s="300"/>
      <c r="L137" s="300"/>
      <c r="N137" s="711"/>
      <c r="O137" s="711"/>
    </row>
    <row r="138" spans="3:15">
      <c r="C138" s="597" t="s">
        <v>299</v>
      </c>
      <c r="E138" s="126" t="s">
        <v>315</v>
      </c>
      <c r="F138" s="433">
        <v>45435</v>
      </c>
      <c r="G138" s="707">
        <v>56461</v>
      </c>
      <c r="H138" s="434">
        <v>40.755000000000003</v>
      </c>
      <c r="I138" s="434">
        <v>12.5</v>
      </c>
      <c r="J138" s="126" t="s">
        <v>317</v>
      </c>
      <c r="K138" s="300"/>
      <c r="L138" s="300"/>
      <c r="N138" s="711"/>
      <c r="O138" s="711"/>
    </row>
    <row r="139" spans="3:15">
      <c r="C139" s="597" t="s">
        <v>302</v>
      </c>
      <c r="E139" s="126" t="s">
        <v>315</v>
      </c>
      <c r="F139" s="433">
        <v>45435</v>
      </c>
      <c r="G139" s="707">
        <v>56461</v>
      </c>
      <c r="H139" s="434">
        <v>40.755000000000003</v>
      </c>
      <c r="I139" s="434">
        <v>12.4</v>
      </c>
      <c r="J139" s="126" t="s">
        <v>318</v>
      </c>
      <c r="K139" s="300"/>
      <c r="L139" s="300"/>
      <c r="N139" s="711"/>
      <c r="O139" s="711"/>
    </row>
    <row r="140" spans="3:15">
      <c r="C140" s="597" t="s">
        <v>305</v>
      </c>
      <c r="E140" s="126" t="s">
        <v>315</v>
      </c>
      <c r="F140" s="433">
        <v>45435</v>
      </c>
      <c r="G140" s="707">
        <v>56461</v>
      </c>
      <c r="H140" s="434">
        <v>20.690999999999999</v>
      </c>
      <c r="I140" s="434">
        <v>6.3</v>
      </c>
      <c r="J140" s="126" t="s">
        <v>319</v>
      </c>
      <c r="K140" s="300"/>
      <c r="L140" s="300"/>
      <c r="N140" s="711"/>
      <c r="O140" s="711"/>
    </row>
    <row r="141" spans="3:15">
      <c r="C141" s="597" t="s">
        <v>308</v>
      </c>
      <c r="E141" s="126" t="s">
        <v>315</v>
      </c>
      <c r="F141" s="433">
        <v>45435</v>
      </c>
      <c r="G141" s="707">
        <v>56846</v>
      </c>
      <c r="H141" s="434">
        <v>36.993000000000002</v>
      </c>
      <c r="I141" s="434">
        <v>11.2</v>
      </c>
      <c r="J141" s="126" t="s">
        <v>320</v>
      </c>
      <c r="K141" s="300"/>
      <c r="L141" s="300"/>
      <c r="N141" s="711"/>
      <c r="O141" s="711"/>
    </row>
    <row r="142" spans="3:15">
      <c r="C142" s="597" t="s">
        <v>311</v>
      </c>
      <c r="E142" s="126" t="s">
        <v>315</v>
      </c>
      <c r="F142" s="433">
        <v>45435</v>
      </c>
      <c r="G142" s="707">
        <v>56846</v>
      </c>
      <c r="H142" s="434">
        <v>33.545000000000002</v>
      </c>
      <c r="I142" s="434">
        <v>10.199999999999999</v>
      </c>
      <c r="J142" s="126" t="s">
        <v>321</v>
      </c>
      <c r="K142" s="300"/>
      <c r="L142" s="300"/>
      <c r="N142" s="711"/>
      <c r="O142" s="711"/>
    </row>
    <row r="143" spans="3:15">
      <c r="C143" s="597" t="s">
        <v>314</v>
      </c>
      <c r="E143" s="126" t="s">
        <v>315</v>
      </c>
      <c r="F143" s="433">
        <v>45435</v>
      </c>
      <c r="G143" s="707">
        <v>56846</v>
      </c>
      <c r="H143" s="434">
        <v>33.545000000000002</v>
      </c>
      <c r="I143" s="434">
        <v>10.199999999999999</v>
      </c>
      <c r="J143" s="126" t="s">
        <v>322</v>
      </c>
      <c r="K143" s="300"/>
      <c r="L143" s="300"/>
      <c r="N143" s="711"/>
      <c r="O143" s="711"/>
    </row>
    <row r="144" spans="3:15">
      <c r="C144" s="439"/>
      <c r="J144" s="300"/>
      <c r="K144" s="300"/>
      <c r="M144" s="440"/>
      <c r="N144" s="420"/>
    </row>
    <row r="147" spans="3:11">
      <c r="C147" s="425" t="s">
        <v>323</v>
      </c>
      <c r="E147" s="426"/>
      <c r="F147" s="426"/>
      <c r="G147" s="426"/>
      <c r="H147" s="426"/>
      <c r="I147" s="426"/>
    </row>
    <row r="149" spans="3:11">
      <c r="E149" s="508">
        <v>2022</v>
      </c>
      <c r="F149" s="508">
        <v>2023</v>
      </c>
      <c r="G149" s="508">
        <v>2024</v>
      </c>
      <c r="H149" s="508">
        <v>2025</v>
      </c>
      <c r="I149" s="508">
        <v>2026</v>
      </c>
      <c r="J149" s="300"/>
      <c r="K149" s="300"/>
    </row>
    <row r="150" spans="3:11">
      <c r="C150" s="429" t="s">
        <v>324</v>
      </c>
      <c r="E150" s="441">
        <v>614.50000000000011</v>
      </c>
      <c r="F150" s="441">
        <v>614.50000000000011</v>
      </c>
      <c r="G150" s="441">
        <v>614.50000000000011</v>
      </c>
      <c r="H150" s="441">
        <v>614.50000000000011</v>
      </c>
      <c r="I150" s="441">
        <v>614.50000000000011</v>
      </c>
      <c r="J150" s="300"/>
      <c r="K150" s="300"/>
    </row>
    <row r="151" spans="3:11">
      <c r="C151" s="432" t="s">
        <v>325</v>
      </c>
      <c r="E151" s="434">
        <v>17.2</v>
      </c>
      <c r="F151" s="434">
        <v>17.2</v>
      </c>
      <c r="G151" s="434">
        <v>17.2</v>
      </c>
      <c r="H151" s="434">
        <v>17.2</v>
      </c>
      <c r="I151" s="434">
        <v>17.2</v>
      </c>
      <c r="J151" s="300"/>
      <c r="K151" s="300"/>
    </row>
    <row r="152" spans="3:11">
      <c r="C152" s="432" t="s">
        <v>326</v>
      </c>
      <c r="E152" s="434">
        <v>15.5</v>
      </c>
      <c r="F152" s="434">
        <v>15.5</v>
      </c>
      <c r="G152" s="434">
        <v>15.5</v>
      </c>
      <c r="H152" s="434">
        <v>15.5</v>
      </c>
      <c r="I152" s="434">
        <v>15.5</v>
      </c>
      <c r="J152" s="300"/>
      <c r="K152" s="300"/>
    </row>
    <row r="153" spans="3:11">
      <c r="C153" s="432" t="s">
        <v>327</v>
      </c>
      <c r="E153" s="434">
        <v>15.2</v>
      </c>
      <c r="F153" s="434">
        <v>15.2</v>
      </c>
      <c r="G153" s="434">
        <v>15.2</v>
      </c>
      <c r="H153" s="434">
        <v>15.2</v>
      </c>
      <c r="I153" s="434">
        <v>15.2</v>
      </c>
      <c r="J153" s="300"/>
      <c r="K153" s="300"/>
    </row>
    <row r="154" spans="3:11">
      <c r="C154" s="432" t="s">
        <v>328</v>
      </c>
      <c r="E154" s="434">
        <v>15.7</v>
      </c>
      <c r="F154" s="434">
        <v>15.7</v>
      </c>
      <c r="G154" s="434">
        <v>15.7</v>
      </c>
      <c r="H154" s="434">
        <v>15.7</v>
      </c>
      <c r="I154" s="434">
        <v>15.7</v>
      </c>
      <c r="J154" s="300"/>
      <c r="K154" s="300"/>
    </row>
    <row r="155" spans="3:11">
      <c r="C155" s="432" t="s">
        <v>329</v>
      </c>
      <c r="E155" s="434">
        <v>18.600000000000001</v>
      </c>
      <c r="F155" s="434">
        <v>18.600000000000001</v>
      </c>
      <c r="G155" s="434">
        <v>18.600000000000001</v>
      </c>
      <c r="H155" s="434">
        <v>18.600000000000001</v>
      </c>
      <c r="I155" s="434">
        <v>18.600000000000001</v>
      </c>
      <c r="J155" s="300"/>
      <c r="K155" s="300"/>
    </row>
    <row r="156" spans="3:11">
      <c r="C156" s="432" t="s">
        <v>330</v>
      </c>
      <c r="E156" s="434">
        <v>15.2</v>
      </c>
      <c r="F156" s="434">
        <v>15.2</v>
      </c>
      <c r="G156" s="434">
        <v>15.2</v>
      </c>
      <c r="H156" s="434">
        <v>15.2</v>
      </c>
      <c r="I156" s="434">
        <v>15.2</v>
      </c>
      <c r="J156" s="300"/>
      <c r="K156" s="300"/>
    </row>
    <row r="157" spans="3:11">
      <c r="C157" s="432" t="s">
        <v>331</v>
      </c>
      <c r="E157" s="434">
        <v>13</v>
      </c>
      <c r="F157" s="434">
        <v>13</v>
      </c>
      <c r="G157" s="434">
        <v>13</v>
      </c>
      <c r="H157" s="434">
        <v>13</v>
      </c>
      <c r="I157" s="434">
        <v>13</v>
      </c>
      <c r="J157" s="300"/>
      <c r="K157" s="300"/>
    </row>
    <row r="158" spans="3:11">
      <c r="C158" s="432" t="s">
        <v>332</v>
      </c>
      <c r="E158" s="434">
        <v>11.7</v>
      </c>
      <c r="F158" s="434">
        <v>11.7</v>
      </c>
      <c r="G158" s="434">
        <v>11.7</v>
      </c>
      <c r="H158" s="434">
        <v>11.7</v>
      </c>
      <c r="I158" s="434">
        <v>11.7</v>
      </c>
      <c r="J158" s="300"/>
      <c r="K158" s="300"/>
    </row>
    <row r="159" spans="3:11">
      <c r="C159" s="432" t="s">
        <v>333</v>
      </c>
      <c r="E159" s="434">
        <v>14.1</v>
      </c>
      <c r="F159" s="434">
        <v>14.1</v>
      </c>
      <c r="G159" s="434">
        <v>14.1</v>
      </c>
      <c r="H159" s="434">
        <v>14.1</v>
      </c>
      <c r="I159" s="434">
        <v>14.1</v>
      </c>
      <c r="J159" s="300"/>
      <c r="K159" s="300"/>
    </row>
    <row r="160" spans="3:11">
      <c r="C160" s="432" t="s">
        <v>334</v>
      </c>
      <c r="E160" s="434">
        <v>15.5</v>
      </c>
      <c r="F160" s="434">
        <v>15.5</v>
      </c>
      <c r="G160" s="434">
        <v>15.5</v>
      </c>
      <c r="H160" s="434">
        <v>15.5</v>
      </c>
      <c r="I160" s="434">
        <v>15.5</v>
      </c>
      <c r="J160" s="300"/>
      <c r="K160" s="300"/>
    </row>
    <row r="161" spans="3:11">
      <c r="C161" s="432" t="s">
        <v>335</v>
      </c>
      <c r="E161" s="434">
        <v>14.6</v>
      </c>
      <c r="F161" s="434">
        <v>14.6</v>
      </c>
      <c r="G161" s="434">
        <v>14.6</v>
      </c>
      <c r="H161" s="434">
        <v>14.6</v>
      </c>
      <c r="I161" s="434">
        <v>14.6</v>
      </c>
      <c r="J161" s="300"/>
      <c r="K161" s="300"/>
    </row>
    <row r="162" spans="3:11">
      <c r="C162" s="432" t="s">
        <v>336</v>
      </c>
      <c r="E162" s="434">
        <v>15.5</v>
      </c>
      <c r="F162" s="434">
        <v>15.5</v>
      </c>
      <c r="G162" s="434">
        <v>15.5</v>
      </c>
      <c r="H162" s="434">
        <v>15.5</v>
      </c>
      <c r="I162" s="434">
        <v>15.5</v>
      </c>
      <c r="J162" s="300"/>
      <c r="K162" s="300"/>
    </row>
    <row r="163" spans="3:11">
      <c r="C163" s="432" t="s">
        <v>147</v>
      </c>
      <c r="E163" s="434">
        <v>15.2</v>
      </c>
      <c r="F163" s="434">
        <v>15.2</v>
      </c>
      <c r="G163" s="434">
        <v>15.2</v>
      </c>
      <c r="H163" s="434">
        <v>15.2</v>
      </c>
      <c r="I163" s="434">
        <v>15.2</v>
      </c>
      <c r="J163" s="300"/>
      <c r="K163" s="300"/>
    </row>
    <row r="164" spans="3:11">
      <c r="C164" s="432" t="s">
        <v>337</v>
      </c>
      <c r="E164" s="434">
        <v>6.56</v>
      </c>
      <c r="F164" s="434">
        <v>6.56</v>
      </c>
      <c r="G164" s="434">
        <v>6.56</v>
      </c>
      <c r="H164" s="434">
        <v>6.56</v>
      </c>
      <c r="I164" s="434">
        <v>6.56</v>
      </c>
      <c r="J164" s="300"/>
      <c r="K164" s="300"/>
    </row>
    <row r="165" spans="3:11">
      <c r="C165" s="432" t="s">
        <v>338</v>
      </c>
      <c r="E165" s="434">
        <v>8.4</v>
      </c>
      <c r="F165" s="434">
        <v>8.4</v>
      </c>
      <c r="G165" s="434">
        <v>8.4</v>
      </c>
      <c r="H165" s="434">
        <v>8.4</v>
      </c>
      <c r="I165" s="434">
        <v>8.4</v>
      </c>
      <c r="J165" s="300"/>
      <c r="K165" s="300"/>
    </row>
    <row r="166" spans="3:11">
      <c r="C166" s="432" t="s">
        <v>339</v>
      </c>
      <c r="E166" s="434">
        <v>10.84</v>
      </c>
      <c r="F166" s="434">
        <v>10.84</v>
      </c>
      <c r="G166" s="434">
        <v>10.84</v>
      </c>
      <c r="H166" s="434">
        <v>10.84</v>
      </c>
      <c r="I166" s="434">
        <v>10.84</v>
      </c>
      <c r="J166" s="300"/>
      <c r="K166" s="300"/>
    </row>
    <row r="167" spans="3:11">
      <c r="C167" s="432" t="s">
        <v>340</v>
      </c>
      <c r="E167" s="434">
        <v>6.8</v>
      </c>
      <c r="F167" s="434">
        <v>6.8</v>
      </c>
      <c r="G167" s="434">
        <v>6.8</v>
      </c>
      <c r="H167" s="434">
        <v>6.8</v>
      </c>
      <c r="I167" s="434">
        <v>6.8</v>
      </c>
      <c r="J167" s="300"/>
      <c r="K167" s="300"/>
    </row>
    <row r="168" spans="3:11">
      <c r="C168" s="432" t="s">
        <v>341</v>
      </c>
      <c r="E168" s="434">
        <v>9.6999999999999993</v>
      </c>
      <c r="F168" s="434">
        <v>9.6999999999999993</v>
      </c>
      <c r="G168" s="434">
        <v>9.6999999999999993</v>
      </c>
      <c r="H168" s="434">
        <v>9.6999999999999993</v>
      </c>
      <c r="I168" s="434">
        <v>9.6999999999999993</v>
      </c>
      <c r="J168" s="300"/>
      <c r="K168" s="300"/>
    </row>
    <row r="169" spans="3:11">
      <c r="C169" s="432" t="s">
        <v>342</v>
      </c>
      <c r="E169" s="434">
        <v>13.5</v>
      </c>
      <c r="F169" s="434">
        <v>13.5</v>
      </c>
      <c r="G169" s="434">
        <v>13.5</v>
      </c>
      <c r="H169" s="434">
        <v>13.5</v>
      </c>
      <c r="I169" s="434">
        <v>13.5</v>
      </c>
      <c r="J169" s="300"/>
      <c r="K169" s="300"/>
    </row>
    <row r="170" spans="3:11">
      <c r="C170" s="432" t="s">
        <v>343</v>
      </c>
      <c r="E170" s="434">
        <v>12.7</v>
      </c>
      <c r="F170" s="434">
        <v>12.7</v>
      </c>
      <c r="G170" s="434">
        <v>12.7</v>
      </c>
      <c r="H170" s="434">
        <v>12.7</v>
      </c>
      <c r="I170" s="434">
        <v>12.7</v>
      </c>
      <c r="J170" s="300"/>
      <c r="K170" s="300"/>
    </row>
    <row r="171" spans="3:11">
      <c r="C171" s="432" t="s">
        <v>344</v>
      </c>
      <c r="E171" s="434">
        <v>9</v>
      </c>
      <c r="F171" s="434">
        <v>9</v>
      </c>
      <c r="G171" s="434">
        <v>9</v>
      </c>
      <c r="H171" s="434">
        <v>9</v>
      </c>
      <c r="I171" s="434">
        <v>9</v>
      </c>
      <c r="J171" s="300"/>
      <c r="K171" s="300"/>
    </row>
    <row r="172" spans="3:11">
      <c r="C172" s="432" t="s">
        <v>345</v>
      </c>
      <c r="E172" s="434">
        <v>13.2</v>
      </c>
      <c r="F172" s="434">
        <v>13.2</v>
      </c>
      <c r="G172" s="434">
        <v>13.2</v>
      </c>
      <c r="H172" s="434">
        <v>13.2</v>
      </c>
      <c r="I172" s="434">
        <v>13.2</v>
      </c>
      <c r="J172" s="300"/>
      <c r="K172" s="300"/>
    </row>
    <row r="173" spans="3:11">
      <c r="C173" s="432" t="s">
        <v>346</v>
      </c>
      <c r="E173" s="434">
        <v>21.5</v>
      </c>
      <c r="F173" s="434">
        <v>21.5</v>
      </c>
      <c r="G173" s="434">
        <v>21.5</v>
      </c>
      <c r="H173" s="434">
        <v>21.5</v>
      </c>
      <c r="I173" s="434">
        <v>21.5</v>
      </c>
      <c r="J173" s="300"/>
      <c r="K173" s="300"/>
    </row>
    <row r="174" spans="3:11">
      <c r="C174" s="432" t="s">
        <v>347</v>
      </c>
      <c r="E174" s="434">
        <v>13.3</v>
      </c>
      <c r="F174" s="434">
        <v>13.3</v>
      </c>
      <c r="G174" s="434">
        <v>13.3</v>
      </c>
      <c r="H174" s="434">
        <v>13.3</v>
      </c>
      <c r="I174" s="434">
        <v>13.3</v>
      </c>
      <c r="J174" s="300"/>
      <c r="K174" s="300"/>
    </row>
    <row r="175" spans="3:11">
      <c r="C175" s="432" t="s">
        <v>348</v>
      </c>
      <c r="E175" s="434">
        <v>21.1</v>
      </c>
      <c r="F175" s="434">
        <v>21.1</v>
      </c>
      <c r="G175" s="434">
        <v>21.1</v>
      </c>
      <c r="H175" s="434">
        <v>21.1</v>
      </c>
      <c r="I175" s="434">
        <v>21.1</v>
      </c>
      <c r="J175" s="300"/>
      <c r="K175" s="300"/>
    </row>
    <row r="176" spans="3:11">
      <c r="C176" s="432" t="s">
        <v>349</v>
      </c>
      <c r="E176" s="434">
        <v>15.2</v>
      </c>
      <c r="F176" s="434">
        <v>15.2</v>
      </c>
      <c r="G176" s="434">
        <v>15.2</v>
      </c>
      <c r="H176" s="434">
        <v>15.2</v>
      </c>
      <c r="I176" s="434">
        <v>15.2</v>
      </c>
      <c r="J176" s="300"/>
      <c r="K176" s="300"/>
    </row>
    <row r="177" spans="3:11">
      <c r="C177" s="432" t="s">
        <v>350</v>
      </c>
      <c r="E177" s="434">
        <v>9</v>
      </c>
      <c r="F177" s="434">
        <v>9</v>
      </c>
      <c r="G177" s="434">
        <v>9</v>
      </c>
      <c r="H177" s="434">
        <v>9</v>
      </c>
      <c r="I177" s="434">
        <v>9</v>
      </c>
      <c r="J177" s="300"/>
      <c r="K177" s="300"/>
    </row>
    <row r="178" spans="3:11">
      <c r="C178" s="432" t="s">
        <v>351</v>
      </c>
      <c r="E178" s="434">
        <v>11</v>
      </c>
      <c r="F178" s="434">
        <v>11</v>
      </c>
      <c r="G178" s="434">
        <v>11</v>
      </c>
      <c r="H178" s="434">
        <v>11</v>
      </c>
      <c r="I178" s="434">
        <v>11</v>
      </c>
      <c r="J178" s="300"/>
      <c r="K178" s="300"/>
    </row>
    <row r="179" spans="3:11">
      <c r="C179" s="432" t="s">
        <v>352</v>
      </c>
      <c r="E179" s="434">
        <v>10.1</v>
      </c>
      <c r="F179" s="434">
        <v>10.1</v>
      </c>
      <c r="G179" s="434">
        <v>10.1</v>
      </c>
      <c r="H179" s="434">
        <v>10.1</v>
      </c>
      <c r="I179" s="434">
        <v>10.1</v>
      </c>
      <c r="J179" s="300"/>
      <c r="K179" s="300"/>
    </row>
    <row r="180" spans="3:11">
      <c r="C180" s="432" t="s">
        <v>353</v>
      </c>
      <c r="E180" s="434">
        <v>9.6999999999999993</v>
      </c>
      <c r="F180" s="434">
        <v>9.6999999999999993</v>
      </c>
      <c r="G180" s="434">
        <v>9.6999999999999993</v>
      </c>
      <c r="H180" s="434">
        <v>9.6999999999999993</v>
      </c>
      <c r="I180" s="434">
        <v>9.6999999999999993</v>
      </c>
      <c r="J180" s="300"/>
      <c r="K180" s="300"/>
    </row>
    <row r="181" spans="3:11">
      <c r="C181" s="432" t="s">
        <v>354</v>
      </c>
      <c r="E181" s="434">
        <v>15.3</v>
      </c>
      <c r="F181" s="434">
        <v>15.3</v>
      </c>
      <c r="G181" s="434">
        <v>15.3</v>
      </c>
      <c r="H181" s="434">
        <v>15.3</v>
      </c>
      <c r="I181" s="434">
        <v>15.3</v>
      </c>
      <c r="J181" s="300"/>
      <c r="K181" s="300"/>
    </row>
    <row r="182" spans="3:11">
      <c r="C182" s="432" t="s">
        <v>355</v>
      </c>
      <c r="E182" s="434">
        <v>23.6</v>
      </c>
      <c r="F182" s="434">
        <v>23.6</v>
      </c>
      <c r="G182" s="434">
        <v>23.6</v>
      </c>
      <c r="H182" s="434">
        <v>23.6</v>
      </c>
      <c r="I182" s="434">
        <v>23.6</v>
      </c>
      <c r="J182" s="300"/>
      <c r="K182" s="300"/>
    </row>
    <row r="183" spans="3:11">
      <c r="C183" s="432" t="s">
        <v>356</v>
      </c>
      <c r="E183" s="434">
        <v>21.2</v>
      </c>
      <c r="F183" s="434">
        <v>21.2</v>
      </c>
      <c r="G183" s="434">
        <v>21.2</v>
      </c>
      <c r="H183" s="434">
        <v>21.2</v>
      </c>
      <c r="I183" s="434">
        <v>21.2</v>
      </c>
      <c r="J183" s="300"/>
      <c r="K183" s="300"/>
    </row>
    <row r="184" spans="3:11">
      <c r="C184" s="432" t="s">
        <v>357</v>
      </c>
      <c r="E184" s="434">
        <v>9.1</v>
      </c>
      <c r="F184" s="434">
        <v>9.1</v>
      </c>
      <c r="G184" s="434">
        <v>9.1</v>
      </c>
      <c r="H184" s="434">
        <v>9.1</v>
      </c>
      <c r="I184" s="434">
        <v>9.1</v>
      </c>
      <c r="J184" s="300"/>
      <c r="K184" s="300"/>
    </row>
    <row r="185" spans="3:11">
      <c r="C185" s="432" t="s">
        <v>358</v>
      </c>
      <c r="E185" s="434">
        <v>20.7</v>
      </c>
      <c r="F185" s="434">
        <v>20.7</v>
      </c>
      <c r="G185" s="434">
        <v>20.7</v>
      </c>
      <c r="H185" s="434">
        <v>20.7</v>
      </c>
      <c r="I185" s="434">
        <v>20.7</v>
      </c>
      <c r="J185" s="300"/>
      <c r="K185" s="300"/>
    </row>
    <row r="186" spans="3:11">
      <c r="C186" s="432" t="s">
        <v>359</v>
      </c>
      <c r="E186" s="434">
        <v>20.8</v>
      </c>
      <c r="F186" s="434">
        <v>20.8</v>
      </c>
      <c r="G186" s="434">
        <v>20.8</v>
      </c>
      <c r="H186" s="434">
        <v>20.8</v>
      </c>
      <c r="I186" s="434">
        <v>20.8</v>
      </c>
      <c r="J186" s="300"/>
      <c r="K186" s="300"/>
    </row>
    <row r="187" spans="3:11">
      <c r="C187" s="432" t="s">
        <v>360</v>
      </c>
      <c r="E187" s="434">
        <v>10.9</v>
      </c>
      <c r="F187" s="434">
        <v>10.9</v>
      </c>
      <c r="G187" s="434">
        <v>10.9</v>
      </c>
      <c r="H187" s="434">
        <v>10.9</v>
      </c>
      <c r="I187" s="434">
        <v>10.9</v>
      </c>
      <c r="J187" s="300"/>
      <c r="K187" s="300"/>
    </row>
    <row r="188" spans="3:11">
      <c r="C188" s="432" t="s">
        <v>361</v>
      </c>
      <c r="E188" s="434">
        <v>17.600000000000001</v>
      </c>
      <c r="F188" s="434">
        <v>17.600000000000001</v>
      </c>
      <c r="G188" s="434">
        <v>17.600000000000001</v>
      </c>
      <c r="H188" s="434">
        <v>17.600000000000001</v>
      </c>
      <c r="I188" s="434">
        <v>17.600000000000001</v>
      </c>
      <c r="J188" s="300"/>
      <c r="K188" s="300"/>
    </row>
    <row r="189" spans="3:11">
      <c r="C189" s="432" t="s">
        <v>362</v>
      </c>
      <c r="E189" s="434">
        <v>18.5</v>
      </c>
      <c r="F189" s="434">
        <v>18.5</v>
      </c>
      <c r="G189" s="434">
        <v>18.5</v>
      </c>
      <c r="H189" s="434">
        <v>18.5</v>
      </c>
      <c r="I189" s="434">
        <v>18.5</v>
      </c>
      <c r="J189" s="300"/>
      <c r="K189" s="300"/>
    </row>
    <row r="190" spans="3:11">
      <c r="C190" s="432" t="s">
        <v>363</v>
      </c>
      <c r="E190" s="434">
        <v>18.7</v>
      </c>
      <c r="F190" s="434">
        <v>18.7</v>
      </c>
      <c r="G190" s="434">
        <v>18.7</v>
      </c>
      <c r="H190" s="434">
        <v>18.7</v>
      </c>
      <c r="I190" s="434">
        <v>18.7</v>
      </c>
      <c r="J190" s="300"/>
      <c r="K190" s="300"/>
    </row>
    <row r="191" spans="3:11">
      <c r="C191" s="432" t="s">
        <v>364</v>
      </c>
      <c r="E191" s="434">
        <v>19.3</v>
      </c>
      <c r="F191" s="434">
        <v>19.3</v>
      </c>
      <c r="G191" s="434">
        <v>19.3</v>
      </c>
      <c r="H191" s="434">
        <v>19.3</v>
      </c>
      <c r="I191" s="434">
        <v>19.3</v>
      </c>
      <c r="J191" s="300"/>
      <c r="K191" s="300"/>
    </row>
    <row r="192" spans="3:11">
      <c r="C192" s="432" t="s">
        <v>365</v>
      </c>
      <c r="E192" s="434">
        <v>20.2</v>
      </c>
      <c r="F192" s="434">
        <v>20.2</v>
      </c>
      <c r="G192" s="434">
        <v>20.2</v>
      </c>
      <c r="H192" s="434">
        <v>20.2</v>
      </c>
      <c r="I192" s="434">
        <v>20.2</v>
      </c>
      <c r="J192" s="300"/>
      <c r="K192" s="300"/>
    </row>
    <row r="193" spans="3:16">
      <c r="C193" s="597"/>
      <c r="E193" s="434"/>
      <c r="F193" s="434"/>
      <c r="G193" s="434"/>
      <c r="H193" s="434"/>
      <c r="I193" s="434"/>
      <c r="J193" s="300"/>
      <c r="K193" s="300"/>
    </row>
    <row r="194" spans="3:16">
      <c r="C194" s="432"/>
      <c r="E194" s="434"/>
      <c r="F194" s="434"/>
      <c r="G194" s="434"/>
      <c r="H194" s="434"/>
      <c r="I194" s="434"/>
      <c r="J194" s="300"/>
      <c r="K194" s="300"/>
    </row>
    <row r="195" spans="3:16">
      <c r="C195" s="439" t="s">
        <v>366</v>
      </c>
      <c r="E195" s="508">
        <v>2023</v>
      </c>
      <c r="F195" s="508">
        <f>E195+1</f>
        <v>2024</v>
      </c>
      <c r="G195" s="508">
        <f t="shared" ref="G195:J195" si="2">F195+1</f>
        <v>2025</v>
      </c>
      <c r="H195" s="508">
        <f t="shared" si="2"/>
        <v>2026</v>
      </c>
      <c r="I195" s="508">
        <f t="shared" si="2"/>
        <v>2027</v>
      </c>
      <c r="J195" s="508">
        <f t="shared" si="2"/>
        <v>2028</v>
      </c>
      <c r="K195" s="300"/>
    </row>
    <row r="196" spans="3:16">
      <c r="C196" s="442" t="s">
        <v>324</v>
      </c>
      <c r="E196" s="443">
        <v>615.20000000000016</v>
      </c>
      <c r="F196" s="443">
        <v>615.20000000000016</v>
      </c>
      <c r="G196" s="443">
        <v>615.20000000000016</v>
      </c>
      <c r="H196" s="443">
        <v>615.20000000000016</v>
      </c>
      <c r="I196" s="443">
        <v>615.20000000000016</v>
      </c>
      <c r="J196" s="443">
        <v>615.20000000000016</v>
      </c>
      <c r="K196" s="300"/>
    </row>
    <row r="197" spans="3:16" ht="65">
      <c r="C197" s="508"/>
      <c r="E197" s="508">
        <v>2023</v>
      </c>
      <c r="F197" s="508">
        <v>2024</v>
      </c>
      <c r="G197" s="508">
        <v>2025</v>
      </c>
      <c r="H197" s="508">
        <v>2026</v>
      </c>
      <c r="I197" s="508">
        <v>2027</v>
      </c>
      <c r="J197" s="508">
        <v>2028</v>
      </c>
      <c r="K197" s="507" t="s">
        <v>367</v>
      </c>
      <c r="L197" s="507" t="s">
        <v>368</v>
      </c>
      <c r="M197" s="507" t="s">
        <v>369</v>
      </c>
    </row>
    <row r="198" spans="3:16" ht="14.5">
      <c r="C198" s="427" t="s">
        <v>370</v>
      </c>
      <c r="E198" s="444">
        <v>331.09998922831051</v>
      </c>
      <c r="F198" s="444">
        <v>331.09998922831051</v>
      </c>
      <c r="G198" s="444">
        <v>331.09998922831051</v>
      </c>
      <c r="H198" s="444">
        <v>331.09998922831051</v>
      </c>
      <c r="I198" s="444">
        <v>331.09998922831051</v>
      </c>
      <c r="J198" s="444">
        <v>331.09998907103824</v>
      </c>
      <c r="K198" s="444" t="s">
        <v>371</v>
      </c>
      <c r="L198" s="779">
        <v>253.44698555213384</v>
      </c>
      <c r="M198" s="779">
        <v>244.19617057948096</v>
      </c>
      <c r="N198" s="445"/>
      <c r="O198" s="445"/>
      <c r="P198" s="420"/>
    </row>
    <row r="199" spans="3:16" ht="14.5">
      <c r="C199" s="432" t="s">
        <v>372</v>
      </c>
      <c r="E199" s="434">
        <v>67.800000228310495</v>
      </c>
      <c r="F199" s="434">
        <v>67.800000228310495</v>
      </c>
      <c r="G199" s="434">
        <v>67.800000228310495</v>
      </c>
      <c r="H199" s="434">
        <v>67.800000228310495</v>
      </c>
      <c r="I199" s="434">
        <v>67.800000228310495</v>
      </c>
      <c r="J199" s="434">
        <v>67.8</v>
      </c>
      <c r="K199" s="446">
        <v>40299</v>
      </c>
      <c r="L199" s="445">
        <v>289.24104982909108</v>
      </c>
      <c r="M199" s="445">
        <f t="shared" ref="M199:M206" si="3">L199*(1-0.0365)</f>
        <v>278.68375151032927</v>
      </c>
      <c r="N199" s="445"/>
      <c r="O199" s="445"/>
      <c r="P199" s="420"/>
    </row>
    <row r="200" spans="3:16" ht="14.5">
      <c r="C200" s="432" t="s">
        <v>373</v>
      </c>
      <c r="E200" s="434">
        <v>22.599999</v>
      </c>
      <c r="F200" s="434">
        <v>22.599999</v>
      </c>
      <c r="G200" s="434">
        <v>22.599999</v>
      </c>
      <c r="H200" s="434">
        <v>22.599999</v>
      </c>
      <c r="I200" s="434">
        <v>22.599999</v>
      </c>
      <c r="J200" s="434">
        <v>22.599998633879775</v>
      </c>
      <c r="K200" s="446">
        <v>41640</v>
      </c>
      <c r="L200" s="445">
        <v>218.88763510200332</v>
      </c>
      <c r="M200" s="445">
        <f t="shared" si="3"/>
        <v>210.89823642078019</v>
      </c>
      <c r="N200" s="445"/>
      <c r="O200" s="445"/>
      <c r="P200" s="420"/>
    </row>
    <row r="201" spans="3:16" ht="14.5">
      <c r="C201" s="432" t="s">
        <v>374</v>
      </c>
      <c r="E201" s="434">
        <v>107.799993</v>
      </c>
      <c r="F201" s="434">
        <v>107.799993</v>
      </c>
      <c r="G201" s="434">
        <v>107.799993</v>
      </c>
      <c r="H201" s="434">
        <v>107.799993</v>
      </c>
      <c r="I201" s="434">
        <v>107.799993</v>
      </c>
      <c r="J201" s="434">
        <v>107.7999931693989</v>
      </c>
      <c r="K201" s="446">
        <v>41821</v>
      </c>
      <c r="L201" s="445">
        <v>230.86624766346387</v>
      </c>
      <c r="M201" s="445">
        <f t="shared" si="3"/>
        <v>222.43962962374744</v>
      </c>
      <c r="N201" s="445"/>
      <c r="O201" s="445"/>
      <c r="P201" s="420"/>
    </row>
    <row r="202" spans="3:16" ht="14.5">
      <c r="C202" s="432" t="s">
        <v>375</v>
      </c>
      <c r="E202" s="434">
        <v>14.399996999999992</v>
      </c>
      <c r="F202" s="434">
        <v>14.399996999999992</v>
      </c>
      <c r="G202" s="434">
        <v>14.399996999999992</v>
      </c>
      <c r="H202" s="434">
        <v>14.399996999999992</v>
      </c>
      <c r="I202" s="434">
        <v>14.399997000000001</v>
      </c>
      <c r="J202" s="434">
        <v>14.399997267759559</v>
      </c>
      <c r="K202" s="446">
        <v>41974</v>
      </c>
      <c r="L202" s="445">
        <v>232.94232902414876</v>
      </c>
      <c r="M202" s="445">
        <f t="shared" si="3"/>
        <v>224.43993401476735</v>
      </c>
      <c r="N202" s="445"/>
      <c r="O202" s="445"/>
      <c r="P202" s="420"/>
    </row>
    <row r="203" spans="3:16" ht="14.5">
      <c r="C203" s="432" t="s">
        <v>376</v>
      </c>
      <c r="E203" s="434">
        <v>16</v>
      </c>
      <c r="F203" s="434">
        <v>16</v>
      </c>
      <c r="G203" s="434">
        <v>16</v>
      </c>
      <c r="H203" s="434">
        <v>16</v>
      </c>
      <c r="I203" s="434">
        <v>16</v>
      </c>
      <c r="J203" s="434">
        <v>16</v>
      </c>
      <c r="K203" s="446">
        <v>40179</v>
      </c>
      <c r="L203" s="445">
        <v>350.01628822946424</v>
      </c>
      <c r="M203" s="445">
        <f t="shared" si="3"/>
        <v>337.24069370908882</v>
      </c>
      <c r="N203" s="445"/>
      <c r="O203" s="445"/>
      <c r="P203" s="420"/>
    </row>
    <row r="204" spans="3:16" ht="14.5">
      <c r="C204" s="432" t="s">
        <v>377</v>
      </c>
      <c r="E204" s="434">
        <v>49.5</v>
      </c>
      <c r="F204" s="434">
        <v>49.5</v>
      </c>
      <c r="G204" s="434">
        <v>49.5</v>
      </c>
      <c r="H204" s="434">
        <v>49.5</v>
      </c>
      <c r="I204" s="434">
        <v>49.5</v>
      </c>
      <c r="J204" s="434">
        <v>49.5</v>
      </c>
      <c r="K204" s="446">
        <v>40330</v>
      </c>
      <c r="L204" s="445">
        <v>267.97308935789391</v>
      </c>
      <c r="M204" s="445">
        <f t="shared" si="3"/>
        <v>258.19207159633078</v>
      </c>
      <c r="N204" s="445"/>
      <c r="O204" s="445"/>
      <c r="P204" s="420"/>
    </row>
    <row r="205" spans="3:16" ht="14.5">
      <c r="C205" s="432" t="s">
        <v>378</v>
      </c>
      <c r="E205" s="434">
        <v>22.200000000000003</v>
      </c>
      <c r="F205" s="434">
        <v>22.200000000000003</v>
      </c>
      <c r="G205" s="434">
        <v>22.200000000000003</v>
      </c>
      <c r="H205" s="434">
        <v>22.200000000000003</v>
      </c>
      <c r="I205" s="434">
        <v>22.2</v>
      </c>
      <c r="J205" s="434">
        <v>22.200000000000003</v>
      </c>
      <c r="K205" s="446">
        <v>40787</v>
      </c>
      <c r="L205" s="445">
        <v>210.66628419960213</v>
      </c>
      <c r="M205" s="445">
        <f t="shared" si="3"/>
        <v>202.97696482631665</v>
      </c>
      <c r="N205" s="445"/>
      <c r="O205" s="445"/>
      <c r="P205" s="420"/>
    </row>
    <row r="206" spans="3:16" ht="14.5">
      <c r="C206" s="432" t="s">
        <v>379</v>
      </c>
      <c r="E206" s="434">
        <v>21.1</v>
      </c>
      <c r="F206" s="434">
        <v>21.1</v>
      </c>
      <c r="G206" s="434">
        <v>21.1</v>
      </c>
      <c r="H206" s="434">
        <v>21.1</v>
      </c>
      <c r="I206" s="434">
        <v>21.1</v>
      </c>
      <c r="J206" s="434">
        <v>21.099999999999998</v>
      </c>
      <c r="K206" s="446">
        <v>41944</v>
      </c>
      <c r="L206" s="445">
        <v>235.52609988920756</v>
      </c>
      <c r="M206" s="445">
        <f t="shared" si="3"/>
        <v>226.92939724325149</v>
      </c>
      <c r="N206" s="445"/>
      <c r="O206" s="445"/>
      <c r="P206" s="420"/>
    </row>
    <row r="207" spans="3:16" ht="14.5">
      <c r="C207" s="447" t="s">
        <v>380</v>
      </c>
      <c r="E207" s="448">
        <v>9.7000000000000011</v>
      </c>
      <c r="F207" s="448">
        <v>9.7000000000000011</v>
      </c>
      <c r="G207" s="448">
        <v>9.7000000000000011</v>
      </c>
      <c r="H207" s="448">
        <v>9.7000000000000011</v>
      </c>
      <c r="I207" s="448">
        <v>9.6999999999999993</v>
      </c>
      <c r="J207" s="448">
        <v>9.7000000000000011</v>
      </c>
      <c r="K207" s="449">
        <v>42339</v>
      </c>
      <c r="L207" s="450">
        <v>268.64135406530312</v>
      </c>
      <c r="M207" s="450">
        <f>L207*(1-0.0365)</f>
        <v>258.83594464191958</v>
      </c>
      <c r="N207" s="445"/>
      <c r="O207" s="445"/>
      <c r="P207" s="420"/>
    </row>
    <row r="208" spans="3:16" ht="14.5">
      <c r="C208" s="427" t="s">
        <v>381</v>
      </c>
      <c r="E208" s="444">
        <v>239.02876760547949</v>
      </c>
      <c r="F208" s="444">
        <v>231.99405097775184</v>
      </c>
      <c r="G208" s="444">
        <v>231.06334278904114</v>
      </c>
      <c r="H208" s="444">
        <v>218.54279484383562</v>
      </c>
      <c r="I208" s="444">
        <v>210.53450991232882</v>
      </c>
      <c r="J208" s="444">
        <v>210.47029143897996</v>
      </c>
      <c r="K208" s="451" t="s">
        <v>371</v>
      </c>
      <c r="L208" s="779">
        <v>184.76492249336101</v>
      </c>
      <c r="M208" s="779">
        <f>L208*(1-0.0365)</f>
        <v>178.02100282235335</v>
      </c>
      <c r="N208" s="445"/>
      <c r="O208" s="445"/>
      <c r="P208" s="420"/>
    </row>
    <row r="209" spans="3:12">
      <c r="C209" s="429" t="s">
        <v>382</v>
      </c>
      <c r="E209" s="441">
        <f>E198+E208</f>
        <v>570.12875683379002</v>
      </c>
      <c r="F209" s="441">
        <f t="shared" ref="F209:J209" si="4">F198+F208</f>
        <v>563.09404020606235</v>
      </c>
      <c r="G209" s="441">
        <f t="shared" si="4"/>
        <v>562.16333201735165</v>
      </c>
      <c r="H209" s="441">
        <f t="shared" si="4"/>
        <v>549.64278407214613</v>
      </c>
      <c r="I209" s="441">
        <f t="shared" si="4"/>
        <v>541.63449914063926</v>
      </c>
      <c r="J209" s="441">
        <f t="shared" si="4"/>
        <v>541.57028051001816</v>
      </c>
      <c r="K209" s="300"/>
    </row>
    <row r="210" spans="3:12">
      <c r="C210" s="452" t="s">
        <v>383</v>
      </c>
      <c r="E210" s="434">
        <f>E196-E209</f>
        <v>45.071243166210138</v>
      </c>
      <c r="F210" s="434">
        <f t="shared" ref="F210:J210" si="5">F196-F209</f>
        <v>52.105959793937814</v>
      </c>
      <c r="G210" s="434">
        <f t="shared" si="5"/>
        <v>53.03666798264851</v>
      </c>
      <c r="H210" s="434">
        <f t="shared" si="5"/>
        <v>65.557215927854031</v>
      </c>
      <c r="I210" s="434">
        <f t="shared" si="5"/>
        <v>73.565500859360895</v>
      </c>
      <c r="J210" s="434">
        <f t="shared" si="5"/>
        <v>73.629719489981994</v>
      </c>
      <c r="K210" s="300"/>
    </row>
    <row r="211" spans="3:12">
      <c r="C211" s="126" t="s">
        <v>384</v>
      </c>
      <c r="E211" s="434">
        <v>218.08724903857197</v>
      </c>
      <c r="F211" s="434">
        <v>225.25054379978891</v>
      </c>
      <c r="G211" s="434">
        <v>230.01986179423474</v>
      </c>
      <c r="H211" s="434">
        <v>227.67928797619348</v>
      </c>
      <c r="I211" s="434">
        <v>227.3911348046349</v>
      </c>
      <c r="J211" s="434">
        <v>224.84083695204436</v>
      </c>
      <c r="K211" s="300"/>
    </row>
    <row r="212" spans="3:12">
      <c r="C212" s="127" t="s">
        <v>385</v>
      </c>
      <c r="E212" s="453">
        <f>E209/E196</f>
        <v>0.92673725103021765</v>
      </c>
      <c r="F212" s="453">
        <f t="shared" ref="F212:J212" si="6">F209/F196</f>
        <v>0.91530240605666813</v>
      </c>
      <c r="G212" s="453">
        <f t="shared" si="6"/>
        <v>0.91378955139361429</v>
      </c>
      <c r="H212" s="453">
        <f t="shared" si="6"/>
        <v>0.89343755538385239</v>
      </c>
      <c r="I212" s="453">
        <f t="shared" si="6"/>
        <v>0.88042018715968651</v>
      </c>
      <c r="J212" s="453">
        <f t="shared" si="6"/>
        <v>0.88031580056894998</v>
      </c>
      <c r="K212" s="454"/>
      <c r="L212" s="127"/>
    </row>
    <row r="213" spans="3:12">
      <c r="J213" s="300"/>
      <c r="K213" s="300"/>
    </row>
    <row r="214" spans="3:12">
      <c r="C214" s="432" t="s">
        <v>386</v>
      </c>
      <c r="J214" s="300"/>
      <c r="K214" s="300"/>
    </row>
    <row r="216" spans="3:12">
      <c r="C216" s="425" t="s">
        <v>387</v>
      </c>
      <c r="E216" s="425" t="s">
        <v>388</v>
      </c>
      <c r="F216" s="426"/>
      <c r="G216" s="426"/>
      <c r="H216" s="426"/>
      <c r="I216" s="426"/>
    </row>
    <row r="217" spans="3:12">
      <c r="C217" s="455" t="s">
        <v>389</v>
      </c>
      <c r="D217" s="455"/>
      <c r="E217" s="455" t="s">
        <v>337</v>
      </c>
    </row>
    <row r="218" spans="3:12">
      <c r="C218" s="455" t="s">
        <v>390</v>
      </c>
      <c r="D218" s="455"/>
      <c r="E218" s="455" t="s">
        <v>337</v>
      </c>
    </row>
    <row r="219" spans="3:12">
      <c r="C219" s="455" t="s">
        <v>391</v>
      </c>
      <c r="D219" s="455"/>
      <c r="E219" s="455" t="s">
        <v>392</v>
      </c>
    </row>
    <row r="220" spans="3:12">
      <c r="C220" s="455" t="s">
        <v>393</v>
      </c>
      <c r="D220" s="455"/>
      <c r="E220" s="455" t="s">
        <v>392</v>
      </c>
    </row>
    <row r="221" spans="3:12">
      <c r="C221" s="455" t="s">
        <v>394</v>
      </c>
      <c r="D221" s="455"/>
      <c r="E221" s="455" t="s">
        <v>392</v>
      </c>
    </row>
    <row r="222" spans="3:12">
      <c r="C222" s="455" t="s">
        <v>395</v>
      </c>
      <c r="D222" s="455"/>
      <c r="E222" s="455" t="s">
        <v>339</v>
      </c>
    </row>
    <row r="223" spans="3:12">
      <c r="C223" s="455" t="s">
        <v>396</v>
      </c>
      <c r="D223" s="455"/>
      <c r="E223" s="455" t="s">
        <v>339</v>
      </c>
    </row>
    <row r="224" spans="3:12">
      <c r="C224" s="455" t="s">
        <v>397</v>
      </c>
      <c r="D224" s="455"/>
      <c r="E224" s="455" t="s">
        <v>339</v>
      </c>
    </row>
    <row r="225" spans="3:5">
      <c r="C225" s="455" t="s">
        <v>398</v>
      </c>
      <c r="D225" s="455"/>
      <c r="E225" s="455" t="s">
        <v>399</v>
      </c>
    </row>
    <row r="226" spans="3:5">
      <c r="C226" s="455" t="s">
        <v>400</v>
      </c>
      <c r="D226" s="455"/>
      <c r="E226" s="455" t="s">
        <v>399</v>
      </c>
    </row>
    <row r="227" spans="3:5">
      <c r="C227" s="455" t="s">
        <v>401</v>
      </c>
      <c r="D227" s="455"/>
      <c r="E227" s="455" t="s">
        <v>399</v>
      </c>
    </row>
    <row r="228" spans="3:5">
      <c r="C228" s="455" t="s">
        <v>402</v>
      </c>
      <c r="D228" s="455"/>
      <c r="E228" s="455" t="s">
        <v>399</v>
      </c>
    </row>
    <row r="229" spans="3:5">
      <c r="C229" s="455" t="s">
        <v>403</v>
      </c>
      <c r="D229" s="455"/>
      <c r="E229" s="455" t="s">
        <v>399</v>
      </c>
    </row>
    <row r="230" spans="3:5">
      <c r="C230" s="455" t="s">
        <v>404</v>
      </c>
      <c r="D230" s="455"/>
      <c r="E230" s="455" t="s">
        <v>146</v>
      </c>
    </row>
    <row r="231" spans="3:5">
      <c r="C231" s="455" t="s">
        <v>405</v>
      </c>
      <c r="D231" s="455"/>
      <c r="E231" s="455" t="s">
        <v>146</v>
      </c>
    </row>
    <row r="232" spans="3:5">
      <c r="C232" s="455" t="s">
        <v>406</v>
      </c>
      <c r="D232" s="455"/>
      <c r="E232" s="455" t="s">
        <v>146</v>
      </c>
    </row>
    <row r="233" spans="3:5">
      <c r="C233" s="455" t="s">
        <v>407</v>
      </c>
      <c r="D233" s="455"/>
      <c r="E233" s="455" t="s">
        <v>146</v>
      </c>
    </row>
    <row r="234" spans="3:5">
      <c r="C234" s="455" t="s">
        <v>408</v>
      </c>
      <c r="D234" s="455"/>
      <c r="E234" s="455" t="s">
        <v>146</v>
      </c>
    </row>
    <row r="235" spans="3:5">
      <c r="C235" s="455" t="s">
        <v>409</v>
      </c>
      <c r="D235" s="455"/>
      <c r="E235" s="455" t="s">
        <v>146</v>
      </c>
    </row>
    <row r="236" spans="3:5">
      <c r="C236" s="455" t="s">
        <v>410</v>
      </c>
      <c r="D236" s="455"/>
      <c r="E236" s="455" t="s">
        <v>146</v>
      </c>
    </row>
    <row r="237" spans="3:5">
      <c r="C237" s="455" t="s">
        <v>410</v>
      </c>
      <c r="D237" s="455"/>
      <c r="E237" s="455" t="s">
        <v>146</v>
      </c>
    </row>
    <row r="238" spans="3:5">
      <c r="C238" s="455" t="s">
        <v>411</v>
      </c>
      <c r="D238" s="455"/>
      <c r="E238" s="455" t="s">
        <v>146</v>
      </c>
    </row>
    <row r="239" spans="3:5">
      <c r="C239" s="455" t="s">
        <v>412</v>
      </c>
      <c r="D239" s="455"/>
      <c r="E239" s="455" t="s">
        <v>413</v>
      </c>
    </row>
    <row r="240" spans="3:5">
      <c r="C240" s="455" t="s">
        <v>414</v>
      </c>
      <c r="D240" s="455"/>
      <c r="E240" s="455" t="s">
        <v>413</v>
      </c>
    </row>
    <row r="241" spans="3:5">
      <c r="C241" s="455" t="s">
        <v>415</v>
      </c>
      <c r="D241" s="455"/>
      <c r="E241" s="455" t="s">
        <v>413</v>
      </c>
    </row>
    <row r="242" spans="3:5">
      <c r="C242" s="455" t="s">
        <v>416</v>
      </c>
      <c r="D242" s="455"/>
      <c r="E242" s="455" t="s">
        <v>343</v>
      </c>
    </row>
    <row r="243" spans="3:5">
      <c r="C243" s="455" t="s">
        <v>417</v>
      </c>
      <c r="D243" s="455"/>
      <c r="E243" s="455" t="s">
        <v>343</v>
      </c>
    </row>
    <row r="244" spans="3:5">
      <c r="C244" s="455" t="s">
        <v>418</v>
      </c>
      <c r="D244" s="455"/>
      <c r="E244" s="455" t="s">
        <v>343</v>
      </c>
    </row>
    <row r="245" spans="3:5">
      <c r="C245" s="455" t="s">
        <v>419</v>
      </c>
      <c r="D245" s="455"/>
      <c r="E245" s="455" t="s">
        <v>343</v>
      </c>
    </row>
    <row r="246" spans="3:5">
      <c r="C246" s="455" t="s">
        <v>420</v>
      </c>
      <c r="D246" s="455"/>
      <c r="E246" s="455" t="s">
        <v>421</v>
      </c>
    </row>
    <row r="247" spans="3:5">
      <c r="C247" s="455" t="s">
        <v>422</v>
      </c>
      <c r="D247" s="455"/>
      <c r="E247" s="455" t="s">
        <v>421</v>
      </c>
    </row>
    <row r="248" spans="3:5">
      <c r="C248" s="455" t="s">
        <v>423</v>
      </c>
      <c r="D248" s="455"/>
      <c r="E248" s="455" t="s">
        <v>421</v>
      </c>
    </row>
    <row r="249" spans="3:5">
      <c r="C249" s="455" t="s">
        <v>424</v>
      </c>
      <c r="D249" s="455"/>
      <c r="E249" s="455" t="s">
        <v>421</v>
      </c>
    </row>
    <row r="250" spans="3:5">
      <c r="C250" s="455" t="s">
        <v>425</v>
      </c>
      <c r="D250" s="455"/>
      <c r="E250" s="455" t="s">
        <v>421</v>
      </c>
    </row>
    <row r="251" spans="3:5">
      <c r="C251" s="455" t="s">
        <v>426</v>
      </c>
      <c r="D251" s="455"/>
      <c r="E251" s="455" t="s">
        <v>421</v>
      </c>
    </row>
    <row r="252" spans="3:5">
      <c r="C252" s="455" t="s">
        <v>427</v>
      </c>
      <c r="D252" s="455"/>
      <c r="E252" s="455" t="s">
        <v>421</v>
      </c>
    </row>
    <row r="253" spans="3:5">
      <c r="C253" s="455" t="s">
        <v>428</v>
      </c>
      <c r="D253" s="455"/>
      <c r="E253" s="455" t="s">
        <v>421</v>
      </c>
    </row>
    <row r="254" spans="3:5">
      <c r="C254" s="455" t="s">
        <v>429</v>
      </c>
      <c r="D254" s="455"/>
      <c r="E254" s="455" t="s">
        <v>430</v>
      </c>
    </row>
    <row r="255" spans="3:5">
      <c r="C255" s="455" t="s">
        <v>431</v>
      </c>
      <c r="D255" s="455"/>
      <c r="E255" s="455" t="s">
        <v>430</v>
      </c>
    </row>
    <row r="256" spans="3:5">
      <c r="C256" s="455" t="s">
        <v>432</v>
      </c>
      <c r="D256" s="455"/>
      <c r="E256" s="455" t="s">
        <v>430</v>
      </c>
    </row>
    <row r="257" spans="3:5">
      <c r="C257" s="455" t="s">
        <v>433</v>
      </c>
      <c r="D257" s="455"/>
      <c r="E257" s="455" t="s">
        <v>430</v>
      </c>
    </row>
    <row r="258" spans="3:5">
      <c r="C258" s="455" t="s">
        <v>434</v>
      </c>
      <c r="D258" s="455"/>
      <c r="E258" s="455" t="s">
        <v>430</v>
      </c>
    </row>
    <row r="259" spans="3:5">
      <c r="C259" s="455" t="s">
        <v>435</v>
      </c>
      <c r="D259" s="455"/>
      <c r="E259" s="455" t="s">
        <v>430</v>
      </c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K65:K68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79998168889431442"/>
  </sheetPr>
  <dimension ref="C2:L24"/>
  <sheetViews>
    <sheetView showGridLines="0" zoomScaleNormal="100" workbookViewId="0">
      <selection activeCell="L9" sqref="L9"/>
    </sheetView>
  </sheetViews>
  <sheetFormatPr defaultColWidth="8.81640625" defaultRowHeight="13"/>
  <cols>
    <col min="1" max="1" width="2.81640625" style="126" customWidth="1"/>
    <col min="2" max="2" width="8.81640625" style="126"/>
    <col min="3" max="3" width="54.54296875" style="126" customWidth="1"/>
    <col min="4" max="4" width="2.26953125" style="126" customWidth="1"/>
    <col min="5" max="17" width="9.81640625" style="126" customWidth="1"/>
    <col min="18" max="16384" width="8.81640625" style="126"/>
  </cols>
  <sheetData>
    <row r="2" spans="3:12" ht="12.65" customHeight="1"/>
    <row r="3" spans="3:12" ht="12.65" customHeight="1"/>
    <row r="4" spans="3:12" ht="12.65" customHeight="1"/>
    <row r="6" spans="3:12">
      <c r="C6" s="41" t="s">
        <v>436</v>
      </c>
      <c r="E6" s="41"/>
      <c r="F6" s="41"/>
      <c r="G6" s="41"/>
      <c r="H6" s="41"/>
      <c r="I6" s="41"/>
      <c r="J6" s="41"/>
      <c r="K6" s="41"/>
      <c r="L6" s="41"/>
    </row>
    <row r="7" spans="3:12">
      <c r="C7" s="527" t="s">
        <v>437</v>
      </c>
      <c r="E7" s="528" t="s">
        <v>47</v>
      </c>
      <c r="F7" s="528" t="s">
        <v>48</v>
      </c>
      <c r="G7" s="528" t="s">
        <v>49</v>
      </c>
      <c r="H7" s="528" t="s">
        <v>50</v>
      </c>
      <c r="I7" s="528" t="s">
        <v>51</v>
      </c>
      <c r="J7" s="528" t="s">
        <v>52</v>
      </c>
      <c r="K7" s="528" t="s">
        <v>53</v>
      </c>
      <c r="L7" s="528" t="s">
        <v>54</v>
      </c>
    </row>
    <row r="8" spans="3:12" hidden="1">
      <c r="C8" s="173" t="s">
        <v>438</v>
      </c>
      <c r="E8" s="496">
        <v>66.56</v>
      </c>
      <c r="F8" s="496">
        <v>78.173000000000002</v>
      </c>
      <c r="G8" s="496">
        <v>76.549000000000007</v>
      </c>
      <c r="H8" s="496">
        <v>71.712999999999994</v>
      </c>
      <c r="I8" s="496">
        <v>75.471000000000004</v>
      </c>
      <c r="J8" s="496">
        <v>75.37</v>
      </c>
      <c r="K8" s="496">
        <v>75.165999999999997</v>
      </c>
      <c r="L8" s="496"/>
    </row>
    <row r="9" spans="3:12">
      <c r="C9" s="173" t="s">
        <v>439</v>
      </c>
      <c r="E9" s="496">
        <v>71.567999999999998</v>
      </c>
      <c r="F9" s="496">
        <v>88.777000000000001</v>
      </c>
      <c r="G9" s="496">
        <v>85.67</v>
      </c>
      <c r="H9" s="496">
        <v>79.828000000000003</v>
      </c>
      <c r="I9" s="496">
        <v>82.596999999999994</v>
      </c>
      <c r="J9" s="496">
        <v>81.486000000000004</v>
      </c>
      <c r="K9" s="496">
        <v>80.747</v>
      </c>
      <c r="L9" s="496">
        <v>82.272000000000006</v>
      </c>
    </row>
    <row r="10" spans="3:12" hidden="1">
      <c r="C10" s="173" t="s">
        <v>440</v>
      </c>
      <c r="E10" s="494">
        <f>E9/E8</f>
        <v>1.0752403846153846</v>
      </c>
      <c r="F10" s="494">
        <f t="shared" ref="F10:H10" si="0">F9/F8</f>
        <v>1.1356478579560718</v>
      </c>
      <c r="G10" s="494">
        <f t="shared" si="0"/>
        <v>1.1191524383074893</v>
      </c>
      <c r="H10" s="494">
        <f t="shared" si="0"/>
        <v>1.1131593992720987</v>
      </c>
      <c r="I10" s="494">
        <f>I9/I8</f>
        <v>1.0944203733884537</v>
      </c>
      <c r="J10" s="494">
        <v>1.0811463446994825</v>
      </c>
      <c r="K10" s="494">
        <v>1.0742489955565016</v>
      </c>
      <c r="L10" s="494"/>
    </row>
    <row r="11" spans="3:12" ht="13.5">
      <c r="C11" s="173" t="s">
        <v>441</v>
      </c>
      <c r="E11" s="493">
        <v>3772.9479999999999</v>
      </c>
      <c r="F11" s="493">
        <v>5264.6120000000001</v>
      </c>
      <c r="G11" s="493">
        <v>5787.6639999999998</v>
      </c>
      <c r="H11" s="493">
        <v>5515.3509999999997</v>
      </c>
      <c r="I11" s="493">
        <v>5507.5420000000004</v>
      </c>
      <c r="J11" s="493">
        <v>5450.4080000000004</v>
      </c>
      <c r="K11" s="493">
        <v>4964.6899999999996</v>
      </c>
      <c r="L11" s="493">
        <v>5047.4189999999999</v>
      </c>
    </row>
    <row r="12" spans="3:12">
      <c r="C12" s="173" t="s">
        <v>442</v>
      </c>
      <c r="E12" s="495">
        <v>0.35</v>
      </c>
      <c r="F12" s="495">
        <v>0.40579999999999999</v>
      </c>
      <c r="G12" s="495">
        <v>0.40579999999999999</v>
      </c>
      <c r="H12" s="495">
        <v>0.42</v>
      </c>
      <c r="I12" s="495">
        <v>0.42</v>
      </c>
      <c r="J12" s="495">
        <v>0.42</v>
      </c>
      <c r="K12" s="495">
        <v>0.42</v>
      </c>
      <c r="L12" s="495">
        <v>0.55979999999999996</v>
      </c>
    </row>
    <row r="13" spans="3:12">
      <c r="C13" s="173" t="s">
        <v>443</v>
      </c>
      <c r="E13" s="495">
        <v>0.70199999999999996</v>
      </c>
      <c r="F13" s="495">
        <v>0.65300000000000002</v>
      </c>
      <c r="G13" s="495">
        <v>0.64009688666296194</v>
      </c>
      <c r="H13" s="495">
        <v>0.61550000000000005</v>
      </c>
      <c r="I13" s="495">
        <v>0.59389999999999998</v>
      </c>
      <c r="J13" s="495">
        <v>0.58489999999999998</v>
      </c>
      <c r="K13" s="495">
        <v>0.60240000000000005</v>
      </c>
      <c r="L13" s="495">
        <v>0.61223381372548524</v>
      </c>
    </row>
    <row r="14" spans="3:12">
      <c r="C14" s="173" t="s">
        <v>444</v>
      </c>
      <c r="E14" s="493">
        <v>873</v>
      </c>
      <c r="F14" s="493">
        <v>873</v>
      </c>
      <c r="G14" s="493">
        <v>873</v>
      </c>
      <c r="H14" s="493">
        <v>873</v>
      </c>
      <c r="I14" s="493">
        <v>873</v>
      </c>
      <c r="J14" s="493">
        <v>873</v>
      </c>
      <c r="K14" s="493">
        <v>873</v>
      </c>
      <c r="L14" s="493">
        <v>1163.21</v>
      </c>
    </row>
    <row r="15" spans="3:12" ht="14.5">
      <c r="C15"/>
      <c r="E15" s="493"/>
      <c r="F15" s="493"/>
      <c r="G15" s="493"/>
      <c r="H15" s="493"/>
      <c r="I15" s="493"/>
      <c r="J15" s="493"/>
      <c r="K15" s="493"/>
      <c r="L15" s="493"/>
    </row>
    <row r="16" spans="3:12">
      <c r="C16" s="527" t="s">
        <v>445</v>
      </c>
      <c r="E16" s="528"/>
      <c r="F16" s="528"/>
      <c r="G16" s="528"/>
      <c r="H16" s="528"/>
      <c r="I16" s="528"/>
      <c r="J16" s="528"/>
      <c r="K16" s="528"/>
      <c r="L16" s="528"/>
    </row>
    <row r="17" spans="3:12" hidden="1">
      <c r="C17" s="173" t="s">
        <v>438</v>
      </c>
      <c r="E17" s="496">
        <v>8.27</v>
      </c>
      <c r="F17" s="496">
        <v>9.8260000000000005</v>
      </c>
      <c r="G17" s="496">
        <v>9.6539999999999999</v>
      </c>
      <c r="H17" s="496">
        <v>8.7240000000000002</v>
      </c>
      <c r="I17" s="496">
        <v>8.0660000000000007</v>
      </c>
      <c r="J17" s="496">
        <v>8.0739999999999998</v>
      </c>
      <c r="K17" s="496">
        <v>8.8889999999999993</v>
      </c>
      <c r="L17" s="496"/>
    </row>
    <row r="18" spans="3:12">
      <c r="C18" s="173" t="s">
        <v>439</v>
      </c>
      <c r="E18" s="496">
        <v>10.462999999999999</v>
      </c>
      <c r="F18" s="496">
        <v>12.137</v>
      </c>
      <c r="G18" s="496">
        <v>11.827999999999999</v>
      </c>
      <c r="H18" s="496">
        <v>10.84</v>
      </c>
      <c r="I18" s="496">
        <v>10.092000000000001</v>
      </c>
      <c r="J18" s="496">
        <v>9.734</v>
      </c>
      <c r="K18" s="496">
        <v>10.927</v>
      </c>
      <c r="L18" s="496">
        <v>13.691000000000001</v>
      </c>
    </row>
    <row r="19" spans="3:12" ht="13.5">
      <c r="C19" s="173" t="s">
        <v>441</v>
      </c>
      <c r="E19" s="493">
        <v>525.32650000000001</v>
      </c>
      <c r="F19" s="493">
        <v>786.09199999999998</v>
      </c>
      <c r="G19" s="493">
        <v>745.9353000000001</v>
      </c>
      <c r="H19" s="493">
        <v>701.95600000000002</v>
      </c>
      <c r="I19" s="493">
        <v>764.11199999999997</v>
      </c>
      <c r="J19" s="493">
        <v>638.73099999999999</v>
      </c>
      <c r="K19" s="493">
        <v>589.15599999999995</v>
      </c>
      <c r="L19" s="493">
        <v>813.65800000000002</v>
      </c>
    </row>
    <row r="20" spans="3:12">
      <c r="C20" s="173" t="s">
        <v>446</v>
      </c>
      <c r="E20" s="495">
        <v>7.0000000000000007E-2</v>
      </c>
      <c r="F20" s="495">
        <v>7.0000000000000007E-2</v>
      </c>
      <c r="G20" s="495">
        <v>7.0000000000000007E-2</v>
      </c>
      <c r="H20" s="495">
        <v>7.0000000000000007E-2</v>
      </c>
      <c r="I20" s="495">
        <v>0.08</v>
      </c>
      <c r="J20" s="495">
        <v>0.08</v>
      </c>
      <c r="K20" s="495">
        <v>0.08</v>
      </c>
      <c r="L20" s="495">
        <v>0.14810000000000001</v>
      </c>
    </row>
    <row r="21" spans="3:12" hidden="1">
      <c r="C21" s="173" t="s">
        <v>444</v>
      </c>
      <c r="E21" s="493">
        <v>372</v>
      </c>
      <c r="F21" s="493">
        <v>372</v>
      </c>
      <c r="G21" s="493">
        <v>372</v>
      </c>
      <c r="H21" s="493">
        <v>372</v>
      </c>
      <c r="I21" s="493">
        <v>372</v>
      </c>
      <c r="J21" s="493">
        <v>372</v>
      </c>
      <c r="K21" s="493">
        <v>372</v>
      </c>
      <c r="L21" s="493">
        <v>82.87</v>
      </c>
    </row>
    <row r="22" spans="3:12" ht="14.5">
      <c r="C22"/>
      <c r="E22" s="493"/>
      <c r="F22" s="493"/>
      <c r="G22" s="493"/>
      <c r="H22" s="493"/>
      <c r="I22" s="493"/>
      <c r="J22" s="493"/>
      <c r="K22" s="493"/>
      <c r="L22" s="493"/>
    </row>
    <row r="23" spans="3:12">
      <c r="C23" s="527" t="s">
        <v>447</v>
      </c>
      <c r="E23" s="528"/>
      <c r="F23" s="528"/>
      <c r="G23" s="528"/>
      <c r="H23" s="528"/>
      <c r="I23" s="528"/>
      <c r="J23" s="528"/>
      <c r="K23" s="528"/>
      <c r="L23" s="528"/>
    </row>
    <row r="24" spans="3:12">
      <c r="C24" s="173" t="s">
        <v>448</v>
      </c>
      <c r="E24" s="496">
        <v>3.1</v>
      </c>
      <c r="F24" s="496">
        <v>2.5219999999999998</v>
      </c>
      <c r="G24" s="496">
        <v>3.2610000000000001</v>
      </c>
      <c r="H24" s="496">
        <v>4.0540000000000003</v>
      </c>
      <c r="I24" s="496">
        <v>5.9610000000000003</v>
      </c>
      <c r="J24" s="496">
        <v>5.6470000000000002</v>
      </c>
      <c r="K24" s="496">
        <v>5.8979999999999997</v>
      </c>
      <c r="L24" s="496">
        <v>5.391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4fe9c80-94cf-4020-8681-39b8c8bd0d52">
      <Terms xmlns="http://schemas.microsoft.com/office/infopath/2007/PartnerControls"/>
    </lcf76f155ced4ddcb4097134ff3c332f>
    <TaxCatchAll xmlns="cdcab5b5-3742-4006-a8e2-5e4262a551e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AD607EAAD0DBE45964E53B615BE650E" ma:contentTypeVersion="15" ma:contentTypeDescription="Crie um novo documento." ma:contentTypeScope="" ma:versionID="fef7eb52057f2d9f5e4506308fb23775">
  <xsd:schema xmlns:xsd="http://www.w3.org/2001/XMLSchema" xmlns:xs="http://www.w3.org/2001/XMLSchema" xmlns:p="http://schemas.microsoft.com/office/2006/metadata/properties" xmlns:ns2="54fe9c80-94cf-4020-8681-39b8c8bd0d52" xmlns:ns3="cdcab5b5-3742-4006-a8e2-5e4262a551e3" targetNamespace="http://schemas.microsoft.com/office/2006/metadata/properties" ma:root="true" ma:fieldsID="471cc9fb6d28ecd5d47d800c1760be66" ns2:_="" ns3:_="">
    <xsd:import namespace="54fe9c80-94cf-4020-8681-39b8c8bd0d52"/>
    <xsd:import namespace="cdcab5b5-3742-4006-a8e2-5e4262a551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e9c80-94cf-4020-8681-39b8c8bd0d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296ee902-957c-4640-87b6-40205da5e2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cab5b5-3742-4006-a8e2-5e4262a551e3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cf145d1a-dadc-4c6e-b8ac-b51f39fe42ed}" ma:internalName="TaxCatchAll" ma:showField="CatchAllData" ma:web="cdcab5b5-3742-4006-a8e2-5e4262a551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3EC25F1-82FF-40C2-AC62-6B6D648C1FA9}">
  <ds:schemaRefs>
    <ds:schemaRef ds:uri="http://schemas.microsoft.com/office/2006/metadata/properties"/>
    <ds:schemaRef ds:uri="http://schemas.microsoft.com/office/infopath/2007/PartnerControls"/>
    <ds:schemaRef ds:uri="54fe9c80-94cf-4020-8681-39b8c8bd0d52"/>
    <ds:schemaRef ds:uri="cdcab5b5-3742-4006-a8e2-5e4262a551e3"/>
  </ds:schemaRefs>
</ds:datastoreItem>
</file>

<file path=customXml/itemProps2.xml><?xml version="1.0" encoding="utf-8"?>
<ds:datastoreItem xmlns:ds="http://schemas.openxmlformats.org/officeDocument/2006/customXml" ds:itemID="{666F977E-EAF5-4B39-B5C9-AEABD5AA2F0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B96A44C-5947-4116-8E58-E3FAD8E9B7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fe9c80-94cf-4020-8681-39b8c8bd0d52"/>
    <ds:schemaRef ds:uri="cdcab5b5-3742-4006-a8e2-5e4262a551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74</vt:i4>
      </vt:variant>
    </vt:vector>
  </HeadingPairs>
  <TitlesOfParts>
    <vt:vector size="74" baseType="lpstr">
      <vt:lpstr>Capa</vt:lpstr>
      <vt:lpstr>Operacional</vt:lpstr>
      <vt:lpstr>Mercado Distribuição</vt:lpstr>
      <vt:lpstr>Bal. Energético Distribuição</vt:lpstr>
      <vt:lpstr>Perdas Distribuição</vt:lpstr>
      <vt:lpstr>DEC FEC</vt:lpstr>
      <vt:lpstr>Contratos Distribuição</vt:lpstr>
      <vt:lpstr>Operacional Renováveis</vt:lpstr>
      <vt:lpstr>Operacional Saneamento</vt:lpstr>
      <vt:lpstr>DRE ITR</vt:lpstr>
      <vt:lpstr>DRE ITR Maranhão</vt:lpstr>
      <vt:lpstr>DRE ITR Pará</vt:lpstr>
      <vt:lpstr>DRE ITR Piauí</vt:lpstr>
      <vt:lpstr>DRE ITR Alagoas</vt:lpstr>
      <vt:lpstr>DRE ITR CEEE-D</vt:lpstr>
      <vt:lpstr>DRE ITR CEA</vt:lpstr>
      <vt:lpstr>DRE ITR Goiás</vt:lpstr>
      <vt:lpstr>DRE ITR Echoenergia</vt:lpstr>
      <vt:lpstr>DRE ITR Echo Crescimento</vt:lpstr>
      <vt:lpstr>DRE ITR SPEs</vt:lpstr>
      <vt:lpstr>DRE ITR EQTT</vt:lpstr>
      <vt:lpstr>DRE ITR INTESA</vt:lpstr>
      <vt:lpstr>DRE ITR CSA</vt:lpstr>
      <vt:lpstr>DRE ITR Serviços</vt:lpstr>
      <vt:lpstr>DRE ITR Holding</vt:lpstr>
      <vt:lpstr>DRE ITR Consolidado</vt:lpstr>
      <vt:lpstr>DRE Resumida</vt:lpstr>
      <vt:lpstr>DRE Maranhão</vt:lpstr>
      <vt:lpstr>DRE Pará</vt:lpstr>
      <vt:lpstr>DRE Piauí</vt:lpstr>
      <vt:lpstr>DRE Alagoas</vt:lpstr>
      <vt:lpstr>DRE CEEE-D</vt:lpstr>
      <vt:lpstr>DRE CEA</vt:lpstr>
      <vt:lpstr>DRE Goiás</vt:lpstr>
      <vt:lpstr>DRE Intesa IFRS</vt:lpstr>
      <vt:lpstr>DRE Intesa Reg</vt:lpstr>
      <vt:lpstr>DRE EQTT IFRS</vt:lpstr>
      <vt:lpstr>DRE EQTT Reg</vt:lpstr>
      <vt:lpstr>DRE Echoenergia</vt:lpstr>
      <vt:lpstr>DRE CSA</vt:lpstr>
      <vt:lpstr>DRE EQTL Serviços</vt:lpstr>
      <vt:lpstr>DRE EQTL Holding</vt:lpstr>
      <vt:lpstr>DRE EQTL Cons </vt:lpstr>
      <vt:lpstr>DRE Individual</vt:lpstr>
      <vt:lpstr>Informações Financeiras Aj.</vt:lpstr>
      <vt:lpstr>BPs</vt:lpstr>
      <vt:lpstr>BP Maranhão</vt:lpstr>
      <vt:lpstr>BP Pará</vt:lpstr>
      <vt:lpstr>BP Piauí</vt:lpstr>
      <vt:lpstr>BP Alagoas</vt:lpstr>
      <vt:lpstr>BP CEEE-D </vt:lpstr>
      <vt:lpstr>BP CEA</vt:lpstr>
      <vt:lpstr>BP CELG</vt:lpstr>
      <vt:lpstr>BP CSA</vt:lpstr>
      <vt:lpstr>BP Echoenergia</vt:lpstr>
      <vt:lpstr>BP Echo Crescimento</vt:lpstr>
      <vt:lpstr>BP Transmissão</vt:lpstr>
      <vt:lpstr>BP Intesa</vt:lpstr>
      <vt:lpstr>BP EQTL Holding</vt:lpstr>
      <vt:lpstr>BP EQTL Cons</vt:lpstr>
      <vt:lpstr>Dívida e CAPEX</vt:lpstr>
      <vt:lpstr>Dívida Bruta</vt:lpstr>
      <vt:lpstr>Dívida Líquida</vt:lpstr>
      <vt:lpstr>Dívida Detalhada</vt:lpstr>
      <vt:lpstr>Investimentos</vt:lpstr>
      <vt:lpstr>Balanço CVA</vt:lpstr>
      <vt:lpstr>Sistemas Isolados</vt:lpstr>
      <vt:lpstr>Apuração IR CS </vt:lpstr>
      <vt:lpstr>Dados Regulatórios</vt:lpstr>
      <vt:lpstr>Dados Concessões</vt:lpstr>
      <vt:lpstr>Dados Regulatórios Distribuição</vt:lpstr>
      <vt:lpstr>Dados Leilões Transmissão</vt:lpstr>
      <vt:lpstr>Beneficios Fiscais</vt:lpstr>
      <vt:lpstr>Fluxo Ações Preferenciais</vt:lpstr>
    </vt:vector>
  </TitlesOfParts>
  <Manager/>
  <Company>Equatorial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LUCAS MARTINS GUIMARAES</dc:creator>
  <cp:keywords/>
  <dc:description/>
  <cp:lastModifiedBy>JOAO PEDRO PASCHOAL E SILVA</cp:lastModifiedBy>
  <cp:revision/>
  <dcterms:created xsi:type="dcterms:W3CDTF">2024-01-02T18:00:37Z</dcterms:created>
  <dcterms:modified xsi:type="dcterms:W3CDTF">2024-08-30T12:41:29Z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0x01010093E890DB9B60684489CA38A2E1C1534B</vt:lpwstr>
  </property>
  <property fmtid="{D5CDD505-2E9C-101B-9397-08002B2CF9AE}" pid="3" name="MediaServiceImageTags">
    <vt:lpwstr/>
  </property>
</Properties>
</file>